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codeName="ThisWorkbook" defaultThemeVersion="124226"/>
  <bookViews>
    <workbookView xWindow="7448" yWindow="-16695" windowWidth="28994" windowHeight="15675" xr2:uid="{00000000-000D-0000-FFFF-FFFF00000000}"/>
  </bookViews>
  <sheets>
    <sheet name="Model" sheetId="1" r:id="rId1"/>
    <sheet name="Exec Comp" sheetId="13" r:id="rId2"/>
    <sheet name="Supplemental Data" sheetId="11" r:id="rId3"/>
    <sheet name="Guidance" sheetId="10" r:id="rId4"/>
    <sheet name="Summary Page" sheetId="9" r:id="rId5"/>
  </sheets>
  <definedNames>
    <definedName name="_xlnm._FilterDatabase" localSheetId="3" hidden="1">Guidance!$A$5:$U$5</definedName>
    <definedName name="EC_CCMO_BasePay">'Exec Comp'!$1503:$1503</definedName>
    <definedName name="EC_CCMO_EquityComp_Percent">'Exec Comp'!$1507:$1507</definedName>
    <definedName name="EC_CCMO_SharesOwned">'Exec Comp'!$1692:$1692</definedName>
    <definedName name="EC_CCMO_TotalComp">'Exec Comp'!$1506:$1506</definedName>
    <definedName name="EC_CEO_BasePay">'Exec Comp'!$7:$7</definedName>
    <definedName name="EC_CEO_EquityComp_Percent">'Exec Comp'!$13:$13</definedName>
    <definedName name="EC_CEO_SharesOwned">'Exec Comp'!$456:$456</definedName>
    <definedName name="EC_CEO_TotalComp">'Exec Comp'!$12:$12</definedName>
    <definedName name="EC_CFO_BasePay">'Exec Comp'!$976:$976</definedName>
    <definedName name="EC_CFO_EquityComp_Percent">'Exec Comp'!$982:$982</definedName>
    <definedName name="EC_CFO_SharesOwned">'Exec Comp'!$1164:$1164</definedName>
    <definedName name="EC_CFO_TotalComp">'Exec Comp'!$981:$981</definedName>
    <definedName name="EC_CLO_BasePay">'Exec Comp'!$1166:$1166</definedName>
    <definedName name="EC_CLO_EquityComp_Percent">'Exec Comp'!$1172:$1172</definedName>
    <definedName name="EC_CLO_SharesOwned">'Exec Comp'!$1501:$1501</definedName>
    <definedName name="EC_CLO_TotalComp">'Exec Comp'!$1171:$1171</definedName>
    <definedName name="EC_CoCEOCCO_BasePay">'Exec Comp'!$458:$458</definedName>
    <definedName name="EC_CoCEOCCO_EquityComp_Percent">'Exec Comp'!$464:$464</definedName>
    <definedName name="EC_CoCEOCCO_SharesOwned">'Exec Comp'!$720:$720</definedName>
    <definedName name="EC_CoCEOCCO_TotalComp">'Exec Comp'!$463:$463</definedName>
    <definedName name="EC_Person0187_BasePay">'Exec Comp'!$722:$722</definedName>
    <definedName name="EC_Person0187_EquityComp_Percent">'Exec Comp'!$726:$726</definedName>
    <definedName name="EC_Person0187_SharesOwned">'Exec Comp'!$974:$974</definedName>
    <definedName name="EC_Person0187_TotalComp">'Exec Comp'!$725:$725</definedName>
    <definedName name="EC_CTO_BasePay">'Exec Comp'!$1694:$1694</definedName>
    <definedName name="EC_CTO_EquityComp_Percent">'Exec Comp'!$1698:$1698</definedName>
    <definedName name="EC_CTO_OptionsAwards">'Exec Comp'!$1695:$1695</definedName>
    <definedName name="EC_CTO_SharesOwned">'Exec Comp'!$A$1733</definedName>
    <definedName name="EC_CTO_TotalComp">'Exec Comp'!$1697:$1697</definedName>
    <definedName name="EC_Director_Compensation_Cash">'Exec Comp'!$1755:$1755</definedName>
    <definedName name="EC_Director_Compensation_Total">'Exec Comp'!$1780:$1780</definedName>
    <definedName name="EC_Directors_Current">'Exec Comp'!$1736:$1736</definedName>
    <definedName name="EC_Directors_Current_Diverse">'Exec Comp'!$1739:$1739</definedName>
    <definedName name="EC_Directors_Current_Female">'Exec Comp'!$1738:$1738</definedName>
    <definedName name="EC_Directors_Current_Independent">'Exec Comp'!$1737:$1737</definedName>
    <definedName name="EC_Directors_Nominees">'Exec Comp'!$1741:$1741</definedName>
    <definedName name="GD.CompanyName">Guidance!$B$1</definedName>
    <definedName name="GD.MRQ">Guidance!$F$2</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HP.MRFX">Model!$B$1411</definedName>
    <definedName name="HP.ReportCurrency">Model!$B$1410</definedName>
    <definedName name="HP.Ticker">Model!$A$2</definedName>
    <definedName name="HP.TradeCurrency">Model!$B$1408</definedName>
    <definedName name="HP.TradeCurrency.HardCoded">Model!$B$1409</definedName>
    <definedName name="MO.ApplyTradeCurrencyScaling">Model!$B$1407</definedName>
    <definedName name="MO.CFY">Model!$B$1415</definedName>
    <definedName name="MO.CompanyName">Model!$A$1</definedName>
    <definedName name="MO.DataSourceIndex">Model!$B$1418</definedName>
    <definedName name="MO.DataSourceName">Model!$A$4</definedName>
    <definedName name="MO.FirstForecastedFiscalYear">Model!$B$1416</definedName>
    <definedName name="MO.KPI.1">Model!$A$1308</definedName>
    <definedName name="MO.KPI.2">Model!$A$1309</definedName>
    <definedName name="MO.KPI.3">Model!$A$1310</definedName>
    <definedName name="MO.KPI.4">Model!$A$1311</definedName>
    <definedName name="MO.KPI.5">Model!$A$1312</definedName>
    <definedName name="MO.KPI.6">Model!$A$1313</definedName>
    <definedName name="MO.KPI.7">Model!$A$1314</definedName>
    <definedName name="MO.KPI.8">Model!$A$1315</definedName>
    <definedName name="MO.KPI.9">Model!$A$1316</definedName>
    <definedName name="MO.KPI.Count">Model!$B$1417</definedName>
    <definedName name="MO.LastPrice">Model!$B$3</definedName>
    <definedName name="MO.LastPriceDate">Model!$B$1404</definedName>
    <definedName name="MO.LastPriceFormula">Model!$B$1406</definedName>
    <definedName name="MO.LastPriceHardcoded">Model!$B$1403</definedName>
    <definedName name="MO.MRFP">Model!$B$1414</definedName>
    <definedName name="MO.MRFPColumnNumber">Model!$B$1413</definedName>
    <definedName name="MO.MRFX.Hardcoded">Model!$B$1412</definedName>
    <definedName name="MO.RealTime">Model!$B$4</definedName>
    <definedName name="MO.RealTimeStockPriceToggle">Model!$B$1405</definedName>
    <definedName name="MO.ReportCurrency">Model!$B$1410</definedName>
    <definedName name="MO.ReportFX">Model!$A$5</definedName>
    <definedName name="MO.Ticker">Model!$A$2</definedName>
    <definedName name="MO.Ticker.Bloomberg">Model!$A$1287</definedName>
    <definedName name="MO.Ticker.CapIQ">Model!$A$1288</definedName>
    <definedName name="MO.Ticker.FactSet">Model!$A$1289</definedName>
    <definedName name="MO.Ticker.Source">Model!$A$1286</definedName>
    <definedName name="MO.Ticker.Thomson">Model!$A$1290</definedName>
    <definedName name="MO.TradingCurrency">Model!$A$3</definedName>
    <definedName name="MO.ValuationToggle">Model!$B$1007</definedName>
    <definedName name="MO_AN_EBITDA_Adj">Model!$442:$442</definedName>
    <definedName name="MO_AN_FCF">Model!$448:$448</definedName>
    <definedName name="MO_AN_NI_NONGAAP_Diluted">Model!$455:$455</definedName>
    <definedName name="MO_BS_AE">Model!$1229:$1229</definedName>
    <definedName name="MO_BS_AP">Model!$1227:$1227</definedName>
    <definedName name="MO_BS_CA">Model!$1207:$1207</definedName>
    <definedName name="MO_BS_Cash">Model!$1198:$1198</definedName>
    <definedName name="MO_BS_CL">Model!$1234:$1234</definedName>
    <definedName name="MO_BS_CommonStock">Model!$1247:$1247</definedName>
    <definedName name="MO_BS_ContentAssets_Licensed_NonCurrent">Model!$1210:$1210</definedName>
    <definedName name="MO_BS_ContentAssets_NonCurrent">Model!$1216:$1216</definedName>
    <definedName name="MO_BS_ContentAssets_Produced_NonCurrent">Model!$1214:$1214</definedName>
    <definedName name="MO_BS_ContentLiability_Current">Model!$1226:$1226</definedName>
    <definedName name="MO_BS_ContentLiability_NonCurrent">Model!$1237:$1237</definedName>
    <definedName name="MO_BS_ContributedSurplus">Model!$1249:$1249</definedName>
    <definedName name="MO_BS_DefRev">Model!$1233:$1233</definedName>
    <definedName name="MO_BS_DefRev_Current">Model!$1233:$1233</definedName>
    <definedName name="MO_BS_FL_Current">Model!$1231:$1231</definedName>
    <definedName name="MO_BS_Intangibles">Model!$1216:$1216</definedName>
    <definedName name="MO_BS_INV">Model!$1202:$1202</definedName>
    <definedName name="MO_BS_NCA">Model!$1222:$1222</definedName>
    <definedName name="MO_BS_NCI">Model!$1253:$1253</definedName>
    <definedName name="MO_BS_NCL">Model!$1243:$1243</definedName>
    <definedName name="MO_BS_OCI">Model!$1250:$1250</definedName>
    <definedName name="MO_BS_OL_Current">Model!$1228:$1228</definedName>
    <definedName name="MO_BS_OL_NonCurrent">Model!$1240:$1240</definedName>
    <definedName name="MO_BS_PPE">Model!$1217:$1217</definedName>
    <definedName name="MO_BS_PrepaidExpenses">Model!$1200:$1200</definedName>
    <definedName name="MO_BS_RestrictedCash_Current">Model!$1205:$1205</definedName>
    <definedName name="MO_BS_RestrictedCash_NonCurrent">Model!$1219:$1219</definedName>
    <definedName name="MO_BS_RetainedEarnings">Model!$1251:$1251</definedName>
    <definedName name="MO_BS_SE">Model!$1252:$1252</definedName>
    <definedName name="MO_BS_STInvestments">Model!$1199:$1199</definedName>
    <definedName name="MO_BS_TA">Model!$1223:$1223</definedName>
    <definedName name="MO_BS_TaxAssets_Deferred_Current">Model!$1203:$1203</definedName>
    <definedName name="MO_BS_TaxAssets_Deferred_NonCurrent">Model!$1218:$1218</definedName>
    <definedName name="MO_BS_TL">Model!$1244:$1244</definedName>
    <definedName name="MO_BS_TLSE">Model!$1254:$1254</definedName>
    <definedName name="MO_BS_TreasuryStock">Model!$1248:$1248</definedName>
    <definedName name="MO_BSS_Cash">Model!$750:$750</definedName>
    <definedName name="MO_BSS_Debt">Model!$753:$753</definedName>
    <definedName name="MO_BSS_Debt_LT">Model!$752:$752</definedName>
    <definedName name="MO_BSS_Debt_Net">Model!$755:$755</definedName>
    <definedName name="MO_BSS_Debt_ST">Model!$751:$751</definedName>
    <definedName name="MO_BSS_Debt_ToCF">Model!$766:$766</definedName>
    <definedName name="MO_BSS_Debt_ToEBITDA">Model!$765:$765</definedName>
    <definedName name="MO_BSS_IE">Model!$757:$757</definedName>
    <definedName name="MO_BSS_IE_Net">Model!$761:$761</definedName>
    <definedName name="MO_BSS_II">Model!$759:$759</definedName>
    <definedName name="MO_BSS_InterestRate_Cash">Model!$760:$760</definedName>
    <definedName name="MO_BSS_InterestRate_Debt">Model!$758:$758</definedName>
    <definedName name="MO_BSS_NetInterestCoverage">Model!$764:$764</definedName>
    <definedName name="MO_BSS_NetInterestRate_Debt">Model!$762:$762</definedName>
    <definedName name="MO_BSS_OL">Model!$754:$754</definedName>
    <definedName name="MO_CCFS_Balance_Begin">Model!$1091:$1091</definedName>
    <definedName name="MO_CCFS_Balance_End">Model!$1092:$1092</definedName>
    <definedName name="MO_CCFS_CFF">Model!$1086:$1086</definedName>
    <definedName name="MO_CCFS_CFI">Model!$1068:$1068</definedName>
    <definedName name="MO_CCFS_CFO">Model!$1054:$1054</definedName>
    <definedName name="MO_CCFS_CFO_BeforeWC">Model!$1047:$1047</definedName>
    <definedName name="MO_CCFS_FX">Model!$1088:$1088</definedName>
    <definedName name="MO_CCFS_NetChange">Model!$1089:$1089</definedName>
    <definedName name="MO_CCFS_Sup_CashInterest">Model!$1095:$1095</definedName>
    <definedName name="MO_CCFS_Sup_CashTax">Model!$1094:$1094</definedName>
    <definedName name="MO_CFS_Balance_Begin">Model!$1158:$1158</definedName>
    <definedName name="MO_CFS_Balance_End">Model!$1159:$1159</definedName>
    <definedName name="MO_CFS_Buyback">Model!$1147:$1147</definedName>
    <definedName name="MO_CFS_CFF">Model!$1153:$1153</definedName>
    <definedName name="MO_CFS_CFI">Model!$1135:$1135</definedName>
    <definedName name="MO_CFS_CFO">Model!$1121:$1121</definedName>
    <definedName name="MO_CFS_CFO_BeforeWC">Model!$1114:$1114</definedName>
    <definedName name="MO_CFS_DA">Model!$1104:$1104</definedName>
    <definedName name="MO_CFS_DeferredTax">Model!$1111:$1111</definedName>
    <definedName name="MO_CFS_Dividend_Common">Model!$1150:$1150</definedName>
    <definedName name="MO_CFS_FX">Model!$1155:$1155</definedName>
    <definedName name="MO_CFS_NetChange">Model!$1156:$1156</definedName>
    <definedName name="MO_CFS_NewEquityIssued">Model!$1138:$1138</definedName>
    <definedName name="MO_CFS_NI">Model!$1099:$1099</definedName>
    <definedName name="MO_CFS_SBC">Model!$1106:$1106</definedName>
    <definedName name="MO_CFS_Sup_CashInterest">Model!$1162:$1162</definedName>
    <definedName name="MO_CFS_Sup_CashTax">Model!$1161:$1161</definedName>
    <definedName name="MO_CFS_WC_AE">Model!$1118:$1118</definedName>
    <definedName name="MO_CFS_WC_AP">Model!$1117:$1117</definedName>
    <definedName name="MO_CFS_WC_DefRev">Model!$1119:$1119</definedName>
    <definedName name="MO_CFS_WC_PrepaidExpenses">Model!$1115:$1115</definedName>
    <definedName name="MO_CFSum_Acquisition">Model!$728:$728</definedName>
    <definedName name="MO_CFSum_Capex">Model!$726:$726</definedName>
    <definedName name="MO_CFSum_CFO">Model!$722:$722</definedName>
    <definedName name="MO_CFSum_CFO_BeforeWC">Model!$720:$720</definedName>
    <definedName name="MO_CFSum_CFOPS">Model!$724:$724</definedName>
    <definedName name="MO_CFSum_CFOPS_BeforeWC">Model!$723:$723</definedName>
    <definedName name="MO_CFSum_CFPS">Model!$724:$724</definedName>
    <definedName name="MO_CFSum_ChangeInWC">Model!$721:$721</definedName>
    <definedName name="MO_CFSum_Divestiture">Model!$729:$729</definedName>
    <definedName name="MO_CFSum_Dividend">Model!$730:$730</definedName>
    <definedName name="MO_CFSum_DPS">Model!$731:$731</definedName>
    <definedName name="MO_CFSum_FCF_PostDivPostAD">Model!$742:$742</definedName>
    <definedName name="MO_CFSum_FCF_PostDivPostADPostDebtPostBuyback">Model!$743:$743</definedName>
    <definedName name="MO_CFSum_FCF_PostDivPreAD">Model!$741:$741</definedName>
    <definedName name="MO_CFSum_FCF_PostWCPostDivPostAD">Model!$746:$746</definedName>
    <definedName name="MO_CFSum_FCF_PostWCPostDivPostADPostDebtPostBuyback">Model!$747:$747</definedName>
    <definedName name="MO_CFSum_FCF_PostWCPostDivPreAD">Model!$745:$745</definedName>
    <definedName name="MO_CFSum_FCF_PostWCPreDiv">Model!$744:$744</definedName>
    <definedName name="MO_CFSum_FCF_PreDiv">Model!$740:$740</definedName>
    <definedName name="MO_CFSum_NetDebtIssuance">Model!$733:$733</definedName>
    <definedName name="MO_CFSum_NetShares">Model!$734:$734</definedName>
    <definedName name="MO_CFSum_NetShares_Price">Model!$735:$735</definedName>
    <definedName name="MO_CFSum_SBC">Model!$737:$737</definedName>
    <definedName name="MO_CFSum_SBC_Margin">Model!$738:$738</definedName>
    <definedName name="MO_Checks_Bottom">Model!$C$1259:$XFD$1281</definedName>
    <definedName name="MO_Checks_BS">Model!$1256:$1256</definedName>
    <definedName name="MO_Checks_CF">Model!$1164:$1164</definedName>
    <definedName name="MO_Checks_IS">Model!$433:$433</definedName>
    <definedName name="MO_Common_Column_A">Model!$A:$A</definedName>
    <definedName name="MO_Common_Column_B">Model!$B:$B</definedName>
    <definedName name="MO_Common_ColumnHeader">Model!$5:$5</definedName>
    <definedName name="MO_Common_CompanySubtitle">Model!$2:$2</definedName>
    <definedName name="MO_Common_CompanyTitle">Model!$1:$1</definedName>
    <definedName name="MO_Common_FPDays">Model!$3:$3</definedName>
    <definedName name="MO_Common_QEndDate">Model!$4:$4</definedName>
    <definedName name="MO_Common_QEndDate_LWD">Model!$1397:$1397</definedName>
    <definedName name="MO_Credit_Capex">Model!$805:$805</definedName>
    <definedName name="MO_Credit_Capex_LTM">Model!$993:$993</definedName>
    <definedName name="MO_Credit_Cash">Model!$783:$783</definedName>
    <definedName name="MO_Credit_CFO_LTM">Model!$995:$995</definedName>
    <definedName name="MO_Credit_CreditAdjustedFCF">Model!$807:$807</definedName>
    <definedName name="MO_Credit_CreditAdjustedFCF_LTM">Model!$997:$997</definedName>
    <definedName name="MO_Credit_CreditAdjustedWC">Model!$806:$806</definedName>
    <definedName name="MO_Credit_CurrentAssets_Liquid">Model!$1002:$1002</definedName>
    <definedName name="MO_Credit_Debt">Model!$782:$782</definedName>
    <definedName name="MO_Credit_Debt_BookValue">Model!$837:$837</definedName>
    <definedName name="MO_Credit_Debt_LT">Model!$839:$839</definedName>
    <definedName name="MO_Credit_Debt_LT_Current">Model!$838:$838</definedName>
    <definedName name="MO_Credit_Debt_Net">Model!$786:$786</definedName>
    <definedName name="MO_Credit_Debt_Net_exOL">Model!$784:$784</definedName>
    <definedName name="MO_Credit_Debt_Principal">Model!$780:$780</definedName>
    <definedName name="MO_Credit_Debt_Secured">Model!$778:$778</definedName>
    <definedName name="MO_Credit_Debt_Unamortized">Model!$781:$781</definedName>
    <definedName name="MO_Credit_Debt_UnamortizedCosts">Model!$836:$836</definedName>
    <definedName name="MO_Credit_Debt_Unsecured">Model!$779:$779</definedName>
    <definedName name="MO_Credit_DebtIssuance">Model!$772:$772</definedName>
    <definedName name="MO_Credit_DebtIssuance_Net">Model!$773:$773</definedName>
    <definedName name="MO_Credit_DebtOutstanding_Additional">Model!$834:$834</definedName>
    <definedName name="MO_Credit_DebtOutstanding_Principal">Model!$835:$835</definedName>
    <definedName name="MO_Credit_DebtRepayment">Model!$771:$771</definedName>
    <definedName name="MO_Credit_DebtRepayment_Other">Model!$770:$770</definedName>
    <definedName name="MO_Credit_DebtRepayment_Revolver">Model!$769:$769</definedName>
    <definedName name="MO_Credit_EBITDA_Adj">Model!$800:$800</definedName>
    <definedName name="MO_Credit_EBITDA_Adj_LTM">Model!$989:$989</definedName>
    <definedName name="MO_Credit_IE_Additional">Model!$894:$894</definedName>
    <definedName name="MO_Credit_IE_Amortization">Model!$796:$796</definedName>
    <definedName name="MO_Credit_IE_Debt">Model!$795:$795</definedName>
    <definedName name="MO_Credit_IE_Net_LTM">Model!$991:$991</definedName>
    <definedName name="MO_Credit_IE_PrincipalNotes_Calculated">Model!$896:$896</definedName>
    <definedName name="MO_Credit_IE_Rate_Additional">Model!$895:$895</definedName>
    <definedName name="MO_Credit_IE_Reported">Model!$798:$798</definedName>
    <definedName name="MO_Credit_IE_Unaccounted">Model!$797:$797</definedName>
    <definedName name="MO_Credit_Interest_Cash">Model!$802:$802</definedName>
    <definedName name="MO_Credit_Interest_Cash_Additional">Model!$925:$925</definedName>
    <definedName name="MO_Credit_Interest_Cash_Calculated">Model!$926:$926</definedName>
    <definedName name="MO_Credit_Interest_Cash_Reported">Model!$928:$928</definedName>
    <definedName name="MO_Credit_Interest_Cash_Unaccounted">Model!$927:$927</definedName>
    <definedName name="MO_Credit_Liquidity">Model!$793:$793</definedName>
    <definedName name="MO_Credit_Liquidity_Cash">Model!$792:$792</definedName>
    <definedName name="MO_Credit_NetRepayment">Model!$866:$866</definedName>
    <definedName name="MO_Credit_NetRepayment_Additional">Model!$865:$865</definedName>
    <definedName name="MO_Credit_OL">Model!$785:$785</definedName>
    <definedName name="MO_Credit_OpLeaseReconciliation">Model!$801:$801</definedName>
    <definedName name="MO_Credit_Ratio_Capex">Model!$992:$992</definedName>
    <definedName name="MO_Credit_Ratio_Capex_LTM">Model!$993:$993</definedName>
    <definedName name="MO_Credit_Ratio_Cash">Model!$985:$985</definedName>
    <definedName name="MO_Credit_Ratio_CashRatio">Model!$980:$980</definedName>
    <definedName name="MO_Credit_Ratio_CFO">Model!$994:$994</definedName>
    <definedName name="MO_Credit_Ratio_CFO_LTM">Model!$995:$995</definedName>
    <definedName name="MO_Credit_Ratio_CreditAdjustedFCF">Model!$996:$996</definedName>
    <definedName name="MO_Credit_Ratio_CreditAdjustedFCF_LTM">Model!$997:$997</definedName>
    <definedName name="MO_Credit_Ratio_CurrentAssets">Model!$1003:$1003</definedName>
    <definedName name="MO_Credit_Ratio_CurrentAssets_Liquid">Model!$1002:$1002</definedName>
    <definedName name="MO_Credit_Ratio_CurrentLiabilities">Model!$1004:$1004</definedName>
    <definedName name="MO_Credit_Ratio_CurrentRatio">Model!$978:$978</definedName>
    <definedName name="MO_Credit_Ratio_Debt_LT">Model!$983:$983</definedName>
    <definedName name="MO_Credit_Ratio_Debt_Net">Model!$986:$986</definedName>
    <definedName name="MO_Credit_Ratio_Debt_Secured">Model!$987:$987</definedName>
    <definedName name="MO_Credit_Ratio_Debt_ST">Model!$982:$982</definedName>
    <definedName name="MO_Credit_Ratio_Debt_Total">Model!$984:$984</definedName>
    <definedName name="MO_Credit_Ratio_EBITDA_Adj">Model!$988:$988</definedName>
    <definedName name="MO_Credit_Ratio_EBITDA_Adj_LTM">Model!$989:$989</definedName>
    <definedName name="MO_Credit_Ratio_Equity_BookValue">Model!$998:$998</definedName>
    <definedName name="MO_Credit_Ratio_EV">Model!$1000:$1000</definedName>
    <definedName name="MO_Credit_Ratio_IE">Model!$990:$990</definedName>
    <definedName name="MO_Credit_Ratio_IE_LTM">Model!$991:$991</definedName>
    <definedName name="MO_Credit_Ratio_LTDebt_ToAssets">Model!$977:$977</definedName>
    <definedName name="MO_Credit_Ratio_LTDebt_ToBVCapital">Model!$974:$974</definedName>
    <definedName name="MO_Credit_Ratio_LTDebt_ToEquity">Model!$972:$972</definedName>
    <definedName name="MO_Credit_Ratio_LTDebt_ToLTMCreditAdjustedFCF">Model!$968:$968</definedName>
    <definedName name="MO_Credit_Ratio_LTDebt_ToLTMEBITDA_Adj">Model!$967:$967</definedName>
    <definedName name="MO_Credit_Ratio_LTDebt_ToMarketCap">Model!$973:$973</definedName>
    <definedName name="MO_Credit_Ratio_LTDebt_ToMVCapital">Model!$975:$975</definedName>
    <definedName name="MO_Credit_Ratio_LTDebt_ToTEV">Model!$976:$976</definedName>
    <definedName name="MO_Credit_Ratio_LTMCFO_ToLTMIE_Net">Model!$971:$971</definedName>
    <definedName name="MO_Credit_Ratio_LTMEBITDA_Adj_ToLTMIE">Model!$970:$970</definedName>
    <definedName name="MO_Credit_Ratio_MarketCap">Model!$999:$999</definedName>
    <definedName name="MO_Credit_Ratio_NetDebt_ToLTMCFO">Model!$963:$963</definedName>
    <definedName name="MO_Credit_Ratio_NetDebt_ToLTMCreditAdjustedFCF">Model!$964:$964</definedName>
    <definedName name="MO_Credit_Ratio_NetDebt_ToLTMEBITDA_Adj">Model!$962:$962</definedName>
    <definedName name="MO_Credit_Ratio_NetDebt_ToLTMEBITDA_adjlessCapex">Model!$965:$965</definedName>
    <definedName name="MO_Credit_Ratio_QuickRatio">Model!$979:$979</definedName>
    <definedName name="MO_Credit_Ratio_SecuredDebt_ToLTMEBITDA_Adj">Model!$966:$966</definedName>
    <definedName name="MO_Credit_Ratio_TotalAssets">Model!$1001:$1001</definedName>
    <definedName name="MO_Credit_Ratio_TotalDebt_ToLTMEBITDA_Adj">Model!$969:$969</definedName>
    <definedName name="MO_Credit_Revolver_Available">Model!$789:$789</definedName>
    <definedName name="MO_Credit_Revolver_Remaining">Model!$791:$791</definedName>
    <definedName name="MO_Credit_Revolver_Used">Model!$790:$790</definedName>
    <definedName name="MO_Credit_SOFR_1m">Model!$897:$897</definedName>
    <definedName name="MO_Credit_Tax_Cash">Model!$803:$803</definedName>
    <definedName name="MO_Credit_Tax_Cash_Rate">Model!$804:$804</definedName>
    <definedName name="MO_DAF_A">Model!$1174:$1174</definedName>
    <definedName name="MO_DAF_A_Percentage">Model!$1180:$1180</definedName>
    <definedName name="MO_DAF_Capex">Model!$1185:$1185</definedName>
    <definedName name="MO_DAF_D">Model!$1168:$1168</definedName>
    <definedName name="MO_DAF_D_Percentage">Model!$1179:$1179</definedName>
    <definedName name="MO_DAF_DA">Model!$1184:$1184</definedName>
    <definedName name="MO_DAF_Intangibles_BoP">Model!$1173:$1173</definedName>
    <definedName name="MO_DAF_Intangibles_Capex">Model!$1175:$1175</definedName>
    <definedName name="MO_DAF_Intangibles_EoP">Model!$1177:$1177</definedName>
    <definedName name="MO_DAF_Intangibles_Life">Model!$1182:$1182</definedName>
    <definedName name="MO_DAF_Intangibles_Other">Model!$1176:$1176</definedName>
    <definedName name="MO_DAF_PPE_BoP">Model!$1167:$1167</definedName>
    <definedName name="MO_DAF_PPE_Capex">Model!$1169:$1169</definedName>
    <definedName name="MO_DAF_PPE_EoP">Model!$1171:$1171</definedName>
    <definedName name="MO_DAF_PPE_Life">Model!$1181:$1181</definedName>
    <definedName name="MO_DAF_PPE_Other">Model!$1170:$1170</definedName>
    <definedName name="MO_GA_REV_ConstantCurrency">Model!$32:$32</definedName>
    <definedName name="MO_GA_TotalRevenue">Model!$33:$33</definedName>
    <definedName name="MO_GuidanceAnalysis_Ebit_FY">Model!$703:$703</definedName>
    <definedName name="MO_GuidanceAnalysis_Ebit_MostRecentMidpoint">Model!$651:$651</definedName>
    <definedName name="MO_GuidanceAnalysis_Ebit_Q">Model!$675:$675</definedName>
    <definedName name="MO_GuidanceAnalysis_EbitMargin_FY">Model!$712:$712</definedName>
    <definedName name="MO_GuidanceAnalysis_EbitMargin_MostRecentMidpoint">Model!$667:$667</definedName>
    <definedName name="MO_GuidanceAnalysis_EbitMargin_Q">Model!$687:$687</definedName>
    <definedName name="MO_GuidanceAnalysis_Revenue_FY">Model!$630:$630</definedName>
    <definedName name="MO_GuidanceAnalysis_Revenue_MostRecentMidpoint">Model!$597:$597</definedName>
    <definedName name="MO_GuidanceAnalysis_Revenue_Q">Model!$613:$613</definedName>
    <definedName name="MO_IS_COGS">Model!$419:$419</definedName>
    <definedName name="MO_IS_DebtExtinguishment">Model!$428:$428</definedName>
    <definedName name="MO_IS_EBIT">Model!$425:$425</definedName>
    <definedName name="MO_IS_EBT">Model!$429:$429</definedName>
    <definedName name="MO_IS_FirstRow">Model!$416:$416</definedName>
    <definedName name="MO_IS_GA">Model!$423:$423</definedName>
    <definedName name="MO_IS_GP">Model!$420:$420</definedName>
    <definedName name="MO_IS_IE">Model!$426:$426</definedName>
    <definedName name="MO_IS_NI_ContinOp">Model!$431:$431</definedName>
    <definedName name="MO_IS_OPEX">Model!$424:$424</definedName>
    <definedName name="MO_IS_RD">Model!$422:$422</definedName>
    <definedName name="MO_IS_REV">Model!$416:$416</definedName>
    <definedName name="MO_IS_SM">Model!$421:$421</definedName>
    <definedName name="MO_IS_Tax">Model!$430:$430</definedName>
    <definedName name="MO_KPI_ARPU_APAC">Model!$128:$128</definedName>
    <definedName name="MO_KPI_ARPU_Calc">Model!$16:$16</definedName>
    <definedName name="MO_KPI_ARPU_EMEA">Model!$88:$88</definedName>
    <definedName name="MO_KPI_ARPU_LATAM">Model!$108:$108</definedName>
    <definedName name="MO_KPI_ARPU_Subscription_Calc">Model!$16:$16</definedName>
    <definedName name="MO_KPI_ARPU_US">Model!$64:$64</definedName>
    <definedName name="MO_KPI_Content_Amortization">Model!$254:$254</definedName>
    <definedName name="MO_KPI_ContentAssets_Life">Model!$250:$250</definedName>
    <definedName name="MO_KPI_EmployeeCount">'Supplemental Data'!$23:$23</definedName>
    <definedName name="MO_KPI_REV_Geo_Americas">Model!$195:$195</definedName>
    <definedName name="MO_KPI_REV_Geo_APAC">Model!$191:$191</definedName>
    <definedName name="MO_KPI_REV_Geo_EMEA">Model!$189:$189</definedName>
    <definedName name="MO_KPI_REV_Geo_LATAM">Model!$190:$190</definedName>
    <definedName name="MO_KPI_REV_Geo_US">Model!$188:$188</definedName>
    <definedName name="MO_KPI_REV_Platform">Model!$192:$192</definedName>
    <definedName name="MO_KPI_REV_Platform_Subscription">Model!$192:$192</definedName>
    <definedName name="MO_KPI_REV_Subscription">Model!$192:$192</definedName>
    <definedName name="MO_KPI_Subscribers_APAC">Model!$120:$120</definedName>
    <definedName name="MO_KPI_Subscribers_EMEA">Model!$80:$80</definedName>
    <definedName name="MO_KPI_Subscribers_EoP">Model!$9:$9</definedName>
    <definedName name="MO_KPI_Subscribers_LATAM">Model!$100:$100</definedName>
    <definedName name="MO_KPI_Subscribers_US">Model!$52:$52</definedName>
    <definedName name="MO_Liabilities_Current_Percentage">Model!$945:$945</definedName>
    <definedName name="MO_MA_COGS">Model!$394:$394</definedName>
    <definedName name="MO_MA_DA">Model!$409:$409</definedName>
    <definedName name="MO_MA_EBIT">Model!$404:$404</definedName>
    <definedName name="MO_MA_EBIT_Adj">Model!$406:$406</definedName>
    <definedName name="MO_MA_EBITDA">Model!$411:$411</definedName>
    <definedName name="MO_MA_EBITDA_Adj">Model!$412:$412</definedName>
    <definedName name="MO_MA_GA">Model!$403:$403</definedName>
    <definedName name="MO_MA_GM">Model!$395:$395</definedName>
    <definedName name="MO_MA_RD">Model!$398:$398</definedName>
    <definedName name="MO_MA_SBC">Model!$410:$410</definedName>
    <definedName name="MO_MA_SGA">Model!$403:$403</definedName>
    <definedName name="MO_MA_SM">Model!$402:$402</definedName>
    <definedName name="MO_OL_Assets_Additions">Model!$933:$933</definedName>
    <definedName name="MO_OL_Assets_BoP">Model!$931:$931</definedName>
    <definedName name="MO_OL_Assets_D_Life">Model!$938:$938</definedName>
    <definedName name="MO_OL_Assets_D_Percentage">Model!$937:$937</definedName>
    <definedName name="MO_OL_Assets_Depreciation">Model!$932:$932</definedName>
    <definedName name="MO_OL_Assets_EoP">Model!$935:$935</definedName>
    <definedName name="MO_OL_Assets_Other">Model!$934:$934</definedName>
    <definedName name="MO_OL_CapitalRepayment">Model!$950:$950</definedName>
    <definedName name="MO_OL_CashPayments_Change_Q">Model!$954:$954</definedName>
    <definedName name="MO_OL_CashPayments_Change_Y">Model!$955:$955</definedName>
    <definedName name="MO_OL_CashPayments_Monthly">Model!$953:$953</definedName>
    <definedName name="MO_OL_Depreciation">Model!$958:$958</definedName>
    <definedName name="MO_OL_InterestPaid">Model!$949:$949</definedName>
    <definedName name="MO_OL_InterestRate">Model!$947:$947</definedName>
    <definedName name="MO_OL_LeaseExpense">Model!$959:$959</definedName>
    <definedName name="MO_OL_LeasePayment">Model!$951:$951</definedName>
    <definedName name="MO_OL_Liabilities_Additions">Model!$941:$941</definedName>
    <definedName name="MO_OL_Liabilities_BoP">Model!$940:$940</definedName>
    <definedName name="MO_OL_Liabilities_CapitalRepayment">Model!$942:$942</definedName>
    <definedName name="MO_OL_Liabilities_EoP">Model!$944:$944</definedName>
    <definedName name="MO_OL_Liabilities_Other">Model!$943:$943</definedName>
    <definedName name="MO_OS_ARPU_APAC">Model!$128:$128</definedName>
    <definedName name="MO_OS_ARPU_Calc">Model!$16:$16</definedName>
    <definedName name="MO_OS_ARPU_EMEA">Model!$88:$88</definedName>
    <definedName name="MO_OS_ARPU_LATAM">Model!$108:$108</definedName>
    <definedName name="MO_OS_ARPU_Subscription_Calc">Model!$16:$16</definedName>
    <definedName name="MO_OS_ARPU_US">Model!$64:$64</definedName>
    <definedName name="MO_OS_Content_Amortization">Model!$254:$254</definedName>
    <definedName name="MO_OS_ContentAssets_Life">Model!$250:$250</definedName>
    <definedName name="MO_OS_EmployeeCount">'Supplemental Data'!$23:$23</definedName>
    <definedName name="MO_OS_REV_Platform">Model!$192:$192</definedName>
    <definedName name="MO_OS_REV_Platform_Subscription">Model!$192:$192</definedName>
    <definedName name="MO_OS_REV_Subscription">Model!$192:$192</definedName>
    <definedName name="MO_OS_Subscribers_APAC">Model!$120:$120</definedName>
    <definedName name="MO_OS_Subscribers_EMEA">Model!$80:$80</definedName>
    <definedName name="MO_OS_Subscribers_EoP">Model!$9:$9</definedName>
    <definedName name="MO_OS_Subscribers_LATAM">Model!$100:$100</definedName>
    <definedName name="MO_OS_Subscribers_US">Model!$52:$52</definedName>
    <definedName name="MO_RIS_Adjustments_Dilution_GAAP">Model!$496:$496</definedName>
    <definedName name="MO_RIS_Adjustments_Dilution_NONGAAP">Model!$499:$499</definedName>
    <definedName name="MO_RIS_Adjustments_NONGAAP">Model!$498:$498</definedName>
    <definedName name="MO_RIS_COGS">Model!$466:$466</definedName>
    <definedName name="MO_RIS_DA">Model!$477:$477</definedName>
    <definedName name="MO_RIS_DAintangibles">Model!$211:$211</definedName>
    <definedName name="MO_RIS_DisCont">Model!$492:$492</definedName>
    <definedName name="MO_RIS_Dividend_Prefs">Model!$494:$494</definedName>
    <definedName name="MO_RIS_EBIT">Model!$472:$472</definedName>
    <definedName name="MO_RIS_EBIT_Adj">Model!$474:$474</definedName>
    <definedName name="MO_RIS_EBITDA">Model!$479:$479</definedName>
    <definedName name="MO_RIS_EBITDA_Adj">Model!$480:$480</definedName>
    <definedName name="MO_RIS_EBT">Model!$487:$487</definedName>
    <definedName name="MO_RIS_EPS_Company2917">Model!$505:$505</definedName>
    <definedName name="MO_RIS_EPS_WAD">Model!$506:$506</definedName>
    <definedName name="MO_RIS_EPS_WAD_Adj">Model!$507:$507</definedName>
    <definedName name="MO_RIS_GA">Model!$471:$471</definedName>
    <definedName name="MO_RIS_GP">Model!$467:$467</definedName>
    <definedName name="MO_RIS_IE">Model!$483:$483</definedName>
    <definedName name="MO_RIS_II">Model!$484:$484</definedName>
    <definedName name="MO_RIS_NCI">Model!$493:$493</definedName>
    <definedName name="MO_RIS_NI_ContinOp">Model!$491:$491</definedName>
    <definedName name="MO_RIS_NI_GAAP_Basic">Model!$495:$495</definedName>
    <definedName name="MO_RIS_NI_GAAP_Diluted">Model!$497:$497</definedName>
    <definedName name="MO_RIS_NI_NONGAAP_Diluted">Model!$500:$500</definedName>
    <definedName name="MO_RIS_OI">Model!$485:$485</definedName>
    <definedName name="MO_RIS_OTI">Model!$486:$486</definedName>
    <definedName name="MO_RIS_RD">Model!$469:$469</definedName>
    <definedName name="MO_RIS_REV">Model!$462:$462</definedName>
    <definedName name="MO_RIS_SBC">Model!$478:$478</definedName>
    <definedName name="MO_RIS_ShareCount_Company2917">Model!$510:$510</definedName>
    <definedName name="MO_RIS_ShareCount_WAD">Model!$511:$511</definedName>
    <definedName name="MO_RIS_ShareCount_WAD_Adj">Model!$512:$512</definedName>
    <definedName name="MO_RIS_SM">Model!$470:$470</definedName>
    <definedName name="MO_RIS_Tax_Current">Model!$489:$489</definedName>
    <definedName name="MO_RIS_Tax_Deferred">Model!$490:$490</definedName>
    <definedName name="MO_RIS_TaxRate_Current">Model!$502:$502</definedName>
    <definedName name="MO_RIS_TaxRate_Deferred">Model!$503:$503</definedName>
    <definedName name="MO_SCA_Date_CoverPage">Model!$567:$567</definedName>
    <definedName name="MO_SCA_Date_LastWorkingDay">Model!$515:$515</definedName>
    <definedName name="MO_SCA_Ratio_DilutedOverBasic">Model!$527:$527</definedName>
    <definedName name="MO_SCA_Repurchase_DollarValue">Model!$584:$584</definedName>
    <definedName name="MO_SCA_Repurchase_Program_Remaining">Model!$589:$589</definedName>
    <definedName name="MO_SCA_Repurchase_Reported_Price">Model!$579:$579</definedName>
    <definedName name="MO_SCA_Repurchase_Reported_Shares_Total">Model!$574:$574</definedName>
    <definedName name="MO_SCA_ShareCount_CoverPage">Model!$566:$566</definedName>
    <definedName name="MO_SCA_ShareCount_CoverPage_Class1">Model!$566:$566</definedName>
    <definedName name="MO_SCA_ShareCount_CoverPage_Dilutive">Model!$569:$569</definedName>
    <definedName name="MO_SCA_ShareCount_CoverPage_Ticker1">Model!$566:$566</definedName>
    <definedName name="MO_SCA_ShareCount_DilutiveShares">Model!$526:$526</definedName>
    <definedName name="MO_SCA_ShareCount_EoP">Model!$518:$518</definedName>
    <definedName name="MO_SCA_ShareCount_EoP_Class1">Model!$518:$518</definedName>
    <definedName name="MO_SCA_ShareCount_EoP_Diluted">Model!$529:$529</definedName>
    <definedName name="MO_SCA_ShareCount_EoP_Growth_Dilutive_QoQ">Model!$519:$519</definedName>
    <definedName name="MO_SCA_ShareCount_EoP_Growth_Dilutive_YoY">Model!$520:$520</definedName>
    <definedName name="MO_SCA_ShareCount_EoP_Growth_NetIssuance_QoQ">Model!$521:$521</definedName>
    <definedName name="MO_SCA_ShareCount_EoP_Growth_NetIssuance_YoY">Model!$522:$522</definedName>
    <definedName name="MO_SCA_ShareCount_EoP_Growth_QoQ">Model!$523:$523</definedName>
    <definedName name="MO_SCA_ShareCount_EoP_Growth_YoY">Model!$524:$524</definedName>
    <definedName name="MO_SCA_ShareCount_EoP_Ticker1">Model!$518:$518</definedName>
    <definedName name="MO_SCA_ShareCount_FullyDiluted">Model!$564:$564</definedName>
    <definedName name="MO_SCA_ShareCount_PotentialDilution">Model!$562:$562</definedName>
    <definedName name="MO_SCA_StockOptions_BoP">Model!$537:$537</definedName>
    <definedName name="MO_SCA_StockOptions_Canceled">Model!$540:$540</definedName>
    <definedName name="MO_SCA_StockOptions_Cumulative_BoP">Model!$531:$531</definedName>
    <definedName name="MO_SCA_StockOptions_Cumulative_Canceled">Model!$534:$534</definedName>
    <definedName name="MO_SCA_StockOptions_Cumulative_EoP">Model!$535:$535</definedName>
    <definedName name="MO_SCA_StockOptions_Cumulative_Exercised">Model!$533:$533</definedName>
    <definedName name="MO_SCA_StockOptions_Cumulative_Granted">Model!$532:$532</definedName>
    <definedName name="MO_SCA_StockOptions_Dilution">Model!$554:$554</definedName>
    <definedName name="MO_SCA_StockOptions_EoP">Model!$541:$541</definedName>
    <definedName name="MO_SCA_StockOptions_Exercisable">Model!$556:$556</definedName>
    <definedName name="MO_SCA_StockOptions_Exercised">Model!$539:$539</definedName>
    <definedName name="MO_SCA_StockOptions_Granted">Model!$538:$538</definedName>
    <definedName name="MO_SCA_StockOptions_Price_BoP">Model!$549:$549</definedName>
    <definedName name="MO_SCA_StockOptions_Price_Canceled">Model!$552:$552</definedName>
    <definedName name="MO_SCA_StockOptions_Price_Cumulative_BoP">Model!$543:$543</definedName>
    <definedName name="MO_SCA_StockOptions_Price_Cumulative_Canceled">Model!$546:$546</definedName>
    <definedName name="MO_SCA_StockOptions_Price_Cumulative_EoP">Model!$547:$547</definedName>
    <definedName name="MO_SCA_StockOptions_Price_Cumulative_Exercised">Model!$545:$545</definedName>
    <definedName name="MO_SCA_StockOptions_Price_Cumulative_Granted">Model!$544:$544</definedName>
    <definedName name="MO_SCA_StockOptions_Price_EoP">Model!$553:$553</definedName>
    <definedName name="MO_SCA_StockOptions_Price_Exercisable">Model!$557:$557</definedName>
    <definedName name="MO_SCA_StockOptions_Price_Exercised">Model!$551:$551</definedName>
    <definedName name="MO_SCA_StockOptions_Price_Granted">Model!$550:$550</definedName>
    <definedName name="MO_SCA_StockPrice_EoP">Model!$516:$516</definedName>
    <definedName name="MO_Section_AdjustedNumbers">Model!$435:$435</definedName>
    <definedName name="MO_Section_BalanceSheet">Model!$1196:$1196</definedName>
    <definedName name="MO_Section_BalanceSheetSummary">Model!$749:$749</definedName>
    <definedName name="MO_Section_BoardDiversity">'Exec Comp'!$1735:$1735</definedName>
    <definedName name="MO_Section_CashFlowStatement">Model!$1097:$1097</definedName>
    <definedName name="MO_Section_CashFlowSummary">Model!$719:$719</definedName>
    <definedName name="MO_Section_CompanyFinancialGoals">'Exec Comp'!$1787:$1787</definedName>
    <definedName name="MO_Section_ConsolidatedSummary">Model!$6:$6</definedName>
    <definedName name="MO_Section_ConsolidatedSummarySection">Model!$6:$6</definedName>
    <definedName name="MO_Section_CreditSummary">Model!$768:$768</definedName>
    <definedName name="MO_Section_CumulativeCashFlowStatement">Model!$1030:$1030</definedName>
    <definedName name="MO_Section_DAForecasting">Model!$1166:$1166</definedName>
    <definedName name="MO_Section_DebtBreakdown">Model!$809:$809</definedName>
    <definedName name="MO_Section_DirectorCompensation">'Exec Comp'!$1743:$1743</definedName>
    <definedName name="MO_Section_EbitGuidanceAnalysis">Model!$646:$646</definedName>
    <definedName name="MO_Section_ExecutiveCompensation">'Exec Comp'!$6:$6</definedName>
    <definedName name="MO_Section_GuidanceAnalysis">Model!$591:$591</definedName>
    <definedName name="MO_Section_IncomeStatement">Model!$415:$415</definedName>
    <definedName name="MO_Section_KeyMetricsContentAssetsBreakdownFS">'Supplemental Data'!$82:$82</definedName>
    <definedName name="MO_Section_KeyMetricsContentObligationsFS">'Supplemental Data'!$6:$6</definedName>
    <definedName name="MO_Section_KeyMetricsForeignCurrencyAdjustedMetricsPR">Model!$258:$258</definedName>
    <definedName name="MO_Section_KeyMetricsHeadcountFS">'Supplemental Data'!$18:$18</definedName>
    <definedName name="MO_Section_KeyMetricsShareofUSTVTimePR">Model!$327:$327</definedName>
    <definedName name="MO_Section_KeyMetricsYYCostGranularityFS">Model!$346:$346</definedName>
    <definedName name="MO_Section_LastRow">Model!$1420:$1420</definedName>
    <definedName name="MO_Section_MarginAnalysis">Model!$390:$390</definedName>
    <definedName name="MO_Section_ModelChecks">Model!$1258:$1258</definedName>
    <definedName name="MO_Section_OperatingExpenseForecasting">Model!$208:$208</definedName>
    <definedName name="MO_Section_OperatingLeases">Model!$930:$930</definedName>
    <definedName name="MO_Section_OperatingStatsContentLibraryAmortizationSchedule">Model!$243:$243</definedName>
    <definedName name="MO_Section_OperatingStatsMembershipsMDA">'Supplemental Data'!$55:$55</definedName>
    <definedName name="MO_Section_OtherAlignmentDataPoints">'Exec Comp'!$1783:$1783</definedName>
    <definedName name="MO_Section_Ratios">Model!$961:$961</definedName>
    <definedName name="MO_Section_RevenueGuidanceAnalysis">Model!$592:$592</definedName>
    <definedName name="MO_Section_RevisedIncomeStatement">Model!$461:$461</definedName>
    <definedName name="MO_Section_SegmentedResultsAsiaPacificStreamingFS">Model!$117:$117</definedName>
    <definedName name="MO_Section_SegmentedResultsCostsBreakdownFS">'Supplemental Data'!$34:$34</definedName>
    <definedName name="MO_Section_SegmentedResultsEMEAStreamingFS">Model!$77:$77</definedName>
    <definedName name="MO_Section_SegmentedResultsLatinAmericaStreamingFS">Model!$97:$97</definedName>
    <definedName name="MO_Section_SegmentedResultsRevenueBreakdownFS">'Supplemental Data'!$25:$25</definedName>
    <definedName name="MO_Section_SegmentedResultsUnitedStatesDVDFS">Model!$137:$137</definedName>
    <definedName name="MO_Section_SegmentedResultsUSandCanadaStreamingFS">Model!$40:$40</definedName>
    <definedName name="MO_Section_SegmentSummary">Model!$142:$142</definedName>
    <definedName name="MO_Section_ShareCountAnalysis">Model!$514:$514</definedName>
    <definedName name="MO_Section_Source">'Supplemental Data'!$91:$91</definedName>
    <definedName name="MO_Section_Source_1">'Exec Comp'!$1800:$1800</definedName>
    <definedName name="MO_Section_Tables">Model!$1283:$1283</definedName>
    <definedName name="MO_Section_Valuation">Model!$1006:$1006</definedName>
    <definedName name="MO_Section_WorkingCapitalForecasting">Model!$1187:$1187</definedName>
    <definedName name="MO_SNA_ConsensusEstimatePeriodNumber">Model!$1356:$1356</definedName>
    <definedName name="MO_SNA_ConsensusEstimatePeriodType">Model!$1355:$1355</definedName>
    <definedName name="MO_SNA_FPStartDate">Model!$1367:$1367</definedName>
    <definedName name="MO_SNA_Guidance_ApplicablePeriod_FY">Model!$1339:$1339</definedName>
    <definedName name="MO_SNA_Guidance_ApplicablePeriod_Q">Model!$1321:$1321</definedName>
    <definedName name="MO_SNA_Guidance_IsLatest_FY">Model!$1338:$1338</definedName>
    <definedName name="MO_SNA_Guidance_ReportDate_FY">Model!$1337:$1337</definedName>
    <definedName name="MO_SNA_Guidance_ReportDate_Q">Model!$1320:$1320</definedName>
    <definedName name="MO_SNA_IsHistoricalPeriod">Model!$1368:$1368</definedName>
    <definedName name="MO_SNA_LastDataRow">Model!$1254:$1254</definedName>
    <definedName name="MO_SPT_FXAverage">Model!$1390:$1390</definedName>
    <definedName name="MO_SPT_FXAverage_Sources">Model!$1391:$1395</definedName>
    <definedName name="MO_SPT_FXAverage_Sources_Bloomberg">Model!$1392:$1392</definedName>
    <definedName name="MO_SPT_FXAverage_Sources_CapIQ">Model!$1393:$1393</definedName>
    <definedName name="MO_SPT_FXAverage_Sources_FactSet">Model!$1394:$1394</definedName>
    <definedName name="MO_SPT_FXAverage_Sources_RealTimeOff">Model!$1391:$1391</definedName>
    <definedName name="MO_SPT_FXAverage_Sources_Thomson">Model!$1395:$1395</definedName>
    <definedName name="MO_SPT_FXEoP">Model!$1399:$1399</definedName>
    <definedName name="MO_SPT_StockAverage">Model!$1383:$1383</definedName>
    <definedName name="MO_SPT_StockAverage_Sources">Model!$1384:$1388</definedName>
    <definedName name="MO_SPT_StockAverage_Sources_Bloomberg">Model!$1385:$1385</definedName>
    <definedName name="MO_SPT_StockAverage_Sources_CapIQ">Model!$1386:$1386</definedName>
    <definedName name="MO_SPT_StockAverage_Sources_FactSet">Model!$1387:$1387</definedName>
    <definedName name="MO_SPT_StockAverage_Sources_RealTimeOff">Model!$1384:$1384</definedName>
    <definedName name="MO_SPT_StockAverage_Sources_Thomson">Model!$1388:$1388</definedName>
    <definedName name="MO_SPT_StockEoP">Model!$1398:$1398</definedName>
    <definedName name="MO_SPT_StockHigh">Model!$1369:$1369</definedName>
    <definedName name="MO_SPT_StockHigh_Sources">Model!$1370:$1374</definedName>
    <definedName name="MO_SPT_StockHigh_Sources_Bloomberg">Model!$1371:$1371</definedName>
    <definedName name="MO_SPT_StockHigh_Sources_CapIQ">Model!$1372:$1372</definedName>
    <definedName name="MO_SPT_StockHigh_Sources_FactSet">Model!$1373:$1373</definedName>
    <definedName name="MO_SPT_StockHigh_Sources_RealTimeOff">Model!$1370:$1370</definedName>
    <definedName name="MO_SPT_StockHigh_Sources_Thomson">Model!$1374:$1374</definedName>
    <definedName name="MO_SPT_StockLow">Model!$1376:$1376</definedName>
    <definedName name="MO_SPT_StockLow_Sources">Model!$1377:$1381</definedName>
    <definedName name="MO_SPT_StockLow_Sources_Bloomberg">Model!$1378:$1378</definedName>
    <definedName name="MO_SPT_StockLow_Sources_CapIQ">Model!$1379:$1379</definedName>
    <definedName name="MO_SPT_StockLow_Sources_FactSet">Model!$1380:$1380</definedName>
    <definedName name="MO_SPT_StockLow_Sources_RealTimeOff">Model!$1377:$1377</definedName>
    <definedName name="MO_SPT_StockLow_Sources_Thomson">Model!$1381:$1381</definedName>
    <definedName name="MO_SR_Geo_Americas">Model!$195:$195</definedName>
    <definedName name="MO_SR_Geo_APAC">Model!$191:$191</definedName>
    <definedName name="MO_SR_Geo_EMEA">Model!$189:$189</definedName>
    <definedName name="MO_SR_Geo_LATAM">Model!$190:$190</definedName>
    <definedName name="MO_SR_Geo_US">Model!$188:$188</definedName>
    <definedName name="MO_SubSection_BS_CA">Model!$1197:$1197</definedName>
    <definedName name="MO_SubSection_BS_CL">Model!$1225:$1225</definedName>
    <definedName name="MO_SubSection_BS_NCA">Model!$1209:$1209</definedName>
    <definedName name="MO_SubSection_BS_NCL">Model!$1236:$1236</definedName>
    <definedName name="MO_SubSection_BS_SE">Model!$1246:$1246</definedName>
    <definedName name="MO_SubSection_CCFS_CFF">Model!$1070:$1070</definedName>
    <definedName name="MO_SubSection_CCFS_CFI">Model!$1056:$1056</definedName>
    <definedName name="MO_SubSection_CCFS_CFO">Model!$1031:$1031</definedName>
    <definedName name="MO_SubSection_CFS_CFF">Model!$1137:$1137</definedName>
    <definedName name="MO_SubSection_CFS_CFI">Model!$1123:$1123</definedName>
    <definedName name="MO_SubSection_CFS_CFO">Model!$1098:$1098</definedName>
    <definedName name="MO_VA_EV">Model!$1009:$1009</definedName>
    <definedName name="MO_VA_EV_ToEBITDA">Model!$1012:$1012</definedName>
    <definedName name="MO_VA_EVCalc_NCI">Model!$1026:$1026</definedName>
    <definedName name="MO_VA_EVCalc_Other">Model!$1028:$1028</definedName>
    <definedName name="MO_VA_EVCalc_Prefs">Model!$1027:$1027</definedName>
    <definedName name="MO_VA_FCFYield_ToEV">Model!$1015:$1015</definedName>
    <definedName name="MO_VA_FCFYield_ToMktCap">Model!$1014:$1014</definedName>
    <definedName name="MO_VA_FX_Average">Model!$1021:$1021</definedName>
    <definedName name="MO_VA_FX_EoP">Model!$1022:$1022</definedName>
    <definedName name="MO_VA_MarketCap">Model!$1008:$1008</definedName>
    <definedName name="MO_VA_P_ToCF">Model!$1013:$1013</definedName>
    <definedName name="MO_VA_P_ToE">Model!$1011:$1011</definedName>
    <definedName name="MO_VA_StockPrice">Model!$1007:$1007</definedName>
    <definedName name="MO_VA_StockPrice_Avg">Model!$1019:$1019</definedName>
    <definedName name="MO_VA_StockPrice_EoP">Model!$1020:$1020</definedName>
    <definedName name="MO_VA_StockPrice_High">Model!$1017:$1017</definedName>
    <definedName name="MO_VA_StockPrice_Low">Model!$1018:$1018</definedName>
    <definedName name="MO_VA_StockPrice_TradingCurrency">Model!$1023:$1023</definedName>
    <definedName name="MX_MO_GA_TotalStreamingARPUGrowth">Model!$19:$19</definedName>
    <definedName name="MX_MO_OS_domesticpaideopstreamingmemberships">'Supplemental Data'!$58:$58</definedName>
    <definedName name="MX_MO_OS_domesticstreamingnetcontribution">'Supplemental Data'!$45:$45</definedName>
    <definedName name="MX_MO_OS_DomesticStreamingNetContributionmargin">'Supplemental Data'!$50:$50</definedName>
    <definedName name="MX_MO_OS_domesticstreamingrevenue">'Supplemental Data'!$26:$26</definedName>
    <definedName name="MX_MO_OS_internationalpaideopstreamingmemberships">'Supplemental Data'!$63:$63</definedName>
    <definedName name="MX_MO_OS_internationalstreamingnetcontribution">'Supplemental Data'!$46:$46</definedName>
    <definedName name="MX_MO_OS_InternationalStreamingNetContributionmargin">'Supplemental Data'!$51:$51</definedName>
    <definedName name="MX_MO_OS_internationalstreamingrevenue">'Supplemental Data'!$28:$28</definedName>
    <definedName name="MX_MO_OS_netdomesticpaidstreamingmembershipschange">'Supplemental Data'!$57:$57</definedName>
    <definedName name="MX_MO_OS_netinternationalpaidstreamingmembershipschange">'Supplemental Data'!$62:$62</definedName>
    <definedName name="MX_MO_OS_TotalEOPpaidstreamingmemberships">Model!$150:$150</definedName>
    <definedName name="MX_MO_OS_Totalpaidstreamingmembershipsnetadditions">Model!$167:$167</definedName>
    <definedName name="MX_MO_OS_TotalPaidStreamingMembershipsNetAdditions_1">Model!$8:$8</definedName>
    <definedName name="MX_MO_OS_YYGlobalstreamingconstantcurrencyARPUgrowth">Model!$18:$18</definedName>
    <definedName name="_xlnm.Print_Area" localSheetId="0">Model!$A$1:$CF$1254</definedName>
    <definedName name="_xlnm.Print_Area" localSheetId="4">'Summary Page'!$A$1:$CF$131</definedName>
    <definedName name="_xlnm.Print_Titles" localSheetId="0">Model!$5:$5</definedName>
    <definedName name="SP.ReportFX">'Summary Page'!$B$2</definedName>
    <definedName name="SP.ValuationToggle">'Summary Page'!$B$4</definedName>
    <definedName name="SP_BSR_Capital">'Summary Page'!$93:$93</definedName>
    <definedName name="SP_BSR_CashFlow">'Summary Page'!$92:$92</definedName>
    <definedName name="SP_BSR_CashFlow_LTM">'Summary Page'!$95:$95</definedName>
    <definedName name="SP_BSR_CL">'Summary Page'!$114:$114</definedName>
    <definedName name="SP_BSR_CL_Avg">'Summary Page'!$115:$115</definedName>
    <definedName name="SP_BSR_Debt">'Summary Page'!$108:$108</definedName>
    <definedName name="SP_BSR_Debt_Avg">'Summary Page'!$109:$109</definedName>
    <definedName name="SP_BSR_EBITDA">'Summary Page'!$91:$91</definedName>
    <definedName name="SP_BSR_EBITDA_LTM">'Summary Page'!$94:$94</definedName>
    <definedName name="SP_BSR_SE">'Summary Page'!$100:$100</definedName>
    <definedName name="SP_BSR_SE_Avg">'Summary Page'!$101:$101</definedName>
    <definedName name="SP_BSR_TA">'Summary Page'!$105:$105</definedName>
    <definedName name="SP_BSR_TA_Avg">'Summary Page'!$106:$106</definedName>
    <definedName name="SP_CFA_Acquisition">'Summary Page'!$77:$77</definedName>
    <definedName name="SP_CFA_Capex">'Summary Page'!$73:$73</definedName>
    <definedName name="SP_CFA_CFO">'Summary Page'!$72:$72</definedName>
    <definedName name="SP_CFA_CFO_BeforeWC">'Summary Page'!$70:$70</definedName>
    <definedName name="SP_CFA_CFO_PerShare">'Summary Page'!$84:$84</definedName>
    <definedName name="SP_CFA_Debt">'Summary Page'!$80:$80</definedName>
    <definedName name="SP_CFA_Div">'Summary Page'!$75:$75</definedName>
    <definedName name="SP_CFA_Div_PerShare">'Summary Page'!$86:$86</definedName>
    <definedName name="SP_CFA_Divestiture">'Summary Page'!$78:$78</definedName>
    <definedName name="SP_CFA_Equity">'Summary Page'!$79:$79</definedName>
    <definedName name="SP_CFA_FCF_PerShare">'Summary Page'!$85:$85</definedName>
    <definedName name="SP_CFA_FCF_PostDiv">'Summary Page'!$76:$76</definedName>
    <definedName name="SP_CFA_FCF_PreDiv">'Summary Page'!$74:$74</definedName>
    <definedName name="SP_CFA_NetChange">'Summary Page'!$82:$82</definedName>
    <definedName name="SP_CFA_Other">'Summary Page'!$81:$81</definedName>
    <definedName name="SP_CFA_Payout_vsEPS">'Summary Page'!$88:$88</definedName>
    <definedName name="SP_CFA_Payout_vsFCF">'Summary Page'!$87:$87</definedName>
    <definedName name="SP_CFA_WC">'Summary Page'!$71:$71</definedName>
    <definedName name="SP_Checks_SummaryPage">'Summary Page'!$C$134:$XFD$139</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Page'!$7:$7</definedName>
    <definedName name="SP_CS_Debt">'Summary Page'!$8:$8</definedName>
    <definedName name="SP_CS_EV">'Summary Page'!$11:$11</definedName>
    <definedName name="SP_CS_EVCalc_Other">'Summary Page'!$10:$10</definedName>
    <definedName name="SP_CS_MarketCap">'Summary Page'!$6:$6</definedName>
    <definedName name="SP_CS_OL">'Summary Page'!$9:$9</definedName>
    <definedName name="SP_CS_ShareCount">'Summary Page'!$5:$5</definedName>
    <definedName name="SP_CS_ShareCount_EoP_Diluted">'Summary Page'!$5:$5</definedName>
    <definedName name="SP_CS_StockPrice">'Summary Page'!$4:$4</definedName>
    <definedName name="SP_GF_Adjustments_Dilution">'Summary Page'!$48:$48</definedName>
    <definedName name="SP_GF_COGS">'Summary Page'!$35:$35</definedName>
    <definedName name="SP_GF_DisCont">'Summary Page'!$44:$44</definedName>
    <definedName name="SP_GF_Div_Prefs">'Summary Page'!$46:$46</definedName>
    <definedName name="SP_GF_EBIT">'Summary Page'!$39:$39</definedName>
    <definedName name="SP_GF_EBT">'Summary Page'!$42:$42</definedName>
    <definedName name="SP_GF_EPS_WAD">'Summary Page'!$50:$50</definedName>
    <definedName name="SP_GF_GA">'Summary Page'!$37:$37</definedName>
    <definedName name="SP_GF_IE">'Summary Page'!$40:$40</definedName>
    <definedName name="SP_GF_IE_Net">'Summary Page'!$40:$40</definedName>
    <definedName name="SP_GF_NCI">'Summary Page'!$45:$45</definedName>
    <definedName name="SP_GF_NI">'Summary Page'!$47:$47</definedName>
    <definedName name="SP_GF_NI_Diluted">'Summary Page'!$49:$49</definedName>
    <definedName name="SP_GF_OI">'Summary Page'!$41:$41</definedName>
    <definedName name="SP_GF_RD">'Summary Page'!$38:$38</definedName>
    <definedName name="SP_GF_Rev">'Summary Page'!$34:$34</definedName>
    <definedName name="SP_GF_ShareCount">'Summary Page'!$51:$51</definedName>
    <definedName name="SP_GF_SM">'Summary Page'!$36:$36</definedName>
    <definedName name="SP_GF_Tax">'Summary Page'!$43:$43</definedName>
    <definedName name="SP_MA_COGS">'Summary Page'!$60:$60</definedName>
    <definedName name="SP_MA_EBIT">'Summary Page'!$64:$64</definedName>
    <definedName name="SP_MA_EBIT_Adj">'Summary Page'!$65:$65</definedName>
    <definedName name="SP_MA_EBITDA">'Summary Page'!$66:$66</definedName>
    <definedName name="SP_MA_EBITDA_Adj">'Summary Page'!$67:$67</definedName>
    <definedName name="SP_MA_GA">'Summary Page'!$62:$62</definedName>
    <definedName name="SP_MA_RD">'Summary Page'!$63:$63</definedName>
    <definedName name="SP_MA_SM">'Summary Page'!$61:$61</definedName>
    <definedName name="SP_Company1876_EBIT">'Summary Page'!$55:$55</definedName>
    <definedName name="SP_Company1876_EBITDA">'Summary Page'!$54:$54</definedName>
    <definedName name="SP_Company1876_EPS">'Summary Page'!$57:$57</definedName>
    <definedName name="SP_Company1876_NI">'Summary Page'!$56:$56</definedName>
    <definedName name="SP_PR_ROA">'Summary Page'!$107:$107</definedName>
    <definedName name="SP_PR_ROCE">'Summary Page'!$117:$117</definedName>
    <definedName name="SP_PR_ROE">'Summary Page'!$102:$102</definedName>
    <definedName name="SP_PR_ROIC">'Summary Page'!$111:$111</definedName>
    <definedName name="SP_Company2123_CFO">'Summary Page'!$123:$123</definedName>
    <definedName name="SP_Section_BalanceSheetRatios">'Summary Page'!$90:$90</definedName>
    <definedName name="SP_Section_CapitalizationSummary">'Summary Page'!$3:$3</definedName>
    <definedName name="SP_Section_CashFlowAnalysis">'Summary Page'!$69:$69</definedName>
    <definedName name="SP_Section_Checks">'Summary Page'!$133:$133</definedName>
    <definedName name="SP_Section_GAAPFinancials">'Summary Page'!$33:$33</definedName>
    <definedName name="SP_Section_LastRow">'Summary Page'!$141:$141</definedName>
    <definedName name="SP_Section_MarginAnalysis">'Summary Page'!$59:$59</definedName>
    <definedName name="SP_Section_PerShareGrowthMetrics">'Summary Page'!$119:$119</definedName>
    <definedName name="SP_Section_ProfitabilityRatios">'Summary Page'!$97:$97</definedName>
    <definedName name="tb_ConsensusEstimate">Model!$A$1354:$CF$1364</definedName>
    <definedName name="tb_EntireModel">Model!$A$1:$CF$1256</definedName>
    <definedName name="tb_Guidance_FY">Model!$A$1336:$CF$1352</definedName>
    <definedName name="tb_Guidance_Q">Model!$A$1319:$CF$1334</definedName>
    <definedName name="tb_KeyOutputs">Model!$A$1298:$A$1305</definedName>
    <definedName name="tb_KPIs">Model!$A$1307:$A$1317</definedName>
    <definedName name="tb_StockPrice">Model!$A$1366:$CF$1396</definedName>
    <definedName name="tb_Tickers">Model!$A$1285:$A$1290</definedName>
    <definedName name="tb_ValuationToggle">Model!$A$1292:$B$1296</definedName>
    <definedName name="WS.HasWorkingRange" localSheetId="1">"TRUE"</definedName>
    <definedName name="WS.HasWorkingRange" localSheetId="2">"TRUE"</definedName>
    <definedName name="WS.WorkingRangeType" localSheetId="1">"Standard"</definedName>
    <definedName name="WS.WorkingRangeType" localSheetId="2">"Standard"</definedName>
    <definedName name="WS.WorksheetType" localSheetId="1">"Supplemental"</definedName>
    <definedName name="WS.WorksheetType" localSheetId="2">"Supplemental"</definedName>
    <definedName name="WS_ColumnHeader" localSheetId="1">'Exec Comp'!$5:$5</definedName>
    <definedName name="WS_ColumnHeader" localSheetId="2">'Supplemental Data'!$5:$5</definedName>
    <definedName name="WS_LastRow" localSheetId="1">'Exec Comp'!$1800:$1800</definedName>
    <definedName name="WS_LastRow" localSheetId="2">'Supplemental Data'!$91:$91</definedName>
    <definedName name="WS_PeriodMetadata_FPDays" localSheetId="1">'Exec Comp'!$3:$3</definedName>
    <definedName name="WS_PeriodMetadata_FPDays" localSheetId="2">'Supplemental Data'!$3:$3</definedName>
    <definedName name="WS_PeriodMetadata_PAnnotation" localSheetId="1">'Exec Comp'!$2:$2</definedName>
    <definedName name="WS_PeriodMetadata_PAnnotation" localSheetId="2">'Supplemental Data'!$2:$2</definedName>
    <definedName name="WS_PeriodMetadata_PEndDate" localSheetId="1">'Exec Comp'!$4:$4</definedName>
    <definedName name="WS_PeriodMetadata_PEndDate" localSheetId="2">'Supplemental Data'!$4:$4</definedName>
    <definedName name="WS_RowTitle" localSheetId="1">'Exec Comp'!$A:$A</definedName>
    <definedName name="WS_RowTitle" localSheetId="2">'Supplemental Data'!$A:$A</definedName>
    <definedName name="WS_WorkingRange_FirstColumn" localSheetId="1">'Exec Comp'!$C:$C</definedName>
    <definedName name="WS_WorkingRange_FirstColumn" localSheetId="2">'Supplemental Data'!$C:$C</definedName>
    <definedName name="WS_WorkingRange_FirstRow" localSheetId="1">'Exec Comp'!$6:$6</definedName>
    <definedName name="WS_WorkingRange_FirstRow" localSheetId="2">'Supplemental Data'!$6:$6</definedName>
    <definedName name="WS_WorkingRange_LastColumn" localSheetId="1">'Exec Comp'!$CF:$CF</definedName>
    <definedName name="WS_WorkingRange_LastColumn" localSheetId="2">'Supplemental Data'!$CF:$CF</definedName>
    <definedName name="WS_WorkingRange_LastRow" localSheetId="1">'Exec Comp'!$1800:$1800</definedName>
    <definedName name="WS_WorkingRange_LastRow" localSheetId="2">'Supplemental Data'!$91:$91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0" l="1"/>
  <c r="B1" i="10"/>
  <c r="A131" i="9"/>
  <c r="A130" i="9"/>
  <c r="A129" i="9"/>
  <c r="A128" i="9"/>
  <c r="A127" i="9"/>
  <c r="I116" i="9"/>
  <c r="H116" i="9"/>
  <c r="G116" i="9"/>
  <c r="I110" i="9"/>
  <c r="H110" i="9"/>
  <c r="G110" i="9"/>
  <c r="CF86" i="9"/>
  <c r="CE86" i="9"/>
  <c r="CD86" i="9"/>
  <c r="CB86" i="9"/>
  <c r="CA86" i="9"/>
  <c r="BZ86" i="9"/>
  <c r="BY86" i="9"/>
  <c r="BW86" i="9"/>
  <c r="BV86" i="9"/>
  <c r="BU86" i="9"/>
  <c r="BT86" i="9"/>
  <c r="BR86" i="9"/>
  <c r="BQ86" i="9"/>
  <c r="BP86" i="9"/>
  <c r="BO86" i="9"/>
  <c r="BM86" i="9"/>
  <c r="BL86" i="9"/>
  <c r="BK86" i="9"/>
  <c r="BJ86" i="9"/>
  <c r="BH86" i="9"/>
  <c r="BG86" i="9"/>
  <c r="BF86" i="9"/>
  <c r="BE86" i="9"/>
  <c r="BC86" i="9"/>
  <c r="BB86" i="9"/>
  <c r="BA86" i="9"/>
  <c r="AZ86" i="9"/>
  <c r="AX86" i="9"/>
  <c r="AW86" i="9"/>
  <c r="AV86" i="9"/>
  <c r="AU86" i="9"/>
  <c r="AS86" i="9"/>
  <c r="AR86" i="9"/>
  <c r="AQ86" i="9"/>
  <c r="AP86" i="9"/>
  <c r="AN86" i="9"/>
  <c r="AM86" i="9"/>
  <c r="AL86" i="9"/>
  <c r="AK86" i="9"/>
  <c r="AI86" i="9"/>
  <c r="AH86" i="9"/>
  <c r="AG86" i="9"/>
  <c r="AF86" i="9"/>
  <c r="AD86" i="9"/>
  <c r="AC86" i="9"/>
  <c r="AB86" i="9"/>
  <c r="AA86" i="9"/>
  <c r="Y86" i="9"/>
  <c r="X86" i="9"/>
  <c r="W86" i="9"/>
  <c r="V86" i="9"/>
  <c r="T86" i="9"/>
  <c r="S86" i="9"/>
  <c r="R86" i="9"/>
  <c r="Q86" i="9"/>
  <c r="O86" i="9"/>
  <c r="N86" i="9"/>
  <c r="M86" i="9"/>
  <c r="L86" i="9"/>
  <c r="J86" i="9"/>
  <c r="I86" i="9"/>
  <c r="H86" i="9"/>
  <c r="G86" i="9"/>
  <c r="F86" i="9"/>
  <c r="E86" i="9"/>
  <c r="D86" i="9"/>
  <c r="C86" i="9"/>
  <c r="CF81" i="9"/>
  <c r="CE81" i="9"/>
  <c r="CD81" i="9"/>
  <c r="CB81" i="9"/>
  <c r="CA81" i="9"/>
  <c r="BZ81" i="9"/>
  <c r="BY81" i="9"/>
  <c r="BW81" i="9"/>
  <c r="BV81" i="9"/>
  <c r="BU81" i="9"/>
  <c r="CF79" i="9"/>
  <c r="CE79" i="9"/>
  <c r="CD79" i="9"/>
  <c r="CB79" i="9"/>
  <c r="CA79" i="9"/>
  <c r="BZ79" i="9"/>
  <c r="BY79" i="9"/>
  <c r="BW79" i="9"/>
  <c r="BV79" i="9"/>
  <c r="BU79" i="9"/>
  <c r="CF78" i="9"/>
  <c r="CE78" i="9"/>
  <c r="CD78" i="9"/>
  <c r="CB78" i="9"/>
  <c r="CA78" i="9"/>
  <c r="BZ78" i="9"/>
  <c r="BY78" i="9"/>
  <c r="BW78" i="9"/>
  <c r="BV78" i="9"/>
  <c r="BU78" i="9"/>
  <c r="A78" i="9"/>
  <c r="CF77" i="9"/>
  <c r="CE77" i="9"/>
  <c r="CD77" i="9"/>
  <c r="CB77" i="9"/>
  <c r="CA77" i="9"/>
  <c r="BZ77" i="9"/>
  <c r="BY77" i="9"/>
  <c r="BW77" i="9"/>
  <c r="BV77" i="9"/>
  <c r="BU77" i="9"/>
  <c r="A77" i="9"/>
  <c r="A75" i="9"/>
  <c r="CF73" i="9"/>
  <c r="CE73" i="9"/>
  <c r="CD73" i="9"/>
  <c r="CB73" i="9"/>
  <c r="CA73" i="9"/>
  <c r="BZ73" i="9"/>
  <c r="BY73" i="9"/>
  <c r="BW73" i="9"/>
  <c r="BV73" i="9"/>
  <c r="BU73" i="9"/>
  <c r="A73" i="9"/>
  <c r="A70" i="9"/>
  <c r="A67" i="9"/>
  <c r="A66" i="9"/>
  <c r="A65" i="9"/>
  <c r="A64" i="9"/>
  <c r="A63" i="9"/>
  <c r="A62" i="9"/>
  <c r="A61" i="9"/>
  <c r="A60" i="9"/>
  <c r="A57" i="9"/>
  <c r="A56" i="9"/>
  <c r="A51" i="9"/>
  <c r="A50" i="9"/>
  <c r="A49" i="9"/>
  <c r="CF48" i="9"/>
  <c r="CE48" i="9"/>
  <c r="CD48" i="9"/>
  <c r="CB48" i="9"/>
  <c r="CA48" i="9"/>
  <c r="BZ48" i="9"/>
  <c r="BY48" i="9"/>
  <c r="BW48" i="9"/>
  <c r="BV48" i="9"/>
  <c r="BU48" i="9"/>
  <c r="A48" i="9"/>
  <c r="A47" i="9"/>
  <c r="CF46" i="9"/>
  <c r="CE46" i="9"/>
  <c r="CD46" i="9"/>
  <c r="CB46" i="9"/>
  <c r="CA46" i="9"/>
  <c r="BZ46" i="9"/>
  <c r="BY46" i="9"/>
  <c r="BW46" i="9"/>
  <c r="BV46" i="9"/>
  <c r="BU46" i="9"/>
  <c r="BT46" i="9"/>
  <c r="BS46" i="9"/>
  <c r="BR46" i="9"/>
  <c r="BQ46" i="9"/>
  <c r="BP46" i="9"/>
  <c r="BO46" i="9"/>
  <c r="BN46" i="9"/>
  <c r="BM46" i="9"/>
  <c r="BL46" i="9"/>
  <c r="BK46" i="9"/>
  <c r="BJ46" i="9"/>
  <c r="BI46" i="9"/>
  <c r="BH46" i="9"/>
  <c r="BG46" i="9"/>
  <c r="BF46" i="9"/>
  <c r="BE46" i="9"/>
  <c r="BD46" i="9"/>
  <c r="BC46" i="9"/>
  <c r="BB46" i="9"/>
  <c r="BA46" i="9"/>
  <c r="AZ46" i="9"/>
  <c r="AY46" i="9"/>
  <c r="AX46" i="9"/>
  <c r="AW46" i="9"/>
  <c r="AV46" i="9"/>
  <c r="AU46" i="9"/>
  <c r="AT46" i="9"/>
  <c r="AS46" i="9"/>
  <c r="AR46" i="9"/>
  <c r="AQ46" i="9"/>
  <c r="AP46" i="9"/>
  <c r="AO46" i="9"/>
  <c r="AN46" i="9"/>
  <c r="AM46" i="9"/>
  <c r="AL46" i="9"/>
  <c r="AK46" i="9"/>
  <c r="AJ46" i="9"/>
  <c r="AI46" i="9"/>
  <c r="AH46" i="9"/>
  <c r="AG46" i="9"/>
  <c r="AF46" i="9"/>
  <c r="AE46" i="9"/>
  <c r="AD46" i="9"/>
  <c r="AC46" i="9"/>
  <c r="AB46" i="9"/>
  <c r="AA46" i="9"/>
  <c r="Z46" i="9"/>
  <c r="Y46" i="9"/>
  <c r="X46" i="9"/>
  <c r="W46" i="9"/>
  <c r="V46" i="9"/>
  <c r="U46" i="9"/>
  <c r="T46" i="9"/>
  <c r="S46" i="9"/>
  <c r="R46" i="9"/>
  <c r="Q46" i="9"/>
  <c r="P46" i="9"/>
  <c r="O46" i="9"/>
  <c r="N46" i="9"/>
  <c r="M46" i="9"/>
  <c r="L46" i="9"/>
  <c r="K46" i="9"/>
  <c r="J46" i="9"/>
  <c r="I46" i="9"/>
  <c r="H46" i="9"/>
  <c r="G46" i="9"/>
  <c r="F46" i="9"/>
  <c r="E46" i="9"/>
  <c r="D46" i="9"/>
  <c r="C46" i="9"/>
  <c r="A46" i="9"/>
  <c r="CF45" i="9"/>
  <c r="CE45" i="9"/>
  <c r="CD45" i="9"/>
  <c r="CB45" i="9"/>
  <c r="CA45" i="9"/>
  <c r="BZ45" i="9"/>
  <c r="BY45" i="9"/>
  <c r="BW45" i="9"/>
  <c r="BV45" i="9"/>
  <c r="BU45" i="9"/>
  <c r="BT45" i="9"/>
  <c r="BS45" i="9"/>
  <c r="BR45" i="9"/>
  <c r="BQ45" i="9"/>
  <c r="BP45" i="9"/>
  <c r="BO45" i="9"/>
  <c r="BN45" i="9"/>
  <c r="BM45" i="9"/>
  <c r="BL45" i="9"/>
  <c r="BK45" i="9"/>
  <c r="BJ45" i="9"/>
  <c r="BI45" i="9"/>
  <c r="BH45" i="9"/>
  <c r="BG45" i="9"/>
  <c r="BF45" i="9"/>
  <c r="BE45" i="9"/>
  <c r="BD45" i="9"/>
  <c r="BC45" i="9"/>
  <c r="BB45" i="9"/>
  <c r="BA45" i="9"/>
  <c r="AZ45" i="9"/>
  <c r="AY45" i="9"/>
  <c r="AX45" i="9"/>
  <c r="AW45" i="9"/>
  <c r="AV45" i="9"/>
  <c r="AU45" i="9"/>
  <c r="AT45" i="9"/>
  <c r="AS45" i="9"/>
  <c r="AR45" i="9"/>
  <c r="AQ45" i="9"/>
  <c r="AP45" i="9"/>
  <c r="AO45" i="9"/>
  <c r="AN45" i="9"/>
  <c r="AM45" i="9"/>
  <c r="AL45" i="9"/>
  <c r="AK45" i="9"/>
  <c r="AJ45" i="9"/>
  <c r="AI45" i="9"/>
  <c r="AH45" i="9"/>
  <c r="AG45" i="9"/>
  <c r="AF45" i="9"/>
  <c r="AE45" i="9"/>
  <c r="AD45" i="9"/>
  <c r="AC45" i="9"/>
  <c r="AB45" i="9"/>
  <c r="AA45" i="9"/>
  <c r="Z45" i="9"/>
  <c r="Y45" i="9"/>
  <c r="X45" i="9"/>
  <c r="W45" i="9"/>
  <c r="V45" i="9"/>
  <c r="U45" i="9"/>
  <c r="T45" i="9"/>
  <c r="S45" i="9"/>
  <c r="R45" i="9"/>
  <c r="Q45" i="9"/>
  <c r="P45" i="9"/>
  <c r="O45" i="9"/>
  <c r="N45" i="9"/>
  <c r="M45" i="9"/>
  <c r="L45" i="9"/>
  <c r="K45" i="9"/>
  <c r="J45" i="9"/>
  <c r="I45" i="9"/>
  <c r="H45" i="9"/>
  <c r="G45" i="9"/>
  <c r="F45" i="9"/>
  <c r="E45" i="9"/>
  <c r="D45" i="9"/>
  <c r="C45" i="9"/>
  <c r="A45" i="9"/>
  <c r="CF44" i="9"/>
  <c r="CE44" i="9"/>
  <c r="CD44" i="9"/>
  <c r="CB44" i="9"/>
  <c r="CA44" i="9"/>
  <c r="BZ44" i="9"/>
  <c r="BY44" i="9"/>
  <c r="BW44" i="9"/>
  <c r="BV44" i="9"/>
  <c r="BU44" i="9"/>
  <c r="BT44" i="9"/>
  <c r="BS44" i="9"/>
  <c r="BR44" i="9"/>
  <c r="BQ44" i="9"/>
  <c r="BP44" i="9"/>
  <c r="BO44" i="9"/>
  <c r="BN44" i="9"/>
  <c r="BM44" i="9"/>
  <c r="BL44" i="9"/>
  <c r="BK44" i="9"/>
  <c r="BJ44" i="9"/>
  <c r="BI44" i="9"/>
  <c r="BH44" i="9"/>
  <c r="BG44" i="9"/>
  <c r="BF44" i="9"/>
  <c r="BE44" i="9"/>
  <c r="BD44" i="9"/>
  <c r="BC44" i="9"/>
  <c r="BB44" i="9"/>
  <c r="BA44" i="9"/>
  <c r="AZ44" i="9"/>
  <c r="AY44" i="9"/>
  <c r="AX44" i="9"/>
  <c r="AW44" i="9"/>
  <c r="AV44" i="9"/>
  <c r="AU44" i="9"/>
  <c r="AT44" i="9"/>
  <c r="AS44" i="9"/>
  <c r="AR44" i="9"/>
  <c r="AQ44" i="9"/>
  <c r="AP44" i="9"/>
  <c r="AO44" i="9"/>
  <c r="AN44" i="9"/>
  <c r="AM44" i="9"/>
  <c r="AL44" i="9"/>
  <c r="AK44" i="9"/>
  <c r="AJ44" i="9"/>
  <c r="AI44" i="9"/>
  <c r="AH44" i="9"/>
  <c r="AG44" i="9"/>
  <c r="AF44" i="9"/>
  <c r="AE44" i="9"/>
  <c r="AD44" i="9"/>
  <c r="AC44" i="9"/>
  <c r="AB44" i="9"/>
  <c r="AA44" i="9"/>
  <c r="Z44" i="9"/>
  <c r="Y44" i="9"/>
  <c r="X44" i="9"/>
  <c r="W44" i="9"/>
  <c r="V44" i="9"/>
  <c r="U44" i="9"/>
  <c r="T44" i="9"/>
  <c r="S44" i="9"/>
  <c r="R44" i="9"/>
  <c r="Q44" i="9"/>
  <c r="P44" i="9"/>
  <c r="O44" i="9"/>
  <c r="N44" i="9"/>
  <c r="M44" i="9"/>
  <c r="L44" i="9"/>
  <c r="K44" i="9"/>
  <c r="J44" i="9"/>
  <c r="I44" i="9"/>
  <c r="H44" i="9"/>
  <c r="G44" i="9"/>
  <c r="F44" i="9"/>
  <c r="E44" i="9"/>
  <c r="D44" i="9"/>
  <c r="C44" i="9"/>
  <c r="A44" i="9"/>
  <c r="A42" i="9"/>
  <c r="CF41" i="9"/>
  <c r="CE41" i="9"/>
  <c r="CD41" i="9"/>
  <c r="CB41" i="9"/>
  <c r="CA41" i="9"/>
  <c r="BZ41" i="9"/>
  <c r="BY41" i="9"/>
  <c r="BW41" i="9"/>
  <c r="BV41" i="9"/>
  <c r="BU41" i="9"/>
  <c r="A40" i="9"/>
  <c r="A39" i="9"/>
  <c r="A38" i="9"/>
  <c r="A37" i="9"/>
  <c r="A36" i="9"/>
  <c r="A35" i="9"/>
  <c r="A34" i="9"/>
  <c r="AE31" i="9"/>
  <c r="AD31" i="9"/>
  <c r="AC31" i="9"/>
  <c r="AB31" i="9"/>
  <c r="AA31" i="9"/>
  <c r="Z31" i="9"/>
  <c r="Y31" i="9"/>
  <c r="X31" i="9"/>
  <c r="W31" i="9"/>
  <c r="V31" i="9"/>
  <c r="U31" i="9"/>
  <c r="T31" i="9"/>
  <c r="S31" i="9"/>
  <c r="R31" i="9"/>
  <c r="Q31" i="9"/>
  <c r="P31" i="9"/>
  <c r="O31" i="9"/>
  <c r="N31" i="9"/>
  <c r="M31" i="9"/>
  <c r="L31" i="9"/>
  <c r="K31" i="9"/>
  <c r="J31" i="9"/>
  <c r="I31" i="9"/>
  <c r="H31" i="9"/>
  <c r="G31" i="9"/>
  <c r="F31" i="9"/>
  <c r="E31" i="9"/>
  <c r="D31" i="9"/>
  <c r="C31" i="9"/>
  <c r="A31" i="9"/>
  <c r="CF30" i="9"/>
  <c r="CE30" i="9"/>
  <c r="CD30" i="9"/>
  <c r="CC30" i="9"/>
  <c r="CB30" i="9"/>
  <c r="CA30" i="9"/>
  <c r="BZ30" i="9"/>
  <c r="BY30" i="9"/>
  <c r="BX30" i="9"/>
  <c r="BW30" i="9"/>
  <c r="BV30" i="9"/>
  <c r="BU30" i="9"/>
  <c r="BT30" i="9"/>
  <c r="BS30" i="9"/>
  <c r="BR30" i="9"/>
  <c r="BQ30" i="9"/>
  <c r="BP30" i="9"/>
  <c r="BO30" i="9"/>
  <c r="BN30" i="9"/>
  <c r="BM30" i="9"/>
  <c r="BL30" i="9"/>
  <c r="BK30" i="9"/>
  <c r="BJ30" i="9"/>
  <c r="BI30" i="9"/>
  <c r="BH30" i="9"/>
  <c r="BG30" i="9"/>
  <c r="BF30" i="9"/>
  <c r="BE30" i="9"/>
  <c r="BD30" i="9"/>
  <c r="BC30" i="9"/>
  <c r="BB30" i="9"/>
  <c r="BA30" i="9"/>
  <c r="AZ30" i="9"/>
  <c r="AY30" i="9"/>
  <c r="AX30" i="9"/>
  <c r="AW30" i="9"/>
  <c r="AV30" i="9"/>
  <c r="AU30" i="9"/>
  <c r="AT30" i="9"/>
  <c r="AS30" i="9"/>
  <c r="AR30" i="9"/>
  <c r="AQ30" i="9"/>
  <c r="AP30" i="9"/>
  <c r="AO30" i="9"/>
  <c r="AN30" i="9"/>
  <c r="AM30" i="9"/>
  <c r="AL30" i="9"/>
  <c r="AK30" i="9"/>
  <c r="AJ30" i="9"/>
  <c r="AI30" i="9"/>
  <c r="AH30" i="9"/>
  <c r="AG30" i="9"/>
  <c r="AF30" i="9"/>
  <c r="AE30" i="9"/>
  <c r="AD30" i="9"/>
  <c r="AC30" i="9"/>
  <c r="AB30" i="9"/>
  <c r="AA30" i="9"/>
  <c r="Z30" i="9"/>
  <c r="Y30" i="9"/>
  <c r="X30" i="9"/>
  <c r="W30" i="9"/>
  <c r="V30" i="9"/>
  <c r="U30" i="9"/>
  <c r="T30" i="9"/>
  <c r="S30" i="9"/>
  <c r="R30" i="9"/>
  <c r="Q30" i="9"/>
  <c r="P30" i="9"/>
  <c r="O30" i="9"/>
  <c r="N30" i="9"/>
  <c r="M30" i="9"/>
  <c r="L30" i="9"/>
  <c r="K30" i="9"/>
  <c r="J30" i="9"/>
  <c r="I30" i="9"/>
  <c r="H30" i="9"/>
  <c r="G30" i="9"/>
  <c r="F30" i="9"/>
  <c r="E30" i="9"/>
  <c r="D30" i="9"/>
  <c r="C30" i="9"/>
  <c r="A30" i="9"/>
  <c r="CF29" i="9"/>
  <c r="CE29" i="9"/>
  <c r="CD29" i="9"/>
  <c r="CC29" i="9"/>
  <c r="BX29" i="9"/>
  <c r="BS29" i="9"/>
  <c r="BN29" i="9"/>
  <c r="BI29" i="9"/>
  <c r="BD29" i="9"/>
  <c r="AY29" i="9"/>
  <c r="AT29" i="9"/>
  <c r="AO29" i="9"/>
  <c r="AJ29" i="9"/>
  <c r="AE29" i="9"/>
  <c r="AA29" i="9"/>
  <c r="Z29" i="9"/>
  <c r="Y29" i="9"/>
  <c r="X29" i="9"/>
  <c r="W29" i="9"/>
  <c r="V29" i="9"/>
  <c r="U29" i="9"/>
  <c r="T29" i="9"/>
  <c r="S29" i="9"/>
  <c r="R29" i="9"/>
  <c r="Q29" i="9"/>
  <c r="P29" i="9"/>
  <c r="O29" i="9"/>
  <c r="N29" i="9"/>
  <c r="M29" i="9"/>
  <c r="L29" i="9"/>
  <c r="K29" i="9"/>
  <c r="J29" i="9"/>
  <c r="I29" i="9"/>
  <c r="H29" i="9"/>
  <c r="G29" i="9"/>
  <c r="F29" i="9"/>
  <c r="E29" i="9"/>
  <c r="D29" i="9"/>
  <c r="C29" i="9"/>
  <c r="A29" i="9"/>
  <c r="J27" i="9"/>
  <c r="I27" i="9"/>
  <c r="H27" i="9"/>
  <c r="G27" i="9"/>
  <c r="F27" i="9"/>
  <c r="E27" i="9"/>
  <c r="D27" i="9"/>
  <c r="C27" i="9"/>
  <c r="A27" i="9"/>
  <c r="CF26" i="9"/>
  <c r="CE26" i="9"/>
  <c r="CD26" i="9"/>
  <c r="AE26" i="9"/>
  <c r="AD26" i="9"/>
  <c r="AC26" i="9"/>
  <c r="AB26" i="9"/>
  <c r="AA26" i="9"/>
  <c r="Z26" i="9"/>
  <c r="Y26" i="9"/>
  <c r="X26" i="9"/>
  <c r="W26" i="9"/>
  <c r="V26" i="9"/>
  <c r="U26" i="9"/>
  <c r="T26" i="9"/>
  <c r="S26" i="9"/>
  <c r="R26" i="9"/>
  <c r="Q26" i="9"/>
  <c r="P26" i="9"/>
  <c r="O26" i="9"/>
  <c r="N26" i="9"/>
  <c r="M26" i="9"/>
  <c r="L26" i="9"/>
  <c r="K26" i="9"/>
  <c r="J26" i="9"/>
  <c r="I26" i="9"/>
  <c r="H26" i="9"/>
  <c r="G26" i="9"/>
  <c r="F26" i="9"/>
  <c r="E26" i="9"/>
  <c r="D26" i="9"/>
  <c r="C26" i="9"/>
  <c r="A26" i="9"/>
  <c r="CF25" i="9"/>
  <c r="CE25" i="9"/>
  <c r="CD25" i="9"/>
  <c r="AE25" i="9"/>
  <c r="AD25" i="9"/>
  <c r="AC25" i="9"/>
  <c r="AB25" i="9"/>
  <c r="AA25" i="9"/>
  <c r="Z25" i="9"/>
  <c r="Y25" i="9"/>
  <c r="X25" i="9"/>
  <c r="W25" i="9"/>
  <c r="V25" i="9"/>
  <c r="U25" i="9"/>
  <c r="T25" i="9"/>
  <c r="S25" i="9"/>
  <c r="R25" i="9"/>
  <c r="Q25" i="9"/>
  <c r="P25" i="9"/>
  <c r="O25" i="9"/>
  <c r="N25" i="9"/>
  <c r="M25" i="9"/>
  <c r="L25" i="9"/>
  <c r="K25" i="9"/>
  <c r="J25" i="9"/>
  <c r="I25" i="9"/>
  <c r="H25" i="9"/>
  <c r="G25" i="9"/>
  <c r="F25" i="9"/>
  <c r="E25" i="9"/>
  <c r="D25" i="9"/>
  <c r="C25" i="9"/>
  <c r="A25" i="9"/>
  <c r="CF24" i="9"/>
  <c r="CE24" i="9"/>
  <c r="CD24" i="9"/>
  <c r="AE24" i="9"/>
  <c r="AD24" i="9"/>
  <c r="AC24" i="9"/>
  <c r="AB24" i="9"/>
  <c r="AA24" i="9"/>
  <c r="Z24" i="9"/>
  <c r="Y24" i="9"/>
  <c r="X24" i="9"/>
  <c r="W24" i="9"/>
  <c r="V24" i="9"/>
  <c r="U24" i="9"/>
  <c r="T24" i="9"/>
  <c r="S24" i="9"/>
  <c r="R24" i="9"/>
  <c r="Q24" i="9"/>
  <c r="P24" i="9"/>
  <c r="O24" i="9"/>
  <c r="N24" i="9"/>
  <c r="M24" i="9"/>
  <c r="L24" i="9"/>
  <c r="K24" i="9"/>
  <c r="J24" i="9"/>
  <c r="I24" i="9"/>
  <c r="H24" i="9"/>
  <c r="G24" i="9"/>
  <c r="F24" i="9"/>
  <c r="E24" i="9"/>
  <c r="D24" i="9"/>
  <c r="C24" i="9"/>
  <c r="A24" i="9"/>
  <c r="CF23" i="9"/>
  <c r="CE23" i="9"/>
  <c r="CD23" i="9"/>
  <c r="AE23" i="9"/>
  <c r="AD23" i="9"/>
  <c r="AC23" i="9"/>
  <c r="AB23" i="9"/>
  <c r="AA23" i="9"/>
  <c r="Z23" i="9"/>
  <c r="Y23" i="9"/>
  <c r="X23" i="9"/>
  <c r="W23" i="9"/>
  <c r="V23" i="9"/>
  <c r="U23" i="9"/>
  <c r="T23" i="9"/>
  <c r="S23" i="9"/>
  <c r="R23" i="9"/>
  <c r="Q23" i="9"/>
  <c r="P23" i="9"/>
  <c r="O23" i="9"/>
  <c r="N23" i="9"/>
  <c r="M23" i="9"/>
  <c r="L23" i="9"/>
  <c r="K23" i="9"/>
  <c r="J23" i="9"/>
  <c r="I23" i="9"/>
  <c r="H23" i="9"/>
  <c r="G23" i="9"/>
  <c r="F23" i="9"/>
  <c r="E23" i="9"/>
  <c r="D23" i="9"/>
  <c r="C23" i="9"/>
  <c r="A23" i="9"/>
  <c r="CF21" i="9"/>
  <c r="CE21" i="9"/>
  <c r="CD21" i="9"/>
  <c r="CC21" i="9"/>
  <c r="CB21" i="9"/>
  <c r="CA21" i="9"/>
  <c r="BZ21" i="9"/>
  <c r="BY21" i="9"/>
  <c r="BX21" i="9"/>
  <c r="BW21" i="9"/>
  <c r="BV21" i="9"/>
  <c r="BU21" i="9"/>
  <c r="AJ21" i="9"/>
  <c r="AI21" i="9"/>
  <c r="AH21" i="9"/>
  <c r="AG21" i="9"/>
  <c r="AF21" i="9"/>
  <c r="AE21" i="9"/>
  <c r="AD21" i="9"/>
  <c r="AC21" i="9"/>
  <c r="AB21" i="9"/>
  <c r="AA21" i="9"/>
  <c r="Z21" i="9"/>
  <c r="Y21" i="9"/>
  <c r="X21" i="9"/>
  <c r="W21" i="9"/>
  <c r="V21" i="9"/>
  <c r="U21" i="9"/>
  <c r="T21" i="9"/>
  <c r="S21" i="9"/>
  <c r="R21" i="9"/>
  <c r="Q21" i="9"/>
  <c r="P21" i="9"/>
  <c r="O21" i="9"/>
  <c r="N21" i="9"/>
  <c r="M21" i="9"/>
  <c r="L21" i="9"/>
  <c r="K21" i="9"/>
  <c r="J21" i="9"/>
  <c r="I21" i="9"/>
  <c r="H21" i="9"/>
  <c r="G21" i="9"/>
  <c r="F21" i="9"/>
  <c r="E21" i="9"/>
  <c r="D21" i="9"/>
  <c r="C21" i="9"/>
  <c r="A21" i="9"/>
  <c r="J20" i="9"/>
  <c r="I20" i="9"/>
  <c r="H20" i="9"/>
  <c r="G20" i="9"/>
  <c r="C20" i="9"/>
  <c r="A20" i="9"/>
  <c r="CF19" i="9"/>
  <c r="CE19" i="9"/>
  <c r="CD19" i="9"/>
  <c r="CC19" i="9"/>
  <c r="CB19" i="9"/>
  <c r="CA19" i="9"/>
  <c r="BZ19" i="9"/>
  <c r="BY19" i="9"/>
  <c r="BX19" i="9"/>
  <c r="BW19" i="9"/>
  <c r="BV19" i="9"/>
  <c r="BU19" i="9"/>
  <c r="BT19" i="9"/>
  <c r="BS19" i="9"/>
  <c r="BR19" i="9"/>
  <c r="BQ19" i="9"/>
  <c r="BP19" i="9"/>
  <c r="BO19" i="9"/>
  <c r="BN19" i="9"/>
  <c r="BM19" i="9"/>
  <c r="BL19" i="9"/>
  <c r="BK19" i="9"/>
  <c r="BJ19" i="9"/>
  <c r="BH19" i="9"/>
  <c r="J19" i="9"/>
  <c r="I19" i="9"/>
  <c r="H19" i="9"/>
  <c r="G19" i="9"/>
  <c r="F19" i="9"/>
  <c r="E19" i="9"/>
  <c r="D19" i="9"/>
  <c r="C19" i="9"/>
  <c r="A19" i="9"/>
  <c r="J18" i="9"/>
  <c r="I18" i="9"/>
  <c r="H18" i="9"/>
  <c r="G18" i="9"/>
  <c r="F18" i="9"/>
  <c r="E18" i="9"/>
  <c r="D18" i="9"/>
  <c r="C18" i="9"/>
  <c r="A18" i="9"/>
  <c r="AE17" i="9"/>
  <c r="AD17" i="9"/>
  <c r="AC17" i="9"/>
  <c r="AB17" i="9"/>
  <c r="AA17" i="9"/>
  <c r="Z17" i="9"/>
  <c r="Y17" i="9"/>
  <c r="X17" i="9"/>
  <c r="W17" i="9"/>
  <c r="V17" i="9"/>
  <c r="U17" i="9"/>
  <c r="T17" i="9"/>
  <c r="S17" i="9"/>
  <c r="R17" i="9"/>
  <c r="Q17" i="9"/>
  <c r="P17" i="9"/>
  <c r="O17" i="9"/>
  <c r="N17" i="9"/>
  <c r="M17" i="9"/>
  <c r="L17" i="9"/>
  <c r="K17" i="9"/>
  <c r="J17" i="9"/>
  <c r="I17" i="9"/>
  <c r="H17" i="9"/>
  <c r="G17" i="9"/>
  <c r="F17" i="9"/>
  <c r="E17" i="9"/>
  <c r="D17" i="9"/>
  <c r="C17" i="9"/>
  <c r="A17" i="9"/>
  <c r="AE16" i="9"/>
  <c r="AD16" i="9"/>
  <c r="AC16" i="9"/>
  <c r="AB16" i="9"/>
  <c r="AA16" i="9"/>
  <c r="Z16" i="9"/>
  <c r="Y16" i="9"/>
  <c r="X16" i="9"/>
  <c r="W16" i="9"/>
  <c r="V16" i="9"/>
  <c r="U16" i="9"/>
  <c r="T16" i="9"/>
  <c r="S16" i="9"/>
  <c r="R16" i="9"/>
  <c r="Q16" i="9"/>
  <c r="P16" i="9"/>
  <c r="O16" i="9"/>
  <c r="N16" i="9"/>
  <c r="M16" i="9"/>
  <c r="L16" i="9"/>
  <c r="K16" i="9"/>
  <c r="J16" i="9"/>
  <c r="I16" i="9"/>
  <c r="H16" i="9"/>
  <c r="G16" i="9"/>
  <c r="F16" i="9"/>
  <c r="E16" i="9"/>
  <c r="D16" i="9"/>
  <c r="C16" i="9"/>
  <c r="A16"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A15" i="9"/>
  <c r="AE14" i="9"/>
  <c r="AD14" i="9"/>
  <c r="AC14" i="9"/>
  <c r="AB14" i="9"/>
  <c r="AA14" i="9"/>
  <c r="Z14" i="9"/>
  <c r="Y14" i="9"/>
  <c r="X14" i="9"/>
  <c r="W14" i="9"/>
  <c r="V14" i="9"/>
  <c r="U14" i="9"/>
  <c r="T14" i="9"/>
  <c r="S14" i="9"/>
  <c r="R14" i="9"/>
  <c r="Q14" i="9"/>
  <c r="P14" i="9"/>
  <c r="O14" i="9"/>
  <c r="N14" i="9"/>
  <c r="M14" i="9"/>
  <c r="L14" i="9"/>
  <c r="K14" i="9"/>
  <c r="J14" i="9"/>
  <c r="I14" i="9"/>
  <c r="H14" i="9"/>
  <c r="G14" i="9"/>
  <c r="F14" i="9"/>
  <c r="E14" i="9"/>
  <c r="D14" i="9"/>
  <c r="C14" i="9"/>
  <c r="A14" i="9"/>
  <c r="A11" i="9"/>
  <c r="A8" i="9"/>
  <c r="A7" i="9"/>
  <c r="A6" i="9"/>
  <c r="A5" i="9"/>
  <c r="A4" i="9"/>
  <c r="C2" i="9"/>
  <c r="C1" i="9"/>
  <c r="A1" i="9"/>
  <c r="K432" i="10"/>
  <c r="K430" i="10"/>
  <c r="K429" i="10"/>
  <c r="K428" i="10"/>
  <c r="K427" i="10"/>
  <c r="K425" i="10"/>
  <c r="K424" i="10"/>
  <c r="K423" i="10"/>
  <c r="K421" i="10"/>
  <c r="K420" i="10"/>
  <c r="K418" i="10"/>
  <c r="K417" i="10"/>
  <c r="K416" i="10"/>
  <c r="K415" i="10"/>
  <c r="K414" i="10"/>
  <c r="K413" i="10"/>
  <c r="K412" i="10"/>
  <c r="K411" i="10"/>
  <c r="K410" i="10"/>
  <c r="K409" i="10"/>
  <c r="K408" i="10"/>
  <c r="K407" i="10"/>
  <c r="K406" i="10"/>
  <c r="K405" i="10"/>
  <c r="K404" i="10"/>
  <c r="K403" i="10"/>
  <c r="K402" i="10"/>
  <c r="K401" i="10"/>
  <c r="K400" i="10"/>
  <c r="K399" i="10"/>
  <c r="K397" i="10"/>
  <c r="K396" i="10"/>
  <c r="K395" i="10"/>
  <c r="K394" i="10"/>
  <c r="K393" i="10"/>
  <c r="K392" i="10"/>
  <c r="K391" i="10"/>
  <c r="K390" i="10"/>
  <c r="K389" i="10"/>
  <c r="K388" i="10"/>
  <c r="K387" i="10"/>
  <c r="K386" i="10"/>
  <c r="K385" i="10"/>
  <c r="K384" i="10"/>
  <c r="K383" i="10"/>
  <c r="K382" i="10"/>
  <c r="K381" i="10"/>
  <c r="K380" i="10"/>
  <c r="K378" i="10"/>
  <c r="K377" i="10"/>
  <c r="K376" i="10"/>
  <c r="K375" i="10"/>
  <c r="K374" i="10"/>
  <c r="K373" i="10"/>
  <c r="K372" i="10"/>
  <c r="K371" i="10"/>
  <c r="K370" i="10"/>
  <c r="K369" i="10"/>
  <c r="K368" i="10"/>
  <c r="K367" i="10"/>
  <c r="K366" i="10"/>
  <c r="K365" i="10"/>
  <c r="K364" i="10"/>
  <c r="K363" i="10"/>
  <c r="K362" i="10"/>
  <c r="K360" i="10"/>
  <c r="K359" i="10"/>
  <c r="K358" i="10"/>
  <c r="K357" i="10"/>
  <c r="K356" i="10"/>
  <c r="K355" i="10"/>
  <c r="K354" i="10"/>
  <c r="K353" i="10"/>
  <c r="K352" i="10"/>
  <c r="K351" i="10"/>
  <c r="K350" i="10"/>
  <c r="K349" i="10"/>
  <c r="K348" i="10"/>
  <c r="K347" i="10"/>
  <c r="K346" i="10"/>
  <c r="K345" i="10"/>
  <c r="K344" i="10"/>
  <c r="K342" i="10"/>
  <c r="K341" i="10"/>
  <c r="K340" i="10"/>
  <c r="K339" i="10"/>
  <c r="K338" i="10"/>
  <c r="K337" i="10"/>
  <c r="K336" i="10"/>
  <c r="K335" i="10"/>
  <c r="K334" i="10"/>
  <c r="K333" i="10"/>
  <c r="K332" i="10"/>
  <c r="K331" i="10"/>
  <c r="K330" i="10"/>
  <c r="K329" i="10"/>
  <c r="K328" i="10"/>
  <c r="K327" i="10"/>
  <c r="K325" i="10"/>
  <c r="K324" i="10"/>
  <c r="K323" i="10"/>
  <c r="K322" i="10"/>
  <c r="K321" i="10"/>
  <c r="K320" i="10"/>
  <c r="K319" i="10"/>
  <c r="K318" i="10"/>
  <c r="K317" i="10"/>
  <c r="K316" i="10"/>
  <c r="K315" i="10"/>
  <c r="K314" i="10"/>
  <c r="K313" i="10"/>
  <c r="K312" i="10"/>
  <c r="K311" i="10"/>
  <c r="K310" i="10"/>
  <c r="K308" i="10"/>
  <c r="K306" i="10"/>
  <c r="K304" i="10"/>
  <c r="K303" i="10"/>
  <c r="K302" i="10"/>
  <c r="K301" i="10"/>
  <c r="K300" i="10"/>
  <c r="K299" i="10"/>
  <c r="K298" i="10"/>
  <c r="K296" i="10"/>
  <c r="K294" i="10"/>
  <c r="K293" i="10"/>
  <c r="K292" i="10"/>
  <c r="K291" i="10"/>
  <c r="K290" i="10"/>
  <c r="K289" i="10"/>
  <c r="K288" i="10"/>
  <c r="K287" i="10"/>
  <c r="K285" i="10"/>
  <c r="K284" i="10"/>
  <c r="K283" i="10"/>
  <c r="K282" i="10"/>
  <c r="K281" i="10"/>
  <c r="K280" i="10"/>
  <c r="K279" i="10"/>
  <c r="K278" i="10"/>
  <c r="K276" i="10"/>
  <c r="K275" i="10"/>
  <c r="K274" i="10"/>
  <c r="K273" i="10"/>
  <c r="K272" i="10"/>
  <c r="K271" i="10"/>
  <c r="K270" i="10"/>
  <c r="K269" i="10"/>
  <c r="K267" i="10"/>
  <c r="K265" i="10"/>
  <c r="K263" i="10"/>
  <c r="K262" i="10"/>
  <c r="K261" i="10"/>
  <c r="K260" i="10"/>
  <c r="K259" i="10"/>
  <c r="K258" i="10"/>
  <c r="K257" i="10"/>
  <c r="K256" i="10"/>
  <c r="K254" i="10"/>
  <c r="K253" i="10"/>
  <c r="K252" i="10"/>
  <c r="K251" i="10"/>
  <c r="K250" i="10"/>
  <c r="K249" i="10"/>
  <c r="K248" i="10"/>
  <c r="K247" i="10"/>
  <c r="K245" i="10"/>
  <c r="K244" i="10"/>
  <c r="K243" i="10"/>
  <c r="K242" i="10"/>
  <c r="K241" i="10"/>
  <c r="K240" i="10"/>
  <c r="K239" i="10"/>
  <c r="K238" i="10"/>
  <c r="K236" i="10"/>
  <c r="K235" i="10"/>
  <c r="K234" i="10"/>
  <c r="K233" i="10"/>
  <c r="K232" i="10"/>
  <c r="K231" i="10"/>
  <c r="K230" i="10"/>
  <c r="K229" i="10"/>
  <c r="K227" i="10"/>
  <c r="K225" i="10"/>
  <c r="K224" i="10"/>
  <c r="K223" i="10"/>
  <c r="K222" i="10"/>
  <c r="K221" i="10"/>
  <c r="K220" i="10"/>
  <c r="K219" i="10"/>
  <c r="K218" i="10"/>
  <c r="K216" i="10"/>
  <c r="K214" i="10"/>
  <c r="K213" i="10"/>
  <c r="K212" i="10"/>
  <c r="K211" i="10"/>
  <c r="K210" i="10"/>
  <c r="K209" i="10"/>
  <c r="K208" i="10"/>
  <c r="K207" i="10"/>
  <c r="K205" i="10"/>
  <c r="K203" i="10"/>
  <c r="K202" i="10"/>
  <c r="K201" i="10"/>
  <c r="K200" i="10"/>
  <c r="K199" i="10"/>
  <c r="K198" i="10"/>
  <c r="K197" i="10"/>
  <c r="K196" i="10"/>
  <c r="K194" i="10"/>
  <c r="K192" i="10"/>
  <c r="K191" i="10"/>
  <c r="K190" i="10"/>
  <c r="K189" i="10"/>
  <c r="K188" i="10"/>
  <c r="K187" i="10"/>
  <c r="K186" i="10"/>
  <c r="K185" i="10"/>
  <c r="K183" i="10"/>
  <c r="K182" i="10"/>
  <c r="K180" i="10"/>
  <c r="K179" i="10"/>
  <c r="K178" i="10"/>
  <c r="K177" i="10"/>
  <c r="K176" i="10"/>
  <c r="K175" i="10"/>
  <c r="K173" i="10"/>
  <c r="K172" i="10"/>
  <c r="K171" i="10"/>
  <c r="K170" i="10"/>
  <c r="K169" i="10"/>
  <c r="K168" i="10"/>
  <c r="K167" i="10"/>
  <c r="K165" i="10"/>
  <c r="K163" i="10"/>
  <c r="K162" i="10"/>
  <c r="K161" i="10"/>
  <c r="K160" i="10"/>
  <c r="K159" i="10"/>
  <c r="K158" i="10"/>
  <c r="K157" i="10"/>
  <c r="K156" i="10"/>
  <c r="K155" i="10"/>
  <c r="K153" i="10"/>
  <c r="K152" i="10"/>
  <c r="K150" i="10"/>
  <c r="K149" i="10"/>
  <c r="K148" i="10"/>
  <c r="K147" i="10"/>
  <c r="K146" i="10"/>
  <c r="K145" i="10"/>
  <c r="K144" i="10"/>
  <c r="K143" i="10"/>
  <c r="K142" i="10"/>
  <c r="K140" i="10"/>
  <c r="K139" i="10"/>
  <c r="K137" i="10"/>
  <c r="K133" i="10"/>
  <c r="K132" i="10"/>
  <c r="K131" i="10"/>
  <c r="K130" i="10"/>
  <c r="K129" i="10"/>
  <c r="K128" i="10"/>
  <c r="K127" i="10"/>
  <c r="K125" i="10"/>
  <c r="K121" i="10"/>
  <c r="K120" i="10"/>
  <c r="K119" i="10"/>
  <c r="K118" i="10"/>
  <c r="K117" i="10"/>
  <c r="K116" i="10"/>
  <c r="K115" i="10"/>
  <c r="K113" i="10"/>
  <c r="K112" i="10"/>
  <c r="K110" i="10"/>
  <c r="K108" i="10"/>
  <c r="K107" i="10"/>
  <c r="K106" i="10"/>
  <c r="K105" i="10"/>
  <c r="K104" i="10"/>
  <c r="K103" i="10"/>
  <c r="K102" i="10"/>
  <c r="K100" i="10"/>
  <c r="K99" i="10"/>
  <c r="K96" i="10"/>
  <c r="K95" i="10"/>
  <c r="K94" i="10"/>
  <c r="K93" i="10"/>
  <c r="K92" i="10"/>
  <c r="K91" i="10"/>
  <c r="K90" i="10"/>
  <c r="K88" i="10"/>
  <c r="K87" i="10"/>
  <c r="K85" i="10"/>
  <c r="K84" i="10"/>
  <c r="K83" i="10"/>
  <c r="K81" i="10"/>
  <c r="K80" i="10"/>
  <c r="K79" i="10"/>
  <c r="K78" i="10"/>
  <c r="K77" i="10"/>
  <c r="K76" i="10"/>
  <c r="K75" i="10"/>
  <c r="K73" i="10"/>
  <c r="K72" i="10"/>
  <c r="K71" i="10"/>
  <c r="K70" i="10"/>
  <c r="K68" i="10"/>
  <c r="K67" i="10"/>
  <c r="K66" i="10"/>
  <c r="K65" i="10"/>
  <c r="K64" i="10"/>
  <c r="K63" i="10"/>
  <c r="K62" i="10"/>
  <c r="K60" i="10"/>
  <c r="K59" i="10"/>
  <c r="K58" i="10"/>
  <c r="K57" i="10"/>
  <c r="K55" i="10"/>
  <c r="K54" i="10"/>
  <c r="K53" i="10"/>
  <c r="K52" i="10"/>
  <c r="K51" i="10"/>
  <c r="K50" i="10"/>
  <c r="K49" i="10"/>
  <c r="K47" i="10"/>
  <c r="K46" i="10"/>
  <c r="K45" i="10"/>
  <c r="K44" i="10"/>
  <c r="K42" i="10"/>
  <c r="K41" i="10"/>
  <c r="K40" i="10"/>
  <c r="K39" i="10"/>
  <c r="K38" i="10"/>
  <c r="K37" i="10"/>
  <c r="K36" i="10"/>
  <c r="K34" i="10"/>
  <c r="K33" i="10"/>
  <c r="K32" i="10"/>
  <c r="K31" i="10"/>
  <c r="K29" i="10"/>
  <c r="K28" i="10"/>
  <c r="K27" i="10"/>
  <c r="K26" i="10"/>
  <c r="K25" i="10"/>
  <c r="K24" i="10"/>
  <c r="K22" i="10"/>
  <c r="K21" i="10"/>
  <c r="K20" i="10"/>
  <c r="K19" i="10"/>
  <c r="K17" i="10"/>
  <c r="K16" i="10"/>
  <c r="K15" i="10"/>
  <c r="K14" i="10"/>
  <c r="K13" i="10"/>
  <c r="K12" i="10"/>
  <c r="K11" i="10"/>
  <c r="K9" i="10"/>
  <c r="K8" i="10"/>
  <c r="K7" i="10"/>
  <c r="K6" i="10"/>
  <c r="AB89" i="11"/>
  <c r="AA89" i="11"/>
  <c r="AI88" i="11"/>
  <c r="AD88" i="11"/>
  <c r="Y88" i="11"/>
  <c r="AJ87" i="11"/>
  <c r="AJ89" i="11" s="1"/>
  <c r="AH87" i="11"/>
  <c r="AH89" i="11" s="1"/>
  <c r="AG87" i="11"/>
  <c r="AG89" i="11" s="1"/>
  <c r="AF87" i="11"/>
  <c r="AF89" i="11" s="1"/>
  <c r="AE87" i="11"/>
  <c r="AE89" i="11" s="1"/>
  <c r="AC87" i="11"/>
  <c r="AC89" i="11" s="1"/>
  <c r="AB87" i="11"/>
  <c r="AA87" i="11"/>
  <c r="Z87" i="11"/>
  <c r="Z89" i="11" s="1"/>
  <c r="X87" i="11"/>
  <c r="X89" i="11" s="1"/>
  <c r="W87" i="11"/>
  <c r="W89" i="11" s="1"/>
  <c r="V87" i="11"/>
  <c r="V89" i="11" s="1"/>
  <c r="U87" i="11"/>
  <c r="U89" i="11" s="1"/>
  <c r="AI86" i="11"/>
  <c r="AD86" i="11"/>
  <c r="Y86" i="11"/>
  <c r="AI85" i="11"/>
  <c r="AD85" i="11"/>
  <c r="Y85" i="11"/>
  <c r="AI84" i="11"/>
  <c r="AD84" i="11"/>
  <c r="Y84" i="11"/>
  <c r="AI83" i="11"/>
  <c r="AD83" i="11"/>
  <c r="Y83" i="11"/>
  <c r="AN80" i="11"/>
  <c r="AM80" i="11"/>
  <c r="AL80" i="11"/>
  <c r="AK80" i="11"/>
  <c r="AI80" i="11"/>
  <c r="AH80" i="11"/>
  <c r="AG80" i="11"/>
  <c r="AF80" i="11"/>
  <c r="AE80" i="11"/>
  <c r="AO79" i="11"/>
  <c r="AJ79" i="11"/>
  <c r="AO78" i="11"/>
  <c r="AJ78" i="11"/>
  <c r="AO77" i="11"/>
  <c r="AJ77" i="11"/>
  <c r="AF72" i="11"/>
  <c r="AF74" i="11" s="1"/>
  <c r="W72" i="11"/>
  <c r="W74" i="11" s="1"/>
  <c r="P72" i="11"/>
  <c r="M72" i="11"/>
  <c r="M74" i="11" s="1"/>
  <c r="M75" i="11" s="1"/>
  <c r="AN71" i="11"/>
  <c r="AI71" i="11"/>
  <c r="AI70" i="11" s="1"/>
  <c r="AD71" i="11"/>
  <c r="Y71" i="11"/>
  <c r="O71" i="11"/>
  <c r="J71" i="11"/>
  <c r="AF70" i="11"/>
  <c r="H70" i="11"/>
  <c r="AO69" i="11"/>
  <c r="AO70" i="11" s="1"/>
  <c r="AN69" i="11"/>
  <c r="AM69" i="11"/>
  <c r="AL69" i="11"/>
  <c r="AK69" i="11"/>
  <c r="AJ69" i="11"/>
  <c r="AJ72" i="11" s="1"/>
  <c r="AI69" i="11"/>
  <c r="AI72" i="11" s="1"/>
  <c r="AH69" i="11"/>
  <c r="AH70" i="11" s="1"/>
  <c r="AG69" i="11"/>
  <c r="AF69" i="11"/>
  <c r="AE69" i="11"/>
  <c r="AD69" i="11"/>
  <c r="AC69" i="11"/>
  <c r="AB69" i="11"/>
  <c r="AA69" i="11"/>
  <c r="AA72" i="11" s="1"/>
  <c r="AA74" i="11" s="1"/>
  <c r="Z69" i="11"/>
  <c r="Y69" i="11"/>
  <c r="Y72" i="11" s="1"/>
  <c r="X69" i="11"/>
  <c r="X70" i="11" s="1"/>
  <c r="W69" i="11"/>
  <c r="W70" i="11" s="1"/>
  <c r="V69" i="11"/>
  <c r="U69" i="11"/>
  <c r="T69" i="11"/>
  <c r="S69" i="11"/>
  <c r="S70" i="11" s="1"/>
  <c r="R69" i="11"/>
  <c r="R72" i="11" s="1"/>
  <c r="R74" i="11" s="1"/>
  <c r="Q69" i="11"/>
  <c r="Q72" i="11" s="1"/>
  <c r="Q74" i="11" s="1"/>
  <c r="P69" i="11"/>
  <c r="P70" i="11" s="1"/>
  <c r="O69" i="11"/>
  <c r="N69" i="11"/>
  <c r="N72" i="11" s="1"/>
  <c r="N74" i="11" s="1"/>
  <c r="M69" i="11"/>
  <c r="M70" i="11" s="1"/>
  <c r="L69" i="11"/>
  <c r="L72" i="11" s="1"/>
  <c r="L74" i="11" s="1"/>
  <c r="K69" i="11"/>
  <c r="K72" i="11" s="1"/>
  <c r="J69" i="11"/>
  <c r="I69" i="11"/>
  <c r="I70" i="11" s="1"/>
  <c r="H69" i="11"/>
  <c r="H72" i="11" s="1"/>
  <c r="H74" i="11" s="1"/>
  <c r="G69" i="11"/>
  <c r="F66" i="11"/>
  <c r="AJ64" i="11"/>
  <c r="AJ66" i="11" s="1"/>
  <c r="AH64" i="11"/>
  <c r="AH66" i="11" s="1"/>
  <c r="AG64" i="11"/>
  <c r="AG66" i="11" s="1"/>
  <c r="Q64" i="11"/>
  <c r="Q66" i="11" s="1"/>
  <c r="AN63" i="11"/>
  <c r="AI63" i="11"/>
  <c r="AD63" i="11"/>
  <c r="Y63" i="11"/>
  <c r="O63" i="11"/>
  <c r="J63" i="11"/>
  <c r="J64" i="11" s="1"/>
  <c r="Z62" i="11"/>
  <c r="T62" i="11"/>
  <c r="AO61" i="11"/>
  <c r="AN61" i="11"/>
  <c r="AM61" i="11"/>
  <c r="AL61" i="11"/>
  <c r="AK61" i="11"/>
  <c r="AJ61" i="11"/>
  <c r="AJ62" i="11" s="1"/>
  <c r="AI61" i="11"/>
  <c r="AI64" i="11" s="1"/>
  <c r="AH61" i="11"/>
  <c r="AH62" i="11" s="1"/>
  <c r="AG61" i="11"/>
  <c r="AG62" i="11" s="1"/>
  <c r="AF61" i="11"/>
  <c r="AE61" i="11"/>
  <c r="AD61" i="11"/>
  <c r="AC61" i="11"/>
  <c r="AB61" i="11"/>
  <c r="AB62" i="11" s="1"/>
  <c r="AA61" i="11"/>
  <c r="Z61" i="11"/>
  <c r="Z64" i="11" s="1"/>
  <c r="Z66" i="11" s="1"/>
  <c r="Y61" i="11"/>
  <c r="X61" i="11"/>
  <c r="W61" i="11"/>
  <c r="V61" i="11"/>
  <c r="U61" i="11"/>
  <c r="T61" i="11"/>
  <c r="T64" i="11" s="1"/>
  <c r="S61" i="11"/>
  <c r="R61" i="11"/>
  <c r="R64" i="11" s="1"/>
  <c r="R66" i="11" s="1"/>
  <c r="Q61" i="11"/>
  <c r="Q62" i="11" s="1"/>
  <c r="P61" i="11"/>
  <c r="P64" i="11" s="1"/>
  <c r="P66" i="11" s="1"/>
  <c r="O61" i="11"/>
  <c r="N61" i="11"/>
  <c r="N64" i="11" s="1"/>
  <c r="N66" i="11" s="1"/>
  <c r="M61" i="11"/>
  <c r="L61" i="11"/>
  <c r="K61" i="11"/>
  <c r="K64" i="11" s="1"/>
  <c r="K66" i="11" s="1"/>
  <c r="K67" i="11" s="1"/>
  <c r="J61" i="11"/>
  <c r="I61" i="11"/>
  <c r="H61" i="11"/>
  <c r="H64" i="11" s="1"/>
  <c r="H66" i="11" s="1"/>
  <c r="G61" i="11"/>
  <c r="V59" i="11"/>
  <c r="AN58" i="11"/>
  <c r="AI58" i="11"/>
  <c r="AD58" i="11"/>
  <c r="AD57" i="11" s="1"/>
  <c r="Y58" i="11"/>
  <c r="Y57" i="11" s="1"/>
  <c r="O58" i="11"/>
  <c r="J58" i="11"/>
  <c r="O57" i="11"/>
  <c r="K57" i="11"/>
  <c r="AO56" i="11"/>
  <c r="AN56" i="11"/>
  <c r="AM56" i="11"/>
  <c r="AL56" i="11"/>
  <c r="AK56" i="11"/>
  <c r="AJ56" i="11"/>
  <c r="AI56" i="11"/>
  <c r="AH56" i="11"/>
  <c r="AG56" i="11"/>
  <c r="AF56" i="11"/>
  <c r="AE56" i="11"/>
  <c r="AD56" i="11"/>
  <c r="AC56" i="11"/>
  <c r="AB56" i="11"/>
  <c r="AA56" i="11"/>
  <c r="AA57" i="11" s="1"/>
  <c r="Z56" i="11"/>
  <c r="Z59" i="11" s="1"/>
  <c r="Y56" i="11"/>
  <c r="X56" i="11"/>
  <c r="W56" i="11"/>
  <c r="W59" i="11" s="1"/>
  <c r="V56" i="11"/>
  <c r="V57" i="11" s="1"/>
  <c r="U56" i="11"/>
  <c r="U59" i="11" s="1"/>
  <c r="T56" i="11"/>
  <c r="S56" i="11"/>
  <c r="R56" i="11"/>
  <c r="Q56" i="11"/>
  <c r="P56" i="11"/>
  <c r="O56" i="11"/>
  <c r="N56" i="11"/>
  <c r="M56" i="11"/>
  <c r="M59" i="11" s="1"/>
  <c r="L56" i="11"/>
  <c r="K56" i="11"/>
  <c r="K59" i="11" s="1"/>
  <c r="J56" i="11"/>
  <c r="J59" i="11" s="1"/>
  <c r="I56" i="11"/>
  <c r="H56" i="11"/>
  <c r="H57" i="11" s="1"/>
  <c r="G56" i="11"/>
  <c r="Q52" i="11"/>
  <c r="X51" i="11"/>
  <c r="W51" i="11"/>
  <c r="U51" i="11"/>
  <c r="W50" i="11"/>
  <c r="F50" i="11"/>
  <c r="AO47" i="11"/>
  <c r="AO52" i="11" s="1"/>
  <c r="AM47" i="11"/>
  <c r="AM52" i="11" s="1"/>
  <c r="AL47" i="11"/>
  <c r="AL52" i="11" s="1"/>
  <c r="AK47" i="11"/>
  <c r="AK52" i="11" s="1"/>
  <c r="AJ47" i="11"/>
  <c r="AJ52" i="11" s="1"/>
  <c r="AH47" i="11"/>
  <c r="AH52" i="11" s="1"/>
  <c r="AG47" i="11"/>
  <c r="AF47" i="11"/>
  <c r="AF52" i="11" s="1"/>
  <c r="AE47" i="11"/>
  <c r="AE52" i="11" s="1"/>
  <c r="AC47" i="11"/>
  <c r="AC52" i="11" s="1"/>
  <c r="AB47" i="11"/>
  <c r="AB52" i="11" s="1"/>
  <c r="AA47" i="11"/>
  <c r="AA52" i="11" s="1"/>
  <c r="Z47" i="11"/>
  <c r="Z52" i="11" s="1"/>
  <c r="X47" i="11"/>
  <c r="X52" i="11" s="1"/>
  <c r="W47" i="11"/>
  <c r="W52" i="11" s="1"/>
  <c r="V47" i="11"/>
  <c r="V52" i="11" s="1"/>
  <c r="U47" i="11"/>
  <c r="U52" i="11" s="1"/>
  <c r="S47" i="11"/>
  <c r="S52" i="11" s="1"/>
  <c r="R47" i="11"/>
  <c r="R52" i="11" s="1"/>
  <c r="Q47" i="11"/>
  <c r="P47" i="11"/>
  <c r="P52" i="11" s="1"/>
  <c r="N47" i="11"/>
  <c r="N52" i="11" s="1"/>
  <c r="M47" i="11"/>
  <c r="M52" i="11" s="1"/>
  <c r="L47" i="11"/>
  <c r="L52" i="11" s="1"/>
  <c r="K47" i="11"/>
  <c r="I47" i="11"/>
  <c r="I52" i="11" s="1"/>
  <c r="H47" i="11"/>
  <c r="H52" i="11" s="1"/>
  <c r="G47" i="11"/>
  <c r="G52" i="11" s="1"/>
  <c r="F47" i="11"/>
  <c r="F52" i="11" s="1"/>
  <c r="AM46" i="11"/>
  <c r="AM51" i="11" s="1"/>
  <c r="AL46" i="11"/>
  <c r="AL51" i="11" s="1"/>
  <c r="AK46" i="11"/>
  <c r="AK51" i="11" s="1"/>
  <c r="AH46" i="11"/>
  <c r="AH51" i="11" s="1"/>
  <c r="AG46" i="11"/>
  <c r="AG51" i="11" s="1"/>
  <c r="AF46" i="11"/>
  <c r="AE46" i="11"/>
  <c r="AE51" i="11" s="1"/>
  <c r="AC46" i="11"/>
  <c r="AC51" i="11" s="1"/>
  <c r="AB46" i="11"/>
  <c r="AB51" i="11" s="1"/>
  <c r="AA46" i="11"/>
  <c r="Z46" i="11"/>
  <c r="X46" i="11"/>
  <c r="W46" i="11"/>
  <c r="V46" i="11"/>
  <c r="V51" i="11" s="1"/>
  <c r="U46" i="11"/>
  <c r="S46" i="11"/>
  <c r="R46" i="11"/>
  <c r="R51" i="11" s="1"/>
  <c r="Q46" i="11"/>
  <c r="Q51" i="11" s="1"/>
  <c r="P46" i="11"/>
  <c r="P51" i="11" s="1"/>
  <c r="N46" i="11"/>
  <c r="N51" i="11" s="1"/>
  <c r="M46" i="11"/>
  <c r="M51" i="11" s="1"/>
  <c r="L46" i="11"/>
  <c r="L51" i="11" s="1"/>
  <c r="K46" i="11"/>
  <c r="K51" i="11" s="1"/>
  <c r="I46" i="11"/>
  <c r="H46" i="11"/>
  <c r="H51" i="11" s="1"/>
  <c r="G46" i="11"/>
  <c r="G51" i="11" s="1"/>
  <c r="F46" i="11"/>
  <c r="F51" i="11" s="1"/>
  <c r="AM45" i="11"/>
  <c r="AM50" i="11" s="1"/>
  <c r="AL45" i="11"/>
  <c r="AK45" i="11"/>
  <c r="AH45" i="11"/>
  <c r="AH50" i="11" s="1"/>
  <c r="AG45" i="11"/>
  <c r="AG50" i="11" s="1"/>
  <c r="AF45" i="11"/>
  <c r="AF50" i="11" s="1"/>
  <c r="AE45" i="11"/>
  <c r="AE50" i="11" s="1"/>
  <c r="AC45" i="11"/>
  <c r="AB45" i="11"/>
  <c r="AA45" i="11"/>
  <c r="AA50" i="11" s="1"/>
  <c r="Z45" i="11"/>
  <c r="Z50" i="11" s="1"/>
  <c r="X45" i="11"/>
  <c r="X50" i="11" s="1"/>
  <c r="W45" i="11"/>
  <c r="V45" i="11"/>
  <c r="U45" i="11"/>
  <c r="S45" i="11"/>
  <c r="S50" i="11" s="1"/>
  <c r="R45" i="11"/>
  <c r="Q45" i="11"/>
  <c r="P45" i="11"/>
  <c r="P50" i="11" s="1"/>
  <c r="N45" i="11"/>
  <c r="M45" i="11"/>
  <c r="L45" i="11"/>
  <c r="K45" i="11"/>
  <c r="K50" i="11" s="1"/>
  <c r="I45" i="11"/>
  <c r="I50" i="11" s="1"/>
  <c r="H45" i="11"/>
  <c r="G45" i="11"/>
  <c r="F45" i="11"/>
  <c r="AN43" i="11"/>
  <c r="AM43" i="11"/>
  <c r="AL43" i="11"/>
  <c r="AK43" i="11"/>
  <c r="AJ43" i="11"/>
  <c r="AI43" i="11"/>
  <c r="AH43" i="11"/>
  <c r="AG43" i="11"/>
  <c r="AF43" i="11"/>
  <c r="AE43" i="11"/>
  <c r="AC43" i="11"/>
  <c r="AB43" i="11"/>
  <c r="AA43" i="11"/>
  <c r="Z43" i="11"/>
  <c r="X43" i="11"/>
  <c r="W43" i="11"/>
  <c r="V43" i="11"/>
  <c r="U43" i="11"/>
  <c r="S43" i="11"/>
  <c r="R43" i="11"/>
  <c r="Q43" i="11"/>
  <c r="P43" i="11"/>
  <c r="N43" i="11"/>
  <c r="M43" i="11"/>
  <c r="L43" i="11"/>
  <c r="K43" i="11"/>
  <c r="I43" i="11"/>
  <c r="H43" i="11"/>
  <c r="G43" i="11"/>
  <c r="F43" i="11"/>
  <c r="AD42" i="11"/>
  <c r="Y42" i="11"/>
  <c r="Y43" i="11" s="1"/>
  <c r="T42" i="11"/>
  <c r="O42" i="11"/>
  <c r="J42" i="11"/>
  <c r="AO41" i="11"/>
  <c r="T41" i="11"/>
  <c r="O41" i="11"/>
  <c r="J41" i="11"/>
  <c r="AO40" i="11"/>
  <c r="T40" i="11"/>
  <c r="O40" i="11"/>
  <c r="J40" i="11"/>
  <c r="J43" i="11" s="1"/>
  <c r="AN38" i="11"/>
  <c r="AM38" i="11"/>
  <c r="AL38" i="11"/>
  <c r="AK38" i="11"/>
  <c r="AI38" i="11"/>
  <c r="AH38" i="11"/>
  <c r="AG38" i="11"/>
  <c r="AF38" i="11"/>
  <c r="AE38" i="11"/>
  <c r="AC38" i="11"/>
  <c r="AB38" i="11"/>
  <c r="AA38" i="11"/>
  <c r="Z38" i="11"/>
  <c r="X38" i="11"/>
  <c r="W38" i="11"/>
  <c r="V38" i="11"/>
  <c r="U38" i="11"/>
  <c r="S38" i="11"/>
  <c r="R38" i="11"/>
  <c r="Q38" i="11"/>
  <c r="P38" i="11"/>
  <c r="N38" i="11"/>
  <c r="M38" i="11"/>
  <c r="L38" i="11"/>
  <c r="K38" i="11"/>
  <c r="I38" i="11"/>
  <c r="H38" i="11"/>
  <c r="G38" i="11"/>
  <c r="F38" i="11"/>
  <c r="AO37" i="11"/>
  <c r="AD37" i="11"/>
  <c r="AD38" i="11" s="1"/>
  <c r="Y37" i="11"/>
  <c r="Y38" i="11" s="1"/>
  <c r="T37" i="11"/>
  <c r="O37" i="11"/>
  <c r="J37" i="11"/>
  <c r="AO36" i="11"/>
  <c r="AJ36" i="11"/>
  <c r="AJ46" i="11" s="1"/>
  <c r="AJ51" i="11" s="1"/>
  <c r="T36" i="11"/>
  <c r="O36" i="11"/>
  <c r="J36" i="11"/>
  <c r="J46" i="11" s="1"/>
  <c r="J51" i="11" s="1"/>
  <c r="AO35" i="11"/>
  <c r="AO45" i="11" s="1"/>
  <c r="AJ35" i="11"/>
  <c r="AJ45" i="11" s="1"/>
  <c r="T35" i="11"/>
  <c r="O35" i="11"/>
  <c r="J35" i="11"/>
  <c r="AO32" i="11"/>
  <c r="AM32" i="11"/>
  <c r="AL32" i="11"/>
  <c r="AK32" i="11"/>
  <c r="AJ32" i="11"/>
  <c r="AH32" i="11"/>
  <c r="AG32" i="11"/>
  <c r="AF32" i="11"/>
  <c r="AE32" i="11"/>
  <c r="AC32" i="11"/>
  <c r="AB32" i="11"/>
  <c r="AA32" i="11"/>
  <c r="Z32" i="11"/>
  <c r="X32" i="11"/>
  <c r="W32" i="11"/>
  <c r="V32" i="11"/>
  <c r="U32" i="11"/>
  <c r="S32" i="11"/>
  <c r="R32" i="11"/>
  <c r="Q32" i="11"/>
  <c r="P32" i="11"/>
  <c r="N32" i="11"/>
  <c r="M32" i="11"/>
  <c r="L32" i="11"/>
  <c r="K32" i="11"/>
  <c r="I32" i="11"/>
  <c r="H32" i="11"/>
  <c r="G32" i="11"/>
  <c r="F32" i="11"/>
  <c r="AO31" i="11"/>
  <c r="AM31" i="11"/>
  <c r="AL31" i="11"/>
  <c r="AK31" i="11"/>
  <c r="AJ31" i="11"/>
  <c r="AI31" i="11"/>
  <c r="AH31" i="11"/>
  <c r="AG31" i="11"/>
  <c r="AF31" i="11"/>
  <c r="AE31" i="11"/>
  <c r="AC31" i="11"/>
  <c r="AB31" i="11"/>
  <c r="AA31" i="11"/>
  <c r="Z31" i="11"/>
  <c r="X31" i="11"/>
  <c r="W31" i="11"/>
  <c r="V31" i="11"/>
  <c r="U31" i="11"/>
  <c r="S31" i="11"/>
  <c r="R31" i="11"/>
  <c r="Q31" i="11"/>
  <c r="P31" i="11"/>
  <c r="N31" i="11"/>
  <c r="M31" i="11"/>
  <c r="L31" i="11"/>
  <c r="K31" i="11"/>
  <c r="AN30" i="11"/>
  <c r="AI30" i="11"/>
  <c r="AI47" i="11" s="1"/>
  <c r="AI52" i="11" s="1"/>
  <c r="AD30" i="11"/>
  <c r="Y30" i="11"/>
  <c r="T30" i="11"/>
  <c r="O30" i="11"/>
  <c r="J30" i="11"/>
  <c r="AO29" i="11"/>
  <c r="AM29" i="11"/>
  <c r="AL29" i="11"/>
  <c r="AK29" i="11"/>
  <c r="AJ29" i="11"/>
  <c r="AH29" i="11"/>
  <c r="AG29" i="11"/>
  <c r="AF29" i="11"/>
  <c r="AE29" i="11"/>
  <c r="AC29" i="11"/>
  <c r="AB29" i="11"/>
  <c r="AA29" i="11"/>
  <c r="Z29" i="11"/>
  <c r="X29" i="11"/>
  <c r="W29" i="11"/>
  <c r="V29" i="11"/>
  <c r="U29" i="11"/>
  <c r="S29" i="11"/>
  <c r="R29" i="11"/>
  <c r="Q29" i="11"/>
  <c r="P29" i="11"/>
  <c r="O29" i="11"/>
  <c r="N29" i="11"/>
  <c r="M29" i="11"/>
  <c r="L29" i="11"/>
  <c r="K29" i="11"/>
  <c r="AN28" i="11"/>
  <c r="AI28" i="11"/>
  <c r="AI46" i="11" s="1"/>
  <c r="AI51" i="11" s="1"/>
  <c r="AD28" i="11"/>
  <c r="AD392" i="1" s="1"/>
  <c r="Y28" i="11"/>
  <c r="T28" i="11"/>
  <c r="O28" i="11"/>
  <c r="J28" i="11"/>
  <c r="AO27" i="11"/>
  <c r="AM27" i="11"/>
  <c r="AL27" i="11"/>
  <c r="AK27" i="11"/>
  <c r="AJ27" i="11"/>
  <c r="AH27" i="11"/>
  <c r="AG27" i="11"/>
  <c r="AF27" i="11"/>
  <c r="AE27" i="11"/>
  <c r="AC27" i="11"/>
  <c r="AB27" i="11"/>
  <c r="AA27" i="11"/>
  <c r="Z27" i="11"/>
  <c r="X27" i="11"/>
  <c r="W27" i="11"/>
  <c r="V27" i="11"/>
  <c r="U27" i="11"/>
  <c r="S27" i="11"/>
  <c r="R27" i="11"/>
  <c r="Q27" i="11"/>
  <c r="P27" i="11"/>
  <c r="N27" i="11"/>
  <c r="M27" i="11"/>
  <c r="L27" i="11"/>
  <c r="K27" i="11"/>
  <c r="AN26" i="11"/>
  <c r="AN45" i="11" s="1"/>
  <c r="AN50" i="11" s="1"/>
  <c r="AI26" i="11"/>
  <c r="AD26" i="11"/>
  <c r="Y26" i="11"/>
  <c r="Y391" i="1" s="1"/>
  <c r="T26" i="11"/>
  <c r="O26" i="11"/>
  <c r="J26" i="11"/>
  <c r="BS23" i="11"/>
  <c r="BN23" i="11"/>
  <c r="BI23" i="11"/>
  <c r="BD23" i="11"/>
  <c r="AY23" i="11"/>
  <c r="AT23" i="11"/>
  <c r="BT16" i="11"/>
  <c r="BS16" i="11"/>
  <c r="BQ16" i="11"/>
  <c r="BP16" i="11"/>
  <c r="BO16" i="11"/>
  <c r="BN16" i="11"/>
  <c r="BL16" i="11"/>
  <c r="BK16" i="11"/>
  <c r="BK10" i="11" s="1"/>
  <c r="BJ16" i="11"/>
  <c r="BI16" i="11"/>
  <c r="BG16" i="11"/>
  <c r="BG10" i="11" s="1"/>
  <c r="BF16" i="11"/>
  <c r="BF10" i="11" s="1"/>
  <c r="BE16" i="11"/>
  <c r="BD16" i="11"/>
  <c r="BB16" i="11"/>
  <c r="BA16" i="11"/>
  <c r="AZ16" i="11"/>
  <c r="AY16" i="11"/>
  <c r="AW16" i="11"/>
  <c r="AV16" i="11"/>
  <c r="AU16" i="11"/>
  <c r="AT16" i="11"/>
  <c r="AR16" i="11"/>
  <c r="AQ16" i="11"/>
  <c r="AP16" i="11"/>
  <c r="AO16" i="11"/>
  <c r="AM16" i="11"/>
  <c r="AL16" i="11"/>
  <c r="AK16" i="11"/>
  <c r="AJ16" i="11"/>
  <c r="AH16" i="11"/>
  <c r="AG16" i="11"/>
  <c r="AF16" i="11"/>
  <c r="AE16" i="11"/>
  <c r="AC16" i="11"/>
  <c r="AB16" i="11"/>
  <c r="AA16" i="11"/>
  <c r="Z16" i="11"/>
  <c r="X16" i="11"/>
  <c r="W16" i="11"/>
  <c r="V16" i="11"/>
  <c r="U16" i="11"/>
  <c r="S16" i="11"/>
  <c r="R16" i="11"/>
  <c r="Q16" i="11"/>
  <c r="P16" i="11"/>
  <c r="N16" i="11"/>
  <c r="M16" i="11"/>
  <c r="L16" i="11"/>
  <c r="K16" i="11"/>
  <c r="I16" i="11"/>
  <c r="H16" i="11"/>
  <c r="G16" i="11"/>
  <c r="F16" i="11"/>
  <c r="E16" i="11"/>
  <c r="D16" i="11"/>
  <c r="BR15" i="11"/>
  <c r="BM15" i="11"/>
  <c r="BH15" i="11"/>
  <c r="BC15" i="11"/>
  <c r="AX15" i="11"/>
  <c r="AS15" i="11"/>
  <c r="AN15" i="11"/>
  <c r="AI15" i="11"/>
  <c r="AD15" i="11"/>
  <c r="Y15" i="11"/>
  <c r="T15" i="11"/>
  <c r="O15" i="11"/>
  <c r="J15" i="11"/>
  <c r="BR14" i="11"/>
  <c r="BM14" i="11"/>
  <c r="BH14" i="11"/>
  <c r="BC14" i="11"/>
  <c r="AX14" i="11"/>
  <c r="AS14" i="11"/>
  <c r="AN14" i="11"/>
  <c r="AI14" i="11"/>
  <c r="AD14" i="11"/>
  <c r="Y14" i="11"/>
  <c r="T14" i="11"/>
  <c r="O14" i="11"/>
  <c r="J14" i="11"/>
  <c r="BR13" i="11"/>
  <c r="BM13" i="11"/>
  <c r="BH13" i="11"/>
  <c r="BC13" i="11"/>
  <c r="AX13" i="11"/>
  <c r="AS13" i="11"/>
  <c r="AN13" i="11"/>
  <c r="AI13" i="11"/>
  <c r="AD13" i="11"/>
  <c r="Y13" i="11"/>
  <c r="T13" i="11"/>
  <c r="O13" i="11"/>
  <c r="J13" i="11"/>
  <c r="BR12" i="11"/>
  <c r="BR16" i="11" s="1"/>
  <c r="BM12" i="11"/>
  <c r="BH12" i="11"/>
  <c r="BC12" i="11"/>
  <c r="AX12" i="11"/>
  <c r="AS12" i="11"/>
  <c r="AN12" i="11"/>
  <c r="AI12" i="11"/>
  <c r="AD12" i="11"/>
  <c r="AD16" i="11" s="1"/>
  <c r="Y12" i="11"/>
  <c r="T12" i="11"/>
  <c r="O12" i="11"/>
  <c r="J12" i="11"/>
  <c r="BR10" i="11"/>
  <c r="BM10" i="11"/>
  <c r="BH10" i="11"/>
  <c r="BC10" i="11"/>
  <c r="AX10" i="11"/>
  <c r="AS10" i="11"/>
  <c r="AN10" i="11"/>
  <c r="AI10" i="11"/>
  <c r="AD10" i="11"/>
  <c r="Y10" i="11"/>
  <c r="T10" i="11"/>
  <c r="O10" i="11"/>
  <c r="J10" i="11"/>
  <c r="AW9" i="11"/>
  <c r="BT8" i="11"/>
  <c r="BT9" i="11" s="1"/>
  <c r="BS8" i="11"/>
  <c r="BR8" i="11" s="1"/>
  <c r="BQ8" i="11"/>
  <c r="BP8" i="11"/>
  <c r="BO8" i="11"/>
  <c r="BN8" i="11"/>
  <c r="BM8" i="11"/>
  <c r="BL8" i="11"/>
  <c r="BL9" i="11" s="1"/>
  <c r="BK8" i="11"/>
  <c r="BJ8" i="11"/>
  <c r="BI8" i="11"/>
  <c r="BH8" i="11" s="1"/>
  <c r="BG8" i="11"/>
  <c r="BF8" i="11"/>
  <c r="BE8" i="11"/>
  <c r="BD8" i="11"/>
  <c r="BD9" i="11" s="1"/>
  <c r="BC9" i="11" s="1"/>
  <c r="BC8" i="11"/>
  <c r="BB8" i="11"/>
  <c r="BA8" i="11"/>
  <c r="AZ8" i="11"/>
  <c r="AY8" i="11"/>
  <c r="AX8" i="11" s="1"/>
  <c r="AV8" i="11"/>
  <c r="AU8" i="11"/>
  <c r="AT8" i="11"/>
  <c r="AS8" i="11"/>
  <c r="AR8" i="11"/>
  <c r="AQ8" i="11"/>
  <c r="AP8" i="11"/>
  <c r="AO8" i="11"/>
  <c r="AN8" i="11" s="1"/>
  <c r="AM8" i="11"/>
  <c r="AL8" i="11"/>
  <c r="AK8" i="11"/>
  <c r="AJ8" i="11"/>
  <c r="AI8" i="11" s="1"/>
  <c r="AH8" i="11"/>
  <c r="AG8" i="11"/>
  <c r="AF8" i="11"/>
  <c r="AE8" i="11"/>
  <c r="AD8" i="11"/>
  <c r="AC8" i="11"/>
  <c r="AB8" i="11"/>
  <c r="AA8" i="11"/>
  <c r="AA9" i="11" s="1"/>
  <c r="Z8" i="11"/>
  <c r="X8" i="11"/>
  <c r="W8" i="11"/>
  <c r="V8" i="11"/>
  <c r="U8" i="11"/>
  <c r="T8" i="11" s="1"/>
  <c r="S8" i="11"/>
  <c r="R8" i="11"/>
  <c r="Q8" i="11"/>
  <c r="P8" i="11"/>
  <c r="O8" i="11" s="1"/>
  <c r="N8" i="11"/>
  <c r="M8" i="11"/>
  <c r="L8" i="11"/>
  <c r="K8" i="11"/>
  <c r="J8" i="11" s="1"/>
  <c r="I8" i="11"/>
  <c r="H8" i="11"/>
  <c r="G8" i="11"/>
  <c r="F8" i="11"/>
  <c r="E8" i="11"/>
  <c r="D8" i="11"/>
  <c r="BT7" i="11"/>
  <c r="BS7" i="11"/>
  <c r="BQ7" i="11"/>
  <c r="BQ9" i="11" s="1"/>
  <c r="BP7" i="11"/>
  <c r="BP9" i="11" s="1"/>
  <c r="BO7" i="11"/>
  <c r="BO9" i="11" s="1"/>
  <c r="BN7" i="11"/>
  <c r="BL7" i="11"/>
  <c r="BK7" i="11"/>
  <c r="BJ7" i="11"/>
  <c r="BI7" i="11"/>
  <c r="BG7" i="11"/>
  <c r="BG9" i="11" s="1"/>
  <c r="BF7" i="11"/>
  <c r="BF9" i="11" s="1"/>
  <c r="BE7" i="11"/>
  <c r="BE9" i="11" s="1"/>
  <c r="BD7" i="11"/>
  <c r="BC7" i="11"/>
  <c r="BB7" i="11"/>
  <c r="BA7" i="11"/>
  <c r="AZ7" i="11"/>
  <c r="AZ9" i="11" s="1"/>
  <c r="AY7" i="11"/>
  <c r="AV7" i="11"/>
  <c r="AV9" i="11" s="1"/>
  <c r="AU7" i="11"/>
  <c r="AU9" i="11" s="1"/>
  <c r="AT7" i="11"/>
  <c r="AS7" i="11" s="1"/>
  <c r="AR7" i="11"/>
  <c r="AQ7" i="11"/>
  <c r="AP7" i="11"/>
  <c r="AP9" i="11" s="1"/>
  <c r="AO7" i="11"/>
  <c r="AM7" i="11"/>
  <c r="AL7" i="11"/>
  <c r="AK7" i="11"/>
  <c r="AJ7" i="11"/>
  <c r="AI7" i="11"/>
  <c r="AH7" i="11"/>
  <c r="AG7" i="11"/>
  <c r="AG9" i="11" s="1"/>
  <c r="AF7" i="11"/>
  <c r="AF9" i="11" s="1"/>
  <c r="AE7" i="11"/>
  <c r="AC7" i="11"/>
  <c r="AB7" i="11"/>
  <c r="AA7" i="11"/>
  <c r="Z7" i="11"/>
  <c r="Y7" i="11" s="1"/>
  <c r="X7" i="11"/>
  <c r="X9" i="11" s="1"/>
  <c r="W7" i="11"/>
  <c r="W9" i="11" s="1"/>
  <c r="V7" i="11"/>
  <c r="V9" i="11" s="1"/>
  <c r="U7" i="11"/>
  <c r="S7" i="11"/>
  <c r="R7" i="11"/>
  <c r="R9" i="11" s="1"/>
  <c r="Q7" i="11"/>
  <c r="P7" i="11"/>
  <c r="N7" i="11"/>
  <c r="N9" i="11" s="1"/>
  <c r="M7" i="11"/>
  <c r="L7" i="11"/>
  <c r="L9" i="11" s="1"/>
  <c r="K7" i="11"/>
  <c r="J7" i="11" s="1"/>
  <c r="I7" i="11"/>
  <c r="H7" i="11"/>
  <c r="G7" i="11"/>
  <c r="F7" i="11"/>
  <c r="F9" i="11" s="1"/>
  <c r="E7" i="11"/>
  <c r="D7" i="11"/>
  <c r="D9" i="11" s="1"/>
  <c r="C5" i="11"/>
  <c r="CF2" i="11"/>
  <c r="CE2" i="11"/>
  <c r="CD2" i="11"/>
  <c r="CC2" i="11"/>
  <c r="CB2" i="11"/>
  <c r="CA2" i="11"/>
  <c r="BZ2" i="11"/>
  <c r="BY2" i="11"/>
  <c r="BX2" i="11"/>
  <c r="BW2" i="11"/>
  <c r="BV2" i="11"/>
  <c r="BU2" i="11"/>
  <c r="BT2" i="11"/>
  <c r="BS2" i="11"/>
  <c r="BR2" i="11"/>
  <c r="BQ2" i="11"/>
  <c r="BP2" i="11"/>
  <c r="BO2" i="11"/>
  <c r="BN2" i="11"/>
  <c r="BM2" i="11"/>
  <c r="BL2" i="11"/>
  <c r="BK2" i="11"/>
  <c r="BJ2" i="11"/>
  <c r="BI2" i="11"/>
  <c r="BH2" i="11"/>
  <c r="BG2" i="11"/>
  <c r="BF2" i="11"/>
  <c r="BE2" i="11"/>
  <c r="BD2" i="11"/>
  <c r="BC2" i="11"/>
  <c r="BB2" i="11"/>
  <c r="BA2" i="11"/>
  <c r="AZ2" i="11"/>
  <c r="AY2" i="11"/>
  <c r="AX2" i="11"/>
  <c r="AW2" i="11"/>
  <c r="AV2" i="11"/>
  <c r="AU2" i="11"/>
  <c r="AT2" i="11"/>
  <c r="AS2" i="11"/>
  <c r="AR2" i="11"/>
  <c r="AQ2" i="11"/>
  <c r="AP2" i="11"/>
  <c r="AO2" i="11"/>
  <c r="AN2" i="11"/>
  <c r="AM2" i="11"/>
  <c r="AL2" i="11"/>
  <c r="AK2" i="11"/>
  <c r="AJ2" i="11"/>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G2" i="11"/>
  <c r="F2" i="11"/>
  <c r="E2" i="11"/>
  <c r="D2" i="11"/>
  <c r="A1" i="11"/>
  <c r="BN1779" i="13"/>
  <c r="BI1779" i="13"/>
  <c r="BD1779" i="13"/>
  <c r="AY1779" i="13"/>
  <c r="AT1779" i="13"/>
  <c r="BN1767" i="13"/>
  <c r="BI1767" i="13"/>
  <c r="BD1767" i="13"/>
  <c r="AY1767" i="13"/>
  <c r="AY1780" i="13" s="1"/>
  <c r="AT1767" i="13"/>
  <c r="BN1755" i="13"/>
  <c r="BI1755" i="13"/>
  <c r="BD1755" i="13"/>
  <c r="AY1755" i="13"/>
  <c r="AT1755" i="13"/>
  <c r="BI1739" i="13"/>
  <c r="BI1698" i="13"/>
  <c r="BI1697" i="13"/>
  <c r="BI1506" i="13"/>
  <c r="BI1507" i="13" s="1"/>
  <c r="BD1506" i="13"/>
  <c r="BD1507" i="13" s="1"/>
  <c r="AY1506" i="13"/>
  <c r="AY1507" i="13" s="1"/>
  <c r="AT1506" i="13"/>
  <c r="AT1507" i="13" s="1"/>
  <c r="BN1171" i="13"/>
  <c r="BN1172" i="13" s="1"/>
  <c r="BI1171" i="13"/>
  <c r="BI1172" i="13" s="1"/>
  <c r="BD1171" i="13"/>
  <c r="BD1172" i="13" s="1"/>
  <c r="AY1171" i="13"/>
  <c r="AY1172" i="13" s="1"/>
  <c r="AT1171" i="13"/>
  <c r="AT1172" i="13" s="1"/>
  <c r="BN981" i="13"/>
  <c r="BN982" i="13" s="1"/>
  <c r="BI981" i="13"/>
  <c r="BI982" i="13" s="1"/>
  <c r="BD981" i="13"/>
  <c r="BD982" i="13" s="1"/>
  <c r="AY981" i="13"/>
  <c r="AY982" i="13" s="1"/>
  <c r="AT981" i="13"/>
  <c r="AT982" i="13" s="1"/>
  <c r="BD725" i="13"/>
  <c r="BD726" i="13" s="1"/>
  <c r="AY725" i="13"/>
  <c r="AY726" i="13" s="1"/>
  <c r="AT725" i="13"/>
  <c r="AT726" i="13" s="1"/>
  <c r="AT464" i="13"/>
  <c r="BN463" i="13"/>
  <c r="BN464" i="13" s="1"/>
  <c r="BI463" i="13"/>
  <c r="BI464" i="13" s="1"/>
  <c r="BD463" i="13"/>
  <c r="BD464" i="13" s="1"/>
  <c r="AY463" i="13"/>
  <c r="AY464" i="13" s="1"/>
  <c r="AT463" i="13"/>
  <c r="BN12" i="13"/>
  <c r="BN13" i="13" s="1"/>
  <c r="BI12" i="13"/>
  <c r="BI13" i="13" s="1"/>
  <c r="BD12" i="13"/>
  <c r="BD13" i="13" s="1"/>
  <c r="AY12" i="13"/>
  <c r="AY13" i="13" s="1"/>
  <c r="AT12" i="13"/>
  <c r="AT13" i="13" s="1"/>
  <c r="C5" i="13"/>
  <c r="CF2" i="13"/>
  <c r="CE2" i="13"/>
  <c r="CD2" i="13"/>
  <c r="CC2" i="13"/>
  <c r="CB2" i="13"/>
  <c r="CA2" i="13"/>
  <c r="BZ2" i="13"/>
  <c r="BY2" i="13"/>
  <c r="BX2" i="13"/>
  <c r="BW2" i="13"/>
  <c r="BV2" i="13"/>
  <c r="BU2" i="13"/>
  <c r="BT2" i="13"/>
  <c r="BS2" i="13"/>
  <c r="BR2" i="13"/>
  <c r="BQ2" i="13"/>
  <c r="BP2" i="13"/>
  <c r="BO2" i="13"/>
  <c r="BN2" i="13"/>
  <c r="BM2" i="13"/>
  <c r="BL2" i="13"/>
  <c r="BK2" i="13"/>
  <c r="BJ2" i="13"/>
  <c r="BI2" i="13"/>
  <c r="BH2" i="13"/>
  <c r="BG2" i="13"/>
  <c r="BF2" i="13"/>
  <c r="BE2" i="13"/>
  <c r="BD2" i="13"/>
  <c r="BC2" i="13"/>
  <c r="BB2" i="13"/>
  <c r="BA2" i="13"/>
  <c r="AZ2" i="13"/>
  <c r="AY2" i="13"/>
  <c r="AX2" i="13"/>
  <c r="AW2" i="13"/>
  <c r="AV2" i="13"/>
  <c r="AU2" i="13"/>
  <c r="AT2" i="13"/>
  <c r="AS2" i="13"/>
  <c r="AR2" i="13"/>
  <c r="AQ2" i="13"/>
  <c r="AP2" i="13"/>
  <c r="AO2" i="13"/>
  <c r="AN2" i="13"/>
  <c r="AM2" i="13"/>
  <c r="AL2" i="13"/>
  <c r="AK2" i="13"/>
  <c r="AJ2" i="13"/>
  <c r="AI2" i="13"/>
  <c r="AH2" i="13"/>
  <c r="AG2" i="13"/>
  <c r="AF2" i="13"/>
  <c r="AE2" i="13"/>
  <c r="AD2" i="13"/>
  <c r="AC2" i="13"/>
  <c r="AB2" i="13"/>
  <c r="AA2" i="13"/>
  <c r="Z2" i="13"/>
  <c r="Y2" i="13"/>
  <c r="X2" i="13"/>
  <c r="W2" i="13"/>
  <c r="V2" i="13"/>
  <c r="U2" i="13"/>
  <c r="T2" i="13"/>
  <c r="S2" i="13"/>
  <c r="R2" i="13"/>
  <c r="Q2" i="13"/>
  <c r="P2" i="13"/>
  <c r="O2" i="13"/>
  <c r="N2" i="13"/>
  <c r="M2" i="13"/>
  <c r="L2" i="13"/>
  <c r="K2" i="13"/>
  <c r="J2" i="13"/>
  <c r="I2" i="13"/>
  <c r="H2" i="13"/>
  <c r="G2" i="13"/>
  <c r="F2" i="13"/>
  <c r="E2" i="13"/>
  <c r="D2" i="13"/>
  <c r="A1" i="13"/>
  <c r="B1417" i="1"/>
  <c r="B1416" i="1"/>
  <c r="B1415" i="1"/>
  <c r="B1407" i="1"/>
  <c r="C1397" i="1"/>
  <c r="CF1395" i="1"/>
  <c r="CE1395" i="1"/>
  <c r="CD1395" i="1"/>
  <c r="CC1395" i="1"/>
  <c r="CB1395" i="1"/>
  <c r="CA1395" i="1"/>
  <c r="BZ1395" i="1"/>
  <c r="BY1395" i="1"/>
  <c r="BX1395" i="1"/>
  <c r="BW1395" i="1"/>
  <c r="BV1395" i="1"/>
  <c r="BU1395" i="1"/>
  <c r="BT1395" i="1"/>
  <c r="BS1395" i="1"/>
  <c r="BR1395" i="1"/>
  <c r="BQ1395" i="1"/>
  <c r="BP1395" i="1"/>
  <c r="BO1395" i="1"/>
  <c r="BN1395" i="1"/>
  <c r="BM1395" i="1"/>
  <c r="BL1395" i="1"/>
  <c r="BK1395" i="1"/>
  <c r="BJ1395" i="1"/>
  <c r="BI1395" i="1"/>
  <c r="BH1395" i="1"/>
  <c r="BG1395" i="1"/>
  <c r="BF1395" i="1"/>
  <c r="BE1395" i="1"/>
  <c r="BD1395" i="1"/>
  <c r="BC1395" i="1"/>
  <c r="BB1395" i="1"/>
  <c r="BA1395" i="1"/>
  <c r="AZ1395" i="1"/>
  <c r="AY1395" i="1"/>
  <c r="AX1395" i="1"/>
  <c r="AW1395" i="1"/>
  <c r="AV1395" i="1"/>
  <c r="AU1395" i="1"/>
  <c r="AT1395" i="1"/>
  <c r="AS1395" i="1"/>
  <c r="AR1395" i="1"/>
  <c r="AQ1395" i="1"/>
  <c r="AP1395" i="1"/>
  <c r="AO1395" i="1"/>
  <c r="AN1395" i="1"/>
  <c r="AM1395" i="1"/>
  <c r="AL1395" i="1"/>
  <c r="AK1395" i="1"/>
  <c r="AJ1395" i="1"/>
  <c r="AI1395" i="1"/>
  <c r="AH1395" i="1"/>
  <c r="AG1395" i="1"/>
  <c r="AF1395" i="1"/>
  <c r="AE1395" i="1"/>
  <c r="AD1395" i="1"/>
  <c r="AC1395" i="1"/>
  <c r="AB1395" i="1"/>
  <c r="AA1395" i="1"/>
  <c r="Z1395" i="1"/>
  <c r="Y1395" i="1"/>
  <c r="X1395" i="1"/>
  <c r="W1395" i="1"/>
  <c r="V1395" i="1"/>
  <c r="U1395" i="1"/>
  <c r="T1395" i="1"/>
  <c r="S1395" i="1"/>
  <c r="R1395" i="1"/>
  <c r="Q1395" i="1"/>
  <c r="P1395" i="1"/>
  <c r="O1395" i="1"/>
  <c r="N1395" i="1"/>
  <c r="M1395" i="1"/>
  <c r="L1395" i="1"/>
  <c r="K1395" i="1"/>
  <c r="J1395" i="1"/>
  <c r="I1395" i="1"/>
  <c r="H1395" i="1"/>
  <c r="G1395" i="1"/>
  <c r="F1395" i="1"/>
  <c r="E1395" i="1"/>
  <c r="D1395" i="1"/>
  <c r="C1395" i="1"/>
  <c r="CF1391" i="1"/>
  <c r="CE1391" i="1"/>
  <c r="CD1391" i="1"/>
  <c r="CC1391" i="1"/>
  <c r="CB1391" i="1"/>
  <c r="CA1391" i="1"/>
  <c r="BZ1391" i="1"/>
  <c r="BY1391" i="1"/>
  <c r="BX1391" i="1"/>
  <c r="BW1391" i="1"/>
  <c r="BV1391" i="1"/>
  <c r="BU1391" i="1"/>
  <c r="CF1368" i="1"/>
  <c r="CE1368" i="1"/>
  <c r="CE1018" i="1" s="1"/>
  <c r="CD1368" i="1"/>
  <c r="CC1368" i="1"/>
  <c r="CB1368" i="1"/>
  <c r="CA1368" i="1"/>
  <c r="BZ1368" i="1"/>
  <c r="BY1368" i="1"/>
  <c r="BY1018" i="1" s="1"/>
  <c r="BX1368" i="1"/>
  <c r="BW1368" i="1"/>
  <c r="BV1368" i="1"/>
  <c r="BU1368" i="1"/>
  <c r="BT1368" i="1"/>
  <c r="BT4" i="9" s="1"/>
  <c r="BS1368" i="1"/>
  <c r="BS4" i="9" s="1"/>
  <c r="BR1368" i="1"/>
  <c r="BQ1368" i="1"/>
  <c r="BQ1020" i="1" s="1"/>
  <c r="BQ516" i="1" s="1"/>
  <c r="BP1368" i="1"/>
  <c r="BO1368" i="1"/>
  <c r="BN1368" i="1"/>
  <c r="BM1368" i="1"/>
  <c r="BM4" i="9" s="1"/>
  <c r="BL1368" i="1"/>
  <c r="BL4" i="9" s="1"/>
  <c r="BK1368" i="1"/>
  <c r="BK4" i="9" s="1"/>
  <c r="BJ1368" i="1"/>
  <c r="BI1368" i="1"/>
  <c r="BH1368" i="1"/>
  <c r="BH4" i="9" s="1"/>
  <c r="BG1368" i="1"/>
  <c r="BF1368" i="1"/>
  <c r="BF4" i="9" s="1"/>
  <c r="BE1368" i="1"/>
  <c r="BD1368" i="1"/>
  <c r="BD4" i="9" s="1"/>
  <c r="BC1368" i="1"/>
  <c r="BC4" i="9" s="1"/>
  <c r="BB1368" i="1"/>
  <c r="BA1368" i="1"/>
  <c r="AZ1368" i="1"/>
  <c r="AY1368" i="1"/>
  <c r="AX1368" i="1"/>
  <c r="AX4" i="9" s="1"/>
  <c r="AW1368" i="1"/>
  <c r="AV1368" i="1"/>
  <c r="AV4" i="9" s="1"/>
  <c r="AU1368" i="1"/>
  <c r="AU4" i="9" s="1"/>
  <c r="AT1368" i="1"/>
  <c r="AT4" i="9" s="1"/>
  <c r="AS1368" i="1"/>
  <c r="AS1020" i="1" s="1"/>
  <c r="AS1023" i="1" s="1"/>
  <c r="AR1368" i="1"/>
  <c r="AQ1368" i="1"/>
  <c r="AP1368" i="1"/>
  <c r="AO1368" i="1"/>
  <c r="AN1368" i="1"/>
  <c r="AN4" i="9" s="1"/>
  <c r="AM1368" i="1"/>
  <c r="AM4" i="9" s="1"/>
  <c r="AL1368" i="1"/>
  <c r="AK1368" i="1"/>
  <c r="AJ1368" i="1"/>
  <c r="AJ4" i="9" s="1"/>
  <c r="AI1368" i="1"/>
  <c r="AH1368" i="1"/>
  <c r="AG1368" i="1"/>
  <c r="AG4" i="9" s="1"/>
  <c r="AF1368" i="1"/>
  <c r="AF4" i="9" s="1"/>
  <c r="AE1368" i="1"/>
  <c r="AE4" i="9" s="1"/>
  <c r="AD1368" i="1"/>
  <c r="AC1368" i="1"/>
  <c r="AB1368" i="1"/>
  <c r="AB4" i="9" s="1"/>
  <c r="AA1368" i="1"/>
  <c r="Z1368" i="1"/>
  <c r="Z4" i="9" s="1"/>
  <c r="Y1368" i="1"/>
  <c r="Y4" i="9" s="1"/>
  <c r="X1368" i="1"/>
  <c r="X4" i="9" s="1"/>
  <c r="W1368" i="1"/>
  <c r="W4" i="9" s="1"/>
  <c r="V1368" i="1"/>
  <c r="V4" i="9" s="1"/>
  <c r="U1368" i="1"/>
  <c r="U1020" i="1" s="1"/>
  <c r="T1368" i="1"/>
  <c r="S1368" i="1"/>
  <c r="R1368" i="1"/>
  <c r="R4" i="9" s="1"/>
  <c r="Q1368" i="1"/>
  <c r="Q4" i="9" s="1"/>
  <c r="P1368" i="1"/>
  <c r="P4" i="9" s="1"/>
  <c r="O1368" i="1"/>
  <c r="O4" i="9" s="1"/>
  <c r="N1368" i="1"/>
  <c r="N1020" i="1" s="1"/>
  <c r="N1023" i="1" s="1"/>
  <c r="M1368" i="1"/>
  <c r="L1368" i="1"/>
  <c r="L4" i="9" s="1"/>
  <c r="K1368" i="1"/>
  <c r="K1022" i="1" s="1"/>
  <c r="J1368" i="1"/>
  <c r="J4" i="9" s="1"/>
  <c r="I1368" i="1"/>
  <c r="I4" i="9" s="1"/>
  <c r="H1368" i="1"/>
  <c r="H4" i="9" s="1"/>
  <c r="G1368" i="1"/>
  <c r="G4" i="9" s="1"/>
  <c r="F1368" i="1"/>
  <c r="E1368" i="1"/>
  <c r="D1368" i="1"/>
  <c r="C1368" i="1"/>
  <c r="A1362" i="1"/>
  <c r="A1360" i="1"/>
  <c r="A1357" i="1"/>
  <c r="CF1351" i="1"/>
  <c r="CE1351" i="1"/>
  <c r="CD1351" i="1"/>
  <c r="CC1351" i="1"/>
  <c r="CB1351" i="1"/>
  <c r="CA1351" i="1"/>
  <c r="BZ1351" i="1"/>
  <c r="BY1351" i="1"/>
  <c r="BX1351" i="1"/>
  <c r="BW1351" i="1"/>
  <c r="BV1351" i="1"/>
  <c r="BU1351" i="1"/>
  <c r="CF1350" i="1"/>
  <c r="CE1350" i="1"/>
  <c r="CD1350" i="1"/>
  <c r="CC1350" i="1"/>
  <c r="CB1350" i="1"/>
  <c r="CA1350" i="1"/>
  <c r="BZ1350" i="1"/>
  <c r="BY1350" i="1"/>
  <c r="BX1350" i="1"/>
  <c r="BW1350" i="1"/>
  <c r="BV1350" i="1"/>
  <c r="BU1350" i="1"/>
  <c r="CF1349" i="1"/>
  <c r="CE1349" i="1"/>
  <c r="CD1349" i="1"/>
  <c r="CC1349" i="1"/>
  <c r="CB1349" i="1"/>
  <c r="CA1349" i="1"/>
  <c r="BZ1349" i="1"/>
  <c r="BY1349" i="1"/>
  <c r="BX1349" i="1"/>
  <c r="BW1349" i="1"/>
  <c r="BV1349" i="1"/>
  <c r="BU1349" i="1"/>
  <c r="CF1348" i="1"/>
  <c r="CE1348" i="1"/>
  <c r="CD1348" i="1"/>
  <c r="CC1348" i="1"/>
  <c r="CB1348" i="1"/>
  <c r="CA1348" i="1"/>
  <c r="BZ1348" i="1"/>
  <c r="BY1348" i="1"/>
  <c r="BX1348" i="1"/>
  <c r="BW1348" i="1"/>
  <c r="BV1348" i="1"/>
  <c r="BU1348" i="1"/>
  <c r="CF1347" i="1"/>
  <c r="CE1347" i="1"/>
  <c r="CD1347" i="1"/>
  <c r="CC1347" i="1"/>
  <c r="CB1347" i="1"/>
  <c r="CA1347" i="1"/>
  <c r="BZ1347" i="1"/>
  <c r="BY1347" i="1"/>
  <c r="BX1347" i="1"/>
  <c r="BW1347" i="1"/>
  <c r="BV1347" i="1"/>
  <c r="BU1347" i="1"/>
  <c r="CF1346" i="1"/>
  <c r="CE1346" i="1"/>
  <c r="CD1346" i="1"/>
  <c r="CC1346" i="1"/>
  <c r="CB1346" i="1"/>
  <c r="CA1346" i="1"/>
  <c r="BZ1346" i="1"/>
  <c r="BY1346" i="1"/>
  <c r="BX1346" i="1"/>
  <c r="BW1346" i="1"/>
  <c r="BV1346" i="1"/>
  <c r="BU1346" i="1"/>
  <c r="CF1345" i="1"/>
  <c r="CE1345" i="1"/>
  <c r="CD1345" i="1"/>
  <c r="CC1345" i="1"/>
  <c r="CB1345" i="1"/>
  <c r="CA1345" i="1"/>
  <c r="BZ1345" i="1"/>
  <c r="BY1345" i="1"/>
  <c r="BX1345" i="1"/>
  <c r="BW1345" i="1"/>
  <c r="BV1345" i="1"/>
  <c r="BU1345" i="1"/>
  <c r="CF1344" i="1"/>
  <c r="CE1344" i="1"/>
  <c r="CD1344" i="1"/>
  <c r="CC1344" i="1"/>
  <c r="CB1344" i="1"/>
  <c r="CA1344" i="1"/>
  <c r="BZ1344" i="1"/>
  <c r="BY1344" i="1"/>
  <c r="BX1344" i="1"/>
  <c r="BW1344" i="1"/>
  <c r="BV1344" i="1"/>
  <c r="BU1344" i="1"/>
  <c r="CF1343" i="1"/>
  <c r="CE1343" i="1"/>
  <c r="CD1343" i="1"/>
  <c r="CC1343" i="1"/>
  <c r="CB1343" i="1"/>
  <c r="CA1343" i="1"/>
  <c r="BZ1343" i="1"/>
  <c r="BY1343" i="1"/>
  <c r="BX1343" i="1"/>
  <c r="BW1343" i="1"/>
  <c r="BV1343" i="1"/>
  <c r="BU1343" i="1"/>
  <c r="CF1342" i="1"/>
  <c r="CE1342" i="1"/>
  <c r="CD1342" i="1"/>
  <c r="CC1342" i="1"/>
  <c r="CB1342" i="1"/>
  <c r="CA1342" i="1"/>
  <c r="BZ1342" i="1"/>
  <c r="BY1342" i="1"/>
  <c r="BX1342" i="1"/>
  <c r="BW1342" i="1"/>
  <c r="BV1342" i="1"/>
  <c r="BU1342" i="1"/>
  <c r="CF1341" i="1"/>
  <c r="CE1341" i="1"/>
  <c r="CD1341" i="1"/>
  <c r="CC1341" i="1"/>
  <c r="CB1341" i="1"/>
  <c r="CA1341" i="1"/>
  <c r="BZ1341" i="1"/>
  <c r="BY1341" i="1"/>
  <c r="BX1341" i="1"/>
  <c r="BW1341" i="1"/>
  <c r="BV1341" i="1"/>
  <c r="BU1341" i="1"/>
  <c r="CF1340" i="1"/>
  <c r="CE1340" i="1"/>
  <c r="CD1340" i="1"/>
  <c r="CC1340" i="1"/>
  <c r="CB1340" i="1"/>
  <c r="CA1340" i="1"/>
  <c r="BZ1340" i="1"/>
  <c r="BY1340" i="1"/>
  <c r="BX1340" i="1"/>
  <c r="BW1340" i="1"/>
  <c r="BV1340" i="1"/>
  <c r="BU1340" i="1"/>
  <c r="BT1337" i="1"/>
  <c r="BS1337" i="1"/>
  <c r="BR1337" i="1"/>
  <c r="BQ1337" i="1"/>
  <c r="BP1337" i="1"/>
  <c r="BO1337" i="1"/>
  <c r="BN1337" i="1"/>
  <c r="BM1337" i="1"/>
  <c r="BL1337" i="1"/>
  <c r="BK1337" i="1"/>
  <c r="BJ1337" i="1"/>
  <c r="BI1337" i="1"/>
  <c r="BH1337" i="1"/>
  <c r="BG1337" i="1"/>
  <c r="BF1337" i="1"/>
  <c r="BE1337" i="1"/>
  <c r="BD1337" i="1"/>
  <c r="BC1337" i="1"/>
  <c r="BB1337" i="1"/>
  <c r="BA1337" i="1"/>
  <c r="AZ1337" i="1"/>
  <c r="AY1337" i="1"/>
  <c r="AX1337" i="1"/>
  <c r="AW1337" i="1"/>
  <c r="AV1337" i="1"/>
  <c r="AU1337" i="1"/>
  <c r="AT1337" i="1"/>
  <c r="AS1337" i="1"/>
  <c r="AR1337" i="1"/>
  <c r="AQ1337" i="1"/>
  <c r="AP1337" i="1"/>
  <c r="AO1337" i="1"/>
  <c r="AN1337" i="1"/>
  <c r="AM1337" i="1"/>
  <c r="AL1337" i="1"/>
  <c r="AK1337" i="1"/>
  <c r="AJ1337" i="1"/>
  <c r="AI1337" i="1"/>
  <c r="AH1337" i="1"/>
  <c r="AG1337" i="1"/>
  <c r="AF1337" i="1"/>
  <c r="AE1337" i="1"/>
  <c r="AD1337" i="1"/>
  <c r="CF1333" i="1"/>
  <c r="CE1333" i="1"/>
  <c r="CD1333" i="1"/>
  <c r="CC1333" i="1"/>
  <c r="CB1333" i="1"/>
  <c r="CA1333" i="1"/>
  <c r="BZ1333" i="1"/>
  <c r="BY1333" i="1"/>
  <c r="BX1333" i="1"/>
  <c r="BW1333" i="1"/>
  <c r="BV1333" i="1"/>
  <c r="BU1333" i="1"/>
  <c r="CF1332" i="1"/>
  <c r="CE1332" i="1"/>
  <c r="CD1332" i="1"/>
  <c r="CC1332" i="1"/>
  <c r="CB1332" i="1"/>
  <c r="CA1332" i="1"/>
  <c r="BZ1332" i="1"/>
  <c r="BY1332" i="1"/>
  <c r="BX1332" i="1"/>
  <c r="BW1332" i="1"/>
  <c r="BV1332" i="1"/>
  <c r="BU1332" i="1"/>
  <c r="CF1331" i="1"/>
  <c r="CE1331" i="1"/>
  <c r="CD1331" i="1"/>
  <c r="CC1331" i="1"/>
  <c r="CB1331" i="1"/>
  <c r="CA1331" i="1"/>
  <c r="BZ1331" i="1"/>
  <c r="BY1331" i="1"/>
  <c r="BX1331" i="1"/>
  <c r="BW1331" i="1"/>
  <c r="BV1331" i="1"/>
  <c r="BU1331" i="1"/>
  <c r="CF1330" i="1"/>
  <c r="CE1330" i="1"/>
  <c r="CD1330" i="1"/>
  <c r="CC1330" i="1"/>
  <c r="CB1330" i="1"/>
  <c r="CA1330" i="1"/>
  <c r="BZ1330" i="1"/>
  <c r="BY1330" i="1"/>
  <c r="BX1330" i="1"/>
  <c r="BW1330" i="1"/>
  <c r="BV1330" i="1"/>
  <c r="BU1330" i="1"/>
  <c r="CF1329" i="1"/>
  <c r="CE1329" i="1"/>
  <c r="CD1329" i="1"/>
  <c r="CC1329" i="1"/>
  <c r="CB1329" i="1"/>
  <c r="CA1329" i="1"/>
  <c r="BZ1329" i="1"/>
  <c r="BY1329" i="1"/>
  <c r="BX1329" i="1"/>
  <c r="BW1329" i="1"/>
  <c r="BV1329" i="1"/>
  <c r="BU1329" i="1"/>
  <c r="CF1328" i="1"/>
  <c r="CE1328" i="1"/>
  <c r="CD1328" i="1"/>
  <c r="CC1328" i="1"/>
  <c r="CB1328" i="1"/>
  <c r="CA1328" i="1"/>
  <c r="BZ1328" i="1"/>
  <c r="BY1328" i="1"/>
  <c r="BX1328" i="1"/>
  <c r="BW1328" i="1"/>
  <c r="BV1328" i="1"/>
  <c r="BU1328" i="1"/>
  <c r="CF1327" i="1"/>
  <c r="CE1327" i="1"/>
  <c r="CD1327" i="1"/>
  <c r="CC1327" i="1"/>
  <c r="CB1327" i="1"/>
  <c r="CA1327" i="1"/>
  <c r="BZ1327" i="1"/>
  <c r="BY1327" i="1"/>
  <c r="BX1327" i="1"/>
  <c r="BW1327" i="1"/>
  <c r="BV1327" i="1"/>
  <c r="BU1327" i="1"/>
  <c r="CF1326" i="1"/>
  <c r="CE1326" i="1"/>
  <c r="CD1326" i="1"/>
  <c r="CC1326" i="1"/>
  <c r="CB1326" i="1"/>
  <c r="CA1326" i="1"/>
  <c r="BZ1326" i="1"/>
  <c r="BY1326" i="1"/>
  <c r="BX1326" i="1"/>
  <c r="BW1326" i="1"/>
  <c r="BV1326" i="1"/>
  <c r="BU1326" i="1"/>
  <c r="CF1325" i="1"/>
  <c r="CE1325" i="1"/>
  <c r="CD1325" i="1"/>
  <c r="CC1325" i="1"/>
  <c r="CB1325" i="1"/>
  <c r="CA1325" i="1"/>
  <c r="BZ1325" i="1"/>
  <c r="BY1325" i="1"/>
  <c r="BX1325" i="1"/>
  <c r="BW1325" i="1"/>
  <c r="BV1325" i="1"/>
  <c r="BU1325" i="1"/>
  <c r="CF1324" i="1"/>
  <c r="CE1324" i="1"/>
  <c r="CD1324" i="1"/>
  <c r="CC1324" i="1"/>
  <c r="CB1324" i="1"/>
  <c r="CA1324" i="1"/>
  <c r="BZ1324" i="1"/>
  <c r="BY1324" i="1"/>
  <c r="BX1324" i="1"/>
  <c r="BW1324" i="1"/>
  <c r="BV1324" i="1"/>
  <c r="BU1324" i="1"/>
  <c r="CF1323" i="1"/>
  <c r="CE1323" i="1"/>
  <c r="CD1323" i="1"/>
  <c r="CC1323" i="1"/>
  <c r="CB1323" i="1"/>
  <c r="CA1323" i="1"/>
  <c r="BZ1323" i="1"/>
  <c r="BY1323" i="1"/>
  <c r="BX1323" i="1"/>
  <c r="BW1323" i="1"/>
  <c r="BV1323" i="1"/>
  <c r="BU1323" i="1"/>
  <c r="CF1322" i="1"/>
  <c r="CE1322" i="1"/>
  <c r="CD1322" i="1"/>
  <c r="CC1322" i="1"/>
  <c r="CB1322" i="1"/>
  <c r="CA1322" i="1"/>
  <c r="BZ1322" i="1"/>
  <c r="BY1322" i="1"/>
  <c r="BX1322" i="1"/>
  <c r="BW1322" i="1"/>
  <c r="BV1322" i="1"/>
  <c r="BU1322" i="1"/>
  <c r="A1302" i="1"/>
  <c r="A1299" i="1"/>
  <c r="CF1271" i="1"/>
  <c r="CE1271" i="1"/>
  <c r="CD1271" i="1"/>
  <c r="CC1271" i="1"/>
  <c r="CB1271" i="1"/>
  <c r="CA1271" i="1"/>
  <c r="BZ1271" i="1"/>
  <c r="BY1271" i="1"/>
  <c r="BX1271" i="1"/>
  <c r="BW1271" i="1"/>
  <c r="BV1271" i="1"/>
  <c r="BU1271" i="1"/>
  <c r="CF1269" i="1"/>
  <c r="CE1269" i="1"/>
  <c r="CD1269" i="1"/>
  <c r="CC1269" i="1"/>
  <c r="CB1269" i="1"/>
  <c r="CA1269" i="1"/>
  <c r="BZ1269" i="1"/>
  <c r="BY1269" i="1"/>
  <c r="BX1269" i="1"/>
  <c r="BW1269" i="1"/>
  <c r="BV1269" i="1"/>
  <c r="BU1269" i="1"/>
  <c r="CF1260" i="1"/>
  <c r="CE1260" i="1"/>
  <c r="CD1260" i="1"/>
  <c r="CC1260" i="1"/>
  <c r="CB1260" i="1"/>
  <c r="CA1260" i="1"/>
  <c r="BZ1260" i="1"/>
  <c r="BY1260" i="1"/>
  <c r="BX1260" i="1"/>
  <c r="BW1260" i="1"/>
  <c r="BV1260" i="1"/>
  <c r="BU1260" i="1"/>
  <c r="CF1259" i="1"/>
  <c r="CE1259" i="1"/>
  <c r="CD1259" i="1"/>
  <c r="CC1259" i="1"/>
  <c r="CB1259" i="1"/>
  <c r="CA1259" i="1"/>
  <c r="BZ1259" i="1"/>
  <c r="BY1259" i="1"/>
  <c r="BX1259" i="1"/>
  <c r="BW1259" i="1"/>
  <c r="BV1259" i="1"/>
  <c r="BU1259" i="1"/>
  <c r="BU1253" i="1"/>
  <c r="BV1253" i="1" s="1"/>
  <c r="BT1252" i="1"/>
  <c r="BS1252" i="1"/>
  <c r="BS998" i="1" s="1"/>
  <c r="BQ1252" i="1"/>
  <c r="BQ998" i="1" s="1"/>
  <c r="BP1252" i="1"/>
  <c r="BO1252" i="1"/>
  <c r="BO100" i="9" s="1"/>
  <c r="BN1252" i="1"/>
  <c r="BN100" i="9" s="1"/>
  <c r="BL1252" i="1"/>
  <c r="BK1252" i="1"/>
  <c r="BJ1252" i="1"/>
  <c r="BJ998" i="1" s="1"/>
  <c r="BI1252" i="1"/>
  <c r="BG1252" i="1"/>
  <c r="BF1252" i="1"/>
  <c r="BF100" i="9" s="1"/>
  <c r="BE1252" i="1"/>
  <c r="BE998" i="1" s="1"/>
  <c r="BD1252" i="1"/>
  <c r="BD100" i="9" s="1"/>
  <c r="BD101" i="9" s="1"/>
  <c r="BB1252" i="1"/>
  <c r="BA1252" i="1"/>
  <c r="AZ1252" i="1"/>
  <c r="AZ998" i="1" s="1"/>
  <c r="AY1252" i="1"/>
  <c r="AY100" i="9" s="1"/>
  <c r="AW1252" i="1"/>
  <c r="AV1252" i="1"/>
  <c r="AU1252" i="1"/>
  <c r="AU998" i="1" s="1"/>
  <c r="AT1252" i="1"/>
  <c r="AT100" i="9" s="1"/>
  <c r="AR1252" i="1"/>
  <c r="AR998" i="1" s="1"/>
  <c r="AQ1252" i="1"/>
  <c r="AP1252" i="1"/>
  <c r="AO1252" i="1"/>
  <c r="AO100" i="9" s="1"/>
  <c r="AM1252" i="1"/>
  <c r="AL1252" i="1"/>
  <c r="AK1252" i="1"/>
  <c r="AJ1252" i="1"/>
  <c r="AJ998" i="1" s="1"/>
  <c r="AH1252" i="1"/>
  <c r="AG1252" i="1"/>
  <c r="AG100" i="9" s="1"/>
  <c r="AF1252" i="1"/>
  <c r="AE1252" i="1"/>
  <c r="AE100" i="9" s="1"/>
  <c r="AC1252" i="1"/>
  <c r="AB1252" i="1"/>
  <c r="AA1252" i="1"/>
  <c r="AA100" i="9" s="1"/>
  <c r="Z1252" i="1"/>
  <c r="Z100" i="9" s="1"/>
  <c r="X1252" i="1"/>
  <c r="W1252" i="1"/>
  <c r="W100" i="9" s="1"/>
  <c r="V1252" i="1"/>
  <c r="U1252" i="1"/>
  <c r="T1252" i="1"/>
  <c r="S1252" i="1"/>
  <c r="S100" i="9" s="1"/>
  <c r="R1252" i="1"/>
  <c r="R100" i="9" s="1"/>
  <c r="Q1252" i="1"/>
  <c r="Q100" i="9" s="1"/>
  <c r="P1252" i="1"/>
  <c r="O1252" i="1"/>
  <c r="N1252" i="1"/>
  <c r="N100" i="9" s="1"/>
  <c r="M1252" i="1"/>
  <c r="L1252" i="1"/>
  <c r="L998" i="1" s="1"/>
  <c r="K1252" i="1"/>
  <c r="K100" i="9" s="1"/>
  <c r="J1252" i="1"/>
  <c r="I1252" i="1"/>
  <c r="I100" i="9" s="1"/>
  <c r="H1252" i="1"/>
  <c r="G1252" i="1"/>
  <c r="F1252" i="1"/>
  <c r="E1252" i="1"/>
  <c r="D1252" i="1"/>
  <c r="D998" i="1" s="1"/>
  <c r="C1252" i="1"/>
  <c r="BR1251" i="1"/>
  <c r="BM1251" i="1"/>
  <c r="BH1251" i="1"/>
  <c r="BC1251" i="1"/>
  <c r="AX1251" i="1"/>
  <c r="AS1251" i="1"/>
  <c r="AN1251" i="1"/>
  <c r="AI1251" i="1"/>
  <c r="AD1251" i="1"/>
  <c r="Y1251" i="1"/>
  <c r="BU1250" i="1"/>
  <c r="BV1250" i="1" s="1"/>
  <c r="BW1250" i="1" s="1"/>
  <c r="BX1250" i="1" s="1"/>
  <c r="BY1250" i="1" s="1"/>
  <c r="BZ1250" i="1" s="1"/>
  <c r="CA1250" i="1" s="1"/>
  <c r="CB1250" i="1" s="1"/>
  <c r="CC1250" i="1" s="1"/>
  <c r="CD1250" i="1" s="1"/>
  <c r="CE1250" i="1" s="1"/>
  <c r="CF1250" i="1" s="1"/>
  <c r="BR1250" i="1"/>
  <c r="BM1250" i="1"/>
  <c r="BH1250" i="1"/>
  <c r="BC1250" i="1"/>
  <c r="AX1250" i="1"/>
  <c r="AS1250" i="1"/>
  <c r="AN1250" i="1"/>
  <c r="AI1250" i="1"/>
  <c r="AD1250" i="1"/>
  <c r="Y1250" i="1"/>
  <c r="BU1249" i="1"/>
  <c r="BV1249" i="1" s="1"/>
  <c r="BW1249" i="1" s="1"/>
  <c r="BX1249" i="1" s="1"/>
  <c r="BY1249" i="1" s="1"/>
  <c r="BZ1249" i="1" s="1"/>
  <c r="CA1249" i="1" s="1"/>
  <c r="CB1249" i="1" s="1"/>
  <c r="CC1249" i="1" s="1"/>
  <c r="CD1249" i="1" s="1"/>
  <c r="CE1249" i="1" s="1"/>
  <c r="CF1249" i="1" s="1"/>
  <c r="BR1249" i="1"/>
  <c r="BM1249" i="1"/>
  <c r="BH1249" i="1"/>
  <c r="BC1249" i="1"/>
  <c r="AX1249" i="1"/>
  <c r="AS1249" i="1"/>
  <c r="AN1249" i="1"/>
  <c r="AI1249" i="1"/>
  <c r="AD1249" i="1"/>
  <c r="Y1249" i="1"/>
  <c r="BR1248" i="1"/>
  <c r="BM1248" i="1"/>
  <c r="BH1248" i="1"/>
  <c r="BC1248" i="1"/>
  <c r="AX1248" i="1"/>
  <c r="BR1247" i="1"/>
  <c r="BM1247" i="1"/>
  <c r="BH1247" i="1"/>
  <c r="BC1247" i="1"/>
  <c r="AX1247" i="1"/>
  <c r="AS1247" i="1"/>
  <c r="AN1247" i="1"/>
  <c r="AI1247" i="1"/>
  <c r="AD1247" i="1"/>
  <c r="Y1247" i="1"/>
  <c r="BT1243" i="1"/>
  <c r="BS1243" i="1"/>
  <c r="BQ1243" i="1"/>
  <c r="BP1243" i="1"/>
  <c r="BO1243" i="1"/>
  <c r="BN1243" i="1"/>
  <c r="BN1244" i="1" s="1"/>
  <c r="BN1254" i="1" s="1"/>
  <c r="BL1243" i="1"/>
  <c r="BL1244" i="1" s="1"/>
  <c r="BK1243" i="1"/>
  <c r="BJ1243" i="1"/>
  <c r="BI1243" i="1"/>
  <c r="BG1243" i="1"/>
  <c r="BF1243" i="1"/>
  <c r="BE1243" i="1"/>
  <c r="BD1243" i="1"/>
  <c r="BB1243" i="1"/>
  <c r="BA1243" i="1"/>
  <c r="AZ1243" i="1"/>
  <c r="AY1243" i="1"/>
  <c r="AW1243" i="1"/>
  <c r="AV1243" i="1"/>
  <c r="AU1243" i="1"/>
  <c r="AT1243" i="1"/>
  <c r="AR1243" i="1"/>
  <c r="AQ1243" i="1"/>
  <c r="AP1243" i="1"/>
  <c r="AO1243" i="1"/>
  <c r="AM1243" i="1"/>
  <c r="AL1243" i="1"/>
  <c r="AK1243" i="1"/>
  <c r="AJ1243" i="1"/>
  <c r="AH1243" i="1"/>
  <c r="AH1244" i="1" s="1"/>
  <c r="AG1243" i="1"/>
  <c r="AF1243" i="1"/>
  <c r="AE1243" i="1"/>
  <c r="AC1243" i="1"/>
  <c r="AB1243" i="1"/>
  <c r="AA1243" i="1"/>
  <c r="Z1243" i="1"/>
  <c r="Z1244" i="1" s="1"/>
  <c r="Z1254" i="1" s="1"/>
  <c r="X1243" i="1"/>
  <c r="W1243" i="1"/>
  <c r="V1243" i="1"/>
  <c r="U1243" i="1"/>
  <c r="T1243" i="1"/>
  <c r="S1243" i="1"/>
  <c r="R1243" i="1"/>
  <c r="Q1243" i="1"/>
  <c r="P1243" i="1"/>
  <c r="O1243" i="1"/>
  <c r="N1243" i="1"/>
  <c r="M1243" i="1"/>
  <c r="L1243" i="1"/>
  <c r="K1243" i="1"/>
  <c r="J1243" i="1"/>
  <c r="I1243" i="1"/>
  <c r="H1243" i="1"/>
  <c r="G1243" i="1"/>
  <c r="F1243" i="1"/>
  <c r="E1243" i="1"/>
  <c r="C1243" i="1"/>
  <c r="BR1242" i="1"/>
  <c r="BM1242" i="1"/>
  <c r="BH1242" i="1"/>
  <c r="BH1241" i="1" s="1"/>
  <c r="BC1242" i="1"/>
  <c r="BC1241" i="1" s="1"/>
  <c r="AX1242" i="1"/>
  <c r="AX1241" i="1" s="1"/>
  <c r="AS1242" i="1"/>
  <c r="AN1242" i="1"/>
  <c r="AI1242" i="1"/>
  <c r="AD1242" i="1"/>
  <c r="Y1242" i="1"/>
  <c r="D1242" i="1"/>
  <c r="D1243" i="1" s="1"/>
  <c r="BT1241" i="1"/>
  <c r="BU1241" i="1" s="1"/>
  <c r="BV1241" i="1" s="1"/>
  <c r="BW1241" i="1" s="1"/>
  <c r="BS1241" i="1"/>
  <c r="BQ1241" i="1"/>
  <c r="BP1241" i="1"/>
  <c r="BO1241" i="1"/>
  <c r="BN1241" i="1"/>
  <c r="BL1241" i="1"/>
  <c r="BK1241" i="1"/>
  <c r="BJ1241" i="1"/>
  <c r="BI1241" i="1"/>
  <c r="BG1241" i="1"/>
  <c r="BF1241" i="1"/>
  <c r="BE1241" i="1"/>
  <c r="BD1241" i="1"/>
  <c r="BB1241" i="1"/>
  <c r="BA1241" i="1"/>
  <c r="AZ1241" i="1"/>
  <c r="AY1241" i="1"/>
  <c r="AW1241" i="1"/>
  <c r="AV1241" i="1"/>
  <c r="AU1241" i="1"/>
  <c r="AT1241" i="1"/>
  <c r="AR1241" i="1"/>
  <c r="AQ1241" i="1"/>
  <c r="AP1241" i="1"/>
  <c r="AO1241" i="1"/>
  <c r="AM1241" i="1"/>
  <c r="AL1241" i="1"/>
  <c r="AK1241" i="1"/>
  <c r="BR1240" i="1"/>
  <c r="BM1240" i="1"/>
  <c r="BH1240" i="1"/>
  <c r="BC1240" i="1"/>
  <c r="AX1240" i="1"/>
  <c r="AS1240" i="1"/>
  <c r="AN1240" i="1"/>
  <c r="BR1239" i="1"/>
  <c r="BR753" i="1" s="1"/>
  <c r="BM1239" i="1"/>
  <c r="BH1239" i="1"/>
  <c r="BC1239" i="1"/>
  <c r="AX1239" i="1"/>
  <c r="AS1239" i="1"/>
  <c r="AN1239" i="1"/>
  <c r="AI1239" i="1"/>
  <c r="AD1239" i="1"/>
  <c r="Y1239" i="1"/>
  <c r="BR1238" i="1"/>
  <c r="BM1238" i="1"/>
  <c r="BH1238" i="1"/>
  <c r="BC1238" i="1"/>
  <c r="AX1238" i="1"/>
  <c r="AS1238" i="1"/>
  <c r="AN1238" i="1"/>
  <c r="AN752" i="1" s="1"/>
  <c r="AN983" i="1" s="1"/>
  <c r="AI1238" i="1"/>
  <c r="AD1238" i="1"/>
  <c r="Y1238" i="1"/>
  <c r="BV1237" i="1"/>
  <c r="BW1237" i="1" s="1"/>
  <c r="BU1237" i="1"/>
  <c r="BR1237" i="1"/>
  <c r="BM1237" i="1"/>
  <c r="BH1237" i="1"/>
  <c r="BH1243" i="1" s="1"/>
  <c r="BC1237" i="1"/>
  <c r="AX1237" i="1"/>
  <c r="AS1237" i="1"/>
  <c r="AN1237" i="1"/>
  <c r="AI1237" i="1"/>
  <c r="AD1237" i="1"/>
  <c r="Y1237" i="1"/>
  <c r="BT1234" i="1"/>
  <c r="BT1004" i="1" s="1"/>
  <c r="BS1234" i="1"/>
  <c r="BS114" i="9" s="1"/>
  <c r="BS115" i="9" s="1"/>
  <c r="BQ1234" i="1"/>
  <c r="BQ1004" i="1" s="1"/>
  <c r="BP1234" i="1"/>
  <c r="BO1234" i="1"/>
  <c r="BN1234" i="1"/>
  <c r="BN114" i="9" s="1"/>
  <c r="BL1234" i="1"/>
  <c r="BL114" i="9" s="1"/>
  <c r="BK1234" i="1"/>
  <c r="BJ1234" i="1"/>
  <c r="BJ1004" i="1" s="1"/>
  <c r="BI1234" i="1"/>
  <c r="BG1234" i="1"/>
  <c r="BG1004" i="1" s="1"/>
  <c r="BF1234" i="1"/>
  <c r="BF114" i="9" s="1"/>
  <c r="BE1234" i="1"/>
  <c r="BD1234" i="1"/>
  <c r="BB1234" i="1"/>
  <c r="BA1234" i="1"/>
  <c r="BA1004" i="1" s="1"/>
  <c r="AZ1234" i="1"/>
  <c r="AY1234" i="1"/>
  <c r="AW1234" i="1"/>
  <c r="AW114" i="9" s="1"/>
  <c r="AV1234" i="1"/>
  <c r="AV1004" i="1" s="1"/>
  <c r="AU1234" i="1"/>
  <c r="AT1234" i="1"/>
  <c r="AR1234" i="1"/>
  <c r="AR114" i="9" s="1"/>
  <c r="AQ1234" i="1"/>
  <c r="AP1234" i="1"/>
  <c r="AO1234" i="1"/>
  <c r="AO114" i="9" s="1"/>
  <c r="AO115" i="9" s="1"/>
  <c r="AM1234" i="1"/>
  <c r="AL1234" i="1"/>
  <c r="AK1234" i="1"/>
  <c r="AK1004" i="1" s="1"/>
  <c r="AJ1234" i="1"/>
  <c r="AJ114" i="9" s="1"/>
  <c r="AH1234" i="1"/>
  <c r="AH114" i="9" s="1"/>
  <c r="AG1234" i="1"/>
  <c r="AF1234" i="1"/>
  <c r="AF1004" i="1" s="1"/>
  <c r="AE1234" i="1"/>
  <c r="AC1234" i="1"/>
  <c r="AB1234" i="1"/>
  <c r="AB114" i="9" s="1"/>
  <c r="AA1234" i="1"/>
  <c r="AA114" i="9" s="1"/>
  <c r="Z1234" i="1"/>
  <c r="Z114" i="9" s="1"/>
  <c r="X1234" i="1"/>
  <c r="X114" i="9" s="1"/>
  <c r="W1234" i="1"/>
  <c r="V1234" i="1"/>
  <c r="V1004" i="1" s="1"/>
  <c r="U1234" i="1"/>
  <c r="U1004" i="1" s="1"/>
  <c r="T1234" i="1"/>
  <c r="T114" i="9" s="1"/>
  <c r="S1234" i="1"/>
  <c r="S114" i="9" s="1"/>
  <c r="R1234" i="1"/>
  <c r="R114" i="9" s="1"/>
  <c r="Q1234" i="1"/>
  <c r="P1234" i="1"/>
  <c r="O1234" i="1"/>
  <c r="N1234" i="1"/>
  <c r="N1004" i="1" s="1"/>
  <c r="M1234" i="1"/>
  <c r="L1234" i="1"/>
  <c r="L1004" i="1" s="1"/>
  <c r="K1234" i="1"/>
  <c r="K114" i="9" s="1"/>
  <c r="J1234" i="1"/>
  <c r="I1234" i="1"/>
  <c r="H1234" i="1"/>
  <c r="H114" i="9" s="1"/>
  <c r="G1234" i="1"/>
  <c r="F1234" i="1"/>
  <c r="F1004" i="1" s="1"/>
  <c r="E1234" i="1"/>
  <c r="D1234" i="1"/>
  <c r="D114" i="9" s="1"/>
  <c r="C1234" i="1"/>
  <c r="C114" i="9" s="1"/>
  <c r="C115" i="9" s="1"/>
  <c r="BR1233" i="1"/>
  <c r="BM1233" i="1"/>
  <c r="BH1233" i="1"/>
  <c r="BC1233" i="1"/>
  <c r="AX1233" i="1"/>
  <c r="AS1233" i="1"/>
  <c r="AN1233" i="1"/>
  <c r="AI1233" i="1"/>
  <c r="AD1233" i="1"/>
  <c r="Y1233" i="1"/>
  <c r="BR1232" i="1"/>
  <c r="BM1232" i="1"/>
  <c r="BH1232" i="1"/>
  <c r="BC1232" i="1"/>
  <c r="AX1232" i="1"/>
  <c r="AS1232" i="1"/>
  <c r="BR1231" i="1"/>
  <c r="BM1231" i="1"/>
  <c r="BH1231" i="1"/>
  <c r="BC1231" i="1"/>
  <c r="AX1231" i="1"/>
  <c r="AX753" i="1" s="1"/>
  <c r="AS1231" i="1"/>
  <c r="AN1231" i="1"/>
  <c r="AI1231" i="1"/>
  <c r="AD1231" i="1"/>
  <c r="Y1231" i="1"/>
  <c r="BR1230" i="1"/>
  <c r="BM1230" i="1"/>
  <c r="BH1230" i="1"/>
  <c r="BC1230" i="1"/>
  <c r="AX1230" i="1"/>
  <c r="AX1229" i="1" s="1"/>
  <c r="AS1230" i="1"/>
  <c r="AN1230" i="1"/>
  <c r="AI1230" i="1"/>
  <c r="AD1230" i="1"/>
  <c r="Y1230" i="1"/>
  <c r="BT1229" i="1"/>
  <c r="BS1229" i="1"/>
  <c r="BQ1229" i="1"/>
  <c r="BP1229" i="1"/>
  <c r="BO1229" i="1"/>
  <c r="BN1229" i="1"/>
  <c r="BL1229" i="1"/>
  <c r="BK1229" i="1"/>
  <c r="BJ1229" i="1"/>
  <c r="BI1229" i="1"/>
  <c r="BG1229" i="1"/>
  <c r="BF1229" i="1"/>
  <c r="BE1229" i="1"/>
  <c r="BD1229" i="1"/>
  <c r="BB1229" i="1"/>
  <c r="BA1229" i="1"/>
  <c r="AZ1229" i="1"/>
  <c r="AY1229" i="1"/>
  <c r="AW1229" i="1"/>
  <c r="AV1229" i="1"/>
  <c r="AU1229" i="1"/>
  <c r="AT1229" i="1"/>
  <c r="AR1229" i="1"/>
  <c r="AQ1229" i="1"/>
  <c r="AP1229" i="1"/>
  <c r="AO1229" i="1"/>
  <c r="AM1229" i="1"/>
  <c r="AL1229" i="1"/>
  <c r="AK1229" i="1"/>
  <c r="BR1228" i="1"/>
  <c r="BM1228" i="1"/>
  <c r="BH1228" i="1"/>
  <c r="BC1228" i="1"/>
  <c r="BC944" i="1" s="1"/>
  <c r="BC945" i="1" s="1"/>
  <c r="AX1228" i="1"/>
  <c r="AS1228" i="1"/>
  <c r="AN1228" i="1"/>
  <c r="AN1229" i="1" s="1"/>
  <c r="BR1227" i="1"/>
  <c r="BM1227" i="1"/>
  <c r="BH1227" i="1"/>
  <c r="BC1227" i="1"/>
  <c r="AX1227" i="1"/>
  <c r="AS1227" i="1"/>
  <c r="AN1227" i="1"/>
  <c r="AI1227" i="1"/>
  <c r="AD1227" i="1"/>
  <c r="Y1227" i="1"/>
  <c r="BU1226" i="1"/>
  <c r="BR1226" i="1"/>
  <c r="BM1226" i="1"/>
  <c r="BH1226" i="1"/>
  <c r="BC1226" i="1"/>
  <c r="AX1226" i="1"/>
  <c r="AS1226" i="1"/>
  <c r="AN1226" i="1"/>
  <c r="AI1226" i="1"/>
  <c r="AD1226" i="1"/>
  <c r="Y1226" i="1"/>
  <c r="AM1222" i="1"/>
  <c r="AC1222" i="1"/>
  <c r="AB1222" i="1"/>
  <c r="AB1223" i="1" s="1"/>
  <c r="AB1001" i="1" s="1"/>
  <c r="AA1222" i="1"/>
  <c r="Z1222" i="1"/>
  <c r="X1222" i="1"/>
  <c r="W1222" i="1"/>
  <c r="V1222" i="1"/>
  <c r="U1222" i="1"/>
  <c r="T1222" i="1"/>
  <c r="S1222" i="1"/>
  <c r="R1222" i="1"/>
  <c r="Q1222" i="1"/>
  <c r="P1222" i="1"/>
  <c r="O1222" i="1"/>
  <c r="N1222" i="1"/>
  <c r="M1222" i="1"/>
  <c r="L1222" i="1"/>
  <c r="K1222" i="1"/>
  <c r="J1222" i="1"/>
  <c r="I1222" i="1"/>
  <c r="H1222" i="1"/>
  <c r="G1222" i="1"/>
  <c r="F1222" i="1"/>
  <c r="E1222" i="1"/>
  <c r="D1222" i="1"/>
  <c r="D1223" i="1" s="1"/>
  <c r="C1222" i="1"/>
  <c r="BU1221" i="1"/>
  <c r="BV1221" i="1" s="1"/>
  <c r="BW1221" i="1" s="1"/>
  <c r="BX1221" i="1" s="1"/>
  <c r="BY1221" i="1" s="1"/>
  <c r="BZ1221" i="1" s="1"/>
  <c r="CA1221" i="1" s="1"/>
  <c r="CB1221" i="1" s="1"/>
  <c r="CC1221" i="1" s="1"/>
  <c r="CD1221" i="1" s="1"/>
  <c r="CE1221" i="1" s="1"/>
  <c r="CF1221" i="1" s="1"/>
  <c r="BT1221" i="1"/>
  <c r="BT1222" i="1" s="1"/>
  <c r="BS1221" i="1"/>
  <c r="BR1221" i="1" s="1"/>
  <c r="BQ1221" i="1"/>
  <c r="BP1221" i="1"/>
  <c r="BO1221" i="1"/>
  <c r="BN1221" i="1"/>
  <c r="BM1221" i="1" s="1"/>
  <c r="BL1221" i="1"/>
  <c r="BL1222" i="1" s="1"/>
  <c r="BL1223" i="1" s="1"/>
  <c r="BK1221" i="1"/>
  <c r="BK1222" i="1" s="1"/>
  <c r="BJ1221" i="1"/>
  <c r="BJ1222" i="1" s="1"/>
  <c r="BI1221" i="1"/>
  <c r="BH1221" i="1" s="1"/>
  <c r="BG1221" i="1"/>
  <c r="BF1221" i="1"/>
  <c r="BE1221" i="1"/>
  <c r="BD1221" i="1"/>
  <c r="BC1221" i="1" s="1"/>
  <c r="BB1221" i="1"/>
  <c r="BA1221" i="1"/>
  <c r="AZ1221" i="1"/>
  <c r="AY1221" i="1"/>
  <c r="AX1221" i="1" s="1"/>
  <c r="AW1221" i="1"/>
  <c r="AV1221" i="1"/>
  <c r="AU1221" i="1"/>
  <c r="AT1221" i="1"/>
  <c r="AS1221" i="1" s="1"/>
  <c r="AR1221" i="1"/>
  <c r="AQ1221" i="1"/>
  <c r="AP1221" i="1"/>
  <c r="AO1221" i="1"/>
  <c r="AN1221" i="1" s="1"/>
  <c r="AM1221" i="1"/>
  <c r="AL1221" i="1"/>
  <c r="AK1221" i="1"/>
  <c r="AJ1221" i="1"/>
  <c r="AF1221" i="1"/>
  <c r="AF1222" i="1" s="1"/>
  <c r="AF1223" i="1" s="1"/>
  <c r="AF1001" i="1" s="1"/>
  <c r="AE1221" i="1"/>
  <c r="Y1221" i="1"/>
  <c r="BR1220" i="1"/>
  <c r="BM1220" i="1"/>
  <c r="BH1220" i="1"/>
  <c r="BC1220" i="1"/>
  <c r="BC935" i="1" s="1"/>
  <c r="AX1220" i="1"/>
  <c r="AX935" i="1" s="1"/>
  <c r="AS1220" i="1"/>
  <c r="AS935" i="1" s="1"/>
  <c r="BU1219" i="1"/>
  <c r="BV1219" i="1" s="1"/>
  <c r="BW1219" i="1" s="1"/>
  <c r="BX1219" i="1" s="1"/>
  <c r="BY1219" i="1" s="1"/>
  <c r="BZ1219" i="1" s="1"/>
  <c r="CA1219" i="1" s="1"/>
  <c r="CB1219" i="1" s="1"/>
  <c r="CC1219" i="1" s="1"/>
  <c r="CD1219" i="1" s="1"/>
  <c r="CE1219" i="1" s="1"/>
  <c r="CF1219" i="1" s="1"/>
  <c r="BR1219" i="1"/>
  <c r="BM1219" i="1"/>
  <c r="BH1219" i="1"/>
  <c r="BC1219" i="1"/>
  <c r="AX1219" i="1"/>
  <c r="AS1219" i="1"/>
  <c r="AN1219" i="1"/>
  <c r="AI1219" i="1"/>
  <c r="AH1219" i="1"/>
  <c r="AG1219" i="1"/>
  <c r="AF1219" i="1"/>
  <c r="AD1219" i="1"/>
  <c r="BR1218" i="1"/>
  <c r="BM1218" i="1"/>
  <c r="BH1218" i="1"/>
  <c r="BC1218" i="1"/>
  <c r="AX1218" i="1"/>
  <c r="AS1218" i="1"/>
  <c r="AN1218" i="1"/>
  <c r="AI1218" i="1"/>
  <c r="AD1218" i="1"/>
  <c r="Y1218" i="1"/>
  <c r="BR1217" i="1"/>
  <c r="BR1171" i="1" s="1"/>
  <c r="BM1217" i="1"/>
  <c r="BH1217" i="1"/>
  <c r="BH1171" i="1" s="1"/>
  <c r="BC1217" i="1"/>
  <c r="BC1171" i="1" s="1"/>
  <c r="AX1217" i="1"/>
  <c r="AX1171" i="1" s="1"/>
  <c r="AS1217" i="1"/>
  <c r="AS1171" i="1" s="1"/>
  <c r="AN1217" i="1"/>
  <c r="AN1171" i="1" s="1"/>
  <c r="AI1217" i="1"/>
  <c r="AI1171" i="1" s="1"/>
  <c r="AD1217" i="1"/>
  <c r="Y1217" i="1"/>
  <c r="AV1216" i="1"/>
  <c r="AV1177" i="1" s="1"/>
  <c r="AI1216" i="1"/>
  <c r="AI248" i="1" s="1"/>
  <c r="AD1216" i="1"/>
  <c r="AD248" i="1" s="1"/>
  <c r="Y1216" i="1"/>
  <c r="BT1214" i="1"/>
  <c r="BS1214" i="1"/>
  <c r="BS1216" i="1" s="1"/>
  <c r="BQ1214" i="1"/>
  <c r="BQ1216" i="1" s="1"/>
  <c r="BP1214" i="1"/>
  <c r="BP1216" i="1" s="1"/>
  <c r="BP1222" i="1" s="1"/>
  <c r="BO1214" i="1"/>
  <c r="BO1216" i="1" s="1"/>
  <c r="BN1214" i="1"/>
  <c r="BN1216" i="1" s="1"/>
  <c r="BN248" i="1" s="1"/>
  <c r="BS244" i="1" s="1"/>
  <c r="BL1214" i="1"/>
  <c r="BK1214" i="1"/>
  <c r="BJ1214" i="1"/>
  <c r="BI1214" i="1"/>
  <c r="BI1216" i="1" s="1"/>
  <c r="BI1177" i="1" s="1"/>
  <c r="BG1214" i="1"/>
  <c r="BG1216" i="1" s="1"/>
  <c r="BF1214" i="1"/>
  <c r="BF1216" i="1" s="1"/>
  <c r="BE1214" i="1"/>
  <c r="BE1216" i="1" s="1"/>
  <c r="BE1177" i="1" s="1"/>
  <c r="BD1214" i="1"/>
  <c r="BD1216" i="1" s="1"/>
  <c r="BD248" i="1" s="1"/>
  <c r="BB1214" i="1"/>
  <c r="BB1216" i="1" s="1"/>
  <c r="BB248" i="1" s="1"/>
  <c r="BA1214" i="1"/>
  <c r="BA1216" i="1" s="1"/>
  <c r="BA1177" i="1" s="1"/>
  <c r="BB1173" i="1" s="1"/>
  <c r="AZ1214" i="1"/>
  <c r="AZ1216" i="1" s="1"/>
  <c r="AY1214" i="1"/>
  <c r="AY1216" i="1" s="1"/>
  <c r="AY1222" i="1" s="1"/>
  <c r="AW1214" i="1"/>
  <c r="AW1216" i="1" s="1"/>
  <c r="AW1222" i="1" s="1"/>
  <c r="AV1214" i="1"/>
  <c r="AU1214" i="1"/>
  <c r="AU1216" i="1" s="1"/>
  <c r="AT1214" i="1"/>
  <c r="AT1216" i="1" s="1"/>
  <c r="AT248" i="1" s="1"/>
  <c r="AR1214" i="1"/>
  <c r="AR1216" i="1" s="1"/>
  <c r="AQ1214" i="1"/>
  <c r="AQ1216" i="1" s="1"/>
  <c r="AP1214" i="1"/>
  <c r="AP1216" i="1" s="1"/>
  <c r="AO1214" i="1"/>
  <c r="AO1216" i="1" s="1"/>
  <c r="AO1177" i="1" s="1"/>
  <c r="AT1173" i="1" s="1"/>
  <c r="AM1214" i="1"/>
  <c r="AM1216" i="1" s="1"/>
  <c r="AM1177" i="1" s="1"/>
  <c r="AN1173" i="1" s="1"/>
  <c r="AL1214" i="1"/>
  <c r="AL1216" i="1" s="1"/>
  <c r="AK1214" i="1"/>
  <c r="AK1216" i="1" s="1"/>
  <c r="BR1213" i="1"/>
  <c r="BM1213" i="1"/>
  <c r="BH1213" i="1"/>
  <c r="BC1213" i="1"/>
  <c r="AX1213" i="1"/>
  <c r="AS1213" i="1"/>
  <c r="AN1213" i="1"/>
  <c r="BR1212" i="1"/>
  <c r="BM1212" i="1"/>
  <c r="BH1212" i="1"/>
  <c r="BC1212" i="1"/>
  <c r="AX1212" i="1"/>
  <c r="AS1212" i="1"/>
  <c r="AN1212" i="1"/>
  <c r="BR1211" i="1"/>
  <c r="BM1211" i="1"/>
  <c r="BH1211" i="1"/>
  <c r="BC1211" i="1"/>
  <c r="AX1211" i="1"/>
  <c r="AS1211" i="1"/>
  <c r="AN1211" i="1"/>
  <c r="BR1210" i="1"/>
  <c r="BM1210" i="1"/>
  <c r="BH1210" i="1"/>
  <c r="BC1210" i="1"/>
  <c r="AX1210" i="1"/>
  <c r="AS1210" i="1"/>
  <c r="AN1210" i="1"/>
  <c r="BF1207" i="1"/>
  <c r="BF1003" i="1" s="1"/>
  <c r="BB1207" i="1"/>
  <c r="BB1003" i="1" s="1"/>
  <c r="BA1207" i="1"/>
  <c r="AO1207" i="1"/>
  <c r="AM1207" i="1"/>
  <c r="AM1003" i="1" s="1"/>
  <c r="AL1207" i="1"/>
  <c r="AK1207" i="1"/>
  <c r="AJ1207" i="1"/>
  <c r="AH1207" i="1"/>
  <c r="AG1207" i="1"/>
  <c r="AF1207" i="1"/>
  <c r="AE1207" i="1"/>
  <c r="AE1003" i="1" s="1"/>
  <c r="AC1207" i="1"/>
  <c r="AB1207" i="1"/>
  <c r="AA1207" i="1"/>
  <c r="Z1207" i="1"/>
  <c r="X1207" i="1"/>
  <c r="X1223" i="1" s="1"/>
  <c r="W1207" i="1"/>
  <c r="V1207" i="1"/>
  <c r="V1223" i="1" s="1"/>
  <c r="V1001" i="1" s="1"/>
  <c r="U1207" i="1"/>
  <c r="T1207" i="1"/>
  <c r="S1207" i="1"/>
  <c r="R1207" i="1"/>
  <c r="Q1207" i="1"/>
  <c r="Q1223" i="1" s="1"/>
  <c r="P1207" i="1"/>
  <c r="O1207" i="1"/>
  <c r="N1207" i="1"/>
  <c r="N1223" i="1" s="1"/>
  <c r="M1207" i="1"/>
  <c r="L1207" i="1"/>
  <c r="L1003" i="1" s="1"/>
  <c r="K1207" i="1"/>
  <c r="J1207" i="1"/>
  <c r="I1207" i="1"/>
  <c r="H1207" i="1"/>
  <c r="H1223" i="1" s="1"/>
  <c r="G1207" i="1"/>
  <c r="G1003" i="1" s="1"/>
  <c r="F1207" i="1"/>
  <c r="E1207" i="1"/>
  <c r="D1207" i="1"/>
  <c r="D1003" i="1" s="1"/>
  <c r="C1207" i="1"/>
  <c r="BT1206" i="1"/>
  <c r="BT1207" i="1" s="1"/>
  <c r="BT1003" i="1" s="1"/>
  <c r="BS1206" i="1"/>
  <c r="BQ1206" i="1"/>
  <c r="BQ1207" i="1" s="1"/>
  <c r="BP1206" i="1"/>
  <c r="BO1206" i="1"/>
  <c r="BO1207" i="1" s="1"/>
  <c r="BO1003" i="1" s="1"/>
  <c r="BN1206" i="1"/>
  <c r="BL1206" i="1"/>
  <c r="BL1207" i="1" s="1"/>
  <c r="BK1206" i="1"/>
  <c r="BK1207" i="1" s="1"/>
  <c r="BJ1206" i="1"/>
  <c r="BJ1207" i="1" s="1"/>
  <c r="BJ1003" i="1" s="1"/>
  <c r="BI1206" i="1"/>
  <c r="BH1206" i="1" s="1"/>
  <c r="BG1206" i="1"/>
  <c r="BF1206" i="1"/>
  <c r="BE1206" i="1"/>
  <c r="BE1207" i="1" s="1"/>
  <c r="BD1206" i="1"/>
  <c r="BB1206" i="1"/>
  <c r="BA1206" i="1"/>
  <c r="AZ1206" i="1"/>
  <c r="AY1206" i="1"/>
  <c r="AX1206" i="1" s="1"/>
  <c r="AW1206" i="1"/>
  <c r="AW1207" i="1" s="1"/>
  <c r="AV1206" i="1"/>
  <c r="AV1207" i="1" s="1"/>
  <c r="AU1206" i="1"/>
  <c r="AU1207" i="1" s="1"/>
  <c r="AT1206" i="1"/>
  <c r="AR1206" i="1"/>
  <c r="AQ1206" i="1"/>
  <c r="AQ1207" i="1" s="1"/>
  <c r="AP1206" i="1"/>
  <c r="AO1206" i="1"/>
  <c r="AN1206" i="1"/>
  <c r="AI1206" i="1"/>
  <c r="AD1206" i="1"/>
  <c r="Y1206" i="1"/>
  <c r="BU1205" i="1"/>
  <c r="BV1205" i="1" s="1"/>
  <c r="BW1205" i="1" s="1"/>
  <c r="BX1205" i="1" s="1"/>
  <c r="BY1205" i="1" s="1"/>
  <c r="BZ1205" i="1" s="1"/>
  <c r="CA1205" i="1" s="1"/>
  <c r="CB1205" i="1" s="1"/>
  <c r="CC1205" i="1" s="1"/>
  <c r="CD1205" i="1" s="1"/>
  <c r="CE1205" i="1" s="1"/>
  <c r="CF1205" i="1" s="1"/>
  <c r="BR1205" i="1"/>
  <c r="BM1205" i="1"/>
  <c r="BH1205" i="1"/>
  <c r="BC1205" i="1"/>
  <c r="AX1205" i="1"/>
  <c r="AS1205" i="1"/>
  <c r="AN1205" i="1"/>
  <c r="BV1204" i="1"/>
  <c r="BW1204" i="1" s="1"/>
  <c r="BX1204" i="1" s="1"/>
  <c r="BY1204" i="1" s="1"/>
  <c r="BZ1204" i="1" s="1"/>
  <c r="CA1204" i="1" s="1"/>
  <c r="CB1204" i="1" s="1"/>
  <c r="CC1204" i="1" s="1"/>
  <c r="CD1204" i="1" s="1"/>
  <c r="CE1204" i="1" s="1"/>
  <c r="CF1204" i="1" s="1"/>
  <c r="BU1204" i="1"/>
  <c r="BR1204" i="1"/>
  <c r="BM1204" i="1"/>
  <c r="BH1204" i="1"/>
  <c r="BC1204" i="1"/>
  <c r="AX1204" i="1"/>
  <c r="AS1204" i="1"/>
  <c r="AN1204" i="1"/>
  <c r="AI1204" i="1"/>
  <c r="AD1204" i="1"/>
  <c r="Y1204" i="1"/>
  <c r="BU1203" i="1"/>
  <c r="BV1203" i="1" s="1"/>
  <c r="BW1203" i="1" s="1"/>
  <c r="BX1203" i="1" s="1"/>
  <c r="BY1203" i="1" s="1"/>
  <c r="BZ1203" i="1" s="1"/>
  <c r="CA1203" i="1" s="1"/>
  <c r="CB1203" i="1" s="1"/>
  <c r="CC1203" i="1" s="1"/>
  <c r="CD1203" i="1" s="1"/>
  <c r="CE1203" i="1" s="1"/>
  <c r="CF1203" i="1" s="1"/>
  <c r="BR1203" i="1"/>
  <c r="BM1203" i="1"/>
  <c r="BH1203" i="1"/>
  <c r="BC1203" i="1"/>
  <c r="AX1203" i="1"/>
  <c r="AS1203" i="1"/>
  <c r="AN1203" i="1"/>
  <c r="AI1203" i="1"/>
  <c r="AD1203" i="1"/>
  <c r="Y1203" i="1"/>
  <c r="BU1202" i="1"/>
  <c r="BV1202" i="1" s="1"/>
  <c r="BW1202" i="1" s="1"/>
  <c r="BX1202" i="1" s="1"/>
  <c r="BY1202" i="1" s="1"/>
  <c r="BZ1202" i="1" s="1"/>
  <c r="CA1202" i="1" s="1"/>
  <c r="CB1202" i="1" s="1"/>
  <c r="CC1202" i="1" s="1"/>
  <c r="CD1202" i="1" s="1"/>
  <c r="CE1202" i="1" s="1"/>
  <c r="CF1202" i="1" s="1"/>
  <c r="BR1202" i="1"/>
  <c r="BM1202" i="1"/>
  <c r="BH1202" i="1"/>
  <c r="BC1202" i="1"/>
  <c r="AX1202" i="1"/>
  <c r="AS1202" i="1"/>
  <c r="AN1202" i="1"/>
  <c r="AI1202" i="1"/>
  <c r="AD1202" i="1"/>
  <c r="Y1202" i="1"/>
  <c r="Y248" i="1" s="1"/>
  <c r="Y250" i="1" s="1"/>
  <c r="BU1201" i="1"/>
  <c r="BV1201" i="1" s="1"/>
  <c r="BW1201" i="1" s="1"/>
  <c r="BX1201" i="1" s="1"/>
  <c r="BY1201" i="1" s="1"/>
  <c r="BZ1201" i="1" s="1"/>
  <c r="CA1201" i="1" s="1"/>
  <c r="CB1201" i="1" s="1"/>
  <c r="CC1201" i="1" s="1"/>
  <c r="CD1201" i="1" s="1"/>
  <c r="CE1201" i="1" s="1"/>
  <c r="CF1201" i="1" s="1"/>
  <c r="BR1201" i="1"/>
  <c r="BM1201" i="1"/>
  <c r="BH1201" i="1"/>
  <c r="BC1201" i="1"/>
  <c r="AX1201" i="1"/>
  <c r="AS1201" i="1"/>
  <c r="AN1201" i="1"/>
  <c r="AI1201" i="1"/>
  <c r="AD1201" i="1"/>
  <c r="Y1201" i="1"/>
  <c r="BV1200" i="1"/>
  <c r="BW1200" i="1" s="1"/>
  <c r="BX1200" i="1" s="1"/>
  <c r="BY1200" i="1" s="1"/>
  <c r="BZ1200" i="1" s="1"/>
  <c r="CA1200" i="1" s="1"/>
  <c r="CB1200" i="1" s="1"/>
  <c r="CC1200" i="1" s="1"/>
  <c r="CD1200" i="1" s="1"/>
  <c r="CE1200" i="1" s="1"/>
  <c r="CF1200" i="1" s="1"/>
  <c r="BU1200" i="1"/>
  <c r="BR1200" i="1"/>
  <c r="BM1200" i="1"/>
  <c r="BH1200" i="1"/>
  <c r="BC1200" i="1"/>
  <c r="AX1200" i="1"/>
  <c r="AS1200" i="1"/>
  <c r="AN1200" i="1"/>
  <c r="AI1200" i="1"/>
  <c r="AD1200" i="1"/>
  <c r="Y1200" i="1"/>
  <c r="BU1199" i="1"/>
  <c r="BV1199" i="1" s="1"/>
  <c r="BW1199" i="1" s="1"/>
  <c r="BX1199" i="1" s="1"/>
  <c r="BY1199" i="1" s="1"/>
  <c r="BZ1199" i="1" s="1"/>
  <c r="CA1199" i="1" s="1"/>
  <c r="CB1199" i="1" s="1"/>
  <c r="CC1199" i="1" s="1"/>
  <c r="CD1199" i="1" s="1"/>
  <c r="CE1199" i="1" s="1"/>
  <c r="CF1199" i="1" s="1"/>
  <c r="BR1199" i="1"/>
  <c r="BR750" i="1" s="1"/>
  <c r="BM1199" i="1"/>
  <c r="BH1199" i="1"/>
  <c r="BC1199" i="1"/>
  <c r="AX1199" i="1"/>
  <c r="AS1199" i="1"/>
  <c r="AN1199" i="1"/>
  <c r="AI1199" i="1"/>
  <c r="AI750" i="1" s="1"/>
  <c r="AI985" i="1" s="1"/>
  <c r="AD1199" i="1"/>
  <c r="AD750" i="1" s="1"/>
  <c r="Y1199" i="1"/>
  <c r="BR1198" i="1"/>
  <c r="BM1198" i="1"/>
  <c r="BH1198" i="1"/>
  <c r="BC1198" i="1"/>
  <c r="AX1198" i="1"/>
  <c r="AS1198" i="1"/>
  <c r="AN1198" i="1"/>
  <c r="AI1198" i="1"/>
  <c r="AI1002" i="1" s="1"/>
  <c r="AD1198" i="1"/>
  <c r="Y1198" i="1"/>
  <c r="CF1185" i="1"/>
  <c r="CF1169" i="1" s="1"/>
  <c r="CE1185" i="1"/>
  <c r="CE1169" i="1" s="1"/>
  <c r="CD1185" i="1"/>
  <c r="CB1185" i="1"/>
  <c r="CB1169" i="1" s="1"/>
  <c r="CA1185" i="1"/>
  <c r="CA1169" i="1" s="1"/>
  <c r="BZ1185" i="1"/>
  <c r="BZ1169" i="1" s="1"/>
  <c r="BY1185" i="1"/>
  <c r="BW1185" i="1"/>
  <c r="BW1169" i="1" s="1"/>
  <c r="BV1185" i="1"/>
  <c r="BV1169" i="1" s="1"/>
  <c r="BU1185" i="1"/>
  <c r="CC1180" i="1"/>
  <c r="CC1179" i="1"/>
  <c r="BT1177" i="1"/>
  <c r="BL1177" i="1"/>
  <c r="BK1177" i="1"/>
  <c r="BL1173" i="1" s="1"/>
  <c r="BJ1177" i="1"/>
  <c r="AW1177" i="1"/>
  <c r="AJ1177" i="1"/>
  <c r="AH1177" i="1"/>
  <c r="AG1177" i="1"/>
  <c r="AF1177" i="1"/>
  <c r="AE1177" i="1"/>
  <c r="AF1173" i="1" s="1"/>
  <c r="AC1177" i="1"/>
  <c r="AB1177" i="1"/>
  <c r="AC1173" i="1" s="1"/>
  <c r="AA1177" i="1"/>
  <c r="Z1177" i="1"/>
  <c r="AE1173" i="1" s="1"/>
  <c r="X1177" i="1"/>
  <c r="W1177" i="1"/>
  <c r="X1173" i="1" s="1"/>
  <c r="V1177" i="1"/>
  <c r="U1177" i="1"/>
  <c r="Z1173" i="1" s="1"/>
  <c r="T1177" i="1"/>
  <c r="S1177" i="1"/>
  <c r="R1177" i="1"/>
  <c r="Q1177" i="1"/>
  <c r="P1177" i="1"/>
  <c r="U1173" i="1" s="1"/>
  <c r="O1177" i="1"/>
  <c r="N1177" i="1"/>
  <c r="M1177" i="1"/>
  <c r="L1177" i="1"/>
  <c r="M1173" i="1" s="1"/>
  <c r="K1177" i="1"/>
  <c r="P1173" i="1" s="1"/>
  <c r="J1177" i="1"/>
  <c r="I1177" i="1"/>
  <c r="H1177" i="1"/>
  <c r="G1177" i="1"/>
  <c r="H1173" i="1" s="1"/>
  <c r="F1177" i="1"/>
  <c r="E1177" i="1"/>
  <c r="D1177" i="1"/>
  <c r="E1173" i="1" s="1"/>
  <c r="C1177" i="1"/>
  <c r="D1173" i="1" s="1"/>
  <c r="CC1175" i="1"/>
  <c r="BO1175" i="1"/>
  <c r="BJ1175" i="1"/>
  <c r="BK1173" i="1"/>
  <c r="AD1173" i="1"/>
  <c r="W1173" i="1"/>
  <c r="O1173" i="1"/>
  <c r="N1173" i="1"/>
  <c r="K1173" i="1"/>
  <c r="G1173" i="1"/>
  <c r="F1173" i="1"/>
  <c r="BT1171" i="1"/>
  <c r="BU1167" i="1" s="1"/>
  <c r="BS1171" i="1"/>
  <c r="BQ1171" i="1"/>
  <c r="BP1171" i="1"/>
  <c r="BQ1167" i="1" s="1"/>
  <c r="BO1171" i="1"/>
  <c r="BP1167" i="1" s="1"/>
  <c r="BN1171" i="1"/>
  <c r="BO1167" i="1" s="1"/>
  <c r="BM1171" i="1"/>
  <c r="BL1171" i="1"/>
  <c r="BM1167" i="1" s="1"/>
  <c r="BK1171" i="1"/>
  <c r="BL1167" i="1" s="1"/>
  <c r="BJ1171" i="1"/>
  <c r="BI1171" i="1"/>
  <c r="BN1167" i="1" s="1"/>
  <c r="BG1171" i="1"/>
  <c r="BF1171" i="1"/>
  <c r="BG1167" i="1" s="1"/>
  <c r="BE1171" i="1"/>
  <c r="BF1167" i="1" s="1"/>
  <c r="BD1171" i="1"/>
  <c r="BB1171" i="1"/>
  <c r="BA1171" i="1"/>
  <c r="AZ1171" i="1"/>
  <c r="AY1171" i="1"/>
  <c r="BD1167" i="1" s="1"/>
  <c r="AW1171" i="1"/>
  <c r="AX1167" i="1" s="1"/>
  <c r="AV1171" i="1"/>
  <c r="AW1167" i="1" s="1"/>
  <c r="AU1171" i="1"/>
  <c r="AV1167" i="1" s="1"/>
  <c r="AT1171" i="1"/>
  <c r="AY1167" i="1" s="1"/>
  <c r="AR1171" i="1"/>
  <c r="AQ1171" i="1"/>
  <c r="AP1171" i="1"/>
  <c r="AQ1167" i="1" s="1"/>
  <c r="AO1171" i="1"/>
  <c r="AT1167" i="1" s="1"/>
  <c r="AM1171" i="1"/>
  <c r="AN1167" i="1" s="1"/>
  <c r="AL1171" i="1"/>
  <c r="AK1171" i="1"/>
  <c r="AJ1171" i="1"/>
  <c r="AK1167" i="1" s="1"/>
  <c r="AH1171" i="1"/>
  <c r="AI1167" i="1" s="1"/>
  <c r="AG1171" i="1"/>
  <c r="AF1171" i="1"/>
  <c r="AG1167" i="1" s="1"/>
  <c r="AE1171" i="1"/>
  <c r="AD1171" i="1"/>
  <c r="AC1171" i="1"/>
  <c r="AD1167" i="1" s="1"/>
  <c r="AB1171" i="1"/>
  <c r="AA1171" i="1"/>
  <c r="Z1171" i="1"/>
  <c r="Y1171" i="1"/>
  <c r="X1171" i="1"/>
  <c r="Y1167" i="1" s="1"/>
  <c r="W1171" i="1"/>
  <c r="X1167" i="1" s="1"/>
  <c r="V1171" i="1"/>
  <c r="U1171" i="1"/>
  <c r="Z1167" i="1" s="1"/>
  <c r="T1171" i="1"/>
  <c r="S1171" i="1"/>
  <c r="R1171" i="1"/>
  <c r="S1167" i="1" s="1"/>
  <c r="Q1171" i="1"/>
  <c r="P1171" i="1"/>
  <c r="O1171" i="1"/>
  <c r="N1171" i="1"/>
  <c r="M1171" i="1"/>
  <c r="L1171" i="1"/>
  <c r="K1171" i="1"/>
  <c r="J1171" i="1"/>
  <c r="I1171" i="1"/>
  <c r="H1171" i="1"/>
  <c r="I1167" i="1" s="1"/>
  <c r="G1171" i="1"/>
  <c r="H1167" i="1" s="1"/>
  <c r="F1171" i="1"/>
  <c r="K1167" i="1" s="1"/>
  <c r="E1171" i="1"/>
  <c r="F1167" i="1" s="1"/>
  <c r="D1171" i="1"/>
  <c r="C1171" i="1"/>
  <c r="CD1169" i="1"/>
  <c r="BY1169" i="1"/>
  <c r="BU1169" i="1"/>
  <c r="BS1167" i="1"/>
  <c r="BH1167" i="1"/>
  <c r="BA1167" i="1"/>
  <c r="AZ1167" i="1"/>
  <c r="AS1167" i="1"/>
  <c r="AR1167" i="1"/>
  <c r="AO1167" i="1"/>
  <c r="AE1167" i="1"/>
  <c r="AC1167" i="1"/>
  <c r="AB1167" i="1"/>
  <c r="AA1167" i="1"/>
  <c r="T1167" i="1"/>
  <c r="P1167" i="1"/>
  <c r="N1167" i="1"/>
  <c r="M1167" i="1"/>
  <c r="L1167" i="1"/>
  <c r="E1167" i="1"/>
  <c r="D1167" i="1"/>
  <c r="BS1162" i="1"/>
  <c r="BS802" i="1" s="1"/>
  <c r="BS928" i="1" s="1"/>
  <c r="BN1162" i="1"/>
  <c r="BN802" i="1" s="1"/>
  <c r="BN928" i="1" s="1"/>
  <c r="BI1162" i="1"/>
  <c r="BI802" i="1" s="1"/>
  <c r="BI928" i="1" s="1"/>
  <c r="BD1162" i="1"/>
  <c r="AY1162" i="1"/>
  <c r="AT1162" i="1"/>
  <c r="AO1162" i="1"/>
  <c r="AO802" i="1" s="1"/>
  <c r="AJ1162" i="1"/>
  <c r="AE1162" i="1"/>
  <c r="AE802" i="1" s="1"/>
  <c r="Z1162" i="1"/>
  <c r="Z802" i="1" s="1"/>
  <c r="U1162" i="1"/>
  <c r="U802" i="1" s="1"/>
  <c r="P1162" i="1"/>
  <c r="K1162" i="1"/>
  <c r="F1162" i="1"/>
  <c r="E1162" i="1"/>
  <c r="E802" i="1" s="1"/>
  <c r="D1162" i="1"/>
  <c r="D802" i="1" s="1"/>
  <c r="C1162" i="1"/>
  <c r="C802" i="1" s="1"/>
  <c r="BS1161" i="1"/>
  <c r="BS803" i="1" s="1"/>
  <c r="BN1161" i="1"/>
  <c r="BI1161" i="1"/>
  <c r="BI803" i="1" s="1"/>
  <c r="BD1161" i="1"/>
  <c r="AY1161" i="1"/>
  <c r="AT1161" i="1"/>
  <c r="AT803" i="1" s="1"/>
  <c r="AO1161" i="1"/>
  <c r="AJ1161" i="1"/>
  <c r="AE1161" i="1"/>
  <c r="AE803" i="1" s="1"/>
  <c r="Z1161" i="1"/>
  <c r="Z803" i="1" s="1"/>
  <c r="U1161" i="1"/>
  <c r="U803" i="1" s="1"/>
  <c r="P1161" i="1"/>
  <c r="K1161" i="1"/>
  <c r="F1161" i="1"/>
  <c r="F803" i="1" s="1"/>
  <c r="E1161" i="1"/>
  <c r="E803" i="1" s="1"/>
  <c r="D1161" i="1"/>
  <c r="D803" i="1" s="1"/>
  <c r="C1161" i="1"/>
  <c r="C803" i="1" s="1"/>
  <c r="A1159" i="1"/>
  <c r="C1158" i="1"/>
  <c r="A1158" i="1"/>
  <c r="A1156" i="1"/>
  <c r="CC1155" i="1"/>
  <c r="BT1155" i="1"/>
  <c r="BS1155" i="1"/>
  <c r="BQ1155" i="1"/>
  <c r="BP1155" i="1"/>
  <c r="BO1155" i="1"/>
  <c r="BN1155" i="1"/>
  <c r="BL1155" i="1"/>
  <c r="BK1155" i="1"/>
  <c r="BJ1155" i="1"/>
  <c r="BI1155" i="1"/>
  <c r="BG1155" i="1"/>
  <c r="BF1155" i="1"/>
  <c r="BE1155" i="1"/>
  <c r="BD1155" i="1"/>
  <c r="BB1155" i="1"/>
  <c r="BA1155" i="1"/>
  <c r="AZ1155" i="1"/>
  <c r="AY1155" i="1"/>
  <c r="AW1155" i="1"/>
  <c r="AV1155" i="1"/>
  <c r="AU1155" i="1"/>
  <c r="AT1155" i="1"/>
  <c r="AR1155" i="1"/>
  <c r="AQ1155" i="1"/>
  <c r="AP1155" i="1"/>
  <c r="AO1155" i="1"/>
  <c r="AM1155" i="1"/>
  <c r="AL1155" i="1"/>
  <c r="AK1155" i="1"/>
  <c r="AJ1155" i="1"/>
  <c r="AH1155" i="1"/>
  <c r="AG1155" i="1"/>
  <c r="AF1155" i="1"/>
  <c r="AE1155" i="1"/>
  <c r="AC1155" i="1"/>
  <c r="AB1155" i="1"/>
  <c r="AA1155" i="1"/>
  <c r="Z1155" i="1"/>
  <c r="X1155" i="1"/>
  <c r="W1155" i="1"/>
  <c r="V1155" i="1"/>
  <c r="U1155" i="1"/>
  <c r="T1155" i="1"/>
  <c r="S1155" i="1"/>
  <c r="R1155" i="1"/>
  <c r="Q1155" i="1"/>
  <c r="P1155" i="1"/>
  <c r="O1155" i="1"/>
  <c r="N1155" i="1"/>
  <c r="M1155" i="1"/>
  <c r="L1155" i="1"/>
  <c r="K1155" i="1"/>
  <c r="J1155" i="1"/>
  <c r="I1155" i="1"/>
  <c r="H1155" i="1"/>
  <c r="G1155" i="1"/>
  <c r="F1155" i="1"/>
  <c r="E1155" i="1"/>
  <c r="D1155" i="1"/>
  <c r="C1155" i="1"/>
  <c r="A1155" i="1"/>
  <c r="A1153" i="1"/>
  <c r="CC1152" i="1"/>
  <c r="BT1152" i="1"/>
  <c r="BX1152" i="1" s="1"/>
  <c r="BS1152" i="1"/>
  <c r="BQ1152" i="1"/>
  <c r="BP1152" i="1"/>
  <c r="BO1152" i="1"/>
  <c r="BN1152" i="1"/>
  <c r="BL1152" i="1"/>
  <c r="BK1152" i="1"/>
  <c r="BJ1152" i="1"/>
  <c r="BI1152" i="1"/>
  <c r="BG1152" i="1"/>
  <c r="BF1152" i="1"/>
  <c r="BE1152" i="1"/>
  <c r="BD1152" i="1"/>
  <c r="BB1152" i="1"/>
  <c r="BA1152" i="1"/>
  <c r="AZ1152" i="1"/>
  <c r="AY1152" i="1"/>
  <c r="AW1152" i="1"/>
  <c r="AV1152" i="1"/>
  <c r="AU1152" i="1"/>
  <c r="AT1152" i="1"/>
  <c r="AR1152" i="1"/>
  <c r="AQ1152" i="1"/>
  <c r="AP1152" i="1"/>
  <c r="AO1152" i="1"/>
  <c r="AM1152" i="1"/>
  <c r="AL1152" i="1"/>
  <c r="AK1152" i="1"/>
  <c r="AJ1152" i="1"/>
  <c r="AH1152" i="1"/>
  <c r="AG1152" i="1"/>
  <c r="AF1152" i="1"/>
  <c r="AE1152" i="1"/>
  <c r="AC1152" i="1"/>
  <c r="AB1152" i="1"/>
  <c r="AA1152" i="1"/>
  <c r="Z1152" i="1"/>
  <c r="X1152" i="1"/>
  <c r="W1152" i="1"/>
  <c r="V1152" i="1"/>
  <c r="U1152" i="1"/>
  <c r="T1152" i="1"/>
  <c r="S1152" i="1"/>
  <c r="R1152" i="1"/>
  <c r="Q1152" i="1"/>
  <c r="P1152" i="1"/>
  <c r="O1152" i="1"/>
  <c r="N1152" i="1"/>
  <c r="M1152" i="1"/>
  <c r="L1152" i="1"/>
  <c r="K1152" i="1"/>
  <c r="J1152" i="1"/>
  <c r="I1152" i="1"/>
  <c r="H1152" i="1"/>
  <c r="G1152" i="1"/>
  <c r="F1152" i="1"/>
  <c r="E1152" i="1"/>
  <c r="D1152" i="1"/>
  <c r="C1152" i="1"/>
  <c r="A1152" i="1"/>
  <c r="CC1151" i="1"/>
  <c r="BT1151" i="1"/>
  <c r="BX1151" i="1" s="1"/>
  <c r="BS1151" i="1"/>
  <c r="BQ1151" i="1"/>
  <c r="BP1151" i="1"/>
  <c r="BO1151" i="1"/>
  <c r="BN1151" i="1"/>
  <c r="BN771" i="1" s="1"/>
  <c r="BL1151" i="1"/>
  <c r="BK1151" i="1"/>
  <c r="BJ1151" i="1"/>
  <c r="BI1151" i="1"/>
  <c r="BG1151" i="1"/>
  <c r="BF1151" i="1"/>
  <c r="BE1151" i="1"/>
  <c r="BD1151" i="1"/>
  <c r="BD771" i="1" s="1"/>
  <c r="BB1151" i="1"/>
  <c r="BA1151" i="1"/>
  <c r="AZ1151" i="1"/>
  <c r="AY1151" i="1"/>
  <c r="AW1151" i="1"/>
  <c r="AV1151" i="1"/>
  <c r="AU1151" i="1"/>
  <c r="AT1151" i="1"/>
  <c r="AT771" i="1" s="1"/>
  <c r="AR1151" i="1"/>
  <c r="AQ1151" i="1"/>
  <c r="AP1151" i="1"/>
  <c r="AO1151" i="1"/>
  <c r="AM1151" i="1"/>
  <c r="AL1151" i="1"/>
  <c r="AK1151" i="1"/>
  <c r="AJ1151" i="1"/>
  <c r="AJ771" i="1" s="1"/>
  <c r="AH1151" i="1"/>
  <c r="AG1151" i="1"/>
  <c r="AF1151" i="1"/>
  <c r="AE1151" i="1"/>
  <c r="AC1151" i="1"/>
  <c r="AB1151" i="1"/>
  <c r="AA1151" i="1"/>
  <c r="Z1151" i="1"/>
  <c r="X1151" i="1"/>
  <c r="W1151" i="1"/>
  <c r="V1151" i="1"/>
  <c r="U1151" i="1"/>
  <c r="T1151" i="1"/>
  <c r="S1151" i="1"/>
  <c r="R1151" i="1"/>
  <c r="Q1151" i="1"/>
  <c r="P1151" i="1"/>
  <c r="O1151" i="1"/>
  <c r="N1151" i="1"/>
  <c r="M1151" i="1"/>
  <c r="L1151" i="1"/>
  <c r="K1151" i="1"/>
  <c r="J1151" i="1"/>
  <c r="I1151" i="1"/>
  <c r="H1151" i="1"/>
  <c r="G1151" i="1"/>
  <c r="F1151" i="1"/>
  <c r="E1151" i="1"/>
  <c r="D1151" i="1"/>
  <c r="C1151" i="1"/>
  <c r="A1151" i="1"/>
  <c r="BT1150" i="1"/>
  <c r="BT730" i="1" s="1"/>
  <c r="BT75" i="9" s="1"/>
  <c r="BS1150" i="1"/>
  <c r="BQ1150" i="1"/>
  <c r="BP1150" i="1"/>
  <c r="BO1150" i="1"/>
  <c r="BN1150" i="1"/>
  <c r="BL1150" i="1"/>
  <c r="BK1150" i="1"/>
  <c r="BJ1150" i="1"/>
  <c r="BJ730" i="1" s="1"/>
  <c r="BJ75" i="9" s="1"/>
  <c r="BI1150" i="1"/>
  <c r="BG1150" i="1"/>
  <c r="BF1150" i="1"/>
  <c r="BE1150" i="1"/>
  <c r="BD1150" i="1"/>
  <c r="BB1150" i="1"/>
  <c r="BA1150" i="1"/>
  <c r="AZ1150" i="1"/>
  <c r="AZ730" i="1" s="1"/>
  <c r="AZ75" i="9" s="1"/>
  <c r="AY1150" i="1"/>
  <c r="AW1150" i="1"/>
  <c r="AV1150" i="1"/>
  <c r="AU1150" i="1"/>
  <c r="AT1150" i="1"/>
  <c r="AR1150" i="1"/>
  <c r="AR730" i="1" s="1"/>
  <c r="AR75" i="9" s="1"/>
  <c r="AQ1150" i="1"/>
  <c r="AP1150" i="1"/>
  <c r="AP730" i="1" s="1"/>
  <c r="AP75" i="9" s="1"/>
  <c r="AO1150" i="1"/>
  <c r="AM1150" i="1"/>
  <c r="AL1150" i="1"/>
  <c r="AK1150" i="1"/>
  <c r="AJ1150" i="1"/>
  <c r="AH1150" i="1"/>
  <c r="AH730" i="1" s="1"/>
  <c r="AH75" i="9" s="1"/>
  <c r="AG1150" i="1"/>
  <c r="AF1150" i="1"/>
  <c r="AF730" i="1" s="1"/>
  <c r="AF75" i="9" s="1"/>
  <c r="AE1150" i="1"/>
  <c r="AC1150" i="1"/>
  <c r="AB1150" i="1"/>
  <c r="AA1150" i="1"/>
  <c r="Z1150" i="1"/>
  <c r="X1150" i="1"/>
  <c r="W1150" i="1"/>
  <c r="W730" i="1" s="1"/>
  <c r="W75" i="9" s="1"/>
  <c r="V1150" i="1"/>
  <c r="V730" i="1" s="1"/>
  <c r="V75" i="9" s="1"/>
  <c r="U1150" i="1"/>
  <c r="T1150" i="1"/>
  <c r="S1150" i="1"/>
  <c r="R1150" i="1"/>
  <c r="Q1150" i="1"/>
  <c r="Q730" i="1" s="1"/>
  <c r="Q75" i="9" s="1"/>
  <c r="P1150" i="1"/>
  <c r="P730" i="1" s="1"/>
  <c r="P75" i="9" s="1"/>
  <c r="O1150" i="1"/>
  <c r="O730" i="1" s="1"/>
  <c r="O75" i="9" s="1"/>
  <c r="N1150" i="1"/>
  <c r="N730" i="1" s="1"/>
  <c r="N75" i="9" s="1"/>
  <c r="M1150" i="1"/>
  <c r="L1150" i="1"/>
  <c r="K1150" i="1"/>
  <c r="J1150" i="1"/>
  <c r="I1150" i="1"/>
  <c r="I730" i="1" s="1"/>
  <c r="I75" i="9" s="1"/>
  <c r="H1150" i="1"/>
  <c r="G1150" i="1"/>
  <c r="G730" i="1" s="1"/>
  <c r="G75" i="9" s="1"/>
  <c r="F1150" i="1"/>
  <c r="F730" i="1" s="1"/>
  <c r="F75" i="9" s="1"/>
  <c r="E1150" i="1"/>
  <c r="D1150" i="1"/>
  <c r="C1150" i="1"/>
  <c r="A1150" i="1"/>
  <c r="CC1149" i="1"/>
  <c r="BT1149" i="1"/>
  <c r="BX1149" i="1" s="1"/>
  <c r="BS1149" i="1"/>
  <c r="BQ1149" i="1"/>
  <c r="BP1149" i="1"/>
  <c r="BO1149" i="1"/>
  <c r="BN1149" i="1"/>
  <c r="BL1149" i="1"/>
  <c r="BK1149" i="1"/>
  <c r="BJ1149" i="1"/>
  <c r="BI1149" i="1"/>
  <c r="BG1149" i="1"/>
  <c r="BF1149" i="1"/>
  <c r="BE1149" i="1"/>
  <c r="BD1149" i="1"/>
  <c r="BB1149" i="1"/>
  <c r="BA1149" i="1"/>
  <c r="AZ1149" i="1"/>
  <c r="AY1149" i="1"/>
  <c r="AW1149" i="1"/>
  <c r="AV1149" i="1"/>
  <c r="AU1149" i="1"/>
  <c r="AT1149" i="1"/>
  <c r="AS1149" i="1"/>
  <c r="AR1149" i="1"/>
  <c r="AQ1149" i="1"/>
  <c r="AP1149" i="1"/>
  <c r="AO1149" i="1"/>
  <c r="AN1149" i="1"/>
  <c r="AM1149" i="1"/>
  <c r="AL1149" i="1"/>
  <c r="AK1149" i="1"/>
  <c r="AJ1149" i="1"/>
  <c r="AI1149" i="1"/>
  <c r="AH1149" i="1"/>
  <c r="AG1149" i="1"/>
  <c r="AF1149" i="1"/>
  <c r="AE1149" i="1"/>
  <c r="AD1149" i="1"/>
  <c r="AC1149" i="1"/>
  <c r="AB1149" i="1"/>
  <c r="AA1149" i="1"/>
  <c r="Z1149" i="1"/>
  <c r="Y1149" i="1"/>
  <c r="X1149" i="1"/>
  <c r="W1149" i="1"/>
  <c r="V1149" i="1"/>
  <c r="U1149" i="1"/>
  <c r="T1149" i="1"/>
  <c r="S1149" i="1"/>
  <c r="R1149" i="1"/>
  <c r="Q1149" i="1"/>
  <c r="P1149" i="1"/>
  <c r="O1149" i="1"/>
  <c r="N1149" i="1"/>
  <c r="M1149" i="1"/>
  <c r="L1149" i="1"/>
  <c r="K1149" i="1"/>
  <c r="J1149" i="1"/>
  <c r="I1149" i="1"/>
  <c r="H1149" i="1"/>
  <c r="G1149" i="1"/>
  <c r="F1149" i="1"/>
  <c r="E1149" i="1"/>
  <c r="D1149" i="1"/>
  <c r="C1149" i="1"/>
  <c r="A1149" i="1"/>
  <c r="CC1148" i="1"/>
  <c r="BT1148" i="1"/>
  <c r="BX1148" i="1" s="1"/>
  <c r="BS1148" i="1"/>
  <c r="BQ1148" i="1"/>
  <c r="BP1148" i="1"/>
  <c r="BO1148" i="1"/>
  <c r="BN1148" i="1"/>
  <c r="BN734" i="1" s="1"/>
  <c r="BN79" i="9" s="1"/>
  <c r="BL1148" i="1"/>
  <c r="BK1148" i="1"/>
  <c r="BK734" i="1" s="1"/>
  <c r="BK79" i="9" s="1"/>
  <c r="BJ1148" i="1"/>
  <c r="BI1148" i="1"/>
  <c r="BG1148" i="1"/>
  <c r="BF1148" i="1"/>
  <c r="BE1148" i="1"/>
  <c r="BD1148" i="1"/>
  <c r="BD734" i="1" s="1"/>
  <c r="BD79" i="9" s="1"/>
  <c r="BB1148" i="1"/>
  <c r="BA1148" i="1"/>
  <c r="BA734" i="1" s="1"/>
  <c r="BA79" i="9" s="1"/>
  <c r="AZ1148" i="1"/>
  <c r="AY1148" i="1"/>
  <c r="AW1148" i="1"/>
  <c r="AV1148" i="1"/>
  <c r="AU1148" i="1"/>
  <c r="AT1148" i="1"/>
  <c r="AT734" i="1" s="1"/>
  <c r="AT79" i="9" s="1"/>
  <c r="AR1148" i="1"/>
  <c r="AQ1148" i="1"/>
  <c r="AP1148" i="1"/>
  <c r="AO1148" i="1"/>
  <c r="AM1148" i="1"/>
  <c r="AL1148" i="1"/>
  <c r="AK1148" i="1"/>
  <c r="AJ1148" i="1"/>
  <c r="AH1148" i="1"/>
  <c r="AH734" i="1" s="1"/>
  <c r="AH79" i="9" s="1"/>
  <c r="AG1148" i="1"/>
  <c r="AF1148" i="1"/>
  <c r="AE1148" i="1"/>
  <c r="AC1148" i="1"/>
  <c r="AB1148" i="1"/>
  <c r="AA1148" i="1"/>
  <c r="Z1148" i="1"/>
  <c r="Z734" i="1" s="1"/>
  <c r="Z79" i="9" s="1"/>
  <c r="X1148" i="1"/>
  <c r="W1148" i="1"/>
  <c r="W734" i="1" s="1"/>
  <c r="W79" i="9" s="1"/>
  <c r="V1148" i="1"/>
  <c r="U1148" i="1"/>
  <c r="T1148" i="1"/>
  <c r="S1148" i="1"/>
  <c r="R1148" i="1"/>
  <c r="Q1148" i="1"/>
  <c r="P1148" i="1"/>
  <c r="O1148" i="1"/>
  <c r="O734" i="1" s="1"/>
  <c r="O79" i="9" s="1"/>
  <c r="N1148" i="1"/>
  <c r="M1148" i="1"/>
  <c r="L1148" i="1"/>
  <c r="K1148" i="1"/>
  <c r="J1148" i="1"/>
  <c r="I1148" i="1"/>
  <c r="I734" i="1" s="1"/>
  <c r="I79" i="9" s="1"/>
  <c r="H1148" i="1"/>
  <c r="G1148" i="1"/>
  <c r="G734" i="1" s="1"/>
  <c r="G79" i="9" s="1"/>
  <c r="F1148" i="1"/>
  <c r="E1148" i="1"/>
  <c r="D1148" i="1"/>
  <c r="C1148" i="1"/>
  <c r="A1148" i="1"/>
  <c r="CF1147" i="1"/>
  <c r="CE1147" i="1"/>
  <c r="CD1147" i="1"/>
  <c r="CB1147" i="1"/>
  <c r="CA1147" i="1"/>
  <c r="BZ1147" i="1"/>
  <c r="BY1147" i="1"/>
  <c r="BW1147" i="1"/>
  <c r="BV1147" i="1"/>
  <c r="BU1147" i="1"/>
  <c r="BU1248" i="1" s="1"/>
  <c r="BT1147" i="1"/>
  <c r="BS1147" i="1"/>
  <c r="BQ1147" i="1"/>
  <c r="BP1147" i="1"/>
  <c r="BO1147" i="1"/>
  <c r="BN1147" i="1"/>
  <c r="BL1147" i="1"/>
  <c r="BK1147" i="1"/>
  <c r="BJ1147" i="1"/>
  <c r="BJ734" i="1" s="1"/>
  <c r="BJ79" i="9" s="1"/>
  <c r="BI1147" i="1"/>
  <c r="BG1147" i="1"/>
  <c r="BF1147" i="1"/>
  <c r="BE1147" i="1"/>
  <c r="BD1147" i="1"/>
  <c r="BB1147" i="1"/>
  <c r="BA1147" i="1"/>
  <c r="AZ1147" i="1"/>
  <c r="AY1147" i="1"/>
  <c r="AW1147" i="1"/>
  <c r="AV1147" i="1"/>
  <c r="AU1147" i="1"/>
  <c r="AT1147" i="1"/>
  <c r="AS1147" i="1"/>
  <c r="AR1147" i="1"/>
  <c r="AQ1147" i="1"/>
  <c r="AP1147" i="1"/>
  <c r="AO1147" i="1"/>
  <c r="AN1147" i="1"/>
  <c r="AM1147" i="1"/>
  <c r="AL1147" i="1"/>
  <c r="AK1147" i="1"/>
  <c r="AJ1147" i="1"/>
  <c r="AI1147" i="1"/>
  <c r="AH1147" i="1"/>
  <c r="AG1147" i="1"/>
  <c r="AF1147" i="1"/>
  <c r="AE1147" i="1"/>
  <c r="AD1147" i="1"/>
  <c r="AC1147" i="1"/>
  <c r="AB1147" i="1"/>
  <c r="AA1147" i="1"/>
  <c r="Z1147" i="1"/>
  <c r="Y1147" i="1"/>
  <c r="X1147" i="1"/>
  <c r="W1147" i="1"/>
  <c r="V1147" i="1"/>
  <c r="U1147" i="1"/>
  <c r="T1147" i="1"/>
  <c r="S1147" i="1"/>
  <c r="R1147" i="1"/>
  <c r="Q1147" i="1"/>
  <c r="P1147" i="1"/>
  <c r="O1147" i="1"/>
  <c r="N1147" i="1"/>
  <c r="M1147" i="1"/>
  <c r="L1147" i="1"/>
  <c r="K1147" i="1"/>
  <c r="J1147" i="1"/>
  <c r="I1147" i="1"/>
  <c r="H1147" i="1"/>
  <c r="G1147" i="1"/>
  <c r="F1147" i="1"/>
  <c r="E1147" i="1"/>
  <c r="D1147" i="1"/>
  <c r="C1147" i="1"/>
  <c r="A1147" i="1"/>
  <c r="CC1146" i="1"/>
  <c r="BT1146" i="1"/>
  <c r="BX1146" i="1" s="1"/>
  <c r="BS1146" i="1"/>
  <c r="BR1146" i="1"/>
  <c r="BQ1146" i="1"/>
  <c r="BP1146" i="1"/>
  <c r="BO1146" i="1"/>
  <c r="BO771" i="1" s="1"/>
  <c r="BN1146" i="1"/>
  <c r="BL1146" i="1"/>
  <c r="BK1146" i="1"/>
  <c r="BJ1146" i="1"/>
  <c r="BI1146" i="1"/>
  <c r="BG1146" i="1"/>
  <c r="BF1146" i="1"/>
  <c r="BE1146" i="1"/>
  <c r="BD1146" i="1"/>
  <c r="BB1146" i="1"/>
  <c r="BA1146" i="1"/>
  <c r="AZ1146" i="1"/>
  <c r="AY1146" i="1"/>
  <c r="AW1146" i="1"/>
  <c r="AV1146" i="1"/>
  <c r="AU1146" i="1"/>
  <c r="AT1146" i="1"/>
  <c r="AR1146" i="1"/>
  <c r="AQ1146" i="1"/>
  <c r="AP1146" i="1"/>
  <c r="AO1146" i="1"/>
  <c r="AM1146" i="1"/>
  <c r="AL1146" i="1"/>
  <c r="AK1146" i="1"/>
  <c r="AK771" i="1" s="1"/>
  <c r="AJ1146" i="1"/>
  <c r="AH1146" i="1"/>
  <c r="AG1146" i="1"/>
  <c r="AF1146" i="1"/>
  <c r="AE1146" i="1"/>
  <c r="AC1146" i="1"/>
  <c r="AB1146" i="1"/>
  <c r="AA1146" i="1"/>
  <c r="Z1146" i="1"/>
  <c r="X1146" i="1"/>
  <c r="W1146" i="1"/>
  <c r="V1146" i="1"/>
  <c r="U1146" i="1"/>
  <c r="T1146" i="1"/>
  <c r="S1146" i="1"/>
  <c r="R1146" i="1"/>
  <c r="Q1146" i="1"/>
  <c r="P1146" i="1"/>
  <c r="O1146" i="1"/>
  <c r="N1146" i="1"/>
  <c r="M1146" i="1"/>
  <c r="L1146" i="1"/>
  <c r="K1146" i="1"/>
  <c r="J1146" i="1"/>
  <c r="I1146" i="1"/>
  <c r="H1146" i="1"/>
  <c r="G1146" i="1"/>
  <c r="F1146" i="1"/>
  <c r="E1146" i="1"/>
  <c r="D1146" i="1"/>
  <c r="D771" i="1" s="1"/>
  <c r="C1146" i="1"/>
  <c r="C771" i="1" s="1"/>
  <c r="A1146" i="1"/>
  <c r="CC1145" i="1"/>
  <c r="BT1145" i="1"/>
  <c r="BX1145" i="1" s="1"/>
  <c r="BS1145" i="1"/>
  <c r="BQ1145" i="1"/>
  <c r="BP1145" i="1"/>
  <c r="BO1145" i="1"/>
  <c r="BO772" i="1" s="1"/>
  <c r="BN1145" i="1"/>
  <c r="BL1145" i="1"/>
  <c r="BL733" i="1" s="1"/>
  <c r="BK1145" i="1"/>
  <c r="BJ1145" i="1"/>
  <c r="BI1145" i="1"/>
  <c r="BG1145" i="1"/>
  <c r="BF1145" i="1"/>
  <c r="BF772" i="1" s="1"/>
  <c r="BE1145" i="1"/>
  <c r="BE772" i="1" s="1"/>
  <c r="BD1145" i="1"/>
  <c r="BD772" i="1" s="1"/>
  <c r="BB1145" i="1"/>
  <c r="BA1145" i="1"/>
  <c r="AZ1145" i="1"/>
  <c r="AY1145" i="1"/>
  <c r="AW1145" i="1"/>
  <c r="AV1145" i="1"/>
  <c r="AV772" i="1" s="1"/>
  <c r="AU1145" i="1"/>
  <c r="AU772" i="1" s="1"/>
  <c r="AT1145" i="1"/>
  <c r="AR1145" i="1"/>
  <c r="AR772" i="1" s="1"/>
  <c r="AQ1145" i="1"/>
  <c r="AP1145" i="1"/>
  <c r="AO1145" i="1"/>
  <c r="AM1145" i="1"/>
  <c r="AL1145" i="1"/>
  <c r="AL772" i="1" s="1"/>
  <c r="AK1145" i="1"/>
  <c r="AK772" i="1" s="1"/>
  <c r="AJ1145" i="1"/>
  <c r="AH1145" i="1"/>
  <c r="AH772" i="1" s="1"/>
  <c r="AG1145" i="1"/>
  <c r="AF1145" i="1"/>
  <c r="AE1145" i="1"/>
  <c r="AC1145" i="1"/>
  <c r="AB1145" i="1"/>
  <c r="AB772" i="1" s="1"/>
  <c r="AA1145" i="1"/>
  <c r="Z1145" i="1"/>
  <c r="X1145" i="1"/>
  <c r="X772" i="1" s="1"/>
  <c r="W1145" i="1"/>
  <c r="V1145" i="1"/>
  <c r="U1145" i="1"/>
  <c r="T1145" i="1"/>
  <c r="S1145" i="1"/>
  <c r="S772" i="1" s="1"/>
  <c r="R1145" i="1"/>
  <c r="R772" i="1" s="1"/>
  <c r="Q1145" i="1"/>
  <c r="Q772" i="1" s="1"/>
  <c r="P1145" i="1"/>
  <c r="P772" i="1" s="1"/>
  <c r="O1145" i="1"/>
  <c r="N1145" i="1"/>
  <c r="M1145" i="1"/>
  <c r="L1145" i="1"/>
  <c r="K1145" i="1"/>
  <c r="K772" i="1" s="1"/>
  <c r="J1145" i="1"/>
  <c r="J772" i="1" s="1"/>
  <c r="I1145" i="1"/>
  <c r="H1145" i="1"/>
  <c r="G1145" i="1"/>
  <c r="F1145" i="1"/>
  <c r="E1145" i="1"/>
  <c r="D1145" i="1"/>
  <c r="C1145" i="1"/>
  <c r="C772" i="1" s="1"/>
  <c r="A1145" i="1"/>
  <c r="CC1144" i="1"/>
  <c r="BT1144" i="1"/>
  <c r="BX1144" i="1" s="1"/>
  <c r="BS1144" i="1"/>
  <c r="BQ1144" i="1"/>
  <c r="BP1144" i="1"/>
  <c r="BO1144" i="1"/>
  <c r="BN1144" i="1"/>
  <c r="BL1144" i="1"/>
  <c r="BK1144" i="1"/>
  <c r="BJ1144" i="1"/>
  <c r="BI1144" i="1"/>
  <c r="BG1144" i="1"/>
  <c r="BF1144" i="1"/>
  <c r="BE1144" i="1"/>
  <c r="BD1144" i="1"/>
  <c r="BB1144" i="1"/>
  <c r="BA1144" i="1"/>
  <c r="AZ1144" i="1"/>
  <c r="AY1144" i="1"/>
  <c r="AW1144" i="1"/>
  <c r="AV1144" i="1"/>
  <c r="AU1144" i="1"/>
  <c r="AT1144" i="1"/>
  <c r="AR1144" i="1"/>
  <c r="AQ1144" i="1"/>
  <c r="AP1144" i="1"/>
  <c r="AO1144" i="1"/>
  <c r="AM1144" i="1"/>
  <c r="AL1144" i="1"/>
  <c r="AK1144" i="1"/>
  <c r="AJ1144" i="1"/>
  <c r="AH1144" i="1"/>
  <c r="AG1144" i="1"/>
  <c r="AF1144" i="1"/>
  <c r="AE1144" i="1"/>
  <c r="AC1144" i="1"/>
  <c r="AB1144" i="1"/>
  <c r="AA1144" i="1"/>
  <c r="Z1144" i="1"/>
  <c r="X1144" i="1"/>
  <c r="W1144" i="1"/>
  <c r="V1144" i="1"/>
  <c r="U1144" i="1"/>
  <c r="T1144" i="1"/>
  <c r="S1144" i="1"/>
  <c r="R1144" i="1"/>
  <c r="Q1144" i="1"/>
  <c r="P1144" i="1"/>
  <c r="O1144" i="1"/>
  <c r="N1144" i="1"/>
  <c r="M1144" i="1"/>
  <c r="L1144" i="1"/>
  <c r="K1144" i="1"/>
  <c r="J1144" i="1"/>
  <c r="I1144" i="1"/>
  <c r="H1144" i="1"/>
  <c r="G1144" i="1"/>
  <c r="F1144" i="1"/>
  <c r="E1144" i="1"/>
  <c r="D1144" i="1"/>
  <c r="C1144" i="1"/>
  <c r="A1144" i="1"/>
  <c r="CC1143" i="1"/>
  <c r="BT1143" i="1"/>
  <c r="BX1143" i="1" s="1"/>
  <c r="BS1143" i="1"/>
  <c r="BS771" i="1" s="1"/>
  <c r="BQ1143" i="1"/>
  <c r="BP1143" i="1"/>
  <c r="BO1143" i="1"/>
  <c r="BN1143" i="1"/>
  <c r="BL1143" i="1"/>
  <c r="BK1143" i="1"/>
  <c r="BJ1143" i="1"/>
  <c r="BI1143" i="1"/>
  <c r="BG1143" i="1"/>
  <c r="BF1143" i="1"/>
  <c r="BE1143" i="1"/>
  <c r="BD1143" i="1"/>
  <c r="BB1143" i="1"/>
  <c r="BA1143" i="1"/>
  <c r="BA771" i="1" s="1"/>
  <c r="AZ1143" i="1"/>
  <c r="AY1143" i="1"/>
  <c r="AW1143" i="1"/>
  <c r="AV1143" i="1"/>
  <c r="AU1143" i="1"/>
  <c r="AT1143" i="1"/>
  <c r="AR1143" i="1"/>
  <c r="AQ1143" i="1"/>
  <c r="AQ771" i="1" s="1"/>
  <c r="AP1143" i="1"/>
  <c r="AO1143" i="1"/>
  <c r="AO733" i="1" s="1"/>
  <c r="AM1143" i="1"/>
  <c r="AL1143" i="1"/>
  <c r="AK1143" i="1"/>
  <c r="AJ1143" i="1"/>
  <c r="AH1143" i="1"/>
  <c r="AG1143" i="1"/>
  <c r="AG771" i="1" s="1"/>
  <c r="AF1143" i="1"/>
  <c r="AF771" i="1" s="1"/>
  <c r="AE1143" i="1"/>
  <c r="AE771" i="1" s="1"/>
  <c r="AC1143" i="1"/>
  <c r="AC771" i="1" s="1"/>
  <c r="AB1143" i="1"/>
  <c r="AA1143" i="1"/>
  <c r="Z1143" i="1"/>
  <c r="X1143" i="1"/>
  <c r="W1143" i="1"/>
  <c r="W771" i="1" s="1"/>
  <c r="V1143" i="1"/>
  <c r="V771" i="1" s="1"/>
  <c r="U1143" i="1"/>
  <c r="T1143" i="1"/>
  <c r="S1143" i="1"/>
  <c r="R1143" i="1"/>
  <c r="Q1143" i="1"/>
  <c r="P1143" i="1"/>
  <c r="O1143" i="1"/>
  <c r="N1143" i="1"/>
  <c r="N771" i="1" s="1"/>
  <c r="M1143" i="1"/>
  <c r="L1143" i="1"/>
  <c r="K1143" i="1"/>
  <c r="J1143" i="1"/>
  <c r="I1143" i="1"/>
  <c r="H1143" i="1"/>
  <c r="G1143" i="1"/>
  <c r="F1143" i="1"/>
  <c r="E1143" i="1"/>
  <c r="E733" i="1" s="1"/>
  <c r="E80" i="9" s="1"/>
  <c r="D1143" i="1"/>
  <c r="C1143" i="1"/>
  <c r="A1143" i="1"/>
  <c r="CC1142" i="1"/>
  <c r="BT1142" i="1"/>
  <c r="BX1142" i="1" s="1"/>
  <c r="BS1142" i="1"/>
  <c r="BQ1142" i="1"/>
  <c r="BP1142" i="1"/>
  <c r="BO1142" i="1"/>
  <c r="BN1142" i="1"/>
  <c r="BL1142" i="1"/>
  <c r="BK1142" i="1"/>
  <c r="BJ1142" i="1"/>
  <c r="BI1142" i="1"/>
  <c r="BG1142" i="1"/>
  <c r="BF1142" i="1"/>
  <c r="BE1142" i="1"/>
  <c r="BD1142" i="1"/>
  <c r="BB1142" i="1"/>
  <c r="BA1142" i="1"/>
  <c r="AZ1142" i="1"/>
  <c r="AY1142" i="1"/>
  <c r="AW1142" i="1"/>
  <c r="AV1142" i="1"/>
  <c r="AU1142" i="1"/>
  <c r="AT1142" i="1"/>
  <c r="AR1142" i="1"/>
  <c r="AQ1142" i="1"/>
  <c r="AP1142" i="1"/>
  <c r="AO1142" i="1"/>
  <c r="AM1142" i="1"/>
  <c r="AL1142" i="1"/>
  <c r="AK1142" i="1"/>
  <c r="AJ1142" i="1"/>
  <c r="AH1142" i="1"/>
  <c r="AG1142" i="1"/>
  <c r="AF1142" i="1"/>
  <c r="AE1142" i="1"/>
  <c r="AC1142" i="1"/>
  <c r="AB1142" i="1"/>
  <c r="AA1142" i="1"/>
  <c r="Z1142" i="1"/>
  <c r="X1142" i="1"/>
  <c r="W1142" i="1"/>
  <c r="V1142" i="1"/>
  <c r="U1142" i="1"/>
  <c r="T1142" i="1"/>
  <c r="S1142" i="1"/>
  <c r="R1142" i="1"/>
  <c r="Q1142" i="1"/>
  <c r="P1142" i="1"/>
  <c r="O1142" i="1"/>
  <c r="N1142" i="1"/>
  <c r="M1142" i="1"/>
  <c r="L1142" i="1"/>
  <c r="K1142" i="1"/>
  <c r="J1142" i="1"/>
  <c r="I1142" i="1"/>
  <c r="H1142" i="1"/>
  <c r="G1142" i="1"/>
  <c r="F1142" i="1"/>
  <c r="E1142" i="1"/>
  <c r="D1142" i="1"/>
  <c r="C1142" i="1"/>
  <c r="A1142" i="1"/>
  <c r="CC1141" i="1"/>
  <c r="BT1141" i="1"/>
  <c r="BX1141" i="1" s="1"/>
  <c r="BS1141" i="1"/>
  <c r="BQ1141" i="1"/>
  <c r="BP1141" i="1"/>
  <c r="BO1141" i="1"/>
  <c r="BN1141" i="1"/>
  <c r="BL1141" i="1"/>
  <c r="BK1141" i="1"/>
  <c r="BJ1141" i="1"/>
  <c r="BI1141" i="1"/>
  <c r="BG1141" i="1"/>
  <c r="BF1141" i="1"/>
  <c r="BE1141" i="1"/>
  <c r="BD1141" i="1"/>
  <c r="BB1141" i="1"/>
  <c r="BA1141" i="1"/>
  <c r="AZ1141" i="1"/>
  <c r="AY1141" i="1"/>
  <c r="AW1141" i="1"/>
  <c r="AV1141" i="1"/>
  <c r="AU1141" i="1"/>
  <c r="AT1141" i="1"/>
  <c r="AR1141" i="1"/>
  <c r="AQ1141" i="1"/>
  <c r="AP1141" i="1"/>
  <c r="AO1141" i="1"/>
  <c r="AM1141" i="1"/>
  <c r="AL1141" i="1"/>
  <c r="AK1141" i="1"/>
  <c r="AJ1141" i="1"/>
  <c r="AH1141" i="1"/>
  <c r="AG1141" i="1"/>
  <c r="AF1141" i="1"/>
  <c r="AE1141" i="1"/>
  <c r="AC1141" i="1"/>
  <c r="AB1141" i="1"/>
  <c r="AA1141" i="1"/>
  <c r="Z1141" i="1"/>
  <c r="X1141" i="1"/>
  <c r="W1141" i="1"/>
  <c r="V1141" i="1"/>
  <c r="U1141" i="1"/>
  <c r="T1141" i="1"/>
  <c r="S1141" i="1"/>
  <c r="R1141" i="1"/>
  <c r="Q1141" i="1"/>
  <c r="P1141" i="1"/>
  <c r="O1141" i="1"/>
  <c r="N1141" i="1"/>
  <c r="M1141" i="1"/>
  <c r="L1141" i="1"/>
  <c r="K1141" i="1"/>
  <c r="J1141" i="1"/>
  <c r="I1141" i="1"/>
  <c r="H1141" i="1"/>
  <c r="G1141" i="1"/>
  <c r="F1141" i="1"/>
  <c r="E1141" i="1"/>
  <c r="D1141" i="1"/>
  <c r="C1141" i="1"/>
  <c r="A1141" i="1"/>
  <c r="BT1140" i="1"/>
  <c r="BT772" i="1" s="1"/>
  <c r="BX772" i="1" s="1"/>
  <c r="BS1140" i="1"/>
  <c r="BQ1140" i="1"/>
  <c r="BP1140" i="1"/>
  <c r="BO1140" i="1"/>
  <c r="BN1140" i="1"/>
  <c r="BL1140" i="1"/>
  <c r="BK1140" i="1"/>
  <c r="BK772" i="1" s="1"/>
  <c r="BJ1140" i="1"/>
  <c r="BI1140" i="1"/>
  <c r="BG1140" i="1"/>
  <c r="BF1140" i="1"/>
  <c r="BE1140" i="1"/>
  <c r="BD1140" i="1"/>
  <c r="BB1140" i="1"/>
  <c r="BA1140" i="1"/>
  <c r="BA772" i="1" s="1"/>
  <c r="AZ1140" i="1"/>
  <c r="AZ772" i="1" s="1"/>
  <c r="AY1140" i="1"/>
  <c r="AW1140" i="1"/>
  <c r="AV1140" i="1"/>
  <c r="AU1140" i="1"/>
  <c r="AT1140" i="1"/>
  <c r="AR1140" i="1"/>
  <c r="AQ1140" i="1"/>
  <c r="AP1140" i="1"/>
  <c r="AO1140" i="1"/>
  <c r="AM1140" i="1"/>
  <c r="AL1140" i="1"/>
  <c r="AK1140" i="1"/>
  <c r="AJ1140" i="1"/>
  <c r="AH1140" i="1"/>
  <c r="AG1140" i="1"/>
  <c r="AF1140" i="1"/>
  <c r="AF772" i="1" s="1"/>
  <c r="AE1140" i="1"/>
  <c r="AC1140" i="1"/>
  <c r="AB1140" i="1"/>
  <c r="AA1140" i="1"/>
  <c r="Z1140" i="1"/>
  <c r="X1140" i="1"/>
  <c r="W1140" i="1"/>
  <c r="V1140" i="1"/>
  <c r="V772" i="1" s="1"/>
  <c r="U1140" i="1"/>
  <c r="T1140" i="1"/>
  <c r="S1140" i="1"/>
  <c r="R1140" i="1"/>
  <c r="Q1140" i="1"/>
  <c r="P1140" i="1"/>
  <c r="O1140" i="1"/>
  <c r="N1140" i="1"/>
  <c r="M1140" i="1"/>
  <c r="L1140" i="1"/>
  <c r="K1140" i="1"/>
  <c r="J1140" i="1"/>
  <c r="I1140" i="1"/>
  <c r="H1140" i="1"/>
  <c r="G1140" i="1"/>
  <c r="G772" i="1" s="1"/>
  <c r="F1140" i="1"/>
  <c r="F772" i="1" s="1"/>
  <c r="E1140" i="1"/>
  <c r="D1140" i="1"/>
  <c r="C1140" i="1"/>
  <c r="A1140" i="1"/>
  <c r="CC1139" i="1"/>
  <c r="BT1139" i="1"/>
  <c r="BX1139" i="1" s="1"/>
  <c r="BS1139" i="1"/>
  <c r="BQ1139" i="1"/>
  <c r="BQ734" i="1" s="1"/>
  <c r="BQ79" i="9" s="1"/>
  <c r="BP1139" i="1"/>
  <c r="BO1139" i="1"/>
  <c r="BN1139" i="1"/>
  <c r="BL1139" i="1"/>
  <c r="BK1139" i="1"/>
  <c r="BJ1139" i="1"/>
  <c r="BI1139" i="1"/>
  <c r="BI734" i="1" s="1"/>
  <c r="BI79" i="9" s="1"/>
  <c r="BG1139" i="1"/>
  <c r="BG734" i="1" s="1"/>
  <c r="BG79" i="9" s="1"/>
  <c r="BF1139" i="1"/>
  <c r="BE1139" i="1"/>
  <c r="BD1139" i="1"/>
  <c r="BB1139" i="1"/>
  <c r="BA1139" i="1"/>
  <c r="AZ1139" i="1"/>
  <c r="AY1139" i="1"/>
  <c r="AW1139" i="1"/>
  <c r="AW734" i="1" s="1"/>
  <c r="AW79" i="9" s="1"/>
  <c r="AV1139" i="1"/>
  <c r="AU1139" i="1"/>
  <c r="AT1139" i="1"/>
  <c r="AR1139" i="1"/>
  <c r="AQ1139" i="1"/>
  <c r="AP1139" i="1"/>
  <c r="AP734" i="1" s="1"/>
  <c r="AP79" i="9" s="1"/>
  <c r="AO1139" i="1"/>
  <c r="AO734" i="1" s="1"/>
  <c r="AO79" i="9" s="1"/>
  <c r="AM1139" i="1"/>
  <c r="AL1139" i="1"/>
  <c r="AK1139" i="1"/>
  <c r="AJ1139" i="1"/>
  <c r="AH1139" i="1"/>
  <c r="AG1139" i="1"/>
  <c r="AF1139" i="1"/>
  <c r="AF734" i="1" s="1"/>
  <c r="AF79" i="9" s="1"/>
  <c r="AE1139" i="1"/>
  <c r="AE734" i="1" s="1"/>
  <c r="AE79" i="9" s="1"/>
  <c r="AC1139" i="1"/>
  <c r="AC734" i="1" s="1"/>
  <c r="AC79" i="9" s="1"/>
  <c r="AB1139" i="1"/>
  <c r="AA1139" i="1"/>
  <c r="Z1139" i="1"/>
  <c r="X1139" i="1"/>
  <c r="W1139" i="1"/>
  <c r="V1139" i="1"/>
  <c r="U1139" i="1"/>
  <c r="U734" i="1" s="1"/>
  <c r="U79" i="9" s="1"/>
  <c r="T1139" i="1"/>
  <c r="T734" i="1" s="1"/>
  <c r="T79" i="9" s="1"/>
  <c r="S1139" i="1"/>
  <c r="R1139" i="1"/>
  <c r="Q1139" i="1"/>
  <c r="P1139" i="1"/>
  <c r="O1139" i="1"/>
  <c r="N1139" i="1"/>
  <c r="M1139" i="1"/>
  <c r="M734" i="1" s="1"/>
  <c r="M79" i="9" s="1"/>
  <c r="L1139" i="1"/>
  <c r="L734" i="1" s="1"/>
  <c r="L79" i="9" s="1"/>
  <c r="K1139" i="1"/>
  <c r="J1139" i="1"/>
  <c r="I1139" i="1"/>
  <c r="H1139" i="1"/>
  <c r="G1139" i="1"/>
  <c r="F1139" i="1"/>
  <c r="F734" i="1" s="1"/>
  <c r="F79" i="9" s="1"/>
  <c r="E1139" i="1"/>
  <c r="E734" i="1" s="1"/>
  <c r="E79" i="9" s="1"/>
  <c r="D1139" i="1"/>
  <c r="C1139" i="1"/>
  <c r="A1139" i="1"/>
  <c r="CC1138" i="1"/>
  <c r="BT1138" i="1"/>
  <c r="BS1138" i="1"/>
  <c r="BQ1138" i="1"/>
  <c r="BP1138" i="1"/>
  <c r="BP734" i="1" s="1"/>
  <c r="BP79" i="9" s="1"/>
  <c r="BO1138" i="1"/>
  <c r="BN1138" i="1"/>
  <c r="BL1138" i="1"/>
  <c r="BK1138" i="1"/>
  <c r="BJ1138" i="1"/>
  <c r="BI1138" i="1"/>
  <c r="BG1138" i="1"/>
  <c r="BF1138" i="1"/>
  <c r="BE1138" i="1"/>
  <c r="BD1138" i="1"/>
  <c r="BB1138" i="1"/>
  <c r="BA1138" i="1"/>
  <c r="AZ1138" i="1"/>
  <c r="AY1138" i="1"/>
  <c r="AW1138" i="1"/>
  <c r="AV1138" i="1"/>
  <c r="AV734" i="1" s="1"/>
  <c r="AV79" i="9" s="1"/>
  <c r="AU1138" i="1"/>
  <c r="AU734" i="1" s="1"/>
  <c r="AU79" i="9" s="1"/>
  <c r="AT1138" i="1"/>
  <c r="AR1138" i="1"/>
  <c r="AQ1138" i="1"/>
  <c r="AP1138" i="1"/>
  <c r="AO1138" i="1"/>
  <c r="AM1138" i="1"/>
  <c r="AL1138" i="1"/>
  <c r="AK1138" i="1"/>
  <c r="AJ1138" i="1"/>
  <c r="AH1138" i="1"/>
  <c r="AG1138" i="1"/>
  <c r="AF1138" i="1"/>
  <c r="AE1138" i="1"/>
  <c r="AC1138" i="1"/>
  <c r="AB1138" i="1"/>
  <c r="AB734" i="1" s="1"/>
  <c r="AB79" i="9" s="1"/>
  <c r="AA1138" i="1"/>
  <c r="Z1138" i="1"/>
  <c r="X1138" i="1"/>
  <c r="W1138" i="1"/>
  <c r="V1138" i="1"/>
  <c r="U1138" i="1"/>
  <c r="T1138" i="1"/>
  <c r="S1138" i="1"/>
  <c r="R1138" i="1"/>
  <c r="Q1138" i="1"/>
  <c r="P1138" i="1"/>
  <c r="O1138" i="1"/>
  <c r="N1138" i="1"/>
  <c r="M1138" i="1"/>
  <c r="L1138" i="1"/>
  <c r="K1138" i="1"/>
  <c r="J1138" i="1"/>
  <c r="I1138" i="1"/>
  <c r="H1138" i="1"/>
  <c r="G1138" i="1"/>
  <c r="F1138" i="1"/>
  <c r="E1138" i="1"/>
  <c r="D1138" i="1"/>
  <c r="C1138" i="1"/>
  <c r="A1138" i="1"/>
  <c r="A1137" i="1"/>
  <c r="A1135" i="1"/>
  <c r="CC1134" i="1"/>
  <c r="BT1134" i="1"/>
  <c r="BX1134" i="1" s="1"/>
  <c r="BS1134" i="1"/>
  <c r="BQ1134" i="1"/>
  <c r="BP1134" i="1"/>
  <c r="BO1134" i="1"/>
  <c r="BN1134" i="1"/>
  <c r="BL1134" i="1"/>
  <c r="BK1134" i="1"/>
  <c r="BJ1134" i="1"/>
  <c r="BI1134" i="1"/>
  <c r="BH1134" i="1"/>
  <c r="BG1134" i="1"/>
  <c r="BF1134" i="1"/>
  <c r="BE1134" i="1"/>
  <c r="BD1134" i="1"/>
  <c r="BB1134" i="1"/>
  <c r="BA1134" i="1"/>
  <c r="AZ1134" i="1"/>
  <c r="AY1134" i="1"/>
  <c r="AW1134" i="1"/>
  <c r="AV1134" i="1"/>
  <c r="AU1134" i="1"/>
  <c r="AT1134" i="1"/>
  <c r="AR1134" i="1"/>
  <c r="AQ1134" i="1"/>
  <c r="AP1134" i="1"/>
  <c r="AO1134" i="1"/>
  <c r="AM1134" i="1"/>
  <c r="AL1134" i="1"/>
  <c r="AK1134" i="1"/>
  <c r="AJ1134" i="1"/>
  <c r="AH1134" i="1"/>
  <c r="AG1134" i="1"/>
  <c r="AF1134" i="1"/>
  <c r="AE1134" i="1"/>
  <c r="AC1134" i="1"/>
  <c r="AB1134" i="1"/>
  <c r="AA1134" i="1"/>
  <c r="Z1134" i="1"/>
  <c r="X1134" i="1"/>
  <c r="W1134" i="1"/>
  <c r="V1134" i="1"/>
  <c r="U1134" i="1"/>
  <c r="T1134" i="1"/>
  <c r="S1134" i="1"/>
  <c r="R1134" i="1"/>
  <c r="Q1134" i="1"/>
  <c r="P1134" i="1"/>
  <c r="O1134" i="1"/>
  <c r="N1134" i="1"/>
  <c r="M1134" i="1"/>
  <c r="L1134" i="1"/>
  <c r="K1134" i="1"/>
  <c r="J1134" i="1"/>
  <c r="I1134" i="1"/>
  <c r="H1134" i="1"/>
  <c r="G1134" i="1"/>
  <c r="F1134" i="1"/>
  <c r="E1134" i="1"/>
  <c r="D1134" i="1"/>
  <c r="C1134" i="1"/>
  <c r="A1134" i="1"/>
  <c r="CC1133" i="1"/>
  <c r="BT1133" i="1"/>
  <c r="BX1133" i="1" s="1"/>
  <c r="BS1133" i="1"/>
  <c r="BQ1133" i="1"/>
  <c r="BP1133" i="1"/>
  <c r="BO1133" i="1"/>
  <c r="BN1133" i="1"/>
  <c r="BL1133" i="1"/>
  <c r="BK1133" i="1"/>
  <c r="BJ1133" i="1"/>
  <c r="BI1133" i="1"/>
  <c r="BG1133" i="1"/>
  <c r="BF1133" i="1"/>
  <c r="BE1133" i="1"/>
  <c r="BD1133" i="1"/>
  <c r="BB1133" i="1"/>
  <c r="BA1133" i="1"/>
  <c r="AZ1133" i="1"/>
  <c r="AY1133" i="1"/>
  <c r="AW1133" i="1"/>
  <c r="AV1133" i="1"/>
  <c r="AU1133" i="1"/>
  <c r="AT1133" i="1"/>
  <c r="AR1133" i="1"/>
  <c r="AQ1133" i="1"/>
  <c r="AP1133" i="1"/>
  <c r="AO1133" i="1"/>
  <c r="AM1133" i="1"/>
  <c r="AL1133" i="1"/>
  <c r="AK1133" i="1"/>
  <c r="AJ1133" i="1"/>
  <c r="AH1133" i="1"/>
  <c r="AG1133" i="1"/>
  <c r="AF1133" i="1"/>
  <c r="AE1133" i="1"/>
  <c r="AC1133" i="1"/>
  <c r="AB1133" i="1"/>
  <c r="AA1133" i="1"/>
  <c r="Z1133" i="1"/>
  <c r="X1133" i="1"/>
  <c r="W1133" i="1"/>
  <c r="V1133" i="1"/>
  <c r="U1133" i="1"/>
  <c r="T1133" i="1"/>
  <c r="S1133" i="1"/>
  <c r="R1133" i="1"/>
  <c r="Q1133" i="1"/>
  <c r="P1133" i="1"/>
  <c r="O1133" i="1"/>
  <c r="N1133" i="1"/>
  <c r="M1133" i="1"/>
  <c r="L1133" i="1"/>
  <c r="K1133" i="1"/>
  <c r="J1133" i="1"/>
  <c r="I1133" i="1"/>
  <c r="H1133" i="1"/>
  <c r="G1133" i="1"/>
  <c r="F1133" i="1"/>
  <c r="E1133" i="1"/>
  <c r="D1133" i="1"/>
  <c r="C1133" i="1"/>
  <c r="A1133" i="1"/>
  <c r="CC1132" i="1"/>
  <c r="BT1132" i="1"/>
  <c r="BX1132" i="1" s="1"/>
  <c r="BS1132" i="1"/>
  <c r="BQ1132" i="1"/>
  <c r="BP1132" i="1"/>
  <c r="BO1132" i="1"/>
  <c r="BN1132" i="1"/>
  <c r="BL1132" i="1"/>
  <c r="BK1132" i="1"/>
  <c r="BJ1132" i="1"/>
  <c r="BI1132" i="1"/>
  <c r="BG1132" i="1"/>
  <c r="BF1132" i="1"/>
  <c r="BE1132" i="1"/>
  <c r="BD1132" i="1"/>
  <c r="BB1132" i="1"/>
  <c r="BA1132" i="1"/>
  <c r="AZ1132" i="1"/>
  <c r="AY1132" i="1"/>
  <c r="AW1132" i="1"/>
  <c r="AV1132" i="1"/>
  <c r="AU1132" i="1"/>
  <c r="AT1132" i="1"/>
  <c r="AS1132" i="1"/>
  <c r="AR1132" i="1"/>
  <c r="AQ1132" i="1"/>
  <c r="AP1132" i="1"/>
  <c r="AO1132" i="1"/>
  <c r="AM1132" i="1"/>
  <c r="AL1132" i="1"/>
  <c r="AK1132" i="1"/>
  <c r="AJ1132" i="1"/>
  <c r="AH1132" i="1"/>
  <c r="AG1132" i="1"/>
  <c r="AF1132" i="1"/>
  <c r="AE1132" i="1"/>
  <c r="AC1132" i="1"/>
  <c r="AB1132" i="1"/>
  <c r="AA1132" i="1"/>
  <c r="Z1132" i="1"/>
  <c r="X1132" i="1"/>
  <c r="W1132" i="1"/>
  <c r="V1132" i="1"/>
  <c r="U1132" i="1"/>
  <c r="T1132" i="1"/>
  <c r="S1132" i="1"/>
  <c r="R1132" i="1"/>
  <c r="Q1132" i="1"/>
  <c r="P1132" i="1"/>
  <c r="O1132" i="1"/>
  <c r="N1132" i="1"/>
  <c r="M1132" i="1"/>
  <c r="L1132" i="1"/>
  <c r="K1132" i="1"/>
  <c r="J1132" i="1"/>
  <c r="I1132" i="1"/>
  <c r="H1132" i="1"/>
  <c r="G1132" i="1"/>
  <c r="F1132" i="1"/>
  <c r="E1132" i="1"/>
  <c r="D1132" i="1"/>
  <c r="C1132" i="1"/>
  <c r="A1132" i="1"/>
  <c r="CC1131" i="1"/>
  <c r="BT1131" i="1"/>
  <c r="BX1131" i="1" s="1"/>
  <c r="BS1131" i="1"/>
  <c r="BQ1131" i="1"/>
  <c r="BP1131" i="1"/>
  <c r="BO1131" i="1"/>
  <c r="BN1131" i="1"/>
  <c r="BL1131" i="1"/>
  <c r="BK1131" i="1"/>
  <c r="BJ1131" i="1"/>
  <c r="BI1131" i="1"/>
  <c r="BG1131" i="1"/>
  <c r="BF1131" i="1"/>
  <c r="BE1131" i="1"/>
  <c r="BD1131" i="1"/>
  <c r="BB1131" i="1"/>
  <c r="BA1131" i="1"/>
  <c r="AZ1131" i="1"/>
  <c r="AY1131" i="1"/>
  <c r="AW1131" i="1"/>
  <c r="AV1131" i="1"/>
  <c r="AU1131" i="1"/>
  <c r="AT1131" i="1"/>
  <c r="AR1131" i="1"/>
  <c r="AQ1131" i="1"/>
  <c r="AP1131" i="1"/>
  <c r="AO1131" i="1"/>
  <c r="AM1131" i="1"/>
  <c r="AL1131" i="1"/>
  <c r="AK1131" i="1"/>
  <c r="AJ1131" i="1"/>
  <c r="AH1131" i="1"/>
  <c r="AG1131" i="1"/>
  <c r="AF1131" i="1"/>
  <c r="AE1131" i="1"/>
  <c r="AC1131" i="1"/>
  <c r="AB1131" i="1"/>
  <c r="AA1131" i="1"/>
  <c r="Z1131" i="1"/>
  <c r="X1131" i="1"/>
  <c r="W1131" i="1"/>
  <c r="V1131" i="1"/>
  <c r="U1131" i="1"/>
  <c r="T1131" i="1"/>
  <c r="S1131" i="1"/>
  <c r="R1131" i="1"/>
  <c r="Q1131" i="1"/>
  <c r="P1131" i="1"/>
  <c r="O1131" i="1"/>
  <c r="N1131" i="1"/>
  <c r="M1131" i="1"/>
  <c r="L1131" i="1"/>
  <c r="K1131" i="1"/>
  <c r="J1131" i="1"/>
  <c r="I1131" i="1"/>
  <c r="H1131" i="1"/>
  <c r="G1131" i="1"/>
  <c r="F1131" i="1"/>
  <c r="E1131" i="1"/>
  <c r="D1131" i="1"/>
  <c r="C1131" i="1"/>
  <c r="A1131" i="1"/>
  <c r="CF1130" i="1"/>
  <c r="CE1130" i="1"/>
  <c r="CE1135" i="1" s="1"/>
  <c r="CD1130" i="1"/>
  <c r="CB1130" i="1"/>
  <c r="CA1130" i="1"/>
  <c r="BZ1130" i="1"/>
  <c r="BY1130" i="1"/>
  <c r="BW1130" i="1"/>
  <c r="BV1130" i="1"/>
  <c r="BU1130" i="1"/>
  <c r="BT1130" i="1"/>
  <c r="BS1130" i="1"/>
  <c r="BS728" i="1" s="1"/>
  <c r="BQ1130" i="1"/>
  <c r="BP1130" i="1"/>
  <c r="BO1130" i="1"/>
  <c r="BN1130" i="1"/>
  <c r="BL1130" i="1"/>
  <c r="BK1130" i="1"/>
  <c r="BK728" i="1" s="1"/>
  <c r="BJ1130" i="1"/>
  <c r="BI1130" i="1"/>
  <c r="BG1130" i="1"/>
  <c r="BF1130" i="1"/>
  <c r="BE1130" i="1"/>
  <c r="BD1130" i="1"/>
  <c r="BC1130" i="1"/>
  <c r="BC728" i="1" s="1"/>
  <c r="BB1130" i="1"/>
  <c r="BA1130" i="1"/>
  <c r="AZ1130" i="1"/>
  <c r="AY1130" i="1"/>
  <c r="AX1130" i="1"/>
  <c r="AW1130" i="1"/>
  <c r="AV1130" i="1"/>
  <c r="AU1130" i="1"/>
  <c r="AT1130" i="1"/>
  <c r="AS1130" i="1"/>
  <c r="AR1130" i="1"/>
  <c r="AQ1130" i="1"/>
  <c r="AP1130" i="1"/>
  <c r="AO1130" i="1"/>
  <c r="AN1130" i="1"/>
  <c r="AM1130" i="1"/>
  <c r="AM728" i="1" s="1"/>
  <c r="AL1130" i="1"/>
  <c r="AL728" i="1" s="1"/>
  <c r="AK1130" i="1"/>
  <c r="AJ1130" i="1"/>
  <c r="AI1130" i="1"/>
  <c r="AH1130" i="1"/>
  <c r="AG1130" i="1"/>
  <c r="AF1130" i="1"/>
  <c r="AE1130" i="1"/>
  <c r="AE728" i="1" s="1"/>
  <c r="AD1130" i="1"/>
  <c r="AC1130" i="1"/>
  <c r="AC728" i="1" s="1"/>
  <c r="AB1130" i="1"/>
  <c r="AB728" i="1" s="1"/>
  <c r="AA1130" i="1"/>
  <c r="Z1130" i="1"/>
  <c r="Y1130" i="1"/>
  <c r="X1130" i="1"/>
  <c r="W1130" i="1"/>
  <c r="W728" i="1" s="1"/>
  <c r="V1130" i="1"/>
  <c r="V728" i="1" s="1"/>
  <c r="U1130" i="1"/>
  <c r="U728" i="1" s="1"/>
  <c r="T1130" i="1"/>
  <c r="T728" i="1" s="1"/>
  <c r="S1130" i="1"/>
  <c r="R1130" i="1"/>
  <c r="Q1130" i="1"/>
  <c r="P1130" i="1"/>
  <c r="O1130" i="1"/>
  <c r="O728" i="1" s="1"/>
  <c r="N1130" i="1"/>
  <c r="N728" i="1" s="1"/>
  <c r="M1130" i="1"/>
  <c r="M728" i="1" s="1"/>
  <c r="L1130" i="1"/>
  <c r="L728" i="1" s="1"/>
  <c r="K1130" i="1"/>
  <c r="J1130" i="1"/>
  <c r="I1130" i="1"/>
  <c r="H1130" i="1"/>
  <c r="G1130" i="1"/>
  <c r="G728" i="1" s="1"/>
  <c r="F1130" i="1"/>
  <c r="F728" i="1" s="1"/>
  <c r="E1130" i="1"/>
  <c r="D1130" i="1"/>
  <c r="C1130" i="1"/>
  <c r="A1130" i="1"/>
  <c r="CC1129" i="1"/>
  <c r="BT1129" i="1"/>
  <c r="BX1129" i="1" s="1"/>
  <c r="BS1129" i="1"/>
  <c r="BQ1129" i="1"/>
  <c r="BP1129" i="1"/>
  <c r="BP447" i="1" s="1"/>
  <c r="BO1129" i="1"/>
  <c r="BO447" i="1" s="1"/>
  <c r="BN1129" i="1"/>
  <c r="BL1129" i="1"/>
  <c r="BK1129" i="1"/>
  <c r="BJ1129" i="1"/>
  <c r="BI1129" i="1"/>
  <c r="BG1129" i="1"/>
  <c r="BF1129" i="1"/>
  <c r="BF447" i="1" s="1"/>
  <c r="BE1129" i="1"/>
  <c r="BE447" i="1" s="1"/>
  <c r="BD1129" i="1"/>
  <c r="BB1129" i="1"/>
  <c r="BA1129" i="1"/>
  <c r="AZ1129" i="1"/>
  <c r="AY1129" i="1"/>
  <c r="AW1129" i="1"/>
  <c r="AV1129" i="1"/>
  <c r="AV447" i="1" s="1"/>
  <c r="AU1129" i="1"/>
  <c r="AU447" i="1" s="1"/>
  <c r="AT1129" i="1"/>
  <c r="AR1129" i="1"/>
  <c r="AQ1129" i="1"/>
  <c r="AP1129" i="1"/>
  <c r="AO1129" i="1"/>
  <c r="AM1129" i="1"/>
  <c r="AL1129" i="1"/>
  <c r="AK1129" i="1"/>
  <c r="AJ1129" i="1"/>
  <c r="AH1129" i="1"/>
  <c r="AG1129" i="1"/>
  <c r="AF1129" i="1"/>
  <c r="AE1129" i="1"/>
  <c r="AC1129" i="1"/>
  <c r="AB1129" i="1"/>
  <c r="AA1129" i="1"/>
  <c r="Z1129" i="1"/>
  <c r="X1129" i="1"/>
  <c r="W1129" i="1"/>
  <c r="V1129" i="1"/>
  <c r="U1129" i="1"/>
  <c r="T1129" i="1"/>
  <c r="S1129" i="1"/>
  <c r="R1129" i="1"/>
  <c r="Q1129" i="1"/>
  <c r="P1129" i="1"/>
  <c r="O1129" i="1"/>
  <c r="N1129" i="1"/>
  <c r="M1129" i="1"/>
  <c r="L1129" i="1"/>
  <c r="K1129" i="1"/>
  <c r="J1129" i="1"/>
  <c r="I1129" i="1"/>
  <c r="H1129" i="1"/>
  <c r="G1129" i="1"/>
  <c r="F1129" i="1"/>
  <c r="E1129" i="1"/>
  <c r="D1129" i="1"/>
  <c r="C1129" i="1"/>
  <c r="A1129" i="1"/>
  <c r="CF1128" i="1"/>
  <c r="CE1128" i="1"/>
  <c r="CD1128" i="1"/>
  <c r="CB1128" i="1"/>
  <c r="CA1128" i="1"/>
  <c r="BZ1128" i="1"/>
  <c r="BY1128" i="1"/>
  <c r="BW1128" i="1"/>
  <c r="BV1128" i="1"/>
  <c r="BU1128" i="1"/>
  <c r="BT1128" i="1"/>
  <c r="BS1128" i="1"/>
  <c r="BQ1128" i="1"/>
  <c r="BP1128" i="1"/>
  <c r="BO1128" i="1"/>
  <c r="BN1128" i="1"/>
  <c r="BL1128" i="1"/>
  <c r="BK1128" i="1"/>
  <c r="BJ1128" i="1"/>
  <c r="BI1128" i="1"/>
  <c r="BG1128" i="1"/>
  <c r="BF1128" i="1"/>
  <c r="BE1128" i="1"/>
  <c r="BD1128" i="1"/>
  <c r="BB1128" i="1"/>
  <c r="BA1128" i="1"/>
  <c r="AZ1128" i="1"/>
  <c r="AY1128" i="1"/>
  <c r="AW1128" i="1"/>
  <c r="AV1128" i="1"/>
  <c r="AU1128" i="1"/>
  <c r="AT1128" i="1"/>
  <c r="AR1128" i="1"/>
  <c r="AQ1128" i="1"/>
  <c r="AP1128" i="1"/>
  <c r="AO1128" i="1"/>
  <c r="AM1128" i="1"/>
  <c r="AL1128" i="1"/>
  <c r="AK1128" i="1"/>
  <c r="AK729" i="1" s="1"/>
  <c r="AK78" i="9" s="1"/>
  <c r="AJ1128" i="1"/>
  <c r="AH1128" i="1"/>
  <c r="AG1128" i="1"/>
  <c r="AF1128" i="1"/>
  <c r="AE1128" i="1"/>
  <c r="AC1128" i="1"/>
  <c r="AB1128" i="1"/>
  <c r="AA1128" i="1"/>
  <c r="AA729" i="1" s="1"/>
  <c r="AA78" i="9" s="1"/>
  <c r="Z1128" i="1"/>
  <c r="X1128" i="1"/>
  <c r="W1128" i="1"/>
  <c r="V1128" i="1"/>
  <c r="U1128" i="1"/>
  <c r="T1128" i="1"/>
  <c r="S1128" i="1"/>
  <c r="R1128" i="1"/>
  <c r="Q1128" i="1"/>
  <c r="P1128" i="1"/>
  <c r="O1128" i="1"/>
  <c r="N1128" i="1"/>
  <c r="M1128" i="1"/>
  <c r="L1128" i="1"/>
  <c r="K1128" i="1"/>
  <c r="K729" i="1" s="1"/>
  <c r="K78" i="9" s="1"/>
  <c r="J1128" i="1"/>
  <c r="J729" i="1" s="1"/>
  <c r="J78" i="9" s="1"/>
  <c r="I1128" i="1"/>
  <c r="H1128" i="1"/>
  <c r="G1128" i="1"/>
  <c r="F1128" i="1"/>
  <c r="E1128" i="1"/>
  <c r="D1128" i="1"/>
  <c r="C1128" i="1"/>
  <c r="A1128" i="1"/>
  <c r="CC1127" i="1"/>
  <c r="BT1127" i="1"/>
  <c r="BS1127" i="1"/>
  <c r="BQ1127" i="1"/>
  <c r="BP1127" i="1"/>
  <c r="BO1127" i="1"/>
  <c r="BN1127" i="1"/>
  <c r="BL1127" i="1"/>
  <c r="BK1127" i="1"/>
  <c r="BJ1127" i="1"/>
  <c r="BI1127" i="1"/>
  <c r="BG1127" i="1"/>
  <c r="BF1127" i="1"/>
  <c r="BE1127" i="1"/>
  <c r="BD1127" i="1"/>
  <c r="BB1127" i="1"/>
  <c r="BA1127" i="1"/>
  <c r="AZ1127" i="1"/>
  <c r="AY1127" i="1"/>
  <c r="AW1127" i="1"/>
  <c r="AV1127" i="1"/>
  <c r="AU1127" i="1"/>
  <c r="AT1127" i="1"/>
  <c r="AR1127" i="1"/>
  <c r="AQ1127" i="1"/>
  <c r="AP1127" i="1"/>
  <c r="AP728" i="1" s="1"/>
  <c r="AO1127" i="1"/>
  <c r="AM1127" i="1"/>
  <c r="AL1127" i="1"/>
  <c r="AK1127" i="1"/>
  <c r="AJ1127" i="1"/>
  <c r="AH1127" i="1"/>
  <c r="AH728" i="1" s="1"/>
  <c r="AG1127" i="1"/>
  <c r="AF1127" i="1"/>
  <c r="AE1127" i="1"/>
  <c r="AC1127" i="1"/>
  <c r="AB1127" i="1"/>
  <c r="AA1127" i="1"/>
  <c r="Z1127" i="1"/>
  <c r="X1127" i="1"/>
  <c r="X728" i="1" s="1"/>
  <c r="W1127" i="1"/>
  <c r="V1127" i="1"/>
  <c r="U1127" i="1"/>
  <c r="T1127" i="1"/>
  <c r="S1127" i="1"/>
  <c r="R1127" i="1"/>
  <c r="Q1127" i="1"/>
  <c r="P1127" i="1"/>
  <c r="P728" i="1" s="1"/>
  <c r="O1127" i="1"/>
  <c r="N1127" i="1"/>
  <c r="M1127" i="1"/>
  <c r="L1127" i="1"/>
  <c r="K1127" i="1"/>
  <c r="J1127" i="1"/>
  <c r="I1127" i="1"/>
  <c r="H1127" i="1"/>
  <c r="G1127" i="1"/>
  <c r="F1127" i="1"/>
  <c r="E1127" i="1"/>
  <c r="D1127" i="1"/>
  <c r="C1127" i="1"/>
  <c r="A1127" i="1"/>
  <c r="CC1126" i="1"/>
  <c r="BT1126" i="1"/>
  <c r="BX1126" i="1" s="1"/>
  <c r="BS1126" i="1"/>
  <c r="BQ1126" i="1"/>
  <c r="BP1126" i="1"/>
  <c r="BO1126" i="1"/>
  <c r="BN1126" i="1"/>
  <c r="BL1126" i="1"/>
  <c r="BK1126" i="1"/>
  <c r="BK729" i="1" s="1"/>
  <c r="BK78" i="9" s="1"/>
  <c r="BJ1126" i="1"/>
  <c r="BJ729" i="1" s="1"/>
  <c r="BJ78" i="9" s="1"/>
  <c r="BI1126" i="1"/>
  <c r="BG1126" i="1"/>
  <c r="BF1126" i="1"/>
  <c r="BE1126" i="1"/>
  <c r="BD1126" i="1"/>
  <c r="BB1126" i="1"/>
  <c r="BA1126" i="1"/>
  <c r="BA729" i="1" s="1"/>
  <c r="BA78" i="9" s="1"/>
  <c r="AZ1126" i="1"/>
  <c r="AY1126" i="1"/>
  <c r="AW1126" i="1"/>
  <c r="AV1126" i="1"/>
  <c r="AU1126" i="1"/>
  <c r="AT1126" i="1"/>
  <c r="AR1126" i="1"/>
  <c r="AQ1126" i="1"/>
  <c r="AQ729" i="1" s="1"/>
  <c r="AQ78" i="9" s="1"/>
  <c r="AP1126" i="1"/>
  <c r="AP729" i="1" s="1"/>
  <c r="AP78" i="9" s="1"/>
  <c r="AO1126" i="1"/>
  <c r="AM1126" i="1"/>
  <c r="AL1126" i="1"/>
  <c r="AK1126" i="1"/>
  <c r="AJ1126" i="1"/>
  <c r="AH1126" i="1"/>
  <c r="AG1126" i="1"/>
  <c r="AG729" i="1" s="1"/>
  <c r="AG78" i="9" s="1"/>
  <c r="AF1126" i="1"/>
  <c r="AF729" i="1" s="1"/>
  <c r="AF78" i="9" s="1"/>
  <c r="AE1126" i="1"/>
  <c r="AC1126" i="1"/>
  <c r="AB1126" i="1"/>
  <c r="AA1126" i="1"/>
  <c r="Z1126" i="1"/>
  <c r="X1126" i="1"/>
  <c r="W1126" i="1"/>
  <c r="V1126" i="1"/>
  <c r="V729" i="1" s="1"/>
  <c r="V78" i="9" s="1"/>
  <c r="U1126" i="1"/>
  <c r="T1126" i="1"/>
  <c r="S1126" i="1"/>
  <c r="R1126" i="1"/>
  <c r="Q1126" i="1"/>
  <c r="P1126" i="1"/>
  <c r="O1126" i="1"/>
  <c r="N1126" i="1"/>
  <c r="N729" i="1" s="1"/>
  <c r="N78" i="9" s="1"/>
  <c r="M1126" i="1"/>
  <c r="L1126" i="1"/>
  <c r="K1126" i="1"/>
  <c r="J1126" i="1"/>
  <c r="I1126" i="1"/>
  <c r="H1126" i="1"/>
  <c r="G1126" i="1"/>
  <c r="F1126" i="1"/>
  <c r="F729" i="1" s="1"/>
  <c r="F78" i="9" s="1"/>
  <c r="E1126" i="1"/>
  <c r="D1126" i="1"/>
  <c r="C1126" i="1"/>
  <c r="A1126" i="1"/>
  <c r="CF1125" i="1"/>
  <c r="CE1125" i="1"/>
  <c r="CE1270" i="1" s="1"/>
  <c r="CD1125" i="1"/>
  <c r="CD1270" i="1" s="1"/>
  <c r="CB1125" i="1"/>
  <c r="CB1270" i="1" s="1"/>
  <c r="CA1125" i="1"/>
  <c r="CA1270" i="1" s="1"/>
  <c r="BZ1125" i="1"/>
  <c r="BY1125" i="1"/>
  <c r="BW1125" i="1"/>
  <c r="BV1125" i="1"/>
  <c r="BU1125" i="1"/>
  <c r="BU1270" i="1" s="1"/>
  <c r="BT1125" i="1"/>
  <c r="BS1125" i="1"/>
  <c r="BQ1125" i="1"/>
  <c r="BQ1169" i="1" s="1"/>
  <c r="BP1125" i="1"/>
  <c r="BP1169" i="1" s="1"/>
  <c r="BO1125" i="1"/>
  <c r="BO1169" i="1" s="1"/>
  <c r="BN1125" i="1"/>
  <c r="BN1169" i="1" s="1"/>
  <c r="BL1125" i="1"/>
  <c r="BL1169" i="1" s="1"/>
  <c r="BK1125" i="1"/>
  <c r="BK1169" i="1" s="1"/>
  <c r="BJ1125" i="1"/>
  <c r="BI1125" i="1"/>
  <c r="BG1125" i="1"/>
  <c r="BG1169" i="1" s="1"/>
  <c r="BF1125" i="1"/>
  <c r="BF1169" i="1" s="1"/>
  <c r="BE1125" i="1"/>
  <c r="BD1125" i="1"/>
  <c r="BD1169" i="1" s="1"/>
  <c r="BB1125" i="1"/>
  <c r="BB1169" i="1" s="1"/>
  <c r="BA1125" i="1"/>
  <c r="BA1169" i="1" s="1"/>
  <c r="AZ1125" i="1"/>
  <c r="AY1125" i="1"/>
  <c r="AY1169" i="1" s="1"/>
  <c r="AW1125" i="1"/>
  <c r="AW1169" i="1" s="1"/>
  <c r="AV1125" i="1"/>
  <c r="AV1169" i="1" s="1"/>
  <c r="AU1125" i="1"/>
  <c r="AU1169" i="1" s="1"/>
  <c r="AT1125" i="1"/>
  <c r="AT1169" i="1" s="1"/>
  <c r="AR1125" i="1"/>
  <c r="AR1169" i="1" s="1"/>
  <c r="AQ1125" i="1"/>
  <c r="AQ1169" i="1" s="1"/>
  <c r="AP1125" i="1"/>
  <c r="AP1169" i="1" s="1"/>
  <c r="AO1125" i="1"/>
  <c r="AM1125" i="1"/>
  <c r="AM1169" i="1" s="1"/>
  <c r="AL1125" i="1"/>
  <c r="AL1169" i="1" s="1"/>
  <c r="AK1125" i="1"/>
  <c r="AK1169" i="1" s="1"/>
  <c r="AJ1125" i="1"/>
  <c r="AJ1169" i="1" s="1"/>
  <c r="AH1125" i="1"/>
  <c r="AH1169" i="1" s="1"/>
  <c r="AG1125" i="1"/>
  <c r="AG1169" i="1" s="1"/>
  <c r="AF1125" i="1"/>
  <c r="AF1169" i="1" s="1"/>
  <c r="AE1125" i="1"/>
  <c r="AC1125" i="1"/>
  <c r="AC1169" i="1" s="1"/>
  <c r="AB1125" i="1"/>
  <c r="AB1169" i="1" s="1"/>
  <c r="AA1125" i="1"/>
  <c r="AA1169" i="1" s="1"/>
  <c r="Z1125" i="1"/>
  <c r="Z1169" i="1" s="1"/>
  <c r="X1125" i="1"/>
  <c r="X1169" i="1" s="1"/>
  <c r="W1125" i="1"/>
  <c r="W1169" i="1" s="1"/>
  <c r="V1125" i="1"/>
  <c r="U1125" i="1"/>
  <c r="T1125" i="1"/>
  <c r="T1169" i="1" s="1"/>
  <c r="S1125" i="1"/>
  <c r="S1169" i="1" s="1"/>
  <c r="R1125" i="1"/>
  <c r="R1169" i="1" s="1"/>
  <c r="Q1125" i="1"/>
  <c r="Q1169" i="1" s="1"/>
  <c r="P1125" i="1"/>
  <c r="P1169" i="1" s="1"/>
  <c r="O1125" i="1"/>
  <c r="O1169" i="1" s="1"/>
  <c r="N1125" i="1"/>
  <c r="N446" i="1" s="1"/>
  <c r="M1125" i="1"/>
  <c r="L1125" i="1"/>
  <c r="K1125" i="1"/>
  <c r="K1169" i="1" s="1"/>
  <c r="J1125" i="1"/>
  <c r="J1169" i="1" s="1"/>
  <c r="I1125" i="1"/>
  <c r="I1169" i="1" s="1"/>
  <c r="H1125" i="1"/>
  <c r="H1169" i="1" s="1"/>
  <c r="G1125" i="1"/>
  <c r="G1169" i="1" s="1"/>
  <c r="F1125" i="1"/>
  <c r="E1125" i="1"/>
  <c r="D1125" i="1"/>
  <c r="D1169" i="1" s="1"/>
  <c r="C1125" i="1"/>
  <c r="A1125" i="1"/>
  <c r="CC1124" i="1"/>
  <c r="BT1124" i="1"/>
  <c r="BS1124" i="1"/>
  <c r="BQ1124" i="1"/>
  <c r="BP1124" i="1"/>
  <c r="BP726" i="1" s="1"/>
  <c r="BO1124" i="1"/>
  <c r="BN1124" i="1"/>
  <c r="BL1124" i="1"/>
  <c r="BK1124" i="1"/>
  <c r="BJ1124" i="1"/>
  <c r="BI1124" i="1"/>
  <c r="BG1124" i="1"/>
  <c r="BF1124" i="1"/>
  <c r="BE1124" i="1"/>
  <c r="BD1124" i="1"/>
  <c r="BB1124" i="1"/>
  <c r="BA1124" i="1"/>
  <c r="AZ1124" i="1"/>
  <c r="AY1124" i="1"/>
  <c r="AX1124" i="1"/>
  <c r="AX245" i="1" s="1"/>
  <c r="AW1124" i="1"/>
  <c r="AV1124" i="1"/>
  <c r="AU1124" i="1"/>
  <c r="AT1124" i="1"/>
  <c r="AR1124" i="1"/>
  <c r="AQ1124" i="1"/>
  <c r="AP1124" i="1"/>
  <c r="AO1124" i="1"/>
  <c r="AM1124" i="1"/>
  <c r="AL1124" i="1"/>
  <c r="AK1124" i="1"/>
  <c r="AJ1124" i="1"/>
  <c r="AH1124" i="1"/>
  <c r="AG1124" i="1"/>
  <c r="AF1124" i="1"/>
  <c r="AE1124" i="1"/>
  <c r="AC1124" i="1"/>
  <c r="AB1124" i="1"/>
  <c r="AA1124" i="1"/>
  <c r="Z1124" i="1"/>
  <c r="X1124" i="1"/>
  <c r="W1124" i="1"/>
  <c r="V1124" i="1"/>
  <c r="U1124" i="1"/>
  <c r="T1124" i="1"/>
  <c r="S1124" i="1"/>
  <c r="R1124" i="1"/>
  <c r="Q1124" i="1"/>
  <c r="P1124" i="1"/>
  <c r="O1124" i="1"/>
  <c r="N1124" i="1"/>
  <c r="M1124" i="1"/>
  <c r="L1124" i="1"/>
  <c r="L245" i="1" s="1"/>
  <c r="K1124" i="1"/>
  <c r="J1124" i="1"/>
  <c r="I1124" i="1"/>
  <c r="H1124" i="1"/>
  <c r="G1124" i="1"/>
  <c r="F1124" i="1"/>
  <c r="E1124" i="1"/>
  <c r="D1124" i="1"/>
  <c r="D245" i="1" s="1"/>
  <c r="C1124" i="1"/>
  <c r="A1124" i="1"/>
  <c r="A1123" i="1"/>
  <c r="A1121" i="1"/>
  <c r="BT1120" i="1"/>
  <c r="BS1120" i="1"/>
  <c r="BQ1120" i="1"/>
  <c r="BP1120" i="1"/>
  <c r="BO1120" i="1"/>
  <c r="BN1120" i="1"/>
  <c r="BL1120" i="1"/>
  <c r="BK1120" i="1"/>
  <c r="BJ1120" i="1"/>
  <c r="BI1120" i="1"/>
  <c r="BG1120" i="1"/>
  <c r="BF1120" i="1"/>
  <c r="BE1120" i="1"/>
  <c r="BD1120" i="1"/>
  <c r="BB1120" i="1"/>
  <c r="BA1120" i="1"/>
  <c r="AZ1120" i="1"/>
  <c r="AY1120" i="1"/>
  <c r="AW1120" i="1"/>
  <c r="AV1120" i="1"/>
  <c r="AU1120" i="1"/>
  <c r="AT1120" i="1"/>
  <c r="AR1120" i="1"/>
  <c r="AQ1120" i="1"/>
  <c r="AP1120" i="1"/>
  <c r="AO1120" i="1"/>
  <c r="AM1120" i="1"/>
  <c r="AL1120" i="1"/>
  <c r="AK1120" i="1"/>
  <c r="AJ1120" i="1"/>
  <c r="AH1120" i="1"/>
  <c r="AG1120" i="1"/>
  <c r="AF1120" i="1"/>
  <c r="AE1120" i="1"/>
  <c r="AC1120" i="1"/>
  <c r="AB1120" i="1"/>
  <c r="AA1120" i="1"/>
  <c r="Z1120" i="1"/>
  <c r="X1120" i="1"/>
  <c r="W1120" i="1"/>
  <c r="V1120" i="1"/>
  <c r="U1120" i="1"/>
  <c r="T1120" i="1"/>
  <c r="S1120" i="1"/>
  <c r="R1120" i="1"/>
  <c r="Q1120" i="1"/>
  <c r="P1120" i="1"/>
  <c r="O1120" i="1"/>
  <c r="N1120" i="1"/>
  <c r="M1120" i="1"/>
  <c r="L1120" i="1"/>
  <c r="K1120" i="1"/>
  <c r="J1120" i="1"/>
  <c r="I1120" i="1"/>
  <c r="H1120" i="1"/>
  <c r="G1120" i="1"/>
  <c r="F1120" i="1"/>
  <c r="E1120" i="1"/>
  <c r="D1120" i="1"/>
  <c r="C1120" i="1"/>
  <c r="A1120" i="1"/>
  <c r="BT1119" i="1"/>
  <c r="BS1119" i="1"/>
  <c r="BQ1119" i="1"/>
  <c r="BP1119" i="1"/>
  <c r="BO1119" i="1"/>
  <c r="BN1119" i="1"/>
  <c r="BL1119" i="1"/>
  <c r="BK1119" i="1"/>
  <c r="BJ1119" i="1"/>
  <c r="BI1119" i="1"/>
  <c r="BG1119" i="1"/>
  <c r="BF1119" i="1"/>
  <c r="BE1119" i="1"/>
  <c r="BD1119" i="1"/>
  <c r="BB1119" i="1"/>
  <c r="BA1119" i="1"/>
  <c r="AZ1119" i="1"/>
  <c r="AY1119" i="1"/>
  <c r="AW1119" i="1"/>
  <c r="AV1119" i="1"/>
  <c r="AU1119" i="1"/>
  <c r="AT1119" i="1"/>
  <c r="AR1119" i="1"/>
  <c r="AQ1119" i="1"/>
  <c r="AP1119" i="1"/>
  <c r="AO1119" i="1"/>
  <c r="AM1119" i="1"/>
  <c r="AL1119" i="1"/>
  <c r="AK1119" i="1"/>
  <c r="AJ1119" i="1"/>
  <c r="AH1119" i="1"/>
  <c r="AG1119" i="1"/>
  <c r="AF1119" i="1"/>
  <c r="AE1119" i="1"/>
  <c r="AC1119" i="1"/>
  <c r="AB1119" i="1"/>
  <c r="AA1119" i="1"/>
  <c r="Z1119" i="1"/>
  <c r="X1119" i="1"/>
  <c r="W1119" i="1"/>
  <c r="V1119" i="1"/>
  <c r="U1119" i="1"/>
  <c r="T1119" i="1"/>
  <c r="S1119" i="1"/>
  <c r="R1119" i="1"/>
  <c r="Q1119" i="1"/>
  <c r="P1119" i="1"/>
  <c r="O1119" i="1"/>
  <c r="N1119" i="1"/>
  <c r="M1119" i="1"/>
  <c r="L1119" i="1"/>
  <c r="K1119" i="1"/>
  <c r="J1119" i="1"/>
  <c r="I1119" i="1"/>
  <c r="H1119" i="1"/>
  <c r="G1119" i="1"/>
  <c r="F1119" i="1"/>
  <c r="E1119" i="1"/>
  <c r="D1119" i="1"/>
  <c r="C1119" i="1"/>
  <c r="A1119" i="1"/>
  <c r="BT1118" i="1"/>
  <c r="BS1118" i="1"/>
  <c r="BQ1118" i="1"/>
  <c r="BP1118" i="1"/>
  <c r="BO1118" i="1"/>
  <c r="BN1118" i="1"/>
  <c r="BL1118" i="1"/>
  <c r="BK1118" i="1"/>
  <c r="BJ1118" i="1"/>
  <c r="BI1118" i="1"/>
  <c r="BG1118" i="1"/>
  <c r="BF1118" i="1"/>
  <c r="BE1118" i="1"/>
  <c r="BD1118" i="1"/>
  <c r="BB1118" i="1"/>
  <c r="BA1118" i="1"/>
  <c r="AZ1118" i="1"/>
  <c r="AY1118" i="1"/>
  <c r="AW1118" i="1"/>
  <c r="AV1118" i="1"/>
  <c r="AU1118" i="1"/>
  <c r="AT1118" i="1"/>
  <c r="AR1118" i="1"/>
  <c r="AQ1118" i="1"/>
  <c r="AP1118" i="1"/>
  <c r="AO1118" i="1"/>
  <c r="AM1118" i="1"/>
  <c r="AL1118" i="1"/>
  <c r="AK1118" i="1"/>
  <c r="AJ1118" i="1"/>
  <c r="AH1118" i="1"/>
  <c r="AG1118" i="1"/>
  <c r="AF1118" i="1"/>
  <c r="AE1118" i="1"/>
  <c r="AC1118" i="1"/>
  <c r="AB1118" i="1"/>
  <c r="AA1118" i="1"/>
  <c r="Z1118" i="1"/>
  <c r="Y1118" i="1"/>
  <c r="X1118" i="1"/>
  <c r="W1118" i="1"/>
  <c r="V1118" i="1"/>
  <c r="U1118" i="1"/>
  <c r="T1118" i="1"/>
  <c r="S1118" i="1"/>
  <c r="R1118" i="1"/>
  <c r="Q1118" i="1"/>
  <c r="P1118" i="1"/>
  <c r="O1118" i="1"/>
  <c r="N1118" i="1"/>
  <c r="M1118" i="1"/>
  <c r="L1118" i="1"/>
  <c r="K1118" i="1"/>
  <c r="J1118" i="1"/>
  <c r="I1118" i="1"/>
  <c r="H1118" i="1"/>
  <c r="G1118" i="1"/>
  <c r="F1118" i="1"/>
  <c r="E1118" i="1"/>
  <c r="D1118" i="1"/>
  <c r="C1118" i="1"/>
  <c r="A1118" i="1"/>
  <c r="BT1117" i="1"/>
  <c r="BS1117" i="1"/>
  <c r="BQ1117" i="1"/>
  <c r="BP1117" i="1"/>
  <c r="BO1117" i="1"/>
  <c r="BN1117" i="1"/>
  <c r="BL1117" i="1"/>
  <c r="BK1117" i="1"/>
  <c r="BJ1117" i="1"/>
  <c r="BI1117" i="1"/>
  <c r="BG1117" i="1"/>
  <c r="BF1117" i="1"/>
  <c r="BE1117" i="1"/>
  <c r="BD1117" i="1"/>
  <c r="BB1117" i="1"/>
  <c r="BA1117" i="1"/>
  <c r="AZ1117" i="1"/>
  <c r="AY1117" i="1"/>
  <c r="AW1117" i="1"/>
  <c r="AV1117" i="1"/>
  <c r="AU1117" i="1"/>
  <c r="AT1117" i="1"/>
  <c r="AR1117" i="1"/>
  <c r="AQ1117" i="1"/>
  <c r="AP1117" i="1"/>
  <c r="AO1117" i="1"/>
  <c r="AM1117" i="1"/>
  <c r="AL1117" i="1"/>
  <c r="AK1117" i="1"/>
  <c r="AJ1117" i="1"/>
  <c r="AI1117" i="1"/>
  <c r="AH1117" i="1"/>
  <c r="AG1117" i="1"/>
  <c r="AF1117" i="1"/>
  <c r="AE1117" i="1"/>
  <c r="AC1117" i="1"/>
  <c r="AB1117" i="1"/>
  <c r="AA1117" i="1"/>
  <c r="Z1117" i="1"/>
  <c r="X1117" i="1"/>
  <c r="W1117" i="1"/>
  <c r="V1117" i="1"/>
  <c r="U1117" i="1"/>
  <c r="T1117" i="1"/>
  <c r="S1117" i="1"/>
  <c r="R1117" i="1"/>
  <c r="Q1117" i="1"/>
  <c r="P1117" i="1"/>
  <c r="O1117" i="1"/>
  <c r="N1117" i="1"/>
  <c r="M1117" i="1"/>
  <c r="L1117" i="1"/>
  <c r="K1117" i="1"/>
  <c r="J1117" i="1"/>
  <c r="I1117" i="1"/>
  <c r="H1117" i="1"/>
  <c r="G1117" i="1"/>
  <c r="F1117" i="1"/>
  <c r="E1117" i="1"/>
  <c r="D1117" i="1"/>
  <c r="C1117" i="1"/>
  <c r="A1117" i="1"/>
  <c r="BT1116" i="1"/>
  <c r="BS1116" i="1"/>
  <c r="BQ1116" i="1"/>
  <c r="BP1116" i="1"/>
  <c r="BO1116" i="1"/>
  <c r="BN1116" i="1"/>
  <c r="BL1116" i="1"/>
  <c r="BK1116" i="1"/>
  <c r="BJ1116" i="1"/>
  <c r="BI1116" i="1"/>
  <c r="BG1116" i="1"/>
  <c r="BF1116" i="1"/>
  <c r="BE1116" i="1"/>
  <c r="BD1116" i="1"/>
  <c r="BB1116" i="1"/>
  <c r="BA1116" i="1"/>
  <c r="AZ1116" i="1"/>
  <c r="AY1116" i="1"/>
  <c r="AW1116" i="1"/>
  <c r="AV1116" i="1"/>
  <c r="AU1116" i="1"/>
  <c r="AT1116" i="1"/>
  <c r="AS1116" i="1"/>
  <c r="AR1116" i="1"/>
  <c r="AQ1116" i="1"/>
  <c r="AP1116" i="1"/>
  <c r="AO1116" i="1"/>
  <c r="AM1116" i="1"/>
  <c r="AL1116" i="1"/>
  <c r="AK1116" i="1"/>
  <c r="AJ1116" i="1"/>
  <c r="AH1116" i="1"/>
  <c r="AG1116" i="1"/>
  <c r="AF1116" i="1"/>
  <c r="AE1116" i="1"/>
  <c r="AC1116" i="1"/>
  <c r="AB1116" i="1"/>
  <c r="AA1116" i="1"/>
  <c r="Z1116" i="1"/>
  <c r="X1116" i="1"/>
  <c r="W1116" i="1"/>
  <c r="V1116" i="1"/>
  <c r="U1116" i="1"/>
  <c r="T1116" i="1"/>
  <c r="S1116" i="1"/>
  <c r="R1116" i="1"/>
  <c r="Q1116" i="1"/>
  <c r="P1116" i="1"/>
  <c r="O1116" i="1"/>
  <c r="N1116" i="1"/>
  <c r="M1116" i="1"/>
  <c r="L1116" i="1"/>
  <c r="K1116" i="1"/>
  <c r="J1116" i="1"/>
  <c r="I1116" i="1"/>
  <c r="H1116" i="1"/>
  <c r="G1116" i="1"/>
  <c r="F1116" i="1"/>
  <c r="E1116" i="1"/>
  <c r="D1116" i="1"/>
  <c r="C1116" i="1"/>
  <c r="A1116" i="1"/>
  <c r="CC1115" i="1"/>
  <c r="BT1115" i="1"/>
  <c r="BS1115" i="1"/>
  <c r="BQ1115" i="1"/>
  <c r="BP1115" i="1"/>
  <c r="BO1115" i="1"/>
  <c r="BN1115" i="1"/>
  <c r="BL1115" i="1"/>
  <c r="BK1115" i="1"/>
  <c r="BJ1115" i="1"/>
  <c r="BI1115" i="1"/>
  <c r="BG1115" i="1"/>
  <c r="BF1115" i="1"/>
  <c r="BE1115" i="1"/>
  <c r="BD1115" i="1"/>
  <c r="BC1115" i="1"/>
  <c r="BB1115" i="1"/>
  <c r="BA1115" i="1"/>
  <c r="AZ1115" i="1"/>
  <c r="AY1115" i="1"/>
  <c r="AW1115" i="1"/>
  <c r="AV1115" i="1"/>
  <c r="AU1115" i="1"/>
  <c r="AT1115" i="1"/>
  <c r="AR1115" i="1"/>
  <c r="AQ1115" i="1"/>
  <c r="AP1115" i="1"/>
  <c r="AO1115" i="1"/>
  <c r="AM1115" i="1"/>
  <c r="AL1115" i="1"/>
  <c r="AK1115" i="1"/>
  <c r="AJ1115" i="1"/>
  <c r="AH1115" i="1"/>
  <c r="AG1115" i="1"/>
  <c r="AF1115" i="1"/>
  <c r="AE1115" i="1"/>
  <c r="AC1115" i="1"/>
  <c r="AB1115" i="1"/>
  <c r="AA1115" i="1"/>
  <c r="Z1115" i="1"/>
  <c r="X1115" i="1"/>
  <c r="W1115" i="1"/>
  <c r="V1115" i="1"/>
  <c r="U1115" i="1"/>
  <c r="T1115" i="1"/>
  <c r="S1115" i="1"/>
  <c r="R1115" i="1"/>
  <c r="Q1115" i="1"/>
  <c r="P1115" i="1"/>
  <c r="O1115" i="1"/>
  <c r="N1115" i="1"/>
  <c r="M1115" i="1"/>
  <c r="L1115" i="1"/>
  <c r="K1115" i="1"/>
  <c r="J1115" i="1"/>
  <c r="I1115" i="1"/>
  <c r="H1115" i="1"/>
  <c r="G1115" i="1"/>
  <c r="F1115" i="1"/>
  <c r="E1115" i="1"/>
  <c r="D1115" i="1"/>
  <c r="C1115" i="1"/>
  <c r="A1115" i="1"/>
  <c r="A1114" i="1"/>
  <c r="BT1113" i="1"/>
  <c r="BS1113" i="1"/>
  <c r="BR1113" i="1"/>
  <c r="BQ1113" i="1"/>
  <c r="BP1113" i="1"/>
  <c r="BO1113" i="1"/>
  <c r="BN1113" i="1"/>
  <c r="BL1113" i="1"/>
  <c r="BK1113" i="1"/>
  <c r="BJ1113" i="1"/>
  <c r="BI1113" i="1"/>
  <c r="BG1113" i="1"/>
  <c r="BF1113" i="1"/>
  <c r="BE1113" i="1"/>
  <c r="BD1113" i="1"/>
  <c r="BC1113" i="1"/>
  <c r="BB1113" i="1"/>
  <c r="BA1113" i="1"/>
  <c r="AZ1113" i="1"/>
  <c r="AY1113" i="1"/>
  <c r="AX1113" i="1"/>
  <c r="AW1113" i="1"/>
  <c r="AV1113" i="1"/>
  <c r="AU1113" i="1"/>
  <c r="AT1113" i="1"/>
  <c r="AS1113" i="1"/>
  <c r="AR1113" i="1"/>
  <c r="AQ1113" i="1"/>
  <c r="AP1113" i="1"/>
  <c r="AO1113" i="1"/>
  <c r="AN1113" i="1"/>
  <c r="AM1113" i="1"/>
  <c r="AL1113" i="1"/>
  <c r="AK1113" i="1"/>
  <c r="AJ1113" i="1"/>
  <c r="AI1113" i="1"/>
  <c r="AH1113" i="1"/>
  <c r="AG1113" i="1"/>
  <c r="AF1113" i="1"/>
  <c r="AE1113" i="1"/>
  <c r="AD1113" i="1"/>
  <c r="AC1113" i="1"/>
  <c r="AB1113" i="1"/>
  <c r="AA1113" i="1"/>
  <c r="Z1113" i="1"/>
  <c r="Y1113" i="1"/>
  <c r="X1113" i="1"/>
  <c r="W1113" i="1"/>
  <c r="V1113" i="1"/>
  <c r="U1113" i="1"/>
  <c r="T1113" i="1"/>
  <c r="S1113" i="1"/>
  <c r="R1113" i="1"/>
  <c r="Q1113" i="1"/>
  <c r="P1113" i="1"/>
  <c r="O1113" i="1"/>
  <c r="N1113" i="1"/>
  <c r="M1113" i="1"/>
  <c r="L1113" i="1"/>
  <c r="K1113" i="1"/>
  <c r="J1113" i="1"/>
  <c r="I1113" i="1"/>
  <c r="H1113" i="1"/>
  <c r="G1113" i="1"/>
  <c r="F1113" i="1"/>
  <c r="E1113" i="1"/>
  <c r="D1113" i="1"/>
  <c r="C1113" i="1"/>
  <c r="A1113" i="1"/>
  <c r="CC1112" i="1"/>
  <c r="BX1112" i="1"/>
  <c r="BT1112" i="1"/>
  <c r="BS1112" i="1"/>
  <c r="BQ1112" i="1"/>
  <c r="BP1112" i="1"/>
  <c r="BO1112" i="1"/>
  <c r="BN1112" i="1"/>
  <c r="BL1112" i="1"/>
  <c r="BK1112" i="1"/>
  <c r="BJ1112" i="1"/>
  <c r="BI1112" i="1"/>
  <c r="BG1112" i="1"/>
  <c r="BF1112" i="1"/>
  <c r="BE1112" i="1"/>
  <c r="BD1112" i="1"/>
  <c r="BB1112" i="1"/>
  <c r="BA1112" i="1"/>
  <c r="AZ1112" i="1"/>
  <c r="AY1112" i="1"/>
  <c r="AW1112" i="1"/>
  <c r="AV1112" i="1"/>
  <c r="AU1112" i="1"/>
  <c r="AT1112" i="1"/>
  <c r="AR1112" i="1"/>
  <c r="AQ1112" i="1"/>
  <c r="AP1112" i="1"/>
  <c r="AO1112" i="1"/>
  <c r="AM1112" i="1"/>
  <c r="AL1112" i="1"/>
  <c r="AK1112" i="1"/>
  <c r="AJ1112" i="1"/>
  <c r="AH1112" i="1"/>
  <c r="AG1112" i="1"/>
  <c r="AF1112" i="1"/>
  <c r="AE1112" i="1"/>
  <c r="AC1112" i="1"/>
  <c r="AB1112" i="1"/>
  <c r="AA1112" i="1"/>
  <c r="Z1112" i="1"/>
  <c r="Y1112" i="1"/>
  <c r="X1112" i="1"/>
  <c r="W1112" i="1"/>
  <c r="V1112" i="1"/>
  <c r="U1112" i="1"/>
  <c r="T1112" i="1"/>
  <c r="S1112" i="1"/>
  <c r="R1112" i="1"/>
  <c r="Q1112" i="1"/>
  <c r="P1112" i="1"/>
  <c r="O1112" i="1"/>
  <c r="N1112" i="1"/>
  <c r="M1112" i="1"/>
  <c r="L1112" i="1"/>
  <c r="K1112" i="1"/>
  <c r="J1112" i="1"/>
  <c r="I1112" i="1"/>
  <c r="H1112" i="1"/>
  <c r="G1112" i="1"/>
  <c r="F1112" i="1"/>
  <c r="E1112" i="1"/>
  <c r="D1112" i="1"/>
  <c r="C1112" i="1"/>
  <c r="A1112" i="1"/>
  <c r="BT1111" i="1"/>
  <c r="BS1111" i="1"/>
  <c r="BQ1111" i="1"/>
  <c r="BP1111" i="1"/>
  <c r="BP490" i="1" s="1"/>
  <c r="BO1111" i="1"/>
  <c r="BN1111" i="1"/>
  <c r="BL1111" i="1"/>
  <c r="BK1111" i="1"/>
  <c r="BJ1111" i="1"/>
  <c r="BI1111" i="1"/>
  <c r="BG1111" i="1"/>
  <c r="BF1111" i="1"/>
  <c r="BE1111" i="1"/>
  <c r="BD1111" i="1"/>
  <c r="BB1111" i="1"/>
  <c r="BA1111" i="1"/>
  <c r="AZ1111" i="1"/>
  <c r="AY1111" i="1"/>
  <c r="AW1111" i="1"/>
  <c r="AV1111" i="1"/>
  <c r="AU1111" i="1"/>
  <c r="AT1111" i="1"/>
  <c r="AR1111" i="1"/>
  <c r="AQ1111" i="1"/>
  <c r="AP1111" i="1"/>
  <c r="AO1111" i="1"/>
  <c r="AM1111" i="1"/>
  <c r="AL1111" i="1"/>
  <c r="AK1111" i="1"/>
  <c r="AJ1111" i="1"/>
  <c r="AH1111" i="1"/>
  <c r="AG1111" i="1"/>
  <c r="AF1111" i="1"/>
  <c r="AE1111" i="1"/>
  <c r="AC1111" i="1"/>
  <c r="AB1111" i="1"/>
  <c r="AA1111" i="1"/>
  <c r="Z1111" i="1"/>
  <c r="X1111" i="1"/>
  <c r="W1111" i="1"/>
  <c r="V1111" i="1"/>
  <c r="U1111" i="1"/>
  <c r="T1111" i="1"/>
  <c r="S1111" i="1"/>
  <c r="R1111" i="1"/>
  <c r="Q1111" i="1"/>
  <c r="P1111" i="1"/>
  <c r="O1111" i="1"/>
  <c r="N1111" i="1"/>
  <c r="M1111" i="1"/>
  <c r="L1111" i="1"/>
  <c r="K1111" i="1"/>
  <c r="J1111" i="1"/>
  <c r="I1111" i="1"/>
  <c r="H1111" i="1"/>
  <c r="G1111" i="1"/>
  <c r="F1111" i="1"/>
  <c r="E1111" i="1"/>
  <c r="D1111" i="1"/>
  <c r="C1111" i="1"/>
  <c r="A1111" i="1"/>
  <c r="BT1110" i="1"/>
  <c r="BS1110" i="1"/>
  <c r="BQ1110" i="1"/>
  <c r="BP1110" i="1"/>
  <c r="BO1110" i="1"/>
  <c r="BN1110" i="1"/>
  <c r="BL1110" i="1"/>
  <c r="BK1110" i="1"/>
  <c r="BJ1110" i="1"/>
  <c r="BI1110" i="1"/>
  <c r="BG1110" i="1"/>
  <c r="BF1110" i="1"/>
  <c r="BE1110" i="1"/>
  <c r="BD1110" i="1"/>
  <c r="BB1110" i="1"/>
  <c r="BA1110" i="1"/>
  <c r="AZ1110" i="1"/>
  <c r="AY1110" i="1"/>
  <c r="AW1110" i="1"/>
  <c r="AV1110" i="1"/>
  <c r="AU1110" i="1"/>
  <c r="AT1110" i="1"/>
  <c r="AR1110" i="1"/>
  <c r="AQ1110" i="1"/>
  <c r="AP1110" i="1"/>
  <c r="AO1110" i="1"/>
  <c r="AM1110" i="1"/>
  <c r="AL1110" i="1"/>
  <c r="AK1110" i="1"/>
  <c r="AJ1110" i="1"/>
  <c r="AH1110" i="1"/>
  <c r="AG1110" i="1"/>
  <c r="AF1110" i="1"/>
  <c r="AE1110" i="1"/>
  <c r="AC1110" i="1"/>
  <c r="AB1110" i="1"/>
  <c r="AA1110" i="1"/>
  <c r="Z1110" i="1"/>
  <c r="Y1110" i="1"/>
  <c r="X1110" i="1"/>
  <c r="W1110" i="1"/>
  <c r="V1110" i="1"/>
  <c r="U1110" i="1"/>
  <c r="T1110" i="1"/>
  <c r="S1110" i="1"/>
  <c r="R1110" i="1"/>
  <c r="Q1110" i="1"/>
  <c r="P1110" i="1"/>
  <c r="O1110" i="1"/>
  <c r="N1110" i="1"/>
  <c r="M1110" i="1"/>
  <c r="L1110" i="1"/>
  <c r="K1110" i="1"/>
  <c r="J1110" i="1"/>
  <c r="I1110" i="1"/>
  <c r="H1110" i="1"/>
  <c r="G1110" i="1"/>
  <c r="F1110" i="1"/>
  <c r="E1110" i="1"/>
  <c r="D1110" i="1"/>
  <c r="C1110" i="1"/>
  <c r="A1110" i="1"/>
  <c r="CC1109" i="1"/>
  <c r="BT1109" i="1"/>
  <c r="BX1109" i="1" s="1"/>
  <c r="BS1109" i="1"/>
  <c r="BQ1109" i="1"/>
  <c r="BP1109" i="1"/>
  <c r="BO1109" i="1"/>
  <c r="BN1109" i="1"/>
  <c r="BL1109" i="1"/>
  <c r="BK1109" i="1"/>
  <c r="BJ1109" i="1"/>
  <c r="BI1109" i="1"/>
  <c r="BG1109" i="1"/>
  <c r="BF1109" i="1"/>
  <c r="BE1109" i="1"/>
  <c r="BD1109" i="1"/>
  <c r="BB1109" i="1"/>
  <c r="BA1109" i="1"/>
  <c r="AZ1109" i="1"/>
  <c r="AY1109" i="1"/>
  <c r="AW1109" i="1"/>
  <c r="AV1109" i="1"/>
  <c r="AU1109" i="1"/>
  <c r="AT1109" i="1"/>
  <c r="AR1109" i="1"/>
  <c r="AQ1109" i="1"/>
  <c r="AP1109" i="1"/>
  <c r="AO1109" i="1"/>
  <c r="AM1109" i="1"/>
  <c r="AL1109" i="1"/>
  <c r="AK1109" i="1"/>
  <c r="AJ1109" i="1"/>
  <c r="AH1109" i="1"/>
  <c r="AG1109" i="1"/>
  <c r="AF1109" i="1"/>
  <c r="AE1109" i="1"/>
  <c r="AC1109" i="1"/>
  <c r="AB1109" i="1"/>
  <c r="AA1109" i="1"/>
  <c r="Z1109" i="1"/>
  <c r="Y1109" i="1"/>
  <c r="X1109" i="1"/>
  <c r="W1109" i="1"/>
  <c r="V1109" i="1"/>
  <c r="U1109" i="1"/>
  <c r="T1109" i="1"/>
  <c r="S1109" i="1"/>
  <c r="R1109" i="1"/>
  <c r="Q1109" i="1"/>
  <c r="P1109" i="1"/>
  <c r="O1109" i="1"/>
  <c r="N1109" i="1"/>
  <c r="M1109" i="1"/>
  <c r="L1109" i="1"/>
  <c r="K1109" i="1"/>
  <c r="J1109" i="1"/>
  <c r="I1109" i="1"/>
  <c r="H1109" i="1"/>
  <c r="G1109" i="1"/>
  <c r="F1109" i="1"/>
  <c r="E1109" i="1"/>
  <c r="D1109" i="1"/>
  <c r="C1109" i="1"/>
  <c r="A1109" i="1"/>
  <c r="CC1108" i="1"/>
  <c r="BT1108" i="1"/>
  <c r="BX1108" i="1" s="1"/>
  <c r="BS1108" i="1"/>
  <c r="BQ1108" i="1"/>
  <c r="BP1108" i="1"/>
  <c r="BO1108" i="1"/>
  <c r="BN1108" i="1"/>
  <c r="BL1108" i="1"/>
  <c r="BK1108" i="1"/>
  <c r="BJ1108" i="1"/>
  <c r="BI1108" i="1"/>
  <c r="BG1108" i="1"/>
  <c r="BF1108" i="1"/>
  <c r="BE1108" i="1"/>
  <c r="BD1108" i="1"/>
  <c r="BB1108" i="1"/>
  <c r="BA1108" i="1"/>
  <c r="AZ1108" i="1"/>
  <c r="AY1108" i="1"/>
  <c r="AW1108" i="1"/>
  <c r="AV1108" i="1"/>
  <c r="AU1108" i="1"/>
  <c r="AT1108" i="1"/>
  <c r="AS1108" i="1"/>
  <c r="AR1108" i="1"/>
  <c r="AQ1108" i="1"/>
  <c r="AP1108" i="1"/>
  <c r="AO1108" i="1"/>
  <c r="AM1108" i="1"/>
  <c r="AL1108" i="1"/>
  <c r="AK1108" i="1"/>
  <c r="AJ1108" i="1"/>
  <c r="AH1108" i="1"/>
  <c r="AG1108" i="1"/>
  <c r="AF1108" i="1"/>
  <c r="AE1108" i="1"/>
  <c r="AC1108" i="1"/>
  <c r="AB1108" i="1"/>
  <c r="AA1108" i="1"/>
  <c r="Z1108" i="1"/>
  <c r="X1108" i="1"/>
  <c r="W1108" i="1"/>
  <c r="V1108" i="1"/>
  <c r="U1108" i="1"/>
  <c r="T1108" i="1"/>
  <c r="S1108" i="1"/>
  <c r="R1108" i="1"/>
  <c r="Q1108" i="1"/>
  <c r="P1108" i="1"/>
  <c r="O1108" i="1"/>
  <c r="N1108" i="1"/>
  <c r="M1108" i="1"/>
  <c r="L1108" i="1"/>
  <c r="K1108" i="1"/>
  <c r="J1108" i="1"/>
  <c r="I1108" i="1"/>
  <c r="H1108" i="1"/>
  <c r="G1108" i="1"/>
  <c r="F1108" i="1"/>
  <c r="E1108" i="1"/>
  <c r="D1108" i="1"/>
  <c r="A1108" i="1"/>
  <c r="CC1107" i="1"/>
  <c r="BT1107" i="1"/>
  <c r="BX1107" i="1" s="1"/>
  <c r="BS1107" i="1"/>
  <c r="BQ1107" i="1"/>
  <c r="BP1107" i="1"/>
  <c r="BO1107" i="1"/>
  <c r="BN1107" i="1"/>
  <c r="BL1107" i="1"/>
  <c r="BK1107" i="1"/>
  <c r="BJ1107" i="1"/>
  <c r="BI1107" i="1"/>
  <c r="BG1107" i="1"/>
  <c r="BF1107" i="1"/>
  <c r="BE1107" i="1"/>
  <c r="BD1107" i="1"/>
  <c r="BB1107" i="1"/>
  <c r="BA1107" i="1"/>
  <c r="AZ1107" i="1"/>
  <c r="AY1107" i="1"/>
  <c r="AW1107" i="1"/>
  <c r="AV1107" i="1"/>
  <c r="AU1107" i="1"/>
  <c r="AT1107" i="1"/>
  <c r="AR1107" i="1"/>
  <c r="AQ1107" i="1"/>
  <c r="AP1107" i="1"/>
  <c r="AO1107" i="1"/>
  <c r="AM1107" i="1"/>
  <c r="AL1107" i="1"/>
  <c r="AK1107" i="1"/>
  <c r="AJ1107" i="1"/>
  <c r="AH1107" i="1"/>
  <c r="AG1107" i="1"/>
  <c r="AF1107" i="1"/>
  <c r="AE1107" i="1"/>
  <c r="AD1107" i="1"/>
  <c r="AC1107" i="1"/>
  <c r="AB1107" i="1"/>
  <c r="AA1107" i="1"/>
  <c r="Z1107" i="1"/>
  <c r="X1107" i="1"/>
  <c r="W1107" i="1"/>
  <c r="V1107" i="1"/>
  <c r="U1107" i="1"/>
  <c r="T1107" i="1"/>
  <c r="S1107" i="1"/>
  <c r="R1107" i="1"/>
  <c r="Q1107" i="1"/>
  <c r="P1107" i="1"/>
  <c r="O1107" i="1"/>
  <c r="N1107" i="1"/>
  <c r="M1107" i="1"/>
  <c r="L1107" i="1"/>
  <c r="K1107" i="1"/>
  <c r="J1107" i="1"/>
  <c r="I1107" i="1"/>
  <c r="H1107" i="1"/>
  <c r="G1107" i="1"/>
  <c r="F1107" i="1"/>
  <c r="E1107" i="1"/>
  <c r="D1107" i="1"/>
  <c r="C1107" i="1"/>
  <c r="A1107" i="1"/>
  <c r="BT1106" i="1"/>
  <c r="BS1106" i="1"/>
  <c r="BQ1106" i="1"/>
  <c r="BP1106" i="1"/>
  <c r="BP440" i="1" s="1"/>
  <c r="BO1106" i="1"/>
  <c r="BN1106" i="1"/>
  <c r="BL1106" i="1"/>
  <c r="BK1106" i="1"/>
  <c r="BJ1106" i="1"/>
  <c r="BI1106" i="1"/>
  <c r="BG1106" i="1"/>
  <c r="BF1106" i="1"/>
  <c r="BE1106" i="1"/>
  <c r="BE737" i="1" s="1"/>
  <c r="BD1106" i="1"/>
  <c r="BD478" i="1" s="1"/>
  <c r="BB1106" i="1"/>
  <c r="BB478" i="1" s="1"/>
  <c r="BA1106" i="1"/>
  <c r="AZ1106" i="1"/>
  <c r="AY1106" i="1"/>
  <c r="AW1106" i="1"/>
  <c r="AV1106" i="1"/>
  <c r="AV478" i="1" s="1"/>
  <c r="AU1106" i="1"/>
  <c r="AU478" i="1" s="1"/>
  <c r="AU410" i="1" s="1"/>
  <c r="AT1106" i="1"/>
  <c r="AS1106" i="1"/>
  <c r="AS737" i="1" s="1"/>
  <c r="AR1106" i="1"/>
  <c r="AQ1106" i="1"/>
  <c r="AP1106" i="1"/>
  <c r="AO1106" i="1"/>
  <c r="AM1106" i="1"/>
  <c r="AM478" i="1" s="1"/>
  <c r="AM410" i="1" s="1"/>
  <c r="AL1106" i="1"/>
  <c r="AL478" i="1" s="1"/>
  <c r="AK1106" i="1"/>
  <c r="AJ1106" i="1"/>
  <c r="AH1106" i="1"/>
  <c r="AG1106" i="1"/>
  <c r="AF1106" i="1"/>
  <c r="AE1106" i="1"/>
  <c r="AC1106" i="1"/>
  <c r="AC478" i="1" s="1"/>
  <c r="AB1106" i="1"/>
  <c r="AA1106" i="1"/>
  <c r="Z1106" i="1"/>
  <c r="X1106" i="1"/>
  <c r="W1106" i="1"/>
  <c r="V1106" i="1"/>
  <c r="U1106" i="1"/>
  <c r="T1106" i="1"/>
  <c r="T478" i="1" s="1"/>
  <c r="S1106" i="1"/>
  <c r="S737" i="1" s="1"/>
  <c r="R1106" i="1"/>
  <c r="Q1106" i="1"/>
  <c r="P1106" i="1"/>
  <c r="O1106" i="1"/>
  <c r="N1106" i="1"/>
  <c r="M1106" i="1"/>
  <c r="L1106" i="1"/>
  <c r="L478" i="1" s="1"/>
  <c r="K1106" i="1"/>
  <c r="K737" i="1" s="1"/>
  <c r="J1106" i="1"/>
  <c r="J737" i="1" s="1"/>
  <c r="I1106" i="1"/>
  <c r="H1106" i="1"/>
  <c r="G1106" i="1"/>
  <c r="F1106" i="1"/>
  <c r="E1106" i="1"/>
  <c r="D1106" i="1"/>
  <c r="C1106" i="1"/>
  <c r="C737" i="1" s="1"/>
  <c r="A1106" i="1"/>
  <c r="CF1105" i="1"/>
  <c r="CE1105" i="1"/>
  <c r="CD1105" i="1"/>
  <c r="CB1105" i="1"/>
  <c r="CA1105" i="1"/>
  <c r="BZ1105" i="1"/>
  <c r="BY1105" i="1"/>
  <c r="BW1105" i="1"/>
  <c r="BV1105" i="1"/>
  <c r="BU1105" i="1"/>
  <c r="BT1105" i="1"/>
  <c r="BS1105" i="1"/>
  <c r="BR1105" i="1"/>
  <c r="BQ1105" i="1"/>
  <c r="BP1105" i="1"/>
  <c r="BO1105" i="1"/>
  <c r="BN1105" i="1"/>
  <c r="BM1105" i="1"/>
  <c r="BL1105" i="1"/>
  <c r="BK1105" i="1"/>
  <c r="BJ1105" i="1"/>
  <c r="BI1105" i="1"/>
  <c r="BG1105" i="1"/>
  <c r="BF1105" i="1"/>
  <c r="BE1105" i="1"/>
  <c r="BD1105" i="1"/>
  <c r="BC1105" i="1"/>
  <c r="BB1105" i="1"/>
  <c r="BA1105" i="1"/>
  <c r="AZ1105" i="1"/>
  <c r="AY1105" i="1"/>
  <c r="AX1105" i="1"/>
  <c r="AW1105" i="1"/>
  <c r="AV1105" i="1"/>
  <c r="AU1105" i="1"/>
  <c r="AT1105" i="1"/>
  <c r="AS1105" i="1"/>
  <c r="AR1105" i="1"/>
  <c r="AQ1105" i="1"/>
  <c r="AP1105" i="1"/>
  <c r="AO1105" i="1"/>
  <c r="AN1105" i="1"/>
  <c r="AM1105" i="1"/>
  <c r="AL1105" i="1"/>
  <c r="AK1105" i="1"/>
  <c r="AJ1105" i="1"/>
  <c r="AI1105" i="1"/>
  <c r="AH1105" i="1"/>
  <c r="AG1105" i="1"/>
  <c r="AF1105" i="1"/>
  <c r="AE1105" i="1"/>
  <c r="AD1105" i="1"/>
  <c r="AC1105" i="1"/>
  <c r="AB1105" i="1"/>
  <c r="AA1105" i="1"/>
  <c r="Z1105" i="1"/>
  <c r="Y1105" i="1"/>
  <c r="X1105" i="1"/>
  <c r="W1105" i="1"/>
  <c r="V1105" i="1"/>
  <c r="U1105" i="1"/>
  <c r="T1105" i="1"/>
  <c r="S1105" i="1"/>
  <c r="R1105" i="1"/>
  <c r="Q1105" i="1"/>
  <c r="P1105" i="1"/>
  <c r="O1105" i="1"/>
  <c r="N1105" i="1"/>
  <c r="M1105" i="1"/>
  <c r="L1105" i="1"/>
  <c r="K1105" i="1"/>
  <c r="J1105" i="1"/>
  <c r="I1105" i="1"/>
  <c r="H1105" i="1"/>
  <c r="G1105" i="1"/>
  <c r="F1105" i="1"/>
  <c r="E1105" i="1"/>
  <c r="D1105" i="1"/>
  <c r="A1105" i="1"/>
  <c r="BT1104" i="1"/>
  <c r="BT439" i="1" s="1"/>
  <c r="BS1104" i="1"/>
  <c r="BQ1104" i="1"/>
  <c r="BP1104" i="1"/>
  <c r="BO1104" i="1"/>
  <c r="BN1104" i="1"/>
  <c r="BM1104" i="1"/>
  <c r="BL1104" i="1"/>
  <c r="BL439" i="1" s="1"/>
  <c r="BN439" i="1" s="1"/>
  <c r="BK1104" i="1"/>
  <c r="BK439" i="1" s="1"/>
  <c r="BJ1104" i="1"/>
  <c r="BI1104" i="1"/>
  <c r="BG1104" i="1"/>
  <c r="BF1104" i="1"/>
  <c r="BE1104" i="1"/>
  <c r="BD1104" i="1"/>
  <c r="BB1104" i="1"/>
  <c r="BB477" i="1" s="1"/>
  <c r="BA1104" i="1"/>
  <c r="BA477" i="1" s="1"/>
  <c r="BA409" i="1" s="1"/>
  <c r="AZ1104" i="1"/>
  <c r="AY1104" i="1"/>
  <c r="AW1104" i="1"/>
  <c r="AV1104" i="1"/>
  <c r="AU1104" i="1"/>
  <c r="AT1104" i="1"/>
  <c r="AT477" i="1" s="1"/>
  <c r="AR1104" i="1"/>
  <c r="AR477" i="1" s="1"/>
  <c r="AR409" i="1" s="1"/>
  <c r="AQ1104" i="1"/>
  <c r="AQ477" i="1" s="1"/>
  <c r="AP1104" i="1"/>
  <c r="AO1104" i="1"/>
  <c r="AM1104" i="1"/>
  <c r="AL1104" i="1"/>
  <c r="AK1104" i="1"/>
  <c r="AJ1104" i="1"/>
  <c r="AJ477" i="1" s="1"/>
  <c r="AH1104" i="1"/>
  <c r="AH477" i="1" s="1"/>
  <c r="AH409" i="1" s="1"/>
  <c r="AG1104" i="1"/>
  <c r="AG477" i="1" s="1"/>
  <c r="AF1104" i="1"/>
  <c r="AE1104" i="1"/>
  <c r="AC1104" i="1"/>
  <c r="AB1104" i="1"/>
  <c r="AA1104" i="1"/>
  <c r="Z1104" i="1"/>
  <c r="Z477" i="1" s="1"/>
  <c r="Z409" i="1" s="1"/>
  <c r="Y1104" i="1"/>
  <c r="Y477" i="1" s="1"/>
  <c r="Y409" i="1" s="1"/>
  <c r="X1104" i="1"/>
  <c r="X477" i="1" s="1"/>
  <c r="W1104" i="1"/>
  <c r="V1104" i="1"/>
  <c r="U1104" i="1"/>
  <c r="T1104" i="1"/>
  <c r="S1104" i="1"/>
  <c r="R1104" i="1"/>
  <c r="R477" i="1" s="1"/>
  <c r="Q1104" i="1"/>
  <c r="P1104" i="1"/>
  <c r="O1104" i="1"/>
  <c r="N1104" i="1"/>
  <c r="M1104" i="1"/>
  <c r="L1104" i="1"/>
  <c r="K1104" i="1"/>
  <c r="J1104" i="1"/>
  <c r="I1104" i="1"/>
  <c r="I439" i="1" s="1"/>
  <c r="H1104" i="1"/>
  <c r="H439" i="1" s="1"/>
  <c r="G1104" i="1"/>
  <c r="F1104" i="1"/>
  <c r="E1104" i="1"/>
  <c r="D1104" i="1"/>
  <c r="C1104" i="1"/>
  <c r="A1104" i="1"/>
  <c r="CC1103" i="1"/>
  <c r="BX1103" i="1"/>
  <c r="BT1103" i="1"/>
  <c r="BS1103" i="1"/>
  <c r="BQ1103" i="1"/>
  <c r="BP1103" i="1"/>
  <c r="BO1103" i="1"/>
  <c r="BN1103" i="1"/>
  <c r="BM1103" i="1"/>
  <c r="BL1103" i="1"/>
  <c r="BK1103" i="1"/>
  <c r="BJ1103" i="1"/>
  <c r="BI1103" i="1"/>
  <c r="BG1103" i="1"/>
  <c r="BF1103" i="1"/>
  <c r="BE1103" i="1"/>
  <c r="BE246" i="1" s="1"/>
  <c r="BD1103" i="1"/>
  <c r="BD246" i="1" s="1"/>
  <c r="BD211" i="1" s="1"/>
  <c r="BD212" i="1" s="1"/>
  <c r="BD214" i="1" s="1"/>
  <c r="BB1103" i="1"/>
  <c r="BA1103" i="1"/>
  <c r="AZ1103" i="1"/>
  <c r="AY1103" i="1"/>
  <c r="AW1103" i="1"/>
  <c r="AV1103" i="1"/>
  <c r="AU1103" i="1"/>
  <c r="AT1103" i="1"/>
  <c r="AT246" i="1" s="1"/>
  <c r="AT211" i="1" s="1"/>
  <c r="AR1103" i="1"/>
  <c r="AR246" i="1" s="1"/>
  <c r="AQ1103" i="1"/>
  <c r="AP1103" i="1"/>
  <c r="AO1103" i="1"/>
  <c r="AM1103" i="1"/>
  <c r="AL1103" i="1"/>
  <c r="AK1103" i="1"/>
  <c r="AK246" i="1" s="1"/>
  <c r="AJ1103" i="1"/>
  <c r="AH1103" i="1"/>
  <c r="AH246" i="1" s="1"/>
  <c r="AH211" i="1" s="1"/>
  <c r="AG1103" i="1"/>
  <c r="AF1103" i="1"/>
  <c r="AE1103" i="1"/>
  <c r="AC1103" i="1"/>
  <c r="AB1103" i="1"/>
  <c r="AA1103" i="1"/>
  <c r="Z1103" i="1"/>
  <c r="X1103" i="1"/>
  <c r="W1103" i="1"/>
  <c r="V1103" i="1"/>
  <c r="U1103" i="1"/>
  <c r="T1103" i="1"/>
  <c r="S1103" i="1"/>
  <c r="R1103" i="1"/>
  <c r="Q1103" i="1"/>
  <c r="Q246" i="1" s="1"/>
  <c r="Q211" i="1" s="1"/>
  <c r="P1103" i="1"/>
  <c r="O1103" i="1"/>
  <c r="N1103" i="1"/>
  <c r="M1103" i="1"/>
  <c r="L1103" i="1"/>
  <c r="K1103" i="1"/>
  <c r="J1103" i="1"/>
  <c r="I1103" i="1"/>
  <c r="I246" i="1" s="1"/>
  <c r="H1103" i="1"/>
  <c r="G1103" i="1"/>
  <c r="F1103" i="1"/>
  <c r="E1103" i="1"/>
  <c r="D1103" i="1"/>
  <c r="C1103" i="1"/>
  <c r="A1103" i="1"/>
  <c r="BT1102" i="1"/>
  <c r="BT1174" i="1" s="1"/>
  <c r="BS1102" i="1"/>
  <c r="BS1174" i="1" s="1"/>
  <c r="BQ1102" i="1"/>
  <c r="BQ1174" i="1" s="1"/>
  <c r="BP1102" i="1"/>
  <c r="BP1174" i="1" s="1"/>
  <c r="BO1102" i="1"/>
  <c r="BN1102" i="1"/>
  <c r="BL1102" i="1"/>
  <c r="BK1102" i="1"/>
  <c r="BK1174" i="1" s="1"/>
  <c r="BJ1102" i="1"/>
  <c r="BJ1114" i="1" s="1"/>
  <c r="BJ720" i="1" s="1"/>
  <c r="BJ70" i="9" s="1"/>
  <c r="BI1102" i="1"/>
  <c r="BI246" i="1" s="1"/>
  <c r="BI211" i="1" s="1"/>
  <c r="BG1102" i="1"/>
  <c r="BF1102" i="1"/>
  <c r="BE1102" i="1"/>
  <c r="BD1102" i="1"/>
  <c r="BB1102" i="1"/>
  <c r="BA1102" i="1"/>
  <c r="AZ1102" i="1"/>
  <c r="AY1102" i="1"/>
  <c r="AY246" i="1" s="1"/>
  <c r="AY211" i="1" s="1"/>
  <c r="AW1102" i="1"/>
  <c r="AV1102" i="1"/>
  <c r="AU1102" i="1"/>
  <c r="AT1102" i="1"/>
  <c r="AR1102" i="1"/>
  <c r="AQ1102" i="1"/>
  <c r="AQ1174" i="1" s="1"/>
  <c r="AP1102" i="1"/>
  <c r="AP246" i="1" s="1"/>
  <c r="AP211" i="1" s="1"/>
  <c r="AO1102" i="1"/>
  <c r="AO246" i="1" s="1"/>
  <c r="AN1102" i="1"/>
  <c r="AM1102" i="1"/>
  <c r="AM1174" i="1" s="1"/>
  <c r="AL1102" i="1"/>
  <c r="AK1102" i="1"/>
  <c r="AJ1102" i="1"/>
  <c r="AH1102" i="1"/>
  <c r="AG1102" i="1"/>
  <c r="AG246" i="1" s="1"/>
  <c r="AF1102" i="1"/>
  <c r="AF246" i="1" s="1"/>
  <c r="AF211" i="1" s="1"/>
  <c r="AE1102" i="1"/>
  <c r="AE1174" i="1" s="1"/>
  <c r="AC1102" i="1"/>
  <c r="AC1174" i="1" s="1"/>
  <c r="AB1102" i="1"/>
  <c r="AA1102" i="1"/>
  <c r="Z1102" i="1"/>
  <c r="X1102" i="1"/>
  <c r="W1102" i="1"/>
  <c r="W246" i="1" s="1"/>
  <c r="W211" i="1" s="1"/>
  <c r="V1102" i="1"/>
  <c r="V246" i="1" s="1"/>
  <c r="V211" i="1" s="1"/>
  <c r="U1102" i="1"/>
  <c r="U1174" i="1" s="1"/>
  <c r="T1102" i="1"/>
  <c r="S1102" i="1"/>
  <c r="R1102" i="1"/>
  <c r="Q1102" i="1"/>
  <c r="P1102" i="1"/>
  <c r="O1102" i="1"/>
  <c r="O246" i="1" s="1"/>
  <c r="O211" i="1" s="1"/>
  <c r="N1102" i="1"/>
  <c r="N246" i="1" s="1"/>
  <c r="N211" i="1" s="1"/>
  <c r="M1102" i="1"/>
  <c r="M1174" i="1" s="1"/>
  <c r="L1102" i="1"/>
  <c r="K1102" i="1"/>
  <c r="J1102" i="1"/>
  <c r="I1102" i="1"/>
  <c r="H1102" i="1"/>
  <c r="G1102" i="1"/>
  <c r="G246" i="1" s="1"/>
  <c r="G211" i="1" s="1"/>
  <c r="F1102" i="1"/>
  <c r="E1102" i="1"/>
  <c r="E1174" i="1" s="1"/>
  <c r="E1180" i="1" s="1"/>
  <c r="D1102" i="1"/>
  <c r="C1102" i="1"/>
  <c r="A1102" i="1"/>
  <c r="CC1101" i="1"/>
  <c r="BT1101" i="1"/>
  <c r="BX1101" i="1" s="1"/>
  <c r="BS1101" i="1"/>
  <c r="BQ1101" i="1"/>
  <c r="BP1101" i="1"/>
  <c r="BO1101" i="1"/>
  <c r="BN1101" i="1"/>
  <c r="BL1101" i="1"/>
  <c r="BK1101" i="1"/>
  <c r="BJ1101" i="1"/>
  <c r="BI1101" i="1"/>
  <c r="BG1101" i="1"/>
  <c r="BF1101" i="1"/>
  <c r="BE1101" i="1"/>
  <c r="BD1101" i="1"/>
  <c r="BB1101" i="1"/>
  <c r="BA1101" i="1"/>
  <c r="AZ1101" i="1"/>
  <c r="AY1101" i="1"/>
  <c r="AW1101" i="1"/>
  <c r="AV1101" i="1"/>
  <c r="AU1101" i="1"/>
  <c r="AT1101" i="1"/>
  <c r="AR1101" i="1"/>
  <c r="AQ1101" i="1"/>
  <c r="AP1101" i="1"/>
  <c r="AO1101" i="1"/>
  <c r="AM1101" i="1"/>
  <c r="AL1101" i="1"/>
  <c r="AK1101" i="1"/>
  <c r="AJ1101" i="1"/>
  <c r="AH1101" i="1"/>
  <c r="AG1101" i="1"/>
  <c r="AF1101" i="1"/>
  <c r="AE1101" i="1"/>
  <c r="AC1101" i="1"/>
  <c r="AB1101" i="1"/>
  <c r="AA1101" i="1"/>
  <c r="Z1101" i="1"/>
  <c r="X1101" i="1"/>
  <c r="W1101" i="1"/>
  <c r="V1101" i="1"/>
  <c r="U1101" i="1"/>
  <c r="T1101" i="1"/>
  <c r="S1101" i="1"/>
  <c r="R1101" i="1"/>
  <c r="Q1101" i="1"/>
  <c r="P1101" i="1"/>
  <c r="O1101" i="1"/>
  <c r="N1101" i="1"/>
  <c r="M1101" i="1"/>
  <c r="L1101" i="1"/>
  <c r="K1101" i="1"/>
  <c r="J1101" i="1"/>
  <c r="I1101" i="1"/>
  <c r="H1101" i="1"/>
  <c r="G1101" i="1"/>
  <c r="F1101" i="1"/>
  <c r="E1101" i="1"/>
  <c r="D1101" i="1"/>
  <c r="C1101" i="1"/>
  <c r="A1101" i="1"/>
  <c r="CF1100" i="1"/>
  <c r="CE1100" i="1"/>
  <c r="CD1100" i="1"/>
  <c r="CB1100" i="1"/>
  <c r="CA1100" i="1"/>
  <c r="BZ1100" i="1"/>
  <c r="BY1100" i="1"/>
  <c r="BW1100" i="1"/>
  <c r="BV1100" i="1"/>
  <c r="BU1100" i="1"/>
  <c r="BT1100" i="1"/>
  <c r="BT1175" i="1" s="1"/>
  <c r="BX1175" i="1" s="1"/>
  <c r="BS1100" i="1"/>
  <c r="BQ1100" i="1"/>
  <c r="BP1100" i="1"/>
  <c r="BO1100" i="1"/>
  <c r="BN1100" i="1"/>
  <c r="BN1175" i="1" s="1"/>
  <c r="BL1100" i="1"/>
  <c r="BL1175" i="1" s="1"/>
  <c r="BK1100" i="1"/>
  <c r="BK1175" i="1" s="1"/>
  <c r="BJ1100" i="1"/>
  <c r="BI1100" i="1"/>
  <c r="BH1100" i="1"/>
  <c r="BH1175" i="1" s="1"/>
  <c r="BG1100" i="1"/>
  <c r="BG1175" i="1" s="1"/>
  <c r="BF1100" i="1"/>
  <c r="BF1175" i="1" s="1"/>
  <c r="BE1100" i="1"/>
  <c r="BE1175" i="1" s="1"/>
  <c r="BD1100" i="1"/>
  <c r="BD1175" i="1" s="1"/>
  <c r="BB1100" i="1"/>
  <c r="BB1175" i="1" s="1"/>
  <c r="BA1100" i="1"/>
  <c r="BA1175" i="1" s="1"/>
  <c r="AZ1100" i="1"/>
  <c r="AY1100" i="1"/>
  <c r="AW1100" i="1"/>
  <c r="AW1175" i="1" s="1"/>
  <c r="AV1100" i="1"/>
  <c r="AV1175" i="1" s="1"/>
  <c r="AU1100" i="1"/>
  <c r="AU1175" i="1" s="1"/>
  <c r="AT1100" i="1"/>
  <c r="AT1175" i="1" s="1"/>
  <c r="AR1100" i="1"/>
  <c r="AR1175" i="1" s="1"/>
  <c r="AQ1100" i="1"/>
  <c r="AQ1175" i="1" s="1"/>
  <c r="AP1100" i="1"/>
  <c r="AO1100" i="1"/>
  <c r="AM1100" i="1"/>
  <c r="AL1100" i="1"/>
  <c r="AK1100" i="1"/>
  <c r="AJ1100" i="1"/>
  <c r="AJ1175" i="1" s="1"/>
  <c r="AH1100" i="1"/>
  <c r="AH1175" i="1" s="1"/>
  <c r="AG1100" i="1"/>
  <c r="AG1175" i="1" s="1"/>
  <c r="AF1100" i="1"/>
  <c r="AF245" i="1" s="1"/>
  <c r="AE1100" i="1"/>
  <c r="AE245" i="1" s="1"/>
  <c r="AC1100" i="1"/>
  <c r="AB1100" i="1"/>
  <c r="AA1100" i="1"/>
  <c r="Z1100" i="1"/>
  <c r="Z1175" i="1" s="1"/>
  <c r="X1100" i="1"/>
  <c r="X1175" i="1" s="1"/>
  <c r="W1100" i="1"/>
  <c r="V1100" i="1"/>
  <c r="V245" i="1" s="1"/>
  <c r="U1100" i="1"/>
  <c r="U245" i="1" s="1"/>
  <c r="T1100" i="1"/>
  <c r="S1100" i="1"/>
  <c r="S1175" i="1" s="1"/>
  <c r="R1100" i="1"/>
  <c r="Q1100" i="1"/>
  <c r="P1100" i="1"/>
  <c r="P1175" i="1" s="1"/>
  <c r="O1100" i="1"/>
  <c r="N1100" i="1"/>
  <c r="N245" i="1" s="1"/>
  <c r="M1100" i="1"/>
  <c r="M245" i="1" s="1"/>
  <c r="L1100" i="1"/>
  <c r="K1100" i="1"/>
  <c r="K1175" i="1" s="1"/>
  <c r="J1100" i="1"/>
  <c r="I1100" i="1"/>
  <c r="H1100" i="1"/>
  <c r="H1175" i="1" s="1"/>
  <c r="G1100" i="1"/>
  <c r="F1100" i="1"/>
  <c r="F245" i="1" s="1"/>
  <c r="E1100" i="1"/>
  <c r="E245" i="1" s="1"/>
  <c r="D1100" i="1"/>
  <c r="C1100" i="1"/>
  <c r="A1100" i="1"/>
  <c r="BT1099" i="1"/>
  <c r="BS1099" i="1"/>
  <c r="BQ1099" i="1"/>
  <c r="BP1099" i="1"/>
  <c r="BO1099" i="1"/>
  <c r="BN1099" i="1"/>
  <c r="BL1099" i="1"/>
  <c r="BK1099" i="1"/>
  <c r="BJ1099" i="1"/>
  <c r="BI1099" i="1"/>
  <c r="BG1099" i="1"/>
  <c r="BF1099" i="1"/>
  <c r="BE1099" i="1"/>
  <c r="BD1099" i="1"/>
  <c r="BB1099" i="1"/>
  <c r="BA1099" i="1"/>
  <c r="AZ1099" i="1"/>
  <c r="AY1099" i="1"/>
  <c r="AW1099" i="1"/>
  <c r="AV1099" i="1"/>
  <c r="AU1099" i="1"/>
  <c r="AT1099" i="1"/>
  <c r="AR1099" i="1"/>
  <c r="AQ1099" i="1"/>
  <c r="AP1099" i="1"/>
  <c r="AO1099" i="1"/>
  <c r="AM1099" i="1"/>
  <c r="AL1099" i="1"/>
  <c r="AK1099" i="1"/>
  <c r="AJ1099" i="1"/>
  <c r="AH1099" i="1"/>
  <c r="AG1099" i="1"/>
  <c r="AF1099" i="1"/>
  <c r="AE1099" i="1"/>
  <c r="AD1099" i="1"/>
  <c r="AC1099" i="1"/>
  <c r="AB1099" i="1"/>
  <c r="AA1099" i="1"/>
  <c r="Z1099" i="1"/>
  <c r="X1099" i="1"/>
  <c r="W1099" i="1"/>
  <c r="V1099" i="1"/>
  <c r="U1099" i="1"/>
  <c r="T1099" i="1"/>
  <c r="S1099" i="1"/>
  <c r="R1099" i="1"/>
  <c r="Q1099" i="1"/>
  <c r="P1099" i="1"/>
  <c r="O1099" i="1"/>
  <c r="N1099" i="1"/>
  <c r="M1099" i="1"/>
  <c r="L1099" i="1"/>
  <c r="K1099" i="1"/>
  <c r="J1099" i="1"/>
  <c r="I1099" i="1"/>
  <c r="H1099" i="1"/>
  <c r="G1099" i="1"/>
  <c r="F1099" i="1"/>
  <c r="E1099" i="1"/>
  <c r="D1099" i="1"/>
  <c r="C1099" i="1"/>
  <c r="A1099" i="1"/>
  <c r="A1098" i="1"/>
  <c r="BR1095" i="1"/>
  <c r="BM1095" i="1"/>
  <c r="BH1095" i="1"/>
  <c r="BC1095" i="1"/>
  <c r="AX1095" i="1"/>
  <c r="AS1095" i="1"/>
  <c r="AN1095" i="1"/>
  <c r="AI1095" i="1"/>
  <c r="AD1095" i="1"/>
  <c r="Y1095" i="1"/>
  <c r="T1095" i="1"/>
  <c r="O1095" i="1"/>
  <c r="J1095" i="1"/>
  <c r="BR1094" i="1"/>
  <c r="BM1094" i="1"/>
  <c r="BH1094" i="1"/>
  <c r="BC1094" i="1"/>
  <c r="AX1094" i="1"/>
  <c r="AS1094" i="1"/>
  <c r="AN1094" i="1"/>
  <c r="AI1094" i="1"/>
  <c r="AD1094" i="1"/>
  <c r="Y1094" i="1"/>
  <c r="T1094" i="1"/>
  <c r="O1094" i="1"/>
  <c r="J1094" i="1"/>
  <c r="BR1088" i="1"/>
  <c r="BR1155" i="1" s="1"/>
  <c r="BM1088" i="1"/>
  <c r="BM1155" i="1" s="1"/>
  <c r="BH1088" i="1"/>
  <c r="BH1155" i="1" s="1"/>
  <c r="BC1088" i="1"/>
  <c r="BC1155" i="1" s="1"/>
  <c r="AX1088" i="1"/>
  <c r="AX1155" i="1" s="1"/>
  <c r="AS1088" i="1"/>
  <c r="AS1155" i="1" s="1"/>
  <c r="AN1088" i="1"/>
  <c r="AN1155" i="1" s="1"/>
  <c r="AI1088" i="1"/>
  <c r="AI1155" i="1" s="1"/>
  <c r="AD1088" i="1"/>
  <c r="AD1155" i="1" s="1"/>
  <c r="Y1088" i="1"/>
  <c r="Y1155" i="1" s="1"/>
  <c r="BT1086" i="1"/>
  <c r="BS1086" i="1"/>
  <c r="BQ1086" i="1"/>
  <c r="BP1086" i="1"/>
  <c r="BO1086" i="1"/>
  <c r="BN1086" i="1"/>
  <c r="BL1086" i="1"/>
  <c r="BK1086" i="1"/>
  <c r="BJ1086" i="1"/>
  <c r="BI1086" i="1"/>
  <c r="BG1086" i="1"/>
  <c r="BF1086" i="1"/>
  <c r="BE1086" i="1"/>
  <c r="BD1086" i="1"/>
  <c r="BB1086" i="1"/>
  <c r="BA1086" i="1"/>
  <c r="AZ1086" i="1"/>
  <c r="AY1086" i="1"/>
  <c r="AW1086" i="1"/>
  <c r="AV1086" i="1"/>
  <c r="AU1086" i="1"/>
  <c r="AT1086" i="1"/>
  <c r="AR1086" i="1"/>
  <c r="AQ1086" i="1"/>
  <c r="AP1086" i="1"/>
  <c r="AO1086" i="1"/>
  <c r="AM1086" i="1"/>
  <c r="AL1086" i="1"/>
  <c r="AK1086" i="1"/>
  <c r="AJ1086" i="1"/>
  <c r="AH1086" i="1"/>
  <c r="AG1086" i="1"/>
  <c r="AF1086" i="1"/>
  <c r="AE1086" i="1"/>
  <c r="AC1086" i="1"/>
  <c r="AB1086" i="1"/>
  <c r="AA1086" i="1"/>
  <c r="Z1086" i="1"/>
  <c r="X1086" i="1"/>
  <c r="W1086" i="1"/>
  <c r="V1086" i="1"/>
  <c r="U1086" i="1"/>
  <c r="T1086" i="1"/>
  <c r="S1086" i="1"/>
  <c r="R1086" i="1"/>
  <c r="Q1086" i="1"/>
  <c r="P1086" i="1"/>
  <c r="O1086" i="1"/>
  <c r="N1086" i="1"/>
  <c r="M1086" i="1"/>
  <c r="L1086" i="1"/>
  <c r="K1086" i="1"/>
  <c r="J1086" i="1"/>
  <c r="I1086" i="1"/>
  <c r="H1086" i="1"/>
  <c r="G1086" i="1"/>
  <c r="F1086" i="1"/>
  <c r="E1086" i="1"/>
  <c r="D1086" i="1"/>
  <c r="C1086" i="1"/>
  <c r="BR1085" i="1"/>
  <c r="BR1152" i="1" s="1"/>
  <c r="BM1085" i="1"/>
  <c r="BM1152" i="1" s="1"/>
  <c r="BH1085" i="1"/>
  <c r="BH1152" i="1" s="1"/>
  <c r="BC1085" i="1"/>
  <c r="BC1152" i="1" s="1"/>
  <c r="AX1085" i="1"/>
  <c r="AX1152" i="1" s="1"/>
  <c r="AS1085" i="1"/>
  <c r="AS1152" i="1" s="1"/>
  <c r="AN1085" i="1"/>
  <c r="AN1152" i="1" s="1"/>
  <c r="AI1085" i="1"/>
  <c r="AI1152" i="1" s="1"/>
  <c r="AD1085" i="1"/>
  <c r="AD1152" i="1" s="1"/>
  <c r="Y1085" i="1"/>
  <c r="Y1152" i="1" s="1"/>
  <c r="BR1084" i="1"/>
  <c r="BR1151" i="1" s="1"/>
  <c r="BM1084" i="1"/>
  <c r="BM1151" i="1" s="1"/>
  <c r="BH1084" i="1"/>
  <c r="BH1151" i="1" s="1"/>
  <c r="BC1084" i="1"/>
  <c r="BC1151" i="1" s="1"/>
  <c r="AX1084" i="1"/>
  <c r="AX1151" i="1" s="1"/>
  <c r="AS1084" i="1"/>
  <c r="AS1151" i="1" s="1"/>
  <c r="AN1084" i="1"/>
  <c r="AN1151" i="1" s="1"/>
  <c r="AI1084" i="1"/>
  <c r="AI1151" i="1" s="1"/>
  <c r="AD1084" i="1"/>
  <c r="AD1151" i="1" s="1"/>
  <c r="Y1084" i="1"/>
  <c r="Y1151" i="1" s="1"/>
  <c r="BR1083" i="1"/>
  <c r="BR1150" i="1" s="1"/>
  <c r="BM1083" i="1"/>
  <c r="BM1150" i="1" s="1"/>
  <c r="BM730" i="1" s="1"/>
  <c r="BM75" i="9" s="1"/>
  <c r="BH1083" i="1"/>
  <c r="BH1150" i="1" s="1"/>
  <c r="BH730" i="1" s="1"/>
  <c r="BH75" i="9" s="1"/>
  <c r="BC1083" i="1"/>
  <c r="BC1150" i="1" s="1"/>
  <c r="AX1083" i="1"/>
  <c r="AX1150" i="1" s="1"/>
  <c r="AS1083" i="1"/>
  <c r="AS1150" i="1" s="1"/>
  <c r="AN1083" i="1"/>
  <c r="AN1150" i="1" s="1"/>
  <c r="AI1083" i="1"/>
  <c r="AI1150" i="1" s="1"/>
  <c r="AI730" i="1" s="1"/>
  <c r="AI75" i="9" s="1"/>
  <c r="AD1083" i="1"/>
  <c r="AD1150" i="1" s="1"/>
  <c r="AD730" i="1" s="1"/>
  <c r="AD75" i="9" s="1"/>
  <c r="Y1083" i="1"/>
  <c r="Y1150" i="1" s="1"/>
  <c r="Y730" i="1" s="1"/>
  <c r="Y75" i="9" s="1"/>
  <c r="BR1082" i="1"/>
  <c r="BR1149" i="1" s="1"/>
  <c r="BM1082" i="1"/>
  <c r="BM1149" i="1" s="1"/>
  <c r="BH1082" i="1"/>
  <c r="BH1149" i="1" s="1"/>
  <c r="BC1082" i="1"/>
  <c r="BC1149" i="1" s="1"/>
  <c r="AX1082" i="1"/>
  <c r="AX1149" i="1" s="1"/>
  <c r="BR1081" i="1"/>
  <c r="BR1148" i="1" s="1"/>
  <c r="BM1081" i="1"/>
  <c r="BM1148" i="1" s="1"/>
  <c r="BH1081" i="1"/>
  <c r="BH1148" i="1" s="1"/>
  <c r="BC1081" i="1"/>
  <c r="BC1148" i="1" s="1"/>
  <c r="AX1081" i="1"/>
  <c r="AX1148" i="1" s="1"/>
  <c r="AS1081" i="1"/>
  <c r="AS1148" i="1" s="1"/>
  <c r="AN1081" i="1"/>
  <c r="AN1148" i="1" s="1"/>
  <c r="AI1081" i="1"/>
  <c r="AI1148" i="1" s="1"/>
  <c r="AD1081" i="1"/>
  <c r="AD1148" i="1" s="1"/>
  <c r="AD734" i="1" s="1"/>
  <c r="AD79" i="9" s="1"/>
  <c r="Y1081" i="1"/>
  <c r="Y1148" i="1" s="1"/>
  <c r="BR1080" i="1"/>
  <c r="BR1147" i="1" s="1"/>
  <c r="BM1080" i="1"/>
  <c r="BM1147" i="1" s="1"/>
  <c r="BH1080" i="1"/>
  <c r="BH1147" i="1" s="1"/>
  <c r="BC1080" i="1"/>
  <c r="BC1147" i="1" s="1"/>
  <c r="AX1080" i="1"/>
  <c r="AX1147" i="1" s="1"/>
  <c r="BR1079" i="1"/>
  <c r="BM1079" i="1"/>
  <c r="BM1146" i="1" s="1"/>
  <c r="BM771" i="1" s="1"/>
  <c r="BH1079" i="1"/>
  <c r="BH1146" i="1" s="1"/>
  <c r="BH771" i="1" s="1"/>
  <c r="BC1079" i="1"/>
  <c r="BC1146" i="1" s="1"/>
  <c r="AX1079" i="1"/>
  <c r="AX1146" i="1" s="1"/>
  <c r="AS1079" i="1"/>
  <c r="AS1146" i="1" s="1"/>
  <c r="AN1079" i="1"/>
  <c r="AN1146" i="1" s="1"/>
  <c r="AI1079" i="1"/>
  <c r="AI1146" i="1" s="1"/>
  <c r="AD1079" i="1"/>
  <c r="AD1146" i="1" s="1"/>
  <c r="Y1079" i="1"/>
  <c r="Y1146" i="1" s="1"/>
  <c r="Y771" i="1" s="1"/>
  <c r="BR1078" i="1"/>
  <c r="BR1145" i="1" s="1"/>
  <c r="BR772" i="1" s="1"/>
  <c r="BM1078" i="1"/>
  <c r="BM1145" i="1" s="1"/>
  <c r="BM772" i="1" s="1"/>
  <c r="BH1078" i="1"/>
  <c r="BH1145" i="1" s="1"/>
  <c r="BC1078" i="1"/>
  <c r="BC1145" i="1" s="1"/>
  <c r="AX1078" i="1"/>
  <c r="AX1145" i="1" s="1"/>
  <c r="AS1078" i="1"/>
  <c r="AS1145" i="1" s="1"/>
  <c r="AN1078" i="1"/>
  <c r="AN1145" i="1" s="1"/>
  <c r="AI1078" i="1"/>
  <c r="AI1145" i="1" s="1"/>
  <c r="AD1078" i="1"/>
  <c r="AD1145" i="1" s="1"/>
  <c r="Y1078" i="1"/>
  <c r="Y1145" i="1" s="1"/>
  <c r="Y772" i="1" s="1"/>
  <c r="BR1077" i="1"/>
  <c r="BR1144" i="1" s="1"/>
  <c r="BM1077" i="1"/>
  <c r="BM1144" i="1" s="1"/>
  <c r="BH1077" i="1"/>
  <c r="BH1144" i="1" s="1"/>
  <c r="BC1077" i="1"/>
  <c r="BC1144" i="1" s="1"/>
  <c r="AX1077" i="1"/>
  <c r="AX1144" i="1" s="1"/>
  <c r="AS1077" i="1"/>
  <c r="AS1144" i="1" s="1"/>
  <c r="AN1077" i="1"/>
  <c r="AN1144" i="1" s="1"/>
  <c r="AI1077" i="1"/>
  <c r="AI1144" i="1" s="1"/>
  <c r="AD1077" i="1"/>
  <c r="AD1144" i="1" s="1"/>
  <c r="Y1077" i="1"/>
  <c r="Y1144" i="1" s="1"/>
  <c r="BR1076" i="1"/>
  <c r="BR1143" i="1" s="1"/>
  <c r="BM1076" i="1"/>
  <c r="BM1143" i="1" s="1"/>
  <c r="BH1076" i="1"/>
  <c r="BH1143" i="1" s="1"/>
  <c r="BC1076" i="1"/>
  <c r="BC1143" i="1" s="1"/>
  <c r="BC771" i="1" s="1"/>
  <c r="AX1076" i="1"/>
  <c r="AX1143" i="1" s="1"/>
  <c r="AS1076" i="1"/>
  <c r="AS1143" i="1" s="1"/>
  <c r="AS771" i="1" s="1"/>
  <c r="AN1076" i="1"/>
  <c r="AN1143" i="1" s="1"/>
  <c r="AI1076" i="1"/>
  <c r="AI1143" i="1" s="1"/>
  <c r="AD1076" i="1"/>
  <c r="AD1143" i="1" s="1"/>
  <c r="Y1076" i="1"/>
  <c r="Y1143" i="1" s="1"/>
  <c r="BR1075" i="1"/>
  <c r="BR1142" i="1" s="1"/>
  <c r="BM1075" i="1"/>
  <c r="BM1142" i="1" s="1"/>
  <c r="BH1075" i="1"/>
  <c r="BH1142" i="1" s="1"/>
  <c r="BC1075" i="1"/>
  <c r="BC1142" i="1" s="1"/>
  <c r="AX1075" i="1"/>
  <c r="AX1142" i="1" s="1"/>
  <c r="AS1075" i="1"/>
  <c r="AS1142" i="1" s="1"/>
  <c r="AN1075" i="1"/>
  <c r="AN1142" i="1" s="1"/>
  <c r="AI1075" i="1"/>
  <c r="AI1142" i="1" s="1"/>
  <c r="AD1075" i="1"/>
  <c r="AD1142" i="1" s="1"/>
  <c r="Y1075" i="1"/>
  <c r="Y1142" i="1" s="1"/>
  <c r="BR1074" i="1"/>
  <c r="BR1141" i="1" s="1"/>
  <c r="BM1074" i="1"/>
  <c r="BM1141" i="1" s="1"/>
  <c r="BH1074" i="1"/>
  <c r="BH1141" i="1" s="1"/>
  <c r="BC1074" i="1"/>
  <c r="BC1141" i="1" s="1"/>
  <c r="AX1074" i="1"/>
  <c r="AS1074" i="1"/>
  <c r="AS1141" i="1" s="1"/>
  <c r="AN1074" i="1"/>
  <c r="AN1141" i="1" s="1"/>
  <c r="AI1074" i="1"/>
  <c r="AI1141" i="1" s="1"/>
  <c r="AD1074" i="1"/>
  <c r="AD1141" i="1" s="1"/>
  <c r="Y1074" i="1"/>
  <c r="Y1141" i="1" s="1"/>
  <c r="BR1073" i="1"/>
  <c r="BR1140" i="1" s="1"/>
  <c r="BM1073" i="1"/>
  <c r="BM1140" i="1" s="1"/>
  <c r="BH1073" i="1"/>
  <c r="BC1073" i="1"/>
  <c r="BC1140" i="1" s="1"/>
  <c r="AX1073" i="1"/>
  <c r="AX1140" i="1" s="1"/>
  <c r="AS1073" i="1"/>
  <c r="AS1140" i="1" s="1"/>
  <c r="AS772" i="1" s="1"/>
  <c r="AN1073" i="1"/>
  <c r="AN1140" i="1" s="1"/>
  <c r="AN772" i="1" s="1"/>
  <c r="AI1073" i="1"/>
  <c r="AI1140" i="1" s="1"/>
  <c r="AD1073" i="1"/>
  <c r="AD1140" i="1" s="1"/>
  <c r="Y1073" i="1"/>
  <c r="Y1140" i="1" s="1"/>
  <c r="BR1072" i="1"/>
  <c r="BR1139" i="1" s="1"/>
  <c r="BM1072" i="1"/>
  <c r="BM1139" i="1" s="1"/>
  <c r="BH1072" i="1"/>
  <c r="BH1139" i="1" s="1"/>
  <c r="BC1072" i="1"/>
  <c r="BC1139" i="1" s="1"/>
  <c r="AX1072" i="1"/>
  <c r="AX1139" i="1" s="1"/>
  <c r="AS1072" i="1"/>
  <c r="AS1139" i="1" s="1"/>
  <c r="AN1072" i="1"/>
  <c r="AN1139" i="1" s="1"/>
  <c r="AI1072" i="1"/>
  <c r="AD1072" i="1"/>
  <c r="AD1139" i="1" s="1"/>
  <c r="Y1072" i="1"/>
  <c r="Y1139" i="1" s="1"/>
  <c r="BR1071" i="1"/>
  <c r="BR1138" i="1" s="1"/>
  <c r="BM1071" i="1"/>
  <c r="BH1071" i="1"/>
  <c r="BH1138" i="1" s="1"/>
  <c r="BC1071" i="1"/>
  <c r="AX1071" i="1"/>
  <c r="AX1138" i="1" s="1"/>
  <c r="AS1071" i="1"/>
  <c r="AN1071" i="1"/>
  <c r="AI1071" i="1"/>
  <c r="AI1138" i="1" s="1"/>
  <c r="AD1071" i="1"/>
  <c r="AD1138" i="1" s="1"/>
  <c r="Y1071" i="1"/>
  <c r="Y1138" i="1" s="1"/>
  <c r="BT1068" i="1"/>
  <c r="BS1068" i="1"/>
  <c r="BQ1068" i="1"/>
  <c r="BP1068" i="1"/>
  <c r="BO1068" i="1"/>
  <c r="BN1068" i="1"/>
  <c r="BL1068" i="1"/>
  <c r="BK1068" i="1"/>
  <c r="BK1089" i="1" s="1"/>
  <c r="BJ1068" i="1"/>
  <c r="BI1068" i="1"/>
  <c r="BG1068" i="1"/>
  <c r="BF1068" i="1"/>
  <c r="BE1068" i="1"/>
  <c r="BD1068" i="1"/>
  <c r="BB1068" i="1"/>
  <c r="BA1068" i="1"/>
  <c r="BA1089" i="1" s="1"/>
  <c r="AZ1068" i="1"/>
  <c r="AY1068" i="1"/>
  <c r="AW1068" i="1"/>
  <c r="AV1068" i="1"/>
  <c r="AU1068" i="1"/>
  <c r="AT1068" i="1"/>
  <c r="AR1068" i="1"/>
  <c r="AQ1068" i="1"/>
  <c r="AP1068" i="1"/>
  <c r="AO1068" i="1"/>
  <c r="AM1068" i="1"/>
  <c r="AL1068" i="1"/>
  <c r="AK1068" i="1"/>
  <c r="AJ1068" i="1"/>
  <c r="AH1068" i="1"/>
  <c r="AG1068" i="1"/>
  <c r="AF1068" i="1"/>
  <c r="AE1068" i="1"/>
  <c r="AC1068" i="1"/>
  <c r="AB1068" i="1"/>
  <c r="AA1068" i="1"/>
  <c r="Z1068" i="1"/>
  <c r="X1068" i="1"/>
  <c r="W1068" i="1"/>
  <c r="V1068" i="1"/>
  <c r="U1068" i="1"/>
  <c r="T1068" i="1"/>
  <c r="S1068" i="1"/>
  <c r="R1068" i="1"/>
  <c r="Q1068" i="1"/>
  <c r="P1068" i="1"/>
  <c r="O1068" i="1"/>
  <c r="N1068" i="1"/>
  <c r="M1068" i="1"/>
  <c r="L1068" i="1"/>
  <c r="K1068" i="1"/>
  <c r="J1068" i="1"/>
  <c r="I1068" i="1"/>
  <c r="H1068" i="1"/>
  <c r="G1068" i="1"/>
  <c r="F1068" i="1"/>
  <c r="E1068" i="1"/>
  <c r="D1068" i="1"/>
  <c r="C1068" i="1"/>
  <c r="BR1067" i="1"/>
  <c r="BR1134" i="1" s="1"/>
  <c r="BM1067" i="1"/>
  <c r="BM1134" i="1" s="1"/>
  <c r="BH1067" i="1"/>
  <c r="BC1067" i="1"/>
  <c r="BC1134" i="1" s="1"/>
  <c r="AX1067" i="1"/>
  <c r="AX1134" i="1" s="1"/>
  <c r="AS1067" i="1"/>
  <c r="AS1134" i="1" s="1"/>
  <c r="AN1067" i="1"/>
  <c r="AN1134" i="1" s="1"/>
  <c r="AI1067" i="1"/>
  <c r="AI1134" i="1" s="1"/>
  <c r="AD1067" i="1"/>
  <c r="AD1134" i="1" s="1"/>
  <c r="Y1067" i="1"/>
  <c r="Y1134" i="1" s="1"/>
  <c r="BR1066" i="1"/>
  <c r="BR1133" i="1" s="1"/>
  <c r="BM1066" i="1"/>
  <c r="BM1133" i="1" s="1"/>
  <c r="BH1066" i="1"/>
  <c r="BH1133" i="1" s="1"/>
  <c r="BC1066" i="1"/>
  <c r="BC1133" i="1" s="1"/>
  <c r="AX1066" i="1"/>
  <c r="AX1133" i="1" s="1"/>
  <c r="AS1066" i="1"/>
  <c r="AS1133" i="1" s="1"/>
  <c r="AN1066" i="1"/>
  <c r="AN1133" i="1" s="1"/>
  <c r="AI1066" i="1"/>
  <c r="AI1133" i="1" s="1"/>
  <c r="AD1066" i="1"/>
  <c r="AD1133" i="1" s="1"/>
  <c r="Y1066" i="1"/>
  <c r="Y1133" i="1" s="1"/>
  <c r="BR1065" i="1"/>
  <c r="BR1132" i="1" s="1"/>
  <c r="BM1065" i="1"/>
  <c r="BM1132" i="1" s="1"/>
  <c r="BH1065" i="1"/>
  <c r="BH1132" i="1" s="1"/>
  <c r="BC1065" i="1"/>
  <c r="BC1132" i="1" s="1"/>
  <c r="AX1065" i="1"/>
  <c r="AX1132" i="1" s="1"/>
  <c r="AS1065" i="1"/>
  <c r="AN1065" i="1"/>
  <c r="AN1132" i="1" s="1"/>
  <c r="AI1065" i="1"/>
  <c r="AI1132" i="1" s="1"/>
  <c r="AD1065" i="1"/>
  <c r="AD1132" i="1" s="1"/>
  <c r="Y1065" i="1"/>
  <c r="Y1132" i="1" s="1"/>
  <c r="BR1064" i="1"/>
  <c r="BR1131" i="1" s="1"/>
  <c r="BM1064" i="1"/>
  <c r="BM1131" i="1" s="1"/>
  <c r="BH1064" i="1"/>
  <c r="BH1131" i="1" s="1"/>
  <c r="BC1064" i="1"/>
  <c r="BC1131" i="1" s="1"/>
  <c r="AX1064" i="1"/>
  <c r="AX1131" i="1" s="1"/>
  <c r="AS1064" i="1"/>
  <c r="AS1131" i="1" s="1"/>
  <c r="AN1064" i="1"/>
  <c r="AN1131" i="1" s="1"/>
  <c r="AI1064" i="1"/>
  <c r="AI1131" i="1" s="1"/>
  <c r="AD1064" i="1"/>
  <c r="AD1131" i="1" s="1"/>
  <c r="Y1064" i="1"/>
  <c r="Y1131" i="1" s="1"/>
  <c r="BR1063" i="1"/>
  <c r="BR1130" i="1" s="1"/>
  <c r="BM1063" i="1"/>
  <c r="BM1130" i="1" s="1"/>
  <c r="BH1063" i="1"/>
  <c r="BH1130" i="1" s="1"/>
  <c r="BR1062" i="1"/>
  <c r="BR1129" i="1" s="1"/>
  <c r="BM1062" i="1"/>
  <c r="BM1129" i="1" s="1"/>
  <c r="BH1062" i="1"/>
  <c r="BH1129" i="1" s="1"/>
  <c r="BC1062" i="1"/>
  <c r="BC1129" i="1" s="1"/>
  <c r="AX1062" i="1"/>
  <c r="AX1129" i="1" s="1"/>
  <c r="AS1062" i="1"/>
  <c r="AS1129" i="1" s="1"/>
  <c r="AN1062" i="1"/>
  <c r="AN1129" i="1" s="1"/>
  <c r="AI1062" i="1"/>
  <c r="AI1129" i="1" s="1"/>
  <c r="AD1062" i="1"/>
  <c r="AD1129" i="1" s="1"/>
  <c r="Y1062" i="1"/>
  <c r="Y1129" i="1" s="1"/>
  <c r="BR1061" i="1"/>
  <c r="BR1128" i="1" s="1"/>
  <c r="BM1061" i="1"/>
  <c r="BM1128" i="1" s="1"/>
  <c r="BM729" i="1" s="1"/>
  <c r="BM78" i="9" s="1"/>
  <c r="BH1061" i="1"/>
  <c r="BH1128" i="1" s="1"/>
  <c r="BC1061" i="1"/>
  <c r="BC1128" i="1" s="1"/>
  <c r="AX1061" i="1"/>
  <c r="AX1128" i="1" s="1"/>
  <c r="AS1061" i="1"/>
  <c r="AS1128" i="1" s="1"/>
  <c r="AN1061" i="1"/>
  <c r="AN1128" i="1" s="1"/>
  <c r="AI1061" i="1"/>
  <c r="AI1128" i="1" s="1"/>
  <c r="AI729" i="1" s="1"/>
  <c r="AI78" i="9" s="1"/>
  <c r="AD1061" i="1"/>
  <c r="AD1128" i="1" s="1"/>
  <c r="Y1061" i="1"/>
  <c r="Y1128" i="1" s="1"/>
  <c r="Y729" i="1" s="1"/>
  <c r="Y78" i="9" s="1"/>
  <c r="BR1060" i="1"/>
  <c r="BR1127" i="1" s="1"/>
  <c r="BM1060" i="1"/>
  <c r="BM1127" i="1" s="1"/>
  <c r="BH1060" i="1"/>
  <c r="BH1127" i="1" s="1"/>
  <c r="BC1060" i="1"/>
  <c r="BC1127" i="1" s="1"/>
  <c r="AX1060" i="1"/>
  <c r="AX1127" i="1" s="1"/>
  <c r="AX728" i="1" s="1"/>
  <c r="AS1060" i="1"/>
  <c r="AS1127" i="1" s="1"/>
  <c r="AS728" i="1" s="1"/>
  <c r="AN1060" i="1"/>
  <c r="AN1127" i="1" s="1"/>
  <c r="AI1060" i="1"/>
  <c r="AD1060" i="1"/>
  <c r="Y1060" i="1"/>
  <c r="Y1127" i="1" s="1"/>
  <c r="BR1059" i="1"/>
  <c r="BR1126" i="1" s="1"/>
  <c r="BM1059" i="1"/>
  <c r="BM1126" i="1" s="1"/>
  <c r="BH1059" i="1"/>
  <c r="BH1126" i="1" s="1"/>
  <c r="BH729" i="1" s="1"/>
  <c r="BH78" i="9" s="1"/>
  <c r="BC1059" i="1"/>
  <c r="AX1059" i="1"/>
  <c r="AX1126" i="1" s="1"/>
  <c r="AS1059" i="1"/>
  <c r="AS1126" i="1" s="1"/>
  <c r="AN1059" i="1"/>
  <c r="AN1126" i="1" s="1"/>
  <c r="AI1059" i="1"/>
  <c r="AI1126" i="1" s="1"/>
  <c r="AD1059" i="1"/>
  <c r="AD1126" i="1" s="1"/>
  <c r="Y1059" i="1"/>
  <c r="Y1126" i="1" s="1"/>
  <c r="BR1058" i="1"/>
  <c r="BR1125" i="1" s="1"/>
  <c r="BM1058" i="1"/>
  <c r="BM1125" i="1" s="1"/>
  <c r="BH1058" i="1"/>
  <c r="BH1125" i="1" s="1"/>
  <c r="BH1169" i="1" s="1"/>
  <c r="BC1058" i="1"/>
  <c r="BC1125" i="1" s="1"/>
  <c r="AX1058" i="1"/>
  <c r="AX1125" i="1" s="1"/>
  <c r="AX1169" i="1" s="1"/>
  <c r="AS1058" i="1"/>
  <c r="AS1125" i="1" s="1"/>
  <c r="AN1058" i="1"/>
  <c r="AN1125" i="1" s="1"/>
  <c r="AN1169" i="1" s="1"/>
  <c r="AI1058" i="1"/>
  <c r="AI1125" i="1" s="1"/>
  <c r="AI1169" i="1" s="1"/>
  <c r="AD1058" i="1"/>
  <c r="AD1125" i="1" s="1"/>
  <c r="Y1058" i="1"/>
  <c r="Y1125" i="1" s="1"/>
  <c r="Y1169" i="1" s="1"/>
  <c r="BR1057" i="1"/>
  <c r="BR1124" i="1" s="1"/>
  <c r="BM1057" i="1"/>
  <c r="BH1057" i="1"/>
  <c r="BC1057" i="1"/>
  <c r="BC1124" i="1" s="1"/>
  <c r="AX1057" i="1"/>
  <c r="AS1057" i="1"/>
  <c r="AS1124" i="1" s="1"/>
  <c r="AN1057" i="1"/>
  <c r="AI1057" i="1"/>
  <c r="AI1124" i="1" s="1"/>
  <c r="AD1057" i="1"/>
  <c r="AD1124" i="1" s="1"/>
  <c r="Y1057" i="1"/>
  <c r="AZ1054" i="1"/>
  <c r="AH1054" i="1"/>
  <c r="W1054" i="1"/>
  <c r="H1054" i="1"/>
  <c r="BR1053" i="1"/>
  <c r="BR1120" i="1" s="1"/>
  <c r="BM1053" i="1"/>
  <c r="BM1120" i="1" s="1"/>
  <c r="BH1053" i="1"/>
  <c r="BH1120" i="1" s="1"/>
  <c r="BC1053" i="1"/>
  <c r="BC1120" i="1" s="1"/>
  <c r="AX1053" i="1"/>
  <c r="AX1120" i="1" s="1"/>
  <c r="AS1053" i="1"/>
  <c r="AS1120" i="1" s="1"/>
  <c r="AN1053" i="1"/>
  <c r="AN1120" i="1" s="1"/>
  <c r="AI1053" i="1"/>
  <c r="AI1120" i="1" s="1"/>
  <c r="AD1053" i="1"/>
  <c r="AD1120" i="1" s="1"/>
  <c r="Y1053" i="1"/>
  <c r="Y1120" i="1" s="1"/>
  <c r="BR1052" i="1"/>
  <c r="BR1119" i="1" s="1"/>
  <c r="BM1052" i="1"/>
  <c r="BM1119" i="1" s="1"/>
  <c r="BH1052" i="1"/>
  <c r="BH1119" i="1" s="1"/>
  <c r="BC1052" i="1"/>
  <c r="BC1119" i="1" s="1"/>
  <c r="AX1052" i="1"/>
  <c r="AX1119" i="1" s="1"/>
  <c r="AS1052" i="1"/>
  <c r="AS1119" i="1" s="1"/>
  <c r="AN1052" i="1"/>
  <c r="AN1119" i="1" s="1"/>
  <c r="AI1052" i="1"/>
  <c r="AI1119" i="1" s="1"/>
  <c r="AD1052" i="1"/>
  <c r="AD1119" i="1" s="1"/>
  <c r="Y1052" i="1"/>
  <c r="Y1119" i="1" s="1"/>
  <c r="BR1051" i="1"/>
  <c r="BR1118" i="1" s="1"/>
  <c r="BM1051" i="1"/>
  <c r="BM1118" i="1" s="1"/>
  <c r="BH1051" i="1"/>
  <c r="BH1118" i="1" s="1"/>
  <c r="BC1051" i="1"/>
  <c r="BC1118" i="1" s="1"/>
  <c r="AX1051" i="1"/>
  <c r="AX1118" i="1" s="1"/>
  <c r="AS1051" i="1"/>
  <c r="AS1118" i="1" s="1"/>
  <c r="AN1051" i="1"/>
  <c r="AN1118" i="1" s="1"/>
  <c r="AI1051" i="1"/>
  <c r="AI1118" i="1" s="1"/>
  <c r="AD1051" i="1"/>
  <c r="AD1118" i="1" s="1"/>
  <c r="Y1051" i="1"/>
  <c r="BR1050" i="1"/>
  <c r="BR1117" i="1" s="1"/>
  <c r="BM1050" i="1"/>
  <c r="BM1117" i="1" s="1"/>
  <c r="BH1050" i="1"/>
  <c r="BH1117" i="1" s="1"/>
  <c r="BC1050" i="1"/>
  <c r="BC1117" i="1" s="1"/>
  <c r="AX1050" i="1"/>
  <c r="AX1117" i="1" s="1"/>
  <c r="AS1050" i="1"/>
  <c r="AS1117" i="1" s="1"/>
  <c r="AN1050" i="1"/>
  <c r="AN1117" i="1" s="1"/>
  <c r="AI1050" i="1"/>
  <c r="AD1050" i="1"/>
  <c r="AD1117" i="1" s="1"/>
  <c r="Y1050" i="1"/>
  <c r="Y1117" i="1" s="1"/>
  <c r="BR1049" i="1"/>
  <c r="BR1116" i="1" s="1"/>
  <c r="BM1049" i="1"/>
  <c r="BM1116" i="1" s="1"/>
  <c r="BH1049" i="1"/>
  <c r="BH1116" i="1" s="1"/>
  <c r="BC1049" i="1"/>
  <c r="BC1116" i="1" s="1"/>
  <c r="AX1049" i="1"/>
  <c r="AX1116" i="1" s="1"/>
  <c r="AS1049" i="1"/>
  <c r="AN1049" i="1"/>
  <c r="AN1116" i="1" s="1"/>
  <c r="AI1049" i="1"/>
  <c r="AI1116" i="1" s="1"/>
  <c r="AD1049" i="1"/>
  <c r="AD1116" i="1" s="1"/>
  <c r="Y1049" i="1"/>
  <c r="Y1116" i="1" s="1"/>
  <c r="BR1048" i="1"/>
  <c r="BR1115" i="1" s="1"/>
  <c r="BM1048" i="1"/>
  <c r="BM1115" i="1" s="1"/>
  <c r="BH1048" i="1"/>
  <c r="BH1115" i="1" s="1"/>
  <c r="BC1048" i="1"/>
  <c r="AX1048" i="1"/>
  <c r="AX1115" i="1" s="1"/>
  <c r="AS1048" i="1"/>
  <c r="AS1115" i="1" s="1"/>
  <c r="AN1048" i="1"/>
  <c r="AN1115" i="1" s="1"/>
  <c r="AI1048" i="1"/>
  <c r="AI1115" i="1" s="1"/>
  <c r="AI71" i="9" s="1"/>
  <c r="AD1048" i="1"/>
  <c r="AD1115" i="1" s="1"/>
  <c r="Y1048" i="1"/>
  <c r="Y1115" i="1" s="1"/>
  <c r="BT1047" i="1"/>
  <c r="BT1054" i="1" s="1"/>
  <c r="BS1047" i="1"/>
  <c r="BS1054" i="1" s="1"/>
  <c r="BQ1047" i="1"/>
  <c r="BQ1054" i="1" s="1"/>
  <c r="BP1047" i="1"/>
  <c r="BP1054" i="1" s="1"/>
  <c r="BO1047" i="1"/>
  <c r="BO1054" i="1" s="1"/>
  <c r="BN1047" i="1"/>
  <c r="BN1054" i="1" s="1"/>
  <c r="BL1047" i="1"/>
  <c r="BL1054" i="1" s="1"/>
  <c r="BK1047" i="1"/>
  <c r="BK1054" i="1" s="1"/>
  <c r="BJ1047" i="1"/>
  <c r="BJ1054" i="1" s="1"/>
  <c r="BI1047" i="1"/>
  <c r="BI1054" i="1" s="1"/>
  <c r="BG1047" i="1"/>
  <c r="BG1054" i="1" s="1"/>
  <c r="BF1047" i="1"/>
  <c r="BF1054" i="1" s="1"/>
  <c r="BE1047" i="1"/>
  <c r="BE1054" i="1" s="1"/>
  <c r="BD1047" i="1"/>
  <c r="BD1054" i="1" s="1"/>
  <c r="BB1047" i="1"/>
  <c r="BB1054" i="1" s="1"/>
  <c r="BA1047" i="1"/>
  <c r="BA1054" i="1" s="1"/>
  <c r="AZ1047" i="1"/>
  <c r="AY1047" i="1"/>
  <c r="AY1054" i="1" s="1"/>
  <c r="AW1047" i="1"/>
  <c r="AW1054" i="1" s="1"/>
  <c r="AV1047" i="1"/>
  <c r="AV1054" i="1" s="1"/>
  <c r="AU1047" i="1"/>
  <c r="AU1054" i="1" s="1"/>
  <c r="AT1047" i="1"/>
  <c r="AT1054" i="1" s="1"/>
  <c r="AR1047" i="1"/>
  <c r="AR1054" i="1" s="1"/>
  <c r="AQ1047" i="1"/>
  <c r="AQ1054" i="1" s="1"/>
  <c r="AP1047" i="1"/>
  <c r="AP1054" i="1" s="1"/>
  <c r="AO1047" i="1"/>
  <c r="AO1054" i="1" s="1"/>
  <c r="AM1047" i="1"/>
  <c r="AM1054" i="1" s="1"/>
  <c r="AL1047" i="1"/>
  <c r="AL1054" i="1" s="1"/>
  <c r="AK1047" i="1"/>
  <c r="AK1054" i="1" s="1"/>
  <c r="AJ1047" i="1"/>
  <c r="AJ1054" i="1" s="1"/>
  <c r="AH1047" i="1"/>
  <c r="AG1047" i="1"/>
  <c r="AG1054" i="1" s="1"/>
  <c r="AF1047" i="1"/>
  <c r="AF1054" i="1" s="1"/>
  <c r="AE1047" i="1"/>
  <c r="AE1054" i="1" s="1"/>
  <c r="AC1047" i="1"/>
  <c r="AC1054" i="1" s="1"/>
  <c r="AB1047" i="1"/>
  <c r="AB1054" i="1" s="1"/>
  <c r="AA1047" i="1"/>
  <c r="AA1054" i="1" s="1"/>
  <c r="Z1047" i="1"/>
  <c r="Z1054" i="1" s="1"/>
  <c r="X1047" i="1"/>
  <c r="X1054" i="1" s="1"/>
  <c r="W1047" i="1"/>
  <c r="V1047" i="1"/>
  <c r="V1054" i="1" s="1"/>
  <c r="U1047" i="1"/>
  <c r="U1054" i="1" s="1"/>
  <c r="T1047" i="1"/>
  <c r="T1054" i="1" s="1"/>
  <c r="S1047" i="1"/>
  <c r="S1054" i="1" s="1"/>
  <c r="R1047" i="1"/>
  <c r="R1054" i="1" s="1"/>
  <c r="Q1047" i="1"/>
  <c r="Q1054" i="1" s="1"/>
  <c r="P1047" i="1"/>
  <c r="P1054" i="1" s="1"/>
  <c r="O1047" i="1"/>
  <c r="O1054" i="1" s="1"/>
  <c r="N1047" i="1"/>
  <c r="N1054" i="1" s="1"/>
  <c r="M1047" i="1"/>
  <c r="M1054" i="1" s="1"/>
  <c r="L1047" i="1"/>
  <c r="L1054" i="1" s="1"/>
  <c r="K1047" i="1"/>
  <c r="K1054" i="1" s="1"/>
  <c r="J1047" i="1"/>
  <c r="J1054" i="1" s="1"/>
  <c r="I1047" i="1"/>
  <c r="I1054" i="1" s="1"/>
  <c r="H1047" i="1"/>
  <c r="G1047" i="1"/>
  <c r="G1054" i="1" s="1"/>
  <c r="F1047" i="1"/>
  <c r="F1054" i="1" s="1"/>
  <c r="E1047" i="1"/>
  <c r="E1054" i="1" s="1"/>
  <c r="D1047" i="1"/>
  <c r="D1054" i="1" s="1"/>
  <c r="BM1046" i="1"/>
  <c r="BM1113" i="1" s="1"/>
  <c r="BH1046" i="1"/>
  <c r="BH1113" i="1" s="1"/>
  <c r="BR1045" i="1"/>
  <c r="BR1112" i="1" s="1"/>
  <c r="BM1045" i="1"/>
  <c r="BM1112" i="1" s="1"/>
  <c r="BH1045" i="1"/>
  <c r="BH1112" i="1" s="1"/>
  <c r="BC1045" i="1"/>
  <c r="BC1112" i="1" s="1"/>
  <c r="AX1045" i="1"/>
  <c r="AX1112" i="1" s="1"/>
  <c r="AS1045" i="1"/>
  <c r="AS1112" i="1" s="1"/>
  <c r="AN1045" i="1"/>
  <c r="AN1112" i="1" s="1"/>
  <c r="AI1045" i="1"/>
  <c r="AI1112" i="1" s="1"/>
  <c r="AD1045" i="1"/>
  <c r="AD1112" i="1" s="1"/>
  <c r="Y1045" i="1"/>
  <c r="BR1044" i="1"/>
  <c r="BR1111" i="1" s="1"/>
  <c r="BR490" i="1" s="1"/>
  <c r="BM1044" i="1"/>
  <c r="BM1111" i="1" s="1"/>
  <c r="BH1044" i="1"/>
  <c r="BH1111" i="1" s="1"/>
  <c r="BC1044" i="1"/>
  <c r="BC1111" i="1" s="1"/>
  <c r="AX1044" i="1"/>
  <c r="AX1111" i="1" s="1"/>
  <c r="AS1044" i="1"/>
  <c r="AS1111" i="1" s="1"/>
  <c r="AN1044" i="1"/>
  <c r="AN1111" i="1" s="1"/>
  <c r="AI1044" i="1"/>
  <c r="AI1111" i="1" s="1"/>
  <c r="AD1044" i="1"/>
  <c r="AD1111" i="1" s="1"/>
  <c r="AD490" i="1" s="1"/>
  <c r="Y1044" i="1"/>
  <c r="Y1111" i="1" s="1"/>
  <c r="BR1043" i="1"/>
  <c r="BR1110" i="1" s="1"/>
  <c r="BM1043" i="1"/>
  <c r="BM1110" i="1" s="1"/>
  <c r="BH1043" i="1"/>
  <c r="BH1110" i="1" s="1"/>
  <c r="BC1043" i="1"/>
  <c r="BC1110" i="1" s="1"/>
  <c r="AX1043" i="1"/>
  <c r="AX1110" i="1" s="1"/>
  <c r="AS1043" i="1"/>
  <c r="AS1110" i="1" s="1"/>
  <c r="AN1043" i="1"/>
  <c r="AN1110" i="1" s="1"/>
  <c r="AI1043" i="1"/>
  <c r="AI1110" i="1" s="1"/>
  <c r="AD1043" i="1"/>
  <c r="AD1110" i="1" s="1"/>
  <c r="BR1042" i="1"/>
  <c r="BR1109" i="1" s="1"/>
  <c r="BM1042" i="1"/>
  <c r="BM1109" i="1" s="1"/>
  <c r="BH1042" i="1"/>
  <c r="BH1109" i="1" s="1"/>
  <c r="BC1042" i="1"/>
  <c r="BC1109" i="1" s="1"/>
  <c r="AX1042" i="1"/>
  <c r="AX1109" i="1" s="1"/>
  <c r="AS1042" i="1"/>
  <c r="AS1109" i="1" s="1"/>
  <c r="AN1042" i="1"/>
  <c r="AN1109" i="1" s="1"/>
  <c r="AI1042" i="1"/>
  <c r="AI1109" i="1" s="1"/>
  <c r="AD1042" i="1"/>
  <c r="AD1109" i="1" s="1"/>
  <c r="Y1042" i="1"/>
  <c r="BR1041" i="1"/>
  <c r="BR1108" i="1" s="1"/>
  <c r="BM1041" i="1"/>
  <c r="BM1108" i="1" s="1"/>
  <c r="BH1041" i="1"/>
  <c r="BH1108" i="1" s="1"/>
  <c r="BC1041" i="1"/>
  <c r="BC1108" i="1" s="1"/>
  <c r="AX1041" i="1"/>
  <c r="AX1108" i="1" s="1"/>
  <c r="AS1041" i="1"/>
  <c r="AN1041" i="1"/>
  <c r="AN1108" i="1" s="1"/>
  <c r="AI1041" i="1"/>
  <c r="AI1108" i="1" s="1"/>
  <c r="AD1041" i="1"/>
  <c r="AD1108" i="1" s="1"/>
  <c r="Y1041" i="1"/>
  <c r="Y1108" i="1" s="1"/>
  <c r="C1041" i="1"/>
  <c r="C1108" i="1" s="1"/>
  <c r="BR1040" i="1"/>
  <c r="BR1107" i="1" s="1"/>
  <c r="BM1040" i="1"/>
  <c r="BM1107" i="1" s="1"/>
  <c r="BH1040" i="1"/>
  <c r="BH1107" i="1" s="1"/>
  <c r="BC1040" i="1"/>
  <c r="BC1107" i="1" s="1"/>
  <c r="AX1040" i="1"/>
  <c r="AX1107" i="1" s="1"/>
  <c r="AS1040" i="1"/>
  <c r="AS1107" i="1" s="1"/>
  <c r="AN1040" i="1"/>
  <c r="AN1107" i="1" s="1"/>
  <c r="AI1040" i="1"/>
  <c r="AI1107" i="1" s="1"/>
  <c r="AD1040" i="1"/>
  <c r="Y1040" i="1"/>
  <c r="Y1107" i="1" s="1"/>
  <c r="BR1039" i="1"/>
  <c r="BR1106" i="1" s="1"/>
  <c r="BM1039" i="1"/>
  <c r="BM1106" i="1" s="1"/>
  <c r="BH1039" i="1"/>
  <c r="BH1106" i="1" s="1"/>
  <c r="BC1039" i="1"/>
  <c r="BC1106" i="1" s="1"/>
  <c r="AX1039" i="1"/>
  <c r="AX1106" i="1" s="1"/>
  <c r="AS1039" i="1"/>
  <c r="AN1039" i="1"/>
  <c r="AN1106" i="1" s="1"/>
  <c r="AI1039" i="1"/>
  <c r="AI1106" i="1" s="1"/>
  <c r="AD1039" i="1"/>
  <c r="AD1106" i="1" s="1"/>
  <c r="Y1039" i="1"/>
  <c r="Y1106" i="1" s="1"/>
  <c r="BH1038" i="1"/>
  <c r="BH1105" i="1" s="1"/>
  <c r="C1038" i="1"/>
  <c r="BR1037" i="1"/>
  <c r="BR1104" i="1" s="1"/>
  <c r="BM1037" i="1"/>
  <c r="BH1037" i="1"/>
  <c r="BH1104" i="1" s="1"/>
  <c r="BC1037" i="1"/>
  <c r="BC1104" i="1" s="1"/>
  <c r="AX1037" i="1"/>
  <c r="AX1104" i="1" s="1"/>
  <c r="AS1037" i="1"/>
  <c r="AS1104" i="1" s="1"/>
  <c r="AN1037" i="1"/>
  <c r="AN1104" i="1" s="1"/>
  <c r="AI1037" i="1"/>
  <c r="AI1104" i="1" s="1"/>
  <c r="AI477" i="1" s="1"/>
  <c r="AD1037" i="1"/>
  <c r="AD1104" i="1" s="1"/>
  <c r="AD477" i="1" s="1"/>
  <c r="Y1037" i="1"/>
  <c r="BR1036" i="1"/>
  <c r="BR1103" i="1" s="1"/>
  <c r="BM1036" i="1"/>
  <c r="BH1036" i="1"/>
  <c r="BH1103" i="1" s="1"/>
  <c r="BC1036" i="1"/>
  <c r="BC1103" i="1" s="1"/>
  <c r="AX1036" i="1"/>
  <c r="AX1103" i="1" s="1"/>
  <c r="AS1036" i="1"/>
  <c r="AS1103" i="1" s="1"/>
  <c r="AN1036" i="1"/>
  <c r="AN1103" i="1" s="1"/>
  <c r="AN246" i="1" s="1"/>
  <c r="AN211" i="1" s="1"/>
  <c r="AI1036" i="1"/>
  <c r="AI1103" i="1" s="1"/>
  <c r="AD1036" i="1"/>
  <c r="AD1103" i="1" s="1"/>
  <c r="Y1036" i="1"/>
  <c r="Y1103" i="1" s="1"/>
  <c r="BR1035" i="1"/>
  <c r="BR1102" i="1" s="1"/>
  <c r="BM1035" i="1"/>
  <c r="BM1102" i="1" s="1"/>
  <c r="BH1035" i="1"/>
  <c r="BH1102" i="1" s="1"/>
  <c r="BC1035" i="1"/>
  <c r="BC1102" i="1" s="1"/>
  <c r="BC1174" i="1" s="1"/>
  <c r="AX1035" i="1"/>
  <c r="AX1102" i="1" s="1"/>
  <c r="AX246" i="1" s="1"/>
  <c r="AX211" i="1" s="1"/>
  <c r="AS1035" i="1"/>
  <c r="AS1102" i="1" s="1"/>
  <c r="AN1035" i="1"/>
  <c r="AI1035" i="1"/>
  <c r="AI1102" i="1" s="1"/>
  <c r="AI1174" i="1" s="1"/>
  <c r="AD1035" i="1"/>
  <c r="AD1102" i="1" s="1"/>
  <c r="Y1035" i="1"/>
  <c r="Y1102" i="1" s="1"/>
  <c r="Y1174" i="1" s="1"/>
  <c r="BR1034" i="1"/>
  <c r="BR1101" i="1" s="1"/>
  <c r="BM1034" i="1"/>
  <c r="BH1034" i="1"/>
  <c r="BH1101" i="1" s="1"/>
  <c r="BC1034" i="1"/>
  <c r="BC1101" i="1" s="1"/>
  <c r="AX1034" i="1"/>
  <c r="AX1101" i="1" s="1"/>
  <c r="AS1034" i="1"/>
  <c r="AS1101" i="1" s="1"/>
  <c r="AN1034" i="1"/>
  <c r="AN1101" i="1" s="1"/>
  <c r="AI1034" i="1"/>
  <c r="AI1101" i="1" s="1"/>
  <c r="AD1034" i="1"/>
  <c r="AD1101" i="1" s="1"/>
  <c r="Y1034" i="1"/>
  <c r="Y1101" i="1" s="1"/>
  <c r="BR1033" i="1"/>
  <c r="BM1033" i="1"/>
  <c r="BM1100" i="1" s="1"/>
  <c r="BM1175" i="1" s="1"/>
  <c r="BH1033" i="1"/>
  <c r="BC1033" i="1"/>
  <c r="BC1100" i="1" s="1"/>
  <c r="BC1175" i="1" s="1"/>
  <c r="AX1033" i="1"/>
  <c r="AX1100" i="1" s="1"/>
  <c r="AX1175" i="1" s="1"/>
  <c r="AS1033" i="1"/>
  <c r="AS1100" i="1" s="1"/>
  <c r="AS1175" i="1" s="1"/>
  <c r="AN1033" i="1"/>
  <c r="AN1100" i="1" s="1"/>
  <c r="AI1033" i="1"/>
  <c r="AD1033" i="1"/>
  <c r="AD1100" i="1" s="1"/>
  <c r="AD245" i="1" s="1"/>
  <c r="Y1033" i="1"/>
  <c r="Y1100" i="1" s="1"/>
  <c r="BR1032" i="1"/>
  <c r="BR1099" i="1" s="1"/>
  <c r="BM1032" i="1"/>
  <c r="BM1099" i="1" s="1"/>
  <c r="BH1032" i="1"/>
  <c r="BH1099" i="1" s="1"/>
  <c r="BC1032" i="1"/>
  <c r="AX1032" i="1"/>
  <c r="AS1032" i="1"/>
  <c r="AN1032" i="1"/>
  <c r="AN1099" i="1" s="1"/>
  <c r="AI1032" i="1"/>
  <c r="AI1099" i="1" s="1"/>
  <c r="AD1032" i="1"/>
  <c r="Y1032" i="1"/>
  <c r="BU1026" i="1"/>
  <c r="BU10" i="9" s="1"/>
  <c r="BT1026" i="1"/>
  <c r="BT10" i="9" s="1"/>
  <c r="BS1026" i="1"/>
  <c r="BS10" i="9" s="1"/>
  <c r="BR1026" i="1"/>
  <c r="BR10" i="9" s="1"/>
  <c r="BQ1026" i="1"/>
  <c r="BQ10" i="9" s="1"/>
  <c r="BP1026" i="1"/>
  <c r="BP10" i="9" s="1"/>
  <c r="BO1026" i="1"/>
  <c r="BO10" i="9" s="1"/>
  <c r="BN1026" i="1"/>
  <c r="BN10" i="9" s="1"/>
  <c r="BM1026" i="1"/>
  <c r="BM10" i="9" s="1"/>
  <c r="BL1026" i="1"/>
  <c r="BL10" i="9" s="1"/>
  <c r="BK1026" i="1"/>
  <c r="BK10" i="9" s="1"/>
  <c r="BJ1026" i="1"/>
  <c r="BJ10" i="9" s="1"/>
  <c r="BI1026" i="1"/>
  <c r="BI10" i="9" s="1"/>
  <c r="BH1026" i="1"/>
  <c r="BH10" i="9" s="1"/>
  <c r="BG1026" i="1"/>
  <c r="BG10" i="9" s="1"/>
  <c r="BF1026" i="1"/>
  <c r="BF10" i="9" s="1"/>
  <c r="BE1026" i="1"/>
  <c r="BE10" i="9" s="1"/>
  <c r="BD1026" i="1"/>
  <c r="BD10" i="9" s="1"/>
  <c r="BC1026" i="1"/>
  <c r="BC10" i="9" s="1"/>
  <c r="BB1026" i="1"/>
  <c r="BB10" i="9" s="1"/>
  <c r="BA1026" i="1"/>
  <c r="BA10" i="9" s="1"/>
  <c r="AZ1026" i="1"/>
  <c r="AZ10" i="9" s="1"/>
  <c r="AY1026" i="1"/>
  <c r="AY10" i="9" s="1"/>
  <c r="AX1026" i="1"/>
  <c r="AX10" i="9" s="1"/>
  <c r="AW1026" i="1"/>
  <c r="AW10" i="9" s="1"/>
  <c r="AV1026" i="1"/>
  <c r="AV10" i="9" s="1"/>
  <c r="AU1026" i="1"/>
  <c r="AU10" i="9" s="1"/>
  <c r="AT1026" i="1"/>
  <c r="AT10" i="9" s="1"/>
  <c r="AS1026" i="1"/>
  <c r="AS10" i="9" s="1"/>
  <c r="AR1026" i="1"/>
  <c r="AR10" i="9" s="1"/>
  <c r="AQ1026" i="1"/>
  <c r="AQ10" i="9" s="1"/>
  <c r="AP1026" i="1"/>
  <c r="AP10" i="9" s="1"/>
  <c r="AO1026" i="1"/>
  <c r="AO10" i="9" s="1"/>
  <c r="AN1026" i="1"/>
  <c r="AN10" i="9" s="1"/>
  <c r="AM1026" i="1"/>
  <c r="AM10" i="9" s="1"/>
  <c r="AL1026" i="1"/>
  <c r="AL10" i="9" s="1"/>
  <c r="AK1026" i="1"/>
  <c r="AK10" i="9" s="1"/>
  <c r="AJ1026" i="1"/>
  <c r="AJ10" i="9" s="1"/>
  <c r="AI1026" i="1"/>
  <c r="AI10" i="9" s="1"/>
  <c r="AH1026" i="1"/>
  <c r="AH10" i="9" s="1"/>
  <c r="AG1026" i="1"/>
  <c r="AG10" i="9" s="1"/>
  <c r="AF1026" i="1"/>
  <c r="AF10" i="9" s="1"/>
  <c r="AE1026" i="1"/>
  <c r="AE10" i="9" s="1"/>
  <c r="AD1026" i="1"/>
  <c r="AD10" i="9" s="1"/>
  <c r="AC1026" i="1"/>
  <c r="AC10" i="9" s="1"/>
  <c r="AB1026" i="1"/>
  <c r="AB10" i="9" s="1"/>
  <c r="AA1026" i="1"/>
  <c r="AA10" i="9" s="1"/>
  <c r="Z1026" i="1"/>
  <c r="Z10" i="9" s="1"/>
  <c r="Y1026" i="1"/>
  <c r="Y10" i="9" s="1"/>
  <c r="X1026" i="1"/>
  <c r="X10" i="9" s="1"/>
  <c r="W1026" i="1"/>
  <c r="W10" i="9" s="1"/>
  <c r="V1026" i="1"/>
  <c r="V10" i="9" s="1"/>
  <c r="U1026" i="1"/>
  <c r="U10" i="9" s="1"/>
  <c r="T1026" i="1"/>
  <c r="T10" i="9" s="1"/>
  <c r="S1026" i="1"/>
  <c r="S10" i="9" s="1"/>
  <c r="R1026" i="1"/>
  <c r="R10" i="9" s="1"/>
  <c r="Q1026" i="1"/>
  <c r="Q10" i="9" s="1"/>
  <c r="P1026" i="1"/>
  <c r="P10" i="9" s="1"/>
  <c r="O1026" i="1"/>
  <c r="O10" i="9" s="1"/>
  <c r="N1026" i="1"/>
  <c r="N10" i="9" s="1"/>
  <c r="M1026" i="1"/>
  <c r="M10" i="9" s="1"/>
  <c r="L1026" i="1"/>
  <c r="L10" i="9" s="1"/>
  <c r="K1026" i="1"/>
  <c r="K10" i="9" s="1"/>
  <c r="J1026" i="1"/>
  <c r="J10" i="9" s="1"/>
  <c r="I1026" i="1"/>
  <c r="I10" i="9" s="1"/>
  <c r="H1026" i="1"/>
  <c r="H10" i="9" s="1"/>
  <c r="G1026" i="1"/>
  <c r="G10" i="9" s="1"/>
  <c r="F1026" i="1"/>
  <c r="F10" i="9" s="1"/>
  <c r="E1026" i="1"/>
  <c r="E10" i="9" s="1"/>
  <c r="D1026" i="1"/>
  <c r="D10" i="9" s="1"/>
  <c r="C1026" i="1"/>
  <c r="C10" i="9" s="1"/>
  <c r="AN1023" i="1"/>
  <c r="AN1007" i="1" s="1"/>
  <c r="AJ1023" i="1"/>
  <c r="AJ1007" i="1" s="1"/>
  <c r="AB1023" i="1"/>
  <c r="AB1007" i="1" s="1"/>
  <c r="A1023" i="1"/>
  <c r="BT1022" i="1"/>
  <c r="BS1022" i="1"/>
  <c r="BR1022" i="1"/>
  <c r="BP1022" i="1"/>
  <c r="BO1022" i="1"/>
  <c r="BN1022" i="1"/>
  <c r="BM1022" i="1"/>
  <c r="BL1022" i="1"/>
  <c r="BK1022" i="1"/>
  <c r="BH1022" i="1"/>
  <c r="BG1022" i="1"/>
  <c r="BF1022" i="1"/>
  <c r="BE1022" i="1"/>
  <c r="BD1022" i="1"/>
  <c r="BC1022" i="1"/>
  <c r="AZ1022" i="1"/>
  <c r="AX1022" i="1"/>
  <c r="AV1022" i="1"/>
  <c r="AV1007" i="1" s="1"/>
  <c r="AU1022" i="1"/>
  <c r="AT1022" i="1"/>
  <c r="AQ1022" i="1"/>
  <c r="AN1022" i="1"/>
  <c r="AM1022" i="1"/>
  <c r="AJ1022" i="1"/>
  <c r="AI1022" i="1"/>
  <c r="AG1022" i="1"/>
  <c r="AF1022" i="1"/>
  <c r="AE1022" i="1"/>
  <c r="AE1007" i="1" s="1"/>
  <c r="AB1022" i="1"/>
  <c r="AA1022" i="1"/>
  <c r="Z1022" i="1"/>
  <c r="Z1007" i="1" s="1"/>
  <c r="Y1022" i="1"/>
  <c r="X1022" i="1"/>
  <c r="W1022" i="1"/>
  <c r="T1022" i="1"/>
  <c r="S1022" i="1"/>
  <c r="R1022" i="1"/>
  <c r="Q1022" i="1"/>
  <c r="P1022" i="1"/>
  <c r="O1022" i="1"/>
  <c r="L1022" i="1"/>
  <c r="J1022" i="1"/>
  <c r="I1022" i="1"/>
  <c r="H1022" i="1"/>
  <c r="G1022" i="1"/>
  <c r="C1022" i="1"/>
  <c r="A1022" i="1"/>
  <c r="A1021" i="1"/>
  <c r="BT1020" i="1"/>
  <c r="BS1020" i="1"/>
  <c r="BP1020" i="1"/>
  <c r="BM1020" i="1"/>
  <c r="BM1023" i="1" s="1"/>
  <c r="BL1020" i="1"/>
  <c r="BL1023" i="1" s="1"/>
  <c r="BK1020" i="1"/>
  <c r="BJ1020" i="1"/>
  <c r="BH1020" i="1"/>
  <c r="BH1023" i="1" s="1"/>
  <c r="BF1020" i="1"/>
  <c r="BD1020" i="1"/>
  <c r="BD1023" i="1" s="1"/>
  <c r="BC1020" i="1"/>
  <c r="BC1023" i="1" s="1"/>
  <c r="AX1020" i="1"/>
  <c r="AX1023" i="1" s="1"/>
  <c r="AX1007" i="1" s="1"/>
  <c r="AV1020" i="1"/>
  <c r="AV1023" i="1" s="1"/>
  <c r="AU1020" i="1"/>
  <c r="AU1023" i="1" s="1"/>
  <c r="AT1020" i="1"/>
  <c r="AT1023" i="1" s="1"/>
  <c r="AT1007" i="1" s="1"/>
  <c r="AR1020" i="1"/>
  <c r="AR1023" i="1" s="1"/>
  <c r="AO1020" i="1"/>
  <c r="AO1023" i="1" s="1"/>
  <c r="AN1020" i="1"/>
  <c r="AM1020" i="1"/>
  <c r="AM1023" i="1" s="1"/>
  <c r="AJ1020" i="1"/>
  <c r="AH1020" i="1"/>
  <c r="AH1023" i="1" s="1"/>
  <c r="AG1020" i="1"/>
  <c r="AG1023" i="1" s="1"/>
  <c r="AF1020" i="1"/>
  <c r="AF1023" i="1" s="1"/>
  <c r="AF1007" i="1" s="1"/>
  <c r="AE1020" i="1"/>
  <c r="AE1023" i="1" s="1"/>
  <c r="AB1020" i="1"/>
  <c r="Z1020" i="1"/>
  <c r="Z1023" i="1" s="1"/>
  <c r="Y1020" i="1"/>
  <c r="Y1023" i="1" s="1"/>
  <c r="X1020" i="1"/>
  <c r="X1023" i="1" s="1"/>
  <c r="W1020" i="1"/>
  <c r="W1023" i="1" s="1"/>
  <c r="W1007" i="1" s="1"/>
  <c r="R1020" i="1"/>
  <c r="R1023" i="1" s="1"/>
  <c r="Q1020" i="1"/>
  <c r="Q1023" i="1" s="1"/>
  <c r="P1020" i="1"/>
  <c r="P1023" i="1" s="1"/>
  <c r="P1007" i="1" s="1"/>
  <c r="O1020" i="1"/>
  <c r="O1023" i="1" s="1"/>
  <c r="L1020" i="1"/>
  <c r="L1023" i="1" s="1"/>
  <c r="J1020" i="1"/>
  <c r="J1023" i="1" s="1"/>
  <c r="J1007" i="1" s="1"/>
  <c r="I1020" i="1"/>
  <c r="I1023" i="1" s="1"/>
  <c r="H1020" i="1"/>
  <c r="H1023" i="1" s="1"/>
  <c r="G1020" i="1"/>
  <c r="G1023" i="1" s="1"/>
  <c r="D1020" i="1"/>
  <c r="A1020" i="1"/>
  <c r="CF1019" i="1"/>
  <c r="CD1019" i="1"/>
  <c r="CC1019" i="1"/>
  <c r="CB1019" i="1"/>
  <c r="CA1019" i="1"/>
  <c r="BX1019" i="1"/>
  <c r="BV1019" i="1"/>
  <c r="BU1019" i="1"/>
  <c r="A1019" i="1"/>
  <c r="CF1018" i="1"/>
  <c r="CD1018" i="1"/>
  <c r="CC1018" i="1"/>
  <c r="CB1018" i="1"/>
  <c r="CA1018" i="1"/>
  <c r="BX1018" i="1"/>
  <c r="BW1018" i="1"/>
  <c r="BU1018" i="1"/>
  <c r="A1018" i="1"/>
  <c r="CF1017" i="1"/>
  <c r="CD1017" i="1"/>
  <c r="CC1017" i="1"/>
  <c r="CB1017" i="1"/>
  <c r="CA1017" i="1"/>
  <c r="BX1017" i="1"/>
  <c r="BU1017" i="1"/>
  <c r="A1017" i="1"/>
  <c r="A1015" i="1"/>
  <c r="A1014" i="1"/>
  <c r="A1013" i="1"/>
  <c r="A1012" i="1"/>
  <c r="A1303" i="1" s="1"/>
  <c r="A1011" i="1"/>
  <c r="A1304" i="1" s="1"/>
  <c r="A1009" i="1"/>
  <c r="A1008" i="1"/>
  <c r="BC1007" i="1"/>
  <c r="O1007" i="1"/>
  <c r="A1007" i="1"/>
  <c r="BS1004" i="1"/>
  <c r="BO1004" i="1"/>
  <c r="BO979" i="1" s="1"/>
  <c r="BN1004" i="1"/>
  <c r="BL1004" i="1"/>
  <c r="BI1004" i="1"/>
  <c r="BF1004" i="1"/>
  <c r="BD1004" i="1"/>
  <c r="BB1004" i="1"/>
  <c r="BB978" i="1" s="1"/>
  <c r="AZ1004" i="1"/>
  <c r="AY1004" i="1"/>
  <c r="AW1004" i="1"/>
  <c r="AU1004" i="1"/>
  <c r="AT1004" i="1"/>
  <c r="AR1004" i="1"/>
  <c r="AO1004" i="1"/>
  <c r="AM1004" i="1"/>
  <c r="AL1004" i="1"/>
  <c r="AJ1004" i="1"/>
  <c r="AH1004" i="1"/>
  <c r="AC1004" i="1"/>
  <c r="AB1004" i="1"/>
  <c r="AA1004" i="1"/>
  <c r="Z1004" i="1"/>
  <c r="X1004" i="1"/>
  <c r="T1004" i="1"/>
  <c r="S1004" i="1"/>
  <c r="R1004" i="1"/>
  <c r="P1004" i="1"/>
  <c r="M1004" i="1"/>
  <c r="K1004" i="1"/>
  <c r="I1004" i="1"/>
  <c r="H1004" i="1"/>
  <c r="E1004" i="1"/>
  <c r="D1004" i="1"/>
  <c r="C1004" i="1"/>
  <c r="BQ1003" i="1"/>
  <c r="BL1003" i="1"/>
  <c r="BL978" i="1" s="1"/>
  <c r="BE1003" i="1"/>
  <c r="BA1003" i="1"/>
  <c r="AW1003" i="1"/>
  <c r="AV1003" i="1"/>
  <c r="AV978" i="1" s="1"/>
  <c r="AU1003" i="1"/>
  <c r="AU978" i="1" s="1"/>
  <c r="AQ1003" i="1"/>
  <c r="AL1003" i="1"/>
  <c r="AK1003" i="1"/>
  <c r="AJ1003" i="1"/>
  <c r="AH1003" i="1"/>
  <c r="AH978" i="1" s="1"/>
  <c r="AG1003" i="1"/>
  <c r="AF1003" i="1"/>
  <c r="AB1003" i="1"/>
  <c r="AA1003" i="1"/>
  <c r="X1003" i="1"/>
  <c r="W1003" i="1"/>
  <c r="V1003" i="1"/>
  <c r="S1003" i="1"/>
  <c r="R1003" i="1"/>
  <c r="Q1003" i="1"/>
  <c r="O1003" i="1"/>
  <c r="N1003" i="1"/>
  <c r="K1003" i="1"/>
  <c r="K978" i="1" s="1"/>
  <c r="J1003" i="1"/>
  <c r="H1003" i="1"/>
  <c r="H978" i="1" s="1"/>
  <c r="F1003" i="1"/>
  <c r="C1003" i="1"/>
  <c r="BT1002" i="1"/>
  <c r="BS1002" i="1"/>
  <c r="BQ1002" i="1"/>
  <c r="BP1002" i="1"/>
  <c r="BO1002" i="1"/>
  <c r="BN1002" i="1"/>
  <c r="BL1002" i="1"/>
  <c r="BK1002" i="1"/>
  <c r="BJ1002" i="1"/>
  <c r="BI1002" i="1"/>
  <c r="BI979" i="1" s="1"/>
  <c r="BH1002" i="1"/>
  <c r="BG1002" i="1"/>
  <c r="BF1002" i="1"/>
  <c r="BE1002" i="1"/>
  <c r="BD1002" i="1"/>
  <c r="BC1002" i="1"/>
  <c r="BB1002" i="1"/>
  <c r="BA1002" i="1"/>
  <c r="BA979" i="1" s="1"/>
  <c r="AZ1002" i="1"/>
  <c r="AY1002" i="1"/>
  <c r="AX1002" i="1"/>
  <c r="AW1002" i="1"/>
  <c r="AV1002" i="1"/>
  <c r="AU1002" i="1"/>
  <c r="AU979" i="1" s="1"/>
  <c r="AT1002" i="1"/>
  <c r="AR1002" i="1"/>
  <c r="AQ1002" i="1"/>
  <c r="AP1002" i="1"/>
  <c r="AO1002" i="1"/>
  <c r="AM1002" i="1"/>
  <c r="AL1002" i="1"/>
  <c r="AK1002" i="1"/>
  <c r="AK979" i="1" s="1"/>
  <c r="AJ1002" i="1"/>
  <c r="AH1002" i="1"/>
  <c r="AG1002" i="1"/>
  <c r="AF1002" i="1"/>
  <c r="AE1002" i="1"/>
  <c r="AC1002" i="1"/>
  <c r="AB1002" i="1"/>
  <c r="AB979" i="1" s="1"/>
  <c r="AA1002" i="1"/>
  <c r="Z1002" i="1"/>
  <c r="X1002" i="1"/>
  <c r="W1002" i="1"/>
  <c r="V1002" i="1"/>
  <c r="V979" i="1" s="1"/>
  <c r="U1002" i="1"/>
  <c r="T1002" i="1"/>
  <c r="S1002" i="1"/>
  <c r="S979" i="1" s="1"/>
  <c r="R1002" i="1"/>
  <c r="Q1002" i="1"/>
  <c r="P1002" i="1"/>
  <c r="O1002" i="1"/>
  <c r="N1002" i="1"/>
  <c r="M1002" i="1"/>
  <c r="L1002" i="1"/>
  <c r="K1002" i="1"/>
  <c r="K979" i="1" s="1"/>
  <c r="J1002" i="1"/>
  <c r="I1002" i="1"/>
  <c r="H1002" i="1"/>
  <c r="H979" i="1" s="1"/>
  <c r="G1002" i="1"/>
  <c r="F1002" i="1"/>
  <c r="F979" i="1" s="1"/>
  <c r="E1002" i="1"/>
  <c r="E979" i="1" s="1"/>
  <c r="D1002" i="1"/>
  <c r="C1002" i="1"/>
  <c r="Q1001" i="1"/>
  <c r="N1001" i="1"/>
  <c r="H1001" i="1"/>
  <c r="BT998" i="1"/>
  <c r="BO998" i="1"/>
  <c r="BN998" i="1"/>
  <c r="BL998" i="1"/>
  <c r="BK998" i="1"/>
  <c r="BI998" i="1"/>
  <c r="BF998" i="1"/>
  <c r="BD998" i="1"/>
  <c r="BA998" i="1"/>
  <c r="AY998" i="1"/>
  <c r="AW998" i="1"/>
  <c r="AV998" i="1"/>
  <c r="AT998" i="1"/>
  <c r="AQ998" i="1"/>
  <c r="AO998" i="1"/>
  <c r="AM998" i="1"/>
  <c r="AL998" i="1"/>
  <c r="AK998" i="1"/>
  <c r="AH998" i="1"/>
  <c r="AG998" i="1"/>
  <c r="AE998" i="1"/>
  <c r="AC998" i="1"/>
  <c r="AB998" i="1"/>
  <c r="AA998" i="1"/>
  <c r="Z998" i="1"/>
  <c r="W998" i="1"/>
  <c r="U998" i="1"/>
  <c r="T998" i="1"/>
  <c r="S998" i="1"/>
  <c r="R998" i="1"/>
  <c r="Q998" i="1"/>
  <c r="O998" i="1"/>
  <c r="N998" i="1"/>
  <c r="M998" i="1"/>
  <c r="K998" i="1"/>
  <c r="J998" i="1"/>
  <c r="I998" i="1"/>
  <c r="G998" i="1"/>
  <c r="F998" i="1"/>
  <c r="E998" i="1"/>
  <c r="CF992" i="1"/>
  <c r="CF993" i="1" s="1"/>
  <c r="CE992" i="1"/>
  <c r="CE993" i="1" s="1"/>
  <c r="CD992" i="1"/>
  <c r="CD993" i="1" s="1"/>
  <c r="CB992" i="1"/>
  <c r="CA992" i="1"/>
  <c r="BZ992" i="1"/>
  <c r="BY992" i="1"/>
  <c r="BW992" i="1"/>
  <c r="BV992" i="1"/>
  <c r="BU992" i="1"/>
  <c r="CF987" i="1"/>
  <c r="CE987" i="1"/>
  <c r="CD987" i="1"/>
  <c r="CC987" i="1"/>
  <c r="CB987" i="1"/>
  <c r="CA987" i="1"/>
  <c r="BZ987" i="1"/>
  <c r="BY987" i="1"/>
  <c r="BX987" i="1"/>
  <c r="BW987" i="1"/>
  <c r="BV987" i="1"/>
  <c r="BU987" i="1"/>
  <c r="BT987" i="1"/>
  <c r="BS987" i="1"/>
  <c r="BR987" i="1"/>
  <c r="BQ987" i="1"/>
  <c r="BP987" i="1"/>
  <c r="BO987" i="1"/>
  <c r="BN987" i="1"/>
  <c r="BM987" i="1"/>
  <c r="BL987" i="1"/>
  <c r="BK987" i="1"/>
  <c r="BJ987" i="1"/>
  <c r="BI987" i="1"/>
  <c r="BH987" i="1"/>
  <c r="BG987" i="1"/>
  <c r="BF987" i="1"/>
  <c r="BE987" i="1"/>
  <c r="BD987" i="1"/>
  <c r="BC987" i="1"/>
  <c r="BB987" i="1"/>
  <c r="BA987" i="1"/>
  <c r="AZ987" i="1"/>
  <c r="AY987" i="1"/>
  <c r="AX987" i="1"/>
  <c r="AW987" i="1"/>
  <c r="AV987" i="1"/>
  <c r="AU987" i="1"/>
  <c r="AT987" i="1"/>
  <c r="AS987" i="1"/>
  <c r="AR987" i="1"/>
  <c r="AQ987" i="1"/>
  <c r="AP987" i="1"/>
  <c r="AO987" i="1"/>
  <c r="AN987" i="1"/>
  <c r="AM987" i="1"/>
  <c r="AL987" i="1"/>
  <c r="AK987" i="1"/>
  <c r="AJ987" i="1"/>
  <c r="AI987" i="1"/>
  <c r="AH987" i="1"/>
  <c r="AG987" i="1"/>
  <c r="AF987" i="1"/>
  <c r="AE987" i="1"/>
  <c r="AD987" i="1"/>
  <c r="AC987" i="1"/>
  <c r="AB987" i="1"/>
  <c r="AA987" i="1"/>
  <c r="Z987" i="1"/>
  <c r="Y987" i="1"/>
  <c r="X987" i="1"/>
  <c r="W987" i="1"/>
  <c r="V987" i="1"/>
  <c r="U987" i="1"/>
  <c r="T987" i="1"/>
  <c r="S987" i="1"/>
  <c r="R987" i="1"/>
  <c r="Q987" i="1"/>
  <c r="P987" i="1"/>
  <c r="O987" i="1"/>
  <c r="N987" i="1"/>
  <c r="M987" i="1"/>
  <c r="L987" i="1"/>
  <c r="K987" i="1"/>
  <c r="J987" i="1"/>
  <c r="I987" i="1"/>
  <c r="H987" i="1"/>
  <c r="G987" i="1"/>
  <c r="AF985" i="1"/>
  <c r="AF980" i="1" s="1"/>
  <c r="BJ983" i="1"/>
  <c r="BJ972" i="1" s="1"/>
  <c r="AC983" i="1"/>
  <c r="AT979" i="1"/>
  <c r="T979" i="1"/>
  <c r="L979" i="1"/>
  <c r="L978" i="1"/>
  <c r="F978" i="1"/>
  <c r="BR959" i="1"/>
  <c r="BQ959" i="1"/>
  <c r="BQ801" i="1" s="1"/>
  <c r="BP959" i="1"/>
  <c r="BO959" i="1"/>
  <c r="BM959" i="1"/>
  <c r="BL959" i="1"/>
  <c r="BK959" i="1"/>
  <c r="BK801" i="1" s="1"/>
  <c r="BJ959" i="1"/>
  <c r="BJ801" i="1" s="1"/>
  <c r="BH959" i="1"/>
  <c r="BG959" i="1"/>
  <c r="BG801" i="1" s="1"/>
  <c r="BF959" i="1"/>
  <c r="BE959" i="1"/>
  <c r="BC959" i="1"/>
  <c r="BB959" i="1"/>
  <c r="BA959" i="1"/>
  <c r="BA801" i="1" s="1"/>
  <c r="AZ959" i="1"/>
  <c r="AX959" i="1"/>
  <c r="AW959" i="1"/>
  <c r="AW801" i="1" s="1"/>
  <c r="AV959" i="1"/>
  <c r="AV801" i="1" s="1"/>
  <c r="AU959" i="1"/>
  <c r="AS959" i="1"/>
  <c r="AR959" i="1"/>
  <c r="AQ959" i="1"/>
  <c r="AQ801" i="1" s="1"/>
  <c r="AP959" i="1"/>
  <c r="BS953" i="1"/>
  <c r="BN953" i="1"/>
  <c r="BI953" i="1"/>
  <c r="BI955" i="1" s="1"/>
  <c r="BD953" i="1"/>
  <c r="AY953" i="1"/>
  <c r="AT953" i="1"/>
  <c r="AO953" i="1"/>
  <c r="BR951" i="1"/>
  <c r="BM951" i="1"/>
  <c r="BH951" i="1"/>
  <c r="BC951" i="1"/>
  <c r="AX951" i="1"/>
  <c r="AX801" i="1" s="1"/>
  <c r="AS951" i="1"/>
  <c r="AW947" i="1"/>
  <c r="AV947" i="1"/>
  <c r="AU947" i="1"/>
  <c r="AR947" i="1"/>
  <c r="AQ947" i="1"/>
  <c r="AP947" i="1"/>
  <c r="BK945" i="1"/>
  <c r="BT944" i="1"/>
  <c r="BU940" i="1" s="1"/>
  <c r="BS944" i="1"/>
  <c r="BR944" i="1"/>
  <c r="BR945" i="1" s="1"/>
  <c r="BQ944" i="1"/>
  <c r="BP944" i="1"/>
  <c r="BO944" i="1"/>
  <c r="BN944" i="1"/>
  <c r="BS940" i="1" s="1"/>
  <c r="BL944" i="1"/>
  <c r="BK944" i="1"/>
  <c r="BL940" i="1" s="1"/>
  <c r="BJ944" i="1"/>
  <c r="BJ945" i="1" s="1"/>
  <c r="BI944" i="1"/>
  <c r="BG944" i="1"/>
  <c r="BF944" i="1"/>
  <c r="BE944" i="1"/>
  <c r="BF940" i="1" s="1"/>
  <c r="BD944" i="1"/>
  <c r="BI940" i="1" s="1"/>
  <c r="BB944" i="1"/>
  <c r="BB945" i="1" s="1"/>
  <c r="BA944" i="1"/>
  <c r="AZ944" i="1"/>
  <c r="AY944" i="1"/>
  <c r="AX944" i="1"/>
  <c r="AW944" i="1"/>
  <c r="AW945" i="1" s="1"/>
  <c r="AV944" i="1"/>
  <c r="AW940" i="1" s="1"/>
  <c r="AU944" i="1"/>
  <c r="AT944" i="1"/>
  <c r="AS944" i="1"/>
  <c r="AR944" i="1"/>
  <c r="AS940" i="1" s="1"/>
  <c r="AQ944" i="1"/>
  <c r="AP944" i="1"/>
  <c r="AO944" i="1"/>
  <c r="CF941" i="1"/>
  <c r="CE941" i="1"/>
  <c r="CD941" i="1"/>
  <c r="CB941" i="1"/>
  <c r="CA941" i="1"/>
  <c r="BZ941" i="1"/>
  <c r="BY941" i="1"/>
  <c r="BW941" i="1"/>
  <c r="BV941" i="1"/>
  <c r="BU941" i="1"/>
  <c r="BT941" i="1"/>
  <c r="BS941" i="1"/>
  <c r="BQ941" i="1"/>
  <c r="BP941" i="1"/>
  <c r="BO941" i="1"/>
  <c r="BN941" i="1"/>
  <c r="BL941" i="1"/>
  <c r="BK941" i="1"/>
  <c r="BJ941" i="1"/>
  <c r="BI941" i="1"/>
  <c r="BG941" i="1"/>
  <c r="BF941" i="1"/>
  <c r="BE941" i="1"/>
  <c r="BD941" i="1"/>
  <c r="BB941" i="1"/>
  <c r="BA941" i="1"/>
  <c r="AZ941" i="1"/>
  <c r="AY941" i="1"/>
  <c r="AW941" i="1"/>
  <c r="AV941" i="1"/>
  <c r="AU941" i="1"/>
  <c r="AT941" i="1"/>
  <c r="AR941" i="1"/>
  <c r="AQ941" i="1"/>
  <c r="AP941" i="1"/>
  <c r="AO941" i="1"/>
  <c r="BE940" i="1"/>
  <c r="AT940" i="1"/>
  <c r="AT957" i="1" s="1"/>
  <c r="BT935" i="1"/>
  <c r="BU931" i="1" s="1"/>
  <c r="BS935" i="1"/>
  <c r="BX931" i="1" s="1"/>
  <c r="BR935" i="1"/>
  <c r="BQ935" i="1"/>
  <c r="BP935" i="1"/>
  <c r="BO935" i="1"/>
  <c r="BN935" i="1"/>
  <c r="BS931" i="1" s="1"/>
  <c r="BM935" i="1"/>
  <c r="BL935" i="1"/>
  <c r="BK935" i="1"/>
  <c r="BJ935" i="1"/>
  <c r="BK931" i="1" s="1"/>
  <c r="BI935" i="1"/>
  <c r="BJ931" i="1" s="1"/>
  <c r="BH935" i="1"/>
  <c r="BG935" i="1"/>
  <c r="BH931" i="1" s="1"/>
  <c r="BF935" i="1"/>
  <c r="BE935" i="1"/>
  <c r="BD935" i="1"/>
  <c r="BI931" i="1" s="1"/>
  <c r="BB935" i="1"/>
  <c r="BC931" i="1" s="1"/>
  <c r="BA935" i="1"/>
  <c r="BB931" i="1" s="1"/>
  <c r="AZ935" i="1"/>
  <c r="BA931" i="1" s="1"/>
  <c r="AY935" i="1"/>
  <c r="AW935" i="1"/>
  <c r="AV935" i="1"/>
  <c r="AW931" i="1" s="1"/>
  <c r="AU935" i="1"/>
  <c r="AT935" i="1"/>
  <c r="BR933" i="1"/>
  <c r="BR941" i="1" s="1"/>
  <c r="BM933" i="1"/>
  <c r="BM941" i="1" s="1"/>
  <c r="BH933" i="1"/>
  <c r="BH941" i="1" s="1"/>
  <c r="BC933" i="1"/>
  <c r="BC941" i="1" s="1"/>
  <c r="AX933" i="1"/>
  <c r="AX941" i="1" s="1"/>
  <c r="AS933" i="1"/>
  <c r="AS941" i="1" s="1"/>
  <c r="BP931" i="1"/>
  <c r="BM931" i="1"/>
  <c r="BL931" i="1"/>
  <c r="BE931" i="1"/>
  <c r="AY931" i="1"/>
  <c r="AV931" i="1"/>
  <c r="AU931" i="1"/>
  <c r="AT931" i="1"/>
  <c r="AS931" i="1"/>
  <c r="AR931" i="1"/>
  <c r="AQ931" i="1"/>
  <c r="AP931" i="1"/>
  <c r="BD928" i="1"/>
  <c r="CC927" i="1"/>
  <c r="BX927" i="1"/>
  <c r="BS925" i="1"/>
  <c r="BR925" i="1"/>
  <c r="BS903" i="1"/>
  <c r="BN903" i="1"/>
  <c r="BI903" i="1"/>
  <c r="BS902" i="1"/>
  <c r="BN902" i="1"/>
  <c r="BI902" i="1"/>
  <c r="BD902" i="1"/>
  <c r="CC895" i="1"/>
  <c r="BX895" i="1"/>
  <c r="BS872" i="1"/>
  <c r="BN872" i="1"/>
  <c r="BI872" i="1"/>
  <c r="BS871" i="1"/>
  <c r="BN871" i="1"/>
  <c r="BI871" i="1"/>
  <c r="BD871" i="1"/>
  <c r="CF870" i="1"/>
  <c r="CE870" i="1"/>
  <c r="CD870" i="1"/>
  <c r="CB870" i="1"/>
  <c r="CA870" i="1"/>
  <c r="BZ870" i="1"/>
  <c r="BY870" i="1"/>
  <c r="BW870" i="1"/>
  <c r="BV870" i="1"/>
  <c r="BU870" i="1"/>
  <c r="BT864" i="1"/>
  <c r="BS864" i="1"/>
  <c r="BQ864" i="1"/>
  <c r="BP864" i="1"/>
  <c r="BO864" i="1"/>
  <c r="BN864" i="1"/>
  <c r="BL864" i="1"/>
  <c r="BK864" i="1"/>
  <c r="BJ864" i="1"/>
  <c r="BI864" i="1"/>
  <c r="BH864" i="1"/>
  <c r="BG864" i="1"/>
  <c r="BF864" i="1"/>
  <c r="BE864" i="1"/>
  <c r="BD864" i="1"/>
  <c r="BB864" i="1"/>
  <c r="BA864" i="1"/>
  <c r="AZ864" i="1"/>
  <c r="BT863" i="1"/>
  <c r="BS863" i="1"/>
  <c r="BQ863" i="1"/>
  <c r="BP863" i="1"/>
  <c r="BO863" i="1"/>
  <c r="BN863" i="1"/>
  <c r="BL863" i="1"/>
  <c r="BK863" i="1"/>
  <c r="BJ863" i="1"/>
  <c r="BI863" i="1"/>
  <c r="BG863" i="1"/>
  <c r="BF863" i="1"/>
  <c r="BE863" i="1"/>
  <c r="BD863" i="1"/>
  <c r="BB863" i="1"/>
  <c r="BA863" i="1"/>
  <c r="AZ863" i="1"/>
  <c r="BT862" i="1"/>
  <c r="BS862" i="1"/>
  <c r="BP862" i="1"/>
  <c r="BO862" i="1"/>
  <c r="BN862" i="1"/>
  <c r="BK862" i="1"/>
  <c r="BJ862" i="1"/>
  <c r="BI862" i="1"/>
  <c r="BG862" i="1"/>
  <c r="BF862" i="1"/>
  <c r="BE862" i="1"/>
  <c r="BD862" i="1"/>
  <c r="BB862" i="1"/>
  <c r="BA862" i="1"/>
  <c r="AZ862" i="1"/>
  <c r="AY862" i="1"/>
  <c r="AW862" i="1"/>
  <c r="AV862" i="1"/>
  <c r="AU862" i="1"/>
  <c r="AT862" i="1"/>
  <c r="AR862" i="1"/>
  <c r="AQ862" i="1"/>
  <c r="AP862" i="1"/>
  <c r="BN861" i="1"/>
  <c r="BT860" i="1"/>
  <c r="BT861" i="1" s="1"/>
  <c r="BS860" i="1"/>
  <c r="BS861" i="1" s="1"/>
  <c r="BP860" i="1"/>
  <c r="BP861" i="1" s="1"/>
  <c r="BO860" i="1"/>
  <c r="BO861" i="1" s="1"/>
  <c r="BN860" i="1"/>
  <c r="BK860" i="1"/>
  <c r="BK861" i="1" s="1"/>
  <c r="BJ860" i="1"/>
  <c r="BJ861" i="1" s="1"/>
  <c r="BI860" i="1"/>
  <c r="BI861" i="1" s="1"/>
  <c r="BG860" i="1"/>
  <c r="BG861" i="1" s="1"/>
  <c r="BF860" i="1"/>
  <c r="BF861" i="1" s="1"/>
  <c r="BE860" i="1"/>
  <c r="BE861" i="1" s="1"/>
  <c r="BD860" i="1"/>
  <c r="BD861" i="1" s="1"/>
  <c r="BB860" i="1"/>
  <c r="BB861" i="1" s="1"/>
  <c r="BA860" i="1"/>
  <c r="BA861" i="1" s="1"/>
  <c r="AZ860" i="1"/>
  <c r="AZ861" i="1" s="1"/>
  <c r="AY860" i="1"/>
  <c r="AY861" i="1" s="1"/>
  <c r="AW860" i="1"/>
  <c r="AW861" i="1" s="1"/>
  <c r="AV860" i="1"/>
  <c r="AV861" i="1" s="1"/>
  <c r="AU860" i="1"/>
  <c r="AU861" i="1" s="1"/>
  <c r="AT860" i="1"/>
  <c r="AT861" i="1" s="1"/>
  <c r="AR860" i="1"/>
  <c r="AR861" i="1" s="1"/>
  <c r="AQ860" i="1"/>
  <c r="AQ861" i="1" s="1"/>
  <c r="AP860" i="1"/>
  <c r="AP861" i="1" s="1"/>
  <c r="BT859" i="1"/>
  <c r="BS859" i="1"/>
  <c r="BP859" i="1"/>
  <c r="BO859" i="1"/>
  <c r="BN859" i="1"/>
  <c r="BK859" i="1"/>
  <c r="BJ859" i="1"/>
  <c r="BI859" i="1"/>
  <c r="BG859" i="1"/>
  <c r="BF859" i="1"/>
  <c r="BE859" i="1"/>
  <c r="BD859" i="1"/>
  <c r="BB859" i="1"/>
  <c r="BA859" i="1"/>
  <c r="AZ859" i="1"/>
  <c r="AY859" i="1"/>
  <c r="AW859" i="1"/>
  <c r="AV859" i="1"/>
  <c r="AU859" i="1"/>
  <c r="AT859" i="1"/>
  <c r="AR859" i="1"/>
  <c r="AQ859" i="1"/>
  <c r="AP859" i="1"/>
  <c r="BD858" i="1"/>
  <c r="AW858" i="1"/>
  <c r="AQ858" i="1"/>
  <c r="BT857" i="1"/>
  <c r="BT858" i="1" s="1"/>
  <c r="BS857" i="1"/>
  <c r="BS858" i="1" s="1"/>
  <c r="BP857" i="1"/>
  <c r="BP858" i="1" s="1"/>
  <c r="BO857" i="1"/>
  <c r="BO858" i="1" s="1"/>
  <c r="BN857" i="1"/>
  <c r="BN858" i="1" s="1"/>
  <c r="BK857" i="1"/>
  <c r="BK858" i="1" s="1"/>
  <c r="BJ857" i="1"/>
  <c r="BJ858" i="1" s="1"/>
  <c r="BI857" i="1"/>
  <c r="BI858" i="1" s="1"/>
  <c r="BG857" i="1"/>
  <c r="BG858" i="1" s="1"/>
  <c r="BF857" i="1"/>
  <c r="BF858" i="1" s="1"/>
  <c r="BE857" i="1"/>
  <c r="BE858" i="1" s="1"/>
  <c r="BD857" i="1"/>
  <c r="BB857" i="1"/>
  <c r="BB858" i="1" s="1"/>
  <c r="BA857" i="1"/>
  <c r="BA858" i="1" s="1"/>
  <c r="AZ857" i="1"/>
  <c r="AZ858" i="1" s="1"/>
  <c r="AY857" i="1"/>
  <c r="AY858" i="1" s="1"/>
  <c r="AW857" i="1"/>
  <c r="AV857" i="1"/>
  <c r="AV858" i="1" s="1"/>
  <c r="AU857" i="1"/>
  <c r="AU858" i="1" s="1"/>
  <c r="AT857" i="1"/>
  <c r="AT858" i="1" s="1"/>
  <c r="AS857" i="1"/>
  <c r="AS858" i="1" s="1"/>
  <c r="AR857" i="1"/>
  <c r="AR858" i="1" s="1"/>
  <c r="AQ857" i="1"/>
  <c r="AP857" i="1"/>
  <c r="AP858" i="1" s="1"/>
  <c r="BT856" i="1"/>
  <c r="BS856" i="1"/>
  <c r="BP856" i="1"/>
  <c r="BO856" i="1"/>
  <c r="BN856" i="1"/>
  <c r="BK856" i="1"/>
  <c r="BJ856" i="1"/>
  <c r="BI856" i="1"/>
  <c r="BG856" i="1"/>
  <c r="BF856" i="1"/>
  <c r="BE856" i="1"/>
  <c r="BD856" i="1"/>
  <c r="BC856" i="1"/>
  <c r="BB856" i="1"/>
  <c r="BA856" i="1"/>
  <c r="AZ856" i="1"/>
  <c r="AY856" i="1"/>
  <c r="AW856" i="1"/>
  <c r="AV856" i="1"/>
  <c r="AU856" i="1"/>
  <c r="AT856" i="1"/>
  <c r="AR856" i="1"/>
  <c r="AQ856" i="1"/>
  <c r="AP856" i="1"/>
  <c r="BN855" i="1"/>
  <c r="BT854" i="1"/>
  <c r="BT855" i="1" s="1"/>
  <c r="BS854" i="1"/>
  <c r="BS855" i="1" s="1"/>
  <c r="BP854" i="1"/>
  <c r="BP855" i="1" s="1"/>
  <c r="BO854" i="1"/>
  <c r="BO855" i="1" s="1"/>
  <c r="BN854" i="1"/>
  <c r="BK854" i="1"/>
  <c r="BK855" i="1" s="1"/>
  <c r="BJ854" i="1"/>
  <c r="BJ855" i="1" s="1"/>
  <c r="BI854" i="1"/>
  <c r="BI855" i="1" s="1"/>
  <c r="BG854" i="1"/>
  <c r="BG855" i="1" s="1"/>
  <c r="BF854" i="1"/>
  <c r="BF855" i="1" s="1"/>
  <c r="BE854" i="1"/>
  <c r="BE855" i="1" s="1"/>
  <c r="BD854" i="1"/>
  <c r="BD855" i="1" s="1"/>
  <c r="BB854" i="1"/>
  <c r="BB855" i="1" s="1"/>
  <c r="BA854" i="1"/>
  <c r="BA855" i="1" s="1"/>
  <c r="AZ854" i="1"/>
  <c r="AZ855" i="1" s="1"/>
  <c r="AY854" i="1"/>
  <c r="AY855" i="1" s="1"/>
  <c r="AW854" i="1"/>
  <c r="AW855" i="1" s="1"/>
  <c r="AV854" i="1"/>
  <c r="AV855" i="1" s="1"/>
  <c r="AU854" i="1"/>
  <c r="AU855" i="1" s="1"/>
  <c r="AT854" i="1"/>
  <c r="AT855" i="1" s="1"/>
  <c r="AR854" i="1"/>
  <c r="AR855" i="1" s="1"/>
  <c r="AQ854" i="1"/>
  <c r="AQ855" i="1" s="1"/>
  <c r="AP854" i="1"/>
  <c r="AP855" i="1" s="1"/>
  <c r="BT853" i="1"/>
  <c r="BS853" i="1"/>
  <c r="BP853" i="1"/>
  <c r="BO853" i="1"/>
  <c r="BN853" i="1"/>
  <c r="BK853" i="1"/>
  <c r="BJ853" i="1"/>
  <c r="BI853" i="1"/>
  <c r="BG853" i="1"/>
  <c r="BF853" i="1"/>
  <c r="BE853" i="1"/>
  <c r="BD853" i="1"/>
  <c r="BB853" i="1"/>
  <c r="BA853" i="1"/>
  <c r="AZ853" i="1"/>
  <c r="AY853" i="1"/>
  <c r="AW853" i="1"/>
  <c r="AV853" i="1"/>
  <c r="AU853" i="1"/>
  <c r="AT853" i="1"/>
  <c r="AR853" i="1"/>
  <c r="AQ853" i="1"/>
  <c r="AP853" i="1"/>
  <c r="BT852" i="1"/>
  <c r="BS852" i="1"/>
  <c r="BP852" i="1"/>
  <c r="BO852" i="1"/>
  <c r="BN852" i="1"/>
  <c r="BK852" i="1"/>
  <c r="BJ852" i="1"/>
  <c r="BI852" i="1"/>
  <c r="BH852" i="1"/>
  <c r="BG852" i="1"/>
  <c r="BF852" i="1"/>
  <c r="BE852" i="1"/>
  <c r="BD852" i="1"/>
  <c r="BB852" i="1"/>
  <c r="BA852" i="1"/>
  <c r="AZ852" i="1"/>
  <c r="AY852" i="1"/>
  <c r="AW852" i="1"/>
  <c r="AV852" i="1"/>
  <c r="AU852" i="1"/>
  <c r="AT852" i="1"/>
  <c r="AR852" i="1"/>
  <c r="AQ852" i="1"/>
  <c r="AP852" i="1"/>
  <c r="BT850" i="1"/>
  <c r="BS850" i="1"/>
  <c r="BS851" i="1" s="1"/>
  <c r="BP850" i="1"/>
  <c r="BP851" i="1" s="1"/>
  <c r="BO850" i="1"/>
  <c r="BO851" i="1" s="1"/>
  <c r="BN850" i="1"/>
  <c r="BN851" i="1" s="1"/>
  <c r="BK850" i="1"/>
  <c r="BK851" i="1" s="1"/>
  <c r="BJ850" i="1"/>
  <c r="BJ851" i="1" s="1"/>
  <c r="BI850" i="1"/>
  <c r="BI851" i="1" s="1"/>
  <c r="BG850" i="1"/>
  <c r="BG851" i="1" s="1"/>
  <c r="BF850" i="1"/>
  <c r="BF851" i="1" s="1"/>
  <c r="BE850" i="1"/>
  <c r="BE851" i="1" s="1"/>
  <c r="BD850" i="1"/>
  <c r="BD851" i="1" s="1"/>
  <c r="BB850" i="1"/>
  <c r="BB851" i="1" s="1"/>
  <c r="BA850" i="1"/>
  <c r="BA851" i="1" s="1"/>
  <c r="AZ850" i="1"/>
  <c r="AZ851" i="1" s="1"/>
  <c r="AY850" i="1"/>
  <c r="AY851" i="1" s="1"/>
  <c r="AW850" i="1"/>
  <c r="AW851" i="1" s="1"/>
  <c r="AV850" i="1"/>
  <c r="AV851" i="1" s="1"/>
  <c r="AU850" i="1"/>
  <c r="AU851" i="1" s="1"/>
  <c r="AT850" i="1"/>
  <c r="AT851" i="1" s="1"/>
  <c r="AR850" i="1"/>
  <c r="AR851" i="1" s="1"/>
  <c r="AQ850" i="1"/>
  <c r="AQ851" i="1" s="1"/>
  <c r="AP850" i="1"/>
  <c r="AP851" i="1" s="1"/>
  <c r="BT849" i="1"/>
  <c r="BS849" i="1"/>
  <c r="BP849" i="1"/>
  <c r="BO849" i="1"/>
  <c r="BN849" i="1"/>
  <c r="BK849" i="1"/>
  <c r="BJ849" i="1"/>
  <c r="BI849" i="1"/>
  <c r="BG849" i="1"/>
  <c r="BF849" i="1"/>
  <c r="BE849" i="1"/>
  <c r="BD849" i="1"/>
  <c r="BB849" i="1"/>
  <c r="BA849" i="1"/>
  <c r="AZ849" i="1"/>
  <c r="AY849" i="1"/>
  <c r="AW849" i="1"/>
  <c r="AV849" i="1"/>
  <c r="AU849" i="1"/>
  <c r="AT849" i="1"/>
  <c r="AR849" i="1"/>
  <c r="AQ849" i="1"/>
  <c r="AP849" i="1"/>
  <c r="BS848" i="1"/>
  <c r="BP848" i="1"/>
  <c r="BO848" i="1"/>
  <c r="BN848" i="1"/>
  <c r="BK848" i="1"/>
  <c r="BJ848" i="1"/>
  <c r="BI848" i="1"/>
  <c r="BG848" i="1"/>
  <c r="BF848" i="1"/>
  <c r="BE848" i="1"/>
  <c r="BD848" i="1"/>
  <c r="BB848" i="1"/>
  <c r="BA848" i="1"/>
  <c r="AZ848" i="1"/>
  <c r="AY848" i="1"/>
  <c r="AW848" i="1"/>
  <c r="AV848" i="1"/>
  <c r="AU848" i="1"/>
  <c r="AT848" i="1"/>
  <c r="AS848" i="1"/>
  <c r="AR848" i="1"/>
  <c r="AQ848" i="1"/>
  <c r="BS847" i="1"/>
  <c r="BP847" i="1"/>
  <c r="BF847" i="1"/>
  <c r="BD847" i="1"/>
  <c r="AZ847" i="1"/>
  <c r="BS846" i="1"/>
  <c r="BP846" i="1"/>
  <c r="BO846" i="1"/>
  <c r="BO847" i="1" s="1"/>
  <c r="BN846" i="1"/>
  <c r="BN847" i="1" s="1"/>
  <c r="BK846" i="1"/>
  <c r="BK847" i="1" s="1"/>
  <c r="BJ846" i="1"/>
  <c r="BJ847" i="1" s="1"/>
  <c r="BI846" i="1"/>
  <c r="BI847" i="1" s="1"/>
  <c r="BG846" i="1"/>
  <c r="BG847" i="1" s="1"/>
  <c r="BF846" i="1"/>
  <c r="BE846" i="1"/>
  <c r="BE847" i="1" s="1"/>
  <c r="BD846" i="1"/>
  <c r="BB846" i="1"/>
  <c r="BB847" i="1" s="1"/>
  <c r="BA846" i="1"/>
  <c r="BA847" i="1" s="1"/>
  <c r="AZ846" i="1"/>
  <c r="AY846" i="1"/>
  <c r="AY847" i="1" s="1"/>
  <c r="AW846" i="1"/>
  <c r="AW847" i="1" s="1"/>
  <c r="AV846" i="1"/>
  <c r="AV847" i="1" s="1"/>
  <c r="AU846" i="1"/>
  <c r="AU847" i="1" s="1"/>
  <c r="AT846" i="1"/>
  <c r="AT847" i="1" s="1"/>
  <c r="AR846" i="1"/>
  <c r="AR847" i="1" s="1"/>
  <c r="AQ846" i="1"/>
  <c r="AQ847" i="1" s="1"/>
  <c r="BS845" i="1"/>
  <c r="BP845" i="1"/>
  <c r="BO845" i="1"/>
  <c r="BN845" i="1"/>
  <c r="BK845" i="1"/>
  <c r="BJ845" i="1"/>
  <c r="BI845" i="1"/>
  <c r="BH845" i="1"/>
  <c r="BG845" i="1"/>
  <c r="BF845" i="1"/>
  <c r="BE845" i="1"/>
  <c r="BD845" i="1"/>
  <c r="BB845" i="1"/>
  <c r="BA845" i="1"/>
  <c r="AZ845" i="1"/>
  <c r="AY845" i="1"/>
  <c r="AW845" i="1"/>
  <c r="AV845" i="1"/>
  <c r="AU845" i="1"/>
  <c r="AT845" i="1"/>
  <c r="AR845" i="1"/>
  <c r="AQ845" i="1"/>
  <c r="AP845" i="1"/>
  <c r="BS844" i="1"/>
  <c r="BP844" i="1"/>
  <c r="BO844" i="1"/>
  <c r="BN844" i="1"/>
  <c r="BK844" i="1"/>
  <c r="BJ844" i="1"/>
  <c r="BI844" i="1"/>
  <c r="BH844" i="1"/>
  <c r="BG844" i="1"/>
  <c r="BF844" i="1"/>
  <c r="BE844" i="1"/>
  <c r="BD844" i="1"/>
  <c r="BB844" i="1"/>
  <c r="BA844" i="1"/>
  <c r="AZ844" i="1"/>
  <c r="AY844" i="1"/>
  <c r="AW844" i="1"/>
  <c r="AV844" i="1"/>
  <c r="AU844" i="1"/>
  <c r="AT844" i="1"/>
  <c r="AR844" i="1"/>
  <c r="AQ844" i="1"/>
  <c r="AP844" i="1"/>
  <c r="BS843" i="1"/>
  <c r="BN843" i="1"/>
  <c r="BI843" i="1"/>
  <c r="BD843" i="1"/>
  <c r="AZ843" i="1"/>
  <c r="AY843" i="1"/>
  <c r="AW843" i="1"/>
  <c r="AV843" i="1"/>
  <c r="AU843" i="1"/>
  <c r="AT843" i="1"/>
  <c r="AR843" i="1"/>
  <c r="AQ843" i="1"/>
  <c r="AP843" i="1"/>
  <c r="BS842" i="1"/>
  <c r="BN842" i="1"/>
  <c r="BI842" i="1"/>
  <c r="BD842" i="1"/>
  <c r="AY842" i="1"/>
  <c r="AU842" i="1"/>
  <c r="AT842" i="1"/>
  <c r="AR842" i="1"/>
  <c r="AQ842" i="1"/>
  <c r="AP842" i="1"/>
  <c r="CC841" i="1"/>
  <c r="BX841" i="1"/>
  <c r="BT841" i="1"/>
  <c r="BS841" i="1"/>
  <c r="BQ841" i="1"/>
  <c r="BP841" i="1"/>
  <c r="BO841" i="1"/>
  <c r="BN841" i="1"/>
  <c r="BL841" i="1"/>
  <c r="BK841" i="1"/>
  <c r="BJ841" i="1"/>
  <c r="BI841" i="1"/>
  <c r="BG841" i="1"/>
  <c r="BF841" i="1"/>
  <c r="BE841" i="1"/>
  <c r="BD841" i="1"/>
  <c r="BB841" i="1"/>
  <c r="BB901" i="1" s="1"/>
  <c r="BA841" i="1"/>
  <c r="AZ841" i="1"/>
  <c r="AY841" i="1"/>
  <c r="AW841" i="1"/>
  <c r="AV841" i="1"/>
  <c r="AU841" i="1"/>
  <c r="AT841" i="1"/>
  <c r="AR841" i="1"/>
  <c r="AQ841" i="1"/>
  <c r="AP841" i="1"/>
  <c r="AW838" i="1"/>
  <c r="AO838" i="1"/>
  <c r="AO839" i="1" s="1"/>
  <c r="BO837" i="1"/>
  <c r="BU836" i="1"/>
  <c r="BR836" i="1"/>
  <c r="BR781" i="1" s="1"/>
  <c r="BQ836" i="1"/>
  <c r="BQ781" i="1" s="1"/>
  <c r="BM836" i="1"/>
  <c r="BM781" i="1" s="1"/>
  <c r="BL836" i="1"/>
  <c r="BL781" i="1" s="1"/>
  <c r="BH836" i="1"/>
  <c r="BH781" i="1" s="1"/>
  <c r="BC836" i="1"/>
  <c r="AX836" i="1"/>
  <c r="AS836" i="1"/>
  <c r="AS781" i="1" s="1"/>
  <c r="AN836" i="1"/>
  <c r="BT835" i="1"/>
  <c r="BT837" i="1" s="1"/>
  <c r="BS835" i="1"/>
  <c r="BS837" i="1" s="1"/>
  <c r="BQ835" i="1"/>
  <c r="BP835" i="1"/>
  <c r="BP837" i="1" s="1"/>
  <c r="BO835" i="1"/>
  <c r="BN835" i="1"/>
  <c r="BN837" i="1" s="1"/>
  <c r="BL835" i="1"/>
  <c r="BK835" i="1"/>
  <c r="BK837" i="1" s="1"/>
  <c r="BJ835" i="1"/>
  <c r="BJ837" i="1" s="1"/>
  <c r="BI835" i="1"/>
  <c r="BI837" i="1" s="1"/>
  <c r="BG835" i="1"/>
  <c r="BG837" i="1" s="1"/>
  <c r="BF835" i="1"/>
  <c r="BF837" i="1" s="1"/>
  <c r="BE835" i="1"/>
  <c r="BE837" i="1" s="1"/>
  <c r="BD835" i="1"/>
  <c r="BD837" i="1" s="1"/>
  <c r="BB835" i="1"/>
  <c r="BB837" i="1" s="1"/>
  <c r="BA835" i="1"/>
  <c r="BA837" i="1" s="1"/>
  <c r="AZ835" i="1"/>
  <c r="AZ837" i="1" s="1"/>
  <c r="AY835" i="1"/>
  <c r="AY837" i="1" s="1"/>
  <c r="AW835" i="1"/>
  <c r="AW837" i="1" s="1"/>
  <c r="AV835" i="1"/>
  <c r="AV837" i="1" s="1"/>
  <c r="AU835" i="1"/>
  <c r="AU837" i="1" s="1"/>
  <c r="AT835" i="1"/>
  <c r="AT837" i="1" s="1"/>
  <c r="AR835" i="1"/>
  <c r="AR837" i="1" s="1"/>
  <c r="AQ835" i="1"/>
  <c r="AQ837" i="1" s="1"/>
  <c r="AP835" i="1"/>
  <c r="AP837" i="1" s="1"/>
  <c r="AO835" i="1"/>
  <c r="AO837" i="1" s="1"/>
  <c r="BR834" i="1"/>
  <c r="BM834" i="1"/>
  <c r="BH834" i="1"/>
  <c r="BC834" i="1"/>
  <c r="AX834" i="1"/>
  <c r="AS834" i="1"/>
  <c r="AN834" i="1"/>
  <c r="BR833" i="1"/>
  <c r="BM833" i="1"/>
  <c r="BH833" i="1"/>
  <c r="BC833" i="1"/>
  <c r="BC864" i="1" s="1"/>
  <c r="AX833" i="1"/>
  <c r="BR832" i="1"/>
  <c r="BM832" i="1"/>
  <c r="BH832" i="1"/>
  <c r="BH863" i="1" s="1"/>
  <c r="BC832" i="1"/>
  <c r="BC863" i="1" s="1"/>
  <c r="AX832" i="1"/>
  <c r="BR831" i="1"/>
  <c r="BM831" i="1"/>
  <c r="BH831" i="1"/>
  <c r="BH862" i="1" s="1"/>
  <c r="BC831" i="1"/>
  <c r="BC862" i="1" s="1"/>
  <c r="AX831" i="1"/>
  <c r="AX862" i="1" s="1"/>
  <c r="AS831" i="1"/>
  <c r="AS862" i="1" s="1"/>
  <c r="AN831" i="1"/>
  <c r="BR830" i="1"/>
  <c r="BM830" i="1"/>
  <c r="BH830" i="1"/>
  <c r="BC830" i="1"/>
  <c r="AX830" i="1"/>
  <c r="AS830" i="1"/>
  <c r="AN830" i="1"/>
  <c r="BR829" i="1"/>
  <c r="BM829" i="1"/>
  <c r="BH829" i="1"/>
  <c r="BC829" i="1"/>
  <c r="AX829" i="1"/>
  <c r="AS829" i="1"/>
  <c r="AS860" i="1" s="1"/>
  <c r="AS861" i="1" s="1"/>
  <c r="AN829" i="1"/>
  <c r="BR828" i="1"/>
  <c r="BM828" i="1"/>
  <c r="BH828" i="1"/>
  <c r="BH859" i="1" s="1"/>
  <c r="BC828" i="1"/>
  <c r="BC859" i="1" s="1"/>
  <c r="AX828" i="1"/>
  <c r="AX859" i="1" s="1"/>
  <c r="AS828" i="1"/>
  <c r="AN828" i="1"/>
  <c r="BR827" i="1"/>
  <c r="BM827" i="1"/>
  <c r="BH827" i="1"/>
  <c r="BC827" i="1"/>
  <c r="AX827" i="1"/>
  <c r="AS827" i="1"/>
  <c r="AN827" i="1"/>
  <c r="BR826" i="1"/>
  <c r="BM826" i="1"/>
  <c r="BH826" i="1"/>
  <c r="BC826" i="1"/>
  <c r="BC857" i="1" s="1"/>
  <c r="BC858" i="1" s="1"/>
  <c r="AX826" i="1"/>
  <c r="AX857" i="1" s="1"/>
  <c r="AX858" i="1" s="1"/>
  <c r="AS826" i="1"/>
  <c r="AN826" i="1"/>
  <c r="BR825" i="1"/>
  <c r="BM825" i="1"/>
  <c r="BH825" i="1"/>
  <c r="BH856" i="1" s="1"/>
  <c r="BC825" i="1"/>
  <c r="AX825" i="1"/>
  <c r="AX856" i="1" s="1"/>
  <c r="AS825" i="1"/>
  <c r="AS856" i="1" s="1"/>
  <c r="AN825" i="1"/>
  <c r="BR824" i="1"/>
  <c r="BM824" i="1"/>
  <c r="BH824" i="1"/>
  <c r="BC824" i="1"/>
  <c r="AX824" i="1"/>
  <c r="AS824" i="1"/>
  <c r="AN824" i="1"/>
  <c r="BR823" i="1"/>
  <c r="BM823" i="1"/>
  <c r="BH823" i="1"/>
  <c r="BC823" i="1"/>
  <c r="BC854" i="1" s="1"/>
  <c r="BC855" i="1" s="1"/>
  <c r="AX823" i="1"/>
  <c r="AX854" i="1" s="1"/>
  <c r="AX855" i="1" s="1"/>
  <c r="AS823" i="1"/>
  <c r="AS854" i="1" s="1"/>
  <c r="AS855" i="1" s="1"/>
  <c r="AN823" i="1"/>
  <c r="BR822" i="1"/>
  <c r="BM822" i="1"/>
  <c r="BH822" i="1"/>
  <c r="BH853" i="1" s="1"/>
  <c r="BC822" i="1"/>
  <c r="AX822" i="1"/>
  <c r="AX853" i="1" s="1"/>
  <c r="AS822" i="1"/>
  <c r="AN822" i="1"/>
  <c r="BR821" i="1"/>
  <c r="BM821" i="1"/>
  <c r="BH821" i="1"/>
  <c r="BC821" i="1"/>
  <c r="AX821" i="1"/>
  <c r="AX852" i="1" s="1"/>
  <c r="AS821" i="1"/>
  <c r="AS852" i="1" s="1"/>
  <c r="AN821" i="1"/>
  <c r="BR820" i="1"/>
  <c r="BM820" i="1"/>
  <c r="BH820" i="1"/>
  <c r="BC820" i="1"/>
  <c r="AX820" i="1"/>
  <c r="AS820" i="1"/>
  <c r="AN820" i="1"/>
  <c r="BR819" i="1"/>
  <c r="BM819" i="1"/>
  <c r="BH819" i="1"/>
  <c r="BC819" i="1"/>
  <c r="AX819" i="1"/>
  <c r="AX850" i="1" s="1"/>
  <c r="AX851" i="1" s="1"/>
  <c r="AS819" i="1"/>
  <c r="AN819" i="1"/>
  <c r="BR818" i="1"/>
  <c r="BM818" i="1"/>
  <c r="BH818" i="1"/>
  <c r="BC818" i="1"/>
  <c r="BC849" i="1" s="1"/>
  <c r="AX818" i="1"/>
  <c r="AX849" i="1" s="1"/>
  <c r="AS818" i="1"/>
  <c r="AS849" i="1" s="1"/>
  <c r="AN818" i="1"/>
  <c r="BR817" i="1"/>
  <c r="BM817" i="1"/>
  <c r="BH817" i="1"/>
  <c r="BH848" i="1" s="1"/>
  <c r="BC817" i="1"/>
  <c r="AX817" i="1"/>
  <c r="AS817" i="1"/>
  <c r="AN817" i="1"/>
  <c r="BR816" i="1"/>
  <c r="BM816" i="1"/>
  <c r="BH816" i="1"/>
  <c r="BC816" i="1"/>
  <c r="AX816" i="1"/>
  <c r="AS816" i="1"/>
  <c r="AN816" i="1"/>
  <c r="BR815" i="1"/>
  <c r="BM815" i="1"/>
  <c r="BH815" i="1"/>
  <c r="BH846" i="1" s="1"/>
  <c r="BH847" i="1" s="1"/>
  <c r="BC815" i="1"/>
  <c r="BC846" i="1" s="1"/>
  <c r="BC847" i="1" s="1"/>
  <c r="AX815" i="1"/>
  <c r="AX846" i="1" s="1"/>
  <c r="AX847" i="1" s="1"/>
  <c r="AS815" i="1"/>
  <c r="AN815" i="1"/>
  <c r="BR814" i="1"/>
  <c r="BM814" i="1"/>
  <c r="BH814" i="1"/>
  <c r="BC814" i="1"/>
  <c r="AX814" i="1"/>
  <c r="AS814" i="1"/>
  <c r="AN814" i="1"/>
  <c r="BR813" i="1"/>
  <c r="BM813" i="1"/>
  <c r="BH813" i="1"/>
  <c r="BC813" i="1"/>
  <c r="BC844" i="1" s="1"/>
  <c r="AX813" i="1"/>
  <c r="AS813" i="1"/>
  <c r="AS844" i="1" s="1"/>
  <c r="AN813" i="1"/>
  <c r="BC812" i="1"/>
  <c r="AX812" i="1"/>
  <c r="AS812" i="1"/>
  <c r="AS843" i="1" s="1"/>
  <c r="AN812" i="1"/>
  <c r="AS811" i="1"/>
  <c r="AS842" i="1" s="1"/>
  <c r="AN811" i="1"/>
  <c r="BR810" i="1"/>
  <c r="BR790" i="1" s="1"/>
  <c r="BM810" i="1"/>
  <c r="BH810" i="1"/>
  <c r="BC810" i="1"/>
  <c r="AX810" i="1"/>
  <c r="AS810" i="1"/>
  <c r="AS790" i="1" s="1"/>
  <c r="AN810" i="1"/>
  <c r="CF805" i="1"/>
  <c r="CE805" i="1"/>
  <c r="CD805" i="1"/>
  <c r="CC805" i="1"/>
  <c r="CB805" i="1"/>
  <c r="CA805" i="1"/>
  <c r="BZ805" i="1"/>
  <c r="BY805" i="1"/>
  <c r="BW805" i="1"/>
  <c r="BV805" i="1"/>
  <c r="BU805" i="1"/>
  <c r="BN803" i="1"/>
  <c r="BD803" i="1"/>
  <c r="AY803" i="1"/>
  <c r="AO803" i="1"/>
  <c r="AJ803" i="1"/>
  <c r="P803" i="1"/>
  <c r="K803" i="1"/>
  <c r="BD802" i="1"/>
  <c r="AY802" i="1"/>
  <c r="AY928" i="1" s="1"/>
  <c r="AT802" i="1"/>
  <c r="AT928" i="1" s="1"/>
  <c r="AJ802" i="1"/>
  <c r="P802" i="1"/>
  <c r="K802" i="1"/>
  <c r="F802" i="1"/>
  <c r="BT801" i="1"/>
  <c r="BS801" i="1"/>
  <c r="BN801" i="1"/>
  <c r="BL801" i="1"/>
  <c r="BI801" i="1"/>
  <c r="BD801" i="1"/>
  <c r="BB801" i="1"/>
  <c r="AZ801" i="1"/>
  <c r="AY801" i="1"/>
  <c r="AT801" i="1"/>
  <c r="AR801" i="1"/>
  <c r="AP801" i="1"/>
  <c r="AO801" i="1"/>
  <c r="AJ801" i="1"/>
  <c r="AE801" i="1"/>
  <c r="Z801" i="1"/>
  <c r="U801" i="1"/>
  <c r="P801" i="1"/>
  <c r="K801" i="1"/>
  <c r="CC797" i="1"/>
  <c r="CC796" i="1"/>
  <c r="CC1105" i="1" s="1"/>
  <c r="BX796" i="1"/>
  <c r="BX1105" i="1" s="1"/>
  <c r="BT790" i="1"/>
  <c r="BS790" i="1"/>
  <c r="BS791" i="1" s="1"/>
  <c r="BQ790" i="1"/>
  <c r="BP790" i="1"/>
  <c r="BP791" i="1" s="1"/>
  <c r="BO790" i="1"/>
  <c r="BN790" i="1"/>
  <c r="BL790" i="1"/>
  <c r="BK790" i="1"/>
  <c r="BJ790" i="1"/>
  <c r="BI790" i="1"/>
  <c r="BG790" i="1"/>
  <c r="BF790" i="1"/>
  <c r="BE790" i="1"/>
  <c r="BD790" i="1"/>
  <c r="BB790" i="1"/>
  <c r="BA790" i="1"/>
  <c r="AZ790" i="1"/>
  <c r="AZ791" i="1" s="1"/>
  <c r="AY790" i="1"/>
  <c r="AW790" i="1"/>
  <c r="AV790" i="1"/>
  <c r="AU790" i="1"/>
  <c r="AT790" i="1"/>
  <c r="AR790" i="1"/>
  <c r="AQ790" i="1"/>
  <c r="AP790" i="1"/>
  <c r="AP791" i="1" s="1"/>
  <c r="AO790" i="1"/>
  <c r="AN790" i="1"/>
  <c r="BT789" i="1"/>
  <c r="BS789" i="1"/>
  <c r="BQ789" i="1"/>
  <c r="BQ791" i="1" s="1"/>
  <c r="BP789" i="1"/>
  <c r="BO789" i="1"/>
  <c r="BO791" i="1" s="1"/>
  <c r="BN789" i="1"/>
  <c r="BL789" i="1"/>
  <c r="BK789" i="1"/>
  <c r="BK791" i="1" s="1"/>
  <c r="BJ789" i="1"/>
  <c r="BI789" i="1"/>
  <c r="BG789" i="1"/>
  <c r="BG791" i="1" s="1"/>
  <c r="BF789" i="1"/>
  <c r="BE789" i="1"/>
  <c r="BE791" i="1" s="1"/>
  <c r="BD789" i="1"/>
  <c r="BB789" i="1"/>
  <c r="BB791" i="1" s="1"/>
  <c r="BA789" i="1"/>
  <c r="BA791" i="1" s="1"/>
  <c r="AZ789" i="1"/>
  <c r="AY789" i="1"/>
  <c r="AW789" i="1"/>
  <c r="AW791" i="1" s="1"/>
  <c r="AV789" i="1"/>
  <c r="AU789" i="1"/>
  <c r="AU791" i="1" s="1"/>
  <c r="AT789" i="1"/>
  <c r="AR789" i="1"/>
  <c r="AQ789" i="1"/>
  <c r="AP789" i="1"/>
  <c r="AO789" i="1"/>
  <c r="BR788" i="1"/>
  <c r="BR789" i="1" s="1"/>
  <c r="BM788" i="1"/>
  <c r="BM789" i="1" s="1"/>
  <c r="BH788" i="1"/>
  <c r="BC788" i="1"/>
  <c r="AX788" i="1"/>
  <c r="AS788" i="1"/>
  <c r="AN788" i="1"/>
  <c r="AN789" i="1" s="1"/>
  <c r="AN791" i="1" s="1"/>
  <c r="BN785" i="1"/>
  <c r="BB783" i="1"/>
  <c r="BB792" i="1" s="1"/>
  <c r="U783" i="1"/>
  <c r="S783" i="1"/>
  <c r="I783" i="1"/>
  <c r="S782" i="1"/>
  <c r="BT781" i="1"/>
  <c r="BS781" i="1"/>
  <c r="BS782" i="1" s="1"/>
  <c r="BP781" i="1"/>
  <c r="BO781" i="1"/>
  <c r="BN781" i="1"/>
  <c r="BK781" i="1"/>
  <c r="BJ781" i="1"/>
  <c r="BI781" i="1"/>
  <c r="BG781" i="1"/>
  <c r="BF781" i="1"/>
  <c r="BE781" i="1"/>
  <c r="BD781" i="1"/>
  <c r="BC781" i="1"/>
  <c r="BB781" i="1"/>
  <c r="BA781" i="1"/>
  <c r="AZ781" i="1"/>
  <c r="AY781" i="1"/>
  <c r="AX781" i="1"/>
  <c r="AW781" i="1"/>
  <c r="AV781" i="1"/>
  <c r="AU781" i="1"/>
  <c r="AT781" i="1"/>
  <c r="AR781" i="1"/>
  <c r="AQ781" i="1"/>
  <c r="AP781" i="1"/>
  <c r="AO781" i="1"/>
  <c r="AN781" i="1" s="1"/>
  <c r="BQ780" i="1"/>
  <c r="BQ782" i="1" s="1"/>
  <c r="BK780" i="1"/>
  <c r="BK782" i="1" s="1"/>
  <c r="BJ780" i="1"/>
  <c r="BA780" i="1"/>
  <c r="BT779" i="1"/>
  <c r="BT780" i="1" s="1"/>
  <c r="BT782" i="1" s="1"/>
  <c r="BS779" i="1"/>
  <c r="BS780" i="1" s="1"/>
  <c r="BQ779" i="1"/>
  <c r="BP779" i="1"/>
  <c r="BP780" i="1" s="1"/>
  <c r="BP782" i="1" s="1"/>
  <c r="BP784" i="1" s="1"/>
  <c r="BO779" i="1"/>
  <c r="BO780" i="1" s="1"/>
  <c r="BN779" i="1"/>
  <c r="BN780" i="1" s="1"/>
  <c r="BL779" i="1"/>
  <c r="BL780" i="1" s="1"/>
  <c r="BL782" i="1" s="1"/>
  <c r="BK779" i="1"/>
  <c r="BJ779" i="1"/>
  <c r="BI779" i="1"/>
  <c r="BI780" i="1" s="1"/>
  <c r="BG779" i="1"/>
  <c r="BG780" i="1" s="1"/>
  <c r="BF779" i="1"/>
  <c r="BF780" i="1" s="1"/>
  <c r="BF782" i="1" s="1"/>
  <c r="BE779" i="1"/>
  <c r="BE780" i="1" s="1"/>
  <c r="BE782" i="1" s="1"/>
  <c r="BD779" i="1"/>
  <c r="BD780" i="1" s="1"/>
  <c r="BD782" i="1" s="1"/>
  <c r="BB779" i="1"/>
  <c r="BB780" i="1" s="1"/>
  <c r="BB782" i="1" s="1"/>
  <c r="BA779" i="1"/>
  <c r="AZ779" i="1"/>
  <c r="AZ780" i="1" s="1"/>
  <c r="AZ782" i="1" s="1"/>
  <c r="AY779" i="1"/>
  <c r="AY780" i="1" s="1"/>
  <c r="AW779" i="1"/>
  <c r="AW780" i="1" s="1"/>
  <c r="AW782" i="1" s="1"/>
  <c r="AV779" i="1"/>
  <c r="AV780" i="1" s="1"/>
  <c r="AV782" i="1" s="1"/>
  <c r="AU779" i="1"/>
  <c r="AU780" i="1" s="1"/>
  <c r="AT779" i="1"/>
  <c r="AT780" i="1" s="1"/>
  <c r="AT782" i="1" s="1"/>
  <c r="AT784" i="1" s="1"/>
  <c r="AR779" i="1"/>
  <c r="AR780" i="1" s="1"/>
  <c r="AR782" i="1" s="1"/>
  <c r="AQ779" i="1"/>
  <c r="AQ780" i="1" s="1"/>
  <c r="AP779" i="1"/>
  <c r="AP780" i="1" s="1"/>
  <c r="AO779" i="1"/>
  <c r="AO780" i="1" s="1"/>
  <c r="CF776" i="1"/>
  <c r="CE776" i="1"/>
  <c r="CB776" i="1"/>
  <c r="CA776" i="1"/>
  <c r="BZ776" i="1"/>
  <c r="BW776" i="1"/>
  <c r="BV776" i="1"/>
  <c r="BU776" i="1"/>
  <c r="BS776" i="1"/>
  <c r="CC775" i="1"/>
  <c r="CD776" i="1" s="1"/>
  <c r="BX775" i="1"/>
  <c r="BY776" i="1" s="1"/>
  <c r="CC772" i="1"/>
  <c r="BQ772" i="1"/>
  <c r="BP772" i="1"/>
  <c r="BN772" i="1"/>
  <c r="BL772" i="1"/>
  <c r="BI772" i="1"/>
  <c r="BG772" i="1"/>
  <c r="BC772" i="1"/>
  <c r="AY772" i="1"/>
  <c r="AX772" i="1"/>
  <c r="AW772" i="1"/>
  <c r="AQ772" i="1"/>
  <c r="AP772" i="1"/>
  <c r="AO772" i="1"/>
  <c r="AM772" i="1"/>
  <c r="AE772" i="1"/>
  <c r="AC772" i="1"/>
  <c r="AA772" i="1"/>
  <c r="Z772" i="1"/>
  <c r="W772" i="1"/>
  <c r="U772" i="1"/>
  <c r="T772" i="1"/>
  <c r="O772" i="1"/>
  <c r="N772" i="1"/>
  <c r="M772" i="1"/>
  <c r="L772" i="1"/>
  <c r="E772" i="1"/>
  <c r="D772" i="1"/>
  <c r="BT771" i="1"/>
  <c r="BL771" i="1"/>
  <c r="BK771" i="1"/>
  <c r="BF771" i="1"/>
  <c r="BB771" i="1"/>
  <c r="AU771" i="1"/>
  <c r="AR771" i="1"/>
  <c r="AP771" i="1"/>
  <c r="AO771" i="1"/>
  <c r="AI771" i="1"/>
  <c r="AD771" i="1"/>
  <c r="X771" i="1"/>
  <c r="S771" i="1"/>
  <c r="P771" i="1"/>
  <c r="H771" i="1"/>
  <c r="BX770" i="1"/>
  <c r="CA769" i="1"/>
  <c r="BZ769" i="1"/>
  <c r="BY769" i="1"/>
  <c r="BX769" i="1"/>
  <c r="BV769" i="1"/>
  <c r="BU769" i="1"/>
  <c r="BT759" i="1"/>
  <c r="BS759" i="1"/>
  <c r="BQ759" i="1"/>
  <c r="BP759" i="1"/>
  <c r="BO759" i="1"/>
  <c r="BN759" i="1"/>
  <c r="BL759" i="1"/>
  <c r="BK759" i="1"/>
  <c r="BJ759" i="1"/>
  <c r="BI759" i="1"/>
  <c r="BG759" i="1"/>
  <c r="BF759" i="1"/>
  <c r="BE759" i="1"/>
  <c r="BD759" i="1"/>
  <c r="BB759" i="1"/>
  <c r="BA759" i="1"/>
  <c r="AZ759" i="1"/>
  <c r="AY759" i="1"/>
  <c r="AW759" i="1"/>
  <c r="AV759" i="1"/>
  <c r="AU759" i="1"/>
  <c r="AT759" i="1"/>
  <c r="AR759" i="1"/>
  <c r="AQ759" i="1"/>
  <c r="AP759" i="1"/>
  <c r="AO759" i="1"/>
  <c r="AM759" i="1"/>
  <c r="AL759" i="1"/>
  <c r="AK759" i="1"/>
  <c r="AJ759" i="1"/>
  <c r="AH759" i="1"/>
  <c r="AG759" i="1"/>
  <c r="AF759" i="1"/>
  <c r="AE759" i="1"/>
  <c r="AC759" i="1"/>
  <c r="AB759" i="1"/>
  <c r="AA759" i="1"/>
  <c r="Z759" i="1"/>
  <c r="X759" i="1"/>
  <c r="W759" i="1"/>
  <c r="V759" i="1"/>
  <c r="U759" i="1"/>
  <c r="S759" i="1"/>
  <c r="R759" i="1"/>
  <c r="Q759" i="1"/>
  <c r="P759" i="1"/>
  <c r="N759" i="1"/>
  <c r="M759" i="1"/>
  <c r="L759" i="1"/>
  <c r="K759" i="1"/>
  <c r="I759" i="1"/>
  <c r="H759" i="1"/>
  <c r="G759" i="1"/>
  <c r="F759" i="1"/>
  <c r="E759" i="1"/>
  <c r="D759" i="1"/>
  <c r="C759" i="1"/>
  <c r="BT754" i="1"/>
  <c r="BS754" i="1"/>
  <c r="BR754" i="1"/>
  <c r="BQ754" i="1"/>
  <c r="BP754" i="1"/>
  <c r="BO754" i="1"/>
  <c r="BO9" i="9" s="1"/>
  <c r="BN754" i="1"/>
  <c r="BN9" i="9" s="1"/>
  <c r="BL754" i="1"/>
  <c r="BK754" i="1"/>
  <c r="BJ754" i="1"/>
  <c r="BI754" i="1"/>
  <c r="BG754" i="1"/>
  <c r="BF754" i="1"/>
  <c r="BF9" i="9" s="1"/>
  <c r="BE754" i="1"/>
  <c r="BE9" i="9" s="1"/>
  <c r="BD754" i="1"/>
  <c r="BC754" i="1"/>
  <c r="BB754" i="1"/>
  <c r="BA754" i="1"/>
  <c r="AZ754" i="1"/>
  <c r="AY754" i="1"/>
  <c r="AY9" i="9" s="1"/>
  <c r="AX754" i="1"/>
  <c r="AW754" i="1"/>
  <c r="AW9" i="9" s="1"/>
  <c r="AV754" i="1"/>
  <c r="AU754" i="1"/>
  <c r="AT754" i="1"/>
  <c r="AS754" i="1"/>
  <c r="AR754" i="1"/>
  <c r="AQ754" i="1"/>
  <c r="AP754" i="1"/>
  <c r="AP9" i="9" s="1"/>
  <c r="AO754" i="1"/>
  <c r="AO9" i="9" s="1"/>
  <c r="AM754" i="1"/>
  <c r="AM9" i="9" s="1"/>
  <c r="AL754" i="1"/>
  <c r="AK754" i="1"/>
  <c r="AK9" i="9" s="1"/>
  <c r="AJ754" i="1"/>
  <c r="AJ9" i="9" s="1"/>
  <c r="AI754" i="1"/>
  <c r="AI9" i="9" s="1"/>
  <c r="AH754" i="1"/>
  <c r="AH9" i="9" s="1"/>
  <c r="AG754" i="1"/>
  <c r="AG9" i="9" s="1"/>
  <c r="AF754" i="1"/>
  <c r="AF9" i="9" s="1"/>
  <c r="AE754" i="1"/>
  <c r="AE9" i="9" s="1"/>
  <c r="AD754" i="1"/>
  <c r="AD9" i="9" s="1"/>
  <c r="AC754" i="1"/>
  <c r="AB754" i="1"/>
  <c r="AA754" i="1"/>
  <c r="AA9" i="9" s="1"/>
  <c r="Z754" i="1"/>
  <c r="Z9" i="9" s="1"/>
  <c r="Y754" i="1"/>
  <c r="Y9" i="9" s="1"/>
  <c r="X754" i="1"/>
  <c r="X9" i="9" s="1"/>
  <c r="W754" i="1"/>
  <c r="W9" i="9" s="1"/>
  <c r="V754" i="1"/>
  <c r="U754" i="1"/>
  <c r="T754" i="1"/>
  <c r="S754" i="1"/>
  <c r="R754" i="1"/>
  <c r="R9" i="9" s="1"/>
  <c r="Q754" i="1"/>
  <c r="Q9" i="9" s="1"/>
  <c r="P754" i="1"/>
  <c r="P9" i="9" s="1"/>
  <c r="O754" i="1"/>
  <c r="O9" i="9" s="1"/>
  <c r="N754" i="1"/>
  <c r="N9" i="9" s="1"/>
  <c r="M754" i="1"/>
  <c r="M9" i="9" s="1"/>
  <c r="L754" i="1"/>
  <c r="L9" i="9" s="1"/>
  <c r="K754" i="1"/>
  <c r="K9" i="9" s="1"/>
  <c r="J754" i="1"/>
  <c r="J9" i="9" s="1"/>
  <c r="I754" i="1"/>
  <c r="I9" i="9" s="1"/>
  <c r="H754" i="1"/>
  <c r="H9" i="9" s="1"/>
  <c r="G754" i="1"/>
  <c r="G9" i="9" s="1"/>
  <c r="F754" i="1"/>
  <c r="E754" i="1"/>
  <c r="D754" i="1"/>
  <c r="C754" i="1"/>
  <c r="C9" i="9" s="1"/>
  <c r="BT753" i="1"/>
  <c r="BS753" i="1"/>
  <c r="BQ753" i="1"/>
  <c r="BP753" i="1"/>
  <c r="BO753" i="1"/>
  <c r="BN753" i="1"/>
  <c r="BL753" i="1"/>
  <c r="BK753" i="1"/>
  <c r="BJ753" i="1"/>
  <c r="BI753" i="1"/>
  <c r="BG753" i="1"/>
  <c r="BF753" i="1"/>
  <c r="BE753" i="1"/>
  <c r="BD753" i="1"/>
  <c r="BB753" i="1"/>
  <c r="BA753" i="1"/>
  <c r="AZ753" i="1"/>
  <c r="AY753" i="1"/>
  <c r="AW753" i="1"/>
  <c r="AV753" i="1"/>
  <c r="AU753" i="1"/>
  <c r="AT753" i="1"/>
  <c r="AR753" i="1"/>
  <c r="AQ753" i="1"/>
  <c r="AP753" i="1"/>
  <c r="AO753" i="1"/>
  <c r="AN753" i="1"/>
  <c r="AM753" i="1"/>
  <c r="AM782" i="1" s="1"/>
  <c r="AL753" i="1"/>
  <c r="AL782" i="1" s="1"/>
  <c r="AK753" i="1"/>
  <c r="AJ753" i="1"/>
  <c r="AJ8" i="9" s="1"/>
  <c r="AI753" i="1"/>
  <c r="AH753" i="1"/>
  <c r="AG753" i="1"/>
  <c r="AF753" i="1"/>
  <c r="AE753" i="1"/>
  <c r="AE782" i="1" s="1"/>
  <c r="AD753" i="1"/>
  <c r="AC753" i="1"/>
  <c r="AC782" i="1" s="1"/>
  <c r="AC784" i="1" s="1"/>
  <c r="AB753" i="1"/>
  <c r="AA753" i="1"/>
  <c r="Z753" i="1"/>
  <c r="Y753" i="1"/>
  <c r="X753" i="1"/>
  <c r="W753" i="1"/>
  <c r="W782" i="1" s="1"/>
  <c r="V753" i="1"/>
  <c r="V782" i="1" s="1"/>
  <c r="U753" i="1"/>
  <c r="U8" i="9" s="1"/>
  <c r="T753" i="1"/>
  <c r="S753" i="1"/>
  <c r="R753" i="1"/>
  <c r="Q753" i="1"/>
  <c r="P753" i="1"/>
  <c r="O753" i="1"/>
  <c r="O782" i="1" s="1"/>
  <c r="N753" i="1"/>
  <c r="N782" i="1" s="1"/>
  <c r="N784" i="1" s="1"/>
  <c r="M753" i="1"/>
  <c r="M782" i="1" s="1"/>
  <c r="L753" i="1"/>
  <c r="K753" i="1"/>
  <c r="K782" i="1" s="1"/>
  <c r="J753" i="1"/>
  <c r="I753" i="1"/>
  <c r="H753" i="1"/>
  <c r="G753" i="1"/>
  <c r="G782" i="1" s="1"/>
  <c r="F753" i="1"/>
  <c r="F782" i="1" s="1"/>
  <c r="E753" i="1"/>
  <c r="E782" i="1" s="1"/>
  <c r="D753" i="1"/>
  <c r="C753" i="1"/>
  <c r="BT752" i="1"/>
  <c r="BT983" i="1" s="1"/>
  <c r="BS752" i="1"/>
  <c r="BS983" i="1" s="1"/>
  <c r="BR752" i="1"/>
  <c r="BR983" i="1" s="1"/>
  <c r="BQ752" i="1"/>
  <c r="BQ983" i="1" s="1"/>
  <c r="BQ974" i="1" s="1"/>
  <c r="BP752" i="1"/>
  <c r="BP983" i="1" s="1"/>
  <c r="BO752" i="1"/>
  <c r="BO983" i="1" s="1"/>
  <c r="BN752" i="1"/>
  <c r="BN983" i="1" s="1"/>
  <c r="BN974" i="1" s="1"/>
  <c r="BM752" i="1"/>
  <c r="BM983" i="1" s="1"/>
  <c r="BL752" i="1"/>
  <c r="BL983" i="1" s="1"/>
  <c r="BK752" i="1"/>
  <c r="BK983" i="1" s="1"/>
  <c r="BJ752" i="1"/>
  <c r="BI752" i="1"/>
  <c r="BI983" i="1" s="1"/>
  <c r="BI972" i="1" s="1"/>
  <c r="BH752" i="1"/>
  <c r="BH983" i="1" s="1"/>
  <c r="BG752" i="1"/>
  <c r="BG983" i="1" s="1"/>
  <c r="BF752" i="1"/>
  <c r="BF983" i="1" s="1"/>
  <c r="BF974" i="1" s="1"/>
  <c r="BE752" i="1"/>
  <c r="BE983" i="1" s="1"/>
  <c r="BD752" i="1"/>
  <c r="BD983" i="1" s="1"/>
  <c r="BC752" i="1"/>
  <c r="BC983" i="1" s="1"/>
  <c r="BB752" i="1"/>
  <c r="BB983" i="1" s="1"/>
  <c r="BA752" i="1"/>
  <c r="BA983" i="1" s="1"/>
  <c r="AZ752" i="1"/>
  <c r="AZ983" i="1" s="1"/>
  <c r="AY752" i="1"/>
  <c r="AY983" i="1" s="1"/>
  <c r="AX752" i="1"/>
  <c r="AX983" i="1" s="1"/>
  <c r="AW752" i="1"/>
  <c r="AW983" i="1" s="1"/>
  <c r="AV752" i="1"/>
  <c r="AV983" i="1" s="1"/>
  <c r="AU752" i="1"/>
  <c r="AU983" i="1" s="1"/>
  <c r="AT752" i="1"/>
  <c r="AT983" i="1" s="1"/>
  <c r="AR752" i="1"/>
  <c r="AR983" i="1" s="1"/>
  <c r="AQ752" i="1"/>
  <c r="AQ983" i="1" s="1"/>
  <c r="AP752" i="1"/>
  <c r="AP983" i="1" s="1"/>
  <c r="AO752" i="1"/>
  <c r="AO983" i="1" s="1"/>
  <c r="AM752" i="1"/>
  <c r="AM983" i="1" s="1"/>
  <c r="AL752" i="1"/>
  <c r="AL983" i="1" s="1"/>
  <c r="AL972" i="1" s="1"/>
  <c r="AK752" i="1"/>
  <c r="AK983" i="1" s="1"/>
  <c r="AK972" i="1" s="1"/>
  <c r="AJ752" i="1"/>
  <c r="AJ983" i="1" s="1"/>
  <c r="AH752" i="1"/>
  <c r="AH983" i="1" s="1"/>
  <c r="AH974" i="1" s="1"/>
  <c r="AG752" i="1"/>
  <c r="AG983" i="1" s="1"/>
  <c r="AF752" i="1"/>
  <c r="AF983" i="1" s="1"/>
  <c r="AE752" i="1"/>
  <c r="AE983" i="1" s="1"/>
  <c r="AC752" i="1"/>
  <c r="AB752" i="1"/>
  <c r="AB983" i="1" s="1"/>
  <c r="AA752" i="1"/>
  <c r="AA983" i="1" s="1"/>
  <c r="Z752" i="1"/>
  <c r="Z983" i="1" s="1"/>
  <c r="Y752" i="1"/>
  <c r="Y983" i="1" s="1"/>
  <c r="X752" i="1"/>
  <c r="X983" i="1" s="1"/>
  <c r="W752" i="1"/>
  <c r="W983" i="1" s="1"/>
  <c r="V752" i="1"/>
  <c r="V983" i="1" s="1"/>
  <c r="U752" i="1"/>
  <c r="U983" i="1" s="1"/>
  <c r="U974" i="1" s="1"/>
  <c r="T752" i="1"/>
  <c r="T983" i="1" s="1"/>
  <c r="S752" i="1"/>
  <c r="S983" i="1" s="1"/>
  <c r="R752" i="1"/>
  <c r="R983" i="1" s="1"/>
  <c r="Q752" i="1"/>
  <c r="Q983" i="1" s="1"/>
  <c r="P752" i="1"/>
  <c r="P983" i="1" s="1"/>
  <c r="O752" i="1"/>
  <c r="O983" i="1" s="1"/>
  <c r="N752" i="1"/>
  <c r="N983" i="1" s="1"/>
  <c r="M752" i="1"/>
  <c r="M983" i="1" s="1"/>
  <c r="M972" i="1" s="1"/>
  <c r="L752" i="1"/>
  <c r="L983" i="1" s="1"/>
  <c r="K752" i="1"/>
  <c r="K983" i="1" s="1"/>
  <c r="K972" i="1" s="1"/>
  <c r="J752" i="1"/>
  <c r="J983" i="1" s="1"/>
  <c r="J974" i="1" s="1"/>
  <c r="I752" i="1"/>
  <c r="I983" i="1" s="1"/>
  <c r="H752" i="1"/>
  <c r="H983" i="1" s="1"/>
  <c r="G752" i="1"/>
  <c r="G983" i="1" s="1"/>
  <c r="F752" i="1"/>
  <c r="F983" i="1" s="1"/>
  <c r="E752" i="1"/>
  <c r="E983" i="1" s="1"/>
  <c r="D752" i="1"/>
  <c r="D983" i="1" s="1"/>
  <c r="C752" i="1"/>
  <c r="C983" i="1" s="1"/>
  <c r="BT751" i="1"/>
  <c r="BS751" i="1"/>
  <c r="BR751" i="1"/>
  <c r="BQ751" i="1"/>
  <c r="BQ982" i="1" s="1"/>
  <c r="BP751" i="1"/>
  <c r="BO751" i="1"/>
  <c r="BN751" i="1"/>
  <c r="BL751" i="1"/>
  <c r="BK751" i="1"/>
  <c r="BK982" i="1" s="1"/>
  <c r="BJ751" i="1"/>
  <c r="BI751" i="1"/>
  <c r="BG751" i="1"/>
  <c r="BF751" i="1"/>
  <c r="BE751" i="1"/>
  <c r="BE982" i="1" s="1"/>
  <c r="BD751" i="1"/>
  <c r="BB751" i="1"/>
  <c r="BA751" i="1"/>
  <c r="AZ751" i="1"/>
  <c r="AY751" i="1"/>
  <c r="AX751" i="1"/>
  <c r="AW751" i="1"/>
  <c r="AW982" i="1" s="1"/>
  <c r="AV751" i="1"/>
  <c r="AU751" i="1"/>
  <c r="AU838" i="1" s="1"/>
  <c r="AT751" i="1"/>
  <c r="AS751" i="1"/>
  <c r="AR751" i="1"/>
  <c r="AQ751" i="1"/>
  <c r="AP751" i="1"/>
  <c r="AO751" i="1"/>
  <c r="AO982" i="1" s="1"/>
  <c r="AN751" i="1"/>
  <c r="AN982" i="1" s="1"/>
  <c r="AM751" i="1"/>
  <c r="AM982" i="1" s="1"/>
  <c r="AL751" i="1"/>
  <c r="AL982" i="1" s="1"/>
  <c r="AL984" i="1" s="1"/>
  <c r="AK751" i="1"/>
  <c r="AK982" i="1" s="1"/>
  <c r="AK984" i="1" s="1"/>
  <c r="AJ751" i="1"/>
  <c r="AJ982" i="1" s="1"/>
  <c r="AI751" i="1"/>
  <c r="AI982" i="1" s="1"/>
  <c r="AH751" i="1"/>
  <c r="AH982" i="1" s="1"/>
  <c r="AG751" i="1"/>
  <c r="AG982" i="1" s="1"/>
  <c r="AF751" i="1"/>
  <c r="AF982" i="1" s="1"/>
  <c r="AE751" i="1"/>
  <c r="AE982" i="1" s="1"/>
  <c r="AD751" i="1"/>
  <c r="AD982" i="1" s="1"/>
  <c r="AC751" i="1"/>
  <c r="AC982" i="1" s="1"/>
  <c r="AB751" i="1"/>
  <c r="AB982" i="1" s="1"/>
  <c r="AB984" i="1" s="1"/>
  <c r="AA751" i="1"/>
  <c r="AA982" i="1" s="1"/>
  <c r="Z751" i="1"/>
  <c r="Z982" i="1" s="1"/>
  <c r="Y751" i="1"/>
  <c r="Y982" i="1" s="1"/>
  <c r="X751" i="1"/>
  <c r="X982" i="1" s="1"/>
  <c r="W751" i="1"/>
  <c r="W982" i="1" s="1"/>
  <c r="V751" i="1"/>
  <c r="V982" i="1" s="1"/>
  <c r="V984" i="1" s="1"/>
  <c r="U751" i="1"/>
  <c r="U982" i="1" s="1"/>
  <c r="U984" i="1" s="1"/>
  <c r="T751" i="1"/>
  <c r="T982" i="1" s="1"/>
  <c r="S751" i="1"/>
  <c r="S982" i="1" s="1"/>
  <c r="R751" i="1"/>
  <c r="R982" i="1" s="1"/>
  <c r="Q751" i="1"/>
  <c r="Q982" i="1" s="1"/>
  <c r="P751" i="1"/>
  <c r="P982" i="1" s="1"/>
  <c r="O751" i="1"/>
  <c r="O982" i="1" s="1"/>
  <c r="N751" i="1"/>
  <c r="N982" i="1" s="1"/>
  <c r="N984" i="1" s="1"/>
  <c r="M751" i="1"/>
  <c r="M982" i="1" s="1"/>
  <c r="M984" i="1" s="1"/>
  <c r="L751" i="1"/>
  <c r="L982" i="1" s="1"/>
  <c r="K751" i="1"/>
  <c r="K982" i="1" s="1"/>
  <c r="J751" i="1"/>
  <c r="J982" i="1" s="1"/>
  <c r="I751" i="1"/>
  <c r="I982" i="1" s="1"/>
  <c r="H751" i="1"/>
  <c r="H982" i="1" s="1"/>
  <c r="G751" i="1"/>
  <c r="G982" i="1" s="1"/>
  <c r="F751" i="1"/>
  <c r="F982" i="1" s="1"/>
  <c r="F984" i="1" s="1"/>
  <c r="E751" i="1"/>
  <c r="E982" i="1" s="1"/>
  <c r="E984" i="1" s="1"/>
  <c r="D751" i="1"/>
  <c r="D982" i="1" s="1"/>
  <c r="C751" i="1"/>
  <c r="C982" i="1" s="1"/>
  <c r="BT750" i="1"/>
  <c r="BT985" i="1" s="1"/>
  <c r="BS750" i="1"/>
  <c r="BQ750" i="1"/>
  <c r="BP750" i="1"/>
  <c r="BP783" i="1" s="1"/>
  <c r="BP792" i="1" s="1"/>
  <c r="BO750" i="1"/>
  <c r="BO783" i="1" s="1"/>
  <c r="BO792" i="1" s="1"/>
  <c r="BN750" i="1"/>
  <c r="BL750" i="1"/>
  <c r="BK750" i="1"/>
  <c r="BK783" i="1" s="1"/>
  <c r="BK792" i="1" s="1"/>
  <c r="BJ750" i="1"/>
  <c r="BI750" i="1"/>
  <c r="BI783" i="1" s="1"/>
  <c r="BI792" i="1" s="1"/>
  <c r="BH750" i="1"/>
  <c r="BG750" i="1"/>
  <c r="BF750" i="1"/>
  <c r="BE750" i="1"/>
  <c r="BE7" i="9" s="1"/>
  <c r="BD750" i="1"/>
  <c r="BD985" i="1" s="1"/>
  <c r="BB750" i="1"/>
  <c r="BA750" i="1"/>
  <c r="BA783" i="1" s="1"/>
  <c r="BA792" i="1" s="1"/>
  <c r="AZ750" i="1"/>
  <c r="AY750" i="1"/>
  <c r="AX750" i="1"/>
  <c r="AX985" i="1" s="1"/>
  <c r="AW750" i="1"/>
  <c r="AW783" i="1" s="1"/>
  <c r="AW792" i="1" s="1"/>
  <c r="AV750" i="1"/>
  <c r="AV985" i="1" s="1"/>
  <c r="AU750" i="1"/>
  <c r="AU783" i="1" s="1"/>
  <c r="AU792" i="1" s="1"/>
  <c r="AT750" i="1"/>
  <c r="AT783" i="1" s="1"/>
  <c r="AT792" i="1" s="1"/>
  <c r="AR750" i="1"/>
  <c r="AR783" i="1" s="1"/>
  <c r="AQ750" i="1"/>
  <c r="AP750" i="1"/>
  <c r="AO750" i="1"/>
  <c r="AO783" i="1" s="1"/>
  <c r="AO792" i="1" s="1"/>
  <c r="AM750" i="1"/>
  <c r="AL750" i="1"/>
  <c r="AK750" i="1"/>
  <c r="AJ750" i="1"/>
  <c r="AH750" i="1"/>
  <c r="AH985" i="1" s="1"/>
  <c r="AH980" i="1" s="1"/>
  <c r="AG750" i="1"/>
  <c r="AF750" i="1"/>
  <c r="AE750" i="1"/>
  <c r="AE783" i="1" s="1"/>
  <c r="AC750" i="1"/>
  <c r="AC783" i="1" s="1"/>
  <c r="AB750" i="1"/>
  <c r="AA750" i="1"/>
  <c r="AA783" i="1" s="1"/>
  <c r="Z750" i="1"/>
  <c r="Z985" i="1" s="1"/>
  <c r="X750" i="1"/>
  <c r="X985" i="1" s="1"/>
  <c r="X980" i="1" s="1"/>
  <c r="W750" i="1"/>
  <c r="W783" i="1" s="1"/>
  <c r="V750" i="1"/>
  <c r="U750" i="1"/>
  <c r="T750" i="1"/>
  <c r="S750" i="1"/>
  <c r="R750" i="1"/>
  <c r="Q750" i="1"/>
  <c r="Q783" i="1" s="1"/>
  <c r="P750" i="1"/>
  <c r="O750" i="1"/>
  <c r="O783" i="1" s="1"/>
  <c r="N750" i="1"/>
  <c r="N783" i="1" s="1"/>
  <c r="M750" i="1"/>
  <c r="M783" i="1" s="1"/>
  <c r="L750" i="1"/>
  <c r="K750" i="1"/>
  <c r="J750" i="1"/>
  <c r="J985" i="1" s="1"/>
  <c r="I750" i="1"/>
  <c r="H750" i="1"/>
  <c r="G750" i="1"/>
  <c r="F750" i="1"/>
  <c r="F985" i="1" s="1"/>
  <c r="F980" i="1" s="1"/>
  <c r="E750" i="1"/>
  <c r="D750" i="1"/>
  <c r="C750" i="1"/>
  <c r="C783" i="1" s="1"/>
  <c r="BT737" i="1"/>
  <c r="BS737" i="1"/>
  <c r="BR737" i="1"/>
  <c r="BQ737" i="1"/>
  <c r="BM737" i="1"/>
  <c r="BL737" i="1"/>
  <c r="BK737" i="1"/>
  <c r="BJ737" i="1"/>
  <c r="BI737" i="1"/>
  <c r="BH737" i="1"/>
  <c r="BG737" i="1"/>
  <c r="BB737" i="1"/>
  <c r="BA737" i="1"/>
  <c r="AZ737" i="1"/>
  <c r="AY737" i="1"/>
  <c r="AW737" i="1"/>
  <c r="AR737" i="1"/>
  <c r="AQ737" i="1"/>
  <c r="AP737" i="1"/>
  <c r="AO737" i="1"/>
  <c r="AN737" i="1"/>
  <c r="AM737" i="1"/>
  <c r="AM738" i="1" s="1"/>
  <c r="AJ737" i="1"/>
  <c r="AI737" i="1"/>
  <c r="AH737" i="1"/>
  <c r="AG737" i="1"/>
  <c r="AF737" i="1"/>
  <c r="AE737" i="1"/>
  <c r="AD737" i="1"/>
  <c r="Z737" i="1"/>
  <c r="Y737" i="1"/>
  <c r="X737" i="1"/>
  <c r="W737" i="1"/>
  <c r="V737" i="1"/>
  <c r="U737" i="1"/>
  <c r="T737" i="1"/>
  <c r="Q737" i="1"/>
  <c r="P737" i="1"/>
  <c r="O737" i="1"/>
  <c r="N737" i="1"/>
  <c r="M737" i="1"/>
  <c r="L737" i="1"/>
  <c r="I737" i="1"/>
  <c r="H737" i="1"/>
  <c r="G737" i="1"/>
  <c r="F737" i="1"/>
  <c r="E737" i="1"/>
  <c r="CC735" i="1"/>
  <c r="BX735" i="1"/>
  <c r="BT734" i="1"/>
  <c r="BT79" i="9" s="1"/>
  <c r="BS734" i="1"/>
  <c r="BS79" i="9" s="1"/>
  <c r="BR734" i="1"/>
  <c r="BR79" i="9" s="1"/>
  <c r="BF734" i="1"/>
  <c r="BF79" i="9" s="1"/>
  <c r="BE734" i="1"/>
  <c r="BE79" i="9" s="1"/>
  <c r="AY734" i="1"/>
  <c r="AY79" i="9" s="1"/>
  <c r="AX734" i="1"/>
  <c r="AX79" i="9" s="1"/>
  <c r="AM734" i="1"/>
  <c r="AM79" i="9" s="1"/>
  <c r="AK734" i="1"/>
  <c r="AK79" i="9" s="1"/>
  <c r="AJ734" i="1"/>
  <c r="AJ79" i="9" s="1"/>
  <c r="AG734" i="1"/>
  <c r="AG79" i="9" s="1"/>
  <c r="V734" i="1"/>
  <c r="V79" i="9" s="1"/>
  <c r="R734" i="1"/>
  <c r="R79" i="9" s="1"/>
  <c r="Q734" i="1"/>
  <c r="Q79" i="9" s="1"/>
  <c r="N734" i="1"/>
  <c r="N79" i="9" s="1"/>
  <c r="D734" i="1"/>
  <c r="D79" i="9" s="1"/>
  <c r="C734" i="1"/>
  <c r="C79" i="9" s="1"/>
  <c r="BT733" i="1"/>
  <c r="BK733" i="1"/>
  <c r="AQ733" i="1"/>
  <c r="AP733" i="1"/>
  <c r="X733" i="1"/>
  <c r="V733" i="1"/>
  <c r="P733" i="1"/>
  <c r="N733" i="1"/>
  <c r="D733" i="1"/>
  <c r="C733" i="1"/>
  <c r="CC731" i="1"/>
  <c r="CC86" i="9" s="1"/>
  <c r="BX731" i="1"/>
  <c r="BX86" i="9" s="1"/>
  <c r="BS731" i="1"/>
  <c r="BS86" i="9" s="1"/>
  <c r="BN731" i="1"/>
  <c r="BN86" i="9" s="1"/>
  <c r="BI731" i="1"/>
  <c r="BI86" i="9" s="1"/>
  <c r="BD731" i="1"/>
  <c r="BD86" i="9" s="1"/>
  <c r="AY731" i="1"/>
  <c r="AY86" i="9" s="1"/>
  <c r="AT731" i="1"/>
  <c r="AT86" i="9" s="1"/>
  <c r="AO731" i="1"/>
  <c r="AO86" i="9" s="1"/>
  <c r="AJ731" i="1"/>
  <c r="AJ86" i="9" s="1"/>
  <c r="AE731" i="1"/>
  <c r="AE86" i="9" s="1"/>
  <c r="Z731" i="1"/>
  <c r="Z86" i="9" s="1"/>
  <c r="U731" i="1"/>
  <c r="U86" i="9" s="1"/>
  <c r="P731" i="1"/>
  <c r="P86" i="9" s="1"/>
  <c r="K731" i="1"/>
  <c r="K86" i="9" s="1"/>
  <c r="BS730" i="1"/>
  <c r="BS75" i="9" s="1"/>
  <c r="BR730" i="1"/>
  <c r="BR75" i="9" s="1"/>
  <c r="BQ730" i="1"/>
  <c r="BQ75" i="9" s="1"/>
  <c r="BP730" i="1"/>
  <c r="BP75" i="9" s="1"/>
  <c r="BO730" i="1"/>
  <c r="BO75" i="9" s="1"/>
  <c r="BN730" i="1"/>
  <c r="BN75" i="9" s="1"/>
  <c r="BL730" i="1"/>
  <c r="BL75" i="9" s="1"/>
  <c r="BK730" i="1"/>
  <c r="BK75" i="9" s="1"/>
  <c r="BI730" i="1"/>
  <c r="BI75" i="9" s="1"/>
  <c r="BG730" i="1"/>
  <c r="BG75" i="9" s="1"/>
  <c r="BF730" i="1"/>
  <c r="BF75" i="9" s="1"/>
  <c r="BE730" i="1"/>
  <c r="BE75" i="9" s="1"/>
  <c r="BD730" i="1"/>
  <c r="BD75" i="9" s="1"/>
  <c r="BC730" i="1"/>
  <c r="BC75" i="9" s="1"/>
  <c r="BB730" i="1"/>
  <c r="BB75" i="9" s="1"/>
  <c r="BA730" i="1"/>
  <c r="BA75" i="9" s="1"/>
  <c r="AY730" i="1"/>
  <c r="AY75" i="9" s="1"/>
  <c r="AX730" i="1"/>
  <c r="AX75" i="9" s="1"/>
  <c r="AW730" i="1"/>
  <c r="AW75" i="9" s="1"/>
  <c r="AV730" i="1"/>
  <c r="AV75" i="9" s="1"/>
  <c r="AU730" i="1"/>
  <c r="AU75" i="9" s="1"/>
  <c r="AT730" i="1"/>
  <c r="AT75" i="9" s="1"/>
  <c r="AS730" i="1"/>
  <c r="AS75" i="9" s="1"/>
  <c r="AQ730" i="1"/>
  <c r="AQ75" i="9" s="1"/>
  <c r="AO730" i="1"/>
  <c r="AO75" i="9" s="1"/>
  <c r="AN730" i="1"/>
  <c r="AN75" i="9" s="1"/>
  <c r="AM730" i="1"/>
  <c r="AM75" i="9" s="1"/>
  <c r="AL730" i="1"/>
  <c r="AL75" i="9" s="1"/>
  <c r="AK730" i="1"/>
  <c r="AK75" i="9" s="1"/>
  <c r="AJ730" i="1"/>
  <c r="AJ75" i="9" s="1"/>
  <c r="AG730" i="1"/>
  <c r="AG75" i="9" s="1"/>
  <c r="AE730" i="1"/>
  <c r="AE75" i="9" s="1"/>
  <c r="AC730" i="1"/>
  <c r="AC75" i="9" s="1"/>
  <c r="AB730" i="1"/>
  <c r="AB75" i="9" s="1"/>
  <c r="AA730" i="1"/>
  <c r="AA75" i="9" s="1"/>
  <c r="Z730" i="1"/>
  <c r="Z75" i="9" s="1"/>
  <c r="X730" i="1"/>
  <c r="X75" i="9" s="1"/>
  <c r="U730" i="1"/>
  <c r="U75" i="9" s="1"/>
  <c r="T730" i="1"/>
  <c r="T75" i="9" s="1"/>
  <c r="S730" i="1"/>
  <c r="S75" i="9" s="1"/>
  <c r="R730" i="1"/>
  <c r="R75" i="9" s="1"/>
  <c r="M730" i="1"/>
  <c r="M75" i="9" s="1"/>
  <c r="L730" i="1"/>
  <c r="L75" i="9" s="1"/>
  <c r="K730" i="1"/>
  <c r="K75" i="9" s="1"/>
  <c r="J730" i="1"/>
  <c r="J75" i="9" s="1"/>
  <c r="H730" i="1"/>
  <c r="H75" i="9" s="1"/>
  <c r="E730" i="1"/>
  <c r="E75" i="9" s="1"/>
  <c r="D730" i="1"/>
  <c r="D75" i="9" s="1"/>
  <c r="C730" i="1"/>
  <c r="C75" i="9" s="1"/>
  <c r="BT729" i="1"/>
  <c r="BT78" i="9" s="1"/>
  <c r="BP729" i="1"/>
  <c r="BP78" i="9" s="1"/>
  <c r="BO729" i="1"/>
  <c r="BO78" i="9" s="1"/>
  <c r="BN729" i="1"/>
  <c r="BN78" i="9" s="1"/>
  <c r="BL729" i="1"/>
  <c r="BL78" i="9" s="1"/>
  <c r="BI729" i="1"/>
  <c r="BI78" i="9" s="1"/>
  <c r="BG729" i="1"/>
  <c r="BG78" i="9" s="1"/>
  <c r="BF729" i="1"/>
  <c r="BF78" i="9" s="1"/>
  <c r="BE729" i="1"/>
  <c r="BE78" i="9" s="1"/>
  <c r="BD729" i="1"/>
  <c r="BD78" i="9" s="1"/>
  <c r="BB729" i="1"/>
  <c r="BB78" i="9" s="1"/>
  <c r="AY729" i="1"/>
  <c r="AY78" i="9" s="1"/>
  <c r="AX729" i="1"/>
  <c r="AX78" i="9" s="1"/>
  <c r="AW729" i="1"/>
  <c r="AW78" i="9" s="1"/>
  <c r="AV729" i="1"/>
  <c r="AV78" i="9" s="1"/>
  <c r="AU729" i="1"/>
  <c r="AU78" i="9" s="1"/>
  <c r="AT729" i="1"/>
  <c r="AT78" i="9" s="1"/>
  <c r="AR729" i="1"/>
  <c r="AR78" i="9" s="1"/>
  <c r="AO729" i="1"/>
  <c r="AO78" i="9" s="1"/>
  <c r="AL729" i="1"/>
  <c r="AL78" i="9" s="1"/>
  <c r="AJ729" i="1"/>
  <c r="AJ78" i="9" s="1"/>
  <c r="AH729" i="1"/>
  <c r="AH78" i="9" s="1"/>
  <c r="AD729" i="1"/>
  <c r="AD78" i="9" s="1"/>
  <c r="AC729" i="1"/>
  <c r="AC78" i="9" s="1"/>
  <c r="AB729" i="1"/>
  <c r="AB78" i="9" s="1"/>
  <c r="Z729" i="1"/>
  <c r="Z78" i="9" s="1"/>
  <c r="X729" i="1"/>
  <c r="X78" i="9" s="1"/>
  <c r="U729" i="1"/>
  <c r="U78" i="9" s="1"/>
  <c r="S729" i="1"/>
  <c r="S78" i="9" s="1"/>
  <c r="R729" i="1"/>
  <c r="R78" i="9" s="1"/>
  <c r="Q729" i="1"/>
  <c r="Q78" i="9" s="1"/>
  <c r="P729" i="1"/>
  <c r="P78" i="9" s="1"/>
  <c r="M729" i="1"/>
  <c r="M78" i="9" s="1"/>
  <c r="I729" i="1"/>
  <c r="I78" i="9" s="1"/>
  <c r="H729" i="1"/>
  <c r="H78" i="9" s="1"/>
  <c r="E729" i="1"/>
  <c r="E78" i="9" s="1"/>
  <c r="C729" i="1"/>
  <c r="C78" i="9" s="1"/>
  <c r="BR728" i="1"/>
  <c r="BQ728" i="1"/>
  <c r="BP728" i="1"/>
  <c r="BO728" i="1"/>
  <c r="BN728" i="1"/>
  <c r="BM728" i="1"/>
  <c r="BJ728" i="1"/>
  <c r="BH728" i="1"/>
  <c r="BG728" i="1"/>
  <c r="BF728" i="1"/>
  <c r="BE728" i="1"/>
  <c r="BD728" i="1"/>
  <c r="BA728" i="1"/>
  <c r="AZ728" i="1"/>
  <c r="AY728" i="1"/>
  <c r="AW728" i="1"/>
  <c r="AV728" i="1"/>
  <c r="AQ728" i="1"/>
  <c r="AO728" i="1"/>
  <c r="AN728" i="1"/>
  <c r="AK728" i="1"/>
  <c r="AJ728" i="1"/>
  <c r="AG728" i="1"/>
  <c r="AF728" i="1"/>
  <c r="AA728" i="1"/>
  <c r="Z728" i="1"/>
  <c r="Y728" i="1"/>
  <c r="S728" i="1"/>
  <c r="R728" i="1"/>
  <c r="Q728" i="1"/>
  <c r="K728" i="1"/>
  <c r="J728" i="1"/>
  <c r="I728" i="1"/>
  <c r="H728" i="1"/>
  <c r="E728" i="1"/>
  <c r="D728" i="1"/>
  <c r="C728" i="1"/>
  <c r="A727" i="1"/>
  <c r="BQ726" i="1"/>
  <c r="BO726" i="1"/>
  <c r="BN726" i="1"/>
  <c r="BL726" i="1"/>
  <c r="BL805" i="1" s="1"/>
  <c r="BK726" i="1"/>
  <c r="BG726" i="1"/>
  <c r="BG805" i="1" s="1"/>
  <c r="BE726" i="1"/>
  <c r="BE805" i="1" s="1"/>
  <c r="BD726" i="1"/>
  <c r="BD805" i="1" s="1"/>
  <c r="BB726" i="1"/>
  <c r="BA726" i="1"/>
  <c r="BA992" i="1" s="1"/>
  <c r="AY726" i="1"/>
  <c r="AY805" i="1" s="1"/>
  <c r="AX726" i="1"/>
  <c r="AV726" i="1"/>
  <c r="AV805" i="1" s="1"/>
  <c r="AU726" i="1"/>
  <c r="AT726" i="1"/>
  <c r="AR726" i="1"/>
  <c r="AQ726" i="1"/>
  <c r="AP726" i="1"/>
  <c r="AL726" i="1"/>
  <c r="AK726" i="1"/>
  <c r="AJ726" i="1"/>
  <c r="AJ805" i="1" s="1"/>
  <c r="AH726" i="1"/>
  <c r="AG726" i="1"/>
  <c r="AF726" i="1"/>
  <c r="AB726" i="1"/>
  <c r="AA726" i="1"/>
  <c r="AA1270" i="1" s="1"/>
  <c r="Z726" i="1"/>
  <c r="X726" i="1"/>
  <c r="W726" i="1"/>
  <c r="W992" i="1" s="1"/>
  <c r="V726" i="1"/>
  <c r="S726" i="1"/>
  <c r="R726" i="1"/>
  <c r="Q726" i="1"/>
  <c r="P726" i="1"/>
  <c r="P805" i="1" s="1"/>
  <c r="O726" i="1"/>
  <c r="O992" i="1" s="1"/>
  <c r="N726" i="1"/>
  <c r="L726" i="1"/>
  <c r="K726" i="1"/>
  <c r="K805" i="1" s="1"/>
  <c r="J726" i="1"/>
  <c r="J992" i="1" s="1"/>
  <c r="I726" i="1"/>
  <c r="H726" i="1"/>
  <c r="G726" i="1"/>
  <c r="D726" i="1"/>
  <c r="C726" i="1"/>
  <c r="CB697" i="1"/>
  <c r="BT671" i="1"/>
  <c r="BS671" i="1"/>
  <c r="BR671" i="1"/>
  <c r="BQ671" i="1"/>
  <c r="BP671" i="1"/>
  <c r="BO671" i="1"/>
  <c r="BN671" i="1"/>
  <c r="BM671" i="1"/>
  <c r="BL671" i="1"/>
  <c r="BK671" i="1"/>
  <c r="BJ671" i="1"/>
  <c r="BI671" i="1"/>
  <c r="BH671" i="1"/>
  <c r="BG671" i="1"/>
  <c r="BF671" i="1"/>
  <c r="BE671" i="1"/>
  <c r="BD671" i="1"/>
  <c r="BC671" i="1"/>
  <c r="BB671" i="1"/>
  <c r="BA671" i="1"/>
  <c r="AZ671" i="1"/>
  <c r="AY671" i="1"/>
  <c r="AX671" i="1"/>
  <c r="AW671" i="1"/>
  <c r="AV671" i="1"/>
  <c r="AU671" i="1"/>
  <c r="AT671" i="1"/>
  <c r="AS671" i="1"/>
  <c r="AR671" i="1"/>
  <c r="AQ671" i="1"/>
  <c r="AP671" i="1"/>
  <c r="AO671" i="1"/>
  <c r="AN671" i="1"/>
  <c r="AM671" i="1"/>
  <c r="AL671" i="1"/>
  <c r="AK671" i="1"/>
  <c r="AJ671" i="1"/>
  <c r="AI671" i="1"/>
  <c r="AH671" i="1"/>
  <c r="AG671" i="1"/>
  <c r="AF671" i="1"/>
  <c r="AE671" i="1"/>
  <c r="AD671" i="1"/>
  <c r="Q667" i="1"/>
  <c r="O667" i="1"/>
  <c r="N667" i="1"/>
  <c r="G667" i="1"/>
  <c r="CC666" i="1"/>
  <c r="BX666" i="1"/>
  <c r="AE666" i="1"/>
  <c r="Z666" i="1"/>
  <c r="U666" i="1"/>
  <c r="P666" i="1"/>
  <c r="P667" i="1" s="1"/>
  <c r="K666" i="1"/>
  <c r="CC665" i="1"/>
  <c r="BX665" i="1"/>
  <c r="AE665" i="1"/>
  <c r="Z665" i="1"/>
  <c r="U665" i="1"/>
  <c r="P665" i="1"/>
  <c r="K665" i="1"/>
  <c r="CC664" i="1"/>
  <c r="AE664" i="1"/>
  <c r="Z664" i="1"/>
  <c r="U664" i="1"/>
  <c r="P664" i="1"/>
  <c r="K664" i="1"/>
  <c r="CC663" i="1"/>
  <c r="CB663" i="1"/>
  <c r="CB667" i="1" s="1"/>
  <c r="CB405" i="1" s="1"/>
  <c r="CA663" i="1"/>
  <c r="CA667" i="1" s="1"/>
  <c r="CA405" i="1" s="1"/>
  <c r="BZ663" i="1"/>
  <c r="BZ667" i="1" s="1"/>
  <c r="BZ405" i="1" s="1"/>
  <c r="BY663" i="1"/>
  <c r="BY667" i="1" s="1"/>
  <c r="BW663" i="1"/>
  <c r="BW667" i="1" s="1"/>
  <c r="BV663" i="1"/>
  <c r="BV667" i="1" s="1"/>
  <c r="AE663" i="1"/>
  <c r="AD663" i="1"/>
  <c r="AD667" i="1" s="1"/>
  <c r="AC663" i="1"/>
  <c r="AC667" i="1" s="1"/>
  <c r="AB663" i="1"/>
  <c r="AB667" i="1" s="1"/>
  <c r="AA663" i="1"/>
  <c r="AA667" i="1" s="1"/>
  <c r="Z663" i="1"/>
  <c r="Y663" i="1"/>
  <c r="Y667" i="1" s="1"/>
  <c r="X663" i="1"/>
  <c r="X667" i="1" s="1"/>
  <c r="W663" i="1"/>
  <c r="W667" i="1" s="1"/>
  <c r="V663" i="1"/>
  <c r="V667" i="1" s="1"/>
  <c r="U663" i="1"/>
  <c r="T663" i="1"/>
  <c r="T667" i="1" s="1"/>
  <c r="S663" i="1"/>
  <c r="S667" i="1" s="1"/>
  <c r="R663" i="1"/>
  <c r="R667" i="1" s="1"/>
  <c r="Q663" i="1"/>
  <c r="P663" i="1"/>
  <c r="O663" i="1"/>
  <c r="N663" i="1"/>
  <c r="M663" i="1"/>
  <c r="M667" i="1" s="1"/>
  <c r="L663" i="1"/>
  <c r="L667" i="1" s="1"/>
  <c r="J663" i="1"/>
  <c r="J667" i="1" s="1"/>
  <c r="I663" i="1"/>
  <c r="I667" i="1" s="1"/>
  <c r="H663" i="1"/>
  <c r="H667" i="1" s="1"/>
  <c r="CF651" i="1"/>
  <c r="CF473" i="1" s="1"/>
  <c r="CE651" i="1"/>
  <c r="CE473" i="1" s="1"/>
  <c r="CD651" i="1"/>
  <c r="G651" i="1"/>
  <c r="CC650" i="1"/>
  <c r="CC697" i="1" s="1"/>
  <c r="BX650" i="1"/>
  <c r="BW697" i="1" s="1"/>
  <c r="AE650" i="1"/>
  <c r="Z650" i="1"/>
  <c r="U650" i="1"/>
  <c r="P650" i="1"/>
  <c r="K650" i="1"/>
  <c r="CC649" i="1"/>
  <c r="CA697" i="1" s="1"/>
  <c r="BX649" i="1"/>
  <c r="BV696" i="1" s="1"/>
  <c r="AE649" i="1"/>
  <c r="Z649" i="1"/>
  <c r="U649" i="1"/>
  <c r="P649" i="1"/>
  <c r="K649" i="1"/>
  <c r="CC648" i="1"/>
  <c r="BZ696" i="1" s="1"/>
  <c r="AE648" i="1"/>
  <c r="Z648" i="1"/>
  <c r="U648" i="1"/>
  <c r="P648" i="1"/>
  <c r="K648" i="1"/>
  <c r="CC647" i="1"/>
  <c r="BY696" i="1" s="1"/>
  <c r="CB647" i="1"/>
  <c r="CB651" i="1" s="1"/>
  <c r="CB656" i="1" s="1"/>
  <c r="CA647" i="1"/>
  <c r="CA651" i="1" s="1"/>
  <c r="CA659" i="1" s="1"/>
  <c r="BZ647" i="1"/>
  <c r="BZ651" i="1" s="1"/>
  <c r="BY647" i="1"/>
  <c r="BY651" i="1" s="1"/>
  <c r="BW647" i="1"/>
  <c r="BW651" i="1" s="1"/>
  <c r="BV647" i="1"/>
  <c r="BV651" i="1" s="1"/>
  <c r="AE647" i="1"/>
  <c r="AD647" i="1"/>
  <c r="AD651" i="1" s="1"/>
  <c r="AC647" i="1"/>
  <c r="AC651" i="1" s="1"/>
  <c r="AC656" i="1" s="1"/>
  <c r="AB647" i="1"/>
  <c r="AB651" i="1" s="1"/>
  <c r="AB656" i="1" s="1"/>
  <c r="AA647" i="1"/>
  <c r="AA651" i="1" s="1"/>
  <c r="AA656" i="1" s="1"/>
  <c r="Z647" i="1"/>
  <c r="Y647" i="1"/>
  <c r="Y651" i="1" s="1"/>
  <c r="Y656" i="1" s="1"/>
  <c r="X647" i="1"/>
  <c r="X651" i="1" s="1"/>
  <c r="X656" i="1" s="1"/>
  <c r="W647" i="1"/>
  <c r="W651" i="1" s="1"/>
  <c r="W656" i="1" s="1"/>
  <c r="V647" i="1"/>
  <c r="V651" i="1" s="1"/>
  <c r="V656" i="1" s="1"/>
  <c r="U647" i="1"/>
  <c r="T647" i="1"/>
  <c r="T651" i="1" s="1"/>
  <c r="T656" i="1" s="1"/>
  <c r="S647" i="1"/>
  <c r="S651" i="1" s="1"/>
  <c r="S656" i="1" s="1"/>
  <c r="R647" i="1"/>
  <c r="R651" i="1" s="1"/>
  <c r="R656" i="1" s="1"/>
  <c r="Q647" i="1"/>
  <c r="Q651" i="1" s="1"/>
  <c r="Q656" i="1" s="1"/>
  <c r="P647" i="1"/>
  <c r="O647" i="1"/>
  <c r="O651" i="1" s="1"/>
  <c r="O656" i="1" s="1"/>
  <c r="N647" i="1"/>
  <c r="N651" i="1" s="1"/>
  <c r="N656" i="1" s="1"/>
  <c r="M647" i="1"/>
  <c r="M651" i="1" s="1"/>
  <c r="M656" i="1" s="1"/>
  <c r="L647" i="1"/>
  <c r="L651" i="1" s="1"/>
  <c r="L656" i="1" s="1"/>
  <c r="J647" i="1"/>
  <c r="J651" i="1" s="1"/>
  <c r="J656" i="1" s="1"/>
  <c r="I647" i="1"/>
  <c r="I651" i="1" s="1"/>
  <c r="I656" i="1" s="1"/>
  <c r="H647" i="1"/>
  <c r="H651" i="1" s="1"/>
  <c r="H656" i="1" s="1"/>
  <c r="CC624" i="1"/>
  <c r="CC623" i="1"/>
  <c r="BT609" i="1"/>
  <c r="BS609" i="1"/>
  <c r="BR609" i="1"/>
  <c r="BQ609" i="1"/>
  <c r="BP609" i="1"/>
  <c r="BO609" i="1"/>
  <c r="BN609" i="1"/>
  <c r="BM609" i="1"/>
  <c r="BL609" i="1"/>
  <c r="BK609" i="1"/>
  <c r="BJ609" i="1"/>
  <c r="BI609" i="1"/>
  <c r="BH609" i="1"/>
  <c r="BG609" i="1"/>
  <c r="BF609" i="1"/>
  <c r="BE609" i="1"/>
  <c r="BD609" i="1"/>
  <c r="BC609" i="1"/>
  <c r="BB609" i="1"/>
  <c r="BA609" i="1"/>
  <c r="AZ609" i="1"/>
  <c r="AY609" i="1"/>
  <c r="AX609" i="1"/>
  <c r="AW609" i="1"/>
  <c r="AV609" i="1"/>
  <c r="AU609" i="1"/>
  <c r="AT609" i="1"/>
  <c r="AS609" i="1"/>
  <c r="AR609" i="1"/>
  <c r="AQ609" i="1"/>
  <c r="AP609" i="1"/>
  <c r="AO609" i="1"/>
  <c r="AN609" i="1"/>
  <c r="AM609" i="1"/>
  <c r="AL609" i="1"/>
  <c r="AK609" i="1"/>
  <c r="AJ609" i="1"/>
  <c r="AI609" i="1"/>
  <c r="AH609" i="1"/>
  <c r="AG609" i="1"/>
  <c r="AF609" i="1"/>
  <c r="AE609" i="1"/>
  <c r="AD609" i="1"/>
  <c r="BY605" i="1"/>
  <c r="CF597" i="1"/>
  <c r="CF464" i="1" s="1"/>
  <c r="CE597" i="1"/>
  <c r="CD597" i="1"/>
  <c r="AB597" i="1"/>
  <c r="S597" i="1"/>
  <c r="R597" i="1"/>
  <c r="G597" i="1"/>
  <c r="CC596" i="1"/>
  <c r="CB623" i="1" s="1"/>
  <c r="BX596" i="1"/>
  <c r="AE596" i="1"/>
  <c r="AE597" i="1" s="1"/>
  <c r="AE464" i="1" s="1"/>
  <c r="AE30" i="1" s="1"/>
  <c r="Z596" i="1"/>
  <c r="U596" i="1"/>
  <c r="P596" i="1"/>
  <c r="K596" i="1"/>
  <c r="CC595" i="1"/>
  <c r="BX595" i="1"/>
  <c r="BV623" i="1" s="1"/>
  <c r="AE595" i="1"/>
  <c r="Z595" i="1"/>
  <c r="U595" i="1"/>
  <c r="P595" i="1"/>
  <c r="K595" i="1"/>
  <c r="CC594" i="1"/>
  <c r="BZ624" i="1" s="1"/>
  <c r="AE594" i="1"/>
  <c r="Z594" i="1"/>
  <c r="U594" i="1"/>
  <c r="P594" i="1"/>
  <c r="K594" i="1"/>
  <c r="CC593" i="1"/>
  <c r="CB593" i="1"/>
  <c r="CB597" i="1" s="1"/>
  <c r="CB464" i="1" s="1"/>
  <c r="CB30" i="1" s="1"/>
  <c r="CA593" i="1"/>
  <c r="CA597" i="1" s="1"/>
  <c r="BZ593" i="1"/>
  <c r="BZ597" i="1" s="1"/>
  <c r="BY593" i="1"/>
  <c r="BY597" i="1" s="1"/>
  <c r="BY602" i="1" s="1"/>
  <c r="BW593" i="1"/>
  <c r="BW597" i="1" s="1"/>
  <c r="BW464" i="1" s="1"/>
  <c r="BV593" i="1"/>
  <c r="BV597" i="1" s="1"/>
  <c r="BV602" i="1" s="1"/>
  <c r="AE593" i="1"/>
  <c r="AD593" i="1"/>
  <c r="AD597" i="1" s="1"/>
  <c r="AD464" i="1" s="1"/>
  <c r="AD30" i="1" s="1"/>
  <c r="AC593" i="1"/>
  <c r="AC597" i="1" s="1"/>
  <c r="AB593" i="1"/>
  <c r="AA593" i="1"/>
  <c r="AA597" i="1" s="1"/>
  <c r="Z593" i="1"/>
  <c r="Y593" i="1"/>
  <c r="Y597" i="1" s="1"/>
  <c r="X593" i="1"/>
  <c r="X597" i="1" s="1"/>
  <c r="W593" i="1"/>
  <c r="W597" i="1" s="1"/>
  <c r="V593" i="1"/>
  <c r="V597" i="1" s="1"/>
  <c r="U593" i="1"/>
  <c r="T593" i="1"/>
  <c r="T597" i="1" s="1"/>
  <c r="S593" i="1"/>
  <c r="R593" i="1"/>
  <c r="Q593" i="1"/>
  <c r="Q597" i="1" s="1"/>
  <c r="P593" i="1"/>
  <c r="O593" i="1"/>
  <c r="O597" i="1" s="1"/>
  <c r="N593" i="1"/>
  <c r="N597" i="1" s="1"/>
  <c r="M593" i="1"/>
  <c r="M597" i="1" s="1"/>
  <c r="L593" i="1"/>
  <c r="L597" i="1" s="1"/>
  <c r="J593" i="1"/>
  <c r="J597" i="1" s="1"/>
  <c r="I593" i="1"/>
  <c r="I597" i="1" s="1"/>
  <c r="H593" i="1"/>
  <c r="H597" i="1" s="1"/>
  <c r="BT589" i="1"/>
  <c r="BR589" i="1"/>
  <c r="BS589" i="1" s="1"/>
  <c r="BQ589" i="1"/>
  <c r="BP589" i="1"/>
  <c r="BO589" i="1"/>
  <c r="BM589" i="1"/>
  <c r="BN589" i="1" s="1"/>
  <c r="BL589" i="1"/>
  <c r="BK589" i="1"/>
  <c r="BJ589" i="1"/>
  <c r="BH589" i="1"/>
  <c r="BI589" i="1" s="1"/>
  <c r="BG589" i="1"/>
  <c r="BF589" i="1"/>
  <c r="BE589" i="1"/>
  <c r="AW589" i="1"/>
  <c r="AY589" i="1" s="1"/>
  <c r="AV589" i="1"/>
  <c r="BT583" i="1"/>
  <c r="BR583" i="1"/>
  <c r="BQ583" i="1"/>
  <c r="BP583" i="1"/>
  <c r="BO583" i="1"/>
  <c r="BM583" i="1"/>
  <c r="BL583" i="1"/>
  <c r="BK583" i="1"/>
  <c r="BJ583" i="1"/>
  <c r="BH583" i="1"/>
  <c r="BG583" i="1"/>
  <c r="BF583" i="1"/>
  <c r="BE583" i="1"/>
  <c r="AW583" i="1"/>
  <c r="AV583" i="1"/>
  <c r="BT582" i="1"/>
  <c r="BR582" i="1"/>
  <c r="BQ582" i="1"/>
  <c r="BP582" i="1"/>
  <c r="BO582" i="1"/>
  <c r="BM582" i="1"/>
  <c r="BL582" i="1"/>
  <c r="BK582" i="1"/>
  <c r="BJ582" i="1"/>
  <c r="BH582" i="1"/>
  <c r="BG582" i="1"/>
  <c r="BF582" i="1"/>
  <c r="BE582" i="1"/>
  <c r="AW582" i="1"/>
  <c r="AV582" i="1"/>
  <c r="BT581" i="1"/>
  <c r="BR581" i="1"/>
  <c r="BQ581" i="1"/>
  <c r="BP581" i="1"/>
  <c r="BO581" i="1"/>
  <c r="BM581" i="1"/>
  <c r="BL581" i="1"/>
  <c r="BK581" i="1"/>
  <c r="BJ581" i="1"/>
  <c r="BH581" i="1"/>
  <c r="BG581" i="1"/>
  <c r="BF581" i="1"/>
  <c r="BE581" i="1"/>
  <c r="AW581" i="1"/>
  <c r="AW584" i="1" s="1"/>
  <c r="AV581" i="1"/>
  <c r="BT574" i="1"/>
  <c r="BR574" i="1"/>
  <c r="BQ574" i="1"/>
  <c r="BP574" i="1"/>
  <c r="BO574" i="1"/>
  <c r="BM574" i="1"/>
  <c r="BL574" i="1"/>
  <c r="BK574" i="1"/>
  <c r="BJ574" i="1"/>
  <c r="BH574" i="1"/>
  <c r="BG574" i="1"/>
  <c r="BF574" i="1"/>
  <c r="BE574" i="1"/>
  <c r="AW574" i="1"/>
  <c r="AV574" i="1"/>
  <c r="BR567" i="1"/>
  <c r="BM567" i="1"/>
  <c r="BH567" i="1"/>
  <c r="BC567" i="1"/>
  <c r="AX567" i="1"/>
  <c r="AS567" i="1"/>
  <c r="AN567" i="1"/>
  <c r="AI567" i="1"/>
  <c r="AD567" i="1"/>
  <c r="Y567" i="1"/>
  <c r="T567" i="1"/>
  <c r="O567" i="1"/>
  <c r="J567" i="1"/>
  <c r="BR566" i="1"/>
  <c r="BM566" i="1"/>
  <c r="BH566" i="1"/>
  <c r="BC566" i="1"/>
  <c r="AX566" i="1"/>
  <c r="AS566" i="1"/>
  <c r="AN566" i="1"/>
  <c r="AI566" i="1"/>
  <c r="AD566" i="1"/>
  <c r="Y566" i="1"/>
  <c r="T566" i="1"/>
  <c r="Q566" i="1"/>
  <c r="P566" i="1"/>
  <c r="O566" i="1"/>
  <c r="N566" i="1"/>
  <c r="M566" i="1"/>
  <c r="L566" i="1"/>
  <c r="K566" i="1"/>
  <c r="J566" i="1" s="1"/>
  <c r="I566" i="1"/>
  <c r="H566" i="1"/>
  <c r="G566" i="1"/>
  <c r="F566" i="1"/>
  <c r="E566" i="1"/>
  <c r="D566" i="1"/>
  <c r="C566" i="1"/>
  <c r="BT560" i="1"/>
  <c r="BR560" i="1"/>
  <c r="BQ560" i="1"/>
  <c r="BP560" i="1"/>
  <c r="BO560" i="1"/>
  <c r="BN560" i="1"/>
  <c r="BM560" i="1"/>
  <c r="BL560" i="1"/>
  <c r="BK560" i="1"/>
  <c r="BJ560" i="1"/>
  <c r="BT559" i="1"/>
  <c r="BR559" i="1"/>
  <c r="BQ559" i="1"/>
  <c r="BP559" i="1"/>
  <c r="BO559" i="1"/>
  <c r="BN559" i="1"/>
  <c r="BM559" i="1" s="1"/>
  <c r="BL559" i="1"/>
  <c r="BK559" i="1"/>
  <c r="BJ559" i="1"/>
  <c r="BR557" i="1"/>
  <c r="BO557" i="1"/>
  <c r="BM557" i="1"/>
  <c r="BJ557" i="1"/>
  <c r="BH557" i="1"/>
  <c r="BE557" i="1"/>
  <c r="BC557" i="1"/>
  <c r="AX557" i="1"/>
  <c r="AS557" i="1"/>
  <c r="AN557" i="1"/>
  <c r="AI557" i="1"/>
  <c r="AD557" i="1"/>
  <c r="Y557" i="1"/>
  <c r="T557" i="1"/>
  <c r="Q557" i="1"/>
  <c r="P557" i="1"/>
  <c r="O557" i="1" s="1"/>
  <c r="N557" i="1"/>
  <c r="M557" i="1"/>
  <c r="L557" i="1"/>
  <c r="K557" i="1"/>
  <c r="J557" i="1" s="1"/>
  <c r="I557" i="1"/>
  <c r="H557" i="1"/>
  <c r="G557" i="1"/>
  <c r="F557" i="1"/>
  <c r="E557" i="1"/>
  <c r="D557" i="1"/>
  <c r="C557" i="1"/>
  <c r="BR556" i="1"/>
  <c r="BM556" i="1"/>
  <c r="BH556" i="1"/>
  <c r="BC556" i="1"/>
  <c r="AX556" i="1"/>
  <c r="AS556" i="1"/>
  <c r="AN556" i="1"/>
  <c r="AI556" i="1"/>
  <c r="AD556" i="1"/>
  <c r="Y556" i="1"/>
  <c r="T556" i="1"/>
  <c r="Q556" i="1"/>
  <c r="P556" i="1"/>
  <c r="O556" i="1" s="1"/>
  <c r="N556" i="1"/>
  <c r="M556" i="1"/>
  <c r="L556" i="1"/>
  <c r="K556" i="1"/>
  <c r="J556" i="1" s="1"/>
  <c r="I556" i="1"/>
  <c r="H556" i="1"/>
  <c r="G556" i="1"/>
  <c r="F556" i="1"/>
  <c r="E556" i="1"/>
  <c r="D556" i="1"/>
  <c r="C556" i="1"/>
  <c r="BT553" i="1"/>
  <c r="BS553" i="1"/>
  <c r="BQ553" i="1"/>
  <c r="BP553" i="1"/>
  <c r="BO553" i="1"/>
  <c r="BN553" i="1"/>
  <c r="BL553" i="1"/>
  <c r="BM549" i="1" s="1"/>
  <c r="BK553" i="1"/>
  <c r="BL549" i="1" s="1"/>
  <c r="BJ553" i="1"/>
  <c r="BK549" i="1" s="1"/>
  <c r="BI553" i="1"/>
  <c r="BG553" i="1"/>
  <c r="BH549" i="1" s="1"/>
  <c r="BF553" i="1"/>
  <c r="BG549" i="1" s="1"/>
  <c r="BE553" i="1"/>
  <c r="BF549" i="1" s="1"/>
  <c r="BD553" i="1"/>
  <c r="BB553" i="1"/>
  <c r="BC549" i="1" s="1"/>
  <c r="BA553" i="1"/>
  <c r="AZ553" i="1"/>
  <c r="BA549" i="1" s="1"/>
  <c r="AY553" i="1"/>
  <c r="AW553" i="1"/>
  <c r="AV553" i="1"/>
  <c r="AU553" i="1"/>
  <c r="AV549" i="1" s="1"/>
  <c r="AT553" i="1"/>
  <c r="AR553" i="1"/>
  <c r="AS549" i="1" s="1"/>
  <c r="AQ553" i="1"/>
  <c r="AR549" i="1" s="1"/>
  <c r="AP553" i="1"/>
  <c r="AO553" i="1"/>
  <c r="AM553" i="1"/>
  <c r="AN549" i="1" s="1"/>
  <c r="AL553" i="1"/>
  <c r="AK553" i="1"/>
  <c r="AJ553" i="1"/>
  <c r="AI553" i="1"/>
  <c r="AH553" i="1"/>
  <c r="AI549" i="1" s="1"/>
  <c r="AG553" i="1"/>
  <c r="AF553" i="1"/>
  <c r="AG549" i="1" s="1"/>
  <c r="AE553" i="1"/>
  <c r="AC553" i="1"/>
  <c r="AB553" i="1"/>
  <c r="AC549" i="1" s="1"/>
  <c r="AA553" i="1"/>
  <c r="AB549" i="1" s="1"/>
  <c r="Z553" i="1"/>
  <c r="X553" i="1"/>
  <c r="W553" i="1"/>
  <c r="X549" i="1" s="1"/>
  <c r="V553" i="1"/>
  <c r="U553" i="1"/>
  <c r="S553" i="1"/>
  <c r="T549" i="1" s="1"/>
  <c r="R553" i="1"/>
  <c r="S549" i="1" s="1"/>
  <c r="P553" i="1"/>
  <c r="K553" i="1"/>
  <c r="BT552" i="1"/>
  <c r="BS552" i="1"/>
  <c r="BO552" i="1"/>
  <c r="BN552" i="1"/>
  <c r="BJ552" i="1"/>
  <c r="BI552" i="1"/>
  <c r="BE552" i="1"/>
  <c r="BD552" i="1"/>
  <c r="AZ552" i="1"/>
  <c r="AY552" i="1"/>
  <c r="AU552" i="1"/>
  <c r="AT552" i="1"/>
  <c r="AP552" i="1"/>
  <c r="AO552" i="1"/>
  <c r="AK552" i="1"/>
  <c r="AJ552" i="1"/>
  <c r="AE552" i="1"/>
  <c r="AA552" i="1"/>
  <c r="BT551" i="1"/>
  <c r="BS551" i="1"/>
  <c r="BO551" i="1"/>
  <c r="BN551" i="1"/>
  <c r="BJ551" i="1"/>
  <c r="BI551" i="1"/>
  <c r="BG551" i="1"/>
  <c r="BE551" i="1"/>
  <c r="BD551" i="1"/>
  <c r="AZ551" i="1"/>
  <c r="AY551" i="1"/>
  <c r="AU551" i="1"/>
  <c r="AT551" i="1"/>
  <c r="AP551" i="1"/>
  <c r="AO551" i="1"/>
  <c r="AK551" i="1"/>
  <c r="AJ551" i="1"/>
  <c r="AF551" i="1"/>
  <c r="AE551" i="1"/>
  <c r="AA551" i="1"/>
  <c r="Z551" i="1"/>
  <c r="V551" i="1"/>
  <c r="U551" i="1"/>
  <c r="Q551" i="1"/>
  <c r="BT550" i="1"/>
  <c r="BS550" i="1"/>
  <c r="BQ550" i="1"/>
  <c r="BP550" i="1"/>
  <c r="BO550" i="1"/>
  <c r="BN550" i="1"/>
  <c r="BJ550" i="1"/>
  <c r="BI550" i="1"/>
  <c r="BE550" i="1"/>
  <c r="BD550" i="1"/>
  <c r="AZ550" i="1"/>
  <c r="AY550" i="1"/>
  <c r="AU550" i="1"/>
  <c r="AT550" i="1"/>
  <c r="AR550" i="1"/>
  <c r="AP550" i="1"/>
  <c r="AO550" i="1"/>
  <c r="AK550" i="1"/>
  <c r="AJ550" i="1"/>
  <c r="AG550" i="1"/>
  <c r="AF550" i="1"/>
  <c r="AE550" i="1"/>
  <c r="AA550" i="1"/>
  <c r="Z550" i="1"/>
  <c r="W550" i="1"/>
  <c r="V550" i="1"/>
  <c r="U550" i="1"/>
  <c r="K550" i="1"/>
  <c r="BR549" i="1"/>
  <c r="BQ549" i="1"/>
  <c r="BP549" i="1"/>
  <c r="BN549" i="1"/>
  <c r="BI549" i="1"/>
  <c r="BE549" i="1"/>
  <c r="BD549" i="1"/>
  <c r="AZ549" i="1"/>
  <c r="AY549" i="1"/>
  <c r="AX549" i="1"/>
  <c r="AW549" i="1"/>
  <c r="AU549" i="1"/>
  <c r="AT549" i="1"/>
  <c r="AP549" i="1"/>
  <c r="AO549" i="1"/>
  <c r="AM549" i="1"/>
  <c r="AK549" i="1"/>
  <c r="AJ549" i="1"/>
  <c r="AF549" i="1"/>
  <c r="AE549" i="1"/>
  <c r="AA549" i="1"/>
  <c r="Z549" i="1"/>
  <c r="Y549" i="1"/>
  <c r="W549" i="1"/>
  <c r="V549" i="1"/>
  <c r="U549" i="1"/>
  <c r="O549" i="1"/>
  <c r="N549" i="1"/>
  <c r="BR547" i="1"/>
  <c r="BR553" i="1" s="1"/>
  <c r="BM547" i="1"/>
  <c r="BM553" i="1" s="1"/>
  <c r="BH547" i="1"/>
  <c r="BH553" i="1" s="1"/>
  <c r="BC547" i="1"/>
  <c r="BC553" i="1" s="1"/>
  <c r="AX547" i="1"/>
  <c r="AX553" i="1" s="1"/>
  <c r="AS547" i="1"/>
  <c r="AS553" i="1" s="1"/>
  <c r="AN547" i="1"/>
  <c r="AN553" i="1" s="1"/>
  <c r="AI547" i="1"/>
  <c r="AD547" i="1"/>
  <c r="AD553" i="1" s="1"/>
  <c r="Y547" i="1"/>
  <c r="Y553" i="1" s="1"/>
  <c r="T547" i="1"/>
  <c r="T553" i="1" s="1"/>
  <c r="Q547" i="1"/>
  <c r="Q553" i="1" s="1"/>
  <c r="P547" i="1"/>
  <c r="O547" i="1" s="1"/>
  <c r="O553" i="1" s="1"/>
  <c r="N547" i="1"/>
  <c r="N553" i="1" s="1"/>
  <c r="M547" i="1"/>
  <c r="M553" i="1" s="1"/>
  <c r="L547" i="1"/>
  <c r="L553" i="1" s="1"/>
  <c r="M549" i="1" s="1"/>
  <c r="K547" i="1"/>
  <c r="J547" i="1" s="1"/>
  <c r="J553" i="1" s="1"/>
  <c r="I547" i="1"/>
  <c r="I553" i="1" s="1"/>
  <c r="J549" i="1" s="1"/>
  <c r="H547" i="1"/>
  <c r="H553" i="1" s="1"/>
  <c r="G547" i="1"/>
  <c r="G553" i="1" s="1"/>
  <c r="H549" i="1" s="1"/>
  <c r="F547" i="1"/>
  <c r="F553" i="1" s="1"/>
  <c r="E547" i="1"/>
  <c r="E553" i="1" s="1"/>
  <c r="D547" i="1"/>
  <c r="D553" i="1" s="1"/>
  <c r="C547" i="1"/>
  <c r="C553" i="1" s="1"/>
  <c r="BR546" i="1"/>
  <c r="BM546" i="1"/>
  <c r="BH546" i="1"/>
  <c r="BC546" i="1"/>
  <c r="AX546" i="1"/>
  <c r="AS546" i="1"/>
  <c r="AN546" i="1"/>
  <c r="AI546" i="1"/>
  <c r="AD546" i="1"/>
  <c r="F546" i="1"/>
  <c r="F552" i="1" s="1"/>
  <c r="C546" i="1"/>
  <c r="C552" i="1" s="1"/>
  <c r="BR545" i="1"/>
  <c r="BM545" i="1"/>
  <c r="BH545" i="1"/>
  <c r="BC545" i="1"/>
  <c r="AX545" i="1"/>
  <c r="AS545" i="1"/>
  <c r="AN545" i="1"/>
  <c r="AI545" i="1"/>
  <c r="AD545" i="1"/>
  <c r="Y545" i="1"/>
  <c r="T545" i="1"/>
  <c r="Q545" i="1"/>
  <c r="P545" i="1"/>
  <c r="N545" i="1"/>
  <c r="M545" i="1"/>
  <c r="L545" i="1"/>
  <c r="L551" i="1" s="1"/>
  <c r="K545" i="1"/>
  <c r="I545" i="1"/>
  <c r="H545" i="1"/>
  <c r="G545" i="1"/>
  <c r="G551" i="1" s="1"/>
  <c r="F545" i="1"/>
  <c r="F551" i="1" s="1"/>
  <c r="E545" i="1"/>
  <c r="E551" i="1" s="1"/>
  <c r="D545" i="1"/>
  <c r="D551" i="1" s="1"/>
  <c r="C545" i="1"/>
  <c r="C551" i="1" s="1"/>
  <c r="BR544" i="1"/>
  <c r="BM544" i="1"/>
  <c r="BH544" i="1"/>
  <c r="BC544" i="1"/>
  <c r="AX544" i="1"/>
  <c r="AS544" i="1"/>
  <c r="AN544" i="1"/>
  <c r="AI544" i="1"/>
  <c r="AI550" i="1" s="1"/>
  <c r="AD544" i="1"/>
  <c r="Y544" i="1"/>
  <c r="T544" i="1"/>
  <c r="Q544" i="1"/>
  <c r="Q550" i="1" s="1"/>
  <c r="P544" i="1"/>
  <c r="N544" i="1"/>
  <c r="M544" i="1"/>
  <c r="L544" i="1"/>
  <c r="L550" i="1" s="1"/>
  <c r="K544" i="1"/>
  <c r="J544" i="1" s="1"/>
  <c r="I544" i="1"/>
  <c r="H544" i="1"/>
  <c r="G544" i="1"/>
  <c r="G550" i="1" s="1"/>
  <c r="F544" i="1"/>
  <c r="F550" i="1" s="1"/>
  <c r="E544" i="1"/>
  <c r="E550" i="1" s="1"/>
  <c r="D544" i="1"/>
  <c r="D550" i="1" s="1"/>
  <c r="C544" i="1"/>
  <c r="C550" i="1" s="1"/>
  <c r="BT543" i="1"/>
  <c r="BT549" i="1" s="1"/>
  <c r="BQ543" i="1"/>
  <c r="BR543" i="1" s="1"/>
  <c r="BS543" i="1" s="1"/>
  <c r="BS549" i="1" s="1"/>
  <c r="BP543" i="1"/>
  <c r="BO543" i="1"/>
  <c r="BO549" i="1" s="1"/>
  <c r="BL543" i="1"/>
  <c r="BM543" i="1" s="1"/>
  <c r="BK543" i="1"/>
  <c r="BJ543" i="1"/>
  <c r="BJ549" i="1" s="1"/>
  <c r="BG543" i="1"/>
  <c r="BH543" i="1" s="1"/>
  <c r="BF543" i="1"/>
  <c r="BC543" i="1"/>
  <c r="AX543" i="1"/>
  <c r="AS543" i="1"/>
  <c r="AN543" i="1"/>
  <c r="AI543" i="1"/>
  <c r="AD543" i="1"/>
  <c r="Y543" i="1"/>
  <c r="T543" i="1"/>
  <c r="Q543" i="1"/>
  <c r="Q549" i="1" s="1"/>
  <c r="P543" i="1"/>
  <c r="P549" i="1" s="1"/>
  <c r="N543" i="1"/>
  <c r="O543" i="1" s="1"/>
  <c r="M543" i="1"/>
  <c r="L543" i="1"/>
  <c r="L549" i="1" s="1"/>
  <c r="K543" i="1"/>
  <c r="K549" i="1" s="1"/>
  <c r="I543" i="1"/>
  <c r="J543" i="1" s="1"/>
  <c r="H543" i="1"/>
  <c r="G543" i="1"/>
  <c r="G549" i="1" s="1"/>
  <c r="F543" i="1"/>
  <c r="F549" i="1" s="1"/>
  <c r="E543" i="1"/>
  <c r="E549" i="1" s="1"/>
  <c r="D543" i="1"/>
  <c r="D549" i="1" s="1"/>
  <c r="C543" i="1"/>
  <c r="C549" i="1" s="1"/>
  <c r="BT540" i="1"/>
  <c r="BQ540" i="1"/>
  <c r="BQ552" i="1" s="1"/>
  <c r="BP540" i="1"/>
  <c r="BP552" i="1" s="1"/>
  <c r="BO540" i="1"/>
  <c r="BL540" i="1"/>
  <c r="BL552" i="1" s="1"/>
  <c r="BK540" i="1"/>
  <c r="BK552" i="1" s="1"/>
  <c r="BJ540" i="1"/>
  <c r="BG540" i="1"/>
  <c r="BG552" i="1" s="1"/>
  <c r="BF540" i="1"/>
  <c r="BF552" i="1" s="1"/>
  <c r="BE540" i="1"/>
  <c r="BB540" i="1"/>
  <c r="BB552" i="1" s="1"/>
  <c r="BA540" i="1"/>
  <c r="BA552" i="1" s="1"/>
  <c r="AZ540" i="1"/>
  <c r="AW540" i="1"/>
  <c r="AW552" i="1" s="1"/>
  <c r="AV540" i="1"/>
  <c r="AV552" i="1" s="1"/>
  <c r="AU540" i="1"/>
  <c r="AR540" i="1"/>
  <c r="AR552" i="1" s="1"/>
  <c r="AQ540" i="1"/>
  <c r="AP540" i="1"/>
  <c r="AM540" i="1"/>
  <c r="AM552" i="1" s="1"/>
  <c r="AL540" i="1"/>
  <c r="AK540" i="1"/>
  <c r="AH540" i="1"/>
  <c r="AG540" i="1"/>
  <c r="AG552" i="1" s="1"/>
  <c r="AF540" i="1"/>
  <c r="AC540" i="1"/>
  <c r="AB540" i="1"/>
  <c r="AA540" i="1"/>
  <c r="BT539" i="1"/>
  <c r="BQ539" i="1"/>
  <c r="BQ551" i="1" s="1"/>
  <c r="BP539" i="1"/>
  <c r="BP551" i="1" s="1"/>
  <c r="BO539" i="1"/>
  <c r="BL539" i="1"/>
  <c r="BL551" i="1" s="1"/>
  <c r="BK539" i="1"/>
  <c r="BK551" i="1" s="1"/>
  <c r="BJ539" i="1"/>
  <c r="BG539" i="1"/>
  <c r="BF539" i="1"/>
  <c r="BF551" i="1" s="1"/>
  <c r="BE539" i="1"/>
  <c r="BB539" i="1"/>
  <c r="BB551" i="1" s="1"/>
  <c r="BA539" i="1"/>
  <c r="BA551" i="1" s="1"/>
  <c r="AZ539" i="1"/>
  <c r="AW539" i="1"/>
  <c r="AW551" i="1" s="1"/>
  <c r="AV539" i="1"/>
  <c r="AV551" i="1" s="1"/>
  <c r="AU539" i="1"/>
  <c r="AR539" i="1"/>
  <c r="AR551" i="1" s="1"/>
  <c r="AQ539" i="1"/>
  <c r="AQ551" i="1" s="1"/>
  <c r="AP539" i="1"/>
  <c r="AM539" i="1"/>
  <c r="AM551" i="1" s="1"/>
  <c r="AL539" i="1"/>
  <c r="AL551" i="1" s="1"/>
  <c r="AK539" i="1"/>
  <c r="AH539" i="1"/>
  <c r="AH551" i="1" s="1"/>
  <c r="AG539" i="1"/>
  <c r="AG551" i="1" s="1"/>
  <c r="AF539" i="1"/>
  <c r="AC539" i="1"/>
  <c r="AC551" i="1" s="1"/>
  <c r="AB539" i="1"/>
  <c r="AB551" i="1" s="1"/>
  <c r="AA539" i="1"/>
  <c r="X539" i="1"/>
  <c r="X551" i="1" s="1"/>
  <c r="W539" i="1"/>
  <c r="W551" i="1" s="1"/>
  <c r="V539" i="1"/>
  <c r="S539" i="1"/>
  <c r="S551" i="1" s="1"/>
  <c r="M539" i="1"/>
  <c r="BT538" i="1"/>
  <c r="BQ538" i="1"/>
  <c r="BP538" i="1"/>
  <c r="BO538" i="1"/>
  <c r="BL538" i="1"/>
  <c r="BL550" i="1" s="1"/>
  <c r="BK538" i="1"/>
  <c r="BK550" i="1" s="1"/>
  <c r="BJ538" i="1"/>
  <c r="BG538" i="1"/>
  <c r="BG550" i="1" s="1"/>
  <c r="BF538" i="1"/>
  <c r="BF550" i="1" s="1"/>
  <c r="BE538" i="1"/>
  <c r="BB538" i="1"/>
  <c r="BA538" i="1"/>
  <c r="BA550" i="1" s="1"/>
  <c r="AZ538" i="1"/>
  <c r="AW538" i="1"/>
  <c r="AW550" i="1" s="1"/>
  <c r="AV538" i="1"/>
  <c r="AU538" i="1"/>
  <c r="AR538" i="1"/>
  <c r="AQ538" i="1"/>
  <c r="AQ550" i="1" s="1"/>
  <c r="AP538" i="1"/>
  <c r="AM538" i="1"/>
  <c r="AM550" i="1" s="1"/>
  <c r="AL538" i="1"/>
  <c r="AK538" i="1"/>
  <c r="AH538" i="1"/>
  <c r="AH550" i="1" s="1"/>
  <c r="AG538" i="1"/>
  <c r="AF538" i="1"/>
  <c r="AC538" i="1"/>
  <c r="AC550" i="1" s="1"/>
  <c r="AB538" i="1"/>
  <c r="AB550" i="1" s="1"/>
  <c r="AA538" i="1"/>
  <c r="X538" i="1"/>
  <c r="X550" i="1" s="1"/>
  <c r="W538" i="1"/>
  <c r="V538" i="1"/>
  <c r="T538" i="1"/>
  <c r="S538" i="1"/>
  <c r="S550" i="1" s="1"/>
  <c r="BN535" i="1"/>
  <c r="BI535" i="1"/>
  <c r="BC535" i="1"/>
  <c r="AX535" i="1"/>
  <c r="AS535" i="1"/>
  <c r="AN535" i="1"/>
  <c r="AI535" i="1"/>
  <c r="AD535" i="1"/>
  <c r="Y535" i="1"/>
  <c r="T535" i="1"/>
  <c r="Q535" i="1"/>
  <c r="P535" i="1"/>
  <c r="O535" i="1" s="1"/>
  <c r="N535" i="1"/>
  <c r="M535" i="1"/>
  <c r="L535" i="1"/>
  <c r="K535" i="1"/>
  <c r="J535" i="1" s="1"/>
  <c r="I535" i="1"/>
  <c r="H535" i="1"/>
  <c r="G535" i="1"/>
  <c r="F535" i="1"/>
  <c r="E535" i="1"/>
  <c r="D535" i="1"/>
  <c r="C535" i="1"/>
  <c r="BR534" i="1"/>
  <c r="BR540" i="1" s="1"/>
  <c r="BM534" i="1"/>
  <c r="BH534" i="1"/>
  <c r="BC534" i="1"/>
  <c r="AX534" i="1"/>
  <c r="AS534" i="1"/>
  <c r="AS540" i="1" s="1"/>
  <c r="AN534" i="1"/>
  <c r="AN540" i="1" s="1"/>
  <c r="AN552" i="1" s="1"/>
  <c r="AI534" i="1"/>
  <c r="AI540" i="1" s="1"/>
  <c r="AI552" i="1" s="1"/>
  <c r="AD534" i="1"/>
  <c r="AD540" i="1" s="1"/>
  <c r="F534" i="1"/>
  <c r="F540" i="1" s="1"/>
  <c r="C534" i="1"/>
  <c r="C540" i="1" s="1"/>
  <c r="BR533" i="1"/>
  <c r="BR539" i="1" s="1"/>
  <c r="BM533" i="1"/>
  <c r="BH533" i="1"/>
  <c r="BC533" i="1"/>
  <c r="BC539" i="1" s="1"/>
  <c r="AX533" i="1"/>
  <c r="AS533" i="1"/>
  <c r="AN533" i="1"/>
  <c r="AI533" i="1"/>
  <c r="AD533" i="1"/>
  <c r="Y533" i="1"/>
  <c r="T533" i="1"/>
  <c r="Q533" i="1"/>
  <c r="Q539" i="1" s="1"/>
  <c r="P533" i="1"/>
  <c r="O533" i="1" s="1"/>
  <c r="N533" i="1"/>
  <c r="M533" i="1"/>
  <c r="L533" i="1"/>
  <c r="L539" i="1" s="1"/>
  <c r="K533" i="1"/>
  <c r="J533" i="1" s="1"/>
  <c r="I533" i="1"/>
  <c r="H533" i="1"/>
  <c r="G533" i="1"/>
  <c r="G539" i="1" s="1"/>
  <c r="F533" i="1"/>
  <c r="F539" i="1" s="1"/>
  <c r="E533" i="1"/>
  <c r="E539" i="1" s="1"/>
  <c r="D533" i="1"/>
  <c r="D539" i="1" s="1"/>
  <c r="C533" i="1"/>
  <c r="C539" i="1" s="1"/>
  <c r="BR532" i="1"/>
  <c r="BM532" i="1"/>
  <c r="BM538" i="1" s="1"/>
  <c r="BH532" i="1"/>
  <c r="BC532" i="1"/>
  <c r="BC538" i="1" s="1"/>
  <c r="AX532" i="1"/>
  <c r="AS532" i="1"/>
  <c r="AN532" i="1"/>
  <c r="AN538" i="1" s="1"/>
  <c r="AI532" i="1"/>
  <c r="AI538" i="1" s="1"/>
  <c r="AD532" i="1"/>
  <c r="Y532" i="1"/>
  <c r="Y538" i="1" s="1"/>
  <c r="T532" i="1"/>
  <c r="Q532" i="1"/>
  <c r="Q538" i="1" s="1"/>
  <c r="P532" i="1"/>
  <c r="O532" i="1" s="1"/>
  <c r="N532" i="1"/>
  <c r="M532" i="1"/>
  <c r="L532" i="1"/>
  <c r="L538" i="1" s="1"/>
  <c r="K532" i="1"/>
  <c r="J532" i="1" s="1"/>
  <c r="I532" i="1"/>
  <c r="H532" i="1"/>
  <c r="G532" i="1"/>
  <c r="G538" i="1" s="1"/>
  <c r="F532" i="1"/>
  <c r="F538" i="1" s="1"/>
  <c r="E532" i="1"/>
  <c r="E538" i="1" s="1"/>
  <c r="D532" i="1"/>
  <c r="D538" i="1" s="1"/>
  <c r="C532" i="1"/>
  <c r="C538" i="1" s="1"/>
  <c r="BG531" i="1"/>
  <c r="BF531" i="1"/>
  <c r="BF535" i="1" s="1"/>
  <c r="BE531" i="1"/>
  <c r="BE535" i="1" s="1"/>
  <c r="BE556" i="1" s="1"/>
  <c r="BC531" i="1"/>
  <c r="AX531" i="1"/>
  <c r="AS531" i="1"/>
  <c r="AN531" i="1"/>
  <c r="AI531" i="1"/>
  <c r="AD531" i="1"/>
  <c r="Y531" i="1"/>
  <c r="T531" i="1"/>
  <c r="Q531" i="1"/>
  <c r="P531" i="1"/>
  <c r="N531" i="1"/>
  <c r="O531" i="1" s="1"/>
  <c r="M531" i="1"/>
  <c r="L531" i="1"/>
  <c r="K531" i="1"/>
  <c r="I531" i="1"/>
  <c r="J531" i="1" s="1"/>
  <c r="H531" i="1"/>
  <c r="G531" i="1"/>
  <c r="F531" i="1"/>
  <c r="F537" i="1" s="1"/>
  <c r="E531" i="1"/>
  <c r="E537" i="1" s="1"/>
  <c r="D531" i="1"/>
  <c r="D537" i="1" s="1"/>
  <c r="C531" i="1"/>
  <c r="C537" i="1" s="1"/>
  <c r="C526" i="1"/>
  <c r="BT524" i="1"/>
  <c r="BS524" i="1"/>
  <c r="BQ524" i="1"/>
  <c r="BP524" i="1"/>
  <c r="BO524" i="1"/>
  <c r="BN524" i="1"/>
  <c r="BL524" i="1"/>
  <c r="BK524" i="1"/>
  <c r="BJ524" i="1"/>
  <c r="BI524" i="1"/>
  <c r="BG524" i="1"/>
  <c r="BF524" i="1"/>
  <c r="BE524" i="1"/>
  <c r="BD524" i="1"/>
  <c r="BB524" i="1"/>
  <c r="BA524" i="1"/>
  <c r="AZ524" i="1"/>
  <c r="AY524" i="1"/>
  <c r="AX524" i="1"/>
  <c r="AW524" i="1"/>
  <c r="AV524" i="1"/>
  <c r="AU524" i="1"/>
  <c r="AT524" i="1"/>
  <c r="AR524" i="1"/>
  <c r="AQ524" i="1"/>
  <c r="AP524" i="1"/>
  <c r="AO524" i="1"/>
  <c r="AM524" i="1"/>
  <c r="AL524" i="1"/>
  <c r="AK524" i="1"/>
  <c r="AJ524" i="1"/>
  <c r="AH524" i="1"/>
  <c r="AG524" i="1"/>
  <c r="AF524" i="1"/>
  <c r="AE524" i="1"/>
  <c r="AC524" i="1"/>
  <c r="AB524" i="1"/>
  <c r="AA524" i="1"/>
  <c r="Z524" i="1"/>
  <c r="X524" i="1"/>
  <c r="W524" i="1"/>
  <c r="M524" i="1"/>
  <c r="BQ523" i="1"/>
  <c r="BP523" i="1"/>
  <c r="BL523" i="1"/>
  <c r="BK523" i="1"/>
  <c r="BG523" i="1"/>
  <c r="BF523" i="1"/>
  <c r="BE523" i="1"/>
  <c r="BC523" i="1"/>
  <c r="BB523" i="1"/>
  <c r="BA523" i="1"/>
  <c r="AW523" i="1"/>
  <c r="AV523" i="1"/>
  <c r="AR523" i="1"/>
  <c r="AQ523" i="1"/>
  <c r="AM523" i="1"/>
  <c r="AL523" i="1"/>
  <c r="AH523" i="1"/>
  <c r="AG523" i="1"/>
  <c r="AC523" i="1"/>
  <c r="AB523" i="1"/>
  <c r="X523" i="1"/>
  <c r="W523" i="1"/>
  <c r="S523" i="1"/>
  <c r="R523" i="1"/>
  <c r="BR518" i="1"/>
  <c r="BT523" i="1" s="1"/>
  <c r="BM518" i="1"/>
  <c r="BO523" i="1" s="1"/>
  <c r="BH518" i="1"/>
  <c r="BC518" i="1"/>
  <c r="AX518" i="1"/>
  <c r="AS518" i="1"/>
  <c r="AN518" i="1"/>
  <c r="AI518" i="1"/>
  <c r="AD518" i="1"/>
  <c r="AF523" i="1" s="1"/>
  <c r="Y518" i="1"/>
  <c r="Y523" i="1" s="1"/>
  <c r="T518" i="1"/>
  <c r="Q518" i="1"/>
  <c r="P518" i="1"/>
  <c r="N518" i="1"/>
  <c r="M518" i="1"/>
  <c r="L518" i="1"/>
  <c r="K518" i="1"/>
  <c r="J518" i="1" s="1"/>
  <c r="I518" i="1"/>
  <c r="H518" i="1"/>
  <c r="G518" i="1"/>
  <c r="H523" i="1" s="1"/>
  <c r="F518" i="1"/>
  <c r="E518" i="1"/>
  <c r="D518" i="1"/>
  <c r="C518" i="1"/>
  <c r="BP516" i="1"/>
  <c r="BM516" i="1"/>
  <c r="BL516" i="1"/>
  <c r="BH516" i="1"/>
  <c r="BD516" i="1"/>
  <c r="BC516" i="1"/>
  <c r="AX516" i="1"/>
  <c r="AV516" i="1"/>
  <c r="AU516" i="1"/>
  <c r="AT516" i="1"/>
  <c r="AR516" i="1"/>
  <c r="AN516" i="1"/>
  <c r="AM516" i="1"/>
  <c r="AJ516" i="1"/>
  <c r="AH516" i="1"/>
  <c r="AG516" i="1"/>
  <c r="AF516" i="1"/>
  <c r="AE516" i="1"/>
  <c r="AB516" i="1"/>
  <c r="Z516" i="1"/>
  <c r="Y516" i="1"/>
  <c r="X516" i="1"/>
  <c r="W516" i="1"/>
  <c r="R516" i="1"/>
  <c r="Q516" i="1"/>
  <c r="P516" i="1"/>
  <c r="O516" i="1"/>
  <c r="N516" i="1"/>
  <c r="L516" i="1"/>
  <c r="I516" i="1"/>
  <c r="H516" i="1"/>
  <c r="G516" i="1"/>
  <c r="D516" i="1"/>
  <c r="C515" i="1"/>
  <c r="BT512" i="1"/>
  <c r="BT51" i="9" s="1"/>
  <c r="BS512" i="1"/>
  <c r="BS51" i="9" s="1"/>
  <c r="BR512" i="1"/>
  <c r="BR51" i="9" s="1"/>
  <c r="BQ512" i="1"/>
  <c r="BQ51" i="9" s="1"/>
  <c r="BP512" i="1"/>
  <c r="BP51" i="9" s="1"/>
  <c r="BO512" i="1"/>
  <c r="BO51" i="9" s="1"/>
  <c r="BN512" i="1"/>
  <c r="BN51" i="9" s="1"/>
  <c r="BM512" i="1"/>
  <c r="BM51" i="9" s="1"/>
  <c r="BL512" i="1"/>
  <c r="BL51" i="9" s="1"/>
  <c r="BK512" i="1"/>
  <c r="BK51" i="9" s="1"/>
  <c r="BJ512" i="1"/>
  <c r="BJ51" i="9" s="1"/>
  <c r="BI512" i="1"/>
  <c r="BI51" i="9" s="1"/>
  <c r="BH512" i="1"/>
  <c r="BH51" i="9" s="1"/>
  <c r="BG512" i="1"/>
  <c r="BG51" i="9" s="1"/>
  <c r="BF512" i="1"/>
  <c r="BF51" i="9" s="1"/>
  <c r="BE512" i="1"/>
  <c r="BE51" i="9" s="1"/>
  <c r="BD512" i="1"/>
  <c r="BD51" i="9" s="1"/>
  <c r="BC512" i="1"/>
  <c r="BC51" i="9" s="1"/>
  <c r="BB512" i="1"/>
  <c r="BB51" i="9" s="1"/>
  <c r="BA512" i="1"/>
  <c r="BA51" i="9" s="1"/>
  <c r="AZ512" i="1"/>
  <c r="AZ51" i="9" s="1"/>
  <c r="AY512" i="1"/>
  <c r="AY51" i="9" s="1"/>
  <c r="AX512" i="1"/>
  <c r="AX51" i="9" s="1"/>
  <c r="AW512" i="1"/>
  <c r="AW51" i="9" s="1"/>
  <c r="AV512" i="1"/>
  <c r="AV51" i="9" s="1"/>
  <c r="AU512" i="1"/>
  <c r="AU51" i="9" s="1"/>
  <c r="AT512" i="1"/>
  <c r="AT51" i="9" s="1"/>
  <c r="AS512" i="1"/>
  <c r="AS51" i="9" s="1"/>
  <c r="AR512" i="1"/>
  <c r="AR51" i="9" s="1"/>
  <c r="AQ512" i="1"/>
  <c r="AQ51" i="9" s="1"/>
  <c r="AP512" i="1"/>
  <c r="AP51" i="9" s="1"/>
  <c r="AO512" i="1"/>
  <c r="AO51" i="9" s="1"/>
  <c r="AN512" i="1"/>
  <c r="AN51" i="9" s="1"/>
  <c r="AM512" i="1"/>
  <c r="AM51" i="9" s="1"/>
  <c r="AL512" i="1"/>
  <c r="AL51" i="9" s="1"/>
  <c r="AK512" i="1"/>
  <c r="AK51" i="9" s="1"/>
  <c r="AJ512" i="1"/>
  <c r="AJ51" i="9" s="1"/>
  <c r="AI512" i="1"/>
  <c r="AI51" i="9" s="1"/>
  <c r="AH512" i="1"/>
  <c r="AH51" i="9" s="1"/>
  <c r="AG512" i="1"/>
  <c r="AG51" i="9" s="1"/>
  <c r="AF512" i="1"/>
  <c r="AF51" i="9" s="1"/>
  <c r="AE512" i="1"/>
  <c r="AE51" i="9" s="1"/>
  <c r="AD512" i="1"/>
  <c r="AD51" i="9" s="1"/>
  <c r="AC512" i="1"/>
  <c r="AC51" i="9" s="1"/>
  <c r="AB512" i="1"/>
  <c r="AB51" i="9" s="1"/>
  <c r="AA512" i="1"/>
  <c r="AA51" i="9" s="1"/>
  <c r="Z512" i="1"/>
  <c r="Z51" i="9" s="1"/>
  <c r="Y512" i="1"/>
  <c r="Y51" i="9" s="1"/>
  <c r="X512" i="1"/>
  <c r="X51" i="9" s="1"/>
  <c r="W512" i="1"/>
  <c r="W51" i="9" s="1"/>
  <c r="V512" i="1"/>
  <c r="V51" i="9" s="1"/>
  <c r="U512" i="1"/>
  <c r="U51" i="9" s="1"/>
  <c r="T512" i="1"/>
  <c r="T51" i="9" s="1"/>
  <c r="S512" i="1"/>
  <c r="S51" i="9" s="1"/>
  <c r="R512" i="1"/>
  <c r="R51" i="9" s="1"/>
  <c r="Q512" i="1"/>
  <c r="Q51" i="9" s="1"/>
  <c r="P512" i="1"/>
  <c r="P51" i="9" s="1"/>
  <c r="O512" i="1"/>
  <c r="O51" i="9" s="1"/>
  <c r="N512" i="1"/>
  <c r="N51" i="9" s="1"/>
  <c r="M512" i="1"/>
  <c r="M51" i="9" s="1"/>
  <c r="L512" i="1"/>
  <c r="L51" i="9" s="1"/>
  <c r="K512" i="1"/>
  <c r="K51" i="9" s="1"/>
  <c r="J512" i="1"/>
  <c r="J51" i="9" s="1"/>
  <c r="I512" i="1"/>
  <c r="I51" i="9" s="1"/>
  <c r="H512" i="1"/>
  <c r="H51" i="9" s="1"/>
  <c r="G512" i="1"/>
  <c r="G51" i="9" s="1"/>
  <c r="F512" i="1"/>
  <c r="F51" i="9" s="1"/>
  <c r="E512" i="1"/>
  <c r="E51" i="9" s="1"/>
  <c r="D512" i="1"/>
  <c r="D51" i="9" s="1"/>
  <c r="C512" i="1"/>
  <c r="C51" i="9" s="1"/>
  <c r="A508" i="1"/>
  <c r="CC499" i="1"/>
  <c r="BX499" i="1"/>
  <c r="CC498" i="1"/>
  <c r="BT498" i="1"/>
  <c r="BX498" i="1" s="1"/>
  <c r="BS498" i="1"/>
  <c r="BR498" i="1"/>
  <c r="BQ498" i="1"/>
  <c r="BP498" i="1"/>
  <c r="BO498" i="1"/>
  <c r="BN498" i="1"/>
  <c r="BM498" i="1"/>
  <c r="BL498" i="1"/>
  <c r="BK498" i="1"/>
  <c r="BJ498" i="1"/>
  <c r="BI498" i="1"/>
  <c r="BH498" i="1"/>
  <c r="BG498" i="1"/>
  <c r="BF498" i="1"/>
  <c r="BE498" i="1"/>
  <c r="BD498" i="1"/>
  <c r="BC498" i="1"/>
  <c r="BB498" i="1"/>
  <c r="BA498" i="1"/>
  <c r="AZ498" i="1"/>
  <c r="AY498" i="1"/>
  <c r="AX498" i="1"/>
  <c r="AW498" i="1"/>
  <c r="AV498" i="1"/>
  <c r="AU498" i="1"/>
  <c r="AT498" i="1"/>
  <c r="AS498" i="1"/>
  <c r="AR498" i="1"/>
  <c r="AQ498" i="1"/>
  <c r="AP498" i="1"/>
  <c r="AO498" i="1"/>
  <c r="AN498" i="1"/>
  <c r="AM498" i="1"/>
  <c r="AL498" i="1"/>
  <c r="AK498" i="1"/>
  <c r="AJ498" i="1"/>
  <c r="AI498" i="1"/>
  <c r="AH498" i="1"/>
  <c r="AG498" i="1"/>
  <c r="AF498" i="1"/>
  <c r="AE498" i="1"/>
  <c r="AD498" i="1"/>
  <c r="AC498" i="1"/>
  <c r="AB498" i="1"/>
  <c r="AA498" i="1"/>
  <c r="Z498" i="1"/>
  <c r="Y498" i="1"/>
  <c r="X498" i="1"/>
  <c r="W498" i="1"/>
  <c r="V498" i="1"/>
  <c r="T498" i="1"/>
  <c r="S498" i="1"/>
  <c r="R498" i="1"/>
  <c r="Q498" i="1"/>
  <c r="O498" i="1"/>
  <c r="N498" i="1"/>
  <c r="M498" i="1"/>
  <c r="L498" i="1"/>
  <c r="J498" i="1"/>
  <c r="I498" i="1"/>
  <c r="H498" i="1"/>
  <c r="G498" i="1"/>
  <c r="F498" i="1"/>
  <c r="E498" i="1"/>
  <c r="D498" i="1"/>
  <c r="C498" i="1"/>
  <c r="CC496" i="1"/>
  <c r="BT496" i="1"/>
  <c r="BT48" i="9" s="1"/>
  <c r="BS496" i="1"/>
  <c r="BR496" i="1"/>
  <c r="BR48" i="9" s="1"/>
  <c r="BQ496" i="1"/>
  <c r="BQ48" i="9" s="1"/>
  <c r="BP496" i="1"/>
  <c r="BP48" i="9" s="1"/>
  <c r="BO496" i="1"/>
  <c r="BO48" i="9" s="1"/>
  <c r="BN496" i="1"/>
  <c r="BM496" i="1"/>
  <c r="BM48" i="9" s="1"/>
  <c r="BL496" i="1"/>
  <c r="BL48" i="9" s="1"/>
  <c r="BK496" i="1"/>
  <c r="BK48" i="9" s="1"/>
  <c r="BJ496" i="1"/>
  <c r="BJ48" i="9" s="1"/>
  <c r="BI496" i="1"/>
  <c r="BH496" i="1"/>
  <c r="BH48" i="9" s="1"/>
  <c r="BG496" i="1"/>
  <c r="BG48" i="9" s="1"/>
  <c r="BF496" i="1"/>
  <c r="BF48" i="9" s="1"/>
  <c r="BE496" i="1"/>
  <c r="BE48" i="9" s="1"/>
  <c r="BD496" i="1"/>
  <c r="BC496" i="1"/>
  <c r="BC48" i="9" s="1"/>
  <c r="BB496" i="1"/>
  <c r="BB48" i="9" s="1"/>
  <c r="BA496" i="1"/>
  <c r="BA48" i="9" s="1"/>
  <c r="AZ496" i="1"/>
  <c r="AZ48" i="9" s="1"/>
  <c r="AY496" i="1"/>
  <c r="AX496" i="1"/>
  <c r="AX48" i="9" s="1"/>
  <c r="AW496" i="1"/>
  <c r="AW48" i="9" s="1"/>
  <c r="AV496" i="1"/>
  <c r="AV48" i="9" s="1"/>
  <c r="AU496" i="1"/>
  <c r="AU48" i="9" s="1"/>
  <c r="AT496" i="1"/>
  <c r="AS496" i="1"/>
  <c r="AS48" i="9" s="1"/>
  <c r="AR496" i="1"/>
  <c r="AR48" i="9" s="1"/>
  <c r="AQ496" i="1"/>
  <c r="AQ48" i="9" s="1"/>
  <c r="AP496" i="1"/>
  <c r="AP48" i="9" s="1"/>
  <c r="AO496" i="1"/>
  <c r="AN496" i="1"/>
  <c r="AN48" i="9" s="1"/>
  <c r="AM496" i="1"/>
  <c r="AM48" i="9" s="1"/>
  <c r="AL496" i="1"/>
  <c r="AL48" i="9" s="1"/>
  <c r="AK496" i="1"/>
  <c r="AK48" i="9" s="1"/>
  <c r="AJ496" i="1"/>
  <c r="AI496" i="1"/>
  <c r="AI48" i="9" s="1"/>
  <c r="AH496" i="1"/>
  <c r="AH48" i="9" s="1"/>
  <c r="AG496" i="1"/>
  <c r="AG48" i="9" s="1"/>
  <c r="AF496" i="1"/>
  <c r="AF48" i="9" s="1"/>
  <c r="AE496" i="1"/>
  <c r="AD496" i="1"/>
  <c r="AD48" i="9" s="1"/>
  <c r="AC496" i="1"/>
  <c r="AC48" i="9" s="1"/>
  <c r="AB496" i="1"/>
  <c r="AB48" i="9" s="1"/>
  <c r="AA496" i="1"/>
  <c r="AA48" i="9" s="1"/>
  <c r="Z496" i="1"/>
  <c r="Y496" i="1"/>
  <c r="Y48" i="9" s="1"/>
  <c r="X496" i="1"/>
  <c r="X48" i="9" s="1"/>
  <c r="W496" i="1"/>
  <c r="W48" i="9" s="1"/>
  <c r="V496" i="1"/>
  <c r="V48" i="9" s="1"/>
  <c r="U496" i="1"/>
  <c r="T496" i="1"/>
  <c r="T48" i="9" s="1"/>
  <c r="S496" i="1"/>
  <c r="S48" i="9" s="1"/>
  <c r="R496" i="1"/>
  <c r="R48" i="9" s="1"/>
  <c r="Q496" i="1"/>
  <c r="Q48" i="9" s="1"/>
  <c r="P496" i="1"/>
  <c r="O496" i="1"/>
  <c r="O48" i="9" s="1"/>
  <c r="N496" i="1"/>
  <c r="N48" i="9" s="1"/>
  <c r="M496" i="1"/>
  <c r="M48" i="9" s="1"/>
  <c r="L496" i="1"/>
  <c r="L48" i="9" s="1"/>
  <c r="K496" i="1"/>
  <c r="K48" i="9" s="1"/>
  <c r="J496" i="1"/>
  <c r="J48" i="9" s="1"/>
  <c r="I496" i="1"/>
  <c r="I48" i="9" s="1"/>
  <c r="H496" i="1"/>
  <c r="H48" i="9" s="1"/>
  <c r="G496" i="1"/>
  <c r="G48" i="9" s="1"/>
  <c r="F496" i="1"/>
  <c r="F48" i="9" s="1"/>
  <c r="E496" i="1"/>
  <c r="E48" i="9" s="1"/>
  <c r="D496" i="1"/>
  <c r="D48" i="9" s="1"/>
  <c r="C496" i="1"/>
  <c r="C48" i="9" s="1"/>
  <c r="CC494" i="1"/>
  <c r="CC46" i="9" s="1"/>
  <c r="BX494" i="1"/>
  <c r="BX46" i="9" s="1"/>
  <c r="CC493" i="1"/>
  <c r="CC45" i="9" s="1"/>
  <c r="BX493" i="1"/>
  <c r="BX45" i="9" s="1"/>
  <c r="CC492" i="1"/>
  <c r="CC44" i="9" s="1"/>
  <c r="BX492" i="1"/>
  <c r="BX44" i="9" s="1"/>
  <c r="BT490" i="1"/>
  <c r="BT489" i="1" s="1"/>
  <c r="BS490" i="1"/>
  <c r="BS489" i="1" s="1"/>
  <c r="BQ490" i="1"/>
  <c r="BQ489" i="1" s="1"/>
  <c r="BQ43" i="9" s="1"/>
  <c r="BO490" i="1"/>
  <c r="BN490" i="1"/>
  <c r="BN489" i="1" s="1"/>
  <c r="BM490" i="1"/>
  <c r="BL490" i="1"/>
  <c r="BL489" i="1" s="1"/>
  <c r="BL43" i="9" s="1"/>
  <c r="BK490" i="1"/>
  <c r="BK489" i="1" s="1"/>
  <c r="BJ490" i="1"/>
  <c r="BI490" i="1"/>
  <c r="BI489" i="1" s="1"/>
  <c r="BH490" i="1"/>
  <c r="BG490" i="1"/>
  <c r="BG489" i="1" s="1"/>
  <c r="BG43" i="9" s="1"/>
  <c r="BF490" i="1"/>
  <c r="BF489" i="1" s="1"/>
  <c r="BF43" i="9" s="1"/>
  <c r="BE490" i="1"/>
  <c r="BE489" i="1" s="1"/>
  <c r="BE43" i="9" s="1"/>
  <c r="BD490" i="1"/>
  <c r="BD489" i="1" s="1"/>
  <c r="BC490" i="1"/>
  <c r="BB490" i="1"/>
  <c r="BA490" i="1"/>
  <c r="AZ490" i="1"/>
  <c r="AY490" i="1"/>
  <c r="AY489" i="1" s="1"/>
  <c r="AX490" i="1"/>
  <c r="AW490" i="1"/>
  <c r="AW489" i="1" s="1"/>
  <c r="AW43" i="9" s="1"/>
  <c r="AV490" i="1"/>
  <c r="AV489" i="1" s="1"/>
  <c r="AV43" i="9" s="1"/>
  <c r="AU490" i="1"/>
  <c r="AU489" i="1" s="1"/>
  <c r="AT490" i="1"/>
  <c r="AS490" i="1"/>
  <c r="AR490" i="1"/>
  <c r="AQ490" i="1"/>
  <c r="AQ489" i="1" s="1"/>
  <c r="AQ43" i="9" s="1"/>
  <c r="AP490" i="1"/>
  <c r="AO490" i="1"/>
  <c r="AO489" i="1" s="1"/>
  <c r="AN490" i="1"/>
  <c r="AM490" i="1"/>
  <c r="AM489" i="1" s="1"/>
  <c r="AL490" i="1"/>
  <c r="AK490" i="1"/>
  <c r="AJ490" i="1"/>
  <c r="AI490" i="1"/>
  <c r="AH490" i="1"/>
  <c r="AH489" i="1" s="1"/>
  <c r="AG490" i="1"/>
  <c r="AG489" i="1" s="1"/>
  <c r="AG43" i="9" s="1"/>
  <c r="AF490" i="1"/>
  <c r="AF489" i="1" s="1"/>
  <c r="AF43" i="9" s="1"/>
  <c r="AE490" i="1"/>
  <c r="AE489" i="1" s="1"/>
  <c r="AC490" i="1"/>
  <c r="AC489" i="1" s="1"/>
  <c r="AB490" i="1"/>
  <c r="AA490" i="1"/>
  <c r="Z490" i="1"/>
  <c r="Y490" i="1"/>
  <c r="X490" i="1"/>
  <c r="X489" i="1" s="1"/>
  <c r="W490" i="1"/>
  <c r="V490" i="1"/>
  <c r="U490" i="1"/>
  <c r="T490" i="1"/>
  <c r="S490" i="1"/>
  <c r="R490" i="1"/>
  <c r="Q490" i="1"/>
  <c r="Q489" i="1" s="1"/>
  <c r="Q43" i="9" s="1"/>
  <c r="P490" i="1"/>
  <c r="P489" i="1" s="1"/>
  <c r="P43" i="9" s="1"/>
  <c r="O490" i="1"/>
  <c r="N490" i="1"/>
  <c r="M490" i="1"/>
  <c r="M489" i="1" s="1"/>
  <c r="M43" i="9" s="1"/>
  <c r="L490" i="1"/>
  <c r="K490" i="1"/>
  <c r="K489" i="1" s="1"/>
  <c r="K43" i="9" s="1"/>
  <c r="J490" i="1"/>
  <c r="I490" i="1"/>
  <c r="I489" i="1" s="1"/>
  <c r="H490" i="1"/>
  <c r="H489" i="1" s="1"/>
  <c r="H43" i="9" s="1"/>
  <c r="G490" i="1"/>
  <c r="G489" i="1" s="1"/>
  <c r="F490" i="1"/>
  <c r="E490" i="1"/>
  <c r="D490" i="1"/>
  <c r="C490" i="1"/>
  <c r="C489" i="1" s="1"/>
  <c r="C43" i="9" s="1"/>
  <c r="BP489" i="1"/>
  <c r="BP43" i="9" s="1"/>
  <c r="BA489" i="1"/>
  <c r="AZ489" i="1"/>
  <c r="AR489" i="1"/>
  <c r="AR43" i="9" s="1"/>
  <c r="AJ489" i="1"/>
  <c r="AJ43" i="9" s="1"/>
  <c r="AB489" i="1"/>
  <c r="AB43" i="9" s="1"/>
  <c r="W489" i="1"/>
  <c r="L489" i="1"/>
  <c r="L43" i="9" s="1"/>
  <c r="D489" i="1"/>
  <c r="CC486" i="1"/>
  <c r="BT486" i="1"/>
  <c r="BX486" i="1" s="1"/>
  <c r="BS486" i="1"/>
  <c r="BR486" i="1"/>
  <c r="BQ486" i="1"/>
  <c r="BP486" i="1"/>
  <c r="BO486" i="1"/>
  <c r="BN486" i="1"/>
  <c r="BM486" i="1"/>
  <c r="BL486" i="1"/>
  <c r="BK486" i="1"/>
  <c r="BJ486" i="1"/>
  <c r="BI486" i="1"/>
  <c r="BH486" i="1"/>
  <c r="BG486" i="1"/>
  <c r="BF486" i="1"/>
  <c r="BE486" i="1"/>
  <c r="BD486" i="1"/>
  <c r="BC486" i="1"/>
  <c r="BB486" i="1"/>
  <c r="BA486" i="1"/>
  <c r="AZ486" i="1"/>
  <c r="AY486" i="1"/>
  <c r="AX486" i="1"/>
  <c r="AW486" i="1"/>
  <c r="AV486" i="1"/>
  <c r="AU486" i="1"/>
  <c r="AT486" i="1"/>
  <c r="AS486" i="1"/>
  <c r="AR486" i="1"/>
  <c r="AQ486" i="1"/>
  <c r="AP486" i="1"/>
  <c r="AO486" i="1"/>
  <c r="AN486" i="1"/>
  <c r="AM486" i="1"/>
  <c r="AL486" i="1"/>
  <c r="AK486" i="1"/>
  <c r="AJ486" i="1"/>
  <c r="AI486" i="1"/>
  <c r="AH486" i="1"/>
  <c r="AG486" i="1"/>
  <c r="AF486" i="1"/>
  <c r="AE486" i="1"/>
  <c r="AC486" i="1"/>
  <c r="AB486" i="1"/>
  <c r="AA486" i="1"/>
  <c r="Z486" i="1"/>
  <c r="X486" i="1"/>
  <c r="W486" i="1"/>
  <c r="V486" i="1"/>
  <c r="U486" i="1"/>
  <c r="S486" i="1"/>
  <c r="R486" i="1"/>
  <c r="Q486" i="1"/>
  <c r="P486" i="1"/>
  <c r="N486" i="1"/>
  <c r="M486" i="1"/>
  <c r="L486" i="1"/>
  <c r="K486" i="1"/>
  <c r="I486" i="1"/>
  <c r="H486" i="1"/>
  <c r="G486" i="1"/>
  <c r="F486" i="1"/>
  <c r="E486" i="1"/>
  <c r="D486" i="1"/>
  <c r="C486" i="1"/>
  <c r="CC485" i="1"/>
  <c r="BX485" i="1"/>
  <c r="BT485" i="1"/>
  <c r="BS485" i="1"/>
  <c r="BQ485" i="1"/>
  <c r="BP485" i="1"/>
  <c r="BO485" i="1"/>
  <c r="BN485" i="1"/>
  <c r="BL485" i="1"/>
  <c r="BK485" i="1"/>
  <c r="BJ485" i="1"/>
  <c r="BI485" i="1"/>
  <c r="BG485" i="1"/>
  <c r="BF485" i="1"/>
  <c r="BF41" i="9" s="1"/>
  <c r="BE485" i="1"/>
  <c r="BD485" i="1"/>
  <c r="BB485" i="1"/>
  <c r="BA485" i="1"/>
  <c r="BA41" i="9" s="1"/>
  <c r="AZ485" i="1"/>
  <c r="AY485" i="1"/>
  <c r="AW485" i="1"/>
  <c r="AV485" i="1"/>
  <c r="AU485" i="1"/>
  <c r="AT485" i="1"/>
  <c r="AR485" i="1"/>
  <c r="AR41" i="9" s="1"/>
  <c r="AQ485" i="1"/>
  <c r="AP485" i="1"/>
  <c r="AO485" i="1"/>
  <c r="AM485" i="1"/>
  <c r="AL485" i="1"/>
  <c r="AK485" i="1"/>
  <c r="AJ485" i="1"/>
  <c r="AI485" i="1"/>
  <c r="AH485" i="1"/>
  <c r="AG485" i="1"/>
  <c r="AF485" i="1"/>
  <c r="AE485" i="1"/>
  <c r="AC485" i="1"/>
  <c r="AB485" i="1"/>
  <c r="AA485" i="1"/>
  <c r="Z485" i="1"/>
  <c r="Z41" i="9" s="1"/>
  <c r="Y485" i="1"/>
  <c r="X485" i="1"/>
  <c r="W485" i="1"/>
  <c r="V485" i="1"/>
  <c r="U485" i="1"/>
  <c r="U41" i="9" s="1"/>
  <c r="S485" i="1"/>
  <c r="R485" i="1"/>
  <c r="Q485" i="1"/>
  <c r="Q41" i="9" s="1"/>
  <c r="P485" i="1"/>
  <c r="P41" i="9" s="1"/>
  <c r="N485" i="1"/>
  <c r="M485" i="1"/>
  <c r="L485" i="1"/>
  <c r="K485" i="1"/>
  <c r="I485" i="1"/>
  <c r="H485" i="1"/>
  <c r="G485" i="1"/>
  <c r="G41" i="9" s="1"/>
  <c r="F485" i="1"/>
  <c r="F41" i="9" s="1"/>
  <c r="E485" i="1"/>
  <c r="D485" i="1"/>
  <c r="C485" i="1"/>
  <c r="BT483" i="1"/>
  <c r="BT757" i="1" s="1"/>
  <c r="BS483" i="1"/>
  <c r="BQ483" i="1"/>
  <c r="BP483" i="1"/>
  <c r="BO483" i="1"/>
  <c r="BN483" i="1"/>
  <c r="BL483" i="1"/>
  <c r="BK483" i="1"/>
  <c r="BJ483" i="1"/>
  <c r="BI483" i="1"/>
  <c r="BG483" i="1"/>
  <c r="BF483" i="1"/>
  <c r="BE483" i="1"/>
  <c r="BD483" i="1"/>
  <c r="BD757" i="1" s="1"/>
  <c r="BB483" i="1"/>
  <c r="BA483" i="1"/>
  <c r="AZ483" i="1"/>
  <c r="AY483" i="1"/>
  <c r="AX483" i="1"/>
  <c r="AW483" i="1"/>
  <c r="AV483" i="1"/>
  <c r="AV757" i="1" s="1"/>
  <c r="AU483" i="1"/>
  <c r="AT483" i="1"/>
  <c r="AR483" i="1"/>
  <c r="AQ483" i="1"/>
  <c r="AP483" i="1"/>
  <c r="AO483" i="1"/>
  <c r="AM483" i="1"/>
  <c r="AL483" i="1"/>
  <c r="AK483" i="1"/>
  <c r="AJ483" i="1"/>
  <c r="AI483" i="1"/>
  <c r="AH483" i="1"/>
  <c r="AG483" i="1"/>
  <c r="AF483" i="1"/>
  <c r="AF757" i="1" s="1"/>
  <c r="AE483" i="1"/>
  <c r="AC483" i="1"/>
  <c r="AB483" i="1"/>
  <c r="AA483" i="1"/>
  <c r="Z483" i="1"/>
  <c r="X483" i="1"/>
  <c r="W483" i="1"/>
  <c r="V483" i="1"/>
  <c r="U483" i="1"/>
  <c r="S483" i="1"/>
  <c r="R483" i="1"/>
  <c r="Q483" i="1"/>
  <c r="P483" i="1"/>
  <c r="P990" i="1" s="1"/>
  <c r="P991" i="1" s="1"/>
  <c r="N483" i="1"/>
  <c r="M483" i="1"/>
  <c r="M990" i="1" s="1"/>
  <c r="L483" i="1"/>
  <c r="K483" i="1"/>
  <c r="I483" i="1"/>
  <c r="H483" i="1"/>
  <c r="G483" i="1"/>
  <c r="F483" i="1"/>
  <c r="E483" i="1"/>
  <c r="D483" i="1"/>
  <c r="C483" i="1"/>
  <c r="BT478" i="1"/>
  <c r="BS478" i="1"/>
  <c r="BR478" i="1"/>
  <c r="BQ478" i="1"/>
  <c r="BP478" i="1"/>
  <c r="BP410" i="1" s="1"/>
  <c r="BO478" i="1"/>
  <c r="BM478" i="1"/>
  <c r="BL478" i="1"/>
  <c r="BK478" i="1"/>
  <c r="BJ478" i="1"/>
  <c r="BI478" i="1"/>
  <c r="BH478" i="1"/>
  <c r="BG478" i="1"/>
  <c r="BG410" i="1" s="1"/>
  <c r="BA478" i="1"/>
  <c r="AZ478" i="1"/>
  <c r="AY478" i="1"/>
  <c r="AX478" i="1"/>
  <c r="AW478" i="1"/>
  <c r="AS478" i="1"/>
  <c r="AR478" i="1"/>
  <c r="AQ478" i="1"/>
  <c r="AP478" i="1"/>
  <c r="AP410" i="1" s="1"/>
  <c r="AO478" i="1"/>
  <c r="AN478" i="1"/>
  <c r="AJ478" i="1"/>
  <c r="AI478" i="1"/>
  <c r="AH478" i="1"/>
  <c r="AG478" i="1"/>
  <c r="AF478" i="1"/>
  <c r="AE478" i="1"/>
  <c r="AE410" i="1" s="1"/>
  <c r="AD478" i="1"/>
  <c r="Z478" i="1"/>
  <c r="Y478" i="1"/>
  <c r="X478" i="1"/>
  <c r="W478" i="1"/>
  <c r="V478" i="1"/>
  <c r="U478" i="1"/>
  <c r="S478" i="1"/>
  <c r="S410" i="1" s="1"/>
  <c r="Q478" i="1"/>
  <c r="P478" i="1"/>
  <c r="O478" i="1"/>
  <c r="N478" i="1"/>
  <c r="M478" i="1"/>
  <c r="K478" i="1"/>
  <c r="J478" i="1"/>
  <c r="I478" i="1"/>
  <c r="H478" i="1"/>
  <c r="G478" i="1"/>
  <c r="F478" i="1"/>
  <c r="E478" i="1"/>
  <c r="C478" i="1"/>
  <c r="BT477" i="1"/>
  <c r="BS477" i="1"/>
  <c r="BQ477" i="1"/>
  <c r="BP477" i="1"/>
  <c r="BO477" i="1"/>
  <c r="BN477" i="1"/>
  <c r="BM477" i="1"/>
  <c r="BL477" i="1"/>
  <c r="BK477" i="1"/>
  <c r="BK409" i="1" s="1"/>
  <c r="BJ477" i="1"/>
  <c r="BI477" i="1"/>
  <c r="BH477" i="1"/>
  <c r="BG477" i="1"/>
  <c r="BF477" i="1"/>
  <c r="BE477" i="1"/>
  <c r="BD477" i="1"/>
  <c r="BC477" i="1"/>
  <c r="AZ477" i="1"/>
  <c r="AY477" i="1"/>
  <c r="AX477" i="1"/>
  <c r="AW477" i="1"/>
  <c r="AV477" i="1"/>
  <c r="AU477" i="1"/>
  <c r="AU409" i="1" s="1"/>
  <c r="AS477" i="1"/>
  <c r="AP477" i="1"/>
  <c r="AO477" i="1"/>
  <c r="AN477" i="1"/>
  <c r="AM477" i="1"/>
  <c r="AM409" i="1" s="1"/>
  <c r="AL477" i="1"/>
  <c r="AK477" i="1"/>
  <c r="AF477" i="1"/>
  <c r="AE477" i="1"/>
  <c r="AC477" i="1"/>
  <c r="AC409" i="1" s="1"/>
  <c r="AB477" i="1"/>
  <c r="AA477" i="1"/>
  <c r="W477" i="1"/>
  <c r="V477" i="1"/>
  <c r="U477" i="1"/>
  <c r="T477" i="1"/>
  <c r="S477" i="1"/>
  <c r="Q477" i="1"/>
  <c r="P477" i="1"/>
  <c r="O477" i="1"/>
  <c r="N477" i="1"/>
  <c r="M477" i="1"/>
  <c r="L477" i="1"/>
  <c r="K477" i="1"/>
  <c r="I477" i="1"/>
  <c r="H477" i="1"/>
  <c r="G477" i="1"/>
  <c r="G409" i="1" s="1"/>
  <c r="F477" i="1"/>
  <c r="E477" i="1"/>
  <c r="D477" i="1"/>
  <c r="C477" i="1"/>
  <c r="CD473" i="1"/>
  <c r="BY473" i="1"/>
  <c r="BW473" i="1"/>
  <c r="BV473" i="1"/>
  <c r="A473" i="1"/>
  <c r="BT471" i="1"/>
  <c r="BT37" i="9" s="1"/>
  <c r="BS471" i="1"/>
  <c r="BQ471" i="1"/>
  <c r="BP471" i="1"/>
  <c r="BO471" i="1"/>
  <c r="BN471" i="1"/>
  <c r="BL471" i="1"/>
  <c r="BL37" i="9" s="1"/>
  <c r="BK471" i="1"/>
  <c r="BK37" i="9" s="1"/>
  <c r="BJ471" i="1"/>
  <c r="BJ37" i="9" s="1"/>
  <c r="BI471" i="1"/>
  <c r="BG471" i="1"/>
  <c r="BG37" i="9" s="1"/>
  <c r="BF471" i="1"/>
  <c r="BE471" i="1"/>
  <c r="BE37" i="9" s="1"/>
  <c r="BD471" i="1"/>
  <c r="BB471" i="1"/>
  <c r="BB37" i="9" s="1"/>
  <c r="BA471" i="1"/>
  <c r="AZ471" i="1"/>
  <c r="AZ37" i="9" s="1"/>
  <c r="AY471" i="1"/>
  <c r="AY37" i="9" s="1"/>
  <c r="AW471" i="1"/>
  <c r="AW37" i="9" s="1"/>
  <c r="AV471" i="1"/>
  <c r="AV37" i="9" s="1"/>
  <c r="AU471" i="1"/>
  <c r="AU37" i="9" s="1"/>
  <c r="AT471" i="1"/>
  <c r="AT37" i="9" s="1"/>
  <c r="AR471" i="1"/>
  <c r="AR37" i="9" s="1"/>
  <c r="AQ471" i="1"/>
  <c r="AQ37" i="9" s="1"/>
  <c r="AP471" i="1"/>
  <c r="AO471" i="1"/>
  <c r="AO37" i="9" s="1"/>
  <c r="AM471" i="1"/>
  <c r="AM37" i="9" s="1"/>
  <c r="AL471" i="1"/>
  <c r="AL37" i="9" s="1"/>
  <c r="AK471" i="1"/>
  <c r="AK37" i="9" s="1"/>
  <c r="AJ471" i="1"/>
  <c r="AJ37" i="9" s="1"/>
  <c r="AH471" i="1"/>
  <c r="AH37" i="9" s="1"/>
  <c r="AG471" i="1"/>
  <c r="AG37" i="9" s="1"/>
  <c r="AF471" i="1"/>
  <c r="AF37" i="9" s="1"/>
  <c r="AE471" i="1"/>
  <c r="AD471" i="1"/>
  <c r="AD37" i="9" s="1"/>
  <c r="AC471" i="1"/>
  <c r="AC37" i="9" s="1"/>
  <c r="AB471" i="1"/>
  <c r="AB37" i="9" s="1"/>
  <c r="AA471" i="1"/>
  <c r="Z471" i="1"/>
  <c r="Z37" i="9" s="1"/>
  <c r="Y471" i="1"/>
  <c r="X471" i="1"/>
  <c r="W471" i="1"/>
  <c r="W37" i="9" s="1"/>
  <c r="V471" i="1"/>
  <c r="V37" i="9" s="1"/>
  <c r="U471" i="1"/>
  <c r="U37" i="9" s="1"/>
  <c r="S471" i="1"/>
  <c r="R471" i="1"/>
  <c r="R37" i="9" s="1"/>
  <c r="Q471" i="1"/>
  <c r="Q37" i="9" s="1"/>
  <c r="P471" i="1"/>
  <c r="P37" i="9" s="1"/>
  <c r="N471" i="1"/>
  <c r="N37" i="9" s="1"/>
  <c r="M471" i="1"/>
  <c r="M37" i="9" s="1"/>
  <c r="L471" i="1"/>
  <c r="K471" i="1"/>
  <c r="K37" i="9" s="1"/>
  <c r="I471" i="1"/>
  <c r="I37" i="9" s="1"/>
  <c r="H471" i="1"/>
  <c r="H37" i="9" s="1"/>
  <c r="G471" i="1"/>
  <c r="F471" i="1"/>
  <c r="F37" i="9" s="1"/>
  <c r="E471" i="1"/>
  <c r="E37" i="9" s="1"/>
  <c r="D471" i="1"/>
  <c r="C471" i="1"/>
  <c r="C37" i="9" s="1"/>
  <c r="BT470" i="1"/>
  <c r="BS470" i="1"/>
  <c r="BQ470" i="1"/>
  <c r="BP470" i="1"/>
  <c r="BO470" i="1"/>
  <c r="BO36" i="9" s="1"/>
  <c r="BN470" i="1"/>
  <c r="BN36" i="9" s="1"/>
  <c r="BL470" i="1"/>
  <c r="BL36" i="9" s="1"/>
  <c r="BK470" i="1"/>
  <c r="BJ470" i="1"/>
  <c r="BI470" i="1"/>
  <c r="BI36" i="9" s="1"/>
  <c r="BG470" i="1"/>
  <c r="BG36" i="9" s="1"/>
  <c r="BF470" i="1"/>
  <c r="BF36" i="9" s="1"/>
  <c r="BE470" i="1"/>
  <c r="BE36" i="9" s="1"/>
  <c r="BD470" i="1"/>
  <c r="BD36" i="9" s="1"/>
  <c r="BB470" i="1"/>
  <c r="BA470" i="1"/>
  <c r="AZ470" i="1"/>
  <c r="AY470" i="1"/>
  <c r="AY36" i="9" s="1"/>
  <c r="AW470" i="1"/>
  <c r="AW36" i="9" s="1"/>
  <c r="AV470" i="1"/>
  <c r="AV36" i="9" s="1"/>
  <c r="AU470" i="1"/>
  <c r="AU36" i="9" s="1"/>
  <c r="AT470" i="1"/>
  <c r="AT36" i="9" s="1"/>
  <c r="AR470" i="1"/>
  <c r="AQ470" i="1"/>
  <c r="AP470" i="1"/>
  <c r="AO470" i="1"/>
  <c r="AO36" i="9" s="1"/>
  <c r="AM470" i="1"/>
  <c r="AL470" i="1"/>
  <c r="AL36" i="9" s="1"/>
  <c r="AK470" i="1"/>
  <c r="AJ470" i="1"/>
  <c r="AH470" i="1"/>
  <c r="AH36" i="9" s="1"/>
  <c r="AG470" i="1"/>
  <c r="AF470" i="1"/>
  <c r="AE470" i="1"/>
  <c r="AD470" i="1"/>
  <c r="AC470" i="1"/>
  <c r="AC36" i="9" s="1"/>
  <c r="AB470" i="1"/>
  <c r="AA470" i="1"/>
  <c r="AA36" i="9" s="1"/>
  <c r="Z470" i="1"/>
  <c r="Z36" i="9" s="1"/>
  <c r="Y470" i="1"/>
  <c r="Y36" i="9" s="1"/>
  <c r="X470" i="1"/>
  <c r="X36" i="9" s="1"/>
  <c r="W470" i="1"/>
  <c r="V470" i="1"/>
  <c r="U470" i="1"/>
  <c r="U36" i="9" s="1"/>
  <c r="S470" i="1"/>
  <c r="S36" i="9" s="1"/>
  <c r="R470" i="1"/>
  <c r="R36" i="9" s="1"/>
  <c r="Q470" i="1"/>
  <c r="Q36" i="9" s="1"/>
  <c r="P470" i="1"/>
  <c r="P36" i="9" s="1"/>
  <c r="O470" i="1"/>
  <c r="N470" i="1"/>
  <c r="M470" i="1"/>
  <c r="L470" i="1"/>
  <c r="K470" i="1"/>
  <c r="K36" i="9" s="1"/>
  <c r="I470" i="1"/>
  <c r="H470" i="1"/>
  <c r="H36" i="9" s="1"/>
  <c r="G470" i="1"/>
  <c r="F470" i="1"/>
  <c r="E470" i="1"/>
  <c r="E36" i="9" s="1"/>
  <c r="D470" i="1"/>
  <c r="C470" i="1"/>
  <c r="BT469" i="1"/>
  <c r="BS469" i="1"/>
  <c r="BS38" i="9" s="1"/>
  <c r="BQ469" i="1"/>
  <c r="BQ38" i="9" s="1"/>
  <c r="BP469" i="1"/>
  <c r="BO469" i="1"/>
  <c r="BO38" i="9" s="1"/>
  <c r="BN469" i="1"/>
  <c r="BL469" i="1"/>
  <c r="BK469" i="1"/>
  <c r="BK38" i="9" s="1"/>
  <c r="BJ469" i="1"/>
  <c r="BI469" i="1"/>
  <c r="BI38" i="9" s="1"/>
  <c r="BG469" i="1"/>
  <c r="BF469" i="1"/>
  <c r="BE469" i="1"/>
  <c r="BD469" i="1"/>
  <c r="BD38" i="9" s="1"/>
  <c r="BB469" i="1"/>
  <c r="BB38" i="9" s="1"/>
  <c r="BA469" i="1"/>
  <c r="BA38" i="9" s="1"/>
  <c r="AZ469" i="1"/>
  <c r="AZ38" i="9" s="1"/>
  <c r="AY469" i="1"/>
  <c r="AY38" i="9" s="1"/>
  <c r="AW469" i="1"/>
  <c r="AW38" i="9" s="1"/>
  <c r="AV469" i="1"/>
  <c r="AV38" i="9" s="1"/>
  <c r="AU469" i="1"/>
  <c r="AU38" i="9" s="1"/>
  <c r="AT469" i="1"/>
  <c r="AT38" i="9" s="1"/>
  <c r="AR469" i="1"/>
  <c r="AR38" i="9" s="1"/>
  <c r="AQ469" i="1"/>
  <c r="AQ38" i="9" s="1"/>
  <c r="AP469" i="1"/>
  <c r="AP38" i="9" s="1"/>
  <c r="AO469" i="1"/>
  <c r="AO38" i="9" s="1"/>
  <c r="AM469" i="1"/>
  <c r="AL469" i="1"/>
  <c r="AL38" i="9" s="1"/>
  <c r="AK469" i="1"/>
  <c r="AK38" i="9" s="1"/>
  <c r="AJ469" i="1"/>
  <c r="AH469" i="1"/>
  <c r="AH38" i="9" s="1"/>
  <c r="AG469" i="1"/>
  <c r="AG38" i="9" s="1"/>
  <c r="AF469" i="1"/>
  <c r="AF38" i="9" s="1"/>
  <c r="AE469" i="1"/>
  <c r="AD469" i="1"/>
  <c r="AC469" i="1"/>
  <c r="AC38" i="9" s="1"/>
  <c r="AB469" i="1"/>
  <c r="AA469" i="1"/>
  <c r="Z469" i="1"/>
  <c r="Z38" i="9" s="1"/>
  <c r="Y469" i="1"/>
  <c r="Y38" i="9" s="1"/>
  <c r="X469" i="1"/>
  <c r="X38" i="9" s="1"/>
  <c r="W469" i="1"/>
  <c r="W38" i="9" s="1"/>
  <c r="V469" i="1"/>
  <c r="V38" i="9" s="1"/>
  <c r="U469" i="1"/>
  <c r="U38" i="9" s="1"/>
  <c r="S469" i="1"/>
  <c r="R469" i="1"/>
  <c r="Q469" i="1"/>
  <c r="Q38" i="9" s="1"/>
  <c r="P469" i="1"/>
  <c r="P38" i="9" s="1"/>
  <c r="N469" i="1"/>
  <c r="M469" i="1"/>
  <c r="L469" i="1"/>
  <c r="L38" i="9" s="1"/>
  <c r="K469" i="1"/>
  <c r="K38" i="9" s="1"/>
  <c r="I469" i="1"/>
  <c r="I38" i="9" s="1"/>
  <c r="H469" i="1"/>
  <c r="H38" i="9" s="1"/>
  <c r="G469" i="1"/>
  <c r="G38" i="9" s="1"/>
  <c r="F469" i="1"/>
  <c r="E469" i="1"/>
  <c r="D469" i="1"/>
  <c r="D38" i="9" s="1"/>
  <c r="C469" i="1"/>
  <c r="C38" i="9" s="1"/>
  <c r="AR467" i="1"/>
  <c r="BT466" i="1"/>
  <c r="BS466" i="1"/>
  <c r="BS35" i="9" s="1"/>
  <c r="BQ466" i="1"/>
  <c r="BQ35" i="9" s="1"/>
  <c r="BP466" i="1"/>
  <c r="BO466" i="1"/>
  <c r="BN466" i="1"/>
  <c r="BL466" i="1"/>
  <c r="BL35" i="9" s="1"/>
  <c r="BK466" i="1"/>
  <c r="BK35" i="9" s="1"/>
  <c r="BJ466" i="1"/>
  <c r="BI466" i="1"/>
  <c r="BI35" i="9" s="1"/>
  <c r="BG466" i="1"/>
  <c r="BF466" i="1"/>
  <c r="BE466" i="1"/>
  <c r="BD466" i="1"/>
  <c r="BD35" i="9" s="1"/>
  <c r="BB466" i="1"/>
  <c r="BB35" i="9" s="1"/>
  <c r="BA466" i="1"/>
  <c r="BA35" i="9" s="1"/>
  <c r="AZ466" i="1"/>
  <c r="AY466" i="1"/>
  <c r="AY35" i="9" s="1"/>
  <c r="AW466" i="1"/>
  <c r="AW35" i="9" s="1"/>
  <c r="AV466" i="1"/>
  <c r="AV35" i="9" s="1"/>
  <c r="AU466" i="1"/>
  <c r="AU35" i="9" s="1"/>
  <c r="AT466" i="1"/>
  <c r="AT35" i="9" s="1"/>
  <c r="AR466" i="1"/>
  <c r="AR35" i="9" s="1"/>
  <c r="AQ466" i="1"/>
  <c r="AQ35" i="9" s="1"/>
  <c r="AP466" i="1"/>
  <c r="AO466" i="1"/>
  <c r="AO35" i="9" s="1"/>
  <c r="AM466" i="1"/>
  <c r="AL466" i="1"/>
  <c r="AK466" i="1"/>
  <c r="AK35" i="9" s="1"/>
  <c r="AJ466" i="1"/>
  <c r="AJ35" i="9" s="1"/>
  <c r="AH466" i="1"/>
  <c r="AG466" i="1"/>
  <c r="AF466" i="1"/>
  <c r="AF35" i="9" s="1"/>
  <c r="AE466" i="1"/>
  <c r="AE394" i="1" s="1"/>
  <c r="AD466" i="1"/>
  <c r="AC466" i="1"/>
  <c r="AC35" i="9" s="1"/>
  <c r="AB466" i="1"/>
  <c r="AB35" i="9" s="1"/>
  <c r="AA466" i="1"/>
  <c r="AA35" i="9" s="1"/>
  <c r="Z466" i="1"/>
  <c r="Y466" i="1"/>
  <c r="X466" i="1"/>
  <c r="X35" i="9" s="1"/>
  <c r="W466" i="1"/>
  <c r="V466" i="1"/>
  <c r="V35" i="9" s="1"/>
  <c r="U466" i="1"/>
  <c r="S466" i="1"/>
  <c r="S35" i="9" s="1"/>
  <c r="R466" i="1"/>
  <c r="Q466" i="1"/>
  <c r="P466" i="1"/>
  <c r="N466" i="1"/>
  <c r="M466" i="1"/>
  <c r="M35" i="9" s="1"/>
  <c r="L466" i="1"/>
  <c r="L35" i="9" s="1"/>
  <c r="K466" i="1"/>
  <c r="K35" i="9" s="1"/>
  <c r="I466" i="1"/>
  <c r="I35" i="9" s="1"/>
  <c r="H466" i="1"/>
  <c r="H35" i="9" s="1"/>
  <c r="G466" i="1"/>
  <c r="G394" i="1" s="1"/>
  <c r="F466" i="1"/>
  <c r="F35" i="9" s="1"/>
  <c r="CE464" i="1"/>
  <c r="CE30" i="1" s="1"/>
  <c r="CD464" i="1"/>
  <c r="CD30" i="1" s="1"/>
  <c r="BZ464" i="1"/>
  <c r="BY464" i="1"/>
  <c r="A464" i="1"/>
  <c r="A30" i="1" s="1"/>
  <c r="A463" i="1"/>
  <c r="BT462" i="1"/>
  <c r="BS462" i="1"/>
  <c r="BQ462" i="1"/>
  <c r="BQ409" i="1" s="1"/>
  <c r="BP462" i="1"/>
  <c r="BO462" i="1"/>
  <c r="BN462" i="1"/>
  <c r="BM462" i="1"/>
  <c r="BL462" i="1"/>
  <c r="BK462" i="1"/>
  <c r="BK403" i="1" s="1"/>
  <c r="BJ462" i="1"/>
  <c r="BJ403" i="1" s="1"/>
  <c r="BI462" i="1"/>
  <c r="BG462" i="1"/>
  <c r="BF462" i="1"/>
  <c r="BE462" i="1"/>
  <c r="BD462" i="1"/>
  <c r="BB462" i="1"/>
  <c r="BA462" i="1"/>
  <c r="BA467" i="1" s="1"/>
  <c r="AZ462" i="1"/>
  <c r="AZ738" i="1" s="1"/>
  <c r="AY462" i="1"/>
  <c r="AW462" i="1"/>
  <c r="AV462" i="1"/>
  <c r="AU462" i="1"/>
  <c r="AT462" i="1"/>
  <c r="AR462" i="1"/>
  <c r="AQ462" i="1"/>
  <c r="AQ403" i="1" s="1"/>
  <c r="AP462" i="1"/>
  <c r="AO462" i="1"/>
  <c r="AM462" i="1"/>
  <c r="AL462" i="1"/>
  <c r="AK462" i="1"/>
  <c r="AJ462" i="1"/>
  <c r="AH462" i="1"/>
  <c r="AH402" i="1" s="1"/>
  <c r="AH61" i="9" s="1"/>
  <c r="AG462" i="1"/>
  <c r="AF462" i="1"/>
  <c r="AE462" i="1"/>
  <c r="AC462" i="1"/>
  <c r="AB462" i="1"/>
  <c r="AB394" i="1" s="1"/>
  <c r="AA462" i="1"/>
  <c r="Z462" i="1"/>
  <c r="X462" i="1"/>
  <c r="W462" i="1"/>
  <c r="V462" i="1"/>
  <c r="U462" i="1"/>
  <c r="S462" i="1"/>
  <c r="S402" i="1" s="1"/>
  <c r="S61" i="9" s="1"/>
  <c r="R462" i="1"/>
  <c r="Q462" i="1"/>
  <c r="P462" i="1"/>
  <c r="N462" i="1"/>
  <c r="M462" i="1"/>
  <c r="L462" i="1"/>
  <c r="K462" i="1"/>
  <c r="I462" i="1"/>
  <c r="H462" i="1"/>
  <c r="G462" i="1"/>
  <c r="F462" i="1"/>
  <c r="E462" i="1"/>
  <c r="D462" i="1"/>
  <c r="C462" i="1"/>
  <c r="U454" i="1"/>
  <c r="P454" i="1"/>
  <c r="K454" i="1"/>
  <c r="U453" i="1"/>
  <c r="P453" i="1"/>
  <c r="K453" i="1"/>
  <c r="U452" i="1"/>
  <c r="P452" i="1"/>
  <c r="K452" i="1"/>
  <c r="U451" i="1"/>
  <c r="P451" i="1"/>
  <c r="K451" i="1"/>
  <c r="BK447" i="1"/>
  <c r="BJ447" i="1"/>
  <c r="BA447" i="1"/>
  <c r="AZ447" i="1"/>
  <c r="AW447" i="1"/>
  <c r="AR447" i="1"/>
  <c r="AQ447" i="1"/>
  <c r="AP447" i="1"/>
  <c r="AN447" i="1"/>
  <c r="AI447" i="1"/>
  <c r="AD447" i="1"/>
  <c r="Y447" i="1"/>
  <c r="T447" i="1"/>
  <c r="O447" i="1"/>
  <c r="J447" i="1"/>
  <c r="C447" i="1"/>
  <c r="BT446" i="1"/>
  <c r="BS446" i="1"/>
  <c r="BQ446" i="1"/>
  <c r="BP446" i="1"/>
  <c r="BO446" i="1"/>
  <c r="BN446" i="1"/>
  <c r="BL446" i="1"/>
  <c r="BK446" i="1"/>
  <c r="BJ446" i="1"/>
  <c r="BI446" i="1"/>
  <c r="BH446" i="1"/>
  <c r="BF446" i="1"/>
  <c r="BE446" i="1"/>
  <c r="BD446" i="1"/>
  <c r="BA446" i="1"/>
  <c r="AZ446" i="1"/>
  <c r="AY446" i="1"/>
  <c r="AX446" i="1"/>
  <c r="AW446" i="1"/>
  <c r="AV446" i="1"/>
  <c r="AU446" i="1"/>
  <c r="AT446" i="1"/>
  <c r="AS446" i="1"/>
  <c r="AR446" i="1"/>
  <c r="AQ446" i="1"/>
  <c r="AP446" i="1"/>
  <c r="AN446" i="1"/>
  <c r="AM446" i="1"/>
  <c r="AL446" i="1"/>
  <c r="AK446" i="1"/>
  <c r="AJ446" i="1"/>
  <c r="AI446" i="1"/>
  <c r="AH446" i="1"/>
  <c r="AG446" i="1"/>
  <c r="AF446" i="1"/>
  <c r="AC446" i="1"/>
  <c r="AB446" i="1"/>
  <c r="AA446" i="1"/>
  <c r="Z446" i="1"/>
  <c r="Y446" i="1"/>
  <c r="X446" i="1"/>
  <c r="W446" i="1"/>
  <c r="T446" i="1"/>
  <c r="S446" i="1"/>
  <c r="R446" i="1"/>
  <c r="Q446" i="1"/>
  <c r="P446" i="1"/>
  <c r="O446" i="1"/>
  <c r="L446" i="1"/>
  <c r="K446" i="1"/>
  <c r="J446" i="1"/>
  <c r="I446" i="1"/>
  <c r="H446" i="1"/>
  <c r="G446" i="1"/>
  <c r="D446" i="1"/>
  <c r="C446" i="1"/>
  <c r="BR445" i="1"/>
  <c r="BM445" i="1"/>
  <c r="BH445" i="1"/>
  <c r="BC445" i="1"/>
  <c r="AV445" i="1"/>
  <c r="AR445" i="1"/>
  <c r="AQ445" i="1"/>
  <c r="AM445" i="1"/>
  <c r="AL445" i="1"/>
  <c r="AK445" i="1"/>
  <c r="AJ445" i="1"/>
  <c r="AH445" i="1"/>
  <c r="AG445" i="1"/>
  <c r="AF445" i="1"/>
  <c r="AE445" i="1"/>
  <c r="AD445" i="1"/>
  <c r="AC445" i="1"/>
  <c r="AB445" i="1"/>
  <c r="AA445" i="1"/>
  <c r="Z445" i="1"/>
  <c r="X445" i="1"/>
  <c r="W445" i="1"/>
  <c r="V445" i="1"/>
  <c r="U445" i="1"/>
  <c r="T445" i="1"/>
  <c r="S445" i="1"/>
  <c r="R445" i="1"/>
  <c r="Q445" i="1"/>
  <c r="P445" i="1"/>
  <c r="O445" i="1"/>
  <c r="N445" i="1"/>
  <c r="M445" i="1"/>
  <c r="L445" i="1"/>
  <c r="K445" i="1"/>
  <c r="J445" i="1"/>
  <c r="I445" i="1"/>
  <c r="H445" i="1"/>
  <c r="G445" i="1"/>
  <c r="F445" i="1"/>
  <c r="E445" i="1"/>
  <c r="D445" i="1"/>
  <c r="C445" i="1"/>
  <c r="P441" i="1"/>
  <c r="N441" i="1"/>
  <c r="M441" i="1"/>
  <c r="L441" i="1"/>
  <c r="K441" i="1"/>
  <c r="I441" i="1"/>
  <c r="H441" i="1"/>
  <c r="G441" i="1"/>
  <c r="F441" i="1"/>
  <c r="E441" i="1"/>
  <c r="D441" i="1"/>
  <c r="C441" i="1"/>
  <c r="BT440" i="1"/>
  <c r="BR440" i="1"/>
  <c r="BQ440" i="1"/>
  <c r="BM440" i="1"/>
  <c r="BL440" i="1"/>
  <c r="BK440" i="1"/>
  <c r="BJ440" i="1"/>
  <c r="BH440" i="1"/>
  <c r="BF440" i="1"/>
  <c r="BA440" i="1"/>
  <c r="AZ440" i="1"/>
  <c r="AW440" i="1"/>
  <c r="AV440" i="1"/>
  <c r="AS440" i="1"/>
  <c r="AT440" i="1" s="1"/>
  <c r="AO440" i="1"/>
  <c r="AJ440" i="1"/>
  <c r="AE440" i="1"/>
  <c r="Z440" i="1"/>
  <c r="U440" i="1"/>
  <c r="L440" i="1"/>
  <c r="P440" i="1" s="1"/>
  <c r="I440" i="1"/>
  <c r="H440" i="1"/>
  <c r="G440" i="1"/>
  <c r="F440" i="1"/>
  <c r="E440" i="1"/>
  <c r="D440" i="1"/>
  <c r="BQ439" i="1"/>
  <c r="BP439" i="1"/>
  <c r="BO439" i="1"/>
  <c r="BM439" i="1"/>
  <c r="BJ439" i="1"/>
  <c r="BH439" i="1"/>
  <c r="BF439" i="1"/>
  <c r="BE439" i="1"/>
  <c r="BC439" i="1"/>
  <c r="AZ439" i="1"/>
  <c r="AX439" i="1"/>
  <c r="AW439" i="1"/>
  <c r="AV439" i="1"/>
  <c r="AU439" i="1"/>
  <c r="AS439" i="1"/>
  <c r="AT439" i="1" s="1"/>
  <c r="AO439" i="1"/>
  <c r="AJ439" i="1"/>
  <c r="AE439" i="1"/>
  <c r="Z439" i="1"/>
  <c r="U439" i="1"/>
  <c r="L439" i="1"/>
  <c r="P439" i="1" s="1"/>
  <c r="K439" i="1"/>
  <c r="G439" i="1"/>
  <c r="F439" i="1"/>
  <c r="E439" i="1"/>
  <c r="D439" i="1"/>
  <c r="C439" i="1"/>
  <c r="BT438" i="1"/>
  <c r="BQ438" i="1"/>
  <c r="BP438" i="1"/>
  <c r="BO438" i="1"/>
  <c r="BL438" i="1"/>
  <c r="BK438" i="1"/>
  <c r="BJ438" i="1"/>
  <c r="BF438" i="1"/>
  <c r="BE438" i="1"/>
  <c r="BA438" i="1"/>
  <c r="AZ438" i="1"/>
  <c r="AW438" i="1"/>
  <c r="AV438" i="1"/>
  <c r="AU438" i="1"/>
  <c r="AO438" i="1"/>
  <c r="AJ438" i="1"/>
  <c r="AE438" i="1"/>
  <c r="Z438" i="1"/>
  <c r="U438" i="1"/>
  <c r="L438" i="1"/>
  <c r="P438" i="1" s="1"/>
  <c r="K438" i="1"/>
  <c r="J438" i="1"/>
  <c r="I438" i="1"/>
  <c r="H438" i="1"/>
  <c r="G438" i="1"/>
  <c r="F438" i="1"/>
  <c r="E438" i="1"/>
  <c r="D438" i="1"/>
  <c r="C438" i="1"/>
  <c r="BT437" i="1"/>
  <c r="BQ437" i="1"/>
  <c r="BP437" i="1"/>
  <c r="BO437" i="1"/>
  <c r="BL437" i="1"/>
  <c r="BK437" i="1"/>
  <c r="BJ437" i="1"/>
  <c r="BG437" i="1"/>
  <c r="BF437" i="1"/>
  <c r="BE437" i="1"/>
  <c r="BA437" i="1"/>
  <c r="AZ437" i="1"/>
  <c r="AW437" i="1"/>
  <c r="AV437" i="1"/>
  <c r="AU437" i="1"/>
  <c r="AO437" i="1"/>
  <c r="AJ437" i="1"/>
  <c r="AE437" i="1"/>
  <c r="Z437" i="1"/>
  <c r="U437" i="1"/>
  <c r="L437" i="1"/>
  <c r="P437" i="1" s="1"/>
  <c r="K437" i="1"/>
  <c r="I437" i="1"/>
  <c r="H437" i="1"/>
  <c r="G437" i="1"/>
  <c r="F437" i="1"/>
  <c r="E437" i="1"/>
  <c r="D437" i="1"/>
  <c r="C437" i="1"/>
  <c r="CF433" i="1"/>
  <c r="CE433" i="1"/>
  <c r="CD433" i="1"/>
  <c r="CC433" i="1"/>
  <c r="CB433" i="1"/>
  <c r="CA433" i="1"/>
  <c r="BZ433" i="1"/>
  <c r="BY433" i="1"/>
  <c r="BX433" i="1"/>
  <c r="BW433" i="1"/>
  <c r="BV433" i="1"/>
  <c r="BU433" i="1"/>
  <c r="BR430" i="1"/>
  <c r="BR438" i="1" s="1"/>
  <c r="BM430" i="1"/>
  <c r="BH430" i="1"/>
  <c r="BC430" i="1"/>
  <c r="AX430" i="1"/>
  <c r="AS430" i="1"/>
  <c r="AN430" i="1"/>
  <c r="AD430" i="1"/>
  <c r="Y430" i="1"/>
  <c r="Y489" i="1" s="1"/>
  <c r="Y43" i="9" s="1"/>
  <c r="T430" i="1"/>
  <c r="T489" i="1" s="1"/>
  <c r="T43" i="9" s="1"/>
  <c r="O430" i="1"/>
  <c r="J430" i="1"/>
  <c r="J489" i="1" s="1"/>
  <c r="AD428" i="1"/>
  <c r="AD486" i="1" s="1"/>
  <c r="Y428" i="1"/>
  <c r="Y486" i="1" s="1"/>
  <c r="T428" i="1"/>
  <c r="T486" i="1" s="1"/>
  <c r="O428" i="1"/>
  <c r="J428" i="1"/>
  <c r="J486" i="1" s="1"/>
  <c r="BR427" i="1"/>
  <c r="BM427" i="1"/>
  <c r="BM485" i="1" s="1"/>
  <c r="BH427" i="1"/>
  <c r="BH485" i="1" s="1"/>
  <c r="BC427" i="1"/>
  <c r="BC485" i="1" s="1"/>
  <c r="AX427" i="1"/>
  <c r="AX485" i="1" s="1"/>
  <c r="AX41" i="9" s="1"/>
  <c r="AS427" i="1"/>
  <c r="AS485" i="1" s="1"/>
  <c r="AN427" i="1"/>
  <c r="AN485" i="1" s="1"/>
  <c r="AD427" i="1"/>
  <c r="AD485" i="1" s="1"/>
  <c r="AD41" i="9" s="1"/>
  <c r="Y427" i="1"/>
  <c r="T427" i="1"/>
  <c r="T485" i="1" s="1"/>
  <c r="O427" i="1"/>
  <c r="O485" i="1" s="1"/>
  <c r="J427" i="1"/>
  <c r="J485" i="1" s="1"/>
  <c r="BR426" i="1"/>
  <c r="BR483" i="1" s="1"/>
  <c r="BM426" i="1"/>
  <c r="BM483" i="1" s="1"/>
  <c r="BH426" i="1"/>
  <c r="BH483" i="1" s="1"/>
  <c r="BC426" i="1"/>
  <c r="BC483" i="1" s="1"/>
  <c r="AX426" i="1"/>
  <c r="AS426" i="1"/>
  <c r="AS483" i="1" s="1"/>
  <c r="AN426" i="1"/>
  <c r="AN483" i="1" s="1"/>
  <c r="AD426" i="1"/>
  <c r="AD483" i="1" s="1"/>
  <c r="Y426" i="1"/>
  <c r="Y483" i="1" s="1"/>
  <c r="T426" i="1"/>
  <c r="T483" i="1" s="1"/>
  <c r="O426" i="1"/>
  <c r="O483" i="1" s="1"/>
  <c r="J426" i="1"/>
  <c r="AF425" i="1"/>
  <c r="AF429" i="1" s="1"/>
  <c r="AF431" i="1" s="1"/>
  <c r="AF433" i="1" s="1"/>
  <c r="BT424" i="1"/>
  <c r="BT318" i="1" s="1"/>
  <c r="BT320" i="1" s="1"/>
  <c r="BS424" i="1"/>
  <c r="BQ424" i="1"/>
  <c r="BP424" i="1"/>
  <c r="BO424" i="1"/>
  <c r="BN424" i="1"/>
  <c r="BN318" i="1" s="1"/>
  <c r="BL424" i="1"/>
  <c r="BK424" i="1"/>
  <c r="BJ424" i="1"/>
  <c r="BL318" i="1" s="1"/>
  <c r="BL320" i="1" s="1"/>
  <c r="BI424" i="1"/>
  <c r="BI318" i="1" s="1"/>
  <c r="BG424" i="1"/>
  <c r="BF424" i="1"/>
  <c r="BE424" i="1"/>
  <c r="BD424" i="1"/>
  <c r="BB424" i="1"/>
  <c r="BA424" i="1"/>
  <c r="AZ424" i="1"/>
  <c r="AY424" i="1"/>
  <c r="AY318" i="1" s="1"/>
  <c r="AY320" i="1" s="1"/>
  <c r="AW424" i="1"/>
  <c r="AV424" i="1"/>
  <c r="AU424" i="1"/>
  <c r="AT424" i="1"/>
  <c r="AR424" i="1"/>
  <c r="AQ424" i="1"/>
  <c r="AP424" i="1"/>
  <c r="AO424" i="1"/>
  <c r="AM424" i="1"/>
  <c r="AL424" i="1"/>
  <c r="AK424" i="1"/>
  <c r="AJ424" i="1"/>
  <c r="AJ425" i="1" s="1"/>
  <c r="AJ429" i="1" s="1"/>
  <c r="AJ431" i="1" s="1"/>
  <c r="AH424" i="1"/>
  <c r="AG424" i="1"/>
  <c r="AF424" i="1"/>
  <c r="AE424" i="1"/>
  <c r="AD424" i="1"/>
  <c r="AC424" i="1"/>
  <c r="AB424" i="1"/>
  <c r="AA424" i="1"/>
  <c r="Z424" i="1"/>
  <c r="Y424" i="1"/>
  <c r="X424" i="1"/>
  <c r="W424" i="1"/>
  <c r="V424" i="1"/>
  <c r="U424" i="1"/>
  <c r="S424" i="1"/>
  <c r="R424" i="1"/>
  <c r="Q424" i="1"/>
  <c r="P424" i="1"/>
  <c r="N424" i="1"/>
  <c r="M424" i="1"/>
  <c r="L424" i="1"/>
  <c r="K424" i="1"/>
  <c r="I424" i="1"/>
  <c r="H424" i="1"/>
  <c r="G424" i="1"/>
  <c r="F424" i="1"/>
  <c r="E424" i="1"/>
  <c r="D424" i="1"/>
  <c r="C424" i="1"/>
  <c r="BR423" i="1"/>
  <c r="BM423" i="1"/>
  <c r="BH423" i="1"/>
  <c r="BH233" i="1" s="1"/>
  <c r="BC423" i="1"/>
  <c r="BC233" i="1" s="1"/>
  <c r="AX423" i="1"/>
  <c r="AX471" i="1" s="1"/>
  <c r="AS423" i="1"/>
  <c r="AS471" i="1" s="1"/>
  <c r="AN423" i="1"/>
  <c r="AN233" i="1" s="1"/>
  <c r="AI423" i="1"/>
  <c r="AI471" i="1" s="1"/>
  <c r="AI37" i="9" s="1"/>
  <c r="T423" i="1"/>
  <c r="O423" i="1"/>
  <c r="O233" i="1" s="1"/>
  <c r="J423" i="1"/>
  <c r="BR422" i="1"/>
  <c r="BM422" i="1"/>
  <c r="BH422" i="1"/>
  <c r="BH469" i="1" s="1"/>
  <c r="BC422" i="1"/>
  <c r="AX422" i="1"/>
  <c r="AX469" i="1" s="1"/>
  <c r="AS422" i="1"/>
  <c r="AN422" i="1"/>
  <c r="AN369" i="1" s="1"/>
  <c r="AI422" i="1"/>
  <c r="T422" i="1"/>
  <c r="O422" i="1"/>
  <c r="J422" i="1"/>
  <c r="BR421" i="1"/>
  <c r="BR228" i="1" s="1"/>
  <c r="BR230" i="1" s="1"/>
  <c r="BW230" i="1" s="1"/>
  <c r="BM421" i="1"/>
  <c r="BM470" i="1" s="1"/>
  <c r="BM36" i="9" s="1"/>
  <c r="BH421" i="1"/>
  <c r="BC421" i="1"/>
  <c r="AX421" i="1"/>
  <c r="AX470" i="1" s="1"/>
  <c r="AX36" i="9" s="1"/>
  <c r="AS421" i="1"/>
  <c r="AN421" i="1"/>
  <c r="AI421" i="1"/>
  <c r="T421" i="1"/>
  <c r="T470" i="1" s="1"/>
  <c r="O421" i="1"/>
  <c r="J421" i="1"/>
  <c r="J470" i="1" s="1"/>
  <c r="J36" i="9" s="1"/>
  <c r="BT420" i="1"/>
  <c r="BS420" i="1"/>
  <c r="BS395" i="1" s="1"/>
  <c r="BR420" i="1"/>
  <c r="BQ420" i="1"/>
  <c r="BP420" i="1"/>
  <c r="BO420" i="1"/>
  <c r="BN420" i="1"/>
  <c r="BL420" i="1"/>
  <c r="BK420" i="1"/>
  <c r="BJ420" i="1"/>
  <c r="BI420" i="1"/>
  <c r="BG420" i="1"/>
  <c r="BF420" i="1"/>
  <c r="BE420" i="1"/>
  <c r="BE395" i="1" s="1"/>
  <c r="BD420" i="1"/>
  <c r="BD395" i="1" s="1"/>
  <c r="BB420" i="1"/>
  <c r="BB395" i="1" s="1"/>
  <c r="BA420" i="1"/>
  <c r="BA395" i="1" s="1"/>
  <c r="AZ420" i="1"/>
  <c r="AY420" i="1"/>
  <c r="AW420" i="1"/>
  <c r="AW395" i="1" s="1"/>
  <c r="AV420" i="1"/>
  <c r="AU420" i="1"/>
  <c r="AT420" i="1"/>
  <c r="AR420" i="1"/>
  <c r="AR425" i="1" s="1"/>
  <c r="AR429" i="1" s="1"/>
  <c r="AR431" i="1" s="1"/>
  <c r="AQ420" i="1"/>
  <c r="AP420" i="1"/>
  <c r="AO420" i="1"/>
  <c r="AM420" i="1"/>
  <c r="AM395" i="1" s="1"/>
  <c r="AL420" i="1"/>
  <c r="AK420" i="1"/>
  <c r="AK395" i="1" s="1"/>
  <c r="AJ420" i="1"/>
  <c r="AH420" i="1"/>
  <c r="AG420" i="1"/>
  <c r="AF420" i="1"/>
  <c r="AF395" i="1" s="1"/>
  <c r="AE420" i="1"/>
  <c r="AE395" i="1" s="1"/>
  <c r="AC420" i="1"/>
  <c r="AB420" i="1"/>
  <c r="AA420" i="1"/>
  <c r="Z420" i="1"/>
  <c r="X420" i="1"/>
  <c r="W420" i="1"/>
  <c r="V420" i="1"/>
  <c r="U420" i="1"/>
  <c r="U395" i="1" s="1"/>
  <c r="S420" i="1"/>
  <c r="R420" i="1"/>
  <c r="Q420" i="1"/>
  <c r="Q395" i="1" s="1"/>
  <c r="P420" i="1"/>
  <c r="N420" i="1"/>
  <c r="N395" i="1" s="1"/>
  <c r="M420" i="1"/>
  <c r="L420" i="1"/>
  <c r="L395" i="1" s="1"/>
  <c r="K420" i="1"/>
  <c r="K395" i="1" s="1"/>
  <c r="I420" i="1"/>
  <c r="H420" i="1"/>
  <c r="G420" i="1"/>
  <c r="G395" i="1" s="1"/>
  <c r="F420" i="1"/>
  <c r="BR419" i="1"/>
  <c r="BR466" i="1" s="1"/>
  <c r="BR35" i="9" s="1"/>
  <c r="BM419" i="1"/>
  <c r="BM466" i="1" s="1"/>
  <c r="BH419" i="1"/>
  <c r="BC419" i="1"/>
  <c r="AX419" i="1"/>
  <c r="AS419" i="1"/>
  <c r="AN419" i="1"/>
  <c r="AI419" i="1"/>
  <c r="AI213" i="1" s="1"/>
  <c r="T419" i="1"/>
  <c r="T466" i="1" s="1"/>
  <c r="T35" i="9" s="1"/>
  <c r="O419" i="1"/>
  <c r="O466" i="1" s="1"/>
  <c r="J419" i="1"/>
  <c r="E419" i="1"/>
  <c r="D419" i="1"/>
  <c r="D213" i="1" s="1"/>
  <c r="C419" i="1"/>
  <c r="AD418" i="1"/>
  <c r="Y418" i="1"/>
  <c r="T418" i="1"/>
  <c r="O418" i="1"/>
  <c r="J418" i="1"/>
  <c r="AD417" i="1"/>
  <c r="Y417" i="1"/>
  <c r="T417" i="1"/>
  <c r="O417" i="1"/>
  <c r="J417" i="1"/>
  <c r="BR416" i="1"/>
  <c r="BR209" i="1" s="1"/>
  <c r="BM416" i="1"/>
  <c r="BM420" i="1" s="1"/>
  <c r="BH416" i="1"/>
  <c r="BH310" i="1" s="1"/>
  <c r="BM303" i="1" s="1"/>
  <c r="BC416" i="1"/>
  <c r="BC209" i="1" s="1"/>
  <c r="AX416" i="1"/>
  <c r="AX462" i="1" s="1"/>
  <c r="AS416" i="1"/>
  <c r="AN416" i="1"/>
  <c r="AI416" i="1"/>
  <c r="AI420" i="1" s="1"/>
  <c r="AD416" i="1"/>
  <c r="Y416" i="1"/>
  <c r="Y462" i="1" s="1"/>
  <c r="T416" i="1"/>
  <c r="O416" i="1"/>
  <c r="J416" i="1"/>
  <c r="J209" i="1" s="1"/>
  <c r="BT410" i="1"/>
  <c r="AR410" i="1"/>
  <c r="Z410" i="1"/>
  <c r="L410" i="1"/>
  <c r="BP409" i="1"/>
  <c r="BJ409" i="1"/>
  <c r="AE409" i="1"/>
  <c r="U409" i="1"/>
  <c r="N409" i="1"/>
  <c r="M409" i="1"/>
  <c r="F409" i="1"/>
  <c r="E409" i="1"/>
  <c r="CF405" i="1"/>
  <c r="CE405" i="1"/>
  <c r="CD405" i="1"/>
  <c r="BY405" i="1"/>
  <c r="BW405" i="1"/>
  <c r="BV405" i="1"/>
  <c r="AD405" i="1"/>
  <c r="A405" i="1"/>
  <c r="AO403" i="1"/>
  <c r="W403" i="1"/>
  <c r="V403" i="1"/>
  <c r="C403" i="1"/>
  <c r="K402" i="1"/>
  <c r="K61" i="9" s="1"/>
  <c r="AO401" i="1"/>
  <c r="AN401" i="1"/>
  <c r="AM401" i="1"/>
  <c r="AL401" i="1"/>
  <c r="AK401" i="1"/>
  <c r="AJ401" i="1"/>
  <c r="AI401" i="1"/>
  <c r="AH401" i="1"/>
  <c r="AG401" i="1"/>
  <c r="AF401" i="1"/>
  <c r="AE401" i="1"/>
  <c r="AD401" i="1"/>
  <c r="AC401" i="1"/>
  <c r="AB401" i="1"/>
  <c r="AA401" i="1"/>
  <c r="Z401" i="1"/>
  <c r="X401" i="1"/>
  <c r="W401" i="1"/>
  <c r="V401" i="1"/>
  <c r="U401" i="1"/>
  <c r="T401" i="1"/>
  <c r="S401" i="1"/>
  <c r="R401" i="1"/>
  <c r="Q401" i="1"/>
  <c r="P401" i="1"/>
  <c r="N401" i="1"/>
  <c r="M401" i="1"/>
  <c r="L401" i="1"/>
  <c r="K401" i="1"/>
  <c r="J401" i="1"/>
  <c r="I401" i="1"/>
  <c r="H401" i="1"/>
  <c r="G401" i="1"/>
  <c r="F401" i="1"/>
  <c r="AO400" i="1"/>
  <c r="AN400" i="1"/>
  <c r="AM400" i="1"/>
  <c r="AL400" i="1"/>
  <c r="AK400" i="1"/>
  <c r="AJ400" i="1"/>
  <c r="AI400" i="1"/>
  <c r="AH400" i="1"/>
  <c r="AG400" i="1"/>
  <c r="AF400" i="1"/>
  <c r="AE400" i="1"/>
  <c r="AC400" i="1"/>
  <c r="AB400" i="1"/>
  <c r="AA400" i="1"/>
  <c r="Z400" i="1"/>
  <c r="Y400" i="1"/>
  <c r="X400" i="1"/>
  <c r="W400" i="1"/>
  <c r="V400" i="1"/>
  <c r="U400" i="1"/>
  <c r="S400" i="1"/>
  <c r="R400" i="1"/>
  <c r="Q400" i="1"/>
  <c r="P400" i="1"/>
  <c r="O400" i="1"/>
  <c r="N400" i="1"/>
  <c r="M400" i="1"/>
  <c r="L400" i="1"/>
  <c r="K400" i="1"/>
  <c r="J400" i="1"/>
  <c r="I400" i="1"/>
  <c r="H400" i="1"/>
  <c r="G400" i="1"/>
  <c r="F400" i="1"/>
  <c r="AO399" i="1"/>
  <c r="AN399" i="1"/>
  <c r="AM399" i="1"/>
  <c r="AL399" i="1"/>
  <c r="AK399" i="1"/>
  <c r="AJ399" i="1"/>
  <c r="AI399" i="1"/>
  <c r="AH399" i="1"/>
  <c r="AG399" i="1"/>
  <c r="AF399" i="1"/>
  <c r="AE399" i="1"/>
  <c r="AC399" i="1"/>
  <c r="AB399" i="1"/>
  <c r="AA399" i="1"/>
  <c r="Z399" i="1"/>
  <c r="Y399" i="1"/>
  <c r="X399" i="1"/>
  <c r="W399" i="1"/>
  <c r="V399" i="1"/>
  <c r="U399" i="1"/>
  <c r="T399" i="1"/>
  <c r="S399" i="1"/>
  <c r="R399" i="1"/>
  <c r="Q399" i="1"/>
  <c r="P399" i="1"/>
  <c r="O399" i="1"/>
  <c r="N399" i="1"/>
  <c r="M399" i="1"/>
  <c r="L399" i="1"/>
  <c r="K399" i="1"/>
  <c r="J399" i="1"/>
  <c r="I399" i="1"/>
  <c r="H399" i="1"/>
  <c r="G399" i="1"/>
  <c r="F399" i="1"/>
  <c r="BB398" i="1"/>
  <c r="AZ398" i="1"/>
  <c r="Y398" i="1"/>
  <c r="BR395" i="1"/>
  <c r="BP395" i="1"/>
  <c r="BN395" i="1"/>
  <c r="BF395" i="1"/>
  <c r="AU395" i="1"/>
  <c r="AT395" i="1"/>
  <c r="AR395" i="1"/>
  <c r="AL395" i="1"/>
  <c r="AJ395" i="1"/>
  <c r="AG395" i="1"/>
  <c r="AC395" i="1"/>
  <c r="W395" i="1"/>
  <c r="V395" i="1"/>
  <c r="M395" i="1"/>
  <c r="AU394" i="1"/>
  <c r="AT394" i="1"/>
  <c r="AR394" i="1"/>
  <c r="AQ394" i="1"/>
  <c r="S394" i="1"/>
  <c r="AO393" i="1"/>
  <c r="AN393" i="1"/>
  <c r="AM393" i="1"/>
  <c r="AL393" i="1"/>
  <c r="AK393" i="1"/>
  <c r="AJ393" i="1"/>
  <c r="AI393" i="1"/>
  <c r="AH393" i="1"/>
  <c r="AG393" i="1"/>
  <c r="AF393" i="1"/>
  <c r="AE393" i="1"/>
  <c r="AD393" i="1"/>
  <c r="AC393" i="1"/>
  <c r="AB393" i="1"/>
  <c r="AA393" i="1"/>
  <c r="Z393" i="1"/>
  <c r="X393" i="1"/>
  <c r="W393" i="1"/>
  <c r="V393" i="1"/>
  <c r="U393" i="1"/>
  <c r="T393" i="1"/>
  <c r="S393" i="1"/>
  <c r="R393" i="1"/>
  <c r="Q393" i="1"/>
  <c r="P393" i="1"/>
  <c r="O393" i="1"/>
  <c r="N393" i="1"/>
  <c r="M393" i="1"/>
  <c r="L393" i="1"/>
  <c r="K393" i="1"/>
  <c r="J393" i="1"/>
  <c r="I393" i="1"/>
  <c r="H393" i="1"/>
  <c r="G393" i="1"/>
  <c r="F393" i="1"/>
  <c r="AO392" i="1"/>
  <c r="AN392" i="1"/>
  <c r="AM392" i="1"/>
  <c r="AL392" i="1"/>
  <c r="AK392" i="1"/>
  <c r="AJ392" i="1"/>
  <c r="AI392" i="1"/>
  <c r="AH392" i="1"/>
  <c r="AG392" i="1"/>
  <c r="AF392" i="1"/>
  <c r="AE392" i="1"/>
  <c r="AC392" i="1"/>
  <c r="AB392" i="1"/>
  <c r="AA392" i="1"/>
  <c r="Z392" i="1"/>
  <c r="Y392" i="1"/>
  <c r="X392" i="1"/>
  <c r="W392" i="1"/>
  <c r="V392" i="1"/>
  <c r="U392" i="1"/>
  <c r="S392" i="1"/>
  <c r="R392" i="1"/>
  <c r="Q392" i="1"/>
  <c r="P392" i="1"/>
  <c r="O392" i="1"/>
  <c r="N392" i="1"/>
  <c r="M392" i="1"/>
  <c r="L392" i="1"/>
  <c r="K392" i="1"/>
  <c r="J392" i="1"/>
  <c r="I392" i="1"/>
  <c r="H392" i="1"/>
  <c r="G392" i="1"/>
  <c r="F392" i="1"/>
  <c r="AO391" i="1"/>
  <c r="AN391" i="1"/>
  <c r="AM391" i="1"/>
  <c r="AL391" i="1"/>
  <c r="AK391" i="1"/>
  <c r="AJ391" i="1"/>
  <c r="AH391" i="1"/>
  <c r="AG391" i="1"/>
  <c r="AF391" i="1"/>
  <c r="AE391" i="1"/>
  <c r="AD391" i="1"/>
  <c r="AC391" i="1"/>
  <c r="AB391" i="1"/>
  <c r="AA391" i="1"/>
  <c r="Z391" i="1"/>
  <c r="X391" i="1"/>
  <c r="W391" i="1"/>
  <c r="V391" i="1"/>
  <c r="U391" i="1"/>
  <c r="T391" i="1"/>
  <c r="S391" i="1"/>
  <c r="R391" i="1"/>
  <c r="Q391" i="1"/>
  <c r="P391" i="1"/>
  <c r="O391" i="1"/>
  <c r="N391" i="1"/>
  <c r="M391" i="1"/>
  <c r="L391" i="1"/>
  <c r="K391" i="1"/>
  <c r="J391" i="1"/>
  <c r="I391" i="1"/>
  <c r="H391" i="1"/>
  <c r="G391" i="1"/>
  <c r="F391" i="1"/>
  <c r="AM388" i="1"/>
  <c r="AM387" i="1" s="1"/>
  <c r="AL388" i="1"/>
  <c r="AK388" i="1"/>
  <c r="AK387" i="1" s="1"/>
  <c r="AJ388" i="1"/>
  <c r="AI388" i="1"/>
  <c r="AH388" i="1"/>
  <c r="AG388" i="1"/>
  <c r="AF388" i="1"/>
  <c r="AF387" i="1" s="1"/>
  <c r="AE388" i="1"/>
  <c r="AE387" i="1" s="1"/>
  <c r="AD388" i="1"/>
  <c r="AC388" i="1"/>
  <c r="AC387" i="1" s="1"/>
  <c r="AB388" i="1"/>
  <c r="AA388" i="1"/>
  <c r="Z388" i="1"/>
  <c r="U388" i="1"/>
  <c r="P388" i="1"/>
  <c r="P387" i="1" s="1"/>
  <c r="AI386" i="1"/>
  <c r="AD386" i="1"/>
  <c r="AI385" i="1"/>
  <c r="AD385" i="1"/>
  <c r="AM384" i="1"/>
  <c r="AL384" i="1"/>
  <c r="AK384" i="1"/>
  <c r="AJ384" i="1"/>
  <c r="AJ387" i="1" s="1"/>
  <c r="AI384" i="1"/>
  <c r="AH384" i="1"/>
  <c r="AG384" i="1"/>
  <c r="AF384" i="1"/>
  <c r="AE384" i="1"/>
  <c r="AD384" i="1"/>
  <c r="AC384" i="1"/>
  <c r="AB384" i="1"/>
  <c r="AB387" i="1" s="1"/>
  <c r="AA384" i="1"/>
  <c r="AA387" i="1" s="1"/>
  <c r="Z384" i="1"/>
  <c r="U384" i="1"/>
  <c r="P384" i="1"/>
  <c r="AM382" i="1"/>
  <c r="AL382" i="1"/>
  <c r="AK382" i="1"/>
  <c r="AJ382" i="1"/>
  <c r="AI382" i="1"/>
  <c r="AH382" i="1"/>
  <c r="AG382" i="1"/>
  <c r="AF382" i="1"/>
  <c r="AE382" i="1"/>
  <c r="AD382" i="1"/>
  <c r="AC382" i="1"/>
  <c r="AB382" i="1"/>
  <c r="AA382" i="1"/>
  <c r="Z382" i="1"/>
  <c r="U382" i="1"/>
  <c r="P382" i="1"/>
  <c r="AI380" i="1"/>
  <c r="AD380" i="1"/>
  <c r="AI378" i="1"/>
  <c r="AD378" i="1"/>
  <c r="AM377" i="1"/>
  <c r="AL377" i="1"/>
  <c r="AK377" i="1"/>
  <c r="AK381" i="1" s="1"/>
  <c r="AJ377" i="1"/>
  <c r="AI377" i="1"/>
  <c r="AH377" i="1"/>
  <c r="AG377" i="1"/>
  <c r="AF377" i="1"/>
  <c r="AE377" i="1"/>
  <c r="AD377" i="1"/>
  <c r="AC377" i="1"/>
  <c r="AC381" i="1" s="1"/>
  <c r="AB377" i="1"/>
  <c r="AA377" i="1"/>
  <c r="Z377" i="1"/>
  <c r="U377" i="1"/>
  <c r="P377" i="1"/>
  <c r="BT375" i="1"/>
  <c r="BS375" i="1"/>
  <c r="BS374" i="1" s="1"/>
  <c r="BQ375" i="1"/>
  <c r="BP375" i="1"/>
  <c r="BO375" i="1"/>
  <c r="BN375" i="1"/>
  <c r="BL375" i="1"/>
  <c r="BK375" i="1"/>
  <c r="BJ375" i="1"/>
  <c r="BI375" i="1"/>
  <c r="BI374" i="1" s="1"/>
  <c r="BG375" i="1"/>
  <c r="BF375" i="1"/>
  <c r="BE375" i="1"/>
  <c r="BD375" i="1"/>
  <c r="BB375" i="1"/>
  <c r="BA375" i="1"/>
  <c r="AZ375" i="1"/>
  <c r="AY375" i="1"/>
  <c r="AY374" i="1" s="1"/>
  <c r="AW375" i="1"/>
  <c r="AV375" i="1"/>
  <c r="AU375" i="1"/>
  <c r="AT375" i="1"/>
  <c r="AR375" i="1"/>
  <c r="AQ375" i="1"/>
  <c r="AP375" i="1"/>
  <c r="AO375" i="1"/>
  <c r="AO374" i="1" s="1"/>
  <c r="AM375" i="1"/>
  <c r="AL375" i="1"/>
  <c r="AK375" i="1"/>
  <c r="AJ375" i="1"/>
  <c r="BT374" i="1"/>
  <c r="BE374" i="1"/>
  <c r="AN373" i="1"/>
  <c r="AN372" i="1"/>
  <c r="BT371" i="1"/>
  <c r="BS371" i="1"/>
  <c r="BQ371" i="1"/>
  <c r="BP371" i="1"/>
  <c r="BO371" i="1"/>
  <c r="BO374" i="1" s="1"/>
  <c r="BN371" i="1"/>
  <c r="BL371" i="1"/>
  <c r="BK371" i="1"/>
  <c r="BJ371" i="1"/>
  <c r="BI371" i="1"/>
  <c r="BG371" i="1"/>
  <c r="BF371" i="1"/>
  <c r="BE371" i="1"/>
  <c r="BD371" i="1"/>
  <c r="BB371" i="1"/>
  <c r="BA371" i="1"/>
  <c r="AZ371" i="1"/>
  <c r="AY371" i="1"/>
  <c r="AW371" i="1"/>
  <c r="AV371" i="1"/>
  <c r="AU371" i="1"/>
  <c r="AT371" i="1"/>
  <c r="AR371" i="1"/>
  <c r="AQ371" i="1"/>
  <c r="AP371" i="1"/>
  <c r="AO371" i="1"/>
  <c r="AN371" i="1"/>
  <c r="AM371" i="1"/>
  <c r="AL371" i="1"/>
  <c r="AK371" i="1"/>
  <c r="AJ371" i="1"/>
  <c r="AJ374" i="1" s="1"/>
  <c r="BT369" i="1"/>
  <c r="BS369" i="1"/>
  <c r="BQ369" i="1"/>
  <c r="BP369" i="1"/>
  <c r="BO369" i="1"/>
  <c r="BN369" i="1"/>
  <c r="BN368" i="1" s="1"/>
  <c r="BL369" i="1"/>
  <c r="BK369" i="1"/>
  <c r="BJ369" i="1"/>
  <c r="BI369" i="1"/>
  <c r="BG369" i="1"/>
  <c r="BF369" i="1"/>
  <c r="BE369" i="1"/>
  <c r="BD369" i="1"/>
  <c r="BD368" i="1" s="1"/>
  <c r="BB369" i="1"/>
  <c r="BA369" i="1"/>
  <c r="AZ369" i="1"/>
  <c r="AY369" i="1"/>
  <c r="AW369" i="1"/>
  <c r="AV369" i="1"/>
  <c r="AU369" i="1"/>
  <c r="AT369" i="1"/>
  <c r="AT368" i="1" s="1"/>
  <c r="AR369" i="1"/>
  <c r="AQ369" i="1"/>
  <c r="AP369" i="1"/>
  <c r="AO369" i="1"/>
  <c r="AM369" i="1"/>
  <c r="AL369" i="1"/>
  <c r="AK369" i="1"/>
  <c r="AJ369" i="1"/>
  <c r="BS368" i="1"/>
  <c r="BO368" i="1"/>
  <c r="AW368" i="1"/>
  <c r="AN367" i="1"/>
  <c r="AN366" i="1"/>
  <c r="BT365" i="1"/>
  <c r="BS365" i="1"/>
  <c r="BQ365" i="1"/>
  <c r="BQ368" i="1" s="1"/>
  <c r="BP365" i="1"/>
  <c r="BO365" i="1"/>
  <c r="BN365" i="1"/>
  <c r="BL365" i="1"/>
  <c r="BK365" i="1"/>
  <c r="BJ365" i="1"/>
  <c r="BI365" i="1"/>
  <c r="BG365" i="1"/>
  <c r="BF365" i="1"/>
  <c r="BE365" i="1"/>
  <c r="BD365" i="1"/>
  <c r="BB365" i="1"/>
  <c r="BA365" i="1"/>
  <c r="BA368" i="1" s="1"/>
  <c r="AZ365" i="1"/>
  <c r="AY365" i="1"/>
  <c r="AW365" i="1"/>
  <c r="AV365" i="1"/>
  <c r="AU365" i="1"/>
  <c r="AT365" i="1"/>
  <c r="AR365" i="1"/>
  <c r="AQ365" i="1"/>
  <c r="AP365" i="1"/>
  <c r="AO365" i="1"/>
  <c r="AM365" i="1"/>
  <c r="AL365" i="1"/>
  <c r="AK365" i="1"/>
  <c r="AJ365" i="1"/>
  <c r="BT362" i="1"/>
  <c r="BS362" i="1"/>
  <c r="BQ362" i="1"/>
  <c r="BP362" i="1"/>
  <c r="BO362" i="1"/>
  <c r="BN362" i="1"/>
  <c r="BL362" i="1"/>
  <c r="BK362" i="1"/>
  <c r="BJ362" i="1"/>
  <c r="BI362" i="1"/>
  <c r="BG362" i="1"/>
  <c r="BF362" i="1"/>
  <c r="BE362" i="1"/>
  <c r="BD362" i="1"/>
  <c r="BB362" i="1"/>
  <c r="BA362" i="1"/>
  <c r="AZ362" i="1"/>
  <c r="AY362" i="1"/>
  <c r="AW362" i="1"/>
  <c r="AV362" i="1"/>
  <c r="AU362" i="1"/>
  <c r="AT362" i="1"/>
  <c r="AR362" i="1"/>
  <c r="AQ362" i="1"/>
  <c r="AQ361" i="1" s="1"/>
  <c r="AP362" i="1"/>
  <c r="AO362" i="1"/>
  <c r="BA361" i="1"/>
  <c r="AT361" i="1"/>
  <c r="BI360" i="1"/>
  <c r="BG360" i="1"/>
  <c r="BF360" i="1"/>
  <c r="BT357" i="1"/>
  <c r="BS357" i="1"/>
  <c r="BQ357" i="1"/>
  <c r="BP357" i="1"/>
  <c r="BO357" i="1"/>
  <c r="BN357" i="1"/>
  <c r="BN361" i="1" s="1"/>
  <c r="BL357" i="1"/>
  <c r="BK357" i="1"/>
  <c r="BJ357" i="1"/>
  <c r="BI357" i="1"/>
  <c r="BG357" i="1"/>
  <c r="BF357" i="1"/>
  <c r="BE357" i="1"/>
  <c r="BD357" i="1"/>
  <c r="BB357" i="1"/>
  <c r="BA357" i="1"/>
  <c r="AZ357" i="1"/>
  <c r="AY357" i="1"/>
  <c r="AW357" i="1"/>
  <c r="AV357" i="1"/>
  <c r="AU357" i="1"/>
  <c r="AT357" i="1"/>
  <c r="AR357" i="1"/>
  <c r="AQ357" i="1"/>
  <c r="AP357" i="1"/>
  <c r="AO357" i="1"/>
  <c r="BT355" i="1"/>
  <c r="BT354" i="1" s="1"/>
  <c r="BS355" i="1"/>
  <c r="BS354" i="1" s="1"/>
  <c r="BQ355" i="1"/>
  <c r="BP355" i="1"/>
  <c r="BO355" i="1"/>
  <c r="BN355" i="1"/>
  <c r="BL355" i="1"/>
  <c r="BK355" i="1"/>
  <c r="BK354" i="1" s="1"/>
  <c r="BJ355" i="1"/>
  <c r="BJ354" i="1" s="1"/>
  <c r="BI355" i="1"/>
  <c r="BI354" i="1" s="1"/>
  <c r="BG355" i="1"/>
  <c r="BF355" i="1"/>
  <c r="BE355" i="1"/>
  <c r="BD355" i="1"/>
  <c r="BB355" i="1"/>
  <c r="BA355" i="1"/>
  <c r="BA354" i="1" s="1"/>
  <c r="AZ355" i="1"/>
  <c r="AZ354" i="1" s="1"/>
  <c r="AY355" i="1"/>
  <c r="AY354" i="1" s="1"/>
  <c r="AW355" i="1"/>
  <c r="AV355" i="1"/>
  <c r="AU355" i="1"/>
  <c r="AT355" i="1"/>
  <c r="AR355" i="1"/>
  <c r="AQ355" i="1"/>
  <c r="AQ354" i="1" s="1"/>
  <c r="AP355" i="1"/>
  <c r="AP354" i="1" s="1"/>
  <c r="AO355" i="1"/>
  <c r="BT347" i="1"/>
  <c r="BS347" i="1"/>
  <c r="BQ347" i="1"/>
  <c r="BP347" i="1"/>
  <c r="BO347" i="1"/>
  <c r="BO354" i="1" s="1"/>
  <c r="BN347" i="1"/>
  <c r="BN354" i="1" s="1"/>
  <c r="BL347" i="1"/>
  <c r="BK347" i="1"/>
  <c r="BJ347" i="1"/>
  <c r="BI347" i="1"/>
  <c r="BG347" i="1"/>
  <c r="BF347" i="1"/>
  <c r="BE347" i="1"/>
  <c r="BE354" i="1" s="1"/>
  <c r="BD347" i="1"/>
  <c r="BD354" i="1" s="1"/>
  <c r="BB347" i="1"/>
  <c r="BA347" i="1"/>
  <c r="AZ347" i="1"/>
  <c r="AY347" i="1"/>
  <c r="AW347" i="1"/>
  <c r="AV347" i="1"/>
  <c r="AU347" i="1"/>
  <c r="AU354" i="1" s="1"/>
  <c r="AR347" i="1"/>
  <c r="AQ347" i="1"/>
  <c r="AP347" i="1"/>
  <c r="AW344" i="1"/>
  <c r="BG343" i="1"/>
  <c r="BK340" i="1"/>
  <c r="BK344" i="1" s="1"/>
  <c r="BF340" i="1"/>
  <c r="BF344" i="1" s="1"/>
  <c r="AZ340" i="1"/>
  <c r="AV340" i="1"/>
  <c r="AV344" i="1" s="1"/>
  <c r="AU340" i="1"/>
  <c r="BJ339" i="1"/>
  <c r="BH339" i="1"/>
  <c r="BG339" i="1"/>
  <c r="BG340" i="1" s="1"/>
  <c r="BG344" i="1" s="1"/>
  <c r="BE339" i="1"/>
  <c r="BR323" i="1"/>
  <c r="BM323" i="1"/>
  <c r="BH323" i="1"/>
  <c r="BC323" i="1"/>
  <c r="AT320" i="1"/>
  <c r="BR319" i="1"/>
  <c r="BM319" i="1"/>
  <c r="BH319" i="1"/>
  <c r="BC319" i="1"/>
  <c r="BO318" i="1"/>
  <c r="BO320" i="1" s="1"/>
  <c r="BD318" i="1"/>
  <c r="BC318" i="1" s="1"/>
  <c r="BD316" i="1"/>
  <c r="AY316" i="1"/>
  <c r="BR315" i="1"/>
  <c r="BM315" i="1"/>
  <c r="BH315" i="1"/>
  <c r="BC315" i="1"/>
  <c r="BT314" i="1"/>
  <c r="BT316" i="1" s="1"/>
  <c r="BS314" i="1"/>
  <c r="BS316" i="1" s="1"/>
  <c r="BR314" i="1"/>
  <c r="BR316" i="1" s="1"/>
  <c r="BQ314" i="1"/>
  <c r="BQ316" i="1" s="1"/>
  <c r="BP314" i="1"/>
  <c r="BP316" i="1" s="1"/>
  <c r="BO314" i="1"/>
  <c r="BO316" i="1" s="1"/>
  <c r="BN314" i="1"/>
  <c r="BM314" i="1" s="1"/>
  <c r="BL314" i="1"/>
  <c r="BL316" i="1" s="1"/>
  <c r="BK314" i="1"/>
  <c r="BK316" i="1" s="1"/>
  <c r="BJ314" i="1"/>
  <c r="BJ316" i="1" s="1"/>
  <c r="BI314" i="1"/>
  <c r="BG314" i="1"/>
  <c r="BG316" i="1" s="1"/>
  <c r="BF314" i="1"/>
  <c r="BF316" i="1" s="1"/>
  <c r="BE314" i="1"/>
  <c r="BE316" i="1" s="1"/>
  <c r="BD314" i="1"/>
  <c r="BC314" i="1" s="1"/>
  <c r="BB314" i="1"/>
  <c r="BB316" i="1" s="1"/>
  <c r="BA314" i="1"/>
  <c r="BA316" i="1" s="1"/>
  <c r="AY314" i="1"/>
  <c r="AT314" i="1"/>
  <c r="AT316" i="1" s="1"/>
  <c r="AT322" i="1" s="1"/>
  <c r="AT324" i="1" s="1"/>
  <c r="AT325" i="1" s="1"/>
  <c r="BI310" i="1"/>
  <c r="BN303" i="1" s="1"/>
  <c r="BG310" i="1"/>
  <c r="BL303" i="1" s="1"/>
  <c r="BL305" i="1" s="1"/>
  <c r="BL306" i="1" s="1"/>
  <c r="BL312" i="1" s="1"/>
  <c r="BL32" i="1" s="1"/>
  <c r="BL21" i="9" s="1"/>
  <c r="BF310" i="1"/>
  <c r="BK303" i="1" s="1"/>
  <c r="BK305" i="1" s="1"/>
  <c r="BE310" i="1"/>
  <c r="BJ303" i="1" s="1"/>
  <c r="BD310" i="1"/>
  <c r="BB310" i="1"/>
  <c r="BA310" i="1"/>
  <c r="AZ310" i="1"/>
  <c r="AY310" i="1"/>
  <c r="AW310" i="1"/>
  <c r="AV310" i="1"/>
  <c r="AU310" i="1"/>
  <c r="AT310" i="1"/>
  <c r="AR310" i="1"/>
  <c r="AQ310" i="1"/>
  <c r="AP310" i="1"/>
  <c r="AO310" i="1"/>
  <c r="AM310" i="1"/>
  <c r="AL310" i="1"/>
  <c r="AK310" i="1"/>
  <c r="AJ310" i="1"/>
  <c r="AH310" i="1"/>
  <c r="AG310" i="1"/>
  <c r="AF310" i="1"/>
  <c r="AE310" i="1"/>
  <c r="AC310" i="1"/>
  <c r="AB310" i="1"/>
  <c r="AA310" i="1"/>
  <c r="Z310" i="1"/>
  <c r="X310" i="1"/>
  <c r="W310" i="1"/>
  <c r="V310" i="1"/>
  <c r="U310" i="1"/>
  <c r="S310" i="1"/>
  <c r="R310" i="1"/>
  <c r="Q310" i="1"/>
  <c r="P310" i="1"/>
  <c r="N310" i="1"/>
  <c r="M310" i="1"/>
  <c r="L310" i="1"/>
  <c r="K310" i="1"/>
  <c r="I310" i="1"/>
  <c r="H310" i="1"/>
  <c r="G310" i="1"/>
  <c r="F310" i="1"/>
  <c r="E310" i="1"/>
  <c r="D310" i="1"/>
  <c r="C310" i="1"/>
  <c r="BT309" i="1"/>
  <c r="BT37" i="1" s="1"/>
  <c r="BR309" i="1"/>
  <c r="BQ309" i="1"/>
  <c r="BP309" i="1"/>
  <c r="BO309" i="1"/>
  <c r="BO37" i="1" s="1"/>
  <c r="BM309" i="1"/>
  <c r="BL309" i="1"/>
  <c r="BL37" i="1" s="1"/>
  <c r="BK309" i="1"/>
  <c r="BK37" i="1" s="1"/>
  <c r="BJ309" i="1"/>
  <c r="BT308" i="1"/>
  <c r="BR308" i="1"/>
  <c r="BR36" i="1" s="1"/>
  <c r="BQ308" i="1"/>
  <c r="BQ36" i="1" s="1"/>
  <c r="BP308" i="1"/>
  <c r="BO308" i="1"/>
  <c r="BM308" i="1"/>
  <c r="BM36" i="1" s="1"/>
  <c r="BL308" i="1"/>
  <c r="BL36" i="1" s="1"/>
  <c r="BK308" i="1"/>
  <c r="BK36" i="1" s="1"/>
  <c r="BJ308" i="1"/>
  <c r="BJ36" i="1" s="1"/>
  <c r="BT307" i="1"/>
  <c r="BR307" i="1"/>
  <c r="BQ307" i="1"/>
  <c r="BP307" i="1"/>
  <c r="BO307" i="1"/>
  <c r="BM307" i="1"/>
  <c r="BL307" i="1"/>
  <c r="BK307" i="1"/>
  <c r="BJ307" i="1"/>
  <c r="BM304" i="1"/>
  <c r="BL304" i="1"/>
  <c r="BK304" i="1"/>
  <c r="BJ304" i="1"/>
  <c r="BT299" i="1"/>
  <c r="BR299" i="1"/>
  <c r="BQ299" i="1"/>
  <c r="BP299" i="1"/>
  <c r="BO299" i="1"/>
  <c r="BT292" i="1" s="1"/>
  <c r="BM299" i="1"/>
  <c r="BL299" i="1"/>
  <c r="BQ292" i="1" s="1"/>
  <c r="BK299" i="1"/>
  <c r="BP292" i="1" s="1"/>
  <c r="BP300" i="1" s="1"/>
  <c r="BJ299" i="1"/>
  <c r="BO292" i="1" s="1"/>
  <c r="BF299" i="1"/>
  <c r="BK292" i="1" s="1"/>
  <c r="BS298" i="1"/>
  <c r="BN298" i="1"/>
  <c r="BS297" i="1"/>
  <c r="BN297" i="1"/>
  <c r="BS296" i="1"/>
  <c r="BN296" i="1"/>
  <c r="BT293" i="1"/>
  <c r="BR293" i="1"/>
  <c r="BQ293" i="1"/>
  <c r="BQ294" i="1" s="1"/>
  <c r="BQ295" i="1" s="1"/>
  <c r="BQ301" i="1" s="1"/>
  <c r="BP293" i="1"/>
  <c r="BO293" i="1"/>
  <c r="BS293" i="1" s="1"/>
  <c r="BN293" i="1"/>
  <c r="BT288" i="1"/>
  <c r="BR288" i="1"/>
  <c r="BQ288" i="1"/>
  <c r="BP288" i="1"/>
  <c r="BO288" i="1"/>
  <c r="BM288" i="1"/>
  <c r="BR281" i="1" s="1"/>
  <c r="BL288" i="1"/>
  <c r="BQ281" i="1" s="1"/>
  <c r="BK288" i="1"/>
  <c r="BP281" i="1" s="1"/>
  <c r="BP283" i="1" s="1"/>
  <c r="BP284" i="1" s="1"/>
  <c r="BP290" i="1" s="1"/>
  <c r="BJ288" i="1"/>
  <c r="BO281" i="1" s="1"/>
  <c r="AA288" i="1"/>
  <c r="BS287" i="1"/>
  <c r="BN287" i="1"/>
  <c r="BS286" i="1"/>
  <c r="BN286" i="1"/>
  <c r="BS285" i="1"/>
  <c r="BN285" i="1"/>
  <c r="BT282" i="1"/>
  <c r="BS282" i="1"/>
  <c r="BR282" i="1"/>
  <c r="BQ282" i="1"/>
  <c r="BP282" i="1"/>
  <c r="BO282" i="1"/>
  <c r="BN282" i="1"/>
  <c r="BT277" i="1"/>
  <c r="BR277" i="1"/>
  <c r="BR278" i="1" s="1"/>
  <c r="BQ277" i="1"/>
  <c r="BP277" i="1"/>
  <c r="BO277" i="1"/>
  <c r="BT270" i="1" s="1"/>
  <c r="BM277" i="1"/>
  <c r="BR270" i="1" s="1"/>
  <c r="BL277" i="1"/>
  <c r="BQ270" i="1" s="1"/>
  <c r="BQ272" i="1" s="1"/>
  <c r="BQ273" i="1" s="1"/>
  <c r="BQ279" i="1" s="1"/>
  <c r="BK277" i="1"/>
  <c r="BP270" i="1" s="1"/>
  <c r="BJ277" i="1"/>
  <c r="BO270" i="1" s="1"/>
  <c r="BE277" i="1"/>
  <c r="BJ270" i="1" s="1"/>
  <c r="AG277" i="1"/>
  <c r="BS276" i="1"/>
  <c r="BN276" i="1"/>
  <c r="BS275" i="1"/>
  <c r="BN275" i="1"/>
  <c r="BS274" i="1"/>
  <c r="BN274" i="1"/>
  <c r="BT271" i="1"/>
  <c r="BR271" i="1"/>
  <c r="BQ271" i="1"/>
  <c r="BP271" i="1"/>
  <c r="BO271" i="1"/>
  <c r="BN271" i="1"/>
  <c r="BT266" i="1"/>
  <c r="BR266" i="1"/>
  <c r="BQ266" i="1"/>
  <c r="BP266" i="1"/>
  <c r="BO266" i="1"/>
  <c r="BT259" i="1" s="1"/>
  <c r="BM266" i="1"/>
  <c r="BR259" i="1" s="1"/>
  <c r="BL266" i="1"/>
  <c r="BQ259" i="1" s="1"/>
  <c r="BQ261" i="1" s="1"/>
  <c r="BQ262" i="1" s="1"/>
  <c r="BQ268" i="1" s="1"/>
  <c r="BK266" i="1"/>
  <c r="BP259" i="1" s="1"/>
  <c r="BJ266" i="1"/>
  <c r="BO259" i="1" s="1"/>
  <c r="BO261" i="1" s="1"/>
  <c r="BO262" i="1" s="1"/>
  <c r="BO268" i="1" s="1"/>
  <c r="AT266" i="1"/>
  <c r="BS265" i="1"/>
  <c r="BN265" i="1"/>
  <c r="BS264" i="1"/>
  <c r="BN264" i="1"/>
  <c r="BS263" i="1"/>
  <c r="BN263" i="1"/>
  <c r="BT260" i="1"/>
  <c r="BR260" i="1"/>
  <c r="BQ260" i="1"/>
  <c r="BP260" i="1"/>
  <c r="BO260" i="1"/>
  <c r="BN260" i="1"/>
  <c r="BT256" i="1"/>
  <c r="AJ256" i="1"/>
  <c r="AE256" i="1"/>
  <c r="AC256" i="1"/>
  <c r="AB256" i="1"/>
  <c r="AA256" i="1"/>
  <c r="Z256" i="1"/>
  <c r="Y256" i="1"/>
  <c r="X256" i="1"/>
  <c r="W256" i="1"/>
  <c r="V256" i="1"/>
  <c r="U256" i="1"/>
  <c r="T256" i="1"/>
  <c r="S256" i="1"/>
  <c r="R256" i="1"/>
  <c r="Q256" i="1"/>
  <c r="P256" i="1"/>
  <c r="O256" i="1"/>
  <c r="N256" i="1"/>
  <c r="M256" i="1"/>
  <c r="L256" i="1"/>
  <c r="K256" i="1"/>
  <c r="J256" i="1"/>
  <c r="I256" i="1"/>
  <c r="H256" i="1"/>
  <c r="G256" i="1"/>
  <c r="F256" i="1"/>
  <c r="E256" i="1"/>
  <c r="D256" i="1"/>
  <c r="C256" i="1"/>
  <c r="AI255" i="1"/>
  <c r="AD255" i="1"/>
  <c r="BT254" i="1"/>
  <c r="BS254" i="1"/>
  <c r="BS256" i="1" s="1"/>
  <c r="BQ254" i="1"/>
  <c r="BQ256" i="1" s="1"/>
  <c r="BP254" i="1"/>
  <c r="BP256" i="1" s="1"/>
  <c r="BO254" i="1"/>
  <c r="BO256" i="1" s="1"/>
  <c r="BN254" i="1"/>
  <c r="BN256" i="1" s="1"/>
  <c r="BL254" i="1"/>
  <c r="BL256" i="1" s="1"/>
  <c r="BK254" i="1"/>
  <c r="BK256" i="1" s="1"/>
  <c r="BJ254" i="1"/>
  <c r="BJ256" i="1" s="1"/>
  <c r="BI254" i="1"/>
  <c r="BI256" i="1" s="1"/>
  <c r="BG254" i="1"/>
  <c r="BG256" i="1" s="1"/>
  <c r="BF254" i="1"/>
  <c r="BF256" i="1" s="1"/>
  <c r="BE254" i="1"/>
  <c r="BE256" i="1" s="1"/>
  <c r="BD254" i="1"/>
  <c r="BD256" i="1" s="1"/>
  <c r="BB254" i="1"/>
  <c r="BB256" i="1" s="1"/>
  <c r="BA254" i="1"/>
  <c r="BA256" i="1" s="1"/>
  <c r="AZ254" i="1"/>
  <c r="AZ256" i="1" s="1"/>
  <c r="AY254" i="1"/>
  <c r="AY256" i="1" s="1"/>
  <c r="AW254" i="1"/>
  <c r="AW256" i="1" s="1"/>
  <c r="AV254" i="1"/>
  <c r="AV256" i="1" s="1"/>
  <c r="AU254" i="1"/>
  <c r="AU256" i="1" s="1"/>
  <c r="AT254" i="1"/>
  <c r="AT256" i="1" s="1"/>
  <c r="AR254" i="1"/>
  <c r="AR256" i="1" s="1"/>
  <c r="AQ254" i="1"/>
  <c r="AQ256" i="1" s="1"/>
  <c r="AP254" i="1"/>
  <c r="AP256" i="1" s="1"/>
  <c r="AO254" i="1"/>
  <c r="AO256" i="1" s="1"/>
  <c r="AM254" i="1"/>
  <c r="AM256" i="1" s="1"/>
  <c r="AL254" i="1"/>
  <c r="AL256" i="1" s="1"/>
  <c r="AK254" i="1"/>
  <c r="AK256" i="1" s="1"/>
  <c r="AH254" i="1"/>
  <c r="AH256" i="1" s="1"/>
  <c r="AG254" i="1"/>
  <c r="AG256" i="1" s="1"/>
  <c r="AF254" i="1"/>
  <c r="AF256" i="1" s="1"/>
  <c r="AD254" i="1"/>
  <c r="BR253" i="1"/>
  <c r="BM253" i="1"/>
  <c r="BH253" i="1"/>
  <c r="BC253" i="1"/>
  <c r="AX253" i="1"/>
  <c r="AS253" i="1"/>
  <c r="AN253" i="1"/>
  <c r="AJ253" i="1"/>
  <c r="AI253" i="1" s="1"/>
  <c r="BR252" i="1"/>
  <c r="BR254" i="1" s="1"/>
  <c r="BR256" i="1" s="1"/>
  <c r="BM252" i="1"/>
  <c r="BM254" i="1" s="1"/>
  <c r="BM256" i="1" s="1"/>
  <c r="BH252" i="1"/>
  <c r="BH254" i="1" s="1"/>
  <c r="BH256" i="1" s="1"/>
  <c r="BC252" i="1"/>
  <c r="BC254" i="1" s="1"/>
  <c r="BC256" i="1" s="1"/>
  <c r="AX252" i="1"/>
  <c r="AS252" i="1"/>
  <c r="AS254" i="1" s="1"/>
  <c r="AS256" i="1" s="1"/>
  <c r="AN252" i="1"/>
  <c r="AN254" i="1" s="1"/>
  <c r="AN256" i="1" s="1"/>
  <c r="AI252" i="1"/>
  <c r="BT248" i="1"/>
  <c r="BS248" i="1"/>
  <c r="BQ248" i="1"/>
  <c r="BP248" i="1"/>
  <c r="BQ244" i="1" s="1"/>
  <c r="BO248" i="1"/>
  <c r="BL248" i="1"/>
  <c r="BK248" i="1"/>
  <c r="BJ248" i="1"/>
  <c r="BI248" i="1"/>
  <c r="BG248" i="1"/>
  <c r="BH244" i="1" s="1"/>
  <c r="BF248" i="1"/>
  <c r="BE248" i="1"/>
  <c r="BA248" i="1"/>
  <c r="AZ248" i="1"/>
  <c r="AY248" i="1"/>
  <c r="BD244" i="1" s="1"/>
  <c r="AW248" i="1"/>
  <c r="AV248" i="1"/>
  <c r="AU248" i="1"/>
  <c r="AV244" i="1" s="1"/>
  <c r="AQ248" i="1"/>
  <c r="AR244" i="1" s="1"/>
  <c r="AP248" i="1"/>
  <c r="AQ244" i="1" s="1"/>
  <c r="AO248" i="1"/>
  <c r="AP244" i="1" s="1"/>
  <c r="AM248" i="1"/>
  <c r="AL248" i="1"/>
  <c r="AM244" i="1" s="1"/>
  <c r="AK248" i="1"/>
  <c r="AL244" i="1" s="1"/>
  <c r="AJ248" i="1"/>
  <c r="AK244" i="1" s="1"/>
  <c r="AH248" i="1"/>
  <c r="AI244" i="1" s="1"/>
  <c r="AG248" i="1"/>
  <c r="AH244" i="1" s="1"/>
  <c r="AF248" i="1"/>
  <c r="AE248" i="1"/>
  <c r="AE250" i="1" s="1"/>
  <c r="AC248" i="1"/>
  <c r="AB248" i="1"/>
  <c r="AA248" i="1"/>
  <c r="AB244" i="1" s="1"/>
  <c r="Z248" i="1"/>
  <c r="AE244" i="1" s="1"/>
  <c r="X248" i="1"/>
  <c r="W248" i="1"/>
  <c r="X244" i="1" s="1"/>
  <c r="V248" i="1"/>
  <c r="W244" i="1" s="1"/>
  <c r="U248" i="1"/>
  <c r="T248" i="1"/>
  <c r="S248" i="1"/>
  <c r="R248" i="1"/>
  <c r="Q248" i="1"/>
  <c r="P248" i="1"/>
  <c r="U244" i="1" s="1"/>
  <c r="U247" i="1" s="1"/>
  <c r="O248" i="1"/>
  <c r="O250" i="1" s="1"/>
  <c r="N248" i="1"/>
  <c r="M248" i="1"/>
  <c r="L248" i="1"/>
  <c r="M244" i="1" s="1"/>
  <c r="K248" i="1"/>
  <c r="J248" i="1"/>
  <c r="I248" i="1"/>
  <c r="J244" i="1" s="1"/>
  <c r="H248" i="1"/>
  <c r="G248" i="1"/>
  <c r="F248" i="1"/>
  <c r="E248" i="1"/>
  <c r="F244" i="1" s="1"/>
  <c r="D248" i="1"/>
  <c r="C248" i="1"/>
  <c r="CC247" i="1"/>
  <c r="AK247" i="1"/>
  <c r="BT246" i="1"/>
  <c r="BT211" i="1" s="1"/>
  <c r="BS246" i="1"/>
  <c r="BS211" i="1" s="1"/>
  <c r="BR246" i="1"/>
  <c r="BR211" i="1" s="1"/>
  <c r="BQ246" i="1"/>
  <c r="BP246" i="1"/>
  <c r="BO246" i="1"/>
  <c r="BO211" i="1" s="1"/>
  <c r="BM246" i="1"/>
  <c r="BM211" i="1" s="1"/>
  <c r="BL246" i="1"/>
  <c r="BL211" i="1" s="1"/>
  <c r="BL212" i="1" s="1"/>
  <c r="BL214" i="1" s="1"/>
  <c r="BK246" i="1"/>
  <c r="BK211" i="1" s="1"/>
  <c r="BJ246" i="1"/>
  <c r="BJ211" i="1" s="1"/>
  <c r="BH246" i="1"/>
  <c r="BH211" i="1" s="1"/>
  <c r="BG246" i="1"/>
  <c r="BG211" i="1" s="1"/>
  <c r="BF246" i="1"/>
  <c r="BC246" i="1"/>
  <c r="BC211" i="1" s="1"/>
  <c r="BB246" i="1"/>
  <c r="BB211" i="1" s="1"/>
  <c r="BB212" i="1" s="1"/>
  <c r="BB214" i="1" s="1"/>
  <c r="AZ246" i="1"/>
  <c r="AW246" i="1"/>
  <c r="AW211" i="1" s="1"/>
  <c r="AV246" i="1"/>
  <c r="AV211" i="1" s="1"/>
  <c r="AV212" i="1" s="1"/>
  <c r="AV214" i="1" s="1"/>
  <c r="AU246" i="1"/>
  <c r="AU211" i="1" s="1"/>
  <c r="AQ246" i="1"/>
  <c r="AQ211" i="1" s="1"/>
  <c r="AQ212" i="1" s="1"/>
  <c r="AQ214" i="1" s="1"/>
  <c r="AM246" i="1"/>
  <c r="AM211" i="1" s="1"/>
  <c r="AL246" i="1"/>
  <c r="AL211" i="1" s="1"/>
  <c r="AJ246" i="1"/>
  <c r="AI246" i="1"/>
  <c r="AI211" i="1" s="1"/>
  <c r="AI212" i="1" s="1"/>
  <c r="AE246" i="1"/>
  <c r="AE211" i="1" s="1"/>
  <c r="AD246" i="1"/>
  <c r="AC246" i="1"/>
  <c r="AB246" i="1"/>
  <c r="AA246" i="1"/>
  <c r="AA211" i="1" s="1"/>
  <c r="AA212" i="1" s="1"/>
  <c r="AA214" i="1" s="1"/>
  <c r="Z246" i="1"/>
  <c r="Z211" i="1" s="1"/>
  <c r="Y246" i="1"/>
  <c r="Y211" i="1" s="1"/>
  <c r="U246" i="1"/>
  <c r="T246" i="1"/>
  <c r="S246" i="1"/>
  <c r="S211" i="1" s="1"/>
  <c r="S212" i="1" s="1"/>
  <c r="S214" i="1" s="1"/>
  <c r="R246" i="1"/>
  <c r="R211" i="1" s="1"/>
  <c r="M246" i="1"/>
  <c r="L246" i="1"/>
  <c r="K246" i="1"/>
  <c r="K211" i="1" s="1"/>
  <c r="K212" i="1" s="1"/>
  <c r="K214" i="1" s="1"/>
  <c r="J246" i="1"/>
  <c r="E246" i="1"/>
  <c r="D246" i="1"/>
  <c r="C246" i="1"/>
  <c r="C211" i="1" s="1"/>
  <c r="CF245" i="1"/>
  <c r="CE245" i="1"/>
  <c r="CD245" i="1"/>
  <c r="CB245" i="1"/>
  <c r="CA245" i="1"/>
  <c r="BZ245" i="1"/>
  <c r="BY245" i="1"/>
  <c r="BW245" i="1"/>
  <c r="BV245" i="1"/>
  <c r="BU245" i="1"/>
  <c r="BT245" i="1"/>
  <c r="BO245" i="1"/>
  <c r="BN245" i="1"/>
  <c r="BL245" i="1"/>
  <c r="BK245" i="1"/>
  <c r="BJ245" i="1"/>
  <c r="BG245" i="1"/>
  <c r="BE245" i="1"/>
  <c r="BD245" i="1"/>
  <c r="BC245" i="1"/>
  <c r="BB245" i="1"/>
  <c r="BA245" i="1"/>
  <c r="AV245" i="1"/>
  <c r="AU245" i="1"/>
  <c r="AT245" i="1"/>
  <c r="AS245" i="1"/>
  <c r="AR245" i="1"/>
  <c r="AQ245" i="1"/>
  <c r="AL245" i="1"/>
  <c r="AK245" i="1"/>
  <c r="AJ245" i="1"/>
  <c r="AH245" i="1"/>
  <c r="AG245" i="1"/>
  <c r="AB245" i="1"/>
  <c r="AA245" i="1"/>
  <c r="Z245" i="1"/>
  <c r="X245" i="1"/>
  <c r="W245" i="1"/>
  <c r="S245" i="1"/>
  <c r="R245" i="1"/>
  <c r="Q245" i="1"/>
  <c r="P245" i="1"/>
  <c r="O245" i="1"/>
  <c r="K245" i="1"/>
  <c r="J245" i="1"/>
  <c r="I245" i="1"/>
  <c r="H245" i="1"/>
  <c r="G245" i="1"/>
  <c r="C245" i="1"/>
  <c r="BF244" i="1"/>
  <c r="BA244" i="1"/>
  <c r="AZ244" i="1"/>
  <c r="AT244" i="1"/>
  <c r="AO244" i="1"/>
  <c r="AC244" i="1"/>
  <c r="AA244" i="1"/>
  <c r="T244" i="1"/>
  <c r="E244" i="1"/>
  <c r="D244" i="1"/>
  <c r="BK234" i="1"/>
  <c r="BH234" i="1"/>
  <c r="BT233" i="1"/>
  <c r="BS233" i="1"/>
  <c r="BS234" i="1" s="1"/>
  <c r="BQ233" i="1"/>
  <c r="BP233" i="1"/>
  <c r="BP234" i="1" s="1"/>
  <c r="BO233" i="1"/>
  <c r="BN233" i="1"/>
  <c r="BL233" i="1"/>
  <c r="BK233" i="1"/>
  <c r="BJ233" i="1"/>
  <c r="BI233" i="1"/>
  <c r="BG233" i="1"/>
  <c r="BF233" i="1"/>
  <c r="BE233" i="1"/>
  <c r="BD233" i="1"/>
  <c r="BB233" i="1"/>
  <c r="BA233" i="1"/>
  <c r="AZ233" i="1"/>
  <c r="AZ234" i="1" s="1"/>
  <c r="AY233" i="1"/>
  <c r="AW233" i="1"/>
  <c r="AW235" i="1" s="1"/>
  <c r="AV233" i="1"/>
  <c r="AU233" i="1"/>
  <c r="AT233" i="1"/>
  <c r="AS233" i="1"/>
  <c r="AR233" i="1"/>
  <c r="AQ233" i="1"/>
  <c r="AV234" i="1" s="1"/>
  <c r="AP233" i="1"/>
  <c r="AP235" i="1" s="1"/>
  <c r="AO233" i="1"/>
  <c r="AM233" i="1"/>
  <c r="AL233" i="1"/>
  <c r="AK233" i="1"/>
  <c r="AJ233" i="1"/>
  <c r="AI233" i="1"/>
  <c r="AH233" i="1"/>
  <c r="AH235" i="1" s="1"/>
  <c r="AG233" i="1"/>
  <c r="AF233" i="1"/>
  <c r="AE233" i="1"/>
  <c r="AD233" i="1"/>
  <c r="AC233" i="1"/>
  <c r="AB233" i="1"/>
  <c r="AA233" i="1"/>
  <c r="AA234" i="1" s="1"/>
  <c r="Z233" i="1"/>
  <c r="Y233" i="1"/>
  <c r="X233" i="1"/>
  <c r="W233" i="1"/>
  <c r="V233" i="1"/>
  <c r="U233" i="1"/>
  <c r="S233" i="1"/>
  <c r="R233" i="1"/>
  <c r="Q233" i="1"/>
  <c r="P233" i="1"/>
  <c r="N233" i="1"/>
  <c r="M233" i="1"/>
  <c r="M235" i="1" s="1"/>
  <c r="L233" i="1"/>
  <c r="L235" i="1" s="1"/>
  <c r="K233" i="1"/>
  <c r="I233" i="1"/>
  <c r="H233" i="1"/>
  <c r="G233" i="1"/>
  <c r="G235" i="1" s="1"/>
  <c r="F233" i="1"/>
  <c r="E233" i="1"/>
  <c r="D233" i="1"/>
  <c r="C233" i="1"/>
  <c r="BJ230" i="1"/>
  <c r="S230" i="1"/>
  <c r="AQ229" i="1"/>
  <c r="U229" i="1"/>
  <c r="BT228" i="1"/>
  <c r="BS228" i="1"/>
  <c r="BQ228" i="1"/>
  <c r="BQ229" i="1" s="1"/>
  <c r="BP228" i="1"/>
  <c r="BO228" i="1"/>
  <c r="BO230" i="1" s="1"/>
  <c r="BN228" i="1"/>
  <c r="BN230" i="1" s="1"/>
  <c r="BM228" i="1"/>
  <c r="BL228" i="1"/>
  <c r="BK228" i="1"/>
  <c r="BJ228" i="1"/>
  <c r="BI228" i="1"/>
  <c r="BH228" i="1"/>
  <c r="BG228" i="1"/>
  <c r="BG229" i="1" s="1"/>
  <c r="BF228" i="1"/>
  <c r="BF230" i="1" s="1"/>
  <c r="BE228" i="1"/>
  <c r="BE230" i="1" s="1"/>
  <c r="BD228" i="1"/>
  <c r="BB228" i="1"/>
  <c r="BA228" i="1"/>
  <c r="AZ228" i="1"/>
  <c r="AY228" i="1"/>
  <c r="BD229" i="1" s="1"/>
  <c r="AW228" i="1"/>
  <c r="AW230" i="1" s="1"/>
  <c r="AV228" i="1"/>
  <c r="AV230" i="1" s="1"/>
  <c r="AU228" i="1"/>
  <c r="AT228" i="1"/>
  <c r="AR228" i="1"/>
  <c r="AQ228" i="1"/>
  <c r="AP228" i="1"/>
  <c r="AO228" i="1"/>
  <c r="AM228" i="1"/>
  <c r="AL228" i="1"/>
  <c r="AK228" i="1"/>
  <c r="AK229" i="1" s="1"/>
  <c r="AJ228" i="1"/>
  <c r="AH228" i="1"/>
  <c r="AG228" i="1"/>
  <c r="AF228" i="1"/>
  <c r="AE228" i="1"/>
  <c r="AJ229" i="1" s="1"/>
  <c r="AD228" i="1"/>
  <c r="AC228" i="1"/>
  <c r="AB228" i="1"/>
  <c r="AA228" i="1"/>
  <c r="Z228" i="1"/>
  <c r="Y228" i="1"/>
  <c r="X228" i="1"/>
  <c r="X229" i="1" s="1"/>
  <c r="W228" i="1"/>
  <c r="V228" i="1"/>
  <c r="V230" i="1" s="1"/>
  <c r="U228" i="1"/>
  <c r="T228" i="1"/>
  <c r="S228" i="1"/>
  <c r="R228" i="1"/>
  <c r="Q228" i="1"/>
  <c r="P228" i="1"/>
  <c r="O228" i="1"/>
  <c r="N228" i="1"/>
  <c r="S229" i="1" s="1"/>
  <c r="M228" i="1"/>
  <c r="L228" i="1"/>
  <c r="K228" i="1"/>
  <c r="J228" i="1"/>
  <c r="I228" i="1"/>
  <c r="H228" i="1"/>
  <c r="G228" i="1"/>
  <c r="F228" i="1"/>
  <c r="E228" i="1"/>
  <c r="E230" i="1" s="1"/>
  <c r="D228" i="1"/>
  <c r="C228" i="1"/>
  <c r="BT223" i="1"/>
  <c r="BS223" i="1"/>
  <c r="BQ223" i="1"/>
  <c r="BP223" i="1"/>
  <c r="BO223" i="1"/>
  <c r="BN223" i="1"/>
  <c r="BN225" i="1" s="1"/>
  <c r="BL223" i="1"/>
  <c r="BL224" i="1" s="1"/>
  <c r="BK223" i="1"/>
  <c r="BJ223" i="1"/>
  <c r="BI223" i="1"/>
  <c r="BI224" i="1" s="1"/>
  <c r="BH223" i="1"/>
  <c r="BG223" i="1"/>
  <c r="BF223" i="1"/>
  <c r="BE223" i="1"/>
  <c r="BD223" i="1"/>
  <c r="BB223" i="1"/>
  <c r="BA223" i="1"/>
  <c r="AZ223" i="1"/>
  <c r="AZ224" i="1" s="1"/>
  <c r="AY223" i="1"/>
  <c r="AX223" i="1"/>
  <c r="AW223" i="1"/>
  <c r="AV223" i="1"/>
  <c r="AV225" i="1" s="1"/>
  <c r="AU223" i="1"/>
  <c r="AT223" i="1"/>
  <c r="AR223" i="1"/>
  <c r="AR224" i="1" s="1"/>
  <c r="AQ223" i="1"/>
  <c r="AQ224" i="1" s="1"/>
  <c r="AP223" i="1"/>
  <c r="AO223" i="1"/>
  <c r="AM223" i="1"/>
  <c r="AL223" i="1"/>
  <c r="AK223" i="1"/>
  <c r="AJ223" i="1"/>
  <c r="AI223" i="1"/>
  <c r="AH223" i="1"/>
  <c r="AG223" i="1"/>
  <c r="AF223" i="1"/>
  <c r="AE223" i="1"/>
  <c r="AD223" i="1"/>
  <c r="AC223" i="1"/>
  <c r="AC225" i="1" s="1"/>
  <c r="AB223" i="1"/>
  <c r="AA223" i="1"/>
  <c r="Z223" i="1"/>
  <c r="Y223" i="1"/>
  <c r="X223" i="1"/>
  <c r="W223" i="1"/>
  <c r="V223" i="1"/>
  <c r="U223" i="1"/>
  <c r="S223" i="1"/>
  <c r="R223" i="1"/>
  <c r="W224" i="1" s="1"/>
  <c r="Q223" i="1"/>
  <c r="P223" i="1"/>
  <c r="N223" i="1"/>
  <c r="M223" i="1"/>
  <c r="M225" i="1" s="1"/>
  <c r="L223" i="1"/>
  <c r="K223" i="1"/>
  <c r="I223" i="1"/>
  <c r="H223" i="1"/>
  <c r="G223" i="1"/>
  <c r="F223" i="1"/>
  <c r="F224" i="1" s="1"/>
  <c r="E223" i="1"/>
  <c r="D223" i="1"/>
  <c r="C223" i="1"/>
  <c r="BO217" i="1"/>
  <c r="BO219" i="1" s="1"/>
  <c r="AV217" i="1"/>
  <c r="BT213" i="1"/>
  <c r="BS213" i="1"/>
  <c r="BR213" i="1"/>
  <c r="BQ213" i="1"/>
  <c r="BP213" i="1"/>
  <c r="BO213" i="1"/>
  <c r="BN213" i="1"/>
  <c r="BM213" i="1"/>
  <c r="BL213" i="1"/>
  <c r="BK213" i="1"/>
  <c r="BJ213" i="1"/>
  <c r="BI213" i="1"/>
  <c r="BG213" i="1"/>
  <c r="BF213" i="1"/>
  <c r="BE213" i="1"/>
  <c r="BD213" i="1"/>
  <c r="BB213" i="1"/>
  <c r="BA213" i="1"/>
  <c r="AZ213" i="1"/>
  <c r="AY213" i="1"/>
  <c r="AW213" i="1"/>
  <c r="AV213" i="1"/>
  <c r="AU213" i="1"/>
  <c r="AT213" i="1"/>
  <c r="AR213" i="1"/>
  <c r="AQ213" i="1"/>
  <c r="AP213" i="1"/>
  <c r="AO213" i="1"/>
  <c r="AM213" i="1"/>
  <c r="AM212" i="1" s="1"/>
  <c r="AL213" i="1"/>
  <c r="AK213" i="1"/>
  <c r="AJ213" i="1"/>
  <c r="AH213" i="1"/>
  <c r="AG213" i="1"/>
  <c r="AF213" i="1"/>
  <c r="AF212" i="1" s="1"/>
  <c r="AF214" i="1" s="1"/>
  <c r="AE213" i="1"/>
  <c r="AE212" i="1" s="1"/>
  <c r="AD213" i="1"/>
  <c r="AC213" i="1"/>
  <c r="AB213" i="1"/>
  <c r="AA213" i="1"/>
  <c r="Z213" i="1"/>
  <c r="Y213" i="1"/>
  <c r="Y212" i="1" s="1"/>
  <c r="X213" i="1"/>
  <c r="W213" i="1"/>
  <c r="W212" i="1" s="1"/>
  <c r="V213" i="1"/>
  <c r="U213" i="1"/>
  <c r="S213" i="1"/>
  <c r="R213" i="1"/>
  <c r="Q213" i="1"/>
  <c r="P213" i="1"/>
  <c r="O213" i="1"/>
  <c r="O212" i="1" s="1"/>
  <c r="N213" i="1"/>
  <c r="N212" i="1" s="1"/>
  <c r="M213" i="1"/>
  <c r="L213" i="1"/>
  <c r="K213" i="1"/>
  <c r="K217" i="1" s="1"/>
  <c r="I213" i="1"/>
  <c r="H213" i="1"/>
  <c r="G213" i="1"/>
  <c r="G212" i="1" s="1"/>
  <c r="G214" i="1" s="1"/>
  <c r="F213" i="1"/>
  <c r="E213" i="1"/>
  <c r="E212" i="1" s="1"/>
  <c r="E214" i="1" s="1"/>
  <c r="AT212" i="1"/>
  <c r="AT214" i="1" s="1"/>
  <c r="BQ211" i="1"/>
  <c r="BF211" i="1"/>
  <c r="AK211" i="1"/>
  <c r="AD211" i="1"/>
  <c r="AC211" i="1"/>
  <c r="U211" i="1"/>
  <c r="M211" i="1"/>
  <c r="J211" i="1"/>
  <c r="E211" i="1"/>
  <c r="BT209" i="1"/>
  <c r="BS209" i="1"/>
  <c r="BQ209" i="1"/>
  <c r="BP209" i="1"/>
  <c r="BO209" i="1"/>
  <c r="BN209" i="1"/>
  <c r="BL209" i="1"/>
  <c r="BL217" i="1" s="1"/>
  <c r="BK209" i="1"/>
  <c r="BJ209" i="1"/>
  <c r="BI209" i="1"/>
  <c r="BG209" i="1"/>
  <c r="BF209" i="1"/>
  <c r="BF235" i="1" s="1"/>
  <c r="BE209" i="1"/>
  <c r="BD209" i="1"/>
  <c r="BD230" i="1" s="1"/>
  <c r="BB209" i="1"/>
  <c r="BA209" i="1"/>
  <c r="AZ209" i="1"/>
  <c r="AY209" i="1"/>
  <c r="AW209" i="1"/>
  <c r="AV209" i="1"/>
  <c r="AU209" i="1"/>
  <c r="AU225" i="1" s="1"/>
  <c r="AT209" i="1"/>
  <c r="AT217" i="1" s="1"/>
  <c r="AR209" i="1"/>
  <c r="AR235" i="1" s="1"/>
  <c r="AQ209" i="1"/>
  <c r="AP209" i="1"/>
  <c r="AO209" i="1"/>
  <c r="AM209" i="1"/>
  <c r="AL209" i="1"/>
  <c r="AK209" i="1"/>
  <c r="AJ209" i="1"/>
  <c r="AI209" i="1"/>
  <c r="AI217" i="1" s="1"/>
  <c r="AH209" i="1"/>
  <c r="AG209" i="1"/>
  <c r="AF209" i="1"/>
  <c r="AE209" i="1"/>
  <c r="AE225" i="1" s="1"/>
  <c r="AC209" i="1"/>
  <c r="AB209" i="1"/>
  <c r="AA209" i="1"/>
  <c r="Z209" i="1"/>
  <c r="X209" i="1"/>
  <c r="W209" i="1"/>
  <c r="V209" i="1"/>
  <c r="U209" i="1"/>
  <c r="S209" i="1"/>
  <c r="R209" i="1"/>
  <c r="Q209" i="1"/>
  <c r="Q217" i="1" s="1"/>
  <c r="P209" i="1"/>
  <c r="N209" i="1"/>
  <c r="M209" i="1"/>
  <c r="M217" i="1" s="1"/>
  <c r="L209" i="1"/>
  <c r="K209" i="1"/>
  <c r="K230" i="1" s="1"/>
  <c r="I209" i="1"/>
  <c r="I217" i="1" s="1"/>
  <c r="I219" i="1" s="1"/>
  <c r="H209" i="1"/>
  <c r="H217" i="1" s="1"/>
  <c r="G209" i="1"/>
  <c r="F209" i="1"/>
  <c r="E209" i="1"/>
  <c r="D209" i="1"/>
  <c r="C209" i="1"/>
  <c r="C230" i="1" s="1"/>
  <c r="AP195" i="1"/>
  <c r="CF193" i="1"/>
  <c r="CE193" i="1"/>
  <c r="CD193" i="1"/>
  <c r="CC193" i="1"/>
  <c r="CB193" i="1"/>
  <c r="CA193" i="1"/>
  <c r="BZ193" i="1"/>
  <c r="BY193" i="1"/>
  <c r="BX193" i="1"/>
  <c r="BW193" i="1"/>
  <c r="BV193" i="1"/>
  <c r="BU193" i="1"/>
  <c r="BT193" i="1"/>
  <c r="BS193" i="1"/>
  <c r="BR193" i="1"/>
  <c r="BQ193" i="1"/>
  <c r="BP193" i="1"/>
  <c r="BO193" i="1"/>
  <c r="BN193" i="1"/>
  <c r="BM193" i="1"/>
  <c r="BL193" i="1"/>
  <c r="BK193" i="1"/>
  <c r="BJ193" i="1"/>
  <c r="BI193" i="1"/>
  <c r="BG193" i="1"/>
  <c r="BG24" i="1" s="1"/>
  <c r="BF193" i="1"/>
  <c r="BF24" i="1" s="1"/>
  <c r="BF26" i="1" s="1"/>
  <c r="BF19" i="9" s="1"/>
  <c r="BE193" i="1"/>
  <c r="BD193" i="1"/>
  <c r="BD24" i="1" s="1"/>
  <c r="BB193" i="1"/>
  <c r="BA193" i="1"/>
  <c r="AZ193" i="1"/>
  <c r="AY193" i="1"/>
  <c r="AW193" i="1"/>
  <c r="AV193" i="1"/>
  <c r="AU193" i="1"/>
  <c r="AT193" i="1"/>
  <c r="AR193" i="1"/>
  <c r="AR24" i="1" s="1"/>
  <c r="AQ193" i="1"/>
  <c r="AP193" i="1"/>
  <c r="AP24" i="1" s="1"/>
  <c r="A193" i="1"/>
  <c r="BJ192" i="1"/>
  <c r="BT191" i="1"/>
  <c r="BS191" i="1"/>
  <c r="BQ191" i="1"/>
  <c r="BP191" i="1"/>
  <c r="BO191" i="1"/>
  <c r="BN191" i="1"/>
  <c r="BL191" i="1"/>
  <c r="BK191" i="1"/>
  <c r="BJ191" i="1"/>
  <c r="BI191" i="1"/>
  <c r="BG191" i="1"/>
  <c r="BG299" i="1" s="1"/>
  <c r="BL292" i="1" s="1"/>
  <c r="BF191" i="1"/>
  <c r="BE191" i="1"/>
  <c r="BE299" i="1" s="1"/>
  <c r="BJ292" i="1" s="1"/>
  <c r="BD191" i="1"/>
  <c r="BD299" i="1" s="1"/>
  <c r="BB191" i="1"/>
  <c r="BB299" i="1" s="1"/>
  <c r="BA191" i="1"/>
  <c r="AZ191" i="1"/>
  <c r="AZ299" i="1" s="1"/>
  <c r="AY191" i="1"/>
  <c r="AW191" i="1"/>
  <c r="AW299" i="1" s="1"/>
  <c r="AV191" i="1"/>
  <c r="AU191" i="1"/>
  <c r="AU299" i="1" s="1"/>
  <c r="AT191" i="1"/>
  <c r="AT299" i="1" s="1"/>
  <c r="AR191" i="1"/>
  <c r="AR299" i="1" s="1"/>
  <c r="AQ191" i="1"/>
  <c r="AQ299" i="1" s="1"/>
  <c r="AP191" i="1"/>
  <c r="AP299" i="1" s="1"/>
  <c r="AO191" i="1"/>
  <c r="AO299" i="1" s="1"/>
  <c r="AN191" i="1"/>
  <c r="AM191" i="1"/>
  <c r="AM299" i="1" s="1"/>
  <c r="AL191" i="1"/>
  <c r="AL299" i="1" s="1"/>
  <c r="AK191" i="1"/>
  <c r="AK299" i="1" s="1"/>
  <c r="AJ191" i="1"/>
  <c r="AJ299" i="1" s="1"/>
  <c r="AI191" i="1"/>
  <c r="AH191" i="1"/>
  <c r="AH299" i="1" s="1"/>
  <c r="AG191" i="1"/>
  <c r="AG299" i="1" s="1"/>
  <c r="AF191" i="1"/>
  <c r="AE191" i="1"/>
  <c r="AE299" i="1" s="1"/>
  <c r="AD191" i="1"/>
  <c r="AC191" i="1"/>
  <c r="AB191" i="1"/>
  <c r="AB299" i="1" s="1"/>
  <c r="AA191" i="1"/>
  <c r="A191" i="1"/>
  <c r="BT190" i="1"/>
  <c r="BS190" i="1"/>
  <c r="BQ190" i="1"/>
  <c r="BP190" i="1"/>
  <c r="BO190" i="1"/>
  <c r="BN190" i="1"/>
  <c r="BL190" i="1"/>
  <c r="BK190" i="1"/>
  <c r="BJ190" i="1"/>
  <c r="BI190" i="1"/>
  <c r="BI288" i="1" s="1"/>
  <c r="BN281" i="1" s="1"/>
  <c r="BG190" i="1"/>
  <c r="BG288" i="1" s="1"/>
  <c r="BL281" i="1" s="1"/>
  <c r="BF190" i="1"/>
  <c r="BE190" i="1"/>
  <c r="BD190" i="1"/>
  <c r="BB190" i="1"/>
  <c r="BA190" i="1"/>
  <c r="BA288" i="1" s="1"/>
  <c r="AZ190" i="1"/>
  <c r="AZ288" i="1" s="1"/>
  <c r="AY190" i="1"/>
  <c r="AY288" i="1" s="1"/>
  <c r="AW190" i="1"/>
  <c r="AW288" i="1" s="1"/>
  <c r="AV190" i="1"/>
  <c r="AU190" i="1"/>
  <c r="AU288" i="1" s="1"/>
  <c r="AT190" i="1"/>
  <c r="AR190" i="1"/>
  <c r="AR288" i="1" s="1"/>
  <c r="AQ190" i="1"/>
  <c r="AQ288" i="1" s="1"/>
  <c r="AP190" i="1"/>
  <c r="AP288" i="1" s="1"/>
  <c r="AO190" i="1"/>
  <c r="AO288" i="1" s="1"/>
  <c r="AN190" i="1"/>
  <c r="AN288" i="1" s="1"/>
  <c r="AM190" i="1"/>
  <c r="AM288" i="1" s="1"/>
  <c r="AL190" i="1"/>
  <c r="AK190" i="1"/>
  <c r="AK288" i="1" s="1"/>
  <c r="AJ190" i="1"/>
  <c r="AJ288" i="1" s="1"/>
  <c r="AI190" i="1"/>
  <c r="AI288" i="1" s="1"/>
  <c r="AH190" i="1"/>
  <c r="AG190" i="1"/>
  <c r="AF190" i="1"/>
  <c r="AE190" i="1"/>
  <c r="AE288" i="1" s="1"/>
  <c r="AD190" i="1"/>
  <c r="AD288" i="1" s="1"/>
  <c r="AC190" i="1"/>
  <c r="AC288" i="1" s="1"/>
  <c r="AB190" i="1"/>
  <c r="AB288" i="1" s="1"/>
  <c r="AA190" i="1"/>
  <c r="A190" i="1"/>
  <c r="BT189" i="1"/>
  <c r="BS189" i="1"/>
  <c r="BQ189" i="1"/>
  <c r="BP189" i="1"/>
  <c r="BO189" i="1"/>
  <c r="BN189" i="1"/>
  <c r="BL189" i="1"/>
  <c r="BK189" i="1"/>
  <c r="BJ189" i="1"/>
  <c r="BI189" i="1"/>
  <c r="BG189" i="1"/>
  <c r="BG277" i="1" s="1"/>
  <c r="BL270" i="1" s="1"/>
  <c r="BL278" i="1" s="1"/>
  <c r="BF189" i="1"/>
  <c r="BF277" i="1" s="1"/>
  <c r="BK270" i="1" s="1"/>
  <c r="BK272" i="1" s="1"/>
  <c r="BK273" i="1" s="1"/>
  <c r="BK279" i="1" s="1"/>
  <c r="BE189" i="1"/>
  <c r="BD189" i="1"/>
  <c r="BD277" i="1" s="1"/>
  <c r="BB189" i="1"/>
  <c r="BB277" i="1" s="1"/>
  <c r="BA189" i="1"/>
  <c r="BA277" i="1" s="1"/>
  <c r="AZ189" i="1"/>
  <c r="AY189" i="1"/>
  <c r="AY277" i="1" s="1"/>
  <c r="AW189" i="1"/>
  <c r="AV189" i="1"/>
  <c r="AU189" i="1"/>
  <c r="AU277" i="1" s="1"/>
  <c r="AT189" i="1"/>
  <c r="AR189" i="1"/>
  <c r="AQ189" i="1"/>
  <c r="AQ277" i="1" s="1"/>
  <c r="AP189" i="1"/>
  <c r="AP277" i="1" s="1"/>
  <c r="AO189" i="1"/>
  <c r="AN189" i="1"/>
  <c r="AM189" i="1"/>
  <c r="AM277" i="1" s="1"/>
  <c r="AL189" i="1"/>
  <c r="AK189" i="1"/>
  <c r="AJ189" i="1"/>
  <c r="AI189" i="1"/>
  <c r="AI277" i="1" s="1"/>
  <c r="AH189" i="1"/>
  <c r="AH277" i="1" s="1"/>
  <c r="AG189" i="1"/>
  <c r="AF189" i="1"/>
  <c r="AE189" i="1"/>
  <c r="AE277" i="1" s="1"/>
  <c r="AD189" i="1"/>
  <c r="AC189" i="1"/>
  <c r="AB189" i="1"/>
  <c r="AA189" i="1"/>
  <c r="AA277" i="1" s="1"/>
  <c r="A189" i="1"/>
  <c r="BT188" i="1"/>
  <c r="BS188" i="1"/>
  <c r="BQ188" i="1"/>
  <c r="BP188" i="1"/>
  <c r="BO188" i="1"/>
  <c r="BN188" i="1"/>
  <c r="BL188" i="1"/>
  <c r="BK188" i="1"/>
  <c r="BJ188" i="1"/>
  <c r="BI188" i="1"/>
  <c r="BI266" i="1" s="1"/>
  <c r="BN259" i="1" s="1"/>
  <c r="BN261" i="1" s="1"/>
  <c r="BN262" i="1" s="1"/>
  <c r="BN268" i="1" s="1"/>
  <c r="BG188" i="1"/>
  <c r="BF188" i="1"/>
  <c r="BE188" i="1"/>
  <c r="BE266" i="1" s="1"/>
  <c r="BJ259" i="1" s="1"/>
  <c r="BD188" i="1"/>
  <c r="BD266" i="1" s="1"/>
  <c r="BB188" i="1"/>
  <c r="BA188" i="1"/>
  <c r="BA266" i="1" s="1"/>
  <c r="AZ188" i="1"/>
  <c r="AY188" i="1"/>
  <c r="AW188" i="1"/>
  <c r="AV188" i="1"/>
  <c r="AV266" i="1" s="1"/>
  <c r="AU188" i="1"/>
  <c r="AU195" i="1" s="1"/>
  <c r="AT188" i="1"/>
  <c r="AR188" i="1"/>
  <c r="AR266" i="1" s="1"/>
  <c r="AQ188" i="1"/>
  <c r="AP188" i="1"/>
  <c r="AP266" i="1" s="1"/>
  <c r="AO188" i="1"/>
  <c r="AO195" i="1" s="1"/>
  <c r="AN188" i="1"/>
  <c r="AN266" i="1" s="1"/>
  <c r="AM188" i="1"/>
  <c r="AL188" i="1"/>
  <c r="AL266" i="1" s="1"/>
  <c r="AK188" i="1"/>
  <c r="AK266" i="1" s="1"/>
  <c r="AJ188" i="1"/>
  <c r="AI188" i="1"/>
  <c r="AI266" i="1" s="1"/>
  <c r="AH188" i="1"/>
  <c r="AH266" i="1" s="1"/>
  <c r="AG188" i="1"/>
  <c r="AG266" i="1" s="1"/>
  <c r="AF188" i="1"/>
  <c r="AE188" i="1"/>
  <c r="AD188" i="1"/>
  <c r="AC188" i="1"/>
  <c r="AC266" i="1" s="1"/>
  <c r="AB188" i="1"/>
  <c r="AB266" i="1" s="1"/>
  <c r="AA188" i="1"/>
  <c r="AA266" i="1" s="1"/>
  <c r="A188" i="1"/>
  <c r="AJ187" i="1"/>
  <c r="A187" i="1"/>
  <c r="AO186" i="1"/>
  <c r="AN186" i="1"/>
  <c r="AM186" i="1"/>
  <c r="AL186" i="1"/>
  <c r="AK186" i="1"/>
  <c r="AJ186" i="1"/>
  <c r="AI186" i="1"/>
  <c r="AH186" i="1"/>
  <c r="AG186" i="1"/>
  <c r="AF186" i="1"/>
  <c r="AE186" i="1"/>
  <c r="AD186" i="1"/>
  <c r="AC186" i="1"/>
  <c r="AB186" i="1"/>
  <c r="AA186" i="1"/>
  <c r="Z186" i="1"/>
  <c r="Y186" i="1"/>
  <c r="X186" i="1"/>
  <c r="W186" i="1"/>
  <c r="V186" i="1"/>
  <c r="U186" i="1"/>
  <c r="T186" i="1"/>
  <c r="S186" i="1"/>
  <c r="R186" i="1"/>
  <c r="Q186" i="1"/>
  <c r="P186" i="1"/>
  <c r="O186" i="1"/>
  <c r="N186" i="1"/>
  <c r="M186" i="1"/>
  <c r="L186" i="1"/>
  <c r="K186" i="1"/>
  <c r="J186" i="1"/>
  <c r="I186" i="1"/>
  <c r="H186" i="1"/>
  <c r="G186" i="1"/>
  <c r="F186" i="1"/>
  <c r="A186" i="1"/>
  <c r="Z185" i="1"/>
  <c r="Y185" i="1"/>
  <c r="X185" i="1"/>
  <c r="W185" i="1"/>
  <c r="V185" i="1"/>
  <c r="U185" i="1"/>
  <c r="T185" i="1"/>
  <c r="S185" i="1"/>
  <c r="R185" i="1"/>
  <c r="Q185" i="1"/>
  <c r="P185" i="1"/>
  <c r="O185" i="1"/>
  <c r="N185" i="1"/>
  <c r="M185" i="1"/>
  <c r="L185" i="1"/>
  <c r="K185" i="1"/>
  <c r="J185" i="1"/>
  <c r="J192" i="1" s="1"/>
  <c r="J21" i="1" s="1"/>
  <c r="I185" i="1"/>
  <c r="H185" i="1"/>
  <c r="H192" i="1" s="1"/>
  <c r="G185" i="1"/>
  <c r="F185" i="1"/>
  <c r="A185" i="1"/>
  <c r="BN182" i="1"/>
  <c r="BM182" i="1"/>
  <c r="BL182" i="1"/>
  <c r="BK182" i="1"/>
  <c r="BJ182" i="1"/>
  <c r="BI182" i="1"/>
  <c r="BH182" i="1"/>
  <c r="BG182" i="1"/>
  <c r="BF182" i="1"/>
  <c r="BE182" i="1"/>
  <c r="BD182" i="1"/>
  <c r="BC182" i="1"/>
  <c r="BB182" i="1"/>
  <c r="BA182" i="1"/>
  <c r="AZ182" i="1"/>
  <c r="AY182" i="1"/>
  <c r="AX182" i="1"/>
  <c r="AW182" i="1"/>
  <c r="AV182" i="1"/>
  <c r="AU182" i="1"/>
  <c r="AT182" i="1"/>
  <c r="AS182" i="1"/>
  <c r="AR182" i="1"/>
  <c r="AQ182" i="1"/>
  <c r="AP182" i="1"/>
  <c r="AO182" i="1"/>
  <c r="AN182" i="1"/>
  <c r="AM182" i="1"/>
  <c r="AL182" i="1"/>
  <c r="AK182" i="1"/>
  <c r="AJ182" i="1"/>
  <c r="AI182" i="1"/>
  <c r="AH182" i="1"/>
  <c r="AG182" i="1"/>
  <c r="AF182" i="1"/>
  <c r="AE182" i="1"/>
  <c r="AD182" i="1"/>
  <c r="AC182" i="1"/>
  <c r="AB182" i="1"/>
  <c r="AA182" i="1"/>
  <c r="A182" i="1"/>
  <c r="BN181" i="1"/>
  <c r="BM181" i="1"/>
  <c r="BL181" i="1"/>
  <c r="BK181" i="1"/>
  <c r="BJ181" i="1"/>
  <c r="BI181" i="1"/>
  <c r="BH181" i="1"/>
  <c r="BG181" i="1"/>
  <c r="BF181" i="1"/>
  <c r="BE181" i="1"/>
  <c r="BD181" i="1"/>
  <c r="BC181" i="1"/>
  <c r="BB181" i="1"/>
  <c r="BA181" i="1"/>
  <c r="AZ181" i="1"/>
  <c r="AY181" i="1"/>
  <c r="AX181" i="1"/>
  <c r="AW181" i="1"/>
  <c r="AV181" i="1"/>
  <c r="AU181" i="1"/>
  <c r="AT181" i="1"/>
  <c r="AS181" i="1"/>
  <c r="AR181" i="1"/>
  <c r="AQ181" i="1"/>
  <c r="AP181" i="1"/>
  <c r="AO181" i="1"/>
  <c r="AN181" i="1"/>
  <c r="AM181" i="1"/>
  <c r="AL181" i="1"/>
  <c r="AK181" i="1"/>
  <c r="AJ181" i="1"/>
  <c r="AI181" i="1"/>
  <c r="AH181" i="1"/>
  <c r="AG181" i="1"/>
  <c r="AF181" i="1"/>
  <c r="AE181" i="1"/>
  <c r="AD181" i="1"/>
  <c r="AC181" i="1"/>
  <c r="AB181" i="1"/>
  <c r="AA181" i="1"/>
  <c r="A181" i="1"/>
  <c r="BN180" i="1"/>
  <c r="BM180" i="1"/>
  <c r="BL180" i="1"/>
  <c r="BK180" i="1"/>
  <c r="BJ180" i="1"/>
  <c r="BI180" i="1"/>
  <c r="BH180" i="1"/>
  <c r="BG180" i="1"/>
  <c r="BF180" i="1"/>
  <c r="BE180" i="1"/>
  <c r="BD180" i="1"/>
  <c r="BC180" i="1"/>
  <c r="BB180" i="1"/>
  <c r="BA180"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A180" i="1"/>
  <c r="BN179" i="1"/>
  <c r="BM179" i="1"/>
  <c r="BL179" i="1"/>
  <c r="BK179" i="1"/>
  <c r="BJ179" i="1"/>
  <c r="BI179" i="1"/>
  <c r="BH179" i="1"/>
  <c r="BG179" i="1"/>
  <c r="BF179" i="1"/>
  <c r="BE179" i="1"/>
  <c r="BD179" i="1"/>
  <c r="BC179" i="1"/>
  <c r="BB179" i="1"/>
  <c r="BA179" i="1"/>
  <c r="AZ179" i="1"/>
  <c r="AY179" i="1"/>
  <c r="AX179" i="1"/>
  <c r="AW179" i="1"/>
  <c r="AV179" i="1"/>
  <c r="AU179" i="1"/>
  <c r="AT179" i="1"/>
  <c r="AS179" i="1"/>
  <c r="AR179" i="1"/>
  <c r="AQ179" i="1"/>
  <c r="AP179" i="1"/>
  <c r="AO179" i="1"/>
  <c r="AN179" i="1"/>
  <c r="AM179" i="1"/>
  <c r="AL179" i="1"/>
  <c r="AK179" i="1"/>
  <c r="AJ179" i="1"/>
  <c r="AI179" i="1"/>
  <c r="AH179" i="1"/>
  <c r="AG179" i="1"/>
  <c r="AF179" i="1"/>
  <c r="AE179" i="1"/>
  <c r="AD179" i="1"/>
  <c r="AC179" i="1"/>
  <c r="AB179" i="1"/>
  <c r="AA179" i="1"/>
  <c r="A179" i="1"/>
  <c r="A178" i="1"/>
  <c r="A177" i="1"/>
  <c r="A166" i="1"/>
  <c r="A165" i="1"/>
  <c r="BQ164" i="1"/>
  <c r="BP164" i="1"/>
  <c r="A164" i="1"/>
  <c r="A163" i="1"/>
  <c r="A162" i="1"/>
  <c r="A161" i="1"/>
  <c r="BT149" i="1"/>
  <c r="BQ149" i="1"/>
  <c r="BP149" i="1"/>
  <c r="BO149" i="1"/>
  <c r="BM149" i="1"/>
  <c r="BL149" i="1"/>
  <c r="BK149" i="1"/>
  <c r="BJ149" i="1"/>
  <c r="BH149" i="1"/>
  <c r="BG149" i="1"/>
  <c r="BF149" i="1"/>
  <c r="BE149" i="1"/>
  <c r="BC149" i="1"/>
  <c r="BB149" i="1"/>
  <c r="BA149" i="1"/>
  <c r="AZ149" i="1"/>
  <c r="AX149" i="1"/>
  <c r="AW149" i="1"/>
  <c r="AV149" i="1"/>
  <c r="AU149" i="1"/>
  <c r="AS149" i="1"/>
  <c r="AR149" i="1"/>
  <c r="AQ149" i="1"/>
  <c r="AP149" i="1"/>
  <c r="AN149" i="1"/>
  <c r="AM149" i="1"/>
  <c r="AL149" i="1"/>
  <c r="AK149" i="1"/>
  <c r="AI149" i="1"/>
  <c r="AH149" i="1"/>
  <c r="AG149" i="1"/>
  <c r="AF149" i="1"/>
  <c r="AD149" i="1"/>
  <c r="AC149" i="1"/>
  <c r="AB149" i="1"/>
  <c r="AA149" i="1"/>
  <c r="A149" i="1"/>
  <c r="BT148" i="1"/>
  <c r="BR148" i="1"/>
  <c r="BQ148" i="1"/>
  <c r="BP148" i="1"/>
  <c r="BO148" i="1"/>
  <c r="BM148" i="1"/>
  <c r="BL148" i="1"/>
  <c r="BK148" i="1"/>
  <c r="BJ148" i="1"/>
  <c r="BH148" i="1"/>
  <c r="BG148" i="1"/>
  <c r="BF148" i="1"/>
  <c r="BE148" i="1"/>
  <c r="BC148" i="1"/>
  <c r="BB148" i="1"/>
  <c r="BA148" i="1"/>
  <c r="AZ148" i="1"/>
  <c r="AX148" i="1"/>
  <c r="AW148" i="1"/>
  <c r="AV148" i="1"/>
  <c r="AU148" i="1"/>
  <c r="AS148" i="1"/>
  <c r="AR148" i="1"/>
  <c r="AQ148" i="1"/>
  <c r="AP148" i="1"/>
  <c r="AN148" i="1"/>
  <c r="AM148" i="1"/>
  <c r="AL148" i="1"/>
  <c r="AK148" i="1"/>
  <c r="AI148" i="1"/>
  <c r="AH148" i="1"/>
  <c r="AG148" i="1"/>
  <c r="AF148" i="1"/>
  <c r="AD148" i="1"/>
  <c r="AC148" i="1"/>
  <c r="AB148" i="1"/>
  <c r="AA148" i="1"/>
  <c r="A148" i="1"/>
  <c r="BT147" i="1"/>
  <c r="BR147" i="1"/>
  <c r="BQ147" i="1"/>
  <c r="BP147" i="1"/>
  <c r="BO147" i="1"/>
  <c r="BM147" i="1"/>
  <c r="BL147" i="1"/>
  <c r="BK147" i="1"/>
  <c r="BJ147" i="1"/>
  <c r="BH147" i="1"/>
  <c r="BG147" i="1"/>
  <c r="BF147" i="1"/>
  <c r="BE147" i="1"/>
  <c r="BC147" i="1"/>
  <c r="BB147" i="1"/>
  <c r="BA147" i="1"/>
  <c r="AZ147" i="1"/>
  <c r="AX147" i="1"/>
  <c r="AW147" i="1"/>
  <c r="AV147" i="1"/>
  <c r="AU147" i="1"/>
  <c r="AS147" i="1"/>
  <c r="AR147" i="1"/>
  <c r="AQ147" i="1"/>
  <c r="AP147" i="1"/>
  <c r="AN147" i="1"/>
  <c r="AM147" i="1"/>
  <c r="AL147" i="1"/>
  <c r="AK147" i="1"/>
  <c r="AI147" i="1"/>
  <c r="AH147" i="1"/>
  <c r="AG147" i="1"/>
  <c r="AF147" i="1"/>
  <c r="AD147" i="1"/>
  <c r="AC147" i="1"/>
  <c r="AB147" i="1"/>
  <c r="AA147" i="1"/>
  <c r="A147" i="1"/>
  <c r="BT146" i="1"/>
  <c r="BR146" i="1"/>
  <c r="BQ146" i="1"/>
  <c r="BP146" i="1"/>
  <c r="BO146" i="1"/>
  <c r="BM146" i="1"/>
  <c r="BL146" i="1"/>
  <c r="BK146" i="1"/>
  <c r="BJ146" i="1"/>
  <c r="BH146" i="1"/>
  <c r="BG146" i="1"/>
  <c r="BF146" i="1"/>
  <c r="BE146" i="1"/>
  <c r="BC146" i="1"/>
  <c r="BB146" i="1"/>
  <c r="BA146" i="1"/>
  <c r="AZ146" i="1"/>
  <c r="AX146" i="1"/>
  <c r="AX150" i="1" s="1"/>
  <c r="AX9" i="1" s="1"/>
  <c r="AW146" i="1"/>
  <c r="AV146" i="1"/>
  <c r="AU146" i="1"/>
  <c r="AS146" i="1"/>
  <c r="AR146" i="1"/>
  <c r="AQ146" i="1"/>
  <c r="AP146" i="1"/>
  <c r="AN146" i="1"/>
  <c r="AM146" i="1"/>
  <c r="AL146" i="1"/>
  <c r="AK146" i="1"/>
  <c r="AI146" i="1"/>
  <c r="AH146" i="1"/>
  <c r="AG146" i="1"/>
  <c r="AF146" i="1"/>
  <c r="AD146" i="1"/>
  <c r="AC146" i="1"/>
  <c r="AB146" i="1"/>
  <c r="AA146" i="1"/>
  <c r="A146" i="1"/>
  <c r="AA145" i="1"/>
  <c r="A145" i="1"/>
  <c r="AO144" i="1"/>
  <c r="AN144" i="1"/>
  <c r="AM144" i="1"/>
  <c r="AL144" i="1"/>
  <c r="AK144" i="1"/>
  <c r="AJ144" i="1"/>
  <c r="AI144" i="1"/>
  <c r="AH144" i="1"/>
  <c r="AG144" i="1"/>
  <c r="AF144" i="1"/>
  <c r="AE144" i="1"/>
  <c r="AD144" i="1"/>
  <c r="AC144" i="1"/>
  <c r="AB144" i="1"/>
  <c r="AA144" i="1"/>
  <c r="Z144" i="1"/>
  <c r="Y144" i="1"/>
  <c r="X144" i="1"/>
  <c r="W144" i="1"/>
  <c r="V144" i="1"/>
  <c r="U144" i="1"/>
  <c r="T144" i="1"/>
  <c r="S144" i="1"/>
  <c r="R144" i="1"/>
  <c r="Q144" i="1"/>
  <c r="P144" i="1"/>
  <c r="O144" i="1"/>
  <c r="N144" i="1"/>
  <c r="M144" i="1"/>
  <c r="L144" i="1"/>
  <c r="K144" i="1"/>
  <c r="J144" i="1"/>
  <c r="I144" i="1"/>
  <c r="H144" i="1"/>
  <c r="G144" i="1"/>
  <c r="F144" i="1"/>
  <c r="A144" i="1"/>
  <c r="Z143" i="1"/>
  <c r="Y143" i="1"/>
  <c r="X143" i="1"/>
  <c r="W143" i="1"/>
  <c r="V143" i="1"/>
  <c r="U143" i="1"/>
  <c r="T143" i="1"/>
  <c r="S143" i="1"/>
  <c r="R143" i="1"/>
  <c r="Q143" i="1"/>
  <c r="P143" i="1"/>
  <c r="O143" i="1"/>
  <c r="N143" i="1"/>
  <c r="M143" i="1"/>
  <c r="L143" i="1"/>
  <c r="K143" i="1"/>
  <c r="J143" i="1"/>
  <c r="I143" i="1"/>
  <c r="H143" i="1"/>
  <c r="G143" i="1"/>
  <c r="F143" i="1"/>
  <c r="BI140" i="1"/>
  <c r="BG140" i="1"/>
  <c r="BF140" i="1"/>
  <c r="BE140" i="1"/>
  <c r="BD140" i="1"/>
  <c r="BB140" i="1"/>
  <c r="BA140" i="1"/>
  <c r="AZ140" i="1"/>
  <c r="AY140" i="1"/>
  <c r="AW140" i="1"/>
  <c r="AV140" i="1"/>
  <c r="AU140" i="1"/>
  <c r="BG139" i="1"/>
  <c r="BF139" i="1"/>
  <c r="BB139" i="1"/>
  <c r="BA139" i="1"/>
  <c r="AW139" i="1"/>
  <c r="AV139" i="1"/>
  <c r="AR139" i="1"/>
  <c r="AQ139" i="1"/>
  <c r="S139" i="1"/>
  <c r="H139" i="1"/>
  <c r="BH138" i="1"/>
  <c r="BH193" i="1" s="1"/>
  <c r="BC138" i="1"/>
  <c r="AX138" i="1"/>
  <c r="AS138" i="1"/>
  <c r="AO138" i="1"/>
  <c r="AO193" i="1" s="1"/>
  <c r="AO24" i="1" s="1"/>
  <c r="AN138" i="1"/>
  <c r="AN193" i="1" s="1"/>
  <c r="AN24" i="1" s="1"/>
  <c r="AM138" i="1"/>
  <c r="AM140" i="1" s="1"/>
  <c r="AL138" i="1"/>
  <c r="AM139" i="1" s="1"/>
  <c r="AK138" i="1"/>
  <c r="AJ138" i="1"/>
  <c r="AI138" i="1"/>
  <c r="AI193" i="1" s="1"/>
  <c r="AH138" i="1"/>
  <c r="AG138" i="1"/>
  <c r="AF138" i="1"/>
  <c r="AF193" i="1" s="1"/>
  <c r="AF24" i="1" s="1"/>
  <c r="AE138" i="1"/>
  <c r="AE193" i="1" s="1"/>
  <c r="AD138" i="1"/>
  <c r="AC138" i="1"/>
  <c r="AB138" i="1"/>
  <c r="AA138" i="1"/>
  <c r="AA193" i="1" s="1"/>
  <c r="Z138" i="1"/>
  <c r="Z193" i="1" s="1"/>
  <c r="Z24" i="1" s="1"/>
  <c r="Y138" i="1"/>
  <c r="X138" i="1"/>
  <c r="X193" i="1" s="1"/>
  <c r="X24" i="1" s="1"/>
  <c r="W138" i="1"/>
  <c r="V138" i="1"/>
  <c r="U138" i="1"/>
  <c r="T138" i="1"/>
  <c r="S138" i="1"/>
  <c r="R138" i="1"/>
  <c r="Q138" i="1"/>
  <c r="Q193" i="1" s="1"/>
  <c r="Q24" i="1" s="1"/>
  <c r="P138" i="1"/>
  <c r="P193" i="1" s="1"/>
  <c r="O138" i="1"/>
  <c r="N138" i="1"/>
  <c r="N193" i="1" s="1"/>
  <c r="M138" i="1"/>
  <c r="L138" i="1"/>
  <c r="K138" i="1"/>
  <c r="J138" i="1"/>
  <c r="I138" i="1"/>
  <c r="H138" i="1"/>
  <c r="H193" i="1" s="1"/>
  <c r="G138" i="1"/>
  <c r="G193" i="1" s="1"/>
  <c r="G24" i="1" s="1"/>
  <c r="F138" i="1"/>
  <c r="F193" i="1" s="1"/>
  <c r="F24" i="1" s="1"/>
  <c r="BT135" i="1"/>
  <c r="BT17" i="9" s="1"/>
  <c r="BS135" i="1"/>
  <c r="BS17" i="9" s="1"/>
  <c r="BQ135" i="1"/>
  <c r="BQ17" i="9" s="1"/>
  <c r="BP135" i="1"/>
  <c r="BP17" i="9" s="1"/>
  <c r="BO135" i="1"/>
  <c r="BO17" i="9" s="1"/>
  <c r="BN135" i="1"/>
  <c r="BN17" i="9" s="1"/>
  <c r="BL135" i="1"/>
  <c r="BL17" i="9" s="1"/>
  <c r="BK135" i="1"/>
  <c r="BK17" i="9" s="1"/>
  <c r="BJ135" i="1"/>
  <c r="BJ17" i="9" s="1"/>
  <c r="BI135" i="1"/>
  <c r="BI17" i="9" s="1"/>
  <c r="BG135" i="1"/>
  <c r="BG17" i="9" s="1"/>
  <c r="BF135" i="1"/>
  <c r="BF17" i="9" s="1"/>
  <c r="BE135" i="1"/>
  <c r="BE17" i="9" s="1"/>
  <c r="BD135" i="1"/>
  <c r="BD17" i="9" s="1"/>
  <c r="BB135" i="1"/>
  <c r="BB17" i="9" s="1"/>
  <c r="BA135" i="1"/>
  <c r="BA17" i="9" s="1"/>
  <c r="AZ135" i="1"/>
  <c r="AZ17" i="9" s="1"/>
  <c r="AY135" i="1"/>
  <c r="AY17" i="9" s="1"/>
  <c r="AW135" i="1"/>
  <c r="AW17" i="9" s="1"/>
  <c r="AV135" i="1"/>
  <c r="AV17" i="9" s="1"/>
  <c r="AU135" i="1"/>
  <c r="AU17" i="9" s="1"/>
  <c r="AT135" i="1"/>
  <c r="AT17" i="9" s="1"/>
  <c r="AR135" i="1"/>
  <c r="AR17" i="9" s="1"/>
  <c r="AQ135" i="1"/>
  <c r="AQ17" i="9" s="1"/>
  <c r="AP135" i="1"/>
  <c r="AP17" i="9" s="1"/>
  <c r="AO135" i="1"/>
  <c r="AO17" i="9" s="1"/>
  <c r="AN135" i="1"/>
  <c r="AN17" i="9" s="1"/>
  <c r="AM135" i="1"/>
  <c r="AM17" i="9" s="1"/>
  <c r="AL135" i="1"/>
  <c r="AL17" i="9" s="1"/>
  <c r="AK135" i="1"/>
  <c r="AK17" i="9" s="1"/>
  <c r="AJ135" i="1"/>
  <c r="AJ17" i="9" s="1"/>
  <c r="AI135" i="1"/>
  <c r="AI17" i="9" s="1"/>
  <c r="AH135" i="1"/>
  <c r="AH17" i="9" s="1"/>
  <c r="AG135" i="1"/>
  <c r="AG17" i="9" s="1"/>
  <c r="AF135" i="1"/>
  <c r="AF17" i="9" s="1"/>
  <c r="BQ134" i="1"/>
  <c r="BP134" i="1"/>
  <c r="BL134" i="1"/>
  <c r="BK134" i="1"/>
  <c r="BG134" i="1"/>
  <c r="BF134" i="1"/>
  <c r="BB134" i="1"/>
  <c r="BA134" i="1"/>
  <c r="AW134" i="1"/>
  <c r="AV134" i="1"/>
  <c r="AR134" i="1"/>
  <c r="AQ134" i="1"/>
  <c r="AP134" i="1"/>
  <c r="AN134" i="1"/>
  <c r="AM134" i="1"/>
  <c r="AL134" i="1"/>
  <c r="AK134" i="1"/>
  <c r="AI134" i="1"/>
  <c r="AH134" i="1"/>
  <c r="AG134" i="1"/>
  <c r="AF134" i="1"/>
  <c r="AD134" i="1"/>
  <c r="AC134" i="1"/>
  <c r="AB134" i="1"/>
  <c r="BR133" i="1"/>
  <c r="BM133" i="1"/>
  <c r="BM191" i="1" s="1"/>
  <c r="BH133" i="1"/>
  <c r="BC133" i="1"/>
  <c r="AX133" i="1"/>
  <c r="AS133" i="1"/>
  <c r="AS135" i="1" s="1"/>
  <c r="AS17" i="9" s="1"/>
  <c r="BN131" i="1"/>
  <c r="BM131" i="1"/>
  <c r="BL131" i="1"/>
  <c r="BK131" i="1"/>
  <c r="BJ131" i="1"/>
  <c r="BI131" i="1"/>
  <c r="BH131" i="1"/>
  <c r="BG131" i="1"/>
  <c r="BF131" i="1"/>
  <c r="BE131" i="1"/>
  <c r="BD131" i="1"/>
  <c r="BC131" i="1"/>
  <c r="BB131" i="1"/>
  <c r="BA131" i="1"/>
  <c r="AZ131" i="1"/>
  <c r="AY131" i="1"/>
  <c r="AX131" i="1"/>
  <c r="AW131" i="1"/>
  <c r="AV131" i="1"/>
  <c r="AU131" i="1"/>
  <c r="AT131" i="1"/>
  <c r="AS131" i="1"/>
  <c r="AR131" i="1"/>
  <c r="AQ131" i="1"/>
  <c r="AP131" i="1"/>
  <c r="AO131" i="1"/>
  <c r="AN131" i="1"/>
  <c r="AM131" i="1"/>
  <c r="AL131" i="1"/>
  <c r="AK131" i="1"/>
  <c r="AJ131" i="1"/>
  <c r="AI131" i="1"/>
  <c r="AH131" i="1"/>
  <c r="AG131" i="1"/>
  <c r="AF131" i="1"/>
  <c r="BM129" i="1"/>
  <c r="BL129" i="1"/>
  <c r="BK129" i="1"/>
  <c r="BJ129" i="1"/>
  <c r="BH129" i="1"/>
  <c r="BG129" i="1"/>
  <c r="BF129" i="1"/>
  <c r="BE129" i="1"/>
  <c r="BC129" i="1"/>
  <c r="BB129" i="1"/>
  <c r="BA129" i="1"/>
  <c r="AZ129" i="1"/>
  <c r="AX129" i="1"/>
  <c r="AW129" i="1"/>
  <c r="AV129" i="1"/>
  <c r="AU129" i="1"/>
  <c r="AS129" i="1"/>
  <c r="AR129" i="1"/>
  <c r="AQ129" i="1"/>
  <c r="AP129" i="1"/>
  <c r="AN129" i="1"/>
  <c r="AM129" i="1"/>
  <c r="AL129" i="1"/>
  <c r="AK129" i="1"/>
  <c r="AI129" i="1"/>
  <c r="AH129" i="1"/>
  <c r="AG129" i="1"/>
  <c r="AF129" i="1"/>
  <c r="AD129" i="1"/>
  <c r="AC129" i="1"/>
  <c r="AB129" i="1"/>
  <c r="BT128" i="1"/>
  <c r="BC124" i="1"/>
  <c r="BB124" i="1"/>
  <c r="AB124" i="1"/>
  <c r="AB125" i="1" s="1"/>
  <c r="BT122" i="1"/>
  <c r="BT26" i="9" s="1"/>
  <c r="BQ122" i="1"/>
  <c r="BQ26" i="9" s="1"/>
  <c r="BP122" i="1"/>
  <c r="BP26" i="9" s="1"/>
  <c r="BO122" i="1"/>
  <c r="BO26" i="9" s="1"/>
  <c r="BM122" i="1"/>
  <c r="BM26" i="9" s="1"/>
  <c r="BL122" i="1"/>
  <c r="BL26" i="9" s="1"/>
  <c r="BK122" i="1"/>
  <c r="BK26" i="9" s="1"/>
  <c r="BJ122" i="1"/>
  <c r="BJ26" i="9" s="1"/>
  <c r="BH122" i="1"/>
  <c r="BH26" i="9" s="1"/>
  <c r="BG122" i="1"/>
  <c r="BG26" i="9" s="1"/>
  <c r="BF122" i="1"/>
  <c r="BF26" i="9" s="1"/>
  <c r="BE122" i="1"/>
  <c r="BE26" i="9" s="1"/>
  <c r="BC122" i="1"/>
  <c r="BC26" i="9" s="1"/>
  <c r="BB122" i="1"/>
  <c r="BB26" i="9" s="1"/>
  <c r="BA122" i="1"/>
  <c r="BA26" i="9" s="1"/>
  <c r="AZ122" i="1"/>
  <c r="AZ26" i="9" s="1"/>
  <c r="AX122" i="1"/>
  <c r="AX26" i="9" s="1"/>
  <c r="AW122" i="1"/>
  <c r="AW26" i="9" s="1"/>
  <c r="AV122" i="1"/>
  <c r="AV26" i="9" s="1"/>
  <c r="AU122" i="1"/>
  <c r="AU26" i="9" s="1"/>
  <c r="AS122" i="1"/>
  <c r="AS26" i="9" s="1"/>
  <c r="AR122" i="1"/>
  <c r="AR26" i="9" s="1"/>
  <c r="AQ122" i="1"/>
  <c r="AQ26" i="9" s="1"/>
  <c r="AP122" i="1"/>
  <c r="AP26" i="9" s="1"/>
  <c r="AN122" i="1"/>
  <c r="AN26" i="9" s="1"/>
  <c r="AM122" i="1"/>
  <c r="AM26" i="9" s="1"/>
  <c r="AL122" i="1"/>
  <c r="AL26" i="9" s="1"/>
  <c r="AK122" i="1"/>
  <c r="AK26" i="9" s="1"/>
  <c r="AI122" i="1"/>
  <c r="AI26" i="9" s="1"/>
  <c r="AH122" i="1"/>
  <c r="AH26" i="9" s="1"/>
  <c r="AG122" i="1"/>
  <c r="AG26" i="9" s="1"/>
  <c r="AF122" i="1"/>
  <c r="AF26" i="9" s="1"/>
  <c r="BQ121" i="1"/>
  <c r="BP121" i="1"/>
  <c r="BO121" i="1"/>
  <c r="BM121" i="1"/>
  <c r="BL121" i="1"/>
  <c r="BK121" i="1"/>
  <c r="BJ121" i="1"/>
  <c r="BH121" i="1"/>
  <c r="BG121" i="1"/>
  <c r="BF121" i="1"/>
  <c r="BE121" i="1"/>
  <c r="BC121" i="1"/>
  <c r="BB121" i="1"/>
  <c r="BA121" i="1"/>
  <c r="AZ121" i="1"/>
  <c r="AX121" i="1"/>
  <c r="AW121" i="1"/>
  <c r="AV121" i="1"/>
  <c r="AU121" i="1"/>
  <c r="AS121" i="1"/>
  <c r="AR121" i="1"/>
  <c r="AQ121" i="1"/>
  <c r="AP121" i="1"/>
  <c r="AN121" i="1"/>
  <c r="AM121" i="1"/>
  <c r="AL121" i="1"/>
  <c r="AK121" i="1"/>
  <c r="AI121" i="1"/>
  <c r="AH121" i="1"/>
  <c r="AG121" i="1"/>
  <c r="AF121" i="1"/>
  <c r="AD121" i="1"/>
  <c r="AC121" i="1"/>
  <c r="AB121" i="1"/>
  <c r="BR120" i="1"/>
  <c r="BU119" i="1"/>
  <c r="BU166" i="1" s="1"/>
  <c r="AW119" i="1"/>
  <c r="AW166" i="1" s="1"/>
  <c r="AV119" i="1"/>
  <c r="AV166" i="1" s="1"/>
  <c r="AG119" i="1"/>
  <c r="AG166" i="1" s="1"/>
  <c r="BU118" i="1"/>
  <c r="BR118" i="1"/>
  <c r="BQ118" i="1"/>
  <c r="BQ124" i="1" s="1"/>
  <c r="BP118" i="1"/>
  <c r="BP124" i="1" s="1"/>
  <c r="BM118" i="1"/>
  <c r="BM124" i="1" s="1"/>
  <c r="BL118" i="1"/>
  <c r="BL124" i="1" s="1"/>
  <c r="BK118" i="1"/>
  <c r="BK119" i="1" s="1"/>
  <c r="BK166" i="1" s="1"/>
  <c r="BH118" i="1"/>
  <c r="BG118" i="1"/>
  <c r="BG124" i="1" s="1"/>
  <c r="BF118" i="1"/>
  <c r="BF124" i="1" s="1"/>
  <c r="BC118" i="1"/>
  <c r="BC119" i="1" s="1"/>
  <c r="BC166" i="1" s="1"/>
  <c r="BB118" i="1"/>
  <c r="BB119" i="1" s="1"/>
  <c r="BB166" i="1" s="1"/>
  <c r="BA118" i="1"/>
  <c r="BA124" i="1" s="1"/>
  <c r="AX118" i="1"/>
  <c r="AX124" i="1" s="1"/>
  <c r="AW118" i="1"/>
  <c r="AW124" i="1" s="1"/>
  <c r="AV118" i="1"/>
  <c r="AV124" i="1" s="1"/>
  <c r="AS118" i="1"/>
  <c r="AS119" i="1" s="1"/>
  <c r="AS166" i="1" s="1"/>
  <c r="AR118" i="1"/>
  <c r="AR119" i="1" s="1"/>
  <c r="AR166" i="1" s="1"/>
  <c r="AQ118" i="1"/>
  <c r="AN118" i="1"/>
  <c r="AN124" i="1" s="1"/>
  <c r="AM118" i="1"/>
  <c r="AL118" i="1"/>
  <c r="AL119" i="1" s="1"/>
  <c r="AL166" i="1" s="1"/>
  <c r="AI118" i="1"/>
  <c r="AH118" i="1"/>
  <c r="AG118" i="1"/>
  <c r="AG124" i="1" s="1"/>
  <c r="AD118" i="1"/>
  <c r="AD119" i="1" s="1"/>
  <c r="AD166" i="1" s="1"/>
  <c r="AC118" i="1"/>
  <c r="AC119" i="1" s="1"/>
  <c r="AC166" i="1" s="1"/>
  <c r="AB118" i="1"/>
  <c r="AB119" i="1" s="1"/>
  <c r="AB166" i="1" s="1"/>
  <c r="AA118" i="1"/>
  <c r="BT115" i="1"/>
  <c r="BT16" i="9" s="1"/>
  <c r="BS115" i="1"/>
  <c r="BS16" i="9" s="1"/>
  <c r="BQ115" i="1"/>
  <c r="BQ16" i="9" s="1"/>
  <c r="BP115" i="1"/>
  <c r="BP16" i="9" s="1"/>
  <c r="BO115" i="1"/>
  <c r="BO16" i="9" s="1"/>
  <c r="BN115" i="1"/>
  <c r="BN16" i="9" s="1"/>
  <c r="BM115" i="1"/>
  <c r="BM16" i="9" s="1"/>
  <c r="BL115" i="1"/>
  <c r="BL16" i="9" s="1"/>
  <c r="BK115" i="1"/>
  <c r="BK16" i="9" s="1"/>
  <c r="BJ115" i="1"/>
  <c r="BJ16" i="9" s="1"/>
  <c r="BI115" i="1"/>
  <c r="BI16" i="9" s="1"/>
  <c r="BG115" i="1"/>
  <c r="BG16" i="9" s="1"/>
  <c r="BF115" i="1"/>
  <c r="BF16" i="9" s="1"/>
  <c r="BE115" i="1"/>
  <c r="BE16" i="9" s="1"/>
  <c r="BD115" i="1"/>
  <c r="BD16" i="9" s="1"/>
  <c r="BB115" i="1"/>
  <c r="BB16" i="9" s="1"/>
  <c r="BA115" i="1"/>
  <c r="BA16" i="9" s="1"/>
  <c r="AZ115" i="1"/>
  <c r="AZ16" i="9" s="1"/>
  <c r="AY115" i="1"/>
  <c r="AY16" i="9" s="1"/>
  <c r="AW115" i="1"/>
  <c r="AW16" i="9" s="1"/>
  <c r="AV115" i="1"/>
  <c r="AV16" i="9" s="1"/>
  <c r="AU115" i="1"/>
  <c r="AU16" i="9" s="1"/>
  <c r="AT115" i="1"/>
  <c r="AT16" i="9" s="1"/>
  <c r="AS115" i="1"/>
  <c r="AS16" i="9" s="1"/>
  <c r="AR115" i="1"/>
  <c r="AR16" i="9" s="1"/>
  <c r="AQ115" i="1"/>
  <c r="AQ16" i="9" s="1"/>
  <c r="AP115" i="1"/>
  <c r="AP16" i="9" s="1"/>
  <c r="AO115" i="1"/>
  <c r="AO16" i="9" s="1"/>
  <c r="AN115" i="1"/>
  <c r="AN16" i="9" s="1"/>
  <c r="AM115" i="1"/>
  <c r="AM16" i="9" s="1"/>
  <c r="AL115" i="1"/>
  <c r="AL16" i="9" s="1"/>
  <c r="AK115" i="1"/>
  <c r="AK16" i="9" s="1"/>
  <c r="AJ115" i="1"/>
  <c r="AJ16" i="9" s="1"/>
  <c r="AI115" i="1"/>
  <c r="AI16" i="9" s="1"/>
  <c r="AH115" i="1"/>
  <c r="AH16" i="9" s="1"/>
  <c r="AG115" i="1"/>
  <c r="AG16" i="9" s="1"/>
  <c r="AF115" i="1"/>
  <c r="AF16" i="9" s="1"/>
  <c r="BQ114" i="1"/>
  <c r="BP114" i="1"/>
  <c r="BL114" i="1"/>
  <c r="BK114" i="1"/>
  <c r="BG114" i="1"/>
  <c r="BF114" i="1"/>
  <c r="BB114" i="1"/>
  <c r="BA114" i="1"/>
  <c r="AZ114" i="1"/>
  <c r="AW114" i="1"/>
  <c r="AV114" i="1"/>
  <c r="AR114" i="1"/>
  <c r="AQ114" i="1"/>
  <c r="AP114" i="1"/>
  <c r="AN114" i="1"/>
  <c r="AM114" i="1"/>
  <c r="AL114" i="1"/>
  <c r="AK114" i="1"/>
  <c r="AI114" i="1"/>
  <c r="AH114" i="1"/>
  <c r="AG114" i="1"/>
  <c r="AF114" i="1"/>
  <c r="AD114" i="1"/>
  <c r="AC114" i="1"/>
  <c r="AB114" i="1"/>
  <c r="BR113" i="1"/>
  <c r="BT114" i="1" s="1"/>
  <c r="BM113" i="1"/>
  <c r="BM190" i="1" s="1"/>
  <c r="BH113" i="1"/>
  <c r="BH114" i="1" s="1"/>
  <c r="BC113" i="1"/>
  <c r="AX113" i="1"/>
  <c r="AS113" i="1"/>
  <c r="AS190" i="1" s="1"/>
  <c r="BN111" i="1"/>
  <c r="BM111" i="1"/>
  <c r="BL111" i="1"/>
  <c r="BK111" i="1"/>
  <c r="BJ111" i="1"/>
  <c r="BI111" i="1"/>
  <c r="BH111" i="1"/>
  <c r="BG111" i="1"/>
  <c r="BF111" i="1"/>
  <c r="BE111" i="1"/>
  <c r="BD111" i="1"/>
  <c r="BC111" i="1"/>
  <c r="BB111" i="1"/>
  <c r="BA111" i="1"/>
  <c r="AZ111" i="1"/>
  <c r="AY111" i="1"/>
  <c r="AX111" i="1"/>
  <c r="AW111" i="1"/>
  <c r="AV111" i="1"/>
  <c r="AU111" i="1"/>
  <c r="AT111" i="1"/>
  <c r="AS111" i="1"/>
  <c r="AR111" i="1"/>
  <c r="AQ111" i="1"/>
  <c r="AP111" i="1"/>
  <c r="AO111" i="1"/>
  <c r="AN111" i="1"/>
  <c r="AM111" i="1"/>
  <c r="AL111" i="1"/>
  <c r="AK111" i="1"/>
  <c r="AJ111" i="1"/>
  <c r="AI111" i="1"/>
  <c r="AH111" i="1"/>
  <c r="AG111" i="1"/>
  <c r="AF111" i="1"/>
  <c r="BM109" i="1"/>
  <c r="BL109" i="1"/>
  <c r="BK109" i="1"/>
  <c r="BJ109" i="1"/>
  <c r="BH109" i="1"/>
  <c r="BG109" i="1"/>
  <c r="BF109" i="1"/>
  <c r="BE109" i="1"/>
  <c r="BC109" i="1"/>
  <c r="BB109" i="1"/>
  <c r="BA109" i="1"/>
  <c r="AZ109" i="1"/>
  <c r="AX109" i="1"/>
  <c r="AW109" i="1"/>
  <c r="AV109" i="1"/>
  <c r="AU109" i="1"/>
  <c r="AS109" i="1"/>
  <c r="AR109" i="1"/>
  <c r="AQ109" i="1"/>
  <c r="AP109" i="1"/>
  <c r="AN109" i="1"/>
  <c r="AM109" i="1"/>
  <c r="AL109" i="1"/>
  <c r="AK109" i="1"/>
  <c r="AI109" i="1"/>
  <c r="AH109" i="1"/>
  <c r="AG109" i="1"/>
  <c r="AF109" i="1"/>
  <c r="AD109" i="1"/>
  <c r="AC109" i="1"/>
  <c r="AB109" i="1"/>
  <c r="BT108" i="1"/>
  <c r="BG104" i="1"/>
  <c r="BG106" i="1" s="1"/>
  <c r="BF104" i="1"/>
  <c r="BC104" i="1"/>
  <c r="BC105" i="1" s="1"/>
  <c r="AG104" i="1"/>
  <c r="BT102" i="1"/>
  <c r="BT25" i="9" s="1"/>
  <c r="BR102" i="1"/>
  <c r="BR25" i="9" s="1"/>
  <c r="BQ102" i="1"/>
  <c r="BQ25" i="9" s="1"/>
  <c r="BP102" i="1"/>
  <c r="BP25" i="9" s="1"/>
  <c r="BO102" i="1"/>
  <c r="BO25" i="9" s="1"/>
  <c r="BM102" i="1"/>
  <c r="BM25" i="9" s="1"/>
  <c r="BL102" i="1"/>
  <c r="BL25" i="9" s="1"/>
  <c r="BK102" i="1"/>
  <c r="BK25" i="9" s="1"/>
  <c r="BJ102" i="1"/>
  <c r="BJ25" i="9" s="1"/>
  <c r="BH102" i="1"/>
  <c r="BH25" i="9" s="1"/>
  <c r="BG102" i="1"/>
  <c r="BG25" i="9" s="1"/>
  <c r="BF102" i="1"/>
  <c r="BF25" i="9" s="1"/>
  <c r="BE102" i="1"/>
  <c r="BE25" i="9" s="1"/>
  <c r="BC102" i="1"/>
  <c r="BC25" i="9" s="1"/>
  <c r="BB102" i="1"/>
  <c r="BB25" i="9" s="1"/>
  <c r="BA102" i="1"/>
  <c r="BA25" i="9" s="1"/>
  <c r="AZ102" i="1"/>
  <c r="AZ25" i="9" s="1"/>
  <c r="AX102" i="1"/>
  <c r="AX25" i="9" s="1"/>
  <c r="AW102" i="1"/>
  <c r="AW25" i="9" s="1"/>
  <c r="AV102" i="1"/>
  <c r="AV25" i="9" s="1"/>
  <c r="AU102" i="1"/>
  <c r="AU25" i="9" s="1"/>
  <c r="AS102" i="1"/>
  <c r="AS25" i="9" s="1"/>
  <c r="AR102" i="1"/>
  <c r="AR25" i="9" s="1"/>
  <c r="AQ102" i="1"/>
  <c r="AQ25" i="9" s="1"/>
  <c r="AP102" i="1"/>
  <c r="AP25" i="9" s="1"/>
  <c r="AN102" i="1"/>
  <c r="AN25" i="9" s="1"/>
  <c r="AM102" i="1"/>
  <c r="AM25" i="9" s="1"/>
  <c r="AL102" i="1"/>
  <c r="AL25" i="9" s="1"/>
  <c r="AK102" i="1"/>
  <c r="AK25" i="9" s="1"/>
  <c r="AI102" i="1"/>
  <c r="AI25" i="9" s="1"/>
  <c r="AH102" i="1"/>
  <c r="AH25" i="9" s="1"/>
  <c r="AG102" i="1"/>
  <c r="AG25" i="9" s="1"/>
  <c r="AF102" i="1"/>
  <c r="AF25" i="9" s="1"/>
  <c r="BT101" i="1"/>
  <c r="BR101" i="1"/>
  <c r="BQ101" i="1"/>
  <c r="BP101" i="1"/>
  <c r="BO101" i="1"/>
  <c r="BM101" i="1"/>
  <c r="BL101" i="1"/>
  <c r="BK101" i="1"/>
  <c r="BJ101" i="1"/>
  <c r="BH101" i="1"/>
  <c r="BG101" i="1"/>
  <c r="BF101" i="1"/>
  <c r="BE101" i="1"/>
  <c r="BC101" i="1"/>
  <c r="BB101" i="1"/>
  <c r="BA101" i="1"/>
  <c r="AZ101" i="1"/>
  <c r="AX101" i="1"/>
  <c r="AW101" i="1"/>
  <c r="AV101" i="1"/>
  <c r="AU101" i="1"/>
  <c r="AS101" i="1"/>
  <c r="AR101" i="1"/>
  <c r="AQ101" i="1"/>
  <c r="AP101" i="1"/>
  <c r="AN101" i="1"/>
  <c r="AM101" i="1"/>
  <c r="AL101" i="1"/>
  <c r="AK101" i="1"/>
  <c r="AI101" i="1"/>
  <c r="AH101" i="1"/>
  <c r="AG101" i="1"/>
  <c r="AF101" i="1"/>
  <c r="AD101" i="1"/>
  <c r="AC101" i="1"/>
  <c r="AB101" i="1"/>
  <c r="BG99" i="1"/>
  <c r="BG165" i="1" s="1"/>
  <c r="BC99" i="1"/>
  <c r="BC165" i="1" s="1"/>
  <c r="AS99" i="1"/>
  <c r="AS165" i="1" s="1"/>
  <c r="AR99" i="1"/>
  <c r="AR165" i="1" s="1"/>
  <c r="AQ99" i="1"/>
  <c r="AQ165" i="1" s="1"/>
  <c r="AB99" i="1"/>
  <c r="AB165" i="1" s="1"/>
  <c r="AA99" i="1"/>
  <c r="AA165" i="1" s="1"/>
  <c r="BU98" i="1"/>
  <c r="BU99" i="1" s="1"/>
  <c r="BU165" i="1" s="1"/>
  <c r="BR98" i="1"/>
  <c r="BR104" i="1" s="1"/>
  <c r="BR105" i="1" s="1"/>
  <c r="BQ98" i="1"/>
  <c r="BQ104" i="1" s="1"/>
  <c r="BP98" i="1"/>
  <c r="BP104" i="1" s="1"/>
  <c r="BM98" i="1"/>
  <c r="BL98" i="1"/>
  <c r="BL99" i="1" s="1"/>
  <c r="BL165" i="1" s="1"/>
  <c r="BK98" i="1"/>
  <c r="BH98" i="1"/>
  <c r="BG98" i="1"/>
  <c r="BF98" i="1"/>
  <c r="BF99" i="1" s="1"/>
  <c r="BF165" i="1" s="1"/>
  <c r="BC98" i="1"/>
  <c r="BB98" i="1"/>
  <c r="BB104" i="1" s="1"/>
  <c r="BA98" i="1"/>
  <c r="BA104" i="1" s="1"/>
  <c r="AX98" i="1"/>
  <c r="AX99" i="1" s="1"/>
  <c r="AX165" i="1" s="1"/>
  <c r="AW98" i="1"/>
  <c r="AV98" i="1"/>
  <c r="AS98" i="1"/>
  <c r="AS104" i="1" s="1"/>
  <c r="AR98" i="1"/>
  <c r="AR104" i="1" s="1"/>
  <c r="AQ98" i="1"/>
  <c r="AQ104" i="1" s="1"/>
  <c r="AN98" i="1"/>
  <c r="AM98" i="1"/>
  <c r="AL98" i="1"/>
  <c r="AI98" i="1"/>
  <c r="AH98" i="1"/>
  <c r="AG98" i="1"/>
  <c r="AG99" i="1" s="1"/>
  <c r="AG165" i="1" s="1"/>
  <c r="AD98" i="1"/>
  <c r="AC98" i="1"/>
  <c r="AB98" i="1"/>
  <c r="AB104" i="1" s="1"/>
  <c r="AB105" i="1" s="1"/>
  <c r="AA98" i="1"/>
  <c r="AE98" i="1" s="1"/>
  <c r="BT95" i="1"/>
  <c r="BT15" i="9" s="1"/>
  <c r="BS95" i="1"/>
  <c r="BS15" i="9" s="1"/>
  <c r="BQ95" i="1"/>
  <c r="BQ15" i="9" s="1"/>
  <c r="BP95" i="1"/>
  <c r="BP15" i="9" s="1"/>
  <c r="BO95" i="1"/>
  <c r="BO15" i="9" s="1"/>
  <c r="BN95" i="1"/>
  <c r="BN15" i="9" s="1"/>
  <c r="BL95" i="1"/>
  <c r="BL15" i="9" s="1"/>
  <c r="BK95" i="1"/>
  <c r="BK15" i="9" s="1"/>
  <c r="BJ95" i="1"/>
  <c r="BJ15" i="9" s="1"/>
  <c r="BI95" i="1"/>
  <c r="BI15" i="9" s="1"/>
  <c r="BG95" i="1"/>
  <c r="BG15" i="9" s="1"/>
  <c r="BF95" i="1"/>
  <c r="BF15" i="9" s="1"/>
  <c r="BE95" i="1"/>
  <c r="BE15" i="9" s="1"/>
  <c r="BD95" i="1"/>
  <c r="BD15" i="9" s="1"/>
  <c r="BB95" i="1"/>
  <c r="BB15" i="9" s="1"/>
  <c r="BA95" i="1"/>
  <c r="BA15" i="9" s="1"/>
  <c r="AZ95" i="1"/>
  <c r="AZ15" i="9" s="1"/>
  <c r="AY95" i="1"/>
  <c r="AY15" i="9" s="1"/>
  <c r="AW95" i="1"/>
  <c r="AW15" i="9" s="1"/>
  <c r="AV95" i="1"/>
  <c r="AV15" i="9" s="1"/>
  <c r="AU95" i="1"/>
  <c r="AU15" i="9" s="1"/>
  <c r="AT95" i="1"/>
  <c r="AT15" i="9" s="1"/>
  <c r="AR95" i="1"/>
  <c r="AR15" i="9" s="1"/>
  <c r="AQ95" i="1"/>
  <c r="AQ15" i="9" s="1"/>
  <c r="AP95" i="1"/>
  <c r="AP15" i="9" s="1"/>
  <c r="AO95" i="1"/>
  <c r="AO15" i="9" s="1"/>
  <c r="AN95" i="1"/>
  <c r="AN15" i="9" s="1"/>
  <c r="AM95" i="1"/>
  <c r="AM15" i="9" s="1"/>
  <c r="AL95" i="1"/>
  <c r="AL15" i="9" s="1"/>
  <c r="AK95" i="1"/>
  <c r="AK15" i="9" s="1"/>
  <c r="AJ95" i="1"/>
  <c r="AJ15" i="9" s="1"/>
  <c r="AI95" i="1"/>
  <c r="AI15" i="9" s="1"/>
  <c r="AH95" i="1"/>
  <c r="AH15" i="9" s="1"/>
  <c r="AG95" i="1"/>
  <c r="AG15" i="9" s="1"/>
  <c r="AF95" i="1"/>
  <c r="AF15" i="9" s="1"/>
  <c r="BQ94" i="1"/>
  <c r="BP94" i="1"/>
  <c r="BL94" i="1"/>
  <c r="BK94" i="1"/>
  <c r="BJ94" i="1"/>
  <c r="BG94" i="1"/>
  <c r="BF94" i="1"/>
  <c r="BB94" i="1"/>
  <c r="BA94" i="1"/>
  <c r="AW94" i="1"/>
  <c r="AV94" i="1"/>
  <c r="AR94" i="1"/>
  <c r="AQ94" i="1"/>
  <c r="AP94" i="1"/>
  <c r="AN94" i="1"/>
  <c r="AM94" i="1"/>
  <c r="AL94" i="1"/>
  <c r="AK94" i="1"/>
  <c r="AI94" i="1"/>
  <c r="AH94" i="1"/>
  <c r="AG94" i="1"/>
  <c r="AF94" i="1"/>
  <c r="AD94" i="1"/>
  <c r="AC94" i="1"/>
  <c r="AB94" i="1"/>
  <c r="BR93" i="1"/>
  <c r="BM93" i="1"/>
  <c r="BH93" i="1"/>
  <c r="BH189" i="1" s="1"/>
  <c r="BC93" i="1"/>
  <c r="BC189" i="1" s="1"/>
  <c r="BC277" i="1" s="1"/>
  <c r="AX93" i="1"/>
  <c r="AS93" i="1"/>
  <c r="AS94" i="1" s="1"/>
  <c r="BN91" i="1"/>
  <c r="BM91" i="1"/>
  <c r="BL91" i="1"/>
  <c r="BK91" i="1"/>
  <c r="BJ91" i="1"/>
  <c r="BI91" i="1"/>
  <c r="BH91" i="1"/>
  <c r="BG91" i="1"/>
  <c r="BF91" i="1"/>
  <c r="BE91" i="1"/>
  <c r="BD91" i="1"/>
  <c r="BC91" i="1"/>
  <c r="BB91" i="1"/>
  <c r="BA91" i="1"/>
  <c r="AZ91" i="1"/>
  <c r="AY91" i="1"/>
  <c r="AX91" i="1"/>
  <c r="AW91" i="1"/>
  <c r="AV91" i="1"/>
  <c r="AU91" i="1"/>
  <c r="AT91" i="1"/>
  <c r="AS91" i="1"/>
  <c r="AR91" i="1"/>
  <c r="AQ91" i="1"/>
  <c r="AP91" i="1"/>
  <c r="AO91" i="1"/>
  <c r="AN91" i="1"/>
  <c r="AM91" i="1"/>
  <c r="AL91" i="1"/>
  <c r="AK91" i="1"/>
  <c r="AJ91" i="1"/>
  <c r="AI91" i="1"/>
  <c r="AH91" i="1"/>
  <c r="AG91" i="1"/>
  <c r="AF91" i="1"/>
  <c r="BM89" i="1"/>
  <c r="BL89" i="1"/>
  <c r="BK89" i="1"/>
  <c r="BJ89" i="1"/>
  <c r="BH89" i="1"/>
  <c r="BG89" i="1"/>
  <c r="BF89" i="1"/>
  <c r="BE89" i="1"/>
  <c r="BC89" i="1"/>
  <c r="BB89" i="1"/>
  <c r="BA89" i="1"/>
  <c r="AZ89" i="1"/>
  <c r="AX89" i="1"/>
  <c r="AW89" i="1"/>
  <c r="AV89" i="1"/>
  <c r="AU89" i="1"/>
  <c r="AS89" i="1"/>
  <c r="AR89" i="1"/>
  <c r="AQ89" i="1"/>
  <c r="AP89" i="1"/>
  <c r="AN89" i="1"/>
  <c r="AM89" i="1"/>
  <c r="AL89" i="1"/>
  <c r="AK89" i="1"/>
  <c r="AI89" i="1"/>
  <c r="AH89" i="1"/>
  <c r="AG89" i="1"/>
  <c r="AF89" i="1"/>
  <c r="AD89" i="1"/>
  <c r="AC89" i="1"/>
  <c r="AB89" i="1"/>
  <c r="BT88" i="1"/>
  <c r="BU88" i="1" s="1"/>
  <c r="BV88" i="1" s="1"/>
  <c r="BQ84" i="1"/>
  <c r="BQ86" i="1" s="1"/>
  <c r="BP84" i="1"/>
  <c r="BP88" i="1" s="1"/>
  <c r="AC84" i="1"/>
  <c r="BT82" i="1"/>
  <c r="BT24" i="9" s="1"/>
  <c r="BR82" i="1"/>
  <c r="BR24" i="9" s="1"/>
  <c r="BQ82" i="1"/>
  <c r="BQ24" i="9" s="1"/>
  <c r="BP82" i="1"/>
  <c r="BP24" i="9" s="1"/>
  <c r="BO82" i="1"/>
  <c r="BO24" i="9" s="1"/>
  <c r="BM82" i="1"/>
  <c r="BM24" i="9" s="1"/>
  <c r="BL82" i="1"/>
  <c r="BL24" i="9" s="1"/>
  <c r="BK82" i="1"/>
  <c r="BK24" i="9" s="1"/>
  <c r="BJ82" i="1"/>
  <c r="BJ24" i="9" s="1"/>
  <c r="BH82" i="1"/>
  <c r="BH24" i="9" s="1"/>
  <c r="BG82" i="1"/>
  <c r="BG24" i="9" s="1"/>
  <c r="BF82" i="1"/>
  <c r="BF24" i="9" s="1"/>
  <c r="BE82" i="1"/>
  <c r="BE24" i="9" s="1"/>
  <c r="BC82" i="1"/>
  <c r="BC24" i="9" s="1"/>
  <c r="BB82" i="1"/>
  <c r="BB24" i="9" s="1"/>
  <c r="BA82" i="1"/>
  <c r="BA24" i="9" s="1"/>
  <c r="AZ82" i="1"/>
  <c r="AZ24" i="9" s="1"/>
  <c r="AX82" i="1"/>
  <c r="AX24" i="9" s="1"/>
  <c r="AW82" i="1"/>
  <c r="AW24" i="9" s="1"/>
  <c r="AV82" i="1"/>
  <c r="AV24" i="9" s="1"/>
  <c r="AU82" i="1"/>
  <c r="AU24" i="9" s="1"/>
  <c r="AS82" i="1"/>
  <c r="AS24" i="9" s="1"/>
  <c r="AR82" i="1"/>
  <c r="AR24" i="9" s="1"/>
  <c r="AQ82" i="1"/>
  <c r="AQ24" i="9" s="1"/>
  <c r="AP82" i="1"/>
  <c r="AP24" i="9" s="1"/>
  <c r="AN82" i="1"/>
  <c r="AN24" i="9" s="1"/>
  <c r="AM82" i="1"/>
  <c r="AM24" i="9" s="1"/>
  <c r="AL82" i="1"/>
  <c r="AL24" i="9" s="1"/>
  <c r="AK82" i="1"/>
  <c r="AK24" i="9" s="1"/>
  <c r="AI82" i="1"/>
  <c r="AI24" i="9" s="1"/>
  <c r="AH82" i="1"/>
  <c r="AH24" i="9" s="1"/>
  <c r="AG82" i="1"/>
  <c r="AG24" i="9" s="1"/>
  <c r="AF82" i="1"/>
  <c r="AF24" i="9" s="1"/>
  <c r="BT81" i="1"/>
  <c r="BR81" i="1"/>
  <c r="BQ81" i="1"/>
  <c r="BP81" i="1"/>
  <c r="BO81" i="1"/>
  <c r="BM81" i="1"/>
  <c r="BL81" i="1"/>
  <c r="BK81" i="1"/>
  <c r="BJ81" i="1"/>
  <c r="BH81" i="1"/>
  <c r="BG81" i="1"/>
  <c r="BF81" i="1"/>
  <c r="BE81" i="1"/>
  <c r="BC81" i="1"/>
  <c r="BB81" i="1"/>
  <c r="BA81" i="1"/>
  <c r="AZ81" i="1"/>
  <c r="AX81" i="1"/>
  <c r="AW81" i="1"/>
  <c r="AV81" i="1"/>
  <c r="AU81" i="1"/>
  <c r="AS81" i="1"/>
  <c r="AR81" i="1"/>
  <c r="AQ81" i="1"/>
  <c r="AP81" i="1"/>
  <c r="AN81" i="1"/>
  <c r="AM81" i="1"/>
  <c r="AL81" i="1"/>
  <c r="AK81" i="1"/>
  <c r="AI81" i="1"/>
  <c r="AH81" i="1"/>
  <c r="AG81" i="1"/>
  <c r="AF81" i="1"/>
  <c r="AD81" i="1"/>
  <c r="AC81" i="1"/>
  <c r="AB81" i="1"/>
  <c r="BC79" i="1"/>
  <c r="BC164" i="1" s="1"/>
  <c r="BB79" i="1"/>
  <c r="BB164" i="1" s="1"/>
  <c r="AG79" i="1"/>
  <c r="AG164" i="1" s="1"/>
  <c r="BU78" i="1"/>
  <c r="BU79" i="1" s="1"/>
  <c r="BR78" i="1"/>
  <c r="BQ78" i="1"/>
  <c r="BQ79" i="1" s="1"/>
  <c r="BP78" i="1"/>
  <c r="BP79" i="1" s="1"/>
  <c r="BM78" i="1"/>
  <c r="BM79" i="1" s="1"/>
  <c r="BM164" i="1" s="1"/>
  <c r="BL78" i="1"/>
  <c r="BL84" i="1" s="1"/>
  <c r="BK78" i="1"/>
  <c r="BH78" i="1"/>
  <c r="BH79" i="1" s="1"/>
  <c r="BH164" i="1" s="1"/>
  <c r="BG78" i="1"/>
  <c r="BG79" i="1" s="1"/>
  <c r="BG164" i="1" s="1"/>
  <c r="BF78" i="1"/>
  <c r="BC78" i="1"/>
  <c r="BC84" i="1" s="1"/>
  <c r="BB78" i="1"/>
  <c r="BB84" i="1" s="1"/>
  <c r="BA78" i="1"/>
  <c r="BA84" i="1" s="1"/>
  <c r="BB85" i="1" s="1"/>
  <c r="AX78" i="1"/>
  <c r="AX79" i="1" s="1"/>
  <c r="AX164" i="1" s="1"/>
  <c r="AW78" i="1"/>
  <c r="AW79" i="1" s="1"/>
  <c r="AW164" i="1" s="1"/>
  <c r="AV78" i="1"/>
  <c r="AS78" i="1"/>
  <c r="AS79" i="1" s="1"/>
  <c r="AS164" i="1" s="1"/>
  <c r="AR78" i="1"/>
  <c r="AQ78" i="1"/>
  <c r="AQ79" i="1" s="1"/>
  <c r="AQ164" i="1" s="1"/>
  <c r="AN78" i="1"/>
  <c r="AN84" i="1" s="1"/>
  <c r="AM78" i="1"/>
  <c r="AL78" i="1"/>
  <c r="AL84" i="1" s="1"/>
  <c r="AI78" i="1"/>
  <c r="AH78" i="1"/>
  <c r="AG78" i="1"/>
  <c r="AG84" i="1" s="1"/>
  <c r="AD78" i="1"/>
  <c r="AC78" i="1"/>
  <c r="AC79" i="1" s="1"/>
  <c r="AB78" i="1"/>
  <c r="AA78" i="1"/>
  <c r="AA79" i="1" s="1"/>
  <c r="AA164" i="1" s="1"/>
  <c r="BT75" i="1"/>
  <c r="BT14" i="9" s="1"/>
  <c r="BS75" i="1"/>
  <c r="BS14" i="9" s="1"/>
  <c r="BQ75" i="1"/>
  <c r="BQ14" i="9" s="1"/>
  <c r="BP75" i="1"/>
  <c r="BP14" i="9" s="1"/>
  <c r="BO75" i="1"/>
  <c r="BO14" i="9" s="1"/>
  <c r="BN75" i="1"/>
  <c r="BN14" i="9" s="1"/>
  <c r="BL75" i="1"/>
  <c r="BL14" i="9" s="1"/>
  <c r="BK75" i="1"/>
  <c r="BK14" i="9" s="1"/>
  <c r="BJ75" i="1"/>
  <c r="BJ14" i="9" s="1"/>
  <c r="BI75" i="1"/>
  <c r="BI14" i="9" s="1"/>
  <c r="BG75" i="1"/>
  <c r="BG14" i="9" s="1"/>
  <c r="BF75" i="1"/>
  <c r="BF14" i="9" s="1"/>
  <c r="BE75" i="1"/>
  <c r="BE14" i="9" s="1"/>
  <c r="BD75" i="1"/>
  <c r="BD14" i="9" s="1"/>
  <c r="BB75" i="1"/>
  <c r="BB14" i="9" s="1"/>
  <c r="BA75" i="1"/>
  <c r="BA14" i="9" s="1"/>
  <c r="AZ75" i="1"/>
  <c r="AZ14" i="9" s="1"/>
  <c r="AY75" i="1"/>
  <c r="AY14" i="9" s="1"/>
  <c r="AW75" i="1"/>
  <c r="AW14" i="9" s="1"/>
  <c r="AV75" i="1"/>
  <c r="AV14" i="9" s="1"/>
  <c r="AU75" i="1"/>
  <c r="AU14" i="9" s="1"/>
  <c r="AT75" i="1"/>
  <c r="AT14" i="9" s="1"/>
  <c r="AR75" i="1"/>
  <c r="AR14" i="9" s="1"/>
  <c r="AQ75" i="1"/>
  <c r="AQ14" i="9" s="1"/>
  <c r="AP75" i="1"/>
  <c r="AP14" i="9" s="1"/>
  <c r="AO75" i="1"/>
  <c r="AO14" i="9" s="1"/>
  <c r="AN75" i="1"/>
  <c r="AN14" i="9" s="1"/>
  <c r="AM75" i="1"/>
  <c r="AM14" i="9" s="1"/>
  <c r="AL75" i="1"/>
  <c r="AL14" i="9" s="1"/>
  <c r="AK75" i="1"/>
  <c r="AK14" i="9" s="1"/>
  <c r="AJ75" i="1"/>
  <c r="AJ14" i="9" s="1"/>
  <c r="AI75" i="1"/>
  <c r="AI14" i="9" s="1"/>
  <c r="AH75" i="1"/>
  <c r="AH14" i="9" s="1"/>
  <c r="AG75" i="1"/>
  <c r="AG14" i="9" s="1"/>
  <c r="AF75" i="1"/>
  <c r="AF14" i="9" s="1"/>
  <c r="BQ74" i="1"/>
  <c r="BP74" i="1"/>
  <c r="BO74" i="1"/>
  <c r="BM74" i="1"/>
  <c r="BL74" i="1"/>
  <c r="BK74" i="1"/>
  <c r="BG74" i="1"/>
  <c r="BF74" i="1"/>
  <c r="BB74" i="1"/>
  <c r="BA74" i="1"/>
  <c r="AW74" i="1"/>
  <c r="AV74" i="1"/>
  <c r="AR74" i="1"/>
  <c r="AQ74" i="1"/>
  <c r="AP74" i="1"/>
  <c r="AN74" i="1"/>
  <c r="AM74" i="1"/>
  <c r="AL74" i="1"/>
  <c r="AK74" i="1"/>
  <c r="AI74" i="1"/>
  <c r="AH74" i="1"/>
  <c r="AG74" i="1"/>
  <c r="AF74" i="1"/>
  <c r="AD74" i="1"/>
  <c r="AC74" i="1"/>
  <c r="AB74" i="1"/>
  <c r="BR73" i="1"/>
  <c r="BT74" i="1" s="1"/>
  <c r="BM73" i="1"/>
  <c r="BM188" i="1" s="1"/>
  <c r="BH73" i="1"/>
  <c r="BC73" i="1"/>
  <c r="BE74" i="1" s="1"/>
  <c r="AX73" i="1"/>
  <c r="AS73" i="1"/>
  <c r="AJ72" i="1"/>
  <c r="AO71" i="1"/>
  <c r="AN71" i="1"/>
  <c r="AM71" i="1"/>
  <c r="AM187" i="1" s="1"/>
  <c r="AL71" i="1"/>
  <c r="AL187" i="1" s="1"/>
  <c r="AK71" i="1"/>
  <c r="AJ71" i="1"/>
  <c r="AI71" i="1"/>
  <c r="AI187" i="1" s="1"/>
  <c r="AH71" i="1"/>
  <c r="AG71" i="1"/>
  <c r="AF71" i="1"/>
  <c r="AE71" i="1"/>
  <c r="AE187" i="1" s="1"/>
  <c r="AD71" i="1"/>
  <c r="AC71" i="1"/>
  <c r="AC187" i="1" s="1"/>
  <c r="AB71" i="1"/>
  <c r="AB187" i="1" s="1"/>
  <c r="AA71" i="1"/>
  <c r="AA187" i="1" s="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O70" i="1"/>
  <c r="N70" i="1"/>
  <c r="M70" i="1"/>
  <c r="L70" i="1"/>
  <c r="K70" i="1"/>
  <c r="BN67" i="1"/>
  <c r="BM67" i="1"/>
  <c r="BL67" i="1"/>
  <c r="BK67" i="1"/>
  <c r="BJ67" i="1"/>
  <c r="BI67" i="1"/>
  <c r="BH67" i="1"/>
  <c r="BG67" i="1"/>
  <c r="BF67" i="1"/>
  <c r="BE67" i="1"/>
  <c r="BD67" i="1"/>
  <c r="BC67" i="1"/>
  <c r="BB67" i="1"/>
  <c r="BA67" i="1"/>
  <c r="AZ67" i="1"/>
  <c r="AY67" i="1"/>
  <c r="AX67" i="1"/>
  <c r="AW67" i="1"/>
  <c r="AV67" i="1"/>
  <c r="AU67" i="1"/>
  <c r="AT67" i="1"/>
  <c r="AS67" i="1"/>
  <c r="AR67" i="1"/>
  <c r="AQ67" i="1"/>
  <c r="AP67" i="1"/>
  <c r="AO67" i="1"/>
  <c r="AN67" i="1"/>
  <c r="AM67" i="1"/>
  <c r="AL67" i="1"/>
  <c r="AK67" i="1"/>
  <c r="AJ67" i="1"/>
  <c r="AI67" i="1"/>
  <c r="AH67" i="1"/>
  <c r="AG67" i="1"/>
  <c r="AF67" i="1"/>
  <c r="BM65" i="1"/>
  <c r="BL65" i="1"/>
  <c r="BK65" i="1"/>
  <c r="BJ65" i="1"/>
  <c r="BH65" i="1"/>
  <c r="BG65" i="1"/>
  <c r="BF65" i="1"/>
  <c r="BE65" i="1"/>
  <c r="BC65" i="1"/>
  <c r="BB65" i="1"/>
  <c r="BA65" i="1"/>
  <c r="AZ65" i="1"/>
  <c r="AX65" i="1"/>
  <c r="AW65" i="1"/>
  <c r="AV65" i="1"/>
  <c r="AU65" i="1"/>
  <c r="AS65" i="1"/>
  <c r="AR65" i="1"/>
  <c r="AQ65" i="1"/>
  <c r="AP65" i="1"/>
  <c r="AN65" i="1"/>
  <c r="AM65" i="1"/>
  <c r="AL65" i="1"/>
  <c r="AK65" i="1"/>
  <c r="AI65" i="1"/>
  <c r="AH65" i="1"/>
  <c r="AG65" i="1"/>
  <c r="AF65" i="1"/>
  <c r="AD65" i="1"/>
  <c r="AC65" i="1"/>
  <c r="AB65" i="1"/>
  <c r="BT64" i="1"/>
  <c r="BT179" i="1" s="1"/>
  <c r="AN60" i="1"/>
  <c r="AM60" i="1"/>
  <c r="AL60" i="1"/>
  <c r="AL177" i="1" s="1"/>
  <c r="AK60" i="1"/>
  <c r="AI60" i="1"/>
  <c r="AH60" i="1"/>
  <c r="AG60" i="1"/>
  <c r="AF60" i="1"/>
  <c r="AD60" i="1"/>
  <c r="AD177" i="1" s="1"/>
  <c r="AC60" i="1"/>
  <c r="AC177" i="1" s="1"/>
  <c r="AB60" i="1"/>
  <c r="AB177" i="1" s="1"/>
  <c r="AA60" i="1"/>
  <c r="Y60" i="1"/>
  <c r="Y61" i="1" s="1"/>
  <c r="X60" i="1"/>
  <c r="W60" i="1"/>
  <c r="V60" i="1"/>
  <c r="T60" i="1"/>
  <c r="S60" i="1"/>
  <c r="R60" i="1"/>
  <c r="R61" i="1" s="1"/>
  <c r="Q60" i="1"/>
  <c r="U60" i="1" s="1"/>
  <c r="O60" i="1"/>
  <c r="N60" i="1"/>
  <c r="M60" i="1"/>
  <c r="L60" i="1"/>
  <c r="J60" i="1"/>
  <c r="I60" i="1"/>
  <c r="H60" i="1"/>
  <c r="M61" i="1" s="1"/>
  <c r="G60" i="1"/>
  <c r="K60" i="1" s="1"/>
  <c r="AG56" i="1"/>
  <c r="BT54" i="1"/>
  <c r="BT23" i="9" s="1"/>
  <c r="BR54" i="1"/>
  <c r="BR23" i="9" s="1"/>
  <c r="BQ54" i="1"/>
  <c r="BQ23" i="9" s="1"/>
  <c r="BP54" i="1"/>
  <c r="BP23" i="9" s="1"/>
  <c r="BO54" i="1"/>
  <c r="BO23" i="9" s="1"/>
  <c r="BM54" i="1"/>
  <c r="BM23" i="9" s="1"/>
  <c r="BL54" i="1"/>
  <c r="BL23" i="9" s="1"/>
  <c r="BK54" i="1"/>
  <c r="BK23" i="9" s="1"/>
  <c r="BJ54" i="1"/>
  <c r="BJ23" i="9" s="1"/>
  <c r="BH54" i="1"/>
  <c r="BH23" i="9" s="1"/>
  <c r="BG54" i="1"/>
  <c r="BG23" i="9" s="1"/>
  <c r="BF54" i="1"/>
  <c r="BF23" i="9" s="1"/>
  <c r="BE54" i="1"/>
  <c r="BE23" i="9" s="1"/>
  <c r="BC54" i="1"/>
  <c r="BC23" i="9" s="1"/>
  <c r="BB54" i="1"/>
  <c r="BB23" i="9" s="1"/>
  <c r="BA54" i="1"/>
  <c r="BA23" i="9" s="1"/>
  <c r="AZ54" i="1"/>
  <c r="AZ23" i="9" s="1"/>
  <c r="AX54" i="1"/>
  <c r="AX23" i="9" s="1"/>
  <c r="AW54" i="1"/>
  <c r="AW23" i="9" s="1"/>
  <c r="AV54" i="1"/>
  <c r="AV23" i="9" s="1"/>
  <c r="AU54" i="1"/>
  <c r="AU23" i="9" s="1"/>
  <c r="AS54" i="1"/>
  <c r="AS23" i="9" s="1"/>
  <c r="AR54" i="1"/>
  <c r="AR23" i="9" s="1"/>
  <c r="AQ54" i="1"/>
  <c r="AQ23" i="9" s="1"/>
  <c r="AP54" i="1"/>
  <c r="AP23" i="9" s="1"/>
  <c r="AN54" i="1"/>
  <c r="AN23" i="9" s="1"/>
  <c r="AM54" i="1"/>
  <c r="AM23" i="9" s="1"/>
  <c r="AL54" i="1"/>
  <c r="AL23" i="9" s="1"/>
  <c r="AK54" i="1"/>
  <c r="AK23" i="9" s="1"/>
  <c r="AI54" i="1"/>
  <c r="AI23" i="9" s="1"/>
  <c r="AH54" i="1"/>
  <c r="AH23" i="9" s="1"/>
  <c r="AG54" i="1"/>
  <c r="AG23" i="9" s="1"/>
  <c r="AF54" i="1"/>
  <c r="AF23" i="9" s="1"/>
  <c r="BT53" i="1"/>
  <c r="BR53" i="1"/>
  <c r="BQ53" i="1"/>
  <c r="BP53" i="1"/>
  <c r="BO53" i="1"/>
  <c r="BM53" i="1"/>
  <c r="BL53" i="1"/>
  <c r="BK53" i="1"/>
  <c r="BJ53" i="1"/>
  <c r="BH53" i="1"/>
  <c r="BG53" i="1"/>
  <c r="BF53" i="1"/>
  <c r="BE53" i="1"/>
  <c r="BC53" i="1"/>
  <c r="BB53" i="1"/>
  <c r="BA53" i="1"/>
  <c r="AZ53" i="1"/>
  <c r="AX53" i="1"/>
  <c r="AW53" i="1"/>
  <c r="AV53" i="1"/>
  <c r="AU53" i="1"/>
  <c r="AS53" i="1"/>
  <c r="AR53" i="1"/>
  <c r="AQ53" i="1"/>
  <c r="AP53" i="1"/>
  <c r="AN53" i="1"/>
  <c r="AM53" i="1"/>
  <c r="AL53" i="1"/>
  <c r="AK53" i="1"/>
  <c r="AI53" i="1"/>
  <c r="AH53" i="1"/>
  <c r="AG53" i="1"/>
  <c r="AF53" i="1"/>
  <c r="AD53" i="1"/>
  <c r="AC53" i="1"/>
  <c r="AB53" i="1"/>
  <c r="BF51" i="1"/>
  <c r="BF163" i="1" s="1"/>
  <c r="AQ51" i="1"/>
  <c r="AQ163" i="1" s="1"/>
  <c r="AN51" i="1"/>
  <c r="AN163" i="1" s="1"/>
  <c r="BU50" i="1"/>
  <c r="BR50" i="1"/>
  <c r="BR51" i="1" s="1"/>
  <c r="BR163" i="1" s="1"/>
  <c r="BQ50" i="1"/>
  <c r="BP50" i="1"/>
  <c r="BP56" i="1" s="1"/>
  <c r="BP64" i="1" s="1"/>
  <c r="BM50" i="1"/>
  <c r="BM51" i="1" s="1"/>
  <c r="BM163" i="1" s="1"/>
  <c r="BL50" i="1"/>
  <c r="BK50" i="1"/>
  <c r="BH50" i="1"/>
  <c r="BH56" i="1" s="1"/>
  <c r="BG50" i="1"/>
  <c r="BG56" i="1" s="1"/>
  <c r="BF50" i="1"/>
  <c r="BF56" i="1" s="1"/>
  <c r="BC50" i="1"/>
  <c r="BB50" i="1"/>
  <c r="BB51" i="1" s="1"/>
  <c r="BB163" i="1" s="1"/>
  <c r="BA50" i="1"/>
  <c r="AX50" i="1"/>
  <c r="AX56" i="1" s="1"/>
  <c r="AW50" i="1"/>
  <c r="AW56" i="1" s="1"/>
  <c r="AV50" i="1"/>
  <c r="AV56" i="1" s="1"/>
  <c r="AV58" i="1" s="1"/>
  <c r="AS50" i="1"/>
  <c r="AS51" i="1" s="1"/>
  <c r="AS163" i="1" s="1"/>
  <c r="AR50" i="1"/>
  <c r="AR56" i="1" s="1"/>
  <c r="AQ50" i="1"/>
  <c r="AQ56" i="1" s="1"/>
  <c r="AN50" i="1"/>
  <c r="AN56" i="1" s="1"/>
  <c r="AM50" i="1"/>
  <c r="AL50" i="1"/>
  <c r="AL51" i="1" s="1"/>
  <c r="AL163" i="1" s="1"/>
  <c r="AI50" i="1"/>
  <c r="AI56" i="1" s="1"/>
  <c r="AH50" i="1"/>
  <c r="AH56" i="1" s="1"/>
  <c r="AG50" i="1"/>
  <c r="AG51" i="1" s="1"/>
  <c r="AG163" i="1" s="1"/>
  <c r="AD50" i="1"/>
  <c r="AD51" i="1" s="1"/>
  <c r="AD163" i="1" s="1"/>
  <c r="AC50" i="1"/>
  <c r="AB50" i="1"/>
  <c r="AB56" i="1" s="1"/>
  <c r="AA50" i="1"/>
  <c r="AL46" i="1"/>
  <c r="AK46" i="1"/>
  <c r="AN45" i="1"/>
  <c r="AM45" i="1"/>
  <c r="AL45" i="1"/>
  <c r="AK45" i="1"/>
  <c r="AK145" i="1" s="1"/>
  <c r="AI45" i="1"/>
  <c r="AI145" i="1" s="1"/>
  <c r="AH45" i="1"/>
  <c r="AG45" i="1"/>
  <c r="AF45" i="1"/>
  <c r="AD45" i="1"/>
  <c r="AD48" i="1" s="1"/>
  <c r="AD162" i="1" s="1"/>
  <c r="AC45" i="1"/>
  <c r="AB45" i="1"/>
  <c r="AB145" i="1" s="1"/>
  <c r="AA45" i="1"/>
  <c r="AN44" i="1"/>
  <c r="AN161" i="1" s="1"/>
  <c r="AM44" i="1"/>
  <c r="AM161" i="1" s="1"/>
  <c r="AL44" i="1"/>
  <c r="AL161" i="1" s="1"/>
  <c r="AK44" i="1"/>
  <c r="AI44" i="1"/>
  <c r="AI161" i="1" s="1"/>
  <c r="AH44" i="1"/>
  <c r="AH161" i="1" s="1"/>
  <c r="AG44" i="1"/>
  <c r="AG161" i="1" s="1"/>
  <c r="AF44" i="1"/>
  <c r="AD44" i="1"/>
  <c r="AD161" i="1" s="1"/>
  <c r="AC44" i="1"/>
  <c r="AB44" i="1"/>
  <c r="AB161" i="1" s="1"/>
  <c r="AA44" i="1"/>
  <c r="AA161" i="1" s="1"/>
  <c r="Y44" i="1"/>
  <c r="Y161" i="1" s="1"/>
  <c r="X44" i="1"/>
  <c r="X161" i="1" s="1"/>
  <c r="W44" i="1"/>
  <c r="W161" i="1" s="1"/>
  <c r="V44" i="1"/>
  <c r="T44" i="1"/>
  <c r="T161" i="1" s="1"/>
  <c r="S44" i="1"/>
  <c r="S161" i="1" s="1"/>
  <c r="R44" i="1"/>
  <c r="R161" i="1" s="1"/>
  <c r="Q44" i="1"/>
  <c r="Q161" i="1" s="1"/>
  <c r="O44" i="1"/>
  <c r="O161" i="1" s="1"/>
  <c r="N44" i="1"/>
  <c r="N161" i="1" s="1"/>
  <c r="M44" i="1"/>
  <c r="L44" i="1"/>
  <c r="L161" i="1" s="1"/>
  <c r="J44" i="1"/>
  <c r="J161" i="1" s="1"/>
  <c r="I44" i="1"/>
  <c r="I161" i="1" s="1"/>
  <c r="H44" i="1"/>
  <c r="H161" i="1" s="1"/>
  <c r="G44" i="1"/>
  <c r="AO43"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AN42" i="1"/>
  <c r="AM42" i="1"/>
  <c r="AL42" i="1"/>
  <c r="AK42" i="1"/>
  <c r="AI42" i="1"/>
  <c r="AH42" i="1"/>
  <c r="AG42" i="1"/>
  <c r="AF42" i="1"/>
  <c r="AD42" i="1"/>
  <c r="AC42" i="1"/>
  <c r="AB42" i="1"/>
  <c r="AA42" i="1"/>
  <c r="Y42" i="1"/>
  <c r="X42" i="1"/>
  <c r="W42" i="1"/>
  <c r="V42" i="1"/>
  <c r="T42" i="1"/>
  <c r="S42" i="1"/>
  <c r="R42" i="1"/>
  <c r="Q42" i="1"/>
  <c r="O42" i="1"/>
  <c r="N42" i="1"/>
  <c r="M42" i="1"/>
  <c r="L42" i="1"/>
  <c r="J42" i="1"/>
  <c r="I42" i="1"/>
  <c r="H42" i="1"/>
  <c r="BR37" i="1"/>
  <c r="BQ37" i="1"/>
  <c r="BP37" i="1"/>
  <c r="BM37" i="1"/>
  <c r="BJ37" i="1"/>
  <c r="BT36" i="1"/>
  <c r="BP36" i="1"/>
  <c r="BO36" i="1"/>
  <c r="BI36" i="1"/>
  <c r="BC36" i="1"/>
  <c r="AX36" i="1"/>
  <c r="AS36" i="1"/>
  <c r="CF30" i="1"/>
  <c r="BZ30" i="1"/>
  <c r="BY30" i="1"/>
  <c r="BW30" i="1"/>
  <c r="E28" i="1"/>
  <c r="E1264" i="1" s="1"/>
  <c r="D28" i="1"/>
  <c r="C28" i="1"/>
  <c r="C1264" i="1" s="1"/>
  <c r="BI24" i="1"/>
  <c r="BE24" i="1"/>
  <c r="BA24" i="1"/>
  <c r="AY24" i="1"/>
  <c r="AW24" i="1"/>
  <c r="AV24" i="1"/>
  <c r="AQ24" i="1"/>
  <c r="AR25" i="1" s="1"/>
  <c r="AI24" i="1"/>
  <c r="H24" i="1"/>
  <c r="BS9" i="1"/>
  <c r="BT7" i="1"/>
  <c r="D5" i="1"/>
  <c r="E5" i="1" s="1"/>
  <c r="A5" i="1"/>
  <c r="D4" i="1"/>
  <c r="D3" i="1" s="1"/>
  <c r="B4" i="1"/>
  <c r="B3" i="1" s="1"/>
  <c r="A3" i="1"/>
  <c r="C2" i="1"/>
  <c r="C3" i="1" s="1"/>
  <c r="C1367" i="1" s="1"/>
  <c r="D11" i="10"/>
  <c r="D301" i="10"/>
  <c r="D353" i="10"/>
  <c r="D331" i="10"/>
  <c r="D7" i="10"/>
  <c r="D287" i="10"/>
  <c r="D103" i="10"/>
  <c r="D275" i="10"/>
  <c r="D341" i="10"/>
  <c r="D213" i="10"/>
  <c r="D238" i="10"/>
  <c r="D81" i="10"/>
  <c r="D256" i="10"/>
  <c r="D257" i="10"/>
  <c r="D186" i="10"/>
  <c r="D95" i="10"/>
  <c r="D121" i="10"/>
  <c r="D328" i="10"/>
  <c r="D28" i="10"/>
  <c r="D245" i="10"/>
  <c r="D128" i="10"/>
  <c r="D122" i="10"/>
  <c r="D87" i="10"/>
  <c r="D42" i="10"/>
  <c r="D270" i="10"/>
  <c r="D231" i="10"/>
  <c r="D115" i="10"/>
  <c r="D315" i="10"/>
  <c r="D191" i="10"/>
  <c r="D155" i="10"/>
  <c r="D168" i="10"/>
  <c r="D280" i="10"/>
  <c r="D17" i="10"/>
  <c r="D148" i="10"/>
  <c r="D381" i="10"/>
  <c r="D175" i="10"/>
  <c r="D172" i="10"/>
  <c r="D31" i="10"/>
  <c r="D395" i="10"/>
  <c r="D162" i="10"/>
  <c r="D338" i="10"/>
  <c r="D243" i="10"/>
  <c r="D242" i="10"/>
  <c r="D384" i="10"/>
  <c r="D127" i="10"/>
  <c r="D261" i="10"/>
  <c r="D234" i="10"/>
  <c r="D342" i="10"/>
  <c r="D161" i="10"/>
  <c r="D197" i="10"/>
  <c r="D219" i="10"/>
  <c r="D50" i="10"/>
  <c r="D26" i="10"/>
  <c r="D109" i="10"/>
  <c r="D54" i="10"/>
  <c r="D289" i="10"/>
  <c r="D314" i="10"/>
  <c r="D313" i="10"/>
  <c r="D404" i="10"/>
  <c r="D84" i="10"/>
  <c r="D347" i="10"/>
  <c r="D16" i="10"/>
  <c r="D90" i="10"/>
  <c r="D117" i="10"/>
  <c r="D402" i="10"/>
  <c r="D423" i="10"/>
  <c r="D284" i="10"/>
  <c r="D399" i="10"/>
  <c r="D77" i="10"/>
  <c r="D32" i="10"/>
  <c r="D251" i="10"/>
  <c r="D236" i="10"/>
  <c r="D200" i="10"/>
  <c r="D70" i="10"/>
  <c r="D363" i="10"/>
  <c r="D283" i="10"/>
  <c r="D150" i="10"/>
  <c r="D147" i="10"/>
  <c r="D72" i="10"/>
  <c r="D92" i="10"/>
  <c r="D424" i="10"/>
  <c r="D312" i="10"/>
  <c r="D335" i="10"/>
  <c r="D133" i="10"/>
  <c r="D336" i="10"/>
  <c r="D13" i="10"/>
  <c r="D214" i="10"/>
  <c r="D203" i="10"/>
  <c r="D240" i="10"/>
  <c r="D20" i="10"/>
  <c r="D383" i="10"/>
  <c r="D80" i="10"/>
  <c r="D207" i="10"/>
  <c r="D364" i="10"/>
  <c r="D302" i="10"/>
  <c r="D258" i="10"/>
  <c r="D348" i="10"/>
  <c r="D323" i="10"/>
  <c r="D209" i="10"/>
  <c r="D167" i="10"/>
  <c r="D371" i="10"/>
  <c r="D41" i="10"/>
  <c r="D160" i="10"/>
  <c r="D249" i="10"/>
  <c r="D293" i="10"/>
  <c r="D263" i="10"/>
  <c r="D225" i="10"/>
  <c r="D233" i="10"/>
  <c r="D317" i="10"/>
  <c r="D71" i="10"/>
  <c r="D282" i="10"/>
  <c r="D278" i="10"/>
  <c r="D285" i="10"/>
  <c r="D262" i="10"/>
  <c r="D412" i="10"/>
  <c r="D65" i="10"/>
  <c r="D187" i="10"/>
  <c r="D362" i="10"/>
  <c r="D24" i="10"/>
  <c r="D388" i="10"/>
  <c r="D149" i="10"/>
  <c r="D292" i="10"/>
  <c r="D177" i="10"/>
  <c r="D46" i="10"/>
  <c r="D198" i="10"/>
  <c r="D112" i="10"/>
  <c r="D102" i="10"/>
  <c r="D176" i="10"/>
  <c r="D429" i="10"/>
  <c r="D329" i="10"/>
  <c r="D59" i="10"/>
  <c r="D179" i="10"/>
  <c r="D271" i="10"/>
  <c r="D391" i="10"/>
  <c r="D97" i="10"/>
  <c r="D67" i="10"/>
  <c r="D118" i="10"/>
  <c r="D52" i="10"/>
  <c r="D105" i="10"/>
  <c r="D8" i="10"/>
  <c r="D49" i="10"/>
  <c r="D291" i="10"/>
  <c r="D394" i="10"/>
  <c r="D169" i="10"/>
  <c r="D135" i="10"/>
  <c r="D68" i="10"/>
  <c r="D116" i="10"/>
  <c r="D253" i="10"/>
  <c r="D21" i="10"/>
  <c r="D173" i="10"/>
  <c r="D409" i="10"/>
  <c r="D377" i="10"/>
  <c r="D29" i="10"/>
  <c r="D208" i="10"/>
  <c r="D222" i="10"/>
  <c r="D212" i="10"/>
  <c r="D298" i="10"/>
  <c r="D254" i="10"/>
  <c r="D279" i="10"/>
  <c r="D401" i="10"/>
  <c r="D93" i="10"/>
  <c r="D230" i="10"/>
  <c r="D157" i="10"/>
  <c r="D45" i="10"/>
  <c r="D327" i="10"/>
  <c r="D273" i="10"/>
  <c r="D380" i="10"/>
  <c r="D145" i="10"/>
  <c r="D143" i="10"/>
  <c r="D196" i="10"/>
  <c r="D123" i="10"/>
  <c r="D192" i="10"/>
  <c r="D25" i="10"/>
  <c r="D220" i="10"/>
  <c r="D408" i="10"/>
  <c r="D330" i="10"/>
  <c r="D120" i="10"/>
  <c r="D189" i="10"/>
  <c r="D170" i="10"/>
  <c r="D153" i="10"/>
  <c r="D430" i="10"/>
  <c r="D75" i="10"/>
  <c r="D252" i="10"/>
  <c r="D352" i="10"/>
  <c r="D303" i="10"/>
  <c r="D58" i="10"/>
  <c r="D299" i="10"/>
  <c r="D142" i="10"/>
  <c r="D356" i="10"/>
  <c r="D359" i="10"/>
  <c r="D33" i="10"/>
  <c r="D248" i="10"/>
  <c r="D416" i="10"/>
  <c r="D332" i="10"/>
  <c r="D321" i="10"/>
  <c r="D366" i="10"/>
  <c r="D57" i="10"/>
  <c r="D269" i="10"/>
  <c r="D104" i="10"/>
  <c r="D99" i="10"/>
  <c r="D134" i="10"/>
  <c r="D288" i="10"/>
  <c r="D158" i="10"/>
  <c r="D76" i="10"/>
  <c r="D19" i="10"/>
  <c r="D185" i="10"/>
  <c r="D144" i="10"/>
  <c r="D349" i="10"/>
  <c r="D37" i="10"/>
  <c r="D318" i="10"/>
  <c r="D190" i="10"/>
  <c r="D78" i="10"/>
  <c r="D260" i="10"/>
  <c r="D360" i="10"/>
  <c r="D62" i="10"/>
  <c r="D107" i="10"/>
  <c r="D276" i="10"/>
  <c r="D387" i="10"/>
  <c r="D44" i="10"/>
  <c r="D374" i="10"/>
  <c r="D229" i="10"/>
  <c r="D14" i="10"/>
  <c r="D304" i="10"/>
  <c r="D319" i="10"/>
  <c r="D64" i="10"/>
  <c r="D130" i="10"/>
  <c r="D180" i="10"/>
  <c r="D91" i="10"/>
  <c r="D415" i="10"/>
  <c r="D38" i="10"/>
  <c r="D129" i="10"/>
  <c r="D202" i="10"/>
  <c r="D55" i="10"/>
  <c r="D346" i="10"/>
  <c r="D223" i="10"/>
  <c r="D224" i="10"/>
  <c r="D367" i="10"/>
  <c r="D63" i="10"/>
  <c r="D12" i="10"/>
  <c r="D378" i="10"/>
  <c r="D156" i="10"/>
  <c r="D51" i="10"/>
  <c r="D310" i="10"/>
  <c r="D345" i="10"/>
  <c r="D324" i="10"/>
  <c r="D140" i="10"/>
  <c r="D201" i="10"/>
  <c r="D247" i="10"/>
  <c r="D405" i="10"/>
  <c r="D96" i="10"/>
  <c r="D274" i="10"/>
  <c r="D403" i="10"/>
  <c r="D400" i="10"/>
  <c r="D325" i="10"/>
  <c r="D365" i="10"/>
  <c r="D235" i="10"/>
  <c r="D211" i="10"/>
  <c r="D244" i="10"/>
  <c r="D311" i="10"/>
  <c r="D110" i="10"/>
  <c r="D83" i="10"/>
  <c r="D132" i="10"/>
  <c r="D108" i="10"/>
  <c r="D6" i="10"/>
  <c r="D382" i="10"/>
  <c r="D39" i="10"/>
  <c r="D370" i="10"/>
  <c r="D294" i="10"/>
  <c r="D163" i="10"/>
  <c r="D300" i="10"/>
  <c r="D239" i="10"/>
  <c r="D36" i="10"/>
  <c r="D218" i="10"/>
  <c r="D344" i="10"/>
  <c r="BR84" i="1" l="1"/>
  <c r="BR79" i="1"/>
  <c r="BR164" i="1" s="1"/>
  <c r="AL56" i="1"/>
  <c r="BR289" i="1"/>
  <c r="BR283" i="1"/>
  <c r="BR284" i="1" s="1"/>
  <c r="BR290" i="1" s="1"/>
  <c r="C36" i="9"/>
  <c r="C402" i="1"/>
  <c r="C61" i="9" s="1"/>
  <c r="AD84" i="1"/>
  <c r="AD79" i="1"/>
  <c r="AD164" i="1" s="1"/>
  <c r="BP150" i="1"/>
  <c r="BP157" i="1" s="1"/>
  <c r="BL56" i="1"/>
  <c r="BL51" i="1"/>
  <c r="BL163" i="1" s="1"/>
  <c r="AS489" i="1"/>
  <c r="AS43" i="9" s="1"/>
  <c r="AS438" i="1"/>
  <c r="AT438" i="1" s="1"/>
  <c r="BG972" i="1"/>
  <c r="AK755" i="1"/>
  <c r="AK782" i="1"/>
  <c r="AR84" i="1"/>
  <c r="AR79" i="1"/>
  <c r="AR164" i="1" s="1"/>
  <c r="AM51" i="1"/>
  <c r="AM163" i="1" s="1"/>
  <c r="AM56" i="1"/>
  <c r="BM56" i="1"/>
  <c r="AE60" i="1"/>
  <c r="AA61" i="1"/>
  <c r="BG402" i="1"/>
  <c r="BG61" i="9" s="1"/>
  <c r="AA38" i="9"/>
  <c r="AA398" i="1"/>
  <c r="BC1169" i="1"/>
  <c r="BC446" i="1"/>
  <c r="F1174" i="1"/>
  <c r="F246" i="1"/>
  <c r="F211" i="1" s="1"/>
  <c r="AO250" i="1"/>
  <c r="AO211" i="1"/>
  <c r="AA737" i="1"/>
  <c r="AA478" i="1"/>
  <c r="AA410" i="1" s="1"/>
  <c r="BN737" i="1"/>
  <c r="BN478" i="1"/>
  <c r="AG72" i="11"/>
  <c r="AG74" i="11" s="1"/>
  <c r="AG70" i="11"/>
  <c r="AP139" i="1"/>
  <c r="BQ150" i="1"/>
  <c r="BQ156" i="1" s="1"/>
  <c r="AD230" i="1"/>
  <c r="BO229" i="1"/>
  <c r="AZ35" i="9"/>
  <c r="AZ394" i="1"/>
  <c r="BN1207" i="1"/>
  <c r="BN1003" i="1" s="1"/>
  <c r="BN978" i="1" s="1"/>
  <c r="BM1206" i="1"/>
  <c r="M1223" i="1"/>
  <c r="M1003" i="1"/>
  <c r="AW25" i="1"/>
  <c r="BM84" i="1"/>
  <c r="AX189" i="1"/>
  <c r="AZ94" i="1"/>
  <c r="AX94" i="1"/>
  <c r="AE118" i="1"/>
  <c r="AA119" i="1"/>
  <c r="BM119" i="1"/>
  <c r="BM166" i="1" s="1"/>
  <c r="BT134" i="1"/>
  <c r="BR191" i="1"/>
  <c r="BR135" i="1"/>
  <c r="BR17" i="9" s="1"/>
  <c r="AW250" i="1"/>
  <c r="AX244" i="1"/>
  <c r="AU266" i="1"/>
  <c r="C440" i="1"/>
  <c r="K440" i="1"/>
  <c r="AU440" i="1"/>
  <c r="BC447" i="1"/>
  <c r="BS394" i="1"/>
  <c r="P35" i="9"/>
  <c r="P394" i="1"/>
  <c r="CC667" i="1"/>
  <c r="CC405" i="1" s="1"/>
  <c r="BR477" i="1"/>
  <c r="BR439" i="1"/>
  <c r="AX737" i="1"/>
  <c r="AX440" i="1"/>
  <c r="AI445" i="1"/>
  <c r="AI726" i="1"/>
  <c r="AP1175" i="1"/>
  <c r="AP245" i="1"/>
  <c r="AP247" i="1" s="1"/>
  <c r="AZ1175" i="1"/>
  <c r="AZ245" i="1"/>
  <c r="BI1175" i="1"/>
  <c r="BI245" i="1"/>
  <c r="BS1175" i="1"/>
  <c r="BS245" i="1"/>
  <c r="H246" i="1"/>
  <c r="H211" i="1" s="1"/>
  <c r="P246" i="1"/>
  <c r="X246" i="1"/>
  <c r="X211" i="1" s="1"/>
  <c r="BA1174" i="1"/>
  <c r="BA246" i="1"/>
  <c r="BA211" i="1" s="1"/>
  <c r="BN1174" i="1"/>
  <c r="BN246" i="1"/>
  <c r="BN211" i="1" s="1"/>
  <c r="J439" i="1"/>
  <c r="J477" i="1"/>
  <c r="D737" i="1"/>
  <c r="D478" i="1"/>
  <c r="D410" i="1" s="1"/>
  <c r="BF737" i="1"/>
  <c r="BF478" i="1"/>
  <c r="BF410" i="1" s="1"/>
  <c r="BH447" i="1"/>
  <c r="AR728" i="1"/>
  <c r="AA734" i="1"/>
  <c r="AA79" i="9" s="1"/>
  <c r="M771" i="1"/>
  <c r="M733" i="1"/>
  <c r="I733" i="1"/>
  <c r="I80" i="9" s="1"/>
  <c r="I772" i="1"/>
  <c r="AJ772" i="1"/>
  <c r="AJ733" i="1"/>
  <c r="AJ80" i="9" s="1"/>
  <c r="AT772" i="1"/>
  <c r="AT733" i="1"/>
  <c r="K771" i="1"/>
  <c r="K733" i="1"/>
  <c r="S733" i="1"/>
  <c r="S80" i="9" s="1"/>
  <c r="AB771" i="1"/>
  <c r="AB733" i="1"/>
  <c r="AL771" i="1"/>
  <c r="AL733" i="1"/>
  <c r="AV733" i="1"/>
  <c r="AV771" i="1"/>
  <c r="BP733" i="1"/>
  <c r="AR734" i="1"/>
  <c r="AR79" i="9" s="1"/>
  <c r="BB734" i="1"/>
  <c r="BB79" i="9" s="1"/>
  <c r="BL734" i="1"/>
  <c r="BL79" i="9" s="1"/>
  <c r="AK733" i="1"/>
  <c r="AU733" i="1"/>
  <c r="BO733" i="1"/>
  <c r="AI177" i="1"/>
  <c r="AI61" i="1"/>
  <c r="BR244" i="1"/>
  <c r="BQ250" i="1"/>
  <c r="BD37" i="9"/>
  <c r="BD403" i="1"/>
  <c r="AJ38" i="9"/>
  <c r="AJ398" i="1"/>
  <c r="AT478" i="1"/>
  <c r="AT737" i="1"/>
  <c r="J440" i="1"/>
  <c r="BT35" i="9"/>
  <c r="BT394" i="1"/>
  <c r="AO1175" i="1"/>
  <c r="AO245" i="1"/>
  <c r="AB478" i="1"/>
  <c r="AB737" i="1"/>
  <c r="BO737" i="1"/>
  <c r="BO440" i="1"/>
  <c r="AQ734" i="1"/>
  <c r="AQ79" i="9" s="1"/>
  <c r="AO1173" i="1"/>
  <c r="AK1173" i="1"/>
  <c r="U1223" i="1"/>
  <c r="U1001" i="1" s="1"/>
  <c r="U1003" i="1"/>
  <c r="BO192" i="1"/>
  <c r="BO21" i="1" s="1"/>
  <c r="AK230" i="1"/>
  <c r="BO294" i="1"/>
  <c r="BO295" i="1" s="1"/>
  <c r="BO301" i="1" s="1"/>
  <c r="O462" i="1"/>
  <c r="O409" i="1" s="1"/>
  <c r="O209" i="1"/>
  <c r="O235" i="1" s="1"/>
  <c r="O310" i="1"/>
  <c r="BC462" i="1"/>
  <c r="BC310" i="1"/>
  <c r="E466" i="1"/>
  <c r="E420" i="1"/>
  <c r="BC466" i="1"/>
  <c r="BC35" i="9" s="1"/>
  <c r="BC213" i="1"/>
  <c r="BC212" i="1" s="1"/>
  <c r="BC214" i="1" s="1"/>
  <c r="D409" i="1"/>
  <c r="D398" i="1"/>
  <c r="M467" i="1"/>
  <c r="R539" i="1"/>
  <c r="R551" i="1" s="1"/>
  <c r="BD737" i="1"/>
  <c r="AQ9" i="9"/>
  <c r="AQ785" i="1"/>
  <c r="BF1023" i="1"/>
  <c r="BF1007" i="1" s="1"/>
  <c r="BF516" i="1"/>
  <c r="AS1174" i="1"/>
  <c r="AS246" i="1"/>
  <c r="AS211" i="1" s="1"/>
  <c r="BC478" i="1"/>
  <c r="BC737" i="1"/>
  <c r="BC440" i="1"/>
  <c r="BD440" i="1" s="1"/>
  <c r="AI772" i="1"/>
  <c r="AI733" i="1"/>
  <c r="AI80" i="9" s="1"/>
  <c r="T726" i="1"/>
  <c r="T245" i="1"/>
  <c r="AC726" i="1"/>
  <c r="AC992" i="1" s="1"/>
  <c r="AC245" i="1"/>
  <c r="AM726" i="1"/>
  <c r="AM992" i="1" s="1"/>
  <c r="AM245" i="1"/>
  <c r="AW1135" i="1"/>
  <c r="AW445" i="1"/>
  <c r="AW726" i="1"/>
  <c r="AW805" i="1" s="1"/>
  <c r="AW245" i="1"/>
  <c r="BF245" i="1"/>
  <c r="BF726" i="1"/>
  <c r="E1169" i="1"/>
  <c r="E446" i="1"/>
  <c r="M1169" i="1"/>
  <c r="M446" i="1"/>
  <c r="U1169" i="1"/>
  <c r="U446" i="1"/>
  <c r="AE1169" i="1"/>
  <c r="AE446" i="1"/>
  <c r="AE726" i="1"/>
  <c r="AO726" i="1"/>
  <c r="AO446" i="1"/>
  <c r="BI1169" i="1"/>
  <c r="BI726" i="1"/>
  <c r="BI992" i="1" s="1"/>
  <c r="BI993" i="1" s="1"/>
  <c r="BS1169" i="1"/>
  <c r="BS726" i="1"/>
  <c r="BS992" i="1" s="1"/>
  <c r="BS993" i="1" s="1"/>
  <c r="K734" i="1"/>
  <c r="K79" i="9" s="1"/>
  <c r="S734" i="1"/>
  <c r="S79" i="9" s="1"/>
  <c r="AG772" i="1"/>
  <c r="AG733" i="1"/>
  <c r="F771" i="1"/>
  <c r="F733" i="1"/>
  <c r="AZ733" i="1"/>
  <c r="AZ80" i="9" s="1"/>
  <c r="BJ771" i="1"/>
  <c r="BJ733" i="1"/>
  <c r="L771" i="1"/>
  <c r="L733" i="1"/>
  <c r="T733" i="1"/>
  <c r="T771" i="1"/>
  <c r="AC733" i="1"/>
  <c r="AW771" i="1"/>
  <c r="BQ771" i="1"/>
  <c r="BQ733" i="1"/>
  <c r="BQ80" i="9" s="1"/>
  <c r="BX1147" i="1"/>
  <c r="BA51" i="1"/>
  <c r="BA163" i="1" s="1"/>
  <c r="BA56" i="1"/>
  <c r="AS188" i="1"/>
  <c r="AS74" i="1"/>
  <c r="AD36" i="9"/>
  <c r="AK177" i="1"/>
  <c r="AO60" i="1"/>
  <c r="AO177" i="1" s="1"/>
  <c r="BS247" i="1"/>
  <c r="N140" i="1"/>
  <c r="BJ35" i="9"/>
  <c r="BJ394" i="1"/>
  <c r="BT36" i="9"/>
  <c r="BT402" i="1"/>
  <c r="BT61" i="9" s="1"/>
  <c r="BQ1175" i="1"/>
  <c r="BQ245" i="1"/>
  <c r="H772" i="1"/>
  <c r="H733" i="1"/>
  <c r="BB772" i="1"/>
  <c r="BB733" i="1"/>
  <c r="BE771" i="1"/>
  <c r="BE733" i="1"/>
  <c r="E1003" i="1"/>
  <c r="E978" i="1" s="1"/>
  <c r="E1223" i="1"/>
  <c r="E1001" i="1" s="1"/>
  <c r="AO1003" i="1"/>
  <c r="AO978" i="1" s="1"/>
  <c r="Z72" i="11"/>
  <c r="Z70" i="11"/>
  <c r="AU74" i="1"/>
  <c r="BR114" i="1"/>
  <c r="AB84" i="1"/>
  <c r="AB85" i="1" s="1"/>
  <c r="AB79" i="1"/>
  <c r="AB164" i="1" s="1"/>
  <c r="I225" i="1"/>
  <c r="AB224" i="1"/>
  <c r="AB225" i="1"/>
  <c r="AT225" i="1"/>
  <c r="AT230" i="1"/>
  <c r="AN234" i="1"/>
  <c r="AV361" i="1"/>
  <c r="BF361" i="1"/>
  <c r="BP361" i="1"/>
  <c r="AQ398" i="1"/>
  <c r="T550" i="1"/>
  <c r="BH538" i="1"/>
  <c r="BH550" i="1"/>
  <c r="BY623" i="1"/>
  <c r="BY624" i="1"/>
  <c r="BC726" i="1"/>
  <c r="AR733" i="1"/>
  <c r="AU737" i="1"/>
  <c r="BP737" i="1"/>
  <c r="S9" i="9"/>
  <c r="S755" i="1"/>
  <c r="CC776" i="1"/>
  <c r="BN782" i="1"/>
  <c r="BL38" i="9"/>
  <c r="BL398" i="1"/>
  <c r="M36" i="9"/>
  <c r="M402" i="1"/>
  <c r="M61" i="9" s="1"/>
  <c r="BV836" i="1"/>
  <c r="BU781" i="1"/>
  <c r="AS1002" i="1"/>
  <c r="AS750" i="1"/>
  <c r="AS783" i="1" s="1"/>
  <c r="AS792" i="1" s="1"/>
  <c r="AR1177" i="1"/>
  <c r="AR248" i="1"/>
  <c r="AS244" i="1" s="1"/>
  <c r="X139" i="1"/>
  <c r="AQ150" i="1"/>
  <c r="BA229" i="1"/>
  <c r="BC409" i="1"/>
  <c r="BP1175" i="1"/>
  <c r="BP245" i="1"/>
  <c r="AY212" i="1"/>
  <c r="AY214" i="1" s="1"/>
  <c r="AY215" i="1" s="1"/>
  <c r="R737" i="1"/>
  <c r="R478" i="1"/>
  <c r="AK737" i="1"/>
  <c r="AK478" i="1"/>
  <c r="Y1177" i="1"/>
  <c r="BR190" i="1"/>
  <c r="BR108" i="1"/>
  <c r="Q150" i="1"/>
  <c r="Q9" i="1" s="1"/>
  <c r="AB38" i="9"/>
  <c r="AB398" i="1"/>
  <c r="K667" i="1"/>
  <c r="AY1175" i="1"/>
  <c r="AY245" i="1"/>
  <c r="BE440" i="1"/>
  <c r="BE478" i="1"/>
  <c r="H225" i="1"/>
  <c r="BK51" i="1"/>
  <c r="BK163" i="1" s="1"/>
  <c r="BK56" i="1"/>
  <c r="BU64" i="1"/>
  <c r="AX104" i="1"/>
  <c r="AX106" i="1" s="1"/>
  <c r="I192" i="1"/>
  <c r="BG195" i="1"/>
  <c r="BG266" i="1"/>
  <c r="BL259" i="1" s="1"/>
  <c r="AP25" i="1"/>
  <c r="I235" i="1"/>
  <c r="AI214" i="1"/>
  <c r="AI215" i="1" s="1"/>
  <c r="BN308" i="1"/>
  <c r="BN36" i="1" s="1"/>
  <c r="BG361" i="1"/>
  <c r="BQ361" i="1"/>
  <c r="AU398" i="1"/>
  <c r="BC424" i="1"/>
  <c r="BA439" i="1"/>
  <c r="J516" i="1"/>
  <c r="BV659" i="1"/>
  <c r="BV656" i="1"/>
  <c r="AS733" i="1"/>
  <c r="AS80" i="9" s="1"/>
  <c r="AC737" i="1"/>
  <c r="AL737" i="1"/>
  <c r="AV737" i="1"/>
  <c r="AG783" i="1"/>
  <c r="AG985" i="1"/>
  <c r="AU782" i="1"/>
  <c r="AU784" i="1" s="1"/>
  <c r="BE945" i="1"/>
  <c r="BB105" i="1"/>
  <c r="K192" i="1"/>
  <c r="AM225" i="1"/>
  <c r="P230" i="1"/>
  <c r="P231" i="1" s="1"/>
  <c r="P229" i="1"/>
  <c r="AP229" i="1"/>
  <c r="AV247" i="1"/>
  <c r="J247" i="1"/>
  <c r="BK361" i="1"/>
  <c r="AF381" i="1"/>
  <c r="K425" i="1"/>
  <c r="K429" i="1" s="1"/>
  <c r="K431" i="1" s="1"/>
  <c r="K436" i="1" s="1"/>
  <c r="K442" i="1" s="1"/>
  <c r="Q35" i="9"/>
  <c r="Q394" i="1"/>
  <c r="BP38" i="9"/>
  <c r="BP398" i="1"/>
  <c r="L37" i="9"/>
  <c r="L403" i="1"/>
  <c r="O410" i="1"/>
  <c r="D524" i="1"/>
  <c r="BD540" i="1"/>
  <c r="Y550" i="1"/>
  <c r="BW659" i="1"/>
  <c r="BW656" i="1"/>
  <c r="BI760" i="1"/>
  <c r="AO957" i="1"/>
  <c r="AO958" i="1" s="1"/>
  <c r="AP940" i="1"/>
  <c r="AR1007" i="1"/>
  <c r="BH1007" i="1"/>
  <c r="BG1135" i="1"/>
  <c r="F446" i="1"/>
  <c r="F726" i="1"/>
  <c r="V1169" i="1"/>
  <c r="V446" i="1"/>
  <c r="AZ1169" i="1"/>
  <c r="AZ726" i="1"/>
  <c r="BJ1169" i="1"/>
  <c r="BJ726" i="1"/>
  <c r="BT726" i="1"/>
  <c r="BT1169" i="1"/>
  <c r="AT728" i="1"/>
  <c r="BB728" i="1"/>
  <c r="AZ734" i="1"/>
  <c r="AZ79" i="9" s="1"/>
  <c r="E771" i="1"/>
  <c r="U733" i="1"/>
  <c r="U771" i="1"/>
  <c r="AY733" i="1"/>
  <c r="AY771" i="1"/>
  <c r="AL734" i="1"/>
  <c r="AL79" i="9" s="1"/>
  <c r="J734" i="1"/>
  <c r="J79" i="9" s="1"/>
  <c r="BO734" i="1"/>
  <c r="BO79" i="9" s="1"/>
  <c r="AX75" i="1"/>
  <c r="AX14" i="9" s="1"/>
  <c r="Z44" i="1"/>
  <c r="Z161" i="1" s="1"/>
  <c r="AA62" i="1"/>
  <c r="AA178" i="1" s="1"/>
  <c r="BB99" i="1"/>
  <c r="BB165" i="1" s="1"/>
  <c r="BR124" i="1"/>
  <c r="BR126" i="1" s="1"/>
  <c r="L192" i="1"/>
  <c r="T192" i="1"/>
  <c r="T21" i="1" s="1"/>
  <c r="BS195" i="1"/>
  <c r="AO230" i="1"/>
  <c r="AY217" i="1"/>
  <c r="BB217" i="1"/>
  <c r="BS212" i="1"/>
  <c r="X224" i="1"/>
  <c r="AN223" i="1"/>
  <c r="BF225" i="1"/>
  <c r="Q230" i="1"/>
  <c r="V231" i="1" s="1"/>
  <c r="AV229" i="1"/>
  <c r="AC247" i="1"/>
  <c r="AO368" i="1"/>
  <c r="J471" i="1"/>
  <c r="J233" i="1"/>
  <c r="J235" i="1" s="1"/>
  <c r="AE425" i="1"/>
  <c r="AE429" i="1" s="1"/>
  <c r="AE431" i="1" s="1"/>
  <c r="AT409" i="1"/>
  <c r="BL467" i="1"/>
  <c r="BL472" i="1" s="1"/>
  <c r="AN469" i="1"/>
  <c r="AN38" i="9" s="1"/>
  <c r="G410" i="1"/>
  <c r="Y41" i="9"/>
  <c r="AH41" i="9"/>
  <c r="C527" i="1"/>
  <c r="BC540" i="1"/>
  <c r="BC552" i="1"/>
  <c r="BE783" i="1"/>
  <c r="BE792" i="1" s="1"/>
  <c r="BE793" i="1" s="1"/>
  <c r="AX940" i="1"/>
  <c r="AP945" i="1"/>
  <c r="AQ940" i="1"/>
  <c r="BB979" i="1"/>
  <c r="AS84" i="1"/>
  <c r="AS85" i="1" s="1"/>
  <c r="T150" i="1"/>
  <c r="M192" i="1"/>
  <c r="W192" i="1"/>
  <c r="AY192" i="1"/>
  <c r="AY194" i="1" s="1"/>
  <c r="AG217" i="1"/>
  <c r="BH209" i="1"/>
  <c r="P224" i="1"/>
  <c r="BP224" i="1"/>
  <c r="R229" i="1"/>
  <c r="AE235" i="1"/>
  <c r="AE234" i="1"/>
  <c r="AM234" i="1"/>
  <c r="AU234" i="1"/>
  <c r="BG212" i="1"/>
  <c r="P244" i="1"/>
  <c r="L244" i="1"/>
  <c r="BP304" i="1"/>
  <c r="BD361" i="1"/>
  <c r="AL368" i="1"/>
  <c r="AZ368" i="1"/>
  <c r="BT368" i="1"/>
  <c r="Z387" i="1"/>
  <c r="AD209" i="1"/>
  <c r="AD462" i="1"/>
  <c r="AD403" i="1" s="1"/>
  <c r="AD62" i="9" s="1"/>
  <c r="AD310" i="1"/>
  <c r="W425" i="1"/>
  <c r="W429" i="1" s="1"/>
  <c r="W431" i="1" s="1"/>
  <c r="W436" i="1" s="1"/>
  <c r="W442" i="1" s="1"/>
  <c r="W480" i="1" s="1"/>
  <c r="AG425" i="1"/>
  <c r="AG429" i="1" s="1"/>
  <c r="AG431" i="1" s="1"/>
  <c r="AG433" i="1" s="1"/>
  <c r="BK425" i="1"/>
  <c r="BK429" i="1" s="1"/>
  <c r="BK431" i="1" s="1"/>
  <c r="BK436" i="1" s="1"/>
  <c r="BK442" i="1" s="1"/>
  <c r="BK480" i="1" s="1"/>
  <c r="BK395" i="1"/>
  <c r="AU425" i="1"/>
  <c r="AU429" i="1" s="1"/>
  <c r="AU431" i="1" s="1"/>
  <c r="BM41" i="9"/>
  <c r="O489" i="1"/>
  <c r="BD398" i="1"/>
  <c r="W409" i="1"/>
  <c r="K524" i="1"/>
  <c r="BW696" i="1"/>
  <c r="BT982" i="1"/>
  <c r="BT838" i="1"/>
  <c r="S784" i="1"/>
  <c r="BR791" i="1"/>
  <c r="AT791" i="1"/>
  <c r="AT793" i="1" s="1"/>
  <c r="BH790" i="1"/>
  <c r="BH841" i="1"/>
  <c r="T29" i="11"/>
  <c r="T392" i="1"/>
  <c r="O31" i="11"/>
  <c r="O401" i="1"/>
  <c r="O47" i="11"/>
  <c r="O52" i="11" s="1"/>
  <c r="T400" i="1"/>
  <c r="I57" i="11"/>
  <c r="I59" i="11"/>
  <c r="Q59" i="11"/>
  <c r="Q57" i="11"/>
  <c r="Y59" i="11"/>
  <c r="AG59" i="11"/>
  <c r="AG57" i="11"/>
  <c r="AO59" i="11"/>
  <c r="AO57" i="11"/>
  <c r="BB167" i="1"/>
  <c r="BB173" i="1" s="1"/>
  <c r="AH61" i="1"/>
  <c r="BG84" i="1"/>
  <c r="BO150" i="1"/>
  <c r="X192" i="1"/>
  <c r="AB192" i="1"/>
  <c r="F225" i="1"/>
  <c r="X217" i="1"/>
  <c r="X238" i="1" s="1"/>
  <c r="AH217" i="1"/>
  <c r="BI225" i="1"/>
  <c r="T213" i="1"/>
  <c r="AU212" i="1"/>
  <c r="E235" i="1"/>
  <c r="BQ300" i="1"/>
  <c r="AA381" i="1"/>
  <c r="AH425" i="1"/>
  <c r="AH429" i="1" s="1"/>
  <c r="AH431" i="1" s="1"/>
  <c r="AH395" i="1"/>
  <c r="BL395" i="1"/>
  <c r="BL425" i="1"/>
  <c r="BL429" i="1" s="1"/>
  <c r="BL431" i="1" s="1"/>
  <c r="P498" i="1"/>
  <c r="H410" i="1"/>
  <c r="K551" i="1"/>
  <c r="J545" i="1"/>
  <c r="G738" i="1"/>
  <c r="BM790" i="1"/>
  <c r="BM841" i="1"/>
  <c r="J978" i="1"/>
  <c r="AX755" i="1"/>
  <c r="BH751" i="1"/>
  <c r="BH838" i="1" s="1"/>
  <c r="BH753" i="1"/>
  <c r="V978" i="1"/>
  <c r="AP114" i="9"/>
  <c r="AP1004" i="1"/>
  <c r="AP979" i="1" s="1"/>
  <c r="BT978" i="1"/>
  <c r="AD1243" i="1"/>
  <c r="AD752" i="1"/>
  <c r="AD983" i="1" s="1"/>
  <c r="AD984" i="1" s="1"/>
  <c r="AD986" i="1" s="1"/>
  <c r="BO212" i="1"/>
  <c r="BO214" i="1" s="1"/>
  <c r="J250" i="1"/>
  <c r="AE247" i="1"/>
  <c r="BR267" i="1"/>
  <c r="BR304" i="1"/>
  <c r="BT278" i="1"/>
  <c r="BO283" i="1"/>
  <c r="BO284" i="1" s="1"/>
  <c r="BO290" i="1" s="1"/>
  <c r="BM310" i="1"/>
  <c r="BK306" i="1"/>
  <c r="BK312" i="1" s="1"/>
  <c r="BK32" i="1" s="1"/>
  <c r="BK21" i="9" s="1"/>
  <c r="BC316" i="1"/>
  <c r="BC322" i="1" s="1"/>
  <c r="BC324" i="1" s="1"/>
  <c r="BC325" i="1" s="1"/>
  <c r="BM316" i="1"/>
  <c r="BJ361" i="1"/>
  <c r="BT361" i="1"/>
  <c r="U387" i="1"/>
  <c r="AG387" i="1"/>
  <c r="BS439" i="1"/>
  <c r="U498" i="1"/>
  <c r="AC738" i="1"/>
  <c r="AZ410" i="1"/>
  <c r="BI410" i="1"/>
  <c r="BQ410" i="1"/>
  <c r="L41" i="9"/>
  <c r="V41" i="9"/>
  <c r="AW41" i="9"/>
  <c r="BJ584" i="1"/>
  <c r="BT584" i="1"/>
  <c r="BV624" i="1"/>
  <c r="AQ985" i="1"/>
  <c r="AQ783" i="1"/>
  <c r="AQ792" i="1" s="1"/>
  <c r="BK974" i="1"/>
  <c r="BJ791" i="1"/>
  <c r="AG1007" i="1"/>
  <c r="BM1174" i="1"/>
  <c r="AF1135" i="1"/>
  <c r="AU728" i="1"/>
  <c r="BL728" i="1"/>
  <c r="Q1135" i="1"/>
  <c r="BG100" i="9"/>
  <c r="BG998" i="1"/>
  <c r="F4" i="9"/>
  <c r="F1022" i="1"/>
  <c r="AD4" i="9"/>
  <c r="AD1020" i="1"/>
  <c r="AD1022" i="1"/>
  <c r="AL4" i="9"/>
  <c r="AL1022" i="1"/>
  <c r="AL1020" i="1"/>
  <c r="BB4" i="9"/>
  <c r="BB1022" i="1"/>
  <c r="BB1020" i="1"/>
  <c r="BJ4" i="9"/>
  <c r="BJ1022" i="1"/>
  <c r="BR4" i="9"/>
  <c r="BR1020" i="1"/>
  <c r="BR516" i="1" s="1"/>
  <c r="BR1023" i="1"/>
  <c r="BR1007" i="1" s="1"/>
  <c r="BZ1017" i="1"/>
  <c r="BZ1019" i="1"/>
  <c r="BZ1018" i="1"/>
  <c r="S59" i="11"/>
  <c r="S57" i="11"/>
  <c r="M62" i="11"/>
  <c r="M64" i="11"/>
  <c r="M66" i="11" s="1"/>
  <c r="U64" i="11"/>
  <c r="U66" i="11" s="1"/>
  <c r="U62" i="11"/>
  <c r="BI439" i="1"/>
  <c r="U402" i="1"/>
  <c r="U61" i="9" s="1"/>
  <c r="E410" i="1"/>
  <c r="D41" i="9"/>
  <c r="M41" i="9"/>
  <c r="W41" i="9"/>
  <c r="AF41" i="9"/>
  <c r="I523" i="1"/>
  <c r="AT540" i="1"/>
  <c r="Z980" i="1"/>
  <c r="J755" i="1"/>
  <c r="Z755" i="1"/>
  <c r="AY755" i="1"/>
  <c r="BL945" i="1"/>
  <c r="BM940" i="1"/>
  <c r="M978" i="1"/>
  <c r="AH1007" i="1"/>
  <c r="AS16" i="11"/>
  <c r="AA59" i="11"/>
  <c r="BN235" i="1"/>
  <c r="Q225" i="1"/>
  <c r="AE224" i="1"/>
  <c r="AU224" i="1"/>
  <c r="BD224" i="1"/>
  <c r="BQ224" i="1"/>
  <c r="K229" i="1"/>
  <c r="AA229" i="1"/>
  <c r="AR234" i="1"/>
  <c r="BK235" i="1"/>
  <c r="BK236" i="1" s="1"/>
  <c r="AD256" i="1"/>
  <c r="BS308" i="1"/>
  <c r="BS36" i="1" s="1"/>
  <c r="BP261" i="1"/>
  <c r="BP262" i="1" s="1"/>
  <c r="BP268" i="1" s="1"/>
  <c r="AR361" i="1"/>
  <c r="BB361" i="1"/>
  <c r="AK368" i="1"/>
  <c r="BE368" i="1"/>
  <c r="BG368" i="1"/>
  <c r="AL374" i="1"/>
  <c r="AV374" i="1"/>
  <c r="BF374" i="1"/>
  <c r="BP374" i="1"/>
  <c r="AB381" i="1"/>
  <c r="BF425" i="1"/>
  <c r="BF429" i="1" s="1"/>
  <c r="BF431" i="1" s="1"/>
  <c r="AN41" i="9"/>
  <c r="AD489" i="1"/>
  <c r="BM447" i="1"/>
  <c r="V409" i="1"/>
  <c r="BD761" i="1"/>
  <c r="E41" i="9"/>
  <c r="N41" i="9"/>
  <c r="X41" i="9"/>
  <c r="AP41" i="9"/>
  <c r="AZ41" i="9"/>
  <c r="E541" i="1"/>
  <c r="N538" i="1"/>
  <c r="BR552" i="1"/>
  <c r="CB624" i="1"/>
  <c r="Z651" i="1"/>
  <c r="J980" i="1"/>
  <c r="AM974" i="1"/>
  <c r="AX9" i="9"/>
  <c r="AX785" i="1"/>
  <c r="AN838" i="1"/>
  <c r="BT931" i="1"/>
  <c r="BD945" i="1"/>
  <c r="X1007" i="1"/>
  <c r="H9" i="11"/>
  <c r="AW785" i="1"/>
  <c r="AU793" i="1"/>
  <c r="AJ979" i="1"/>
  <c r="AJ978" i="1"/>
  <c r="BI978" i="1"/>
  <c r="L1007" i="1"/>
  <c r="AS729" i="1"/>
  <c r="AS78" i="9" s="1"/>
  <c r="I1174" i="1"/>
  <c r="BB1174" i="1"/>
  <c r="BL1174" i="1"/>
  <c r="I771" i="1"/>
  <c r="Q771" i="1"/>
  <c r="AZ771" i="1"/>
  <c r="BO1177" i="1"/>
  <c r="BP1173" i="1" s="1"/>
  <c r="BO1222" i="1"/>
  <c r="J114" i="9"/>
  <c r="J1004" i="1"/>
  <c r="BE114" i="9"/>
  <c r="BE1004" i="1"/>
  <c r="BE978" i="1" s="1"/>
  <c r="J1244" i="1"/>
  <c r="AH4" i="9"/>
  <c r="AH1022" i="1"/>
  <c r="AP4" i="9"/>
  <c r="AP1020" i="1"/>
  <c r="AP1022" i="1"/>
  <c r="BN4" i="9"/>
  <c r="BN1020" i="1"/>
  <c r="BV1018" i="1"/>
  <c r="BV1017" i="1"/>
  <c r="U9" i="11"/>
  <c r="T9" i="11" s="1"/>
  <c r="AM9" i="11"/>
  <c r="I62" i="11"/>
  <c r="I64" i="11"/>
  <c r="I66" i="11" s="1"/>
  <c r="AO62" i="11"/>
  <c r="AO64" i="11"/>
  <c r="AO66" i="11" s="1"/>
  <c r="AO67" i="11" s="1"/>
  <c r="W75" i="11"/>
  <c r="AV791" i="1"/>
  <c r="J979" i="1"/>
  <c r="R979" i="1"/>
  <c r="AA979" i="1"/>
  <c r="BT979" i="1"/>
  <c r="AZ729" i="1"/>
  <c r="AZ78" i="9" s="1"/>
  <c r="BC750" i="1"/>
  <c r="BC783" i="1" s="1"/>
  <c r="BC792" i="1" s="1"/>
  <c r="BF1222" i="1"/>
  <c r="BF1223" i="1" s="1"/>
  <c r="BF1177" i="1"/>
  <c r="AV979" i="1"/>
  <c r="K1244" i="1"/>
  <c r="K1254" i="1" s="1"/>
  <c r="AF48" i="11"/>
  <c r="AF51" i="11"/>
  <c r="R62" i="11"/>
  <c r="AI62" i="11"/>
  <c r="O70" i="11"/>
  <c r="P1223" i="1"/>
  <c r="P1001" i="1" s="1"/>
  <c r="P1003" i="1"/>
  <c r="P978" i="1" s="1"/>
  <c r="BG979" i="1"/>
  <c r="BQ978" i="1"/>
  <c r="T1244" i="1"/>
  <c r="D4" i="9"/>
  <c r="D1023" i="1"/>
  <c r="D1007" i="1" s="1"/>
  <c r="D1022" i="1"/>
  <c r="T4" i="9"/>
  <c r="T1020" i="1"/>
  <c r="AR4" i="9"/>
  <c r="AR1022" i="1"/>
  <c r="AZ4" i="9"/>
  <c r="AZ1020" i="1"/>
  <c r="BP4" i="9"/>
  <c r="BP1023" i="1"/>
  <c r="BP1007" i="1" s="1"/>
  <c r="Y70" i="11"/>
  <c r="BD980" i="1"/>
  <c r="C984" i="1"/>
  <c r="K984" i="1"/>
  <c r="S984" i="1"/>
  <c r="AA984" i="1"/>
  <c r="BQ984" i="1"/>
  <c r="AE974" i="1"/>
  <c r="AQ755" i="1"/>
  <c r="AZ755" i="1"/>
  <c r="BO785" i="1"/>
  <c r="AO791" i="1"/>
  <c r="BI791" i="1"/>
  <c r="BI793" i="1" s="1"/>
  <c r="BL979" i="1"/>
  <c r="AY979" i="1"/>
  <c r="AH71" i="9"/>
  <c r="BP1177" i="1"/>
  <c r="I1223" i="1"/>
  <c r="I1001" i="1" s="1"/>
  <c r="I1003" i="1"/>
  <c r="I978" i="1" s="1"/>
  <c r="Z1223" i="1"/>
  <c r="Z1003" i="1"/>
  <c r="Z978" i="1" s="1"/>
  <c r="BI1207" i="1"/>
  <c r="BI1003" i="1" s="1"/>
  <c r="U978" i="1"/>
  <c r="BR1241" i="1"/>
  <c r="C100" i="9"/>
  <c r="C101" i="9" s="1"/>
  <c r="C998" i="1"/>
  <c r="C972" i="1" s="1"/>
  <c r="BP100" i="9"/>
  <c r="BP998" i="1"/>
  <c r="BB9" i="11"/>
  <c r="T38" i="11"/>
  <c r="L62" i="11"/>
  <c r="L64" i="11"/>
  <c r="L66" i="11" s="1"/>
  <c r="BD955" i="1"/>
  <c r="AS801" i="1"/>
  <c r="AK978" i="1"/>
  <c r="AH979" i="1"/>
  <c r="J1175" i="1"/>
  <c r="R1175" i="1"/>
  <c r="AA1175" i="1"/>
  <c r="AK1175" i="1"/>
  <c r="AA1174" i="1"/>
  <c r="AT1174" i="1"/>
  <c r="BI728" i="1"/>
  <c r="G729" i="1"/>
  <c r="G78" i="9" s="1"/>
  <c r="O729" i="1"/>
  <c r="O78" i="9" s="1"/>
  <c r="W729" i="1"/>
  <c r="W78" i="9" s="1"/>
  <c r="BS733" i="1"/>
  <c r="G771" i="1"/>
  <c r="O771" i="1"/>
  <c r="AO1222" i="1"/>
  <c r="AO1223" i="1" s="1"/>
  <c r="AD1234" i="1"/>
  <c r="AD1004" i="1" s="1"/>
  <c r="BH1229" i="1"/>
  <c r="BM1229" i="1"/>
  <c r="BC753" i="1"/>
  <c r="BM751" i="1"/>
  <c r="AI752" i="1"/>
  <c r="AI983" i="1" s="1"/>
  <c r="AW1244" i="1"/>
  <c r="BR1252" i="1"/>
  <c r="BR998" i="1" s="1"/>
  <c r="AQ9" i="11"/>
  <c r="AN16" i="11"/>
  <c r="O43" i="11"/>
  <c r="AI59" i="11"/>
  <c r="N67" i="11"/>
  <c r="AD62" i="11"/>
  <c r="AX771" i="1"/>
  <c r="AC1089" i="1"/>
  <c r="K1174" i="1"/>
  <c r="K1180" i="1" s="1"/>
  <c r="S1174" i="1"/>
  <c r="AL1174" i="1"/>
  <c r="BE1174" i="1"/>
  <c r="BO1174" i="1"/>
  <c r="C71" i="9"/>
  <c r="K71" i="9"/>
  <c r="S71" i="9"/>
  <c r="D729" i="1"/>
  <c r="D78" i="9" s="1"/>
  <c r="L729" i="1"/>
  <c r="L78" i="9" s="1"/>
  <c r="T729" i="1"/>
  <c r="T78" i="9" s="1"/>
  <c r="AM729" i="1"/>
  <c r="AM78" i="9" s="1"/>
  <c r="H734" i="1"/>
  <c r="H79" i="9" s="1"/>
  <c r="P734" i="1"/>
  <c r="P79" i="9" s="1"/>
  <c r="X734" i="1"/>
  <c r="X79" i="9" s="1"/>
  <c r="BA733" i="1"/>
  <c r="Q733" i="1"/>
  <c r="BD733" i="1"/>
  <c r="BJ772" i="1"/>
  <c r="AS1214" i="1"/>
  <c r="W1223" i="1"/>
  <c r="Y1252" i="1"/>
  <c r="Y998" i="1" s="1"/>
  <c r="BM1252" i="1"/>
  <c r="BD1780" i="13"/>
  <c r="AR9" i="11"/>
  <c r="O64" i="11"/>
  <c r="O66" i="11" s="1"/>
  <c r="BN955" i="1"/>
  <c r="Z979" i="1"/>
  <c r="AR979" i="1"/>
  <c r="AZ979" i="1"/>
  <c r="R978" i="1"/>
  <c r="X979" i="1"/>
  <c r="BD1007" i="1"/>
  <c r="AD1174" i="1"/>
  <c r="BR1174" i="1"/>
  <c r="BR729" i="1"/>
  <c r="BR78" i="9" s="1"/>
  <c r="AY1089" i="1"/>
  <c r="BH734" i="1"/>
  <c r="BH79" i="9" s="1"/>
  <c r="AP1174" i="1"/>
  <c r="AZ1174" i="1"/>
  <c r="AW71" i="9"/>
  <c r="AE729" i="1"/>
  <c r="AE78" i="9" s="1"/>
  <c r="BS729" i="1"/>
  <c r="BS78" i="9" s="1"/>
  <c r="V1173" i="1"/>
  <c r="BH1207" i="1"/>
  <c r="BH1003" i="1" s="1"/>
  <c r="AS1216" i="1"/>
  <c r="AS248" i="1" s="1"/>
  <c r="AS250" i="1" s="1"/>
  <c r="AX1214" i="1"/>
  <c r="BH1214" i="1"/>
  <c r="AS1241" i="1"/>
  <c r="G9" i="11"/>
  <c r="Q9" i="11"/>
  <c r="AO38" i="11"/>
  <c r="AT347" i="1" s="1"/>
  <c r="AT354" i="1" s="1"/>
  <c r="AO43" i="11"/>
  <c r="AI57" i="11"/>
  <c r="AN64" i="11"/>
  <c r="AA70" i="11"/>
  <c r="BQ283" i="1"/>
  <c r="BQ284" i="1" s="1"/>
  <c r="BQ290" i="1" s="1"/>
  <c r="BQ289" i="1"/>
  <c r="AW58" i="1"/>
  <c r="AW57" i="1"/>
  <c r="BH75" i="1"/>
  <c r="BH14" i="9" s="1"/>
  <c r="AH79" i="1"/>
  <c r="AH164" i="1" s="1"/>
  <c r="AH84" i="1"/>
  <c r="BR1169" i="1"/>
  <c r="BR446" i="1"/>
  <c r="BR726" i="1"/>
  <c r="BR73" i="9" s="1"/>
  <c r="AG139" i="1"/>
  <c r="AG193" i="1"/>
  <c r="AG24" i="1" s="1"/>
  <c r="AG25" i="1" s="1"/>
  <c r="AI46" i="1"/>
  <c r="AH145" i="1"/>
  <c r="AH47" i="1"/>
  <c r="BL85" i="1"/>
  <c r="R193" i="1"/>
  <c r="R24" i="1" s="1"/>
  <c r="R139" i="1"/>
  <c r="BF250" i="1"/>
  <c r="BG244" i="1"/>
  <c r="BG247" i="1" s="1"/>
  <c r="BM489" i="1"/>
  <c r="BM43" i="9" s="1"/>
  <c r="BM438" i="1"/>
  <c r="AG36" i="9"/>
  <c r="AG402" i="1"/>
  <c r="AG61" i="9" s="1"/>
  <c r="AI104" i="1"/>
  <c r="AI99" i="1"/>
  <c r="AI165" i="1" s="1"/>
  <c r="BK104" i="1"/>
  <c r="BK106" i="1" s="1"/>
  <c r="BK99" i="1"/>
  <c r="BK165" i="1" s="1"/>
  <c r="AM979" i="1"/>
  <c r="AM978" i="1"/>
  <c r="AD1169" i="1"/>
  <c r="AD446" i="1"/>
  <c r="N61" i="1"/>
  <c r="P60" i="1"/>
  <c r="AN187" i="1"/>
  <c r="AN72" i="1"/>
  <c r="J193" i="1"/>
  <c r="J24" i="1" s="1"/>
  <c r="O140" i="1"/>
  <c r="AH193" i="1"/>
  <c r="AH24" i="1" s="1"/>
  <c r="AI25" i="1" s="1"/>
  <c r="AH139" i="1"/>
  <c r="BL294" i="1"/>
  <c r="BL295" i="1" s="1"/>
  <c r="BL301" i="1" s="1"/>
  <c r="BL300" i="1"/>
  <c r="AR277" i="1"/>
  <c r="AR192" i="1"/>
  <c r="AM224" i="1"/>
  <c r="AH225" i="1"/>
  <c r="BG214" i="1"/>
  <c r="BS574" i="1"/>
  <c r="BS1023" i="1"/>
  <c r="BS1007" i="1" s="1"/>
  <c r="BS516" i="1"/>
  <c r="AG145" i="1"/>
  <c r="AG47" i="1"/>
  <c r="Y193" i="1"/>
  <c r="Y24" i="1" s="1"/>
  <c r="Y25" i="1" s="1"/>
  <c r="AD140" i="1"/>
  <c r="Y139" i="1"/>
  <c r="AF187" i="1"/>
  <c r="AF72" i="1"/>
  <c r="AS193" i="1"/>
  <c r="AS24" i="1" s="1"/>
  <c r="AS25" i="1" s="1"/>
  <c r="AU139" i="1"/>
  <c r="AS523" i="1"/>
  <c r="AU523" i="1"/>
  <c r="AX140" i="1"/>
  <c r="BQ51" i="1"/>
  <c r="BQ163" i="1" s="1"/>
  <c r="BQ56" i="1"/>
  <c r="BQ57" i="1" s="1"/>
  <c r="AH62" i="1"/>
  <c r="AH124" i="1"/>
  <c r="AH119" i="1"/>
  <c r="AH166" i="1" s="1"/>
  <c r="AT140" i="1"/>
  <c r="BK192" i="1"/>
  <c r="BK21" i="1" s="1"/>
  <c r="BK195" i="1"/>
  <c r="BB56" i="1"/>
  <c r="AI62" i="1"/>
  <c r="AI178" i="1" s="1"/>
  <c r="AI124" i="1"/>
  <c r="AN126" i="1" s="1"/>
  <c r="AI119" i="1"/>
  <c r="AI166" i="1" s="1"/>
  <c r="R150" i="1"/>
  <c r="R152" i="1" s="1"/>
  <c r="BJ267" i="1"/>
  <c r="N225" i="1"/>
  <c r="N217" i="1"/>
  <c r="W214" i="1"/>
  <c r="W225" i="1"/>
  <c r="AB226" i="1" s="1"/>
  <c r="AG238" i="1"/>
  <c r="AG219" i="1"/>
  <c r="AP225" i="1"/>
  <c r="AU226" i="1" s="1"/>
  <c r="AB235" i="1"/>
  <c r="AB234" i="1"/>
  <c r="AJ235" i="1"/>
  <c r="AJ234" i="1"/>
  <c r="R425" i="1"/>
  <c r="R429" i="1" s="1"/>
  <c r="R431" i="1" s="1"/>
  <c r="R395" i="1"/>
  <c r="AB425" i="1"/>
  <c r="AB429" i="1" s="1"/>
  <c r="AB431" i="1" s="1"/>
  <c r="AB433" i="1" s="1"/>
  <c r="AB395" i="1"/>
  <c r="BS425" i="1"/>
  <c r="BS429" i="1" s="1"/>
  <c r="BS431" i="1" s="1"/>
  <c r="BS436" i="1" s="1"/>
  <c r="BS318" i="1"/>
  <c r="U35" i="9"/>
  <c r="U467" i="1"/>
  <c r="BP35" i="9"/>
  <c r="BP467" i="1"/>
  <c r="BP472" i="1" s="1"/>
  <c r="BP487" i="1" s="1"/>
  <c r="BP502" i="1" s="1"/>
  <c r="BQ531" i="1"/>
  <c r="BQ535" i="1" s="1"/>
  <c r="BP531" i="1"/>
  <c r="BP535" i="1" s="1"/>
  <c r="BM535" i="1"/>
  <c r="BO531" i="1"/>
  <c r="BO535" i="1" s="1"/>
  <c r="BO556" i="1" s="1"/>
  <c r="AI79" i="1"/>
  <c r="AI164" i="1" s="1"/>
  <c r="AI84" i="1"/>
  <c r="BK84" i="1"/>
  <c r="BP86" i="1" s="1"/>
  <c r="BK79" i="1"/>
  <c r="BK164" i="1" s="1"/>
  <c r="BK167" i="1" s="1"/>
  <c r="AE79" i="1"/>
  <c r="AE164" i="1" s="1"/>
  <c r="I193" i="1"/>
  <c r="I24" i="1" s="1"/>
  <c r="I25" i="1" s="1"/>
  <c r="I139" i="1"/>
  <c r="BV180" i="1"/>
  <c r="BW88" i="1"/>
  <c r="BH489" i="1"/>
  <c r="BH438" i="1"/>
  <c r="BS438" i="1"/>
  <c r="BD439" i="1"/>
  <c r="BE38" i="9"/>
  <c r="BE398" i="1"/>
  <c r="F36" i="9"/>
  <c r="F402" i="1"/>
  <c r="F61" i="9" s="1"/>
  <c r="AF36" i="9"/>
  <c r="AF402" i="1"/>
  <c r="AF61" i="9" s="1"/>
  <c r="AP36" i="9"/>
  <c r="AP402" i="1"/>
  <c r="AP61" i="9" s="1"/>
  <c r="U44" i="1"/>
  <c r="U161" i="1" s="1"/>
  <c r="BU67" i="1"/>
  <c r="AG187" i="1"/>
  <c r="AG72" i="1"/>
  <c r="AO187" i="1"/>
  <c r="AO72" i="1"/>
  <c r="BH84" i="1"/>
  <c r="Q250" i="1"/>
  <c r="R244" i="1"/>
  <c r="AQ36" i="9"/>
  <c r="AQ402" i="1"/>
  <c r="AQ61" i="9" s="1"/>
  <c r="AC56" i="1"/>
  <c r="AC57" i="1" s="1"/>
  <c r="AC51" i="1"/>
  <c r="AC163" i="1" s="1"/>
  <c r="AS139" i="1"/>
  <c r="G225" i="1"/>
  <c r="L224" i="1"/>
  <c r="BH225" i="1"/>
  <c r="BJ234" i="1"/>
  <c r="BJ235" i="1"/>
  <c r="BD247" i="1"/>
  <c r="AH104" i="1"/>
  <c r="AH105" i="1" s="1"/>
  <c r="AH99" i="1"/>
  <c r="AH165" i="1" s="1"/>
  <c r="BH104" i="1"/>
  <c r="BH99" i="1"/>
  <c r="BH165" i="1" s="1"/>
  <c r="AE266" i="1"/>
  <c r="AE195" i="1"/>
  <c r="AE192" i="1"/>
  <c r="AE21" i="1" s="1"/>
  <c r="AM195" i="1"/>
  <c r="AM192" i="1"/>
  <c r="AM21" i="1" s="1"/>
  <c r="AM266" i="1"/>
  <c r="BF266" i="1"/>
  <c r="BK259" i="1" s="1"/>
  <c r="BK261" i="1" s="1"/>
  <c r="BK262" i="1" s="1"/>
  <c r="BK268" i="1" s="1"/>
  <c r="BF195" i="1"/>
  <c r="AP250" i="1"/>
  <c r="AD35" i="9"/>
  <c r="AD394" i="1"/>
  <c r="BG35" i="9"/>
  <c r="BG394" i="1"/>
  <c r="BJ41" i="9"/>
  <c r="AS538" i="1"/>
  <c r="AT538" i="1" s="1"/>
  <c r="AS539" i="1"/>
  <c r="AS551" i="1" s="1"/>
  <c r="BF119" i="1"/>
  <c r="BF166" i="1" s="1"/>
  <c r="AC124" i="1"/>
  <c r="AC125" i="1" s="1"/>
  <c r="Y140" i="1"/>
  <c r="AA139" i="1"/>
  <c r="P140" i="1"/>
  <c r="BA150" i="1"/>
  <c r="BA157" i="1" s="1"/>
  <c r="BK150" i="1"/>
  <c r="BK157" i="1" s="1"/>
  <c r="BB156" i="1"/>
  <c r="BO157" i="1"/>
  <c r="BG150" i="1"/>
  <c r="AO266" i="1"/>
  <c r="AO192" i="1"/>
  <c r="AY266" i="1"/>
  <c r="AY195" i="1"/>
  <c r="BH188" i="1"/>
  <c r="BH266" i="1" s="1"/>
  <c r="BM259" i="1" s="1"/>
  <c r="BQ192" i="1"/>
  <c r="P217" i="1"/>
  <c r="P219" i="1" s="1"/>
  <c r="AR217" i="1"/>
  <c r="BJ217" i="1"/>
  <c r="K224" i="1"/>
  <c r="BK224" i="1"/>
  <c r="AX228" i="1"/>
  <c r="AX229" i="1" s="1"/>
  <c r="D247" i="1"/>
  <c r="AS247" i="1"/>
  <c r="BT304" i="1"/>
  <c r="AH387" i="1"/>
  <c r="BS398" i="1"/>
  <c r="N403" i="1"/>
  <c r="AO425" i="1"/>
  <c r="AO429" i="1" s="1"/>
  <c r="AO431" i="1" s="1"/>
  <c r="AO433" i="1" s="1"/>
  <c r="AO395" i="1"/>
  <c r="AY395" i="1"/>
  <c r="AY425" i="1"/>
  <c r="AY429" i="1" s="1"/>
  <c r="AY431" i="1" s="1"/>
  <c r="AY433" i="1" s="1"/>
  <c r="AS470" i="1"/>
  <c r="AS36" i="9" s="1"/>
  <c r="AS228" i="1"/>
  <c r="T469" i="1"/>
  <c r="T38" i="9" s="1"/>
  <c r="T223" i="1"/>
  <c r="Y224" i="1" s="1"/>
  <c r="BR424" i="1"/>
  <c r="BR425" i="1" s="1"/>
  <c r="BR429" i="1" s="1"/>
  <c r="BR431" i="1" s="1"/>
  <c r="BR433" i="1" s="1"/>
  <c r="BR469" i="1"/>
  <c r="BR223" i="1"/>
  <c r="BR225" i="1" s="1"/>
  <c r="BB425" i="1"/>
  <c r="BB429" i="1" s="1"/>
  <c r="BB431" i="1" s="1"/>
  <c r="BB436" i="1" s="1"/>
  <c r="BB442" i="1" s="1"/>
  <c r="BB480" i="1" s="1"/>
  <c r="G425" i="1"/>
  <c r="G429" i="1" s="1"/>
  <c r="G431" i="1" s="1"/>
  <c r="O486" i="1"/>
  <c r="O441" i="1"/>
  <c r="AI462" i="1"/>
  <c r="AR398" i="1"/>
  <c r="AR403" i="1"/>
  <c r="AR1271" i="1" s="1"/>
  <c r="BB403" i="1"/>
  <c r="BB1271" i="1" s="1"/>
  <c r="BB409" i="1"/>
  <c r="BB394" i="1"/>
  <c r="BB60" i="9" s="1"/>
  <c r="BK410" i="1"/>
  <c r="BK398" i="1"/>
  <c r="BK394" i="1"/>
  <c r="BT467" i="1"/>
  <c r="BT472" i="1" s="1"/>
  <c r="BT112" i="9" s="1"/>
  <c r="BT403" i="1"/>
  <c r="BT62" i="9" s="1"/>
  <c r="D37" i="9"/>
  <c r="D403" i="1"/>
  <c r="D62" i="9" s="1"/>
  <c r="AE37" i="9"/>
  <c r="AE403" i="1"/>
  <c r="BP37" i="9"/>
  <c r="BP403" i="1"/>
  <c r="CB473" i="1"/>
  <c r="H41" i="9"/>
  <c r="AJ41" i="9"/>
  <c r="AT41" i="9"/>
  <c r="BD539" i="1"/>
  <c r="BS539" i="1"/>
  <c r="AC598" i="1"/>
  <c r="AS982" i="1"/>
  <c r="AS838" i="1"/>
  <c r="BA982" i="1"/>
  <c r="BA984" i="1" s="1"/>
  <c r="BA838" i="1"/>
  <c r="BA839" i="1" s="1"/>
  <c r="BS982" i="1"/>
  <c r="BS984" i="1" s="1"/>
  <c r="BS838" i="1"/>
  <c r="BK1023" i="1"/>
  <c r="BK516" i="1"/>
  <c r="AI45" i="11"/>
  <c r="AI50" i="11" s="1"/>
  <c r="AI391" i="1"/>
  <c r="AX115" i="1"/>
  <c r="AX16" i="9" s="1"/>
  <c r="AX190" i="1"/>
  <c r="AX288" i="1" s="1"/>
  <c r="AX119" i="1"/>
  <c r="AX166" i="1" s="1"/>
  <c r="AW192" i="1"/>
  <c r="AW266" i="1"/>
  <c r="F230" i="1"/>
  <c r="BJ244" i="1"/>
  <c r="BJ247" i="1" s="1"/>
  <c r="BN244" i="1"/>
  <c r="BN247" i="1" s="1"/>
  <c r="BR982" i="1"/>
  <c r="BR984" i="1" s="1"/>
  <c r="BR838" i="1"/>
  <c r="BJ1023" i="1"/>
  <c r="BJ1007" i="1" s="1"/>
  <c r="BJ516" i="1"/>
  <c r="BI1020" i="1"/>
  <c r="BI516" i="1" s="1"/>
  <c r="AJ44" i="1"/>
  <c r="AJ161" i="1" s="1"/>
  <c r="AF161" i="1"/>
  <c r="BC95" i="1"/>
  <c r="BC15" i="9" s="1"/>
  <c r="BH74" i="1"/>
  <c r="AL79" i="1"/>
  <c r="AL164" i="1" s="1"/>
  <c r="BC94" i="1"/>
  <c r="BL119" i="1"/>
  <c r="BL166" i="1" s="1"/>
  <c r="BL150" i="1"/>
  <c r="H230" i="1"/>
  <c r="AF230" i="1"/>
  <c r="AF229" i="1"/>
  <c r="E247" i="1"/>
  <c r="AP425" i="1"/>
  <c r="AP429" i="1" s="1"/>
  <c r="AP431" i="1" s="1"/>
  <c r="AP433" i="1" s="1"/>
  <c r="AP395" i="1"/>
  <c r="AJ467" i="1"/>
  <c r="AJ394" i="1"/>
  <c r="AJ409" i="1"/>
  <c r="BC467" i="1"/>
  <c r="X37" i="9"/>
  <c r="X403" i="1"/>
  <c r="X62" i="9" s="1"/>
  <c r="BH471" i="1"/>
  <c r="BH403" i="1" s="1"/>
  <c r="BH62" i="9" s="1"/>
  <c r="I41" i="9"/>
  <c r="AB41" i="9"/>
  <c r="AK41" i="9"/>
  <c r="AW579" i="1"/>
  <c r="U651" i="1"/>
  <c r="BG985" i="1"/>
  <c r="BG980" i="1" s="1"/>
  <c r="BG783" i="1"/>
  <c r="BG792" i="1" s="1"/>
  <c r="BG793" i="1" s="1"/>
  <c r="BD866" i="1"/>
  <c r="AR51" i="1"/>
  <c r="AR163" i="1" s="1"/>
  <c r="AR167" i="1" s="1"/>
  <c r="AR172" i="1" s="1"/>
  <c r="AL58" i="1"/>
  <c r="BC437" i="1"/>
  <c r="AC1023" i="1"/>
  <c r="AC1020" i="1"/>
  <c r="AC516" i="1" s="1"/>
  <c r="AK1020" i="1"/>
  <c r="AK516" i="1" s="1"/>
  <c r="BA1020" i="1"/>
  <c r="BA516" i="1" s="1"/>
  <c r="BA554" i="1" s="1"/>
  <c r="BA562" i="1" s="1"/>
  <c r="AD32" i="11"/>
  <c r="AD45" i="11"/>
  <c r="AD399" i="1"/>
  <c r="Y47" i="11"/>
  <c r="Y52" i="11" s="1"/>
  <c r="Y401" i="1"/>
  <c r="Y393" i="1"/>
  <c r="BU51" i="1"/>
  <c r="BU163" i="1" s="1"/>
  <c r="BU167" i="1" s="1"/>
  <c r="BU174" i="1" s="1"/>
  <c r="AB48" i="1"/>
  <c r="AB162" i="1" s="1"/>
  <c r="AV51" i="1"/>
  <c r="AV163" i="1" s="1"/>
  <c r="N214" i="1"/>
  <c r="AP217" i="1"/>
  <c r="AP219" i="1" s="1"/>
  <c r="AF217" i="1"/>
  <c r="AF238" i="1" s="1"/>
  <c r="N224" i="1"/>
  <c r="AQ25" i="1"/>
  <c r="AC46" i="1"/>
  <c r="AC145" i="1"/>
  <c r="AC48" i="1"/>
  <c r="AC162" i="1" s="1"/>
  <c r="AW51" i="1"/>
  <c r="AW163" i="1" s="1"/>
  <c r="AW167" i="1" s="1"/>
  <c r="AS56" i="1"/>
  <c r="AS57" i="1" s="1"/>
  <c r="S61" i="1"/>
  <c r="BJ74" i="1"/>
  <c r="AD85" i="1"/>
  <c r="BC85" i="1"/>
  <c r="AG106" i="1"/>
  <c r="AN119" i="1"/>
  <c r="AN166" i="1" s="1"/>
  <c r="AR124" i="1"/>
  <c r="AR126" i="1" s="1"/>
  <c r="BO134" i="1"/>
  <c r="AF140" i="1"/>
  <c r="BC150" i="1"/>
  <c r="BC155" i="1" s="1"/>
  <c r="BM150" i="1"/>
  <c r="BM9" i="1" s="1"/>
  <c r="BE150" i="1"/>
  <c r="BE158" i="1" s="1"/>
  <c r="BG157" i="1"/>
  <c r="AQ192" i="1"/>
  <c r="AQ21" i="1" s="1"/>
  <c r="AQ28" i="1" s="1"/>
  <c r="BJ195" i="1"/>
  <c r="I238" i="1"/>
  <c r="BR217" i="1"/>
  <c r="BR212" i="1"/>
  <c r="BR214" i="1" s="1"/>
  <c r="BW214" i="1" s="1"/>
  <c r="CB214" i="1" s="1"/>
  <c r="M226" i="1"/>
  <c r="BE225" i="1"/>
  <c r="BE224" i="1"/>
  <c r="BS224" i="1"/>
  <c r="I230" i="1"/>
  <c r="AG230" i="1"/>
  <c r="R247" i="1"/>
  <c r="H212" i="1"/>
  <c r="H214" i="1" s="1"/>
  <c r="X212" i="1"/>
  <c r="X214" i="1" s="1"/>
  <c r="X215" i="1" s="1"/>
  <c r="BL215" i="1"/>
  <c r="BD320" i="1"/>
  <c r="BD322" i="1" s="1"/>
  <c r="BD324" i="1" s="1"/>
  <c r="BD325" i="1" s="1"/>
  <c r="AP368" i="1"/>
  <c r="BJ368" i="1"/>
  <c r="BL394" i="1"/>
  <c r="BL403" i="1"/>
  <c r="AB409" i="1"/>
  <c r="BT395" i="1"/>
  <c r="BT425" i="1"/>
  <c r="BT429" i="1" s="1"/>
  <c r="BT431" i="1" s="1"/>
  <c r="BT433" i="1" s="1"/>
  <c r="BC470" i="1"/>
  <c r="BC402" i="1" s="1"/>
  <c r="BC61" i="9" s="1"/>
  <c r="BC228" i="1"/>
  <c r="O234" i="1"/>
  <c r="BM471" i="1"/>
  <c r="BM37" i="9" s="1"/>
  <c r="BM233" i="1"/>
  <c r="BM234" i="1" s="1"/>
  <c r="BN438" i="1"/>
  <c r="I403" i="1"/>
  <c r="I62" i="9" s="1"/>
  <c r="I394" i="1"/>
  <c r="AK467" i="1"/>
  <c r="AK409" i="1"/>
  <c r="AU402" i="1"/>
  <c r="AU61" i="9" s="1"/>
  <c r="AU403" i="1"/>
  <c r="AC467" i="1"/>
  <c r="AC472" i="1" s="1"/>
  <c r="Y37" i="9"/>
  <c r="Y403" i="1"/>
  <c r="Y62" i="9" s="1"/>
  <c r="BS37" i="9"/>
  <c r="BS403" i="1"/>
  <c r="AB410" i="1"/>
  <c r="AJ410" i="1"/>
  <c r="AS516" i="1"/>
  <c r="C529" i="1"/>
  <c r="C5" i="9" s="1"/>
  <c r="BE584" i="1"/>
  <c r="BO584" i="1"/>
  <c r="BO579" i="1" s="1"/>
  <c r="BS738" i="1"/>
  <c r="AW793" i="1"/>
  <c r="BC106" i="1"/>
  <c r="AP150" i="1"/>
  <c r="J194" i="1"/>
  <c r="J204" i="1" s="1"/>
  <c r="H219" i="1"/>
  <c r="H238" i="1"/>
  <c r="H240" i="1" s="1"/>
  <c r="R250" i="1"/>
  <c r="S244" i="1"/>
  <c r="BB41" i="9"/>
  <c r="E1020" i="1"/>
  <c r="E516" i="1" s="1"/>
  <c r="E554" i="1" s="1"/>
  <c r="E562" i="1" s="1"/>
  <c r="M1020" i="1"/>
  <c r="M516" i="1" s="1"/>
  <c r="BG25" i="1"/>
  <c r="BM75" i="1"/>
  <c r="BM14" i="9" s="1"/>
  <c r="BL79" i="1"/>
  <c r="BL164" i="1" s="1"/>
  <c r="BM134" i="1"/>
  <c r="BB150" i="1"/>
  <c r="BB9" i="1" s="1"/>
  <c r="BH150" i="1"/>
  <c r="BH9" i="1" s="1"/>
  <c r="X230" i="1"/>
  <c r="X231" i="1" s="1"/>
  <c r="W234" i="1"/>
  <c r="M247" i="1"/>
  <c r="AT398" i="1"/>
  <c r="AT403" i="1"/>
  <c r="AX58" i="1"/>
  <c r="AH51" i="1"/>
  <c r="AH163" i="1" s="1"/>
  <c r="AX51" i="1"/>
  <c r="AX163" i="1" s="1"/>
  <c r="BR56" i="1"/>
  <c r="BR58" i="1" s="1"/>
  <c r="AE78" i="1"/>
  <c r="AX84" i="1"/>
  <c r="AX86" i="1" s="1"/>
  <c r="AX95" i="1"/>
  <c r="AX15" i="9" s="1"/>
  <c r="BP99" i="1"/>
  <c r="BP165" i="1" s="1"/>
  <c r="AS124" i="1"/>
  <c r="Q139" i="1"/>
  <c r="O193" i="1"/>
  <c r="O24" i="1" s="1"/>
  <c r="Q25" i="1" s="1"/>
  <c r="F150" i="1"/>
  <c r="N150" i="1"/>
  <c r="N9" i="1" s="1"/>
  <c r="O7" i="1" s="1"/>
  <c r="V150" i="1"/>
  <c r="V152" i="1" s="1"/>
  <c r="AU150" i="1"/>
  <c r="AU158" i="1" s="1"/>
  <c r="AQ158" i="1"/>
  <c r="BK212" i="1"/>
  <c r="BK214" i="1" s="1"/>
  <c r="BK217" i="1"/>
  <c r="AF225" i="1"/>
  <c r="AF224" i="1"/>
  <c r="AN225" i="1"/>
  <c r="AW224" i="1"/>
  <c r="AW225" i="1"/>
  <c r="AY229" i="1"/>
  <c r="R230" i="1"/>
  <c r="BJ231" i="1"/>
  <c r="P235" i="1"/>
  <c r="P234" i="1"/>
  <c r="AG234" i="1"/>
  <c r="AG235" i="1"/>
  <c r="AO235" i="1"/>
  <c r="AO234" i="1"/>
  <c r="I250" i="1"/>
  <c r="I211" i="1"/>
  <c r="I212" i="1" s="1"/>
  <c r="I214" i="1" s="1"/>
  <c r="Q212" i="1"/>
  <c r="Q214" i="1" s="1"/>
  <c r="AG250" i="1"/>
  <c r="AG211" i="1"/>
  <c r="AG212" i="1" s="1"/>
  <c r="AG214" i="1" s="1"/>
  <c r="BE211" i="1"/>
  <c r="BE212" i="1" s="1"/>
  <c r="BE214" i="1" s="1"/>
  <c r="BE250" i="1"/>
  <c r="Z250" i="1"/>
  <c r="BK310" i="1"/>
  <c r="BP303" i="1" s="1"/>
  <c r="BP305" i="1" s="1"/>
  <c r="AQ368" i="1"/>
  <c r="BK368" i="1"/>
  <c r="AJ403" i="1"/>
  <c r="BS410" i="1"/>
  <c r="AN310" i="1"/>
  <c r="AN462" i="1"/>
  <c r="AN598" i="1" s="1"/>
  <c r="AN420" i="1"/>
  <c r="AN395" i="1" s="1"/>
  <c r="AN209" i="1"/>
  <c r="Z425" i="1"/>
  <c r="Z429" i="1" s="1"/>
  <c r="Z431" i="1" s="1"/>
  <c r="Z433" i="1" s="1"/>
  <c r="Z395" i="1"/>
  <c r="BH424" i="1"/>
  <c r="AS469" i="1"/>
  <c r="AS38" i="9" s="1"/>
  <c r="AS223" i="1"/>
  <c r="AS224" i="1" s="1"/>
  <c r="BE318" i="1"/>
  <c r="BE320" i="1" s="1"/>
  <c r="BG318" i="1"/>
  <c r="BG320" i="1" s="1"/>
  <c r="BF318" i="1"/>
  <c r="BF320" i="1" s="1"/>
  <c r="BF322" i="1" s="1"/>
  <c r="BF324" i="1" s="1"/>
  <c r="BF325" i="1" s="1"/>
  <c r="BI440" i="1"/>
  <c r="K403" i="1"/>
  <c r="K394" i="1"/>
  <c r="K60" i="9" s="1"/>
  <c r="K398" i="1"/>
  <c r="AL403" i="1"/>
  <c r="AL62" i="9" s="1"/>
  <c r="AL409" i="1"/>
  <c r="AL398" i="1"/>
  <c r="V36" i="9"/>
  <c r="V402" i="1"/>
  <c r="V61" i="9" s="1"/>
  <c r="AM36" i="9"/>
  <c r="AM402" i="1"/>
  <c r="AM61" i="9" s="1"/>
  <c r="G37" i="9"/>
  <c r="G403" i="1"/>
  <c r="G62" i="9" s="1"/>
  <c r="L524" i="1"/>
  <c r="AI524" i="1"/>
  <c r="AK523" i="1"/>
  <c r="BB549" i="1"/>
  <c r="BF584" i="1"/>
  <c r="BF579" i="1" s="1"/>
  <c r="AL738" i="1"/>
  <c r="AU738" i="1"/>
  <c r="BC738" i="1"/>
  <c r="BK738" i="1"/>
  <c r="BX940" i="1"/>
  <c r="BT940" i="1"/>
  <c r="AZ150" i="1"/>
  <c r="AZ9" i="1" s="1"/>
  <c r="BA7" i="1" s="1"/>
  <c r="X219" i="1"/>
  <c r="BT322" i="1"/>
  <c r="BT324" i="1" s="1"/>
  <c r="BT325" i="1" s="1"/>
  <c r="BG38" i="9"/>
  <c r="BG398" i="1"/>
  <c r="BS409" i="1"/>
  <c r="BT1023" i="1"/>
  <c r="BT516" i="1"/>
  <c r="AB62" i="1"/>
  <c r="AB178" i="1" s="1"/>
  <c r="F153" i="1"/>
  <c r="BM156" i="1"/>
  <c r="AA177" i="1"/>
  <c r="BR188" i="1"/>
  <c r="AF215" i="1"/>
  <c r="BC320" i="1"/>
  <c r="BJ395" i="1"/>
  <c r="BJ425" i="1"/>
  <c r="BJ429" i="1" s="1"/>
  <c r="BJ431" i="1" s="1"/>
  <c r="BJ436" i="1" s="1"/>
  <c r="BJ442" i="1" s="1"/>
  <c r="BJ480" i="1" s="1"/>
  <c r="BJ54" i="9" s="1"/>
  <c r="AN365" i="1"/>
  <c r="AN368" i="1" s="1"/>
  <c r="AI469" i="1"/>
  <c r="AI38" i="9" s="1"/>
  <c r="AS41" i="9"/>
  <c r="BQ9" i="1"/>
  <c r="AB46" i="1"/>
  <c r="AI51" i="1"/>
  <c r="AI163" i="1" s="1"/>
  <c r="BA79" i="1"/>
  <c r="BA164" i="1" s="1"/>
  <c r="BH94" i="1"/>
  <c r="BU100" i="1"/>
  <c r="BU148" i="1" s="1"/>
  <c r="AX114" i="1"/>
  <c r="BR115" i="1"/>
  <c r="BR16" i="9" s="1"/>
  <c r="AN140" i="1"/>
  <c r="I150" i="1"/>
  <c r="I9" i="1" s="1"/>
  <c r="J7" i="1" s="1"/>
  <c r="BN283" i="1"/>
  <c r="BN284" i="1" s="1"/>
  <c r="BN290" i="1" s="1"/>
  <c r="AG225" i="1"/>
  <c r="AG226" i="1" s="1"/>
  <c r="AG224" i="1"/>
  <c r="AO225" i="1"/>
  <c r="AT226" i="1" s="1"/>
  <c r="BB230" i="1"/>
  <c r="BB231" i="1" s="1"/>
  <c r="H235" i="1"/>
  <c r="M236" i="1" s="1"/>
  <c r="Q235" i="1"/>
  <c r="AW234" i="1"/>
  <c r="AT247" i="1"/>
  <c r="AH250" i="1"/>
  <c r="BJ305" i="1"/>
  <c r="BJ306" i="1" s="1"/>
  <c r="BJ312" i="1" s="1"/>
  <c r="BJ32" i="1" s="1"/>
  <c r="BJ21" i="9" s="1"/>
  <c r="BO322" i="1"/>
  <c r="BO324" i="1" s="1"/>
  <c r="BO325" i="1" s="1"/>
  <c r="AR368" i="1"/>
  <c r="BB368" i="1"/>
  <c r="BL368" i="1"/>
  <c r="AU374" i="1"/>
  <c r="AJ381" i="1"/>
  <c r="AD400" i="1"/>
  <c r="BL402" i="1"/>
  <c r="BL61" i="9" s="1"/>
  <c r="AM403" i="1"/>
  <c r="AM62" i="9" s="1"/>
  <c r="AD409" i="1"/>
  <c r="O41" i="9"/>
  <c r="AY440" i="1"/>
  <c r="AS447" i="1"/>
  <c r="L409" i="1"/>
  <c r="L398" i="1"/>
  <c r="L467" i="1"/>
  <c r="L472" i="1" s="1"/>
  <c r="L112" i="9" s="1"/>
  <c r="L738" i="1"/>
  <c r="AU467" i="1"/>
  <c r="AU472" i="1" s="1"/>
  <c r="AU487" i="1" s="1"/>
  <c r="AU502" i="1" s="1"/>
  <c r="N36" i="9"/>
  <c r="N402" i="1"/>
  <c r="N61" i="9" s="1"/>
  <c r="BH470" i="1"/>
  <c r="AY41" i="9"/>
  <c r="BI41" i="9"/>
  <c r="E524" i="1"/>
  <c r="AN524" i="1"/>
  <c r="AI523" i="1"/>
  <c r="Z150" i="1"/>
  <c r="Z9" i="1" s="1"/>
  <c r="AB150" i="1"/>
  <c r="AB9" i="1" s="1"/>
  <c r="AL150" i="1"/>
  <c r="AL9" i="1" s="1"/>
  <c r="Z152" i="1"/>
  <c r="BS192" i="1"/>
  <c r="BS194" i="1" s="1"/>
  <c r="BS205" i="1" s="1"/>
  <c r="BC235" i="1"/>
  <c r="BK225" i="1"/>
  <c r="BK226" i="1" s="1"/>
  <c r="O214" i="1"/>
  <c r="AK212" i="1"/>
  <c r="AK214" i="1" s="1"/>
  <c r="AK215" i="1" s="1"/>
  <c r="AU214" i="1"/>
  <c r="BM212" i="1"/>
  <c r="BD217" i="1"/>
  <c r="BD219" i="1" s="1"/>
  <c r="AO224" i="1"/>
  <c r="BI229" i="1"/>
  <c r="K234" i="1"/>
  <c r="AC234" i="1"/>
  <c r="AS234" i="1"/>
  <c r="BG234" i="1"/>
  <c r="CC245" i="1"/>
  <c r="F247" i="1"/>
  <c r="AL247" i="1"/>
  <c r="BB250" i="1"/>
  <c r="BK250" i="1"/>
  <c r="BR261" i="1"/>
  <c r="BR262" i="1" s="1"/>
  <c r="BR268" i="1" s="1"/>
  <c r="BO289" i="1"/>
  <c r="AW354" i="1"/>
  <c r="BG354" i="1"/>
  <c r="BQ354" i="1"/>
  <c r="AR354" i="1"/>
  <c r="BB354" i="1"/>
  <c r="BL354" i="1"/>
  <c r="AP361" i="1"/>
  <c r="AU368" i="1"/>
  <c r="AM374" i="1"/>
  <c r="AP374" i="1"/>
  <c r="AZ374" i="1"/>
  <c r="BJ374" i="1"/>
  <c r="AE381" i="1"/>
  <c r="AM381" i="1"/>
  <c r="I425" i="1"/>
  <c r="I429" i="1" s="1"/>
  <c r="I431" i="1" s="1"/>
  <c r="AT425" i="1"/>
  <c r="AT429" i="1" s="1"/>
  <c r="AT431" i="1" s="1"/>
  <c r="AT433" i="1" s="1"/>
  <c r="BN425" i="1"/>
  <c r="BN429" i="1" s="1"/>
  <c r="BN431" i="1" s="1"/>
  <c r="BN436" i="1" s="1"/>
  <c r="V425" i="1"/>
  <c r="V429" i="1" s="1"/>
  <c r="V431" i="1" s="1"/>
  <c r="AM425" i="1"/>
  <c r="AM429" i="1" s="1"/>
  <c r="AM431" i="1" s="1"/>
  <c r="AM436" i="1" s="1"/>
  <c r="AM442" i="1" s="1"/>
  <c r="AM480" i="1" s="1"/>
  <c r="L425" i="1"/>
  <c r="L429" i="1" s="1"/>
  <c r="L431" i="1" s="1"/>
  <c r="L433" i="1" s="1"/>
  <c r="AW425" i="1"/>
  <c r="AW429" i="1" s="1"/>
  <c r="AW431" i="1" s="1"/>
  <c r="AW436" i="1" s="1"/>
  <c r="AW442" i="1" s="1"/>
  <c r="AW480" i="1" s="1"/>
  <c r="AN445" i="1"/>
  <c r="AX447" i="1"/>
  <c r="BR470" i="1"/>
  <c r="BR36" i="9" s="1"/>
  <c r="M410" i="1"/>
  <c r="U410" i="1"/>
  <c r="AC410" i="1"/>
  <c r="AK410" i="1"/>
  <c r="BA410" i="1"/>
  <c r="AX539" i="1"/>
  <c r="AX551" i="1" s="1"/>
  <c r="BE80" i="9"/>
  <c r="BE773" i="1"/>
  <c r="BT839" i="1"/>
  <c r="AT945" i="1"/>
  <c r="AY940" i="1"/>
  <c r="AY957" i="1" s="1"/>
  <c r="AZ1023" i="1"/>
  <c r="AZ1007" i="1" s="1"/>
  <c r="AZ516" i="1"/>
  <c r="U150" i="1"/>
  <c r="U153" i="1" s="1"/>
  <c r="AM150" i="1"/>
  <c r="AM156" i="1" s="1"/>
  <c r="BG155" i="1"/>
  <c r="AJ192" i="1"/>
  <c r="AJ21" i="1" s="1"/>
  <c r="S217" i="1"/>
  <c r="X218" i="1" s="1"/>
  <c r="M212" i="1"/>
  <c r="M214" i="1" s="1"/>
  <c r="AC212" i="1"/>
  <c r="AC214" i="1" s="1"/>
  <c r="C225" i="1"/>
  <c r="L225" i="1"/>
  <c r="Q226" i="1" s="1"/>
  <c r="AC224" i="1"/>
  <c r="AT229" i="1"/>
  <c r="BB229" i="1"/>
  <c r="BJ229" i="1"/>
  <c r="D235" i="1"/>
  <c r="AD234" i="1"/>
  <c r="W235" i="1"/>
  <c r="AF244" i="1"/>
  <c r="AF247" i="1" s="1"/>
  <c r="BF247" i="1"/>
  <c r="W247" i="1"/>
  <c r="AD250" i="1"/>
  <c r="AM247" i="1"/>
  <c r="BT261" i="1"/>
  <c r="BT262" i="1" s="1"/>
  <c r="BT268" i="1" s="1"/>
  <c r="BP278" i="1"/>
  <c r="BP289" i="1"/>
  <c r="AU361" i="1"/>
  <c r="BE361" i="1"/>
  <c r="BO361" i="1"/>
  <c r="AQ374" i="1"/>
  <c r="BA374" i="1"/>
  <c r="BK374" i="1"/>
  <c r="AD381" i="1"/>
  <c r="AL381" i="1"/>
  <c r="AD387" i="1"/>
  <c r="AL387" i="1"/>
  <c r="AD420" i="1"/>
  <c r="AL425" i="1"/>
  <c r="AL429" i="1" s="1"/>
  <c r="AL431" i="1" s="1"/>
  <c r="AL433" i="1" s="1"/>
  <c r="BE425" i="1"/>
  <c r="BE429" i="1" s="1"/>
  <c r="BE431" i="1" s="1"/>
  <c r="BE436" i="1" s="1"/>
  <c r="BE442" i="1" s="1"/>
  <c r="BE480" i="1" s="1"/>
  <c r="BR229" i="1"/>
  <c r="BC223" i="1"/>
  <c r="BC224" i="1" s="1"/>
  <c r="BC469" i="1"/>
  <c r="AN489" i="1"/>
  <c r="AN43" i="9" s="1"/>
  <c r="BR447" i="1"/>
  <c r="BD538" i="1"/>
  <c r="O544" i="1"/>
  <c r="P550" i="1"/>
  <c r="U597" i="1"/>
  <c r="Z597" i="1"/>
  <c r="BG755" i="1"/>
  <c r="K755" i="1"/>
  <c r="AZ931" i="1"/>
  <c r="BD931" i="1"/>
  <c r="BA80" i="9"/>
  <c r="BA773" i="1"/>
  <c r="AD212" i="1"/>
  <c r="AD214" i="1" s="1"/>
  <c r="AM214" i="1"/>
  <c r="AW212" i="1"/>
  <c r="AW214" i="1" s="1"/>
  <c r="BF212" i="1"/>
  <c r="BF214" i="1" s="1"/>
  <c r="M224" i="1"/>
  <c r="AC229" i="1"/>
  <c r="AL229" i="1"/>
  <c r="M234" i="1"/>
  <c r="BE235" i="1"/>
  <c r="BQ247" i="1"/>
  <c r="X247" i="1"/>
  <c r="BP267" i="1"/>
  <c r="BN277" i="1"/>
  <c r="BS270" i="1" s="1"/>
  <c r="BL322" i="1"/>
  <c r="BL324" i="1" s="1"/>
  <c r="BL325" i="1" s="1"/>
  <c r="BL361" i="1"/>
  <c r="AR374" i="1"/>
  <c r="BB374" i="1"/>
  <c r="BL374" i="1"/>
  <c r="AI381" i="1"/>
  <c r="BH41" i="9"/>
  <c r="BL410" i="1"/>
  <c r="BP41" i="9"/>
  <c r="C541" i="1"/>
  <c r="O545" i="1"/>
  <c r="P551" i="1"/>
  <c r="BN574" i="1"/>
  <c r="AG80" i="9"/>
  <c r="AG773" i="1"/>
  <c r="BK80" i="9"/>
  <c r="BK773" i="1"/>
  <c r="AB978" i="1"/>
  <c r="I1007" i="1"/>
  <c r="AD726" i="1"/>
  <c r="E1089" i="1"/>
  <c r="M1089" i="1"/>
  <c r="U1089" i="1"/>
  <c r="AE1089" i="1"/>
  <c r="BJ150" i="1"/>
  <c r="BJ157" i="1" s="1"/>
  <c r="BT150" i="1"/>
  <c r="BT155" i="1" s="1"/>
  <c r="AG150" i="1"/>
  <c r="AG155" i="1" s="1"/>
  <c r="R192" i="1"/>
  <c r="Z192" i="1"/>
  <c r="AU192" i="1"/>
  <c r="AU21" i="1" s="1"/>
  <c r="F217" i="1"/>
  <c r="AE214" i="1"/>
  <c r="AE217" i="1"/>
  <c r="AE218" i="1" s="1"/>
  <c r="N229" i="1"/>
  <c r="V229" i="1"/>
  <c r="AD229" i="1"/>
  <c r="BL230" i="1"/>
  <c r="BL229" i="1"/>
  <c r="N230" i="1"/>
  <c r="AL230" i="1"/>
  <c r="S234" i="1"/>
  <c r="AN235" i="1"/>
  <c r="AV235" i="1"/>
  <c r="BF234" i="1"/>
  <c r="BN234" i="1"/>
  <c r="BO244" i="1"/>
  <c r="BO247" i="1" s="1"/>
  <c r="W250" i="1"/>
  <c r="BQ304" i="1"/>
  <c r="BN299" i="1"/>
  <c r="BS292" i="1" s="1"/>
  <c r="BT310" i="1"/>
  <c r="BN316" i="1"/>
  <c r="Z381" i="1"/>
  <c r="AH381" i="1"/>
  <c r="BD437" i="1"/>
  <c r="AS445" i="1"/>
  <c r="BR462" i="1"/>
  <c r="AG41" i="9"/>
  <c r="AO41" i="9"/>
  <c r="BG41" i="9"/>
  <c r="BQ41" i="9"/>
  <c r="AY574" i="1"/>
  <c r="C755" i="1"/>
  <c r="C766" i="1" s="1"/>
  <c r="C782" i="1"/>
  <c r="C784" i="1" s="1"/>
  <c r="AA782" i="1"/>
  <c r="AA784" i="1" s="1"/>
  <c r="AA755" i="1"/>
  <c r="AA108" i="9" s="1"/>
  <c r="AI755" i="1"/>
  <c r="AI782" i="1"/>
  <c r="AP866" i="1"/>
  <c r="AL979" i="1"/>
  <c r="AL978" i="1"/>
  <c r="BM1169" i="1"/>
  <c r="BM446" i="1"/>
  <c r="BC1126" i="1"/>
  <c r="BC729" i="1" s="1"/>
  <c r="BC78" i="9" s="1"/>
  <c r="BC1068" i="1"/>
  <c r="AD772" i="1"/>
  <c r="AD733" i="1"/>
  <c r="AD80" i="9" s="1"/>
  <c r="Y734" i="1"/>
  <c r="Y79" i="9" s="1"/>
  <c r="BJ1089" i="1"/>
  <c r="BT1089" i="1"/>
  <c r="BM1086" i="1"/>
  <c r="BC733" i="1"/>
  <c r="G1089" i="1"/>
  <c r="O1089" i="1"/>
  <c r="W1089" i="1"/>
  <c r="AG1089" i="1"/>
  <c r="BM982" i="1"/>
  <c r="BM984" i="1" s="1"/>
  <c r="BM838" i="1"/>
  <c r="AG114" i="9"/>
  <c r="AG1004" i="1"/>
  <c r="AG978" i="1" s="1"/>
  <c r="AQ114" i="9"/>
  <c r="AQ1244" i="1"/>
  <c r="AQ1254" i="1" s="1"/>
  <c r="AQ1004" i="1"/>
  <c r="AQ979" i="1" s="1"/>
  <c r="BK114" i="9"/>
  <c r="BK1004" i="1"/>
  <c r="BK979" i="1" s="1"/>
  <c r="AS752" i="1"/>
  <c r="AS983" i="1" s="1"/>
  <c r="AS753" i="1"/>
  <c r="AN1241" i="1"/>
  <c r="AN754" i="1"/>
  <c r="AN9" i="9" s="1"/>
  <c r="AX437" i="1"/>
  <c r="AX445" i="1"/>
  <c r="E402" i="1"/>
  <c r="E61" i="9" s="1"/>
  <c r="AC41" i="9"/>
  <c r="AL41" i="9"/>
  <c r="AO516" i="1"/>
  <c r="H539" i="1"/>
  <c r="H551" i="1" s="1"/>
  <c r="BC551" i="1"/>
  <c r="BP584" i="1"/>
  <c r="BP579" i="1" s="1"/>
  <c r="P651" i="1"/>
  <c r="U667" i="1"/>
  <c r="Y733" i="1"/>
  <c r="Y773" i="1" s="1"/>
  <c r="AO80" i="9"/>
  <c r="AO773" i="1"/>
  <c r="BM733" i="1"/>
  <c r="AE738" i="1"/>
  <c r="AY985" i="1"/>
  <c r="AY980" i="1" s="1"/>
  <c r="AY783" i="1"/>
  <c r="AY792" i="1" s="1"/>
  <c r="G984" i="1"/>
  <c r="O984" i="1"/>
  <c r="AE984" i="1"/>
  <c r="BC751" i="1"/>
  <c r="BG9" i="9"/>
  <c r="BG785" i="1"/>
  <c r="F760" i="1"/>
  <c r="AJ760" i="1"/>
  <c r="AY791" i="1"/>
  <c r="BM1047" i="1"/>
  <c r="BM1054" i="1" s="1"/>
  <c r="BM1101" i="1"/>
  <c r="BT1167" i="1"/>
  <c r="BX1167" i="1"/>
  <c r="AE1180" i="1"/>
  <c r="BM944" i="1"/>
  <c r="BM945" i="1" s="1"/>
  <c r="BM754" i="1"/>
  <c r="V100" i="9"/>
  <c r="V998" i="1"/>
  <c r="V974" i="1" s="1"/>
  <c r="AP100" i="9"/>
  <c r="AP998" i="1"/>
  <c r="AP1254" i="1"/>
  <c r="F403" i="1"/>
  <c r="W410" i="1"/>
  <c r="BC410" i="1"/>
  <c r="BE41" i="9"/>
  <c r="BO41" i="9"/>
  <c r="I539" i="1"/>
  <c r="I551" i="1" s="1"/>
  <c r="BG584" i="1"/>
  <c r="BG579" i="1" s="1"/>
  <c r="BQ584" i="1"/>
  <c r="BQ579" i="1" s="1"/>
  <c r="CB696" i="1"/>
  <c r="AP80" i="9"/>
  <c r="AP773" i="1"/>
  <c r="W738" i="1"/>
  <c r="BJ740" i="1"/>
  <c r="BJ741" i="1" s="1"/>
  <c r="BJ742" i="1" s="1"/>
  <c r="BJ743" i="1" s="1"/>
  <c r="P984" i="1"/>
  <c r="X984" i="1"/>
  <c r="X986" i="1" s="1"/>
  <c r="AF984" i="1"/>
  <c r="AF986" i="1" s="1"/>
  <c r="AN984" i="1"/>
  <c r="AV982" i="1"/>
  <c r="AV984" i="1" s="1"/>
  <c r="AV838" i="1"/>
  <c r="BD982" i="1"/>
  <c r="BD984" i="1" s="1"/>
  <c r="BD838" i="1"/>
  <c r="BD839" i="1" s="1"/>
  <c r="BL982" i="1"/>
  <c r="BL984" i="1" s="1"/>
  <c r="BL838" i="1"/>
  <c r="BM753" i="1"/>
  <c r="BM1262" i="1" s="1"/>
  <c r="AZ9" i="9"/>
  <c r="AZ785" i="1"/>
  <c r="BH754" i="1"/>
  <c r="BS772" i="1"/>
  <c r="BK784" i="1"/>
  <c r="AY785" i="1"/>
  <c r="AW839" i="1"/>
  <c r="AU982" i="1"/>
  <c r="AX1047" i="1"/>
  <c r="AX1054" i="1" s="1"/>
  <c r="AX1099" i="1"/>
  <c r="AX1114" i="1" s="1"/>
  <c r="BH1174" i="1"/>
  <c r="AR1114" i="1"/>
  <c r="AR720" i="1" s="1"/>
  <c r="E726" i="1"/>
  <c r="M726" i="1"/>
  <c r="U726" i="1"/>
  <c r="U992" i="1" s="1"/>
  <c r="U993" i="1" s="1"/>
  <c r="X64" i="11"/>
  <c r="X66" i="11" s="1"/>
  <c r="X62" i="11"/>
  <c r="AF64" i="11"/>
  <c r="AF66" i="11" s="1"/>
  <c r="AF62" i="11"/>
  <c r="AN70" i="11"/>
  <c r="AN72" i="11"/>
  <c r="AN74" i="11" s="1"/>
  <c r="BH584" i="1"/>
  <c r="BR584" i="1"/>
  <c r="BV697" i="1"/>
  <c r="AC80" i="9"/>
  <c r="AC773" i="1"/>
  <c r="K985" i="1"/>
  <c r="K980" i="1" s="1"/>
  <c r="K783" i="1"/>
  <c r="K784" i="1" s="1"/>
  <c r="S7" i="9"/>
  <c r="S985" i="1"/>
  <c r="S980" i="1" s="1"/>
  <c r="AZ773" i="1"/>
  <c r="AI783" i="1"/>
  <c r="BQ837" i="1"/>
  <c r="BQ1262" i="1" s="1"/>
  <c r="BK838" i="1"/>
  <c r="BG866" i="1"/>
  <c r="BC801" i="1"/>
  <c r="AW984" i="1"/>
  <c r="AG1114" i="1"/>
  <c r="V1135" i="1"/>
  <c r="BA1153" i="1"/>
  <c r="BK1153" i="1"/>
  <c r="AJ1153" i="1"/>
  <c r="BI733" i="1"/>
  <c r="BI80" i="9" s="1"/>
  <c r="BI771" i="1"/>
  <c r="BR733" i="1"/>
  <c r="BR80" i="9" s="1"/>
  <c r="BR771" i="1"/>
  <c r="Y1002" i="1"/>
  <c r="Y979" i="1" s="1"/>
  <c r="Y750" i="1"/>
  <c r="Y755" i="1" s="1"/>
  <c r="BM1002" i="1"/>
  <c r="BM750" i="1"/>
  <c r="AE540" i="1"/>
  <c r="BI574" i="1"/>
  <c r="BJ579" i="1"/>
  <c r="BT579" i="1"/>
  <c r="BK584" i="1"/>
  <c r="BK579" i="1" s="1"/>
  <c r="AV584" i="1"/>
  <c r="AV579" i="1" s="1"/>
  <c r="BL584" i="1"/>
  <c r="BL579" i="1" s="1"/>
  <c r="AE651" i="1"/>
  <c r="AE473" i="1" s="1"/>
  <c r="BX697" i="1"/>
  <c r="AX805" i="1"/>
  <c r="AX992" i="1"/>
  <c r="O738" i="1"/>
  <c r="BT980" i="1"/>
  <c r="BO755" i="1"/>
  <c r="BM791" i="1"/>
  <c r="BO793" i="1"/>
  <c r="BC790" i="1"/>
  <c r="BC841" i="1"/>
  <c r="BM779" i="1"/>
  <c r="BM780" i="1" s="1"/>
  <c r="BM782" i="1" s="1"/>
  <c r="BH944" i="1"/>
  <c r="AF977" i="1"/>
  <c r="AN1047" i="1"/>
  <c r="AN1054" i="1" s="1"/>
  <c r="AW1089" i="1"/>
  <c r="AX71" i="9"/>
  <c r="H1089" i="1"/>
  <c r="I1153" i="1"/>
  <c r="Q1153" i="1"/>
  <c r="AR1153" i="1"/>
  <c r="AH771" i="1"/>
  <c r="AH733" i="1"/>
  <c r="AA733" i="1"/>
  <c r="AA771" i="1"/>
  <c r="BO80" i="9"/>
  <c r="BO773" i="1"/>
  <c r="H50" i="11"/>
  <c r="H48" i="11"/>
  <c r="H53" i="11" s="1"/>
  <c r="R50" i="11"/>
  <c r="R48" i="11"/>
  <c r="R53" i="11" s="1"/>
  <c r="BQ1089" i="1"/>
  <c r="BX1130" i="1"/>
  <c r="AO50" i="11"/>
  <c r="AO48" i="11"/>
  <c r="AO53" i="11" s="1"/>
  <c r="AW784" i="1"/>
  <c r="AW786" i="1" s="1"/>
  <c r="BA782" i="1"/>
  <c r="BA784" i="1" s="1"/>
  <c r="U782" i="1"/>
  <c r="U784" i="1" s="1"/>
  <c r="BK839" i="1"/>
  <c r="AU945" i="1"/>
  <c r="AV940" i="1"/>
  <c r="BH982" i="1"/>
  <c r="BE985" i="1"/>
  <c r="BE980" i="1" s="1"/>
  <c r="AF978" i="1"/>
  <c r="AF979" i="1"/>
  <c r="Y1099" i="1"/>
  <c r="Y1047" i="1"/>
  <c r="Y1054" i="1" s="1"/>
  <c r="X1089" i="1"/>
  <c r="BB1089" i="1"/>
  <c r="BL1089" i="1"/>
  <c r="AD81" i="9"/>
  <c r="BR81" i="9"/>
  <c r="L1175" i="1"/>
  <c r="BE1135" i="1"/>
  <c r="BX1169" i="1"/>
  <c r="BR1206" i="1"/>
  <c r="BR1188" i="1" s="1"/>
  <c r="BS1207" i="1"/>
  <c r="BS1003" i="1" s="1"/>
  <c r="BS978" i="1" s="1"/>
  <c r="Q105" i="9"/>
  <c r="L1223" i="1"/>
  <c r="L1001" i="1" s="1"/>
  <c r="L977" i="1" s="1"/>
  <c r="AQ100" i="9"/>
  <c r="O7" i="11"/>
  <c r="P9" i="11"/>
  <c r="O9" i="11" s="1"/>
  <c r="V72" i="11"/>
  <c r="V74" i="11" s="1"/>
  <c r="V75" i="11" s="1"/>
  <c r="V70" i="11"/>
  <c r="AV980" i="1"/>
  <c r="J984" i="1"/>
  <c r="R984" i="1"/>
  <c r="Z984" i="1"/>
  <c r="AH984" i="1"/>
  <c r="K760" i="1"/>
  <c r="AO760" i="1"/>
  <c r="AY760" i="1"/>
  <c r="AO782" i="1"/>
  <c r="AO784" i="1" s="1"/>
  <c r="AY782" i="1"/>
  <c r="BI782" i="1"/>
  <c r="BI784" i="1" s="1"/>
  <c r="BE785" i="1"/>
  <c r="BA793" i="1"/>
  <c r="BK793" i="1"/>
  <c r="BL837" i="1"/>
  <c r="BL1262" i="1" s="1"/>
  <c r="BR841" i="1"/>
  <c r="D979" i="1"/>
  <c r="AC979" i="1"/>
  <c r="AU1007" i="1"/>
  <c r="U1114" i="1"/>
  <c r="BP1114" i="1"/>
  <c r="BP720" i="1" s="1"/>
  <c r="M1175" i="1"/>
  <c r="U1175" i="1"/>
  <c r="AE1175" i="1"/>
  <c r="BD1174" i="1"/>
  <c r="BF1174" i="1"/>
  <c r="AF71" i="9"/>
  <c r="BS71" i="9"/>
  <c r="C1135" i="1"/>
  <c r="K986" i="1"/>
  <c r="AI984" i="1"/>
  <c r="AI986" i="1" s="1"/>
  <c r="O784" i="1"/>
  <c r="AO785" i="1"/>
  <c r="BF785" i="1"/>
  <c r="BL791" i="1"/>
  <c r="BL793" i="1" s="1"/>
  <c r="BT791" i="1"/>
  <c r="BF791" i="1"/>
  <c r="BN791" i="1"/>
  <c r="BS866" i="1"/>
  <c r="M979" i="1"/>
  <c r="U979" i="1"/>
  <c r="N1175" i="1"/>
  <c r="V1175" i="1"/>
  <c r="AF1175" i="1"/>
  <c r="L1114" i="1"/>
  <c r="AU1174" i="1"/>
  <c r="AQ71" i="9"/>
  <c r="BE1270" i="1"/>
  <c r="BW1270" i="1"/>
  <c r="BW1135" i="1"/>
  <c r="U1135" i="1"/>
  <c r="BQ729" i="1"/>
  <c r="BQ78" i="9" s="1"/>
  <c r="CC1128" i="1"/>
  <c r="CC729" i="1" s="1"/>
  <c r="CC78" i="9" s="1"/>
  <c r="AJ1173" i="1"/>
  <c r="AP1222" i="1"/>
  <c r="AP1177" i="1"/>
  <c r="BN1173" i="1"/>
  <c r="BN1180" i="1" s="1"/>
  <c r="BJ1173" i="1"/>
  <c r="AM1223" i="1"/>
  <c r="AM1001" i="1" s="1"/>
  <c r="AP1244" i="1"/>
  <c r="BN1780" i="13"/>
  <c r="AH48" i="11"/>
  <c r="AH53" i="11" s="1"/>
  <c r="E773" i="1"/>
  <c r="BJ782" i="1"/>
  <c r="AP785" i="1"/>
  <c r="BD791" i="1"/>
  <c r="BE838" i="1"/>
  <c r="BE839" i="1" s="1"/>
  <c r="R1007" i="1"/>
  <c r="U1180" i="1"/>
  <c r="BO1135" i="1"/>
  <c r="AT1207" i="1"/>
  <c r="AT1003" i="1" s="1"/>
  <c r="AT978" i="1" s="1"/>
  <c r="AS1206" i="1"/>
  <c r="AS1207" i="1" s="1"/>
  <c r="AS1003" i="1" s="1"/>
  <c r="D978" i="1"/>
  <c r="T1223" i="1"/>
  <c r="T1001" i="1" s="1"/>
  <c r="T977" i="1" s="1"/>
  <c r="T1003" i="1"/>
  <c r="T978" i="1" s="1"/>
  <c r="AC1223" i="1"/>
  <c r="AC1001" i="1" s="1"/>
  <c r="AC977" i="1" s="1"/>
  <c r="AC1003" i="1"/>
  <c r="AC978" i="1" s="1"/>
  <c r="AQ1222" i="1"/>
  <c r="AQ1223" i="1" s="1"/>
  <c r="AQ1177" i="1"/>
  <c r="AR1173" i="1" s="1"/>
  <c r="Y1234" i="1"/>
  <c r="Y1004" i="1" s="1"/>
  <c r="BM1234" i="1"/>
  <c r="AF114" i="9"/>
  <c r="AF1244" i="1"/>
  <c r="AZ114" i="9"/>
  <c r="AZ1244" i="1"/>
  <c r="AZ1254" i="1" s="1"/>
  <c r="BT114" i="9"/>
  <c r="BT1244" i="1"/>
  <c r="O32" i="11"/>
  <c r="G50" i="11"/>
  <c r="G48" i="11"/>
  <c r="G53" i="11" s="1"/>
  <c r="Q50" i="11"/>
  <c r="Q48" i="11"/>
  <c r="Q53" i="11" s="1"/>
  <c r="AO81" i="9"/>
  <c r="BL1176" i="1"/>
  <c r="AX1216" i="1"/>
  <c r="BC1214" i="1"/>
  <c r="AX1252" i="1"/>
  <c r="AX998" i="1" s="1"/>
  <c r="AH100" i="9"/>
  <c r="AH1254" i="1"/>
  <c r="BL100" i="9"/>
  <c r="BL1254" i="1"/>
  <c r="BL1256" i="1" s="1"/>
  <c r="N4" i="9"/>
  <c r="N1022" i="1"/>
  <c r="N1007" i="1" s="1"/>
  <c r="AY9" i="11"/>
  <c r="AX9" i="11" s="1"/>
  <c r="AX7" i="11"/>
  <c r="Y74" i="11"/>
  <c r="Z74" i="11" s="1"/>
  <c r="BN866" i="1"/>
  <c r="AW978" i="1"/>
  <c r="AJ1089" i="1"/>
  <c r="AT1089" i="1"/>
  <c r="BD1089" i="1"/>
  <c r="BN1089" i="1"/>
  <c r="AI81" i="9"/>
  <c r="N1174" i="1"/>
  <c r="N1176" i="1" s="1"/>
  <c r="V1174" i="1"/>
  <c r="AW1174" i="1"/>
  <c r="BG1174" i="1"/>
  <c r="BO1114" i="1"/>
  <c r="BO720" i="1" s="1"/>
  <c r="AW1114" i="1"/>
  <c r="AR71" i="9"/>
  <c r="BK71" i="9"/>
  <c r="BX1125" i="1"/>
  <c r="BN1135" i="1"/>
  <c r="E1153" i="1"/>
  <c r="U1153" i="1"/>
  <c r="AY1153" i="1"/>
  <c r="AO9" i="11"/>
  <c r="AN9" i="11" s="1"/>
  <c r="AN7" i="11"/>
  <c r="AC59" i="11"/>
  <c r="AC57" i="11"/>
  <c r="AK59" i="11"/>
  <c r="AK57" i="11"/>
  <c r="AO80" i="11"/>
  <c r="AQ791" i="1"/>
  <c r="AQ793" i="1" s="1"/>
  <c r="AO949" i="1"/>
  <c r="AO950" i="1" s="1"/>
  <c r="AO942" i="1" s="1"/>
  <c r="AT955" i="1"/>
  <c r="CA993" i="1"/>
  <c r="BA978" i="1"/>
  <c r="P979" i="1"/>
  <c r="BD979" i="1"/>
  <c r="F1020" i="1"/>
  <c r="BM1007" i="1"/>
  <c r="G1174" i="1"/>
  <c r="O1174" i="1"/>
  <c r="W1174" i="1"/>
  <c r="AF1174" i="1"/>
  <c r="AF1176" i="1" s="1"/>
  <c r="AO1174" i="1"/>
  <c r="AO1180" i="1" s="1"/>
  <c r="AY1174" i="1"/>
  <c r="BI1174" i="1"/>
  <c r="BI1180" i="1" s="1"/>
  <c r="G1114" i="1"/>
  <c r="G720" i="1" s="1"/>
  <c r="G723" i="1" s="1"/>
  <c r="BS1114" i="1"/>
  <c r="BS1121" i="1" s="1"/>
  <c r="BS444" i="1" s="1"/>
  <c r="BS448" i="1" s="1"/>
  <c r="AJ71" i="9"/>
  <c r="BC71" i="9"/>
  <c r="AA1135" i="1"/>
  <c r="AG1135" i="1"/>
  <c r="E1135" i="1"/>
  <c r="BQ1153" i="1"/>
  <c r="AI1207" i="1"/>
  <c r="AI1003" i="1" s="1"/>
  <c r="AK1222" i="1"/>
  <c r="AK1223" i="1" s="1"/>
  <c r="AK1001" i="1" s="1"/>
  <c r="BD1177" i="1"/>
  <c r="BI1173" i="1" s="1"/>
  <c r="BC1216" i="1"/>
  <c r="BD1222" i="1"/>
  <c r="AD1177" i="1"/>
  <c r="BN1222" i="1"/>
  <c r="BN1177" i="1"/>
  <c r="BS1173" i="1" s="1"/>
  <c r="L114" i="9"/>
  <c r="L1244" i="1"/>
  <c r="BH1252" i="1"/>
  <c r="J100" i="9"/>
  <c r="J1254" i="1"/>
  <c r="J38" i="11"/>
  <c r="N57" i="11"/>
  <c r="N59" i="11"/>
  <c r="AD59" i="11"/>
  <c r="AL57" i="11"/>
  <c r="AL59" i="11"/>
  <c r="AR791" i="1"/>
  <c r="AV839" i="1"/>
  <c r="BN945" i="1"/>
  <c r="CB993" i="1"/>
  <c r="Q1007" i="1"/>
  <c r="BL1007" i="1"/>
  <c r="AD1175" i="1"/>
  <c r="AX1174" i="1"/>
  <c r="Q1089" i="1"/>
  <c r="Y71" i="9"/>
  <c r="BM71" i="9"/>
  <c r="D1175" i="1"/>
  <c r="T1175" i="1"/>
  <c r="AC1175" i="1"/>
  <c r="AM1175" i="1"/>
  <c r="BX1100" i="1"/>
  <c r="H1174" i="1"/>
  <c r="P1174" i="1"/>
  <c r="P1180" i="1" s="1"/>
  <c r="X1174" i="1"/>
  <c r="X1176" i="1" s="1"/>
  <c r="AG1174" i="1"/>
  <c r="BJ1174" i="1"/>
  <c r="BJ1176" i="1" s="1"/>
  <c r="AH1174" i="1"/>
  <c r="AB71" i="9"/>
  <c r="BV1135" i="1"/>
  <c r="BE1222" i="1"/>
  <c r="BE1223" i="1" s="1"/>
  <c r="BC1229" i="1"/>
  <c r="AY114" i="9"/>
  <c r="AY1244" i="1"/>
  <c r="AY1254" i="1" s="1"/>
  <c r="AO4" i="9"/>
  <c r="AO1022" i="1"/>
  <c r="AO1007" i="1" s="1"/>
  <c r="AW4" i="9"/>
  <c r="AW1020" i="1"/>
  <c r="AW1022" i="1"/>
  <c r="BE4" i="9"/>
  <c r="BE1020" i="1"/>
  <c r="BE516" i="1" s="1"/>
  <c r="O38" i="11"/>
  <c r="G59" i="11"/>
  <c r="G57" i="11"/>
  <c r="AE59" i="11"/>
  <c r="AE57" i="11"/>
  <c r="AM59" i="11"/>
  <c r="AM57" i="11"/>
  <c r="R70" i="11"/>
  <c r="AH72" i="11"/>
  <c r="AH74" i="11" s="1"/>
  <c r="BM7" i="11"/>
  <c r="BN9" i="11"/>
  <c r="BM9" i="11" s="1"/>
  <c r="AD31" i="11"/>
  <c r="AC48" i="11"/>
  <c r="AC53" i="11" s="1"/>
  <c r="P57" i="11"/>
  <c r="P59" i="11"/>
  <c r="AF57" i="11"/>
  <c r="AF59" i="11"/>
  <c r="K70" i="11"/>
  <c r="AM1007" i="1"/>
  <c r="V1022" i="1"/>
  <c r="AF1089" i="1"/>
  <c r="AO1089" i="1"/>
  <c r="AN729" i="1"/>
  <c r="AN78" i="9" s="1"/>
  <c r="AX1086" i="1"/>
  <c r="AX1141" i="1"/>
  <c r="AX733" i="1" s="1"/>
  <c r="AX80" i="9" s="1"/>
  <c r="AN733" i="1"/>
  <c r="AN771" i="1"/>
  <c r="R1089" i="1"/>
  <c r="AA1089" i="1"/>
  <c r="AK1089" i="1"/>
  <c r="AU1089" i="1"/>
  <c r="BE1089" i="1"/>
  <c r="J1174" i="1"/>
  <c r="R1174" i="1"/>
  <c r="Z1174" i="1"/>
  <c r="BB1135" i="1"/>
  <c r="AN750" i="1"/>
  <c r="J1223" i="1"/>
  <c r="J1256" i="1" s="1"/>
  <c r="R1223" i="1"/>
  <c r="AA1223" i="1"/>
  <c r="AA1001" i="1" s="1"/>
  <c r="AA977" i="1" s="1"/>
  <c r="AD1252" i="1"/>
  <c r="AE9" i="11"/>
  <c r="AD9" i="11" s="1"/>
  <c r="AD7" i="11"/>
  <c r="AH9" i="11"/>
  <c r="BJ9" i="11"/>
  <c r="T16" i="11"/>
  <c r="BH16" i="11"/>
  <c r="J16" i="11"/>
  <c r="AN27" i="11"/>
  <c r="AO46" i="11"/>
  <c r="AO51" i="11" s="1"/>
  <c r="U50" i="11"/>
  <c r="U48" i="11"/>
  <c r="U53" i="11" s="1"/>
  <c r="AL48" i="11"/>
  <c r="AL53" i="11" s="1"/>
  <c r="AE48" i="11"/>
  <c r="AE53" i="11" s="1"/>
  <c r="AB64" i="11"/>
  <c r="AB66" i="11" s="1"/>
  <c r="AG67" i="11" s="1"/>
  <c r="T72" i="11"/>
  <c r="T70" i="11"/>
  <c r="L70" i="11"/>
  <c r="V1020" i="1"/>
  <c r="P1089" i="1"/>
  <c r="AP1089" i="1"/>
  <c r="BH71" i="9"/>
  <c r="D1089" i="1"/>
  <c r="L1089" i="1"/>
  <c r="AL1089" i="1"/>
  <c r="AV1089" i="1"/>
  <c r="BF1089" i="1"/>
  <c r="BK1114" i="1"/>
  <c r="BK720" i="1" s="1"/>
  <c r="BK70" i="9" s="1"/>
  <c r="BK72" i="9" s="1"/>
  <c r="Q1175" i="1"/>
  <c r="BF1114" i="1"/>
  <c r="AK1174" i="1"/>
  <c r="AV71" i="9"/>
  <c r="BO71" i="9"/>
  <c r="H1135" i="1"/>
  <c r="AK1135" i="1"/>
  <c r="BX1128" i="1"/>
  <c r="BX729" i="1" s="1"/>
  <c r="BX78" i="9" s="1"/>
  <c r="CC1130" i="1"/>
  <c r="CC728" i="1" s="1"/>
  <c r="S1153" i="1"/>
  <c r="AF1167" i="1"/>
  <c r="AJ1167" i="1"/>
  <c r="BE1167" i="1"/>
  <c r="BI1167" i="1"/>
  <c r="BP1176" i="1"/>
  <c r="C1223" i="1"/>
  <c r="C1001" i="1" s="1"/>
  <c r="K1223" i="1"/>
  <c r="K1001" i="1" s="1"/>
  <c r="S1223" i="1"/>
  <c r="S1001" i="1" s="1"/>
  <c r="S977" i="1" s="1"/>
  <c r="AT1182" i="1"/>
  <c r="AE1222" i="1"/>
  <c r="AE1223" i="1" s="1"/>
  <c r="AE1001" i="1" s="1"/>
  <c r="AE977" i="1" s="1"/>
  <c r="AD1221" i="1"/>
  <c r="AD1222" i="1" s="1"/>
  <c r="AE101" i="9"/>
  <c r="Y16" i="11"/>
  <c r="BM16" i="11"/>
  <c r="O16" i="11"/>
  <c r="BC16" i="11"/>
  <c r="J32" i="11"/>
  <c r="AL50" i="11"/>
  <c r="H59" i="11"/>
  <c r="U67" i="11"/>
  <c r="S72" i="11"/>
  <c r="S74" i="11" s="1"/>
  <c r="AF733" i="1"/>
  <c r="BG1153" i="1"/>
  <c r="AE733" i="1"/>
  <c r="AE773" i="1" s="1"/>
  <c r="AW1153" i="1"/>
  <c r="BN733" i="1"/>
  <c r="BN80" i="9" s="1"/>
  <c r="BP771" i="1"/>
  <c r="AF81" i="9"/>
  <c r="Y1222" i="1"/>
  <c r="BR1243" i="1"/>
  <c r="BM1241" i="1"/>
  <c r="AR1244" i="1"/>
  <c r="AR1254" i="1" s="1"/>
  <c r="I9" i="11"/>
  <c r="S9" i="11"/>
  <c r="AJ9" i="11"/>
  <c r="AI9" i="11" s="1"/>
  <c r="K9" i="11"/>
  <c r="J9" i="11" s="1"/>
  <c r="O45" i="11"/>
  <c r="W48" i="11"/>
  <c r="X72" i="11"/>
  <c r="X74" i="11" s="1"/>
  <c r="AO72" i="11"/>
  <c r="AB1153" i="1"/>
  <c r="AQ1153" i="1"/>
  <c r="H81" i="9"/>
  <c r="P81" i="9"/>
  <c r="X81" i="9"/>
  <c r="AW1223" i="1"/>
  <c r="AW1001" i="1" s="1"/>
  <c r="BR1214" i="1"/>
  <c r="BR1216" i="1" s="1"/>
  <c r="BR248" i="1" s="1"/>
  <c r="BR250" i="1" s="1"/>
  <c r="AS1229" i="1"/>
  <c r="AS1243" i="1"/>
  <c r="AB1244" i="1"/>
  <c r="BE1244" i="1"/>
  <c r="R1244" i="1"/>
  <c r="R1254" i="1" s="1"/>
  <c r="AN1252" i="1"/>
  <c r="BI1780" i="13"/>
  <c r="T7" i="11"/>
  <c r="AC9" i="11"/>
  <c r="N48" i="11"/>
  <c r="N53" i="11" s="1"/>
  <c r="I72" i="11"/>
  <c r="I74" i="11" s="1"/>
  <c r="N75" i="11" s="1"/>
  <c r="AJ80" i="11"/>
  <c r="BE1153" i="1"/>
  <c r="G733" i="1"/>
  <c r="G80" i="9" s="1"/>
  <c r="O733" i="1"/>
  <c r="O80" i="9" s="1"/>
  <c r="W733" i="1"/>
  <c r="AG1153" i="1"/>
  <c r="G1223" i="1"/>
  <c r="G1001" i="1" s="1"/>
  <c r="O1223" i="1"/>
  <c r="F1223" i="1"/>
  <c r="BF1244" i="1"/>
  <c r="BF1254" i="1" s="1"/>
  <c r="S1244" i="1"/>
  <c r="S1254" i="1" s="1"/>
  <c r="AS1252" i="1"/>
  <c r="AS100" i="9" s="1"/>
  <c r="AL9" i="11"/>
  <c r="AT9" i="11"/>
  <c r="AS9" i="11" s="1"/>
  <c r="O27" i="11"/>
  <c r="O46" i="11"/>
  <c r="O51" i="11" s="1"/>
  <c r="F48" i="11"/>
  <c r="F53" i="11" s="1"/>
  <c r="P48" i="11"/>
  <c r="P53" i="11" s="1"/>
  <c r="X48" i="11"/>
  <c r="X53" i="11" s="1"/>
  <c r="J57" i="11"/>
  <c r="J70" i="11"/>
  <c r="AG167" i="1"/>
  <c r="AG171" i="1" s="1"/>
  <c r="BQ126" i="1"/>
  <c r="BQ128" i="1"/>
  <c r="BQ125" i="1"/>
  <c r="AJ436" i="1"/>
  <c r="AJ442" i="1" s="1"/>
  <c r="AJ480" i="1" s="1"/>
  <c r="AJ433" i="1"/>
  <c r="BO215" i="1"/>
  <c r="BA156" i="1"/>
  <c r="BD26" i="1"/>
  <c r="BD19" i="9" s="1"/>
  <c r="BI26" i="1"/>
  <c r="BI19" i="9" s="1"/>
  <c r="AF240" i="1"/>
  <c r="AB157" i="1"/>
  <c r="AL436" i="1"/>
  <c r="AL442" i="1" s="1"/>
  <c r="AL480" i="1" s="1"/>
  <c r="BP128" i="1"/>
  <c r="AX34" i="9"/>
  <c r="AX1190" i="1"/>
  <c r="AX1189" i="1"/>
  <c r="AX598" i="1"/>
  <c r="AX410" i="1"/>
  <c r="AX402" i="1"/>
  <c r="AX61" i="9" s="1"/>
  <c r="BB172" i="1"/>
  <c r="BE9" i="1"/>
  <c r="W21" i="1"/>
  <c r="AV84" i="1"/>
  <c r="AV79" i="1"/>
  <c r="AV164" i="1" s="1"/>
  <c r="BW180" i="1"/>
  <c r="BY88" i="1"/>
  <c r="AM104" i="1"/>
  <c r="AR106" i="1" s="1"/>
  <c r="AM99" i="1"/>
  <c r="AM165" i="1" s="1"/>
  <c r="BR181" i="1"/>
  <c r="AS126" i="1"/>
  <c r="K150" i="1"/>
  <c r="K9" i="1" s="1"/>
  <c r="S150" i="1"/>
  <c r="S9" i="1" s="1"/>
  <c r="AL155" i="1"/>
  <c r="AL153" i="1"/>
  <c r="AL156" i="1"/>
  <c r="AC164" i="1"/>
  <c r="AV277" i="1"/>
  <c r="AV192" i="1"/>
  <c r="H21" i="1"/>
  <c r="BJ194" i="1"/>
  <c r="BJ204" i="1" s="1"/>
  <c r="BJ21" i="1"/>
  <c r="BO23" i="1" s="1"/>
  <c r="BO18" i="9" s="1"/>
  <c r="H194" i="1"/>
  <c r="BB238" i="1"/>
  <c r="BB219" i="1"/>
  <c r="K238" i="1"/>
  <c r="K219" i="1"/>
  <c r="BB244" i="1"/>
  <c r="BB247" i="1" s="1"/>
  <c r="BA250" i="1"/>
  <c r="BJ250" i="1"/>
  <c r="BK244" i="1"/>
  <c r="BK247" i="1" s="1"/>
  <c r="BS250" i="1"/>
  <c r="BX244" i="1"/>
  <c r="BT244" i="1"/>
  <c r="BT247" i="1" s="1"/>
  <c r="BX247" i="1" s="1"/>
  <c r="BT60" i="9"/>
  <c r="BD62" i="9"/>
  <c r="BD1271" i="1"/>
  <c r="E35" i="9"/>
  <c r="E394" i="1"/>
  <c r="E467" i="1"/>
  <c r="E472" i="1" s="1"/>
  <c r="I450" i="1"/>
  <c r="I455" i="1" s="1"/>
  <c r="I433" i="1"/>
  <c r="I436" i="1"/>
  <c r="I442" i="1" s="1"/>
  <c r="S395" i="1"/>
  <c r="S425" i="1"/>
  <c r="S429" i="1" s="1"/>
  <c r="S431" i="1" s="1"/>
  <c r="AT436" i="1"/>
  <c r="V436" i="1"/>
  <c r="V442" i="1" s="1"/>
  <c r="V480" i="1" s="1"/>
  <c r="V433" i="1"/>
  <c r="BM990" i="1"/>
  <c r="BM757" i="1"/>
  <c r="AD43" i="9"/>
  <c r="BE433" i="1"/>
  <c r="BM35" i="9"/>
  <c r="BM394" i="1"/>
  <c r="BP112" i="9"/>
  <c r="BP474" i="1"/>
  <c r="F40" i="9"/>
  <c r="F990" i="1"/>
  <c r="F991" i="1" s="1"/>
  <c r="F757" i="1"/>
  <c r="AW155" i="1"/>
  <c r="M150" i="1"/>
  <c r="M153" i="1" s="1"/>
  <c r="AF277" i="1"/>
  <c r="AF192" i="1"/>
  <c r="AN277" i="1"/>
  <c r="AN192" i="1"/>
  <c r="M219" i="1"/>
  <c r="M218" i="1"/>
  <c r="AT238" i="1"/>
  <c r="AT219" i="1"/>
  <c r="AY218" i="1"/>
  <c r="BG215" i="1"/>
  <c r="N244" i="1"/>
  <c r="N247" i="1" s="1"/>
  <c r="M250" i="1"/>
  <c r="V244" i="1"/>
  <c r="V247" i="1" s="1"/>
  <c r="U250" i="1"/>
  <c r="Z244" i="1"/>
  <c r="Z247" i="1" s="1"/>
  <c r="AD244" i="1"/>
  <c r="AD247" i="1" s="1"/>
  <c r="AC250" i="1"/>
  <c r="AU244" i="1"/>
  <c r="AU247" i="1" s="1"/>
  <c r="AT250" i="1"/>
  <c r="AY244" i="1"/>
  <c r="AY247" i="1" s="1"/>
  <c r="BU244" i="1"/>
  <c r="BT250" i="1"/>
  <c r="BN288" i="1"/>
  <c r="AD60" i="9"/>
  <c r="AO62" i="9"/>
  <c r="AO1271" i="1"/>
  <c r="BP318" i="1"/>
  <c r="BP320" i="1" s="1"/>
  <c r="BP322" i="1" s="1"/>
  <c r="BP324" i="1" s="1"/>
  <c r="BP325" i="1" s="1"/>
  <c r="BQ318" i="1"/>
  <c r="BQ320" i="1" s="1"/>
  <c r="BQ322" i="1" s="1"/>
  <c r="BQ324" i="1" s="1"/>
  <c r="BQ325" i="1" s="1"/>
  <c r="BR990" i="1"/>
  <c r="BR757" i="1"/>
  <c r="BK54" i="9"/>
  <c r="BK988" i="1"/>
  <c r="BK800" i="1"/>
  <c r="BK412" i="1"/>
  <c r="AL35" i="9"/>
  <c r="AL394" i="1"/>
  <c r="I36" i="9"/>
  <c r="I402" i="1"/>
  <c r="I61" i="9" s="1"/>
  <c r="AR36" i="9"/>
  <c r="AR402" i="1"/>
  <c r="AR61" i="9" s="1"/>
  <c r="BA36" i="9"/>
  <c r="BA402" i="1"/>
  <c r="BA61" i="9" s="1"/>
  <c r="BQ36" i="9"/>
  <c r="BQ402" i="1"/>
  <c r="BQ61" i="9" s="1"/>
  <c r="AH25" i="1"/>
  <c r="BF58" i="1"/>
  <c r="BK58" i="1"/>
  <c r="AC104" i="1"/>
  <c r="AC99" i="1"/>
  <c r="I21" i="1"/>
  <c r="AG46" i="1"/>
  <c r="BM99" i="1"/>
  <c r="BM165" i="1" s="1"/>
  <c r="BM167" i="1" s="1"/>
  <c r="BM104" i="1"/>
  <c r="R7" i="1"/>
  <c r="BP217" i="1"/>
  <c r="BP225" i="1"/>
  <c r="L211" i="1"/>
  <c r="L212" i="1" s="1"/>
  <c r="L214" i="1" s="1"/>
  <c r="L250" i="1"/>
  <c r="AJ211" i="1"/>
  <c r="AJ212" i="1" s="1"/>
  <c r="AJ214" i="1" s="1"/>
  <c r="AJ215" i="1" s="1"/>
  <c r="AJ250" i="1"/>
  <c r="BP211" i="1"/>
  <c r="BP212" i="1" s="1"/>
  <c r="BP214" i="1" s="1"/>
  <c r="BP250" i="1"/>
  <c r="N250" i="1"/>
  <c r="O244" i="1"/>
  <c r="O247" i="1" s="1"/>
  <c r="E250" i="1"/>
  <c r="AE60" i="9"/>
  <c r="BG60" i="9"/>
  <c r="BM395" i="1"/>
  <c r="O35" i="9"/>
  <c r="O394" i="1"/>
  <c r="O467" i="1"/>
  <c r="BA318" i="1"/>
  <c r="BA320" i="1" s="1"/>
  <c r="BA322" i="1" s="1"/>
  <c r="BA324" i="1" s="1"/>
  <c r="BA325" i="1" s="1"/>
  <c r="BB318" i="1"/>
  <c r="BB320" i="1" s="1"/>
  <c r="BR436" i="1"/>
  <c r="BR442" i="1" s="1"/>
  <c r="BR480" i="1" s="1"/>
  <c r="L404" i="1"/>
  <c r="AJ36" i="9"/>
  <c r="AJ402" i="1"/>
  <c r="AJ61" i="9" s="1"/>
  <c r="AJ472" i="1"/>
  <c r="BB36" i="9"/>
  <c r="BB402" i="1"/>
  <c r="BB61" i="9" s="1"/>
  <c r="BJ36" i="9"/>
  <c r="BJ402" i="1"/>
  <c r="BJ61" i="9" s="1"/>
  <c r="BR402" i="1"/>
  <c r="BR61" i="9" s="1"/>
  <c r="AQ124" i="1"/>
  <c r="AQ119" i="1"/>
  <c r="AQ166" i="1" s="1"/>
  <c r="B3" i="11"/>
  <c r="B3" i="13"/>
  <c r="CC1023" i="1"/>
  <c r="BU1023" i="1"/>
  <c r="BZ1023" i="1"/>
  <c r="CF1020" i="1"/>
  <c r="BX1020" i="1"/>
  <c r="BX1023" i="1"/>
  <c r="CD1020" i="1"/>
  <c r="BV1020" i="1"/>
  <c r="BV1023" i="1"/>
  <c r="CB1020" i="1"/>
  <c r="CB1023" i="1"/>
  <c r="CA1020" i="1"/>
  <c r="CF1023" i="1"/>
  <c r="BU1020" i="1"/>
  <c r="BW1023" i="1"/>
  <c r="CD1023" i="1"/>
  <c r="BZ1020" i="1"/>
  <c r="CC1020" i="1"/>
  <c r="BY1020" i="1"/>
  <c r="CA1023" i="1"/>
  <c r="AE44" i="1"/>
  <c r="AE161" i="1" s="1"/>
  <c r="AC161" i="1"/>
  <c r="AA51" i="1"/>
  <c r="AE50" i="1"/>
  <c r="AM58" i="1"/>
  <c r="AM57" i="1"/>
  <c r="AH85" i="1"/>
  <c r="AH86" i="1"/>
  <c r="AG174" i="1"/>
  <c r="BP119" i="1"/>
  <c r="BP166" i="1" s="1"/>
  <c r="BB125" i="1"/>
  <c r="BB126" i="1"/>
  <c r="AQ156" i="1"/>
  <c r="AQ155" i="1"/>
  <c r="AQ157" i="1"/>
  <c r="AX155" i="1"/>
  <c r="K21" i="1"/>
  <c r="J197" i="1"/>
  <c r="BG217" i="1"/>
  <c r="BL218" i="1" s="1"/>
  <c r="BG230" i="1"/>
  <c r="N238" i="1"/>
  <c r="N218" i="1"/>
  <c r="N219" i="1"/>
  <c r="N221" i="1" s="1"/>
  <c r="F231" i="1"/>
  <c r="L236" i="1"/>
  <c r="Q236" i="1"/>
  <c r="M238" i="1"/>
  <c r="AA247" i="1"/>
  <c r="BC244" i="1"/>
  <c r="BC247" i="1" s="1"/>
  <c r="D211" i="1"/>
  <c r="D212" i="1" s="1"/>
  <c r="D214" i="1" s="1"/>
  <c r="D250" i="1"/>
  <c r="T211" i="1"/>
  <c r="T212" i="1" s="1"/>
  <c r="T250" i="1"/>
  <c r="AB211" i="1"/>
  <c r="AB212" i="1" s="1"/>
  <c r="AB214" i="1" s="1"/>
  <c r="AB215" i="1" s="1"/>
  <c r="AB250" i="1"/>
  <c r="AR211" i="1"/>
  <c r="AR212" i="1" s="1"/>
  <c r="AR214" i="1" s="1"/>
  <c r="AR215" i="1" s="1"/>
  <c r="AR250" i="1"/>
  <c r="G244" i="1"/>
  <c r="G247" i="1" s="1"/>
  <c r="K244" i="1"/>
  <c r="K247" i="1" s="1"/>
  <c r="BL283" i="1"/>
  <c r="BL284" i="1" s="1"/>
  <c r="BL290" i="1" s="1"/>
  <c r="BL289" i="1"/>
  <c r="BS294" i="1"/>
  <c r="BS295" i="1" s="1"/>
  <c r="BS301" i="1" s="1"/>
  <c r="BN322" i="1"/>
  <c r="BN324" i="1" s="1"/>
  <c r="BN325" i="1" s="1"/>
  <c r="D1264" i="1"/>
  <c r="D33" i="1"/>
  <c r="E33" i="1"/>
  <c r="BO28" i="1"/>
  <c r="AK161" i="1"/>
  <c r="AO44" i="1"/>
  <c r="AO161" i="1" s="1"/>
  <c r="BP67" i="1"/>
  <c r="BP179" i="1"/>
  <c r="AO21" i="1"/>
  <c r="BB24" i="1"/>
  <c r="AB57" i="1"/>
  <c r="AN86" i="1"/>
  <c r="BU164" i="1"/>
  <c r="BU80" i="1"/>
  <c r="BO94" i="1"/>
  <c r="BM95" i="1"/>
  <c r="BM15" i="9" s="1"/>
  <c r="BM94" i="1"/>
  <c r="BQ119" i="1"/>
  <c r="BQ166" i="1" s="1"/>
  <c r="BC125" i="1"/>
  <c r="BC126" i="1"/>
  <c r="L140" i="1"/>
  <c r="L139" i="1"/>
  <c r="Q140" i="1"/>
  <c r="AB140" i="1"/>
  <c r="AB193" i="1"/>
  <c r="AB194" i="1" s="1"/>
  <c r="AB139" i="1"/>
  <c r="AG140" i="1"/>
  <c r="AJ140" i="1"/>
  <c r="AJ193" i="1"/>
  <c r="BJ155" i="1"/>
  <c r="BJ9" i="1"/>
  <c r="AL157" i="1"/>
  <c r="AG169" i="1"/>
  <c r="AT288" i="1"/>
  <c r="BL192" i="1"/>
  <c r="AT24" i="1"/>
  <c r="AZ217" i="1"/>
  <c r="AZ235" i="1"/>
  <c r="BP230" i="1"/>
  <c r="AK231" i="1"/>
  <c r="U234" i="1"/>
  <c r="U235" i="1"/>
  <c r="F250" i="1"/>
  <c r="AK250" i="1"/>
  <c r="BS309" i="1"/>
  <c r="BS37" i="1" s="1"/>
  <c r="BS277" i="1"/>
  <c r="X1271" i="1"/>
  <c r="E38" i="9"/>
  <c r="E398" i="1"/>
  <c r="F489" i="1"/>
  <c r="V489" i="1"/>
  <c r="AL489" i="1"/>
  <c r="AG58" i="1"/>
  <c r="BR95" i="1"/>
  <c r="BR15" i="9" s="1"/>
  <c r="BR88" i="1"/>
  <c r="BW91" i="1" s="1"/>
  <c r="BT94" i="1"/>
  <c r="BR189" i="1"/>
  <c r="AG173" i="1"/>
  <c r="BQ105" i="1"/>
  <c r="BQ99" i="1"/>
  <c r="BQ165" i="1" s="1"/>
  <c r="AR105" i="1"/>
  <c r="AC193" i="1"/>
  <c r="AC140" i="1"/>
  <c r="AH140" i="1"/>
  <c r="AC139" i="1"/>
  <c r="AK193" i="1"/>
  <c r="AK140" i="1"/>
  <c r="AP140" i="1"/>
  <c r="BF150" i="1"/>
  <c r="BF9" i="1" s="1"/>
  <c r="BT157" i="1"/>
  <c r="M21" i="1"/>
  <c r="BD288" i="1"/>
  <c r="P238" i="1"/>
  <c r="Z235" i="1"/>
  <c r="AE236" i="1" s="1"/>
  <c r="Z217" i="1"/>
  <c r="AI219" i="1"/>
  <c r="AQ230" i="1"/>
  <c r="AQ217" i="1"/>
  <c r="BA235" i="1"/>
  <c r="BA217" i="1"/>
  <c r="BI217" i="1"/>
  <c r="BI235" i="1"/>
  <c r="BN236" i="1" s="1"/>
  <c r="BS217" i="1"/>
  <c r="BS235" i="1"/>
  <c r="BS236" i="1" s="1"/>
  <c r="BS225" i="1"/>
  <c r="BS226" i="1" s="1"/>
  <c r="AV215" i="1"/>
  <c r="AD217" i="1"/>
  <c r="AI218" i="1" s="1"/>
  <c r="BJ238" i="1"/>
  <c r="BJ219" i="1"/>
  <c r="BO221" i="1" s="1"/>
  <c r="BN226" i="1"/>
  <c r="AY230" i="1"/>
  <c r="AL231" i="1"/>
  <c r="L234" i="1"/>
  <c r="Q234" i="1"/>
  <c r="V234" i="1"/>
  <c r="V235" i="1"/>
  <c r="AL235" i="1"/>
  <c r="AL234" i="1"/>
  <c r="AT234" i="1"/>
  <c r="AT235" i="1"/>
  <c r="AT236" i="1" s="1"/>
  <c r="AY234" i="1"/>
  <c r="BD235" i="1"/>
  <c r="BD234" i="1"/>
  <c r="BL235" i="1"/>
  <c r="BL234" i="1"/>
  <c r="AR247" i="1"/>
  <c r="AL250" i="1"/>
  <c r="BJ272" i="1"/>
  <c r="BJ273" i="1" s="1"/>
  <c r="BJ279" i="1" s="1"/>
  <c r="BJ278" i="1"/>
  <c r="BT294" i="1"/>
  <c r="BT295" i="1" s="1"/>
  <c r="BT301" i="1" s="1"/>
  <c r="BT300" i="1"/>
  <c r="BM305" i="1"/>
  <c r="BM306" i="1" s="1"/>
  <c r="BM312" i="1" s="1"/>
  <c r="BM32" i="1" s="1"/>
  <c r="BM21" i="9" s="1"/>
  <c r="BI316" i="1"/>
  <c r="BI322" i="1" s="1"/>
  <c r="BI324" i="1" s="1"/>
  <c r="BI325" i="1" s="1"/>
  <c r="BH314" i="1"/>
  <c r="BH316" i="1" s="1"/>
  <c r="AY322" i="1"/>
  <c r="AY324" i="1" s="1"/>
  <c r="AY325" i="1" s="1"/>
  <c r="AQ60" i="9"/>
  <c r="BP62" i="9"/>
  <c r="BP1271" i="1"/>
  <c r="AO436" i="1"/>
  <c r="AO442" i="1" s="1"/>
  <c r="AO480" i="1" s="1"/>
  <c r="AE433" i="1"/>
  <c r="AE436" i="1"/>
  <c r="AE442" i="1" s="1"/>
  <c r="AE480" i="1" s="1"/>
  <c r="BL436" i="1"/>
  <c r="BL442" i="1" s="1"/>
  <c r="BL480" i="1" s="1"/>
  <c r="BL433" i="1"/>
  <c r="AB436" i="1"/>
  <c r="AB442" i="1" s="1"/>
  <c r="AB480" i="1" s="1"/>
  <c r="X34" i="9"/>
  <c r="X598" i="1"/>
  <c r="X394" i="1"/>
  <c r="X467" i="1"/>
  <c r="X472" i="1" s="1"/>
  <c r="X1265" i="1" s="1"/>
  <c r="X402" i="1"/>
  <c r="X61" i="9" s="1"/>
  <c r="X398" i="1"/>
  <c r="AF34" i="9"/>
  <c r="AF63" i="9" s="1"/>
  <c r="AF1190" i="1"/>
  <c r="AF1188" i="1"/>
  <c r="AF1189" i="1"/>
  <c r="AF598" i="1"/>
  <c r="AF398" i="1"/>
  <c r="AF403" i="1"/>
  <c r="AF394" i="1"/>
  <c r="AN34" i="9"/>
  <c r="AN63" i="9" s="1"/>
  <c r="AN1188" i="1"/>
  <c r="AW34" i="9"/>
  <c r="AW598" i="1"/>
  <c r="AW410" i="1"/>
  <c r="AW403" i="1"/>
  <c r="AW467" i="1"/>
  <c r="AW472" i="1" s="1"/>
  <c r="AW402" i="1"/>
  <c r="AW61" i="9" s="1"/>
  <c r="BE34" i="9"/>
  <c r="BE1189" i="1"/>
  <c r="BE1188" i="1"/>
  <c r="BE1190" i="1"/>
  <c r="BE598" i="1"/>
  <c r="BE410" i="1"/>
  <c r="BE402" i="1"/>
  <c r="BE61" i="9" s="1"/>
  <c r="BE467" i="1"/>
  <c r="BE472" i="1" s="1"/>
  <c r="BE409" i="1"/>
  <c r="BE403" i="1"/>
  <c r="BN34" i="9"/>
  <c r="BN1189" i="1"/>
  <c r="BN1188" i="1"/>
  <c r="BN1190" i="1"/>
  <c r="BN598" i="1"/>
  <c r="BN410" i="1"/>
  <c r="BN402" i="1"/>
  <c r="BN61" i="9" s="1"/>
  <c r="BN409" i="1"/>
  <c r="BA472" i="1"/>
  <c r="F38" i="9"/>
  <c r="F398" i="1"/>
  <c r="L479" i="1"/>
  <c r="L411" i="1" s="1"/>
  <c r="L66" i="9" s="1"/>
  <c r="AZ43" i="9"/>
  <c r="J523" i="1"/>
  <c r="AA523" i="1"/>
  <c r="Y524" i="1"/>
  <c r="BM523" i="1"/>
  <c r="BM524" i="1"/>
  <c r="AQ9" i="1"/>
  <c r="BX7" i="1"/>
  <c r="N11" i="1"/>
  <c r="N27" i="9" s="1"/>
  <c r="AB21" i="1"/>
  <c r="H25" i="1"/>
  <c r="AX57" i="1"/>
  <c r="AE177" i="1"/>
  <c r="AE61" i="1"/>
  <c r="AN177" i="1"/>
  <c r="AN61" i="1"/>
  <c r="AD187" i="1"/>
  <c r="AI72" i="1"/>
  <c r="AD62" i="1"/>
  <c r="AD178" i="1" s="1"/>
  <c r="AL72" i="1"/>
  <c r="AL62" i="1"/>
  <c r="AN79" i="1"/>
  <c r="AN164" i="1" s="1"/>
  <c r="BM86" i="1"/>
  <c r="AX126" i="1"/>
  <c r="AX125" i="1"/>
  <c r="N139" i="1"/>
  <c r="V139" i="1"/>
  <c r="V140" i="1"/>
  <c r="V193" i="1"/>
  <c r="AD193" i="1"/>
  <c r="AF139" i="1"/>
  <c r="AD139" i="1"/>
  <c r="AQ140" i="1"/>
  <c r="AL140" i="1"/>
  <c r="AL193" i="1"/>
  <c r="AK139" i="1"/>
  <c r="AR150" i="1"/>
  <c r="AR156" i="1" s="1"/>
  <c r="BB155" i="1"/>
  <c r="BB158" i="1"/>
  <c r="BL9" i="1"/>
  <c r="BL156" i="1"/>
  <c r="BP156" i="1"/>
  <c r="BB157" i="1"/>
  <c r="BL157" i="1"/>
  <c r="AP158" i="1"/>
  <c r="AA150" i="1"/>
  <c r="AA158" i="1" s="1"/>
  <c r="BL155" i="1"/>
  <c r="AG156" i="1"/>
  <c r="BH158" i="1"/>
  <c r="AS167" i="1"/>
  <c r="AS171" i="1" s="1"/>
  <c r="F192" i="1"/>
  <c r="N192" i="1"/>
  <c r="V192" i="1"/>
  <c r="H198" i="1"/>
  <c r="P192" i="1"/>
  <c r="X194" i="1"/>
  <c r="X204" i="1" s="1"/>
  <c r="X21" i="1"/>
  <c r="I240" i="1"/>
  <c r="Q238" i="1"/>
  <c r="Q219" i="1"/>
  <c r="AA217" i="1"/>
  <c r="AA230" i="1"/>
  <c r="AA231" i="1" s="1"/>
  <c r="AJ217" i="1"/>
  <c r="AJ225" i="1"/>
  <c r="AJ226" i="1" s="1"/>
  <c r="AR238" i="1"/>
  <c r="AR219" i="1"/>
  <c r="BK238" i="1"/>
  <c r="BK219" i="1"/>
  <c r="BW225" i="1"/>
  <c r="AT224" i="1"/>
  <c r="E236" i="1"/>
  <c r="D234" i="1"/>
  <c r="AC235" i="1"/>
  <c r="BL261" i="1"/>
  <c r="BL262" i="1" s="1"/>
  <c r="BL268" i="1" s="1"/>
  <c r="BL267" i="1"/>
  <c r="BJ294" i="1"/>
  <c r="BJ295" i="1" s="1"/>
  <c r="BJ301" i="1" s="1"/>
  <c r="BJ300" i="1"/>
  <c r="P60" i="9"/>
  <c r="BI402" i="1"/>
  <c r="BI61" i="9" s="1"/>
  <c r="AZ425" i="1"/>
  <c r="AZ429" i="1" s="1"/>
  <c r="AZ431" i="1" s="1"/>
  <c r="P34" i="9"/>
  <c r="P63" i="9" s="1"/>
  <c r="P1190" i="1"/>
  <c r="P1188" i="1"/>
  <c r="P1189" i="1"/>
  <c r="P598" i="1"/>
  <c r="P403" i="1"/>
  <c r="P402" i="1"/>
  <c r="P61" i="9" s="1"/>
  <c r="P467" i="1"/>
  <c r="P472" i="1" s="1"/>
  <c r="P410" i="1"/>
  <c r="P398" i="1"/>
  <c r="Y34" i="9"/>
  <c r="Y63" i="9" s="1"/>
  <c r="Y1188" i="1"/>
  <c r="Y1189" i="1"/>
  <c r="Y410" i="1"/>
  <c r="Y598" i="1"/>
  <c r="Y402" i="1"/>
  <c r="Y61" i="9" s="1"/>
  <c r="Y467" i="1"/>
  <c r="Y472" i="1" s="1"/>
  <c r="AG34" i="9"/>
  <c r="AG63" i="9" s="1"/>
  <c r="AG1190" i="1"/>
  <c r="AG1188" i="1"/>
  <c r="AG1189" i="1"/>
  <c r="AG598" i="1"/>
  <c r="AG410" i="1"/>
  <c r="AG403" i="1"/>
  <c r="AG398" i="1"/>
  <c r="AG467" i="1"/>
  <c r="AG472" i="1" s="1"/>
  <c r="AG409" i="1"/>
  <c r="AO34" i="9"/>
  <c r="AO1190" i="1"/>
  <c r="AO1189" i="1"/>
  <c r="AO598" i="1"/>
  <c r="AO410" i="1"/>
  <c r="AO467" i="1"/>
  <c r="AO472" i="1" s="1"/>
  <c r="AO398" i="1"/>
  <c r="AO409" i="1"/>
  <c r="AO402" i="1"/>
  <c r="AO61" i="9" s="1"/>
  <c r="AO394" i="1"/>
  <c r="BF34" i="9"/>
  <c r="BF1188" i="1"/>
  <c r="BF1189" i="1"/>
  <c r="BF1190" i="1"/>
  <c r="BF598" i="1"/>
  <c r="BF402" i="1"/>
  <c r="BF61" i="9" s="1"/>
  <c r="BF467" i="1"/>
  <c r="BF472" i="1" s="1"/>
  <c r="BF409" i="1"/>
  <c r="BO34" i="9"/>
  <c r="BO1189" i="1"/>
  <c r="BO1188" i="1"/>
  <c r="BO1190" i="1"/>
  <c r="BO738" i="1"/>
  <c r="BO467" i="1"/>
  <c r="BO472" i="1" s="1"/>
  <c r="BO410" i="1"/>
  <c r="BO402" i="1"/>
  <c r="BO61" i="9" s="1"/>
  <c r="BO398" i="1"/>
  <c r="BO598" i="1"/>
  <c r="BA43" i="9"/>
  <c r="BC7" i="1"/>
  <c r="AN145" i="1"/>
  <c r="AN47" i="1"/>
  <c r="AN62" i="1"/>
  <c r="AN48" i="1"/>
  <c r="AN162" i="1" s="1"/>
  <c r="AN46" i="1"/>
  <c r="BC51" i="1"/>
  <c r="BC163" i="1" s="1"/>
  <c r="BC56" i="1"/>
  <c r="BH58" i="1" s="1"/>
  <c r="BB57" i="1"/>
  <c r="BB58" i="1"/>
  <c r="P61" i="1"/>
  <c r="U61" i="1"/>
  <c r="BU179" i="1"/>
  <c r="AW125" i="1"/>
  <c r="BR128" i="1"/>
  <c r="M193" i="1"/>
  <c r="M194" i="1" s="1"/>
  <c r="M140" i="1"/>
  <c r="M139" i="1"/>
  <c r="R140" i="1"/>
  <c r="AA24" i="1"/>
  <c r="AF26" i="1" s="1"/>
  <c r="AF19" i="9" s="1"/>
  <c r="W61" i="1"/>
  <c r="Z60" i="1"/>
  <c r="Z61" i="1" s="1"/>
  <c r="AB61" i="1"/>
  <c r="AF61" i="1"/>
  <c r="AJ60" i="1"/>
  <c r="AO61" i="1" s="1"/>
  <c r="AF177" i="1"/>
  <c r="AK61" i="1"/>
  <c r="AS86" i="1"/>
  <c r="BU180" i="1"/>
  <c r="BU91" i="1"/>
  <c r="BR94" i="1"/>
  <c r="AV99" i="1"/>
  <c r="AV165" i="1" s="1"/>
  <c r="AV104" i="1"/>
  <c r="BA106" i="1" s="1"/>
  <c r="AS288" i="1"/>
  <c r="AM119" i="1"/>
  <c r="AM166" i="1" s="1"/>
  <c r="AM124" i="1"/>
  <c r="BG119" i="1"/>
  <c r="BG166" i="1" s="1"/>
  <c r="AL139" i="1"/>
  <c r="AS150" i="1"/>
  <c r="BC9" i="1"/>
  <c r="BH11" i="1" s="1"/>
  <c r="BH27" i="9" s="1"/>
  <c r="BC156" i="1"/>
  <c r="BR11" i="1"/>
  <c r="BR27" i="9" s="1"/>
  <c r="AX156" i="1"/>
  <c r="BC157" i="1"/>
  <c r="BS21" i="1"/>
  <c r="AT277" i="1"/>
  <c r="BM189" i="1"/>
  <c r="AA299" i="1"/>
  <c r="AI299" i="1"/>
  <c r="L193" i="1"/>
  <c r="R217" i="1"/>
  <c r="R225" i="1"/>
  <c r="R235" i="1"/>
  <c r="R236" i="1" s="1"/>
  <c r="AF218" i="1"/>
  <c r="AF219" i="1"/>
  <c r="BL238" i="1"/>
  <c r="BL219" i="1"/>
  <c r="L226" i="1"/>
  <c r="U224" i="1"/>
  <c r="U225" i="1"/>
  <c r="AK224" i="1"/>
  <c r="AK225" i="1"/>
  <c r="BA224" i="1"/>
  <c r="BA225" i="1"/>
  <c r="BJ224" i="1"/>
  <c r="BJ225" i="1"/>
  <c r="BJ226" i="1" s="1"/>
  <c r="W229" i="1"/>
  <c r="BP229" i="1"/>
  <c r="E234" i="1"/>
  <c r="AD235" i="1"/>
  <c r="AG240" i="1"/>
  <c r="S247" i="1"/>
  <c r="V250" i="1"/>
  <c r="BJ261" i="1"/>
  <c r="BJ262" i="1" s="1"/>
  <c r="BJ268" i="1" s="1"/>
  <c r="BK294" i="1"/>
  <c r="BK295" i="1" s="1"/>
  <c r="BK301" i="1" s="1"/>
  <c r="BK300" i="1"/>
  <c r="BK311" i="1"/>
  <c r="BB322" i="1"/>
  <c r="BB324" i="1" s="1"/>
  <c r="BB325" i="1" s="1"/>
  <c r="K62" i="9"/>
  <c r="K1271" i="1"/>
  <c r="AW409" i="1"/>
  <c r="AA395" i="1"/>
  <c r="AA425" i="1"/>
  <c r="AA429" i="1" s="1"/>
  <c r="AA431" i="1" s="1"/>
  <c r="AI395" i="1"/>
  <c r="AQ395" i="1"/>
  <c r="AQ425" i="1"/>
  <c r="AQ429" i="1" s="1"/>
  <c r="AQ431" i="1" s="1"/>
  <c r="AU433" i="1"/>
  <c r="AU436" i="1"/>
  <c r="AU442" i="1" s="1"/>
  <c r="AU480" i="1" s="1"/>
  <c r="H34" i="9"/>
  <c r="H598" i="1"/>
  <c r="H403" i="1"/>
  <c r="H402" i="1"/>
  <c r="H61" i="9" s="1"/>
  <c r="H467" i="1"/>
  <c r="H472" i="1" s="1"/>
  <c r="H398" i="1"/>
  <c r="H394" i="1"/>
  <c r="AF467" i="1"/>
  <c r="AF472" i="1" s="1"/>
  <c r="BF37" i="9"/>
  <c r="BF403" i="1"/>
  <c r="BO37" i="9"/>
  <c r="BO403" i="1"/>
  <c r="BF79" i="1"/>
  <c r="BF164" i="1" s="1"/>
  <c r="BF84" i="1"/>
  <c r="BK86" i="1" s="1"/>
  <c r="AS172" i="1"/>
  <c r="R25" i="1"/>
  <c r="AF145" i="1"/>
  <c r="AF47" i="1"/>
  <c r="AF46" i="1"/>
  <c r="AK47" i="1"/>
  <c r="AH63" i="1"/>
  <c r="AH178" i="1"/>
  <c r="BV64" i="1"/>
  <c r="AL86" i="1"/>
  <c r="AN99" i="1"/>
  <c r="AN165" i="1" s="1"/>
  <c r="AN104" i="1"/>
  <c r="BR149" i="1"/>
  <c r="BT121" i="1"/>
  <c r="BR119" i="1"/>
  <c r="BR166" i="1" s="1"/>
  <c r="BR121" i="1"/>
  <c r="AP9" i="1"/>
  <c r="AP155" i="1"/>
  <c r="BR303" i="1"/>
  <c r="BR305" i="1" s="1"/>
  <c r="BR306" i="1" s="1"/>
  <c r="BR312" i="1" s="1"/>
  <c r="BR32" i="1" s="1"/>
  <c r="BR21" i="9" s="1"/>
  <c r="BM311" i="1"/>
  <c r="BL57" i="1"/>
  <c r="BL58" i="1"/>
  <c r="AM84" i="1"/>
  <c r="AN85" i="1" s="1"/>
  <c r="AM79" i="1"/>
  <c r="AM164" i="1" s="1"/>
  <c r="BG86" i="1"/>
  <c r="BH277" i="1"/>
  <c r="BM270" i="1" s="1"/>
  <c r="AD104" i="1"/>
  <c r="AD99" i="1"/>
  <c r="AD165" i="1" s="1"/>
  <c r="AD167" i="1" s="1"/>
  <c r="AG126" i="1"/>
  <c r="BO194" i="1"/>
  <c r="BO204" i="1" s="1"/>
  <c r="AY238" i="1"/>
  <c r="AY219" i="1"/>
  <c r="AV218" i="1"/>
  <c r="BO231" i="1"/>
  <c r="AZ211" i="1"/>
  <c r="AZ212" i="1" s="1"/>
  <c r="AZ214" i="1" s="1"/>
  <c r="AZ250" i="1"/>
  <c r="BP9" i="1"/>
  <c r="AI167" i="1"/>
  <c r="AI169" i="1" s="1"/>
  <c r="AN58" i="1"/>
  <c r="AN57" i="1"/>
  <c r="BM57" i="1"/>
  <c r="BM58" i="1"/>
  <c r="AI85" i="1"/>
  <c r="AI86" i="1"/>
  <c r="BH85" i="1"/>
  <c r="BH86" i="1"/>
  <c r="BP108" i="1"/>
  <c r="BR111" i="1"/>
  <c r="BG126" i="1"/>
  <c r="BL126" i="1"/>
  <c r="BG125" i="1"/>
  <c r="T193" i="1"/>
  <c r="T140" i="1"/>
  <c r="T139" i="1"/>
  <c r="BC140" i="1"/>
  <c r="BE139" i="1"/>
  <c r="BC139" i="1"/>
  <c r="BT9" i="1"/>
  <c r="BP158" i="1"/>
  <c r="BP192" i="1"/>
  <c r="BP195" i="1"/>
  <c r="BB288" i="1"/>
  <c r="AQ183" i="1"/>
  <c r="AQ16" i="1" s="1"/>
  <c r="BC193" i="1"/>
  <c r="BH235" i="1"/>
  <c r="BQ217" i="1"/>
  <c r="BQ225" i="1"/>
  <c r="U212" i="1"/>
  <c r="U214" i="1" s="1"/>
  <c r="U217" i="1"/>
  <c r="AL217" i="1"/>
  <c r="AL212" i="1"/>
  <c r="AL214" i="1" s="1"/>
  <c r="BN212" i="1"/>
  <c r="BN214" i="1" s="1"/>
  <c r="BN217" i="1"/>
  <c r="X240" i="1"/>
  <c r="AH226" i="1"/>
  <c r="J230" i="1"/>
  <c r="O229" i="1"/>
  <c r="AE229" i="1"/>
  <c r="Z230" i="1"/>
  <c r="Z229" i="1"/>
  <c r="AH230" i="1"/>
  <c r="AH229" i="1"/>
  <c r="AR230" i="1"/>
  <c r="AW231" i="1" s="1"/>
  <c r="AR229" i="1"/>
  <c r="AZ230" i="1"/>
  <c r="AZ229" i="1"/>
  <c r="BH230" i="1"/>
  <c r="BH229" i="1"/>
  <c r="BQ230" i="1"/>
  <c r="AK234" i="1"/>
  <c r="AK235" i="1"/>
  <c r="BB234" i="1"/>
  <c r="BB235" i="1"/>
  <c r="BB236" i="1" s="1"/>
  <c r="BT235" i="1"/>
  <c r="BT234" i="1"/>
  <c r="AQ247" i="1"/>
  <c r="BO278" i="1"/>
  <c r="BO272" i="1"/>
  <c r="BO273" i="1" s="1"/>
  <c r="BO279" i="1" s="1"/>
  <c r="BO300" i="1"/>
  <c r="I395" i="1"/>
  <c r="BH318" i="1"/>
  <c r="BH320" i="1" s="1"/>
  <c r="BI320" i="1"/>
  <c r="BK433" i="1"/>
  <c r="R433" i="1"/>
  <c r="R450" i="1"/>
  <c r="R455" i="1" s="1"/>
  <c r="R436" i="1"/>
  <c r="R442" i="1" s="1"/>
  <c r="R480" i="1" s="1"/>
  <c r="BS433" i="1"/>
  <c r="AU112" i="9"/>
  <c r="AU652" i="1"/>
  <c r="AU474" i="1"/>
  <c r="AU479" i="1"/>
  <c r="AU411" i="1" s="1"/>
  <c r="AU66" i="9" s="1"/>
  <c r="AU404" i="1"/>
  <c r="N38" i="9"/>
  <c r="N398" i="1"/>
  <c r="N489" i="1"/>
  <c r="AT489" i="1"/>
  <c r="BB489" i="1"/>
  <c r="BJ489" i="1"/>
  <c r="BR7" i="1"/>
  <c r="BR10" i="1"/>
  <c r="M161" i="1"/>
  <c r="P44" i="1"/>
  <c r="P161" i="1" s="1"/>
  <c r="BQ58" i="1"/>
  <c r="AI63" i="1"/>
  <c r="BH124" i="1"/>
  <c r="BH119" i="1"/>
  <c r="BH166" i="1" s="1"/>
  <c r="AD124" i="1"/>
  <c r="AD125" i="1" s="1"/>
  <c r="BR125" i="1"/>
  <c r="U193" i="1"/>
  <c r="U140" i="1"/>
  <c r="BH24" i="1"/>
  <c r="AO140" i="1"/>
  <c r="BA155" i="1"/>
  <c r="BK9" i="1"/>
  <c r="BK155" i="1"/>
  <c r="Q153" i="1"/>
  <c r="BG158" i="1"/>
  <c r="AQ167" i="1"/>
  <c r="AQ173" i="1" s="1"/>
  <c r="U192" i="1"/>
  <c r="AL288" i="1"/>
  <c r="AR194" i="1"/>
  <c r="AR201" i="1" s="1"/>
  <c r="AR21" i="1"/>
  <c r="V217" i="1"/>
  <c r="V212" i="1"/>
  <c r="V214" i="1" s="1"/>
  <c r="V215" i="1" s="1"/>
  <c r="AU24" i="1"/>
  <c r="AD46" i="1"/>
  <c r="AD145" i="1"/>
  <c r="AI47" i="1"/>
  <c r="AM145" i="1"/>
  <c r="AM154" i="1" s="1"/>
  <c r="AM47" i="1"/>
  <c r="AM62" i="1"/>
  <c r="AM48" i="1"/>
  <c r="AM162" i="1" s="1"/>
  <c r="AM46" i="1"/>
  <c r="BB171" i="1"/>
  <c r="AB51" i="1"/>
  <c r="AB163" i="1" s="1"/>
  <c r="BA58" i="1"/>
  <c r="O61" i="1"/>
  <c r="T61" i="1"/>
  <c r="X61" i="1"/>
  <c r="AC61" i="1"/>
  <c r="AG61" i="1"/>
  <c r="AG177" i="1"/>
  <c r="L61" i="1"/>
  <c r="AW84" i="1"/>
  <c r="BB86" i="1" s="1"/>
  <c r="AL104" i="1"/>
  <c r="AQ106" i="1" s="1"/>
  <c r="AL99" i="1"/>
  <c r="AL165" i="1" s="1"/>
  <c r="AW99" i="1"/>
  <c r="AW165" i="1" s="1"/>
  <c r="AW104" i="1"/>
  <c r="BQ108" i="1"/>
  <c r="BA126" i="1"/>
  <c r="BR122" i="1"/>
  <c r="BR26" i="9" s="1"/>
  <c r="AR125" i="1"/>
  <c r="AS191" i="1"/>
  <c r="AU134" i="1"/>
  <c r="AS134" i="1"/>
  <c r="AN26" i="1"/>
  <c r="AN19" i="9" s="1"/>
  <c r="Z140" i="1"/>
  <c r="AE7" i="1"/>
  <c r="AA7" i="1"/>
  <c r="AB155" i="1"/>
  <c r="AK150" i="1"/>
  <c r="AK153" i="1" s="1"/>
  <c r="BE155" i="1"/>
  <c r="AG9" i="1"/>
  <c r="AP156" i="1"/>
  <c r="AC150" i="1"/>
  <c r="BO156" i="1"/>
  <c r="BO9" i="1"/>
  <c r="BO155" i="1"/>
  <c r="AG158" i="1"/>
  <c r="AD277" i="1"/>
  <c r="AL277" i="1"/>
  <c r="BE192" i="1"/>
  <c r="AD192" i="1"/>
  <c r="N24" i="1"/>
  <c r="AO194" i="1"/>
  <c r="AO205" i="1" s="1"/>
  <c r="D224" i="1"/>
  <c r="E224" i="1"/>
  <c r="D225" i="1"/>
  <c r="D226" i="1" s="1"/>
  <c r="V225" i="1"/>
  <c r="V226" i="1" s="1"/>
  <c r="V224" i="1"/>
  <c r="AD224" i="1"/>
  <c r="AD225" i="1"/>
  <c r="AI224" i="1"/>
  <c r="AL224" i="1"/>
  <c r="AL225" i="1"/>
  <c r="BB225" i="1"/>
  <c r="BB226" i="1" s="1"/>
  <c r="BB224" i="1"/>
  <c r="Z225" i="1"/>
  <c r="Z226" i="1" s="1"/>
  <c r="AO236" i="1"/>
  <c r="AW236" i="1"/>
  <c r="AH238" i="1"/>
  <c r="BL244" i="1"/>
  <c r="BL247" i="1" s="1"/>
  <c r="BN309" i="1"/>
  <c r="BN37" i="1" s="1"/>
  <c r="BQ267" i="1"/>
  <c r="AN410" i="1"/>
  <c r="J420" i="1"/>
  <c r="J462" i="1"/>
  <c r="J409" i="1" s="1"/>
  <c r="J310" i="1"/>
  <c r="AX420" i="1"/>
  <c r="AX310" i="1"/>
  <c r="AX209" i="1"/>
  <c r="D466" i="1"/>
  <c r="D420" i="1"/>
  <c r="AX466" i="1"/>
  <c r="AX213" i="1"/>
  <c r="AX212" i="1" s="1"/>
  <c r="H395" i="1"/>
  <c r="H425" i="1"/>
  <c r="H429" i="1" s="1"/>
  <c r="H431" i="1" s="1"/>
  <c r="K450" i="1"/>
  <c r="K455" i="1" s="1"/>
  <c r="K433" i="1"/>
  <c r="AR433" i="1"/>
  <c r="AR436" i="1"/>
  <c r="AR442" i="1" s="1"/>
  <c r="AR480" i="1" s="1"/>
  <c r="K457" i="1"/>
  <c r="K459" i="1" s="1"/>
  <c r="BN467" i="1"/>
  <c r="BN472" i="1" s="1"/>
  <c r="AX37" i="9"/>
  <c r="AX403" i="1"/>
  <c r="AX62" i="9" s="1"/>
  <c r="R549" i="1"/>
  <c r="I60" i="9"/>
  <c r="AB60" i="9"/>
  <c r="AZ60" i="9"/>
  <c r="BS60" i="9"/>
  <c r="W62" i="9"/>
  <c r="W1271" i="1"/>
  <c r="AJ62" i="9"/>
  <c r="AJ1271" i="1"/>
  <c r="BB62" i="9"/>
  <c r="AS420" i="1"/>
  <c r="AS462" i="1"/>
  <c r="AS1189" i="1" s="1"/>
  <c r="C213" i="1"/>
  <c r="C212" i="1" s="1"/>
  <c r="C214" i="1" s="1"/>
  <c r="C466" i="1"/>
  <c r="C467" i="1" s="1"/>
  <c r="C472" i="1" s="1"/>
  <c r="C420" i="1"/>
  <c r="AS466" i="1"/>
  <c r="AS213" i="1"/>
  <c r="AS212" i="1" s="1"/>
  <c r="AH433" i="1"/>
  <c r="BI425" i="1"/>
  <c r="BI429" i="1" s="1"/>
  <c r="BI431" i="1" s="1"/>
  <c r="BI395" i="1"/>
  <c r="BQ425" i="1"/>
  <c r="BQ429" i="1" s="1"/>
  <c r="BQ431" i="1" s="1"/>
  <c r="BQ395" i="1"/>
  <c r="AN424" i="1"/>
  <c r="AN425" i="1" s="1"/>
  <c r="AN429" i="1" s="1"/>
  <c r="AN431" i="1" s="1"/>
  <c r="AN470" i="1"/>
  <c r="AN228" i="1"/>
  <c r="O223" i="1"/>
  <c r="O424" i="1"/>
  <c r="O469" i="1"/>
  <c r="BM223" i="1"/>
  <c r="BR224" i="1" s="1"/>
  <c r="BM424" i="1"/>
  <c r="BM425" i="1" s="1"/>
  <c r="BM429" i="1" s="1"/>
  <c r="BM431" i="1" s="1"/>
  <c r="AX233" i="1"/>
  <c r="AX424" i="1"/>
  <c r="T990" i="1"/>
  <c r="T757" i="1"/>
  <c r="W54" i="9"/>
  <c r="W988" i="1"/>
  <c r="AP436" i="1"/>
  <c r="AP442" i="1" s="1"/>
  <c r="AP480" i="1" s="1"/>
  <c r="BI438" i="1"/>
  <c r="F62" i="9"/>
  <c r="F1271" i="1"/>
  <c r="AV34" i="9"/>
  <c r="AV598" i="1"/>
  <c r="AV738" i="1"/>
  <c r="AV402" i="1"/>
  <c r="AV61" i="9" s="1"/>
  <c r="AV403" i="1"/>
  <c r="AV467" i="1"/>
  <c r="AV472" i="1" s="1"/>
  <c r="BD34" i="9"/>
  <c r="BD63" i="9" s="1"/>
  <c r="BD1190" i="1"/>
  <c r="BD1189" i="1"/>
  <c r="BD1188" i="1"/>
  <c r="BD598" i="1"/>
  <c r="BD394" i="1"/>
  <c r="BD402" i="1"/>
  <c r="BD61" i="9" s="1"/>
  <c r="BM34" i="9"/>
  <c r="BM1189" i="1"/>
  <c r="BM1190" i="1"/>
  <c r="BM1188" i="1"/>
  <c r="BM410" i="1"/>
  <c r="BM598" i="1"/>
  <c r="AR472" i="1"/>
  <c r="BM467" i="1"/>
  <c r="M38" i="9"/>
  <c r="M398" i="1"/>
  <c r="AE38" i="9"/>
  <c r="AE398" i="1"/>
  <c r="AM38" i="9"/>
  <c r="AM398" i="1"/>
  <c r="AV63" i="9"/>
  <c r="BM469" i="1"/>
  <c r="AZ36" i="9"/>
  <c r="AZ402" i="1"/>
  <c r="AZ61" i="9" s="1"/>
  <c r="BH36" i="9"/>
  <c r="BP36" i="9"/>
  <c r="BP402" i="1"/>
  <c r="BP61" i="9" s="1"/>
  <c r="C1184" i="1"/>
  <c r="C409" i="1"/>
  <c r="K1184" i="1"/>
  <c r="K1168" i="1"/>
  <c r="K1179" i="1" s="1"/>
  <c r="K409" i="1"/>
  <c r="S1184" i="1"/>
  <c r="S1168" i="1"/>
  <c r="S409" i="1"/>
  <c r="AA1184" i="1"/>
  <c r="AA1168" i="1"/>
  <c r="AA1170" i="1" s="1"/>
  <c r="AA409" i="1"/>
  <c r="AI1184" i="1"/>
  <c r="AI1168" i="1"/>
  <c r="AI409" i="1"/>
  <c r="AQ1184" i="1"/>
  <c r="AQ1168" i="1"/>
  <c r="AQ409" i="1"/>
  <c r="AY1168" i="1"/>
  <c r="AY1179" i="1" s="1"/>
  <c r="AY1184" i="1"/>
  <c r="AY409" i="1"/>
  <c r="BG1184" i="1"/>
  <c r="BG1168" i="1"/>
  <c r="BG409" i="1"/>
  <c r="BO1184" i="1"/>
  <c r="BO1168" i="1"/>
  <c r="BO409" i="1"/>
  <c r="N40" i="9"/>
  <c r="N757" i="1"/>
  <c r="N990" i="1"/>
  <c r="AG40" i="9"/>
  <c r="AG990" i="1"/>
  <c r="AG757" i="1"/>
  <c r="AP40" i="9"/>
  <c r="AP990" i="1"/>
  <c r="O538" i="1"/>
  <c r="O550" i="1" s="1"/>
  <c r="AV26" i="1"/>
  <c r="AV19" i="9" s="1"/>
  <c r="BG58" i="1"/>
  <c r="BR57" i="1"/>
  <c r="BR99" i="1"/>
  <c r="BR165" i="1" s="1"/>
  <c r="BT181" i="1"/>
  <c r="AZ134" i="1"/>
  <c r="AX134" i="1"/>
  <c r="W139" i="1"/>
  <c r="AR140" i="1"/>
  <c r="AM193" i="1"/>
  <c r="AE140" i="1"/>
  <c r="AV150" i="1"/>
  <c r="AV157" i="1" s="1"/>
  <c r="AZ156" i="1"/>
  <c r="BH156" i="1"/>
  <c r="V161" i="1"/>
  <c r="BQ183" i="1"/>
  <c r="BQ16" i="1" s="1"/>
  <c r="O192" i="1"/>
  <c r="AZ266" i="1"/>
  <c r="BE288" i="1"/>
  <c r="BJ281" i="1" s="1"/>
  <c r="BE195" i="1"/>
  <c r="BN195" i="1"/>
  <c r="AW21" i="1"/>
  <c r="AE194" i="1"/>
  <c r="AE202" i="1" s="1"/>
  <c r="AW194" i="1"/>
  <c r="AW204" i="1" s="1"/>
  <c r="K231" i="1"/>
  <c r="AB217" i="1"/>
  <c r="AK217" i="1"/>
  <c r="AS209" i="1"/>
  <c r="AO212" i="1"/>
  <c r="AO214" i="1" s="1"/>
  <c r="AO215" i="1" s="1"/>
  <c r="AJ230" i="1"/>
  <c r="AO231" i="1" s="1"/>
  <c r="BA230" i="1"/>
  <c r="BA231" i="1" s="1"/>
  <c r="AH247" i="1"/>
  <c r="AN244" i="1"/>
  <c r="AM250" i="1"/>
  <c r="AX254" i="1"/>
  <c r="AX256" i="1" s="1"/>
  <c r="BD374" i="1"/>
  <c r="AQ62" i="9"/>
  <c r="AQ1271" i="1"/>
  <c r="BH462" i="1"/>
  <c r="BH402" i="1" s="1"/>
  <c r="BH61" i="9" s="1"/>
  <c r="BH213" i="1"/>
  <c r="BH212" i="1" s="1"/>
  <c r="BH214" i="1" s="1"/>
  <c r="BH215" i="1" s="1"/>
  <c r="BH466" i="1"/>
  <c r="AF436" i="1"/>
  <c r="AF442" i="1" s="1"/>
  <c r="AF480" i="1" s="1"/>
  <c r="Z34" i="9"/>
  <c r="Z1189" i="1"/>
  <c r="Z1190" i="1"/>
  <c r="Z1188" i="1"/>
  <c r="Z403" i="1"/>
  <c r="Z398" i="1"/>
  <c r="Z402" i="1"/>
  <c r="Z61" i="9" s="1"/>
  <c r="Z467" i="1"/>
  <c r="Z472" i="1" s="1"/>
  <c r="Z598" i="1"/>
  <c r="AP34" i="9"/>
  <c r="AP1190" i="1"/>
  <c r="AP1189" i="1"/>
  <c r="AP398" i="1"/>
  <c r="AP598" i="1"/>
  <c r="AY34" i="9"/>
  <c r="AY1190" i="1"/>
  <c r="AY1189" i="1"/>
  <c r="AY738" i="1"/>
  <c r="AY467" i="1"/>
  <c r="AY472" i="1" s="1"/>
  <c r="AY598" i="1"/>
  <c r="AY403" i="1"/>
  <c r="AY398" i="1"/>
  <c r="AM35" i="9"/>
  <c r="AM467" i="1"/>
  <c r="AM472" i="1" s="1"/>
  <c r="T36" i="9"/>
  <c r="BQ37" i="9"/>
  <c r="BQ403" i="1"/>
  <c r="AP757" i="1"/>
  <c r="AH219" i="1"/>
  <c r="H244" i="1"/>
  <c r="H247" i="1" s="1"/>
  <c r="G250" i="1"/>
  <c r="BL272" i="1"/>
  <c r="BL273" i="1" s="1"/>
  <c r="BL279" i="1" s="1"/>
  <c r="AV288" i="1"/>
  <c r="AS310" i="1"/>
  <c r="AT374" i="1"/>
  <c r="T462" i="1"/>
  <c r="X1190" i="1" s="1"/>
  <c r="X1194" i="1" s="1"/>
  <c r="T420" i="1"/>
  <c r="BE236" i="1"/>
  <c r="BM244" i="1"/>
  <c r="BL250" i="1"/>
  <c r="BN374" i="1"/>
  <c r="Q60" i="9"/>
  <c r="L62" i="9"/>
  <c r="L1271" i="1"/>
  <c r="BM409" i="1"/>
  <c r="J213" i="1"/>
  <c r="J212" i="1" s="1"/>
  <c r="J214" i="1" s="1"/>
  <c r="O215" i="1" s="1"/>
  <c r="J466" i="1"/>
  <c r="Q425" i="1"/>
  <c r="Q429" i="1" s="1"/>
  <c r="Q431" i="1" s="1"/>
  <c r="BF433" i="1"/>
  <c r="BF436" i="1"/>
  <c r="BF442" i="1" s="1"/>
  <c r="BF480" i="1" s="1"/>
  <c r="I34" i="9"/>
  <c r="I598" i="1"/>
  <c r="I410" i="1"/>
  <c r="I467" i="1"/>
  <c r="I472" i="1" s="1"/>
  <c r="I1265" i="1" s="1"/>
  <c r="I398" i="1"/>
  <c r="I409" i="1"/>
  <c r="Q34" i="9"/>
  <c r="Q1188" i="1"/>
  <c r="Q1189" i="1"/>
  <c r="Q1190" i="1"/>
  <c r="Q410" i="1"/>
  <c r="Q403" i="1"/>
  <c r="Q402" i="1"/>
  <c r="Q61" i="9" s="1"/>
  <c r="Q467" i="1"/>
  <c r="Q472" i="1" s="1"/>
  <c r="Q398" i="1"/>
  <c r="AH34" i="9"/>
  <c r="AH63" i="9" s="1"/>
  <c r="AH1190" i="1"/>
  <c r="AH1188" i="1"/>
  <c r="AH1189" i="1"/>
  <c r="AH598" i="1"/>
  <c r="AH403" i="1"/>
  <c r="AH398" i="1"/>
  <c r="AH410" i="1"/>
  <c r="BG34" i="9"/>
  <c r="BG1190" i="1"/>
  <c r="BG1189" i="1"/>
  <c r="BG738" i="1"/>
  <c r="BG598" i="1"/>
  <c r="BG467" i="1"/>
  <c r="BG472" i="1" s="1"/>
  <c r="BG403" i="1"/>
  <c r="BE35" i="9"/>
  <c r="BE394" i="1"/>
  <c r="M472" i="1"/>
  <c r="AB36" i="9"/>
  <c r="AB402" i="1"/>
  <c r="AB61" i="9" s="1"/>
  <c r="AP37" i="9"/>
  <c r="AP403" i="1"/>
  <c r="BH37" i="9"/>
  <c r="Q61" i="1"/>
  <c r="AX188" i="1"/>
  <c r="AZ74" i="1"/>
  <c r="AX74" i="1"/>
  <c r="AS75" i="1"/>
  <c r="AS14" i="9" s="1"/>
  <c r="AG172" i="1"/>
  <c r="BG105" i="1"/>
  <c r="BU108" i="1"/>
  <c r="BT109" i="1"/>
  <c r="BC190" i="1"/>
  <c r="BE114" i="1"/>
  <c r="BC114" i="1"/>
  <c r="BU120" i="1"/>
  <c r="BC191" i="1"/>
  <c r="BC135" i="1"/>
  <c r="BC17" i="9" s="1"/>
  <c r="BC134" i="1"/>
  <c r="H205" i="1"/>
  <c r="G150" i="1"/>
  <c r="G152" i="1" s="1"/>
  <c r="AF150" i="1"/>
  <c r="AL158" i="1"/>
  <c r="BL158" i="1"/>
  <c r="AA192" i="1"/>
  <c r="T229" i="1"/>
  <c r="F234" i="1"/>
  <c r="F235" i="1"/>
  <c r="F236" i="1" s="1"/>
  <c r="Y244" i="1"/>
  <c r="X250" i="1"/>
  <c r="AW244" i="1"/>
  <c r="AW247" i="1" s="1"/>
  <c r="AV250" i="1"/>
  <c r="AI254" i="1"/>
  <c r="AI256" i="1" s="1"/>
  <c r="BP310" i="1"/>
  <c r="BP311" i="1" s="1"/>
  <c r="BP306" i="1"/>
  <c r="BP312" i="1" s="1"/>
  <c r="BP32" i="1" s="1"/>
  <c r="BP21" i="9" s="1"/>
  <c r="S60" i="9"/>
  <c r="AR62" i="9"/>
  <c r="T233" i="1"/>
  <c r="T471" i="1"/>
  <c r="T41" i="9"/>
  <c r="AX489" i="1"/>
  <c r="AX438" i="1"/>
  <c r="AY438" i="1" s="1"/>
  <c r="BM437" i="1"/>
  <c r="BN437" i="1" s="1"/>
  <c r="R34" i="9"/>
  <c r="R1189" i="1"/>
  <c r="R1190" i="1"/>
  <c r="R1188" i="1"/>
  <c r="R598" i="1"/>
  <c r="R403" i="1"/>
  <c r="R402" i="1"/>
  <c r="R61" i="9" s="1"/>
  <c r="R467" i="1"/>
  <c r="R472" i="1" s="1"/>
  <c r="AI34" i="9"/>
  <c r="AI1190" i="1"/>
  <c r="AI1188" i="1"/>
  <c r="AI738" i="1"/>
  <c r="AI598" i="1"/>
  <c r="AI410" i="1"/>
  <c r="W35" i="9"/>
  <c r="W394" i="1"/>
  <c r="D36" i="9"/>
  <c r="D402" i="1"/>
  <c r="D61" i="9" s="1"/>
  <c r="D1" i="9"/>
  <c r="D1397" i="1"/>
  <c r="D1367" i="1"/>
  <c r="D515" i="1"/>
  <c r="E2" i="9"/>
  <c r="E5" i="11"/>
  <c r="E5" i="13"/>
  <c r="L21" i="1"/>
  <c r="J28" i="1"/>
  <c r="K44" i="1"/>
  <c r="K161" i="1" s="1"/>
  <c r="G161" i="1"/>
  <c r="AH46" i="1"/>
  <c r="AQ58" i="1"/>
  <c r="BG51" i="1"/>
  <c r="BG163" i="1" s="1"/>
  <c r="BG57" i="1"/>
  <c r="BC75" i="1"/>
  <c r="BC14" i="9" s="1"/>
  <c r="AE84" i="1"/>
  <c r="AS95" i="1"/>
  <c r="AS15" i="9" s="1"/>
  <c r="AU94" i="1"/>
  <c r="BB106" i="1"/>
  <c r="AS105" i="1"/>
  <c r="BH190" i="1"/>
  <c r="BH115" i="1"/>
  <c r="BH16" i="9" s="1"/>
  <c r="BJ114" i="1"/>
  <c r="BB174" i="1"/>
  <c r="BH191" i="1"/>
  <c r="BH192" i="1" s="1"/>
  <c r="BM135" i="1"/>
  <c r="BM17" i="9" s="1"/>
  <c r="BJ134" i="1"/>
  <c r="BH134" i="1"/>
  <c r="BE134" i="1"/>
  <c r="AX135" i="1"/>
  <c r="AX17" i="9" s="1"/>
  <c r="O139" i="1"/>
  <c r="H150" i="1"/>
  <c r="P150" i="1"/>
  <c r="P152" i="1" s="1"/>
  <c r="X150" i="1"/>
  <c r="X152" i="1" s="1"/>
  <c r="Z153" i="1"/>
  <c r="AK154" i="1"/>
  <c r="AB156" i="1"/>
  <c r="AG157" i="1"/>
  <c r="AP157" i="1"/>
  <c r="AX157" i="1"/>
  <c r="AM158" i="1"/>
  <c r="J150" i="1"/>
  <c r="J9" i="1" s="1"/>
  <c r="AI150" i="1"/>
  <c r="AI155" i="1" s="1"/>
  <c r="AW150" i="1"/>
  <c r="AW156" i="1" s="1"/>
  <c r="AH177" i="1"/>
  <c r="Y192" i="1"/>
  <c r="AR195" i="1"/>
  <c r="BB266" i="1"/>
  <c r="BB195" i="1"/>
  <c r="AG288" i="1"/>
  <c r="AF299" i="1"/>
  <c r="AN299" i="1"/>
  <c r="S192" i="1"/>
  <c r="AG192" i="1"/>
  <c r="AZ192" i="1"/>
  <c r="W193" i="1"/>
  <c r="W194" i="1" s="1"/>
  <c r="W197" i="1" s="1"/>
  <c r="E217" i="1"/>
  <c r="AM217" i="1"/>
  <c r="AU235" i="1"/>
  <c r="AU236" i="1" s="1"/>
  <c r="AU217" i="1"/>
  <c r="F212" i="1"/>
  <c r="F214" i="1" s="1"/>
  <c r="F215" i="1" s="1"/>
  <c r="BT217" i="1"/>
  <c r="R224" i="1"/>
  <c r="Z224" i="1"/>
  <c r="AH224" i="1"/>
  <c r="AP224" i="1"/>
  <c r="BG225" i="1"/>
  <c r="BG226" i="1" s="1"/>
  <c r="BG224" i="1"/>
  <c r="AJ224" i="1"/>
  <c r="BC225" i="1"/>
  <c r="E229" i="1"/>
  <c r="F229" i="1"/>
  <c r="M230" i="1"/>
  <c r="U230" i="1"/>
  <c r="U231" i="1" s="1"/>
  <c r="AU230" i="1"/>
  <c r="BC230" i="1"/>
  <c r="BK230" i="1"/>
  <c r="BK231" i="1" s="1"/>
  <c r="BK229" i="1"/>
  <c r="BT229" i="1"/>
  <c r="M229" i="1"/>
  <c r="AS229" i="1"/>
  <c r="BG235" i="1"/>
  <c r="BO235" i="1"/>
  <c r="BO236" i="1" s="1"/>
  <c r="BO234" i="1"/>
  <c r="AM235" i="1"/>
  <c r="AM236" i="1" s="1"/>
  <c r="AJ244" i="1"/>
  <c r="AJ247" i="1" s="1"/>
  <c r="BO250" i="1"/>
  <c r="BP244" i="1"/>
  <c r="BP247" i="1" s="1"/>
  <c r="BS288" i="1"/>
  <c r="BP294" i="1"/>
  <c r="BP295" i="1" s="1"/>
  <c r="BP301" i="1" s="1"/>
  <c r="AV299" i="1"/>
  <c r="T310" i="1"/>
  <c r="BQ310" i="1"/>
  <c r="BG322" i="1"/>
  <c r="BG324" i="1" s="1"/>
  <c r="BG325" i="1" s="1"/>
  <c r="BJ318" i="1"/>
  <c r="BJ320" i="1" s="1"/>
  <c r="BJ322" i="1" s="1"/>
  <c r="BJ324" i="1" s="1"/>
  <c r="BJ325" i="1" s="1"/>
  <c r="AW361" i="1"/>
  <c r="AM368" i="1"/>
  <c r="P381" i="1"/>
  <c r="F394" i="1"/>
  <c r="AV394" i="1"/>
  <c r="BK60" i="9"/>
  <c r="AZ395" i="1"/>
  <c r="AV398" i="1"/>
  <c r="BM402" i="1"/>
  <c r="BM61" i="9" s="1"/>
  <c r="AT62" i="9"/>
  <c r="AT1271" i="1"/>
  <c r="BK62" i="9"/>
  <c r="BK1271" i="1"/>
  <c r="AV410" i="1"/>
  <c r="AV395" i="1"/>
  <c r="AV425" i="1"/>
  <c r="AV429" i="1" s="1"/>
  <c r="AV431" i="1" s="1"/>
  <c r="BN433" i="1"/>
  <c r="T424" i="1"/>
  <c r="BR437" i="1"/>
  <c r="BR485" i="1"/>
  <c r="BR41" i="9" s="1"/>
  <c r="J43" i="9"/>
  <c r="BC438" i="1"/>
  <c r="BD438" i="1" s="1"/>
  <c r="BC489" i="1"/>
  <c r="AH436" i="1"/>
  <c r="AH442" i="1" s="1"/>
  <c r="AH480" i="1" s="1"/>
  <c r="AS437" i="1"/>
  <c r="AT437" i="1" s="1"/>
  <c r="BS437" i="1"/>
  <c r="A1358" i="1"/>
  <c r="A29" i="1"/>
  <c r="G35" i="9"/>
  <c r="G467" i="1"/>
  <c r="G472" i="1" s="1"/>
  <c r="AP35" i="9"/>
  <c r="AP394" i="1"/>
  <c r="U472" i="1"/>
  <c r="BD467" i="1"/>
  <c r="BD472" i="1" s="1"/>
  <c r="S38" i="9"/>
  <c r="S398" i="1"/>
  <c r="BJ38" i="9"/>
  <c r="BJ398" i="1"/>
  <c r="AA37" i="9"/>
  <c r="AA403" i="1"/>
  <c r="BE40" i="9"/>
  <c r="BE990" i="1"/>
  <c r="BE757" i="1"/>
  <c r="A4" i="11"/>
  <c r="B1418" i="1"/>
  <c r="BZ1390" i="1"/>
  <c r="BZ1021" i="1" s="1"/>
  <c r="BL1390" i="1"/>
  <c r="BL1021" i="1" s="1"/>
  <c r="BA1390" i="1"/>
  <c r="BA1021" i="1" s="1"/>
  <c r="AM1390" i="1"/>
  <c r="AM1021" i="1" s="1"/>
  <c r="Y1390" i="1"/>
  <c r="Y1021" i="1" s="1"/>
  <c r="N1390" i="1"/>
  <c r="N1021" i="1" s="1"/>
  <c r="CE1383" i="1"/>
  <c r="BT1383" i="1"/>
  <c r="BT1019" i="1" s="1"/>
  <c r="BF1383" i="1"/>
  <c r="BF1019" i="1" s="1"/>
  <c r="AR1383" i="1"/>
  <c r="AR1019" i="1" s="1"/>
  <c r="AG1383" i="1"/>
  <c r="AG1019" i="1" s="1"/>
  <c r="S1383" i="1"/>
  <c r="S1019" i="1" s="1"/>
  <c r="H1383" i="1"/>
  <c r="H1019" i="1" s="1"/>
  <c r="BY1376" i="1"/>
  <c r="BK1376" i="1"/>
  <c r="BK1018" i="1" s="1"/>
  <c r="AZ1376" i="1"/>
  <c r="AZ1018" i="1" s="1"/>
  <c r="AL1376" i="1"/>
  <c r="AL1018" i="1" s="1"/>
  <c r="AA1376" i="1"/>
  <c r="AA1018" i="1" s="1"/>
  <c r="M1376" i="1"/>
  <c r="M1018" i="1" s="1"/>
  <c r="CD1369" i="1"/>
  <c r="BS1369" i="1"/>
  <c r="BS1017" i="1" s="1"/>
  <c r="BE1369" i="1"/>
  <c r="BE1017" i="1" s="1"/>
  <c r="AT1369" i="1"/>
  <c r="AT1017" i="1" s="1"/>
  <c r="AF1369" i="1"/>
  <c r="AF1017" i="1" s="1"/>
  <c r="R1369" i="1"/>
  <c r="R1017" i="1" s="1"/>
  <c r="G1369" i="1"/>
  <c r="G1017" i="1" s="1"/>
  <c r="A4" i="13"/>
  <c r="BY1390" i="1"/>
  <c r="BY1021" i="1" s="1"/>
  <c r="BK1390" i="1"/>
  <c r="BK1021" i="1" s="1"/>
  <c r="AW1390" i="1"/>
  <c r="AW1021" i="1" s="1"/>
  <c r="AL1390" i="1"/>
  <c r="AL1021" i="1" s="1"/>
  <c r="X1390" i="1"/>
  <c r="X1021" i="1" s="1"/>
  <c r="M1390" i="1"/>
  <c r="M1021" i="1" s="1"/>
  <c r="CD1383" i="1"/>
  <c r="BP1383" i="1"/>
  <c r="BP1019" i="1" s="1"/>
  <c r="BE1383" i="1"/>
  <c r="BE1019" i="1" s="1"/>
  <c r="AQ1383" i="1"/>
  <c r="AF1383" i="1"/>
  <c r="AF1019" i="1" s="1"/>
  <c r="R1383" i="1"/>
  <c r="R1019" i="1" s="1"/>
  <c r="D1383" i="1"/>
  <c r="D1019" i="1" s="1"/>
  <c r="BX1376" i="1"/>
  <c r="BJ1376" i="1"/>
  <c r="BJ1018" i="1" s="1"/>
  <c r="AY1376" i="1"/>
  <c r="AY1018" i="1" s="1"/>
  <c r="AK1376" i="1"/>
  <c r="AK1018" i="1" s="1"/>
  <c r="W1376" i="1"/>
  <c r="W1018" i="1" s="1"/>
  <c r="L1376" i="1"/>
  <c r="L1018" i="1" s="1"/>
  <c r="CC1369" i="1"/>
  <c r="BR1369" i="1"/>
  <c r="BR1017" i="1" s="1"/>
  <c r="BD1369" i="1"/>
  <c r="BD1017" i="1" s="1"/>
  <c r="AP1369" i="1"/>
  <c r="AP1017" i="1" s="1"/>
  <c r="AE1369" i="1"/>
  <c r="AE1017" i="1" s="1"/>
  <c r="Q1369" i="1"/>
  <c r="Q1017" i="1" s="1"/>
  <c r="F1369" i="1"/>
  <c r="F1017" i="1" s="1"/>
  <c r="BT1390" i="1"/>
  <c r="BT1021" i="1" s="1"/>
  <c r="BI1390" i="1"/>
  <c r="BI1021" i="1" s="1"/>
  <c r="AU1390" i="1"/>
  <c r="AU1021" i="1" s="1"/>
  <c r="AG1390" i="1"/>
  <c r="AG1021" i="1" s="1"/>
  <c r="V1390" i="1"/>
  <c r="V1021" i="1" s="1"/>
  <c r="H1390" i="1"/>
  <c r="H1021" i="1" s="1"/>
  <c r="CB1383" i="1"/>
  <c r="BN1383" i="1"/>
  <c r="BN1019" i="1" s="1"/>
  <c r="AZ1383" i="1"/>
  <c r="AZ1019" i="1" s="1"/>
  <c r="AO1383" i="1"/>
  <c r="AO1019" i="1" s="1"/>
  <c r="AA1383" i="1"/>
  <c r="AA1019" i="1" s="1"/>
  <c r="P1383" i="1"/>
  <c r="P1019" i="1" s="1"/>
  <c r="A1383" i="1"/>
  <c r="BS1376" i="1"/>
  <c r="BS1018" i="1" s="1"/>
  <c r="BH1376" i="1"/>
  <c r="BH1018" i="1" s="1"/>
  <c r="AT1376" i="1"/>
  <c r="AT1018" i="1" s="1"/>
  <c r="AI1376" i="1"/>
  <c r="AI1018" i="1" s="1"/>
  <c r="U1376" i="1"/>
  <c r="U1018" i="1" s="1"/>
  <c r="G1376" i="1"/>
  <c r="G1018" i="1" s="1"/>
  <c r="CA1369" i="1"/>
  <c r="BM1369" i="1"/>
  <c r="BM1017" i="1" s="1"/>
  <c r="BB1369" i="1"/>
  <c r="BB1017" i="1" s="1"/>
  <c r="AN1369" i="1"/>
  <c r="AN1017" i="1" s="1"/>
  <c r="Z1369" i="1"/>
  <c r="Z1017" i="1" s="1"/>
  <c r="O1369" i="1"/>
  <c r="O1017" i="1" s="1"/>
  <c r="BU1390" i="1"/>
  <c r="BU1021" i="1" s="1"/>
  <c r="BC1390" i="1"/>
  <c r="BC1021" i="1" s="1"/>
  <c r="AF1390" i="1"/>
  <c r="AF1021" i="1" s="1"/>
  <c r="O1390" i="1"/>
  <c r="O1021" i="1" s="1"/>
  <c r="BW1383" i="1"/>
  <c r="BD1383" i="1"/>
  <c r="BD1019" i="1" s="1"/>
  <c r="AI1383" i="1"/>
  <c r="L1383" i="1"/>
  <c r="L1019" i="1" s="1"/>
  <c r="BZ1376" i="1"/>
  <c r="BC1376" i="1"/>
  <c r="BC1018" i="1" s="1"/>
  <c r="AJ1376" i="1"/>
  <c r="AJ1018" i="1" s="1"/>
  <c r="O1376" i="1"/>
  <c r="O1018" i="1" s="1"/>
  <c r="BZ1369" i="1"/>
  <c r="BF1369" i="1"/>
  <c r="BF1017" i="1" s="1"/>
  <c r="AL1369" i="1"/>
  <c r="AL1017" i="1" s="1"/>
  <c r="P1369" i="1"/>
  <c r="P1017" i="1" s="1"/>
  <c r="BS1390" i="1"/>
  <c r="BS1021" i="1" s="1"/>
  <c r="BB1390" i="1"/>
  <c r="BB1021" i="1" s="1"/>
  <c r="AE1390" i="1"/>
  <c r="AE1021" i="1" s="1"/>
  <c r="I1390" i="1"/>
  <c r="I1021" i="1" s="1"/>
  <c r="BV1383" i="1"/>
  <c r="AY1383" i="1"/>
  <c r="AY1019" i="1" s="1"/>
  <c r="AH1383" i="1"/>
  <c r="AH1019" i="1" s="1"/>
  <c r="K1383" i="1"/>
  <c r="BW1376" i="1"/>
  <c r="BB1376" i="1"/>
  <c r="BB1018" i="1" s="1"/>
  <c r="AE1376" i="1"/>
  <c r="AE1018" i="1" s="1"/>
  <c r="N1376" i="1"/>
  <c r="N1018" i="1" s="1"/>
  <c r="BV1369" i="1"/>
  <c r="BC1369" i="1"/>
  <c r="BC1017" i="1" s="1"/>
  <c r="AH1369" i="1"/>
  <c r="AH1017" i="1" s="1"/>
  <c r="N1369" i="1"/>
  <c r="N1017" i="1" s="1"/>
  <c r="BR1390" i="1"/>
  <c r="BR1021" i="1" s="1"/>
  <c r="AV1390" i="1"/>
  <c r="AV1021" i="1" s="1"/>
  <c r="AD1390" i="1"/>
  <c r="AD1021" i="1" s="1"/>
  <c r="G1390" i="1"/>
  <c r="G1021" i="1" s="1"/>
  <c r="BU1383" i="1"/>
  <c r="AX1383" i="1"/>
  <c r="AX1019" i="1" s="1"/>
  <c r="AB1383" i="1"/>
  <c r="AB1019" i="1" s="1"/>
  <c r="J1383" i="1"/>
  <c r="J1019" i="1" s="1"/>
  <c r="BR1376" i="1"/>
  <c r="BR1018" i="1" s="1"/>
  <c r="BA1376" i="1"/>
  <c r="BA1018" i="1" s="1"/>
  <c r="AD1376" i="1"/>
  <c r="AD1018" i="1" s="1"/>
  <c r="K1376" i="1"/>
  <c r="K1018" i="1" s="1"/>
  <c r="BU1369" i="1"/>
  <c r="AX1369" i="1"/>
  <c r="AX1017" i="1" s="1"/>
  <c r="AG1369" i="1"/>
  <c r="AG1017" i="1" s="1"/>
  <c r="J1369" i="1"/>
  <c r="J1017" i="1" s="1"/>
  <c r="BQ1390" i="1"/>
  <c r="BQ1021" i="1" s="1"/>
  <c r="AN1390" i="1"/>
  <c r="AN1021" i="1" s="1"/>
  <c r="E1390" i="1"/>
  <c r="E1021" i="1" s="1"/>
  <c r="BG1383" i="1"/>
  <c r="BG1019" i="1" s="1"/>
  <c r="X1383" i="1"/>
  <c r="X1019" i="1" s="1"/>
  <c r="BQ1376" i="1"/>
  <c r="BQ1018" i="1" s="1"/>
  <c r="AQ1376" i="1"/>
  <c r="AQ1018" i="1" s="1"/>
  <c r="E1376" i="1"/>
  <c r="E1018" i="1" s="1"/>
  <c r="BJ1369" i="1"/>
  <c r="BJ1017" i="1" s="1"/>
  <c r="X1369" i="1"/>
  <c r="X1017" i="1" s="1"/>
  <c r="BM1390" i="1"/>
  <c r="BM1021" i="1" s="1"/>
  <c r="AK1390" i="1"/>
  <c r="AK1021" i="1" s="1"/>
  <c r="CF1383" i="1"/>
  <c r="AW1383" i="1"/>
  <c r="AW1019" i="1" s="1"/>
  <c r="T1383" i="1"/>
  <c r="T1019" i="1" s="1"/>
  <c r="BP1376" i="1"/>
  <c r="BP1018" i="1" s="1"/>
  <c r="AM1376" i="1"/>
  <c r="AM1018" i="1" s="1"/>
  <c r="D1376" i="1"/>
  <c r="D1018" i="1" s="1"/>
  <c r="AW1369" i="1"/>
  <c r="AW1017" i="1" s="1"/>
  <c r="W1369" i="1"/>
  <c r="W1017" i="1" s="1"/>
  <c r="BJ1390" i="1"/>
  <c r="BJ1021" i="1" s="1"/>
  <c r="AC1390" i="1"/>
  <c r="AC1021" i="1" s="1"/>
  <c r="CC1383" i="1"/>
  <c r="AV1383" i="1"/>
  <c r="AV1019" i="1" s="1"/>
  <c r="Q1383" i="1"/>
  <c r="Q1019" i="1" s="1"/>
  <c r="BO1376" i="1"/>
  <c r="BO1018" i="1" s="1"/>
  <c r="AC1376" i="1"/>
  <c r="AC1018" i="1" s="1"/>
  <c r="C1376" i="1"/>
  <c r="C1018" i="1" s="1"/>
  <c r="AV1369" i="1"/>
  <c r="AV1017" i="1" s="1"/>
  <c r="V1369" i="1"/>
  <c r="V1017" i="1" s="1"/>
  <c r="BD1390" i="1"/>
  <c r="BD1021" i="1" s="1"/>
  <c r="U1390" i="1"/>
  <c r="U1021" i="1" s="1"/>
  <c r="BO1383" i="1"/>
  <c r="AN1383" i="1"/>
  <c r="AN1019" i="1" s="1"/>
  <c r="C1383" i="1"/>
  <c r="BG1376" i="1"/>
  <c r="BG1018" i="1" s="1"/>
  <c r="V1376" i="1"/>
  <c r="V1018" i="1" s="1"/>
  <c r="BT1369" i="1"/>
  <c r="BT1017" i="1" s="1"/>
  <c r="BX941" i="1" s="1"/>
  <c r="AO1369" i="1"/>
  <c r="AO1017" i="1" s="1"/>
  <c r="H1369" i="1"/>
  <c r="H1017" i="1" s="1"/>
  <c r="CC1390" i="1"/>
  <c r="CC1021" i="1" s="1"/>
  <c r="Q1390" i="1"/>
  <c r="Q1021" i="1" s="1"/>
  <c r="AJ1383" i="1"/>
  <c r="AJ1019" i="1" s="1"/>
  <c r="AU1376" i="1"/>
  <c r="AU1018" i="1" s="1"/>
  <c r="BN1369" i="1"/>
  <c r="BN1017" i="1" s="1"/>
  <c r="A1369" i="1"/>
  <c r="CB1390" i="1"/>
  <c r="CB1021" i="1" s="1"/>
  <c r="P1390" i="1"/>
  <c r="P1021" i="1" s="1"/>
  <c r="Z1383" i="1"/>
  <c r="Z1019" i="1" s="1"/>
  <c r="AS1376" i="1"/>
  <c r="AS1018" i="1" s="1"/>
  <c r="BL1369" i="1"/>
  <c r="BL1017" i="1" s="1"/>
  <c r="AO1390" i="1"/>
  <c r="AO1021" i="1" s="1"/>
  <c r="Y1383" i="1"/>
  <c r="Y1019" i="1" s="1"/>
  <c r="T1376" i="1"/>
  <c r="T1018" i="1" s="1"/>
  <c r="Y1369" i="1"/>
  <c r="Y1017" i="1" s="1"/>
  <c r="F1390" i="1"/>
  <c r="F1021" i="1" s="1"/>
  <c r="CF1376" i="1"/>
  <c r="F1376" i="1"/>
  <c r="F1018" i="1" s="1"/>
  <c r="BX1383" i="1"/>
  <c r="CE1376" i="1"/>
  <c r="CB1369" i="1"/>
  <c r="CA1390" i="1"/>
  <c r="CA1021" i="1" s="1"/>
  <c r="BM1383" i="1"/>
  <c r="BM1019" i="1" s="1"/>
  <c r="CA1376" i="1"/>
  <c r="BK1369" i="1"/>
  <c r="BK1017" i="1" s="1"/>
  <c r="BE1390" i="1"/>
  <c r="BE1021" i="1" s="1"/>
  <c r="BL1383" i="1"/>
  <c r="BL1019" i="1" s="1"/>
  <c r="BI1376" i="1"/>
  <c r="BI1018" i="1" s="1"/>
  <c r="AU1369" i="1"/>
  <c r="AU1017" i="1" s="1"/>
  <c r="AT1390" i="1"/>
  <c r="AT1021" i="1" s="1"/>
  <c r="BH1383" i="1"/>
  <c r="BH1019" i="1" s="1"/>
  <c r="AR1376" i="1"/>
  <c r="AR1018" i="1" s="1"/>
  <c r="AM1369" i="1"/>
  <c r="AM1017" i="1" s="1"/>
  <c r="AP1383" i="1"/>
  <c r="AP1019" i="1" s="1"/>
  <c r="I1383" i="1"/>
  <c r="I1019" i="1" s="1"/>
  <c r="AB1376" i="1"/>
  <c r="AB1018" i="1" s="1"/>
  <c r="S1376" i="1"/>
  <c r="S1018" i="1" s="1"/>
  <c r="AD1369" i="1"/>
  <c r="AD1017" i="1" s="1"/>
  <c r="AS1390" i="1"/>
  <c r="AS1021" i="1" s="1"/>
  <c r="W1390" i="1"/>
  <c r="W1021" i="1" s="1"/>
  <c r="I1369" i="1"/>
  <c r="I1017" i="1" s="1"/>
  <c r="N35" i="9"/>
  <c r="N394" i="1"/>
  <c r="BN35" i="9"/>
  <c r="BN394" i="1"/>
  <c r="L36" i="9"/>
  <c r="L402" i="1"/>
  <c r="L61" i="9" s="1"/>
  <c r="AK36" i="9"/>
  <c r="AK402" i="1"/>
  <c r="AK61" i="9" s="1"/>
  <c r="AC43" i="9"/>
  <c r="AO43" i="9"/>
  <c r="B4" i="11"/>
  <c r="B4" i="13"/>
  <c r="AW26" i="1"/>
  <c r="AW19" i="9" s="1"/>
  <c r="AI48" i="1"/>
  <c r="AI162" i="1" s="1"/>
  <c r="BP51" i="1"/>
  <c r="BP163" i="1" s="1"/>
  <c r="AH187" i="1"/>
  <c r="AM72" i="1"/>
  <c r="BR85" i="1"/>
  <c r="BR86" i="1"/>
  <c r="AI125" i="1"/>
  <c r="AA166" i="1"/>
  <c r="AE119" i="1"/>
  <c r="AE166" i="1" s="1"/>
  <c r="W150" i="1"/>
  <c r="W152" i="1" s="1"/>
  <c r="BQ157" i="1"/>
  <c r="AQ266" i="1"/>
  <c r="AQ195" i="1"/>
  <c r="BR192" i="1"/>
  <c r="AF288" i="1"/>
  <c r="Q192" i="1"/>
  <c r="D217" i="1"/>
  <c r="AC217" i="1"/>
  <c r="AH218" i="1" s="1"/>
  <c r="BT212" i="1"/>
  <c r="L230" i="1"/>
  <c r="Q231" i="1" s="1"/>
  <c r="N234" i="1"/>
  <c r="N235" i="1"/>
  <c r="N236" i="1" s="1"/>
  <c r="AH236" i="1"/>
  <c r="Q244" i="1"/>
  <c r="Q247" i="1" s="1"/>
  <c r="P250" i="1"/>
  <c r="BE244" i="1"/>
  <c r="BE247" i="1" s="1"/>
  <c r="BD250" i="1"/>
  <c r="N62" i="9"/>
  <c r="N1271" i="1"/>
  <c r="Y1271" i="1"/>
  <c r="Y209" i="1"/>
  <c r="Y214" i="1" s="1"/>
  <c r="AD215" i="1" s="1"/>
  <c r="Y310" i="1"/>
  <c r="AS990" i="1"/>
  <c r="AS757" i="1"/>
  <c r="AG436" i="1"/>
  <c r="AG442" i="1" s="1"/>
  <c r="AG480" i="1" s="1"/>
  <c r="AA34" i="9"/>
  <c r="AA63" i="9" s="1"/>
  <c r="AA1189" i="1"/>
  <c r="AA1188" i="1"/>
  <c r="AA1190" i="1"/>
  <c r="AA738" i="1"/>
  <c r="AA598" i="1"/>
  <c r="AA467" i="1"/>
  <c r="AA472" i="1" s="1"/>
  <c r="AA402" i="1"/>
  <c r="AA61" i="9" s="1"/>
  <c r="AE35" i="9"/>
  <c r="AE467" i="1"/>
  <c r="AE472" i="1" s="1"/>
  <c r="BF35" i="9"/>
  <c r="BF394" i="1"/>
  <c r="AH467" i="1"/>
  <c r="AH472" i="1" s="1"/>
  <c r="C2" i="11"/>
  <c r="C2" i="13"/>
  <c r="E4" i="1"/>
  <c r="F5" i="1"/>
  <c r="AJ23" i="1"/>
  <c r="AJ18" i="9" s="1"/>
  <c r="AU28" i="1"/>
  <c r="P24" i="1"/>
  <c r="BG26" i="1"/>
  <c r="BG19" i="9" s="1"/>
  <c r="AH58" i="1"/>
  <c r="AH57" i="1"/>
  <c r="AR58" i="1"/>
  <c r="AR57" i="1"/>
  <c r="BH51" i="1"/>
  <c r="BH163" i="1" s="1"/>
  <c r="BH57" i="1"/>
  <c r="AC62" i="1"/>
  <c r="AC178" i="1" s="1"/>
  <c r="BQ64" i="1"/>
  <c r="AH72" i="1"/>
  <c r="BC74" i="1"/>
  <c r="BL86" i="1"/>
  <c r="AC85" i="1"/>
  <c r="AQ84" i="1"/>
  <c r="BP91" i="1"/>
  <c r="AS106" i="1"/>
  <c r="BL104" i="1"/>
  <c r="BQ106" i="1" s="1"/>
  <c r="BO114" i="1"/>
  <c r="BM114" i="1"/>
  <c r="BC115" i="1"/>
  <c r="BC16" i="9" s="1"/>
  <c r="BM125" i="1"/>
  <c r="AL124" i="1"/>
  <c r="BK124" i="1"/>
  <c r="BP126" i="1" s="1"/>
  <c r="BH135" i="1"/>
  <c r="BH17" i="9" s="1"/>
  <c r="W140" i="1"/>
  <c r="I152" i="1"/>
  <c r="Q152" i="1"/>
  <c r="BH155" i="1"/>
  <c r="BP155" i="1"/>
  <c r="Y150" i="1"/>
  <c r="Y9" i="1" s="1"/>
  <c r="AM153" i="1"/>
  <c r="BQ158" i="1"/>
  <c r="BL167" i="1"/>
  <c r="BL173" i="1" s="1"/>
  <c r="BP180" i="1"/>
  <c r="AT195" i="1"/>
  <c r="AT192" i="1"/>
  <c r="BC188" i="1"/>
  <c r="BT195" i="1"/>
  <c r="AB277" i="1"/>
  <c r="AH288" i="1"/>
  <c r="AH195" i="1"/>
  <c r="AX191" i="1"/>
  <c r="BB192" i="1"/>
  <c r="BT192" i="1"/>
  <c r="AZ24" i="1"/>
  <c r="BE26" i="1" s="1"/>
  <c r="BE19" i="9" s="1"/>
  <c r="AJ195" i="1"/>
  <c r="BR195" i="1"/>
  <c r="BJ212" i="1"/>
  <c r="BJ214" i="1" s="1"/>
  <c r="BR219" i="1"/>
  <c r="W217" i="1"/>
  <c r="BC217" i="1"/>
  <c r="S225" i="1"/>
  <c r="S226" i="1" s="1"/>
  <c r="S224" i="1"/>
  <c r="AA225" i="1"/>
  <c r="AA224" i="1"/>
  <c r="AI225" i="1"/>
  <c r="AQ225" i="1"/>
  <c r="AY225" i="1"/>
  <c r="AY226" i="1" s="1"/>
  <c r="AY224" i="1"/>
  <c r="E225" i="1"/>
  <c r="AM230" i="1"/>
  <c r="AM229" i="1"/>
  <c r="AU229" i="1"/>
  <c r="AC230" i="1"/>
  <c r="AC231" i="1" s="1"/>
  <c r="BP235" i="1"/>
  <c r="BI244" i="1"/>
  <c r="BI247" i="1" s="1"/>
  <c r="BS266" i="1"/>
  <c r="BS271" i="1"/>
  <c r="BP272" i="1"/>
  <c r="BP273" i="1" s="1"/>
  <c r="BP279" i="1" s="1"/>
  <c r="AJ277" i="1"/>
  <c r="BR272" i="1"/>
  <c r="BR273" i="1" s="1"/>
  <c r="BR279" i="1" s="1"/>
  <c r="BR310" i="1"/>
  <c r="BR311" i="1" s="1"/>
  <c r="BK318" i="1"/>
  <c r="BK320" i="1" s="1"/>
  <c r="BK322" i="1" s="1"/>
  <c r="BK324" i="1" s="1"/>
  <c r="BK325" i="1" s="1"/>
  <c r="AO361" i="1"/>
  <c r="AY361" i="1"/>
  <c r="BI361" i="1"/>
  <c r="BS361" i="1"/>
  <c r="AY368" i="1"/>
  <c r="BI368" i="1"/>
  <c r="U381" i="1"/>
  <c r="AG381" i="1"/>
  <c r="G60" i="9"/>
  <c r="V394" i="1"/>
  <c r="AM394" i="1"/>
  <c r="AW394" i="1"/>
  <c r="BL60" i="9"/>
  <c r="C398" i="1"/>
  <c r="V398" i="1"/>
  <c r="AY402" i="1"/>
  <c r="AY61" i="9" s="1"/>
  <c r="C62" i="9"/>
  <c r="C1271" i="1"/>
  <c r="AU62" i="9"/>
  <c r="AU1271" i="1"/>
  <c r="BL62" i="9"/>
  <c r="BL1271" i="1"/>
  <c r="Q409" i="1"/>
  <c r="R410" i="1"/>
  <c r="W412" i="1"/>
  <c r="E425" i="1"/>
  <c r="E429" i="1" s="1"/>
  <c r="E431" i="1" s="1"/>
  <c r="E395" i="1"/>
  <c r="N425" i="1"/>
  <c r="N429" i="1" s="1"/>
  <c r="N431" i="1" s="1"/>
  <c r="X395" i="1"/>
  <c r="X425" i="1"/>
  <c r="X429" i="1" s="1"/>
  <c r="X431" i="1" s="1"/>
  <c r="BG395" i="1"/>
  <c r="BG425" i="1"/>
  <c r="BG429" i="1" s="1"/>
  <c r="BG431" i="1" s="1"/>
  <c r="BO395" i="1"/>
  <c r="BO425" i="1"/>
  <c r="BO429" i="1" s="1"/>
  <c r="BO431" i="1" s="1"/>
  <c r="AN471" i="1"/>
  <c r="AN375" i="1"/>
  <c r="AN374" i="1" s="1"/>
  <c r="J437" i="1"/>
  <c r="J483" i="1"/>
  <c r="BC990" i="1"/>
  <c r="BC757" i="1"/>
  <c r="AY439" i="1"/>
  <c r="BN440" i="1"/>
  <c r="J441" i="1"/>
  <c r="Y35" i="9"/>
  <c r="Y394" i="1"/>
  <c r="AG35" i="9"/>
  <c r="AG394" i="1"/>
  <c r="W467" i="1"/>
  <c r="W472" i="1" s="1"/>
  <c r="S37" i="9"/>
  <c r="S403" i="1"/>
  <c r="X410" i="1"/>
  <c r="AF410" i="1"/>
  <c r="BD410" i="1"/>
  <c r="AW40" i="9"/>
  <c r="AW757" i="1"/>
  <c r="AW990" i="1"/>
  <c r="BF40" i="9"/>
  <c r="BF990" i="1"/>
  <c r="BF757" i="1"/>
  <c r="BN40" i="9"/>
  <c r="BN990" i="1"/>
  <c r="BN991" i="1" s="1"/>
  <c r="BN757" i="1"/>
  <c r="D43" i="9"/>
  <c r="AV550" i="1"/>
  <c r="Q598" i="1"/>
  <c r="BF25" i="1"/>
  <c r="BA26" i="1"/>
  <c r="BA19" i="9" s="1"/>
  <c r="AG62" i="1"/>
  <c r="AG48" i="1"/>
  <c r="AG162" i="1" s="1"/>
  <c r="AG170" i="1" s="1"/>
  <c r="AH48" i="1"/>
  <c r="AH162" i="1" s="1"/>
  <c r="BP58" i="1"/>
  <c r="AD56" i="1"/>
  <c r="AD57" i="1" s="1"/>
  <c r="AS266" i="1"/>
  <c r="AS195" i="1"/>
  <c r="BM85" i="1"/>
  <c r="BH106" i="1"/>
  <c r="BH105" i="1"/>
  <c r="AH125" i="1"/>
  <c r="AD150" i="1"/>
  <c r="AD156" i="1" s="1"/>
  <c r="O150" i="1"/>
  <c r="O152" i="1" s="1"/>
  <c r="AN150" i="1"/>
  <c r="AW157" i="1"/>
  <c r="BC158" i="1"/>
  <c r="AH150" i="1"/>
  <c r="AH154" i="1" s="1"/>
  <c r="AI195" i="1"/>
  <c r="AI192" i="1"/>
  <c r="AW195" i="1"/>
  <c r="L217" i="1"/>
  <c r="T209" i="1"/>
  <c r="T217" i="1" s="1"/>
  <c r="AP212" i="1"/>
  <c r="AP214" i="1" s="1"/>
  <c r="AP215" i="1" s="1"/>
  <c r="BO238" i="1"/>
  <c r="BO218" i="1"/>
  <c r="Q224" i="1"/>
  <c r="BO225" i="1"/>
  <c r="BT224" i="1"/>
  <c r="BO224" i="1"/>
  <c r="D230" i="1"/>
  <c r="D231" i="1" s="1"/>
  <c r="D229" i="1"/>
  <c r="AB230" i="1"/>
  <c r="AG231" i="1" s="1"/>
  <c r="AB229" i="1"/>
  <c r="BS230" i="1"/>
  <c r="BS231" i="1" s="1"/>
  <c r="BS229" i="1"/>
  <c r="L229" i="1"/>
  <c r="BF229" i="1"/>
  <c r="BT230" i="1"/>
  <c r="AT231" i="1"/>
  <c r="X235" i="1"/>
  <c r="X234" i="1"/>
  <c r="AF235" i="1"/>
  <c r="AF234" i="1"/>
  <c r="L247" i="1"/>
  <c r="I244" i="1"/>
  <c r="I247" i="1" s="1"/>
  <c r="H250" i="1"/>
  <c r="AG244" i="1"/>
  <c r="AG247" i="1" s="1"/>
  <c r="AF250" i="1"/>
  <c r="BN304" i="1"/>
  <c r="BN305" i="1" s="1"/>
  <c r="BT267" i="1"/>
  <c r="BL310" i="1"/>
  <c r="AK374" i="1"/>
  <c r="BJ60" i="9"/>
  <c r="AE62" i="9"/>
  <c r="AE1271" i="1"/>
  <c r="BM209" i="1"/>
  <c r="BR233" i="1"/>
  <c r="BR471" i="1"/>
  <c r="J424" i="1"/>
  <c r="AS424" i="1"/>
  <c r="G433" i="1"/>
  <c r="G457" i="1"/>
  <c r="G459" i="1" s="1"/>
  <c r="G450" i="1"/>
  <c r="G455" i="1" s="1"/>
  <c r="AQ34" i="9"/>
  <c r="AQ63" i="9" s="1"/>
  <c r="AQ1190" i="1"/>
  <c r="AQ1189" i="1"/>
  <c r="AQ738" i="1"/>
  <c r="AQ598" i="1"/>
  <c r="AQ467" i="1"/>
  <c r="AQ472" i="1" s="1"/>
  <c r="AQ410" i="1"/>
  <c r="BO35" i="9"/>
  <c r="BO394" i="1"/>
  <c r="A3" i="13"/>
  <c r="A3" i="11"/>
  <c r="AY21" i="1"/>
  <c r="AE24" i="1"/>
  <c r="AE26" i="1" s="1"/>
  <c r="AE19" i="9" s="1"/>
  <c r="AL145" i="1"/>
  <c r="AL154" i="1" s="1"/>
  <c r="AL47" i="1"/>
  <c r="AL48" i="1"/>
  <c r="AL162" i="1" s="1"/>
  <c r="AI57" i="1"/>
  <c r="V61" i="1"/>
  <c r="AM177" i="1"/>
  <c r="AM61" i="1"/>
  <c r="AK187" i="1"/>
  <c r="AK72" i="1"/>
  <c r="BM195" i="1"/>
  <c r="BC86" i="1"/>
  <c r="BQ88" i="1"/>
  <c r="BQ85" i="1"/>
  <c r="BT180" i="1"/>
  <c r="BX88" i="1"/>
  <c r="BA99" i="1"/>
  <c r="BA165" i="1" s="1"/>
  <c r="BF106" i="1"/>
  <c r="BF126" i="1"/>
  <c r="BA119" i="1"/>
  <c r="BA166" i="1" s="1"/>
  <c r="K140" i="1"/>
  <c r="S193" i="1"/>
  <c r="S140" i="1"/>
  <c r="AA140" i="1"/>
  <c r="AI140" i="1"/>
  <c r="AX193" i="1"/>
  <c r="AZ139" i="1"/>
  <c r="AX139" i="1"/>
  <c r="AI139" i="1"/>
  <c r="X140" i="1"/>
  <c r="T153" i="1"/>
  <c r="AB153" i="1"/>
  <c r="AB154" i="1"/>
  <c r="BQ155" i="1"/>
  <c r="AX158" i="1"/>
  <c r="BO158" i="1"/>
  <c r="L150" i="1"/>
  <c r="L153" i="1" s="1"/>
  <c r="AD266" i="1"/>
  <c r="AL192" i="1"/>
  <c r="AU194" i="1"/>
  <c r="AU205" i="1" s="1"/>
  <c r="BD195" i="1"/>
  <c r="BD192" i="1"/>
  <c r="BL195" i="1"/>
  <c r="AC277" i="1"/>
  <c r="AS189" i="1"/>
  <c r="AS192" i="1" s="1"/>
  <c r="AY299" i="1"/>
  <c r="BI299" i="1"/>
  <c r="BN292" i="1" s="1"/>
  <c r="BN294" i="1" s="1"/>
  <c r="BN295" i="1" s="1"/>
  <c r="BN301" i="1" s="1"/>
  <c r="G192" i="1"/>
  <c r="K193" i="1"/>
  <c r="AL195" i="1"/>
  <c r="AZ195" i="1"/>
  <c r="G217" i="1"/>
  <c r="O236" i="1"/>
  <c r="AT215" i="1"/>
  <c r="BS214" i="1"/>
  <c r="BS215" i="1" s="1"/>
  <c r="K225" i="1"/>
  <c r="K226" i="1" s="1"/>
  <c r="AR225" i="1"/>
  <c r="AR226" i="1" s="1"/>
  <c r="AZ225" i="1"/>
  <c r="BN229" i="1"/>
  <c r="BI230" i="1"/>
  <c r="BI231" i="1" s="1"/>
  <c r="CB230" i="1"/>
  <c r="AQ234" i="1"/>
  <c r="BE234" i="1"/>
  <c r="AZ247" i="1"/>
  <c r="AB247" i="1"/>
  <c r="AU250" i="1"/>
  <c r="BN250" i="1"/>
  <c r="AJ266" i="1"/>
  <c r="BO267" i="1"/>
  <c r="AK277" i="1"/>
  <c r="BK278" i="1"/>
  <c r="BT281" i="1"/>
  <c r="BT283" i="1" s="1"/>
  <c r="BT284" i="1" s="1"/>
  <c r="BT290" i="1" s="1"/>
  <c r="BF288" i="1"/>
  <c r="BK281" i="1" s="1"/>
  <c r="BR292" i="1"/>
  <c r="BR294" i="1" s="1"/>
  <c r="BR295" i="1" s="1"/>
  <c r="BR301" i="1" s="1"/>
  <c r="BJ310" i="1"/>
  <c r="AZ361" i="1"/>
  <c r="AA394" i="1"/>
  <c r="AY394" i="1"/>
  <c r="W398" i="1"/>
  <c r="V62" i="9"/>
  <c r="V1271" i="1"/>
  <c r="AI403" i="1"/>
  <c r="AI62" i="9" s="1"/>
  <c r="AZ403" i="1"/>
  <c r="BM403" i="1"/>
  <c r="BM62" i="9" s="1"/>
  <c r="AY410" i="1"/>
  <c r="F425" i="1"/>
  <c r="F429" i="1" s="1"/>
  <c r="F431" i="1" s="1"/>
  <c r="F395" i="1"/>
  <c r="P395" i="1"/>
  <c r="P425" i="1"/>
  <c r="P429" i="1" s="1"/>
  <c r="P431" i="1" s="1"/>
  <c r="Y420" i="1"/>
  <c r="BH420" i="1"/>
  <c r="BP425" i="1"/>
  <c r="BP429" i="1" s="1"/>
  <c r="BP431" i="1" s="1"/>
  <c r="AI470" i="1"/>
  <c r="AI424" i="1"/>
  <c r="AI425" i="1" s="1"/>
  <c r="AI429" i="1" s="1"/>
  <c r="AI431" i="1" s="1"/>
  <c r="AI228" i="1"/>
  <c r="AI238" i="1" s="1"/>
  <c r="J223" i="1"/>
  <c r="J225" i="1" s="1"/>
  <c r="J469" i="1"/>
  <c r="BH38" i="9"/>
  <c r="BH398" i="1"/>
  <c r="AS37" i="9"/>
  <c r="BN320" i="1"/>
  <c r="BM318" i="1"/>
  <c r="BM320" i="1" s="1"/>
  <c r="BM322" i="1" s="1"/>
  <c r="BM324" i="1" s="1"/>
  <c r="BM325" i="1" s="1"/>
  <c r="W433" i="1"/>
  <c r="G436" i="1"/>
  <c r="G442" i="1" s="1"/>
  <c r="AY437" i="1"/>
  <c r="AL1271" i="1"/>
  <c r="BT404" i="1"/>
  <c r="BT474" i="1"/>
  <c r="AP467" i="1"/>
  <c r="AP472" i="1" s="1"/>
  <c r="BL112" i="9"/>
  <c r="BL652" i="1"/>
  <c r="BL404" i="1"/>
  <c r="BL1273" i="1" s="1"/>
  <c r="BL474" i="1"/>
  <c r="BL487" i="1"/>
  <c r="BL503" i="1" s="1"/>
  <c r="BL479" i="1"/>
  <c r="BL411" i="1" s="1"/>
  <c r="BL66" i="9" s="1"/>
  <c r="AD38" i="9"/>
  <c r="AD398" i="1"/>
  <c r="BT38" i="9"/>
  <c r="BT398" i="1"/>
  <c r="J1168" i="1"/>
  <c r="J1184" i="1"/>
  <c r="R1184" i="1"/>
  <c r="R1168" i="1"/>
  <c r="R409" i="1"/>
  <c r="Z1168" i="1"/>
  <c r="Z1179" i="1" s="1"/>
  <c r="Z1184" i="1"/>
  <c r="AH1168" i="1"/>
  <c r="AH1184" i="1"/>
  <c r="AP1168" i="1"/>
  <c r="AP1184" i="1"/>
  <c r="AP409" i="1"/>
  <c r="AX1184" i="1"/>
  <c r="AX1168" i="1"/>
  <c r="AX409" i="1"/>
  <c r="BF1184" i="1"/>
  <c r="BF1168" i="1"/>
  <c r="BN1184" i="1"/>
  <c r="BN1168" i="1"/>
  <c r="BN1179" i="1" s="1"/>
  <c r="D40" i="9"/>
  <c r="D990" i="1"/>
  <c r="D991" i="1" s="1"/>
  <c r="D757" i="1"/>
  <c r="AF761" i="1"/>
  <c r="AO40" i="9"/>
  <c r="AO757" i="1"/>
  <c r="AO990" i="1"/>
  <c r="AO991" i="1" s="1"/>
  <c r="AX990" i="1"/>
  <c r="AX757" i="1"/>
  <c r="BG40" i="9"/>
  <c r="BG990" i="1"/>
  <c r="BG757" i="1"/>
  <c r="BO40" i="9"/>
  <c r="BO990" i="1"/>
  <c r="BO757" i="1"/>
  <c r="BK43" i="9"/>
  <c r="AE48" i="9"/>
  <c r="BS48" i="9"/>
  <c r="AL550" i="1"/>
  <c r="AO538" i="1"/>
  <c r="BT80" i="9"/>
  <c r="BT773" i="1"/>
  <c r="AN986" i="1"/>
  <c r="BD986" i="1"/>
  <c r="AV866" i="1"/>
  <c r="AC974" i="1"/>
  <c r="AC972" i="1"/>
  <c r="AC984" i="1"/>
  <c r="BF105" i="9"/>
  <c r="BF1001" i="1"/>
  <c r="BF977" i="1" s="1"/>
  <c r="BF1256" i="1"/>
  <c r="BC36" i="9"/>
  <c r="BK36" i="9"/>
  <c r="BK402" i="1"/>
  <c r="BK61" i="9" s="1"/>
  <c r="BS36" i="9"/>
  <c r="BS402" i="1"/>
  <c r="BS61" i="9" s="1"/>
  <c r="BA37" i="9"/>
  <c r="BA403" i="1"/>
  <c r="BI37" i="9"/>
  <c r="BI403" i="1"/>
  <c r="D1184" i="1"/>
  <c r="D1168" i="1"/>
  <c r="L1184" i="1"/>
  <c r="L1168" i="1"/>
  <c r="L1170" i="1" s="1"/>
  <c r="T1184" i="1"/>
  <c r="T1168" i="1"/>
  <c r="T1170" i="1" s="1"/>
  <c r="AB1184" i="1"/>
  <c r="AB1168" i="1"/>
  <c r="AJ1184" i="1"/>
  <c r="AJ1168" i="1"/>
  <c r="AR1184" i="1"/>
  <c r="AR1168" i="1"/>
  <c r="AR1170" i="1" s="1"/>
  <c r="AZ1184" i="1"/>
  <c r="AZ1168" i="1"/>
  <c r="AZ1170" i="1" s="1"/>
  <c r="BH1184" i="1"/>
  <c r="BH1168" i="1"/>
  <c r="BP1184" i="1"/>
  <c r="BP1168" i="1"/>
  <c r="Q40" i="9"/>
  <c r="Q990" i="1"/>
  <c r="Q757" i="1"/>
  <c r="Y757" i="1"/>
  <c r="Y990" i="1"/>
  <c r="AH40" i="9"/>
  <c r="AH990" i="1"/>
  <c r="AH757" i="1"/>
  <c r="AQ40" i="9"/>
  <c r="AQ990" i="1"/>
  <c r="AQ757" i="1"/>
  <c r="AY40" i="9"/>
  <c r="AY990" i="1"/>
  <c r="AY991" i="1" s="1"/>
  <c r="AY757" i="1"/>
  <c r="BH990" i="1"/>
  <c r="BH757" i="1"/>
  <c r="BP40" i="9"/>
  <c r="BP990" i="1"/>
  <c r="BP757" i="1"/>
  <c r="AE43" i="9"/>
  <c r="P48" i="9"/>
  <c r="BD48" i="9"/>
  <c r="AD538" i="1"/>
  <c r="AD550" i="1" s="1"/>
  <c r="BR538" i="1"/>
  <c r="BS538" i="1" s="1"/>
  <c r="J539" i="1"/>
  <c r="K539" i="1" s="1"/>
  <c r="J551" i="1"/>
  <c r="Y539" i="1"/>
  <c r="Y551" i="1" s="1"/>
  <c r="BM539" i="1"/>
  <c r="BM551" i="1" s="1"/>
  <c r="AX540" i="1"/>
  <c r="AY540" i="1" s="1"/>
  <c r="AH552" i="1"/>
  <c r="AJ540" i="1"/>
  <c r="C34" i="9"/>
  <c r="C1188" i="1"/>
  <c r="C1190" i="1"/>
  <c r="C1189" i="1"/>
  <c r="C738" i="1"/>
  <c r="K34" i="9"/>
  <c r="K63" i="9" s="1"/>
  <c r="K1189" i="1"/>
  <c r="K1188" i="1"/>
  <c r="K738" i="1"/>
  <c r="K1190" i="1"/>
  <c r="K598" i="1"/>
  <c r="K467" i="1"/>
  <c r="K472" i="1" s="1"/>
  <c r="S34" i="9"/>
  <c r="S1189" i="1"/>
  <c r="S1190" i="1"/>
  <c r="S1188" i="1"/>
  <c r="S738" i="1"/>
  <c r="S598" i="1"/>
  <c r="S467" i="1"/>
  <c r="S472" i="1" s="1"/>
  <c r="BI34" i="9"/>
  <c r="BI63" i="9" s="1"/>
  <c r="BI1190" i="1"/>
  <c r="BI1189" i="1"/>
  <c r="BI738" i="1"/>
  <c r="BI398" i="1"/>
  <c r="BI394" i="1"/>
  <c r="BI598" i="1"/>
  <c r="BQ34" i="9"/>
  <c r="BQ63" i="9" s="1"/>
  <c r="BQ1190" i="1"/>
  <c r="BQ1188" i="1"/>
  <c r="BQ1189" i="1"/>
  <c r="BQ738" i="1"/>
  <c r="BQ598" i="1"/>
  <c r="BQ398" i="1"/>
  <c r="BQ394" i="1"/>
  <c r="R35" i="9"/>
  <c r="R394" i="1"/>
  <c r="Z35" i="9"/>
  <c r="Z394" i="1"/>
  <c r="AH35" i="9"/>
  <c r="AH394" i="1"/>
  <c r="AK472" i="1"/>
  <c r="BQ467" i="1"/>
  <c r="BQ472" i="1" s="1"/>
  <c r="X63" i="9"/>
  <c r="AW63" i="9"/>
  <c r="BN38" i="9"/>
  <c r="BN63" i="9" s="1"/>
  <c r="BN398" i="1"/>
  <c r="R40" i="9"/>
  <c r="R990" i="1"/>
  <c r="R757" i="1"/>
  <c r="Z40" i="9"/>
  <c r="Z990" i="1"/>
  <c r="Z991" i="1" s="1"/>
  <c r="Z757" i="1"/>
  <c r="BK41" i="9"/>
  <c r="BS41" i="9"/>
  <c r="G43" i="9"/>
  <c r="BD43" i="9"/>
  <c r="AO48" i="9"/>
  <c r="BX496" i="1"/>
  <c r="M538" i="1"/>
  <c r="AL549" i="1"/>
  <c r="CA602" i="1"/>
  <c r="CA605" i="1"/>
  <c r="CA464" i="1"/>
  <c r="CA30" i="1" s="1"/>
  <c r="AC607" i="1"/>
  <c r="AC599" i="1"/>
  <c r="AC600" i="1" s="1"/>
  <c r="AR70" i="9"/>
  <c r="AR72" i="9" s="1"/>
  <c r="AR723" i="1"/>
  <c r="AR740" i="1"/>
  <c r="AR741" i="1" s="1"/>
  <c r="AR742" i="1" s="1"/>
  <c r="AR743" i="1" s="1"/>
  <c r="AQ80" i="9"/>
  <c r="AQ773" i="1"/>
  <c r="J986" i="1"/>
  <c r="Z986" i="1"/>
  <c r="AH986" i="1"/>
  <c r="AP982" i="1"/>
  <c r="AP984" i="1" s="1"/>
  <c r="AP838" i="1"/>
  <c r="AX838" i="1"/>
  <c r="AX982" i="1"/>
  <c r="AX984" i="1" s="1"/>
  <c r="BF838" i="1"/>
  <c r="BF982" i="1"/>
  <c r="BF984" i="1" s="1"/>
  <c r="BN982" i="1"/>
  <c r="BN984" i="1" s="1"/>
  <c r="BN838" i="1"/>
  <c r="BN839" i="1" s="1"/>
  <c r="BS784" i="1"/>
  <c r="BF866" i="1"/>
  <c r="D974" i="1"/>
  <c r="D972" i="1"/>
  <c r="D984" i="1"/>
  <c r="AD61" i="1"/>
  <c r="AL61" i="1"/>
  <c r="BR75" i="1"/>
  <c r="BR14" i="9" s="1"/>
  <c r="BE94" i="1"/>
  <c r="BH95" i="1"/>
  <c r="BH15" i="9" s="1"/>
  <c r="BR134" i="1"/>
  <c r="J139" i="1"/>
  <c r="AN139" i="1"/>
  <c r="AV195" i="1"/>
  <c r="AW201" i="1"/>
  <c r="AG195" i="1"/>
  <c r="O217" i="1"/>
  <c r="BF217" i="1"/>
  <c r="AV219" i="1"/>
  <c r="BD225" i="1"/>
  <c r="BD226" i="1" s="1"/>
  <c r="BL225" i="1"/>
  <c r="BL226" i="1" s="1"/>
  <c r="BT225" i="1"/>
  <c r="AV224" i="1"/>
  <c r="G230" i="1"/>
  <c r="O230" i="1"/>
  <c r="W230" i="1"/>
  <c r="W231" i="1" s="1"/>
  <c r="AE230" i="1"/>
  <c r="AP230" i="1"/>
  <c r="AP231" i="1" s="1"/>
  <c r="R234" i="1"/>
  <c r="Z234" i="1"/>
  <c r="AH234" i="1"/>
  <c r="AP234" i="1"/>
  <c r="AY235" i="1"/>
  <c r="BI250" i="1"/>
  <c r="BN307" i="1"/>
  <c r="AW277" i="1"/>
  <c r="AC299" i="1"/>
  <c r="BE322" i="1"/>
  <c r="BE324" i="1" s="1"/>
  <c r="BE325" i="1" s="1"/>
  <c r="AJ368" i="1"/>
  <c r="AI387" i="1"/>
  <c r="L394" i="1"/>
  <c r="AR60" i="9"/>
  <c r="BC394" i="1"/>
  <c r="G398" i="1"/>
  <c r="AW398" i="1"/>
  <c r="AT402" i="1"/>
  <c r="AT61" i="9" s="1"/>
  <c r="BI409" i="1"/>
  <c r="K410" i="1"/>
  <c r="BA425" i="1"/>
  <c r="BA429" i="1" s="1"/>
  <c r="BA431" i="1" s="1"/>
  <c r="BD425" i="1"/>
  <c r="BD429" i="1" s="1"/>
  <c r="BD431" i="1" s="1"/>
  <c r="O43" i="9"/>
  <c r="BS440" i="1"/>
  <c r="U34" i="9"/>
  <c r="U1189" i="1"/>
  <c r="U1193" i="1" s="1"/>
  <c r="U1190" i="1"/>
  <c r="U1188" i="1"/>
  <c r="U1192" i="1" s="1"/>
  <c r="U738" i="1"/>
  <c r="U598" i="1"/>
  <c r="U403" i="1"/>
  <c r="U398" i="1"/>
  <c r="U394" i="1"/>
  <c r="AC34" i="9"/>
  <c r="AC1189" i="1"/>
  <c r="AC1188" i="1"/>
  <c r="AC1190" i="1"/>
  <c r="AC403" i="1"/>
  <c r="AC398" i="1"/>
  <c r="AC394" i="1"/>
  <c r="AK34" i="9"/>
  <c r="AK1189" i="1"/>
  <c r="AK1193" i="1" s="1"/>
  <c r="AK1190" i="1"/>
  <c r="AK1188" i="1"/>
  <c r="AK1192" i="1" s="1"/>
  <c r="AK738" i="1"/>
  <c r="AK403" i="1"/>
  <c r="AK398" i="1"/>
  <c r="AK394" i="1"/>
  <c r="AK598" i="1"/>
  <c r="BA34" i="9"/>
  <c r="BA1188" i="1"/>
  <c r="BA1189" i="1"/>
  <c r="BA1190" i="1"/>
  <c r="BA598" i="1"/>
  <c r="BA398" i="1"/>
  <c r="BA394" i="1"/>
  <c r="BA738" i="1"/>
  <c r="BJ34" i="9"/>
  <c r="BJ1190" i="1"/>
  <c r="BJ1194" i="1" s="1"/>
  <c r="BJ598" i="1"/>
  <c r="BJ467" i="1"/>
  <c r="BJ472" i="1" s="1"/>
  <c r="BJ410" i="1"/>
  <c r="BR34" i="9"/>
  <c r="BR598" i="1"/>
  <c r="BR467" i="1"/>
  <c r="BR410" i="1"/>
  <c r="AI466" i="1"/>
  <c r="AI467" i="1" s="1"/>
  <c r="AB467" i="1"/>
  <c r="AB472" i="1" s="1"/>
  <c r="BS467" i="1"/>
  <c r="BS472" i="1" s="1"/>
  <c r="H63" i="9"/>
  <c r="AO63" i="9"/>
  <c r="AX38" i="9"/>
  <c r="AX398" i="1"/>
  <c r="BF38" i="9"/>
  <c r="BF63" i="9" s="1"/>
  <c r="BF398" i="1"/>
  <c r="O36" i="9"/>
  <c r="O402" i="1"/>
  <c r="O61" i="9" s="1"/>
  <c r="W36" i="9"/>
  <c r="W402" i="1"/>
  <c r="W61" i="9" s="1"/>
  <c r="AE36" i="9"/>
  <c r="AE402" i="1"/>
  <c r="AE61" i="9" s="1"/>
  <c r="BC471" i="1"/>
  <c r="I40" i="9"/>
  <c r="I990" i="1"/>
  <c r="I757" i="1"/>
  <c r="AJ40" i="9"/>
  <c r="AJ990" i="1"/>
  <c r="AJ991" i="1" s="1"/>
  <c r="AJ757" i="1"/>
  <c r="BA40" i="9"/>
  <c r="BA757" i="1"/>
  <c r="BA990" i="1"/>
  <c r="BJ40" i="9"/>
  <c r="BJ757" i="1"/>
  <c r="BJ990" i="1"/>
  <c r="K41" i="9"/>
  <c r="S41" i="9"/>
  <c r="U489" i="1"/>
  <c r="BR489" i="1"/>
  <c r="R489" i="1"/>
  <c r="Z489" i="1"/>
  <c r="AH43" i="9"/>
  <c r="AP489" i="1"/>
  <c r="BN43" i="9"/>
  <c r="Z48" i="9"/>
  <c r="BN48" i="9"/>
  <c r="CC48" i="9"/>
  <c r="CC1272" i="1"/>
  <c r="F524" i="1"/>
  <c r="G523" i="1"/>
  <c r="N524" i="1"/>
  <c r="S524" i="1"/>
  <c r="N523" i="1"/>
  <c r="N550" i="1"/>
  <c r="AN550" i="1"/>
  <c r="AI539" i="1"/>
  <c r="AI551" i="1" s="1"/>
  <c r="BH540" i="1"/>
  <c r="BI540" i="1" s="1"/>
  <c r="BB550" i="1"/>
  <c r="BV605" i="1"/>
  <c r="BV464" i="1"/>
  <c r="BV30" i="1" s="1"/>
  <c r="AU73" i="9"/>
  <c r="AU1270" i="1"/>
  <c r="AU1185" i="1"/>
  <c r="AU805" i="1"/>
  <c r="AU992" i="1"/>
  <c r="BC73" i="9"/>
  <c r="BC1185" i="1"/>
  <c r="BC992" i="1"/>
  <c r="BC805" i="1"/>
  <c r="L80" i="9"/>
  <c r="L773" i="1"/>
  <c r="V80" i="9"/>
  <c r="V773" i="1"/>
  <c r="BB80" i="9"/>
  <c r="BB773" i="1"/>
  <c r="AA93" i="9"/>
  <c r="B2" i="9"/>
  <c r="A5" i="13"/>
  <c r="B1411" i="1"/>
  <c r="C3" i="13"/>
  <c r="A5" i="11"/>
  <c r="BR74" i="1"/>
  <c r="AS114" i="1"/>
  <c r="BT182" i="1"/>
  <c r="AF195" i="1"/>
  <c r="AN195" i="1"/>
  <c r="BN192" i="1"/>
  <c r="AO217" i="1"/>
  <c r="AT218" i="1" s="1"/>
  <c r="AW217" i="1"/>
  <c r="BB218" i="1" s="1"/>
  <c r="BE217" i="1"/>
  <c r="BJ218" i="1" s="1"/>
  <c r="R212" i="1"/>
  <c r="R214" i="1" s="1"/>
  <c r="R215" i="1" s="1"/>
  <c r="Z212" i="1"/>
  <c r="Z214" i="1" s="1"/>
  <c r="AH212" i="1"/>
  <c r="AH214" i="1" s="1"/>
  <c r="AH215" i="1" s="1"/>
  <c r="P225" i="1"/>
  <c r="P226" i="1" s="1"/>
  <c r="X225" i="1"/>
  <c r="AO229" i="1"/>
  <c r="AW229" i="1"/>
  <c r="BE229" i="1"/>
  <c r="BM229" i="1"/>
  <c r="S235" i="1"/>
  <c r="AA235" i="1"/>
  <c r="AA236" i="1" s="1"/>
  <c r="AI235" i="1"/>
  <c r="AQ235" i="1"/>
  <c r="AV236" i="1" s="1"/>
  <c r="BI234" i="1"/>
  <c r="BQ234" i="1"/>
  <c r="BQ235" i="1"/>
  <c r="AV238" i="1"/>
  <c r="BX245" i="1"/>
  <c r="K250" i="1"/>
  <c r="S250" i="1"/>
  <c r="AA250" i="1"/>
  <c r="AI250" i="1"/>
  <c r="AQ250" i="1"/>
  <c r="AY250" i="1"/>
  <c r="BG250" i="1"/>
  <c r="BS307" i="1"/>
  <c r="BK267" i="1"/>
  <c r="BT272" i="1"/>
  <c r="BT273" i="1" s="1"/>
  <c r="BT279" i="1" s="1"/>
  <c r="AX277" i="1"/>
  <c r="BI277" i="1"/>
  <c r="BN270" i="1" s="1"/>
  <c r="BN272" i="1" s="1"/>
  <c r="BN273" i="1" s="1"/>
  <c r="BN279" i="1" s="1"/>
  <c r="BQ278" i="1"/>
  <c r="AD299" i="1"/>
  <c r="AT60" i="9"/>
  <c r="AN398" i="1"/>
  <c r="AL402" i="1"/>
  <c r="AL61" i="9" s="1"/>
  <c r="AB403" i="1"/>
  <c r="BS62" i="9"/>
  <c r="BS1271" i="1"/>
  <c r="AZ409" i="1"/>
  <c r="AI310" i="1"/>
  <c r="U425" i="1"/>
  <c r="U429" i="1" s="1"/>
  <c r="U431" i="1" s="1"/>
  <c r="AC425" i="1"/>
  <c r="AC429" i="1" s="1"/>
  <c r="AC431" i="1" s="1"/>
  <c r="AK425" i="1"/>
  <c r="AK429" i="1" s="1"/>
  <c r="AK431" i="1" s="1"/>
  <c r="J37" i="9"/>
  <c r="AD757" i="1"/>
  <c r="AD990" i="1"/>
  <c r="J41" i="9"/>
  <c r="BC41" i="9"/>
  <c r="BH437" i="1"/>
  <c r="BI437" i="1" s="1"/>
  <c r="E34" i="9"/>
  <c r="E1189" i="1"/>
  <c r="E1188" i="1"/>
  <c r="E1190" i="1"/>
  <c r="E738" i="1"/>
  <c r="E598" i="1"/>
  <c r="E403" i="1"/>
  <c r="M34" i="9"/>
  <c r="M1190" i="1"/>
  <c r="M403" i="1"/>
  <c r="M394" i="1"/>
  <c r="M598" i="1"/>
  <c r="M738" i="1"/>
  <c r="V34" i="9"/>
  <c r="V63" i="9" s="1"/>
  <c r="V1189" i="1"/>
  <c r="V598" i="1"/>
  <c r="V467" i="1"/>
  <c r="V472" i="1" s="1"/>
  <c r="V410" i="1"/>
  <c r="AD1188" i="1"/>
  <c r="AD1192" i="1" s="1"/>
  <c r="AD34" i="9"/>
  <c r="AD1190" i="1"/>
  <c r="AD598" i="1"/>
  <c r="AD467" i="1"/>
  <c r="AD472" i="1" s="1"/>
  <c r="AD410" i="1"/>
  <c r="AL34" i="9"/>
  <c r="AL1189" i="1"/>
  <c r="AL1193" i="1" s="1"/>
  <c r="AL1188" i="1"/>
  <c r="AL1192" i="1" s="1"/>
  <c r="AL1190" i="1"/>
  <c r="AL1194" i="1" s="1"/>
  <c r="AL598" i="1"/>
  <c r="AL467" i="1"/>
  <c r="AL472" i="1" s="1"/>
  <c r="AL410" i="1"/>
  <c r="AT34" i="9"/>
  <c r="AT1189" i="1"/>
  <c r="AT1188" i="1"/>
  <c r="AT1190" i="1"/>
  <c r="AT1194" i="1" s="1"/>
  <c r="AT598" i="1"/>
  <c r="AT467" i="1"/>
  <c r="AT472" i="1" s="1"/>
  <c r="AT410" i="1"/>
  <c r="BB34" i="9"/>
  <c r="BB63" i="9" s="1"/>
  <c r="BB1189" i="1"/>
  <c r="BB1188" i="1"/>
  <c r="BB1190" i="1"/>
  <c r="BB598" i="1"/>
  <c r="BB467" i="1"/>
  <c r="BB472" i="1" s="1"/>
  <c r="BB410" i="1"/>
  <c r="BI467" i="1"/>
  <c r="BI472" i="1" s="1"/>
  <c r="G36" i="9"/>
  <c r="G402" i="1"/>
  <c r="G61" i="9" s="1"/>
  <c r="O471" i="1"/>
  <c r="G1168" i="1"/>
  <c r="G1184" i="1"/>
  <c r="O1168" i="1"/>
  <c r="O1184" i="1"/>
  <c r="W1184" i="1"/>
  <c r="W1168" i="1"/>
  <c r="AE1184" i="1"/>
  <c r="AE1168" i="1"/>
  <c r="AE1181" i="1" s="1"/>
  <c r="AM1168" i="1"/>
  <c r="AM1184" i="1"/>
  <c r="AU1168" i="1"/>
  <c r="AU1184" i="1"/>
  <c r="BC1168" i="1"/>
  <c r="BC1184" i="1"/>
  <c r="BK1168" i="1"/>
  <c r="BK1184" i="1"/>
  <c r="BS1168" i="1"/>
  <c r="BS1184" i="1"/>
  <c r="K40" i="9"/>
  <c r="K990" i="1"/>
  <c r="K991" i="1" s="1"/>
  <c r="K757" i="1"/>
  <c r="AB40" i="9"/>
  <c r="AB990" i="1"/>
  <c r="AB757" i="1"/>
  <c r="AK40" i="9"/>
  <c r="AK990" i="1"/>
  <c r="AK757" i="1"/>
  <c r="AT40" i="9"/>
  <c r="AT990" i="1"/>
  <c r="AT991" i="1" s="1"/>
  <c r="AT757" i="1"/>
  <c r="BB40" i="9"/>
  <c r="BB757" i="1"/>
  <c r="BB990" i="1"/>
  <c r="C41" i="9"/>
  <c r="BD41" i="9"/>
  <c r="BX41" i="9"/>
  <c r="I43" i="9"/>
  <c r="W43" i="9"/>
  <c r="BH43" i="9"/>
  <c r="BS43" i="9"/>
  <c r="S489" i="1"/>
  <c r="AA489" i="1"/>
  <c r="AI489" i="1"/>
  <c r="AY43" i="9"/>
  <c r="BO489" i="1"/>
  <c r="M551" i="1"/>
  <c r="AN551" i="1"/>
  <c r="AN539" i="1"/>
  <c r="BM540" i="1"/>
  <c r="BN540" i="1" s="1"/>
  <c r="BM552" i="1"/>
  <c r="BL531" i="1"/>
  <c r="BK531" i="1"/>
  <c r="BK535" i="1" s="1"/>
  <c r="BJ531" i="1"/>
  <c r="BJ535" i="1" s="1"/>
  <c r="BJ556" i="1" s="1"/>
  <c r="BI538" i="1"/>
  <c r="BM550" i="1"/>
  <c r="CB659" i="1"/>
  <c r="AD73" i="9"/>
  <c r="AD1185" i="1"/>
  <c r="AD992" i="1"/>
  <c r="AL73" i="9"/>
  <c r="AL1185" i="1"/>
  <c r="AL992" i="1"/>
  <c r="BN73" i="9"/>
  <c r="BN1185" i="1"/>
  <c r="BN992" i="1"/>
  <c r="BN993" i="1" s="1"/>
  <c r="BN805" i="1"/>
  <c r="BD738" i="1"/>
  <c r="BH100" i="9"/>
  <c r="BH998" i="1"/>
  <c r="BH974" i="1" s="1"/>
  <c r="D2" i="9"/>
  <c r="D5" i="11"/>
  <c r="D5" i="13"/>
  <c r="AU114" i="1"/>
  <c r="BU128" i="1"/>
  <c r="J205" i="1"/>
  <c r="AS140" i="1"/>
  <c r="BG192" i="1"/>
  <c r="BO195" i="1"/>
  <c r="BA212" i="1"/>
  <c r="BA214" i="1" s="1"/>
  <c r="BA215" i="1" s="1"/>
  <c r="BI212" i="1"/>
  <c r="BI214" i="1" s="1"/>
  <c r="BI215" i="1" s="1"/>
  <c r="BQ212" i="1"/>
  <c r="BQ214" i="1" s="1"/>
  <c r="BF224" i="1"/>
  <c r="BN224" i="1"/>
  <c r="AN224" i="1"/>
  <c r="Q229" i="1"/>
  <c r="Y229" i="1"/>
  <c r="AG229" i="1"/>
  <c r="C235" i="1"/>
  <c r="D236" i="1" s="1"/>
  <c r="K235" i="1"/>
  <c r="BA234" i="1"/>
  <c r="AI234" i="1"/>
  <c r="T247" i="1"/>
  <c r="AO247" i="1"/>
  <c r="BO304" i="1"/>
  <c r="BS260" i="1"/>
  <c r="AF266" i="1"/>
  <c r="AO277" i="1"/>
  <c r="AZ277" i="1"/>
  <c r="BS299" i="1"/>
  <c r="BA299" i="1"/>
  <c r="BO310" i="1"/>
  <c r="AV354" i="1"/>
  <c r="BF354" i="1"/>
  <c r="BP354" i="1"/>
  <c r="AV368" i="1"/>
  <c r="BF368" i="1"/>
  <c r="BP368" i="1"/>
  <c r="AW374" i="1"/>
  <c r="BG374" i="1"/>
  <c r="BQ374" i="1"/>
  <c r="AJ60" i="9"/>
  <c r="AU60" i="9"/>
  <c r="BP394" i="1"/>
  <c r="AC402" i="1"/>
  <c r="AC61" i="9" s="1"/>
  <c r="BJ62" i="9"/>
  <c r="BJ1271" i="1"/>
  <c r="BT1271" i="1"/>
  <c r="C410" i="1"/>
  <c r="AN466" i="1"/>
  <c r="AN467" i="1" s="1"/>
  <c r="AN213" i="1"/>
  <c r="M425" i="1"/>
  <c r="M429" i="1" s="1"/>
  <c r="M431" i="1" s="1"/>
  <c r="AN757" i="1"/>
  <c r="AN990" i="1"/>
  <c r="K498" i="1"/>
  <c r="F34" i="9"/>
  <c r="F1189" i="1"/>
  <c r="F1188" i="1"/>
  <c r="F1190" i="1"/>
  <c r="F1194" i="1" s="1"/>
  <c r="F598" i="1"/>
  <c r="F467" i="1"/>
  <c r="F472" i="1" s="1"/>
  <c r="F410" i="1"/>
  <c r="F738" i="1"/>
  <c r="N34" i="9"/>
  <c r="N598" i="1"/>
  <c r="N467" i="1"/>
  <c r="N472" i="1" s="1"/>
  <c r="N410" i="1"/>
  <c r="BL34" i="9"/>
  <c r="BL63" i="9" s="1"/>
  <c r="BL598" i="1"/>
  <c r="BT34" i="9"/>
  <c r="BT1190" i="1"/>
  <c r="BT1188" i="1"/>
  <c r="BT1189" i="1"/>
  <c r="BT598" i="1"/>
  <c r="AZ467" i="1"/>
  <c r="AZ472" i="1" s="1"/>
  <c r="BK467" i="1"/>
  <c r="BK472" i="1" s="1"/>
  <c r="R38" i="9"/>
  <c r="R398" i="1"/>
  <c r="BN37" i="9"/>
  <c r="BN403" i="1"/>
  <c r="H1168" i="1"/>
  <c r="H1184" i="1"/>
  <c r="H409" i="1"/>
  <c r="P1168" i="1"/>
  <c r="P1170" i="1" s="1"/>
  <c r="P1184" i="1"/>
  <c r="P409" i="1"/>
  <c r="X1168" i="1"/>
  <c r="X1184" i="1"/>
  <c r="X409" i="1"/>
  <c r="AF1184" i="1"/>
  <c r="AF1168" i="1"/>
  <c r="AF409" i="1"/>
  <c r="AN1168" i="1"/>
  <c r="AN1184" i="1"/>
  <c r="AN409" i="1"/>
  <c r="AV1168" i="1"/>
  <c r="AV1184" i="1"/>
  <c r="AV409" i="1"/>
  <c r="BD1168" i="1"/>
  <c r="BD1184" i="1"/>
  <c r="BD409" i="1"/>
  <c r="BL1168" i="1"/>
  <c r="BL1184" i="1"/>
  <c r="BL409" i="1"/>
  <c r="BT1168" i="1"/>
  <c r="BT1184" i="1"/>
  <c r="BT409" i="1"/>
  <c r="C40" i="9"/>
  <c r="C990" i="1"/>
  <c r="C991" i="1" s="1"/>
  <c r="C757" i="1"/>
  <c r="C761" i="1" s="1"/>
  <c r="C798" i="1" s="1"/>
  <c r="L40" i="9"/>
  <c r="L990" i="1"/>
  <c r="L757" i="1"/>
  <c r="U40" i="9"/>
  <c r="U990" i="1"/>
  <c r="U991" i="1" s="1"/>
  <c r="U757" i="1"/>
  <c r="AC40" i="9"/>
  <c r="AC757" i="1"/>
  <c r="AC990" i="1"/>
  <c r="AE41" i="9"/>
  <c r="AM41" i="9"/>
  <c r="AV41" i="9"/>
  <c r="BN41" i="9"/>
  <c r="CC41" i="9"/>
  <c r="X43" i="9"/>
  <c r="BI43" i="9"/>
  <c r="BT43" i="9"/>
  <c r="F541" i="1"/>
  <c r="H538" i="1"/>
  <c r="H550" i="1" s="1"/>
  <c r="AX550" i="1"/>
  <c r="AX538" i="1"/>
  <c r="AY538" i="1" s="1"/>
  <c r="N539" i="1"/>
  <c r="I549" i="1"/>
  <c r="BZ659" i="1"/>
  <c r="BZ473" i="1"/>
  <c r="BZ656" i="1"/>
  <c r="F73" i="9"/>
  <c r="F1185" i="1"/>
  <c r="F992" i="1"/>
  <c r="F993" i="1" s="1"/>
  <c r="F805" i="1"/>
  <c r="N73" i="9"/>
  <c r="N1185" i="1"/>
  <c r="N992" i="1"/>
  <c r="V73" i="9"/>
  <c r="V1185" i="1"/>
  <c r="V992" i="1"/>
  <c r="D80" i="9"/>
  <c r="D773" i="1"/>
  <c r="AK93" i="9"/>
  <c r="AK108" i="9"/>
  <c r="AS789" i="1"/>
  <c r="AS791" i="1" s="1"/>
  <c r="AS793" i="1" s="1"/>
  <c r="AS846" i="1"/>
  <c r="AS847" i="1" s="1"/>
  <c r="BC848" i="1"/>
  <c r="BH849" i="1"/>
  <c r="BH779" i="1"/>
  <c r="BH780" i="1" s="1"/>
  <c r="BH782" i="1" s="1"/>
  <c r="BH835" i="1"/>
  <c r="BH837" i="1" s="1"/>
  <c r="BH839" i="1" s="1"/>
  <c r="AF80" i="9"/>
  <c r="AF773" i="1"/>
  <c r="AM43" i="9"/>
  <c r="E489" i="1"/>
  <c r="AK489" i="1"/>
  <c r="AH549" i="1"/>
  <c r="AQ549" i="1"/>
  <c r="C598" i="1"/>
  <c r="H8" i="9"/>
  <c r="H1262" i="1"/>
  <c r="H755" i="1"/>
  <c r="H782" i="1"/>
  <c r="P8" i="9"/>
  <c r="P1262" i="1"/>
  <c r="P755" i="1"/>
  <c r="P782" i="1"/>
  <c r="X8" i="9"/>
  <c r="X1262" i="1"/>
  <c r="X755" i="1"/>
  <c r="X782" i="1"/>
  <c r="AF8" i="9"/>
  <c r="AF1262" i="1"/>
  <c r="AF755" i="1"/>
  <c r="AF782" i="1"/>
  <c r="AN8" i="9"/>
  <c r="AN755" i="1"/>
  <c r="AV8" i="9"/>
  <c r="AV1263" i="1"/>
  <c r="AV1262" i="1"/>
  <c r="AV755" i="1"/>
  <c r="BD8" i="9"/>
  <c r="BD1263" i="1"/>
  <c r="BD1262" i="1"/>
  <c r="BD755" i="1"/>
  <c r="BL8" i="9"/>
  <c r="BL1263" i="1"/>
  <c r="BL755" i="1"/>
  <c r="BT8" i="9"/>
  <c r="BT1263" i="1"/>
  <c r="BT1262" i="1"/>
  <c r="BT755" i="1"/>
  <c r="T105" i="9"/>
  <c r="A1363" i="1"/>
  <c r="P80" i="9"/>
  <c r="P773" i="1"/>
  <c r="R738" i="1"/>
  <c r="Z738" i="1"/>
  <c r="AH738" i="1"/>
  <c r="AP738" i="1"/>
  <c r="AX738" i="1"/>
  <c r="BF738" i="1"/>
  <c r="BN738" i="1"/>
  <c r="D7" i="9"/>
  <c r="D1261" i="1"/>
  <c r="D985" i="1"/>
  <c r="D980" i="1" s="1"/>
  <c r="D760" i="1"/>
  <c r="D783" i="1"/>
  <c r="L7" i="9"/>
  <c r="L1261" i="1"/>
  <c r="L985" i="1"/>
  <c r="L980" i="1" s="1"/>
  <c r="L755" i="1"/>
  <c r="T7" i="9"/>
  <c r="T1261" i="1"/>
  <c r="T783" i="1"/>
  <c r="T985" i="1"/>
  <c r="T980" i="1" s="1"/>
  <c r="U760" i="1"/>
  <c r="AB7" i="9"/>
  <c r="AB1261" i="1"/>
  <c r="AB985" i="1"/>
  <c r="AB980" i="1" s="1"/>
  <c r="AB783" i="1"/>
  <c r="AJ7" i="9"/>
  <c r="AJ1261" i="1"/>
  <c r="AJ985" i="1"/>
  <c r="AJ980" i="1" s="1"/>
  <c r="AJ783" i="1"/>
  <c r="AJ755" i="1"/>
  <c r="L974" i="1"/>
  <c r="L972" i="1"/>
  <c r="T972" i="1"/>
  <c r="T974" i="1"/>
  <c r="AB977" i="1"/>
  <c r="AB974" i="1"/>
  <c r="AB972" i="1"/>
  <c r="AJ972" i="1"/>
  <c r="AJ974" i="1"/>
  <c r="AR972" i="1"/>
  <c r="AR974" i="1"/>
  <c r="AZ974" i="1"/>
  <c r="AZ972" i="1"/>
  <c r="BH972" i="1"/>
  <c r="BP972" i="1"/>
  <c r="BP974" i="1"/>
  <c r="J108" i="9"/>
  <c r="J93" i="9"/>
  <c r="BB793" i="1"/>
  <c r="AX841" i="1"/>
  <c r="AX790" i="1"/>
  <c r="AQ945" i="1"/>
  <c r="AR940" i="1"/>
  <c r="AY945" i="1"/>
  <c r="AZ940" i="1"/>
  <c r="BD940" i="1"/>
  <c r="BD957" i="1" s="1"/>
  <c r="BG945" i="1"/>
  <c r="BH940" i="1"/>
  <c r="BO945" i="1"/>
  <c r="BP940" i="1"/>
  <c r="BA974" i="1"/>
  <c r="BA972" i="1"/>
  <c r="AE667" i="1"/>
  <c r="AE405" i="1" s="1"/>
  <c r="F80" i="9"/>
  <c r="F773" i="1"/>
  <c r="BP80" i="9"/>
  <c r="BP773" i="1"/>
  <c r="K108" i="9"/>
  <c r="K93" i="9"/>
  <c r="K766" i="1"/>
  <c r="K765" i="1"/>
  <c r="AX93" i="9"/>
  <c r="AX108" i="9"/>
  <c r="AV761" i="1"/>
  <c r="BH854" i="1"/>
  <c r="BH855" i="1" s="1"/>
  <c r="AS859" i="1"/>
  <c r="BW836" i="1"/>
  <c r="BV781" i="1"/>
  <c r="AR866" i="1"/>
  <c r="BA866" i="1"/>
  <c r="BI866" i="1"/>
  <c r="AR945" i="1"/>
  <c r="AZ945" i="1"/>
  <c r="BA940" i="1"/>
  <c r="BH945" i="1"/>
  <c r="BQ940" i="1"/>
  <c r="BP945" i="1"/>
  <c r="AU801" i="1"/>
  <c r="BE801" i="1"/>
  <c r="BO801" i="1"/>
  <c r="U1023" i="1"/>
  <c r="U516" i="1"/>
  <c r="BE1023" i="1"/>
  <c r="BE1007" i="1" s="1"/>
  <c r="AN80" i="9"/>
  <c r="AN773" i="1"/>
  <c r="BF1153" i="1"/>
  <c r="BF733" i="1"/>
  <c r="J771" i="1"/>
  <c r="J733" i="1"/>
  <c r="R771" i="1"/>
  <c r="R733" i="1"/>
  <c r="Z771" i="1"/>
  <c r="Z733" i="1"/>
  <c r="AM733" i="1"/>
  <c r="AM771" i="1"/>
  <c r="BG771" i="1"/>
  <c r="BG733" i="1"/>
  <c r="O518" i="1"/>
  <c r="AZ523" i="1"/>
  <c r="AX523" i="1"/>
  <c r="I538" i="1"/>
  <c r="D541" i="1"/>
  <c r="D554" i="1" s="1"/>
  <c r="D562" i="1" s="1"/>
  <c r="D569" i="1" s="1"/>
  <c r="BW605" i="1"/>
  <c r="BW602" i="1"/>
  <c r="K597" i="1"/>
  <c r="AD656" i="1"/>
  <c r="AD473" i="1"/>
  <c r="BP70" i="9"/>
  <c r="BP740" i="1"/>
  <c r="BP741" i="1" s="1"/>
  <c r="BP742" i="1" s="1"/>
  <c r="BP743" i="1" s="1"/>
  <c r="BP73" i="9"/>
  <c r="BP1185" i="1"/>
  <c r="BP992" i="1"/>
  <c r="BP805" i="1"/>
  <c r="I77" i="9"/>
  <c r="I1274" i="1"/>
  <c r="Q77" i="9"/>
  <c r="Q1274" i="1"/>
  <c r="Y77" i="9"/>
  <c r="AH77" i="9"/>
  <c r="AH1274" i="1"/>
  <c r="E9" i="9"/>
  <c r="E755" i="1"/>
  <c r="U9" i="9"/>
  <c r="U755" i="1"/>
  <c r="AC9" i="9"/>
  <c r="AC755" i="1"/>
  <c r="AS9" i="9"/>
  <c r="AS785" i="1"/>
  <c r="AS755" i="1"/>
  <c r="BA9" i="9"/>
  <c r="BA785" i="1"/>
  <c r="BA786" i="1" s="1"/>
  <c r="BA755" i="1"/>
  <c r="BI9" i="9"/>
  <c r="BI785" i="1"/>
  <c r="BI755" i="1"/>
  <c r="BQ9" i="9"/>
  <c r="BQ785" i="1"/>
  <c r="BQ755" i="1"/>
  <c r="M755" i="1"/>
  <c r="AY93" i="9"/>
  <c r="AY108" i="9"/>
  <c r="AR792" i="1"/>
  <c r="AR793" i="1" s="1"/>
  <c r="AR784" i="1"/>
  <c r="BH801" i="1"/>
  <c r="BF801" i="1"/>
  <c r="BP801" i="1"/>
  <c r="AS1169" i="1"/>
  <c r="AS1135" i="1"/>
  <c r="AS726" i="1"/>
  <c r="AT1281" i="1" s="1"/>
  <c r="AH192" i="1"/>
  <c r="AP192" i="1"/>
  <c r="BF192" i="1"/>
  <c r="AK195" i="1"/>
  <c r="BA195" i="1"/>
  <c r="BI195" i="1"/>
  <c r="BQ195" i="1"/>
  <c r="BN266" i="1"/>
  <c r="O420" i="1"/>
  <c r="BC420" i="1"/>
  <c r="O990" i="1"/>
  <c r="O757" i="1"/>
  <c r="D34" i="9"/>
  <c r="D63" i="9" s="1"/>
  <c r="D1190" i="1"/>
  <c r="D1194" i="1" s="1"/>
  <c r="D1189" i="1"/>
  <c r="D1188" i="1"/>
  <c r="D598" i="1"/>
  <c r="D738" i="1"/>
  <c r="L34" i="9"/>
  <c r="L1190" i="1"/>
  <c r="L598" i="1"/>
  <c r="AB34" i="9"/>
  <c r="AB63" i="9" s="1"/>
  <c r="AB1188" i="1"/>
  <c r="AB1189" i="1"/>
  <c r="AB1190" i="1"/>
  <c r="AB598" i="1"/>
  <c r="AJ34" i="9"/>
  <c r="AJ63" i="9" s="1"/>
  <c r="AJ1188" i="1"/>
  <c r="AJ1189" i="1"/>
  <c r="AJ1190" i="1"/>
  <c r="AJ738" i="1"/>
  <c r="AJ598" i="1"/>
  <c r="AR34" i="9"/>
  <c r="AR63" i="9" s="1"/>
  <c r="AR1190" i="1"/>
  <c r="AR738" i="1"/>
  <c r="AR598" i="1"/>
  <c r="AR1189" i="1"/>
  <c r="AZ34" i="9"/>
  <c r="AZ1190" i="1"/>
  <c r="AZ1189" i="1"/>
  <c r="AZ598" i="1"/>
  <c r="BP34" i="9"/>
  <c r="BP1190" i="1"/>
  <c r="BP1189" i="1"/>
  <c r="BP598" i="1"/>
  <c r="Q63" i="9"/>
  <c r="Z63" i="9"/>
  <c r="AP63" i="9"/>
  <c r="AY63" i="9"/>
  <c r="S40" i="9"/>
  <c r="S990" i="1"/>
  <c r="S757" i="1"/>
  <c r="AA40" i="9"/>
  <c r="AA990" i="1"/>
  <c r="AA757" i="1"/>
  <c r="AI990" i="1"/>
  <c r="AI757" i="1"/>
  <c r="AR40" i="9"/>
  <c r="AR990" i="1"/>
  <c r="AR757" i="1"/>
  <c r="AZ40" i="9"/>
  <c r="AZ990" i="1"/>
  <c r="AZ757" i="1"/>
  <c r="BI40" i="9"/>
  <c r="BI990" i="1"/>
  <c r="BI991" i="1" s="1"/>
  <c r="BI757" i="1"/>
  <c r="BQ40" i="9"/>
  <c r="BQ990" i="1"/>
  <c r="BQ757" i="1"/>
  <c r="R41" i="9"/>
  <c r="AA41" i="9"/>
  <c r="AI41" i="9"/>
  <c r="AQ41" i="9"/>
  <c r="AY48" i="9"/>
  <c r="V524" i="1"/>
  <c r="Q524" i="1"/>
  <c r="BR531" i="1"/>
  <c r="BS531" i="1" s="1"/>
  <c r="BS535" i="1" s="1"/>
  <c r="Z538" i="1"/>
  <c r="AJ538" i="1"/>
  <c r="O539" i="1"/>
  <c r="O551" i="1" s="1"/>
  <c r="AO539" i="1"/>
  <c r="K651" i="1"/>
  <c r="G70" i="9"/>
  <c r="G740" i="1"/>
  <c r="G741" i="1" s="1"/>
  <c r="G742" i="1" s="1"/>
  <c r="G743" i="1" s="1"/>
  <c r="I73" i="9"/>
  <c r="I992" i="1"/>
  <c r="I1185" i="1"/>
  <c r="Q73" i="9"/>
  <c r="Q1185" i="1"/>
  <c r="Q992" i="1"/>
  <c r="Q1270" i="1"/>
  <c r="AG73" i="9"/>
  <c r="AG1185" i="1"/>
  <c r="AG992" i="1"/>
  <c r="AP73" i="9"/>
  <c r="AP1185" i="1"/>
  <c r="AP992" i="1"/>
  <c r="AP805" i="1"/>
  <c r="AY73" i="9"/>
  <c r="AY1185" i="1"/>
  <c r="AY992" i="1"/>
  <c r="AY993" i="1" s="1"/>
  <c r="BG73" i="9"/>
  <c r="BG1185" i="1"/>
  <c r="BG992" i="1"/>
  <c r="J77" i="9"/>
  <c r="J1274" i="1"/>
  <c r="R77" i="9"/>
  <c r="R1274" i="1"/>
  <c r="Z77" i="9"/>
  <c r="Z1274" i="1"/>
  <c r="AJ77" i="9"/>
  <c r="AJ1274" i="1"/>
  <c r="AR77" i="9"/>
  <c r="AR1274" i="1"/>
  <c r="AZ77" i="9"/>
  <c r="AZ1274" i="1"/>
  <c r="BH77" i="9"/>
  <c r="BP77" i="9"/>
  <c r="BP1274" i="1"/>
  <c r="AW733" i="1"/>
  <c r="F986" i="1"/>
  <c r="AT982" i="1"/>
  <c r="AT984" i="1" s="1"/>
  <c r="AT838" i="1"/>
  <c r="BB982" i="1"/>
  <c r="BB984" i="1" s="1"/>
  <c r="BB838" i="1"/>
  <c r="BJ838" i="1"/>
  <c r="BJ839" i="1" s="1"/>
  <c r="BJ982" i="1"/>
  <c r="BJ984" i="1" s="1"/>
  <c r="BR986" i="1"/>
  <c r="G972" i="1"/>
  <c r="G977" i="1"/>
  <c r="G974" i="1"/>
  <c r="W972" i="1"/>
  <c r="W974" i="1"/>
  <c r="AE972" i="1"/>
  <c r="AU972" i="1"/>
  <c r="AU974" i="1"/>
  <c r="BS972" i="1"/>
  <c r="BS974" i="1"/>
  <c r="F9" i="9"/>
  <c r="F755" i="1"/>
  <c r="V9" i="9"/>
  <c r="V755" i="1"/>
  <c r="AL9" i="9"/>
  <c r="AL755" i="1"/>
  <c r="AT9" i="9"/>
  <c r="AT785" i="1"/>
  <c r="AT786" i="1" s="1"/>
  <c r="AT755" i="1"/>
  <c r="BB9" i="9"/>
  <c r="BB785" i="1"/>
  <c r="BB755" i="1"/>
  <c r="BJ9" i="9"/>
  <c r="BJ785" i="1"/>
  <c r="BJ755" i="1"/>
  <c r="BR9" i="9"/>
  <c r="BR785" i="1"/>
  <c r="BR755" i="1"/>
  <c r="AZ108" i="9"/>
  <c r="AZ93" i="9"/>
  <c r="AE760" i="1"/>
  <c r="M784" i="1"/>
  <c r="AE784" i="1"/>
  <c r="L783" i="1"/>
  <c r="BP793" i="1"/>
  <c r="O773" i="1"/>
  <c r="W80" i="9"/>
  <c r="W773" i="1"/>
  <c r="A1361" i="1"/>
  <c r="V523" i="1"/>
  <c r="T523" i="1"/>
  <c r="BH524" i="1"/>
  <c r="BJ523" i="1"/>
  <c r="BH523" i="1"/>
  <c r="P524" i="1"/>
  <c r="BC524" i="1"/>
  <c r="BH539" i="1"/>
  <c r="BH551" i="1" s="1"/>
  <c r="AS552" i="1"/>
  <c r="AY539" i="1"/>
  <c r="BS540" i="1"/>
  <c r="BR551" i="1"/>
  <c r="CC597" i="1"/>
  <c r="CA623" i="1"/>
  <c r="CA624" i="1"/>
  <c r="BW623" i="1"/>
  <c r="BX624" i="1"/>
  <c r="BX623" i="1"/>
  <c r="K80" i="9"/>
  <c r="K773" i="1"/>
  <c r="U80" i="9"/>
  <c r="U773" i="1"/>
  <c r="AY80" i="9"/>
  <c r="AY773" i="1"/>
  <c r="N738" i="1"/>
  <c r="V738" i="1"/>
  <c r="AD738" i="1"/>
  <c r="AT738" i="1"/>
  <c r="BB738" i="1"/>
  <c r="BJ738" i="1"/>
  <c r="AB738" i="1"/>
  <c r="BP738" i="1"/>
  <c r="Z108" i="9"/>
  <c r="Z93" i="9"/>
  <c r="AX843" i="1"/>
  <c r="AX848" i="1"/>
  <c r="AS853" i="1"/>
  <c r="BR835" i="1"/>
  <c r="BR837" i="1" s="1"/>
  <c r="BR1262" i="1" s="1"/>
  <c r="BO866" i="1"/>
  <c r="AW866" i="1"/>
  <c r="BY993" i="1"/>
  <c r="H1114" i="1"/>
  <c r="P1114" i="1"/>
  <c r="X1114" i="1"/>
  <c r="AP1114" i="1"/>
  <c r="AY1114" i="1"/>
  <c r="BI1114" i="1"/>
  <c r="L1121" i="1"/>
  <c r="L720" i="1"/>
  <c r="Q1174" i="1"/>
  <c r="Q1114" i="1"/>
  <c r="AC192" i="1"/>
  <c r="AK192" i="1"/>
  <c r="BA192" i="1"/>
  <c r="BI192" i="1"/>
  <c r="AD1271" i="1"/>
  <c r="G34" i="9"/>
  <c r="G598" i="1"/>
  <c r="G599" i="1" s="1"/>
  <c r="G600" i="1" s="1"/>
  <c r="O34" i="9"/>
  <c r="O1190" i="1"/>
  <c r="O1188" i="1"/>
  <c r="O1189" i="1"/>
  <c r="O598" i="1"/>
  <c r="W34" i="9"/>
  <c r="W63" i="9" s="1"/>
  <c r="W598" i="1"/>
  <c r="AE34" i="9"/>
  <c r="AE1190" i="1"/>
  <c r="AE1188" i="1"/>
  <c r="AE1189" i="1"/>
  <c r="AE1193" i="1" s="1"/>
  <c r="AE598" i="1"/>
  <c r="AM1189" i="1"/>
  <c r="AM34" i="9"/>
  <c r="AM1188" i="1"/>
  <c r="AM1190" i="1"/>
  <c r="AM598" i="1"/>
  <c r="AU34" i="9"/>
  <c r="AU598" i="1"/>
  <c r="BC34" i="9"/>
  <c r="BC1189" i="1"/>
  <c r="BC1193" i="1" s="1"/>
  <c r="BC1190" i="1"/>
  <c r="BC598" i="1"/>
  <c r="BK34" i="9"/>
  <c r="BK598" i="1"/>
  <c r="BS34" i="9"/>
  <c r="BS63" i="9" s="1"/>
  <c r="BS1188" i="1"/>
  <c r="BS1190" i="1"/>
  <c r="BS1194" i="1" s="1"/>
  <c r="BS1189" i="1"/>
  <c r="BS598" i="1"/>
  <c r="AT63" i="9"/>
  <c r="I1184" i="1"/>
  <c r="I1168" i="1"/>
  <c r="I1170" i="1" s="1"/>
  <c r="Q1184" i="1"/>
  <c r="Q1168" i="1"/>
  <c r="Y1184" i="1"/>
  <c r="Y1168" i="1"/>
  <c r="AG1184" i="1"/>
  <c r="AG1168" i="1"/>
  <c r="AO1184" i="1"/>
  <c r="AO1168" i="1"/>
  <c r="AW1184" i="1"/>
  <c r="AW1168" i="1"/>
  <c r="BE1184" i="1"/>
  <c r="BE1168" i="1"/>
  <c r="BM1168" i="1"/>
  <c r="BM1184" i="1"/>
  <c r="E40" i="9"/>
  <c r="E757" i="1"/>
  <c r="E990" i="1"/>
  <c r="E991" i="1" s="1"/>
  <c r="M40" i="9"/>
  <c r="M757" i="1"/>
  <c r="V40" i="9"/>
  <c r="V990" i="1"/>
  <c r="V757" i="1"/>
  <c r="AL40" i="9"/>
  <c r="AL757" i="1"/>
  <c r="AL990" i="1"/>
  <c r="BD798" i="1"/>
  <c r="BD762" i="1"/>
  <c r="BT761" i="1"/>
  <c r="AU41" i="9"/>
  <c r="BL41" i="9"/>
  <c r="BT41" i="9"/>
  <c r="AU43" i="9"/>
  <c r="AT48" i="9"/>
  <c r="U524" i="1"/>
  <c r="BG535" i="1"/>
  <c r="BH531" i="1"/>
  <c r="BH535" i="1" s="1"/>
  <c r="BN538" i="1"/>
  <c r="T539" i="1"/>
  <c r="U539" i="1" s="1"/>
  <c r="AD539" i="1"/>
  <c r="AE539" i="1" s="1"/>
  <c r="BI539" i="1"/>
  <c r="AD549" i="1"/>
  <c r="BW624" i="1"/>
  <c r="CA656" i="1"/>
  <c r="CA473" i="1"/>
  <c r="BP723" i="1"/>
  <c r="BK73" i="9"/>
  <c r="BK1270" i="1"/>
  <c r="BK1185" i="1"/>
  <c r="BK805" i="1"/>
  <c r="BK992" i="1"/>
  <c r="BK740" i="1"/>
  <c r="BK741" i="1" s="1"/>
  <c r="BK742" i="1" s="1"/>
  <c r="BK743" i="1" s="1"/>
  <c r="AM77" i="9"/>
  <c r="AM1274" i="1"/>
  <c r="AU77" i="9"/>
  <c r="AU1274" i="1"/>
  <c r="BC77" i="9"/>
  <c r="BC1274" i="1"/>
  <c r="BK77" i="9"/>
  <c r="BK1274" i="1"/>
  <c r="BS77" i="9"/>
  <c r="BS1274" i="1"/>
  <c r="BS1281" i="1"/>
  <c r="C80" i="9"/>
  <c r="C773" i="1"/>
  <c r="AH80" i="9"/>
  <c r="AH773" i="1"/>
  <c r="BL80" i="9"/>
  <c r="BL773" i="1"/>
  <c r="H738" i="1"/>
  <c r="P738" i="1"/>
  <c r="X738" i="1"/>
  <c r="AF738" i="1"/>
  <c r="AN738" i="1"/>
  <c r="BL738" i="1"/>
  <c r="BT738" i="1"/>
  <c r="I8" i="9"/>
  <c r="I1262" i="1"/>
  <c r="I755" i="1"/>
  <c r="I782" i="1"/>
  <c r="I784" i="1" s="1"/>
  <c r="Q8" i="9"/>
  <c r="Q1262" i="1"/>
  <c r="Q755" i="1"/>
  <c r="Q782" i="1"/>
  <c r="Q784" i="1" s="1"/>
  <c r="Y8" i="9"/>
  <c r="Y1262" i="1"/>
  <c r="Y782" i="1"/>
  <c r="AG8" i="9"/>
  <c r="AG1262" i="1"/>
  <c r="AG755" i="1"/>
  <c r="AG782" i="1"/>
  <c r="AG784" i="1" s="1"/>
  <c r="AO1262" i="1"/>
  <c r="AO8" i="9"/>
  <c r="AO755" i="1"/>
  <c r="AW1262" i="1"/>
  <c r="AW1263" i="1"/>
  <c r="AW8" i="9"/>
  <c r="AW755" i="1"/>
  <c r="BE8" i="9"/>
  <c r="BE1263" i="1"/>
  <c r="BE1262" i="1"/>
  <c r="BE755" i="1"/>
  <c r="AI108" i="9"/>
  <c r="BD758" i="1"/>
  <c r="BC853" i="1"/>
  <c r="BH860" i="1"/>
  <c r="BH861" i="1" s="1"/>
  <c r="BC779" i="1"/>
  <c r="BC780" i="1" s="1"/>
  <c r="BC782" i="1" s="1"/>
  <c r="BC784" i="1" s="1"/>
  <c r="BC835" i="1"/>
  <c r="BC837" i="1" s="1"/>
  <c r="BF839" i="1"/>
  <c r="BP866" i="1"/>
  <c r="AT949" i="1"/>
  <c r="AT958" i="1"/>
  <c r="AT932" i="1" s="1"/>
  <c r="AT934" i="1" s="1"/>
  <c r="Z667" i="1"/>
  <c r="CA696" i="1"/>
  <c r="AO73" i="9"/>
  <c r="AO1185" i="1"/>
  <c r="AO1270" i="1"/>
  <c r="AO992" i="1"/>
  <c r="AO993" i="1" s="1"/>
  <c r="AO805" i="1"/>
  <c r="AX73" i="9"/>
  <c r="AX1185" i="1"/>
  <c r="BF73" i="9"/>
  <c r="BF1185" i="1"/>
  <c r="BF992" i="1"/>
  <c r="BF805" i="1"/>
  <c r="BO73" i="9"/>
  <c r="BO1185" i="1"/>
  <c r="BO992" i="1"/>
  <c r="BO740" i="1"/>
  <c r="BO741" i="1" s="1"/>
  <c r="BO742" i="1" s="1"/>
  <c r="BO743" i="1" s="1"/>
  <c r="BO805" i="1"/>
  <c r="D77" i="9"/>
  <c r="D1274" i="1"/>
  <c r="L77" i="9"/>
  <c r="L1274" i="1"/>
  <c r="T77" i="9"/>
  <c r="T1274" i="1"/>
  <c r="AB77" i="9"/>
  <c r="AB1274" i="1"/>
  <c r="AR7" i="9"/>
  <c r="AR1261" i="1"/>
  <c r="AR985" i="1"/>
  <c r="AR980" i="1" s="1"/>
  <c r="AZ7" i="9"/>
  <c r="AZ1261" i="1"/>
  <c r="AZ985" i="1"/>
  <c r="AZ980" i="1" s="1"/>
  <c r="AZ783" i="1"/>
  <c r="AZ792" i="1" s="1"/>
  <c r="AZ793" i="1" s="1"/>
  <c r="BH7" i="9"/>
  <c r="BH1261" i="1"/>
  <c r="BH783" i="1"/>
  <c r="BH792" i="1" s="1"/>
  <c r="BH985" i="1"/>
  <c r="BP7" i="9"/>
  <c r="BP1261" i="1"/>
  <c r="BP985" i="1"/>
  <c r="J8" i="9"/>
  <c r="J1262" i="1"/>
  <c r="J782" i="1"/>
  <c r="R8" i="9"/>
  <c r="R1262" i="1"/>
  <c r="R782" i="1"/>
  <c r="R755" i="1"/>
  <c r="Z8" i="9"/>
  <c r="Z1262" i="1"/>
  <c r="Z782" i="1"/>
  <c r="AH8" i="9"/>
  <c r="AH1262" i="1"/>
  <c r="AH782" i="1"/>
  <c r="AH755" i="1"/>
  <c r="AP8" i="9"/>
  <c r="AP1262" i="1"/>
  <c r="AP755" i="1"/>
  <c r="AX8" i="9"/>
  <c r="BF8" i="9"/>
  <c r="BF1262" i="1"/>
  <c r="BF1263" i="1"/>
  <c r="BF755" i="1"/>
  <c r="BN8" i="9"/>
  <c r="BN1262" i="1"/>
  <c r="BN1263" i="1"/>
  <c r="E760" i="1"/>
  <c r="BX776" i="1"/>
  <c r="BB784" i="1"/>
  <c r="AT839" i="1"/>
  <c r="AZ866" i="1"/>
  <c r="AS945" i="1"/>
  <c r="BA945" i="1"/>
  <c r="BB940" i="1"/>
  <c r="BJ940" i="1"/>
  <c r="BI945" i="1"/>
  <c r="BN940" i="1"/>
  <c r="BR940" i="1"/>
  <c r="BQ945" i="1"/>
  <c r="AD524" i="1"/>
  <c r="BR524" i="1"/>
  <c r="AD523" i="1"/>
  <c r="AN523" i="1"/>
  <c r="BR523" i="1"/>
  <c r="R538" i="1"/>
  <c r="U538" i="1" s="1"/>
  <c r="AO540" i="1"/>
  <c r="BC550" i="1"/>
  <c r="BM584" i="1"/>
  <c r="BZ605" i="1"/>
  <c r="BZ602" i="1"/>
  <c r="BZ623" i="1"/>
  <c r="CC696" i="1"/>
  <c r="J73" i="9"/>
  <c r="J1185" i="1"/>
  <c r="R73" i="9"/>
  <c r="R1185" i="1"/>
  <c r="R992" i="1"/>
  <c r="Z73" i="9"/>
  <c r="Z1185" i="1"/>
  <c r="Z805" i="1"/>
  <c r="Z992" i="1"/>
  <c r="Z993" i="1" s="1"/>
  <c r="AH73" i="9"/>
  <c r="AH1185" i="1"/>
  <c r="AH992" i="1"/>
  <c r="AQ73" i="9"/>
  <c r="AQ1185" i="1"/>
  <c r="AQ992" i="1"/>
  <c r="AQ805" i="1"/>
  <c r="AZ73" i="9"/>
  <c r="AZ1185" i="1"/>
  <c r="AZ805" i="1"/>
  <c r="AZ992" i="1"/>
  <c r="AE77" i="9"/>
  <c r="AE1274" i="1"/>
  <c r="AK80" i="9"/>
  <c r="AK773" i="1"/>
  <c r="AT80" i="9"/>
  <c r="AT773" i="1"/>
  <c r="BD80" i="9"/>
  <c r="BD773" i="1"/>
  <c r="AT7" i="9"/>
  <c r="AT1261" i="1"/>
  <c r="AT985" i="1"/>
  <c r="AT980" i="1" s="1"/>
  <c r="BB7" i="9"/>
  <c r="BB1261" i="1"/>
  <c r="BB985" i="1"/>
  <c r="BB980" i="1" s="1"/>
  <c r="BJ7" i="9"/>
  <c r="BJ1261" i="1"/>
  <c r="BN760" i="1"/>
  <c r="BJ985" i="1"/>
  <c r="BJ980" i="1" s="1"/>
  <c r="BJ783" i="1"/>
  <c r="BJ792" i="1" s="1"/>
  <c r="BJ793" i="1" s="1"/>
  <c r="BR7" i="9"/>
  <c r="BR1261" i="1"/>
  <c r="BR985" i="1"/>
  <c r="BR783" i="1"/>
  <c r="BR792" i="1" s="1"/>
  <c r="BR793" i="1" s="1"/>
  <c r="S986" i="1"/>
  <c r="P977" i="1"/>
  <c r="AV974" i="1"/>
  <c r="AV972" i="1"/>
  <c r="BD972" i="1"/>
  <c r="BD974" i="1"/>
  <c r="BL974" i="1"/>
  <c r="BL972" i="1"/>
  <c r="BT974" i="1"/>
  <c r="BT972" i="1"/>
  <c r="P760" i="1"/>
  <c r="AT760" i="1"/>
  <c r="BS760" i="1"/>
  <c r="S773" i="1"/>
  <c r="W784" i="1"/>
  <c r="AV793" i="1"/>
  <c r="BT851" i="1"/>
  <c r="BT866" i="1" s="1"/>
  <c r="AY866" i="1"/>
  <c r="BB866" i="1"/>
  <c r="BJ866" i="1"/>
  <c r="H977" i="1"/>
  <c r="W984" i="1"/>
  <c r="BI974" i="1"/>
  <c r="BF979" i="1"/>
  <c r="BF978" i="1"/>
  <c r="AN7" i="9"/>
  <c r="AN1261" i="1"/>
  <c r="AN985" i="1"/>
  <c r="AN783" i="1"/>
  <c r="AN792" i="1" s="1"/>
  <c r="AN793" i="1" s="1"/>
  <c r="AZ63" i="9"/>
  <c r="E1184" i="1"/>
  <c r="E1168" i="1"/>
  <c r="E1179" i="1" s="1"/>
  <c r="M1184" i="1"/>
  <c r="M1168" i="1"/>
  <c r="U1184" i="1"/>
  <c r="U1168" i="1"/>
  <c r="AC1168" i="1"/>
  <c r="AC1170" i="1" s="1"/>
  <c r="AC1184" i="1"/>
  <c r="AK1168" i="1"/>
  <c r="AK1170" i="1" s="1"/>
  <c r="AK1184" i="1"/>
  <c r="AS1168" i="1"/>
  <c r="AS1170" i="1" s="1"/>
  <c r="AS1184" i="1"/>
  <c r="BA1184" i="1"/>
  <c r="BA1168" i="1"/>
  <c r="BA1170" i="1" s="1"/>
  <c r="BI1168" i="1"/>
  <c r="BI1184" i="1"/>
  <c r="BQ1184" i="1"/>
  <c r="BQ1168" i="1"/>
  <c r="BQ1170" i="1" s="1"/>
  <c r="G40" i="9"/>
  <c r="G757" i="1"/>
  <c r="G990" i="1"/>
  <c r="W40" i="9"/>
  <c r="W990" i="1"/>
  <c r="W757" i="1"/>
  <c r="AE40" i="9"/>
  <c r="AE757" i="1"/>
  <c r="AE990" i="1"/>
  <c r="AE991" i="1" s="1"/>
  <c r="AM40" i="9"/>
  <c r="AM757" i="1"/>
  <c r="AM990" i="1"/>
  <c r="AU40" i="9"/>
  <c r="AU757" i="1"/>
  <c r="AU990" i="1"/>
  <c r="BK40" i="9"/>
  <c r="BK757" i="1"/>
  <c r="BK990" i="1"/>
  <c r="BK991" i="1" s="1"/>
  <c r="BS40" i="9"/>
  <c r="BS757" i="1"/>
  <c r="BS990" i="1"/>
  <c r="BS991" i="1" s="1"/>
  <c r="AJ48" i="9"/>
  <c r="L523" i="1"/>
  <c r="AP523" i="1"/>
  <c r="R524" i="1"/>
  <c r="J538" i="1"/>
  <c r="J550" i="1" s="1"/>
  <c r="AE538" i="1"/>
  <c r="BE579" i="1"/>
  <c r="P597" i="1"/>
  <c r="BY697" i="1"/>
  <c r="BJ723" i="1"/>
  <c r="C73" i="9"/>
  <c r="C1185" i="1"/>
  <c r="C992" i="1"/>
  <c r="C993" i="1" s="1"/>
  <c r="C805" i="1"/>
  <c r="K73" i="9"/>
  <c r="K1185" i="1"/>
  <c r="K992" i="1"/>
  <c r="K993" i="1" s="1"/>
  <c r="S73" i="9"/>
  <c r="S992" i="1"/>
  <c r="S1185" i="1"/>
  <c r="AA73" i="9"/>
  <c r="AA1185" i="1"/>
  <c r="AA992" i="1"/>
  <c r="AI73" i="9"/>
  <c r="AI992" i="1"/>
  <c r="AI1185" i="1"/>
  <c r="AI1270" i="1"/>
  <c r="AR73" i="9"/>
  <c r="AR1185" i="1"/>
  <c r="AR992" i="1"/>
  <c r="AR805" i="1"/>
  <c r="G77" i="9"/>
  <c r="G1274" i="1"/>
  <c r="O77" i="9"/>
  <c r="O1274" i="1"/>
  <c r="W77" i="9"/>
  <c r="W1274" i="1"/>
  <c r="AO77" i="9"/>
  <c r="AO1274" i="1"/>
  <c r="AW77" i="9"/>
  <c r="AW1274" i="1"/>
  <c r="BE77" i="9"/>
  <c r="BE1274" i="1"/>
  <c r="BM77" i="9"/>
  <c r="CC77" i="9"/>
  <c r="AL80" i="9"/>
  <c r="AL773" i="1"/>
  <c r="F7" i="9"/>
  <c r="F1261" i="1"/>
  <c r="F783" i="1"/>
  <c r="F784" i="1" s="1"/>
  <c r="N7" i="9"/>
  <c r="N1261" i="1"/>
  <c r="N985" i="1"/>
  <c r="N980" i="1" s="1"/>
  <c r="V7" i="9"/>
  <c r="V1261" i="1"/>
  <c r="Z760" i="1"/>
  <c r="V985" i="1"/>
  <c r="V980" i="1" s="1"/>
  <c r="AD7" i="9"/>
  <c r="AD985" i="1"/>
  <c r="AD980" i="1" s="1"/>
  <c r="AD1261" i="1"/>
  <c r="AD783" i="1"/>
  <c r="AL7" i="9"/>
  <c r="AL1261" i="1"/>
  <c r="AL985" i="1"/>
  <c r="AL980" i="1" s="1"/>
  <c r="AL783" i="1"/>
  <c r="AL784" i="1" s="1"/>
  <c r="L984" i="1"/>
  <c r="T984" i="1"/>
  <c r="AJ984" i="1"/>
  <c r="I974" i="1"/>
  <c r="I972" i="1"/>
  <c r="I977" i="1"/>
  <c r="Q972" i="1"/>
  <c r="Q977" i="1"/>
  <c r="Q974" i="1"/>
  <c r="Y974" i="1"/>
  <c r="Y972" i="1"/>
  <c r="AG974" i="1"/>
  <c r="AG972" i="1"/>
  <c r="AO972" i="1"/>
  <c r="AO974" i="1"/>
  <c r="AW977" i="1"/>
  <c r="AW974" i="1"/>
  <c r="AW972" i="1"/>
  <c r="BE972" i="1"/>
  <c r="AX860" i="1"/>
  <c r="AX861" i="1" s="1"/>
  <c r="AS779" i="1"/>
  <c r="AS780" i="1" s="1"/>
  <c r="AS782" i="1" s="1"/>
  <c r="AS784" i="1" s="1"/>
  <c r="AS835" i="1"/>
  <c r="AS837" i="1" s="1"/>
  <c r="AS1262" i="1" s="1"/>
  <c r="U1121" i="1"/>
  <c r="U720" i="1"/>
  <c r="Y31" i="11"/>
  <c r="T74" i="11"/>
  <c r="T31" i="11"/>
  <c r="T47" i="11"/>
  <c r="T52" i="11" s="1"/>
  <c r="U63" i="9"/>
  <c r="AC63" i="9"/>
  <c r="AK63" i="9"/>
  <c r="BA63" i="9"/>
  <c r="F1168" i="1"/>
  <c r="F1179" i="1" s="1"/>
  <c r="F1184" i="1"/>
  <c r="N1184" i="1"/>
  <c r="N1168" i="1"/>
  <c r="V1184" i="1"/>
  <c r="V1168" i="1"/>
  <c r="AD1184" i="1"/>
  <c r="AD1168" i="1"/>
  <c r="AL1168" i="1"/>
  <c r="AL1184" i="1"/>
  <c r="AT1168" i="1"/>
  <c r="AT1179" i="1" s="1"/>
  <c r="AT1184" i="1"/>
  <c r="BB1168" i="1"/>
  <c r="BB1184" i="1"/>
  <c r="BJ1168" i="1"/>
  <c r="BJ1184" i="1"/>
  <c r="BR1168" i="1"/>
  <c r="BR1184" i="1"/>
  <c r="H40" i="9"/>
  <c r="H990" i="1"/>
  <c r="P40" i="9"/>
  <c r="P757" i="1"/>
  <c r="X40" i="9"/>
  <c r="X990" i="1"/>
  <c r="X757" i="1"/>
  <c r="AF40" i="9"/>
  <c r="AF990" i="1"/>
  <c r="AV40" i="9"/>
  <c r="AV990" i="1"/>
  <c r="BD40" i="9"/>
  <c r="BD990" i="1"/>
  <c r="BD991" i="1" s="1"/>
  <c r="BL40" i="9"/>
  <c r="BL990" i="1"/>
  <c r="BL757" i="1"/>
  <c r="BT40" i="9"/>
  <c r="BT990" i="1"/>
  <c r="U48" i="9"/>
  <c r="BI48" i="9"/>
  <c r="M523" i="1"/>
  <c r="AS524" i="1"/>
  <c r="CB605" i="1"/>
  <c r="CB602" i="1"/>
  <c r="BY659" i="1"/>
  <c r="BY656" i="1"/>
  <c r="CC651" i="1"/>
  <c r="BZ697" i="1"/>
  <c r="D73" i="9"/>
  <c r="D1185" i="1"/>
  <c r="D992" i="1"/>
  <c r="D993" i="1" s="1"/>
  <c r="D805" i="1"/>
  <c r="L73" i="9"/>
  <c r="L1185" i="1"/>
  <c r="L992" i="1"/>
  <c r="T73" i="9"/>
  <c r="T1185" i="1"/>
  <c r="T992" i="1"/>
  <c r="AB73" i="9"/>
  <c r="AB1185" i="1"/>
  <c r="AB992" i="1"/>
  <c r="AJ73" i="9"/>
  <c r="AJ1185" i="1"/>
  <c r="AJ992" i="1"/>
  <c r="AJ993" i="1" s="1"/>
  <c r="BS73" i="9"/>
  <c r="BS1185" i="1"/>
  <c r="BS805" i="1"/>
  <c r="AG77" i="9"/>
  <c r="AG1274" i="1"/>
  <c r="AP77" i="9"/>
  <c r="AP1274" i="1"/>
  <c r="AX77" i="9"/>
  <c r="AX1274" i="1"/>
  <c r="BF77" i="9"/>
  <c r="BF1274" i="1"/>
  <c r="BN77" i="9"/>
  <c r="BN1274" i="1"/>
  <c r="T80" i="9"/>
  <c r="T773" i="1"/>
  <c r="AV80" i="9"/>
  <c r="AV773" i="1"/>
  <c r="BI982" i="1"/>
  <c r="BI984" i="1" s="1"/>
  <c r="BI838" i="1"/>
  <c r="BI839" i="1" s="1"/>
  <c r="J972" i="1"/>
  <c r="R974" i="1"/>
  <c r="R972" i="1"/>
  <c r="Z974" i="1"/>
  <c r="Z972" i="1"/>
  <c r="AH972" i="1"/>
  <c r="AP974" i="1"/>
  <c r="AP972" i="1"/>
  <c r="AX974" i="1"/>
  <c r="AX972" i="1"/>
  <c r="BF972" i="1"/>
  <c r="BN972" i="1"/>
  <c r="N755" i="1"/>
  <c r="D9" i="9"/>
  <c r="D755" i="1"/>
  <c r="T9" i="9"/>
  <c r="T755" i="1"/>
  <c r="AB9" i="9"/>
  <c r="AB755" i="1"/>
  <c r="AR9" i="9"/>
  <c r="AR785" i="1"/>
  <c r="AR755" i="1"/>
  <c r="BP9" i="9"/>
  <c r="BP785" i="1"/>
  <c r="BP786" i="1" s="1"/>
  <c r="BP755" i="1"/>
  <c r="BN755" i="1"/>
  <c r="H757" i="1"/>
  <c r="BD760" i="1"/>
  <c r="V783" i="1"/>
  <c r="V784" i="1" s="1"/>
  <c r="AO793" i="1"/>
  <c r="BC860" i="1"/>
  <c r="BC861" i="1" s="1"/>
  <c r="AX835" i="1"/>
  <c r="AX837" i="1" s="1"/>
  <c r="AX1262" i="1" s="1"/>
  <c r="AX779" i="1"/>
  <c r="AX780" i="1" s="1"/>
  <c r="AX782" i="1" s="1"/>
  <c r="AP839" i="1"/>
  <c r="BQ838" i="1"/>
  <c r="BQ839" i="1" s="1"/>
  <c r="BI957" i="1"/>
  <c r="BE974" i="1"/>
  <c r="Y984" i="1"/>
  <c r="BS979" i="1"/>
  <c r="AG984" i="1"/>
  <c r="BH984" i="1"/>
  <c r="E977" i="1"/>
  <c r="E972" i="1"/>
  <c r="E974" i="1"/>
  <c r="AK977" i="1"/>
  <c r="AK974" i="1"/>
  <c r="BJ974" i="1"/>
  <c r="G1121" i="1"/>
  <c r="BS994" i="1"/>
  <c r="BS995" i="1" s="1"/>
  <c r="BS722" i="1"/>
  <c r="BL105" i="9"/>
  <c r="BL1001" i="1"/>
  <c r="BL977" i="1" s="1"/>
  <c r="BK74" i="9"/>
  <c r="BS720" i="1"/>
  <c r="BK723" i="1"/>
  <c r="AT73" i="9"/>
  <c r="AT992" i="1"/>
  <c r="AT993" i="1" s="1"/>
  <c r="AT1185" i="1"/>
  <c r="AT805" i="1"/>
  <c r="BB73" i="9"/>
  <c r="BB1185" i="1"/>
  <c r="BB805" i="1"/>
  <c r="BB992" i="1"/>
  <c r="BJ73" i="9"/>
  <c r="BJ1185" i="1"/>
  <c r="BJ805" i="1"/>
  <c r="BR1185" i="1"/>
  <c r="BR992" i="1"/>
  <c r="BR805" i="1"/>
  <c r="C77" i="9"/>
  <c r="C1274" i="1"/>
  <c r="K77" i="9"/>
  <c r="K1281" i="1"/>
  <c r="K1274" i="1"/>
  <c r="S77" i="9"/>
  <c r="S1274" i="1"/>
  <c r="AA77" i="9"/>
  <c r="AA1274" i="1"/>
  <c r="AQ77" i="9"/>
  <c r="AQ1274" i="1"/>
  <c r="AY77" i="9"/>
  <c r="AY1274" i="1"/>
  <c r="AY1281" i="1"/>
  <c r="BG77" i="9"/>
  <c r="BG1274" i="1"/>
  <c r="BO77" i="9"/>
  <c r="BO1274" i="1"/>
  <c r="N80" i="9"/>
  <c r="N773" i="1"/>
  <c r="X80" i="9"/>
  <c r="X773" i="1"/>
  <c r="I738" i="1"/>
  <c r="Q738" i="1"/>
  <c r="Y738" i="1"/>
  <c r="AG738" i="1"/>
  <c r="AO738" i="1"/>
  <c r="AW738" i="1"/>
  <c r="BE738" i="1"/>
  <c r="BM738" i="1"/>
  <c r="E1261" i="1"/>
  <c r="E7" i="9"/>
  <c r="E985" i="1"/>
  <c r="E980" i="1" s="1"/>
  <c r="M7" i="9"/>
  <c r="M1261" i="1"/>
  <c r="M985" i="1"/>
  <c r="M980" i="1" s="1"/>
  <c r="U7" i="9"/>
  <c r="U1261" i="1"/>
  <c r="U985" i="1"/>
  <c r="U980" i="1" s="1"/>
  <c r="AC7" i="9"/>
  <c r="AC1261" i="1"/>
  <c r="AC985" i="1"/>
  <c r="AC980" i="1" s="1"/>
  <c r="AK7" i="9"/>
  <c r="AK1261" i="1"/>
  <c r="AK985" i="1"/>
  <c r="AK980" i="1" s="1"/>
  <c r="AS7" i="9"/>
  <c r="AS1261" i="1"/>
  <c r="AS985" i="1"/>
  <c r="BA7" i="9"/>
  <c r="BA1261" i="1"/>
  <c r="BA985" i="1"/>
  <c r="BA980" i="1" s="1"/>
  <c r="BI7" i="9"/>
  <c r="BI1261" i="1"/>
  <c r="BI985" i="1"/>
  <c r="BI980" i="1" s="1"/>
  <c r="BQ7" i="9"/>
  <c r="BQ1261" i="1"/>
  <c r="AO984" i="1"/>
  <c r="C974" i="1"/>
  <c r="C977" i="1"/>
  <c r="K974" i="1"/>
  <c r="K977" i="1"/>
  <c r="S974" i="1"/>
  <c r="S972" i="1"/>
  <c r="AA974" i="1"/>
  <c r="AA972" i="1"/>
  <c r="AQ974" i="1"/>
  <c r="AQ972" i="1"/>
  <c r="AY974" i="1"/>
  <c r="AY972" i="1"/>
  <c r="BG974" i="1"/>
  <c r="BO974" i="1"/>
  <c r="BO972" i="1"/>
  <c r="AU9" i="9"/>
  <c r="AU785" i="1"/>
  <c r="AU786" i="1" s="1"/>
  <c r="BC9" i="9"/>
  <c r="BC785" i="1"/>
  <c r="BK9" i="9"/>
  <c r="BK785" i="1"/>
  <c r="BK786" i="1" s="1"/>
  <c r="BS9" i="9"/>
  <c r="BS785" i="1"/>
  <c r="C93" i="9"/>
  <c r="BO108" i="9"/>
  <c r="BO93" i="9"/>
  <c r="C765" i="1"/>
  <c r="I773" i="1"/>
  <c r="AS773" i="1"/>
  <c r="AP782" i="1"/>
  <c r="AP1263" i="1" s="1"/>
  <c r="BG782" i="1"/>
  <c r="BG784" i="1" s="1"/>
  <c r="BO782" i="1"/>
  <c r="BO784" i="1" s="1"/>
  <c r="BO786" i="1" s="1"/>
  <c r="E783" i="1"/>
  <c r="E784" i="1" s="1"/>
  <c r="AK783" i="1"/>
  <c r="AK784" i="1" s="1"/>
  <c r="AK785" i="1" s="1"/>
  <c r="BQ783" i="1"/>
  <c r="BQ792" i="1" s="1"/>
  <c r="BQ793" i="1" s="1"/>
  <c r="AX789" i="1"/>
  <c r="BM801" i="1"/>
  <c r="AS845" i="1"/>
  <c r="BM835" i="1"/>
  <c r="BM837" i="1" s="1"/>
  <c r="BM839" i="1" s="1"/>
  <c r="BS839" i="1"/>
  <c r="AT866" i="1"/>
  <c r="BK866" i="1"/>
  <c r="AO943" i="1"/>
  <c r="BR801" i="1"/>
  <c r="I984" i="1"/>
  <c r="M974" i="1"/>
  <c r="AL974" i="1"/>
  <c r="AP1270" i="1"/>
  <c r="AP1135" i="1"/>
  <c r="AX1270" i="1"/>
  <c r="AX1135" i="1"/>
  <c r="BG1270" i="1"/>
  <c r="BX1127" i="1"/>
  <c r="BX728" i="1" s="1"/>
  <c r="BT728" i="1"/>
  <c r="AS1173" i="1"/>
  <c r="AV9" i="9"/>
  <c r="AV785" i="1"/>
  <c r="BD9" i="9"/>
  <c r="BD785" i="1"/>
  <c r="BL9" i="9"/>
  <c r="BL785" i="1"/>
  <c r="BT9" i="9"/>
  <c r="BT785" i="1"/>
  <c r="AQ108" i="9"/>
  <c r="AQ93" i="9"/>
  <c r="AI773" i="1"/>
  <c r="BQ773" i="1"/>
  <c r="AQ782" i="1"/>
  <c r="AQ784" i="1" s="1"/>
  <c r="AQ786" i="1" s="1"/>
  <c r="AS850" i="1"/>
  <c r="AS851" i="1" s="1"/>
  <c r="BC852" i="1"/>
  <c r="BR779" i="1"/>
  <c r="BR780" i="1" s="1"/>
  <c r="BR782" i="1" s="1"/>
  <c r="BR784" i="1" s="1"/>
  <c r="BR786" i="1" s="1"/>
  <c r="AQ866" i="1"/>
  <c r="AU866" i="1"/>
  <c r="AY955" i="1"/>
  <c r="BS955" i="1"/>
  <c r="N972" i="1"/>
  <c r="N977" i="1"/>
  <c r="N974" i="1"/>
  <c r="BG1089" i="1"/>
  <c r="BX696" i="1"/>
  <c r="G73" i="9"/>
  <c r="G992" i="1"/>
  <c r="G1185" i="1"/>
  <c r="O73" i="9"/>
  <c r="O1185" i="1"/>
  <c r="W73" i="9"/>
  <c r="W1185" i="1"/>
  <c r="AE73" i="9"/>
  <c r="AE1185" i="1"/>
  <c r="AE992" i="1"/>
  <c r="AE993" i="1" s="1"/>
  <c r="AE805" i="1"/>
  <c r="AM73" i="9"/>
  <c r="AM1185" i="1"/>
  <c r="AV73" i="9"/>
  <c r="AV1185" i="1"/>
  <c r="AV1270" i="1"/>
  <c r="AV992" i="1"/>
  <c r="BD73" i="9"/>
  <c r="BD1270" i="1"/>
  <c r="BD1185" i="1"/>
  <c r="BD992" i="1"/>
  <c r="BD993" i="1" s="1"/>
  <c r="BL73" i="9"/>
  <c r="BL1270" i="1"/>
  <c r="BL1185" i="1"/>
  <c r="BL992" i="1"/>
  <c r="BT73" i="9"/>
  <c r="BT1185" i="1"/>
  <c r="BT1270" i="1"/>
  <c r="BT992" i="1"/>
  <c r="BW993" i="1" s="1"/>
  <c r="E77" i="9"/>
  <c r="E1274" i="1"/>
  <c r="M77" i="9"/>
  <c r="M1274" i="1"/>
  <c r="U77" i="9"/>
  <c r="U1274" i="1"/>
  <c r="AC77" i="9"/>
  <c r="AC1274" i="1"/>
  <c r="AK77" i="9"/>
  <c r="AK1274" i="1"/>
  <c r="AS77" i="9"/>
  <c r="BA77" i="9"/>
  <c r="BA1274" i="1"/>
  <c r="BI77" i="9"/>
  <c r="BI1274" i="1"/>
  <c r="BQ77" i="9"/>
  <c r="BQ1274" i="1"/>
  <c r="H80" i="9"/>
  <c r="H773" i="1"/>
  <c r="G7" i="9"/>
  <c r="G1261" i="1"/>
  <c r="G985" i="1"/>
  <c r="O7" i="9"/>
  <c r="O1261" i="1"/>
  <c r="O985" i="1"/>
  <c r="O980" i="1" s="1"/>
  <c r="W7" i="9"/>
  <c r="W1261" i="1"/>
  <c r="W985" i="1"/>
  <c r="AE7" i="9"/>
  <c r="AE1261" i="1"/>
  <c r="AE985" i="1"/>
  <c r="AM7" i="9"/>
  <c r="AM1261" i="1"/>
  <c r="AM985" i="1"/>
  <c r="AM980" i="1" s="1"/>
  <c r="AU7" i="9"/>
  <c r="AU985" i="1"/>
  <c r="AU980" i="1" s="1"/>
  <c r="AU1261" i="1"/>
  <c r="BC7" i="9"/>
  <c r="BC1261" i="1"/>
  <c r="BC985" i="1"/>
  <c r="BK7" i="9"/>
  <c r="BK1261" i="1"/>
  <c r="BK985" i="1"/>
  <c r="BS7" i="9"/>
  <c r="BS1261" i="1"/>
  <c r="BS985" i="1"/>
  <c r="BS980" i="1" s="1"/>
  <c r="C986" i="1"/>
  <c r="AQ982" i="1"/>
  <c r="AQ984" i="1" s="1"/>
  <c r="AQ838" i="1"/>
  <c r="AQ839" i="1" s="1"/>
  <c r="AY838" i="1"/>
  <c r="AY839" i="1" s="1"/>
  <c r="AY982" i="1"/>
  <c r="AY984" i="1" s="1"/>
  <c r="BG838" i="1"/>
  <c r="BG839" i="1" s="1"/>
  <c r="BG982" i="1"/>
  <c r="BG984" i="1" s="1"/>
  <c r="BO982" i="1"/>
  <c r="BO984" i="1" s="1"/>
  <c r="BO838" i="1"/>
  <c r="BO839" i="1" s="1"/>
  <c r="BQ972" i="1"/>
  <c r="F8" i="9"/>
  <c r="F1262" i="1"/>
  <c r="N8" i="9"/>
  <c r="N1262" i="1"/>
  <c r="V8" i="9"/>
  <c r="V1262" i="1"/>
  <c r="AD8" i="9"/>
  <c r="AD1262" i="1"/>
  <c r="AL8" i="9"/>
  <c r="AL1262" i="1"/>
  <c r="AT8" i="9"/>
  <c r="AT1263" i="1"/>
  <c r="AT1262" i="1"/>
  <c r="BB8" i="9"/>
  <c r="BB1262" i="1"/>
  <c r="BB1263" i="1"/>
  <c r="BJ8" i="9"/>
  <c r="BJ1262" i="1"/>
  <c r="BJ1263" i="1"/>
  <c r="BR8" i="9"/>
  <c r="S108" i="9"/>
  <c r="S93" i="9"/>
  <c r="AD755" i="1"/>
  <c r="AJ773" i="1"/>
  <c r="G783" i="1"/>
  <c r="G784" i="1" s="1"/>
  <c r="AM783" i="1"/>
  <c r="AM784" i="1" s="1"/>
  <c r="BS783" i="1"/>
  <c r="BS792" i="1" s="1"/>
  <c r="BS793" i="1" s="1"/>
  <c r="BH789" i="1"/>
  <c r="BH791" i="1" s="1"/>
  <c r="BC845" i="1"/>
  <c r="AU839" i="1"/>
  <c r="AX844" i="1"/>
  <c r="AX845" i="1"/>
  <c r="BN931" i="1"/>
  <c r="BR931" i="1"/>
  <c r="BO940" i="1"/>
  <c r="O972" i="1"/>
  <c r="O974" i="1"/>
  <c r="BQ985" i="1"/>
  <c r="BQ980" i="1" s="1"/>
  <c r="BJ992" i="1"/>
  <c r="BQ1114" i="1"/>
  <c r="AX1170" i="1"/>
  <c r="BN1170" i="1"/>
  <c r="BR1222" i="1"/>
  <c r="BR1177" i="1"/>
  <c r="AL1177" i="1"/>
  <c r="AL1222" i="1"/>
  <c r="AL1223" i="1" s="1"/>
  <c r="AU1177" i="1"/>
  <c r="AU1222" i="1"/>
  <c r="AU1223" i="1" s="1"/>
  <c r="AI1177" i="1"/>
  <c r="H73" i="9"/>
  <c r="H1185" i="1"/>
  <c r="H992" i="1"/>
  <c r="J993" i="1" s="1"/>
  <c r="P73" i="9"/>
  <c r="P1185" i="1"/>
  <c r="P992" i="1"/>
  <c r="P993" i="1" s="1"/>
  <c r="X73" i="9"/>
  <c r="X1185" i="1"/>
  <c r="X992" i="1"/>
  <c r="AF73" i="9"/>
  <c r="AF1185" i="1"/>
  <c r="AF1270" i="1"/>
  <c r="AF992" i="1"/>
  <c r="AW73" i="9"/>
  <c r="AW1185" i="1"/>
  <c r="AW992" i="1"/>
  <c r="BE73" i="9"/>
  <c r="BE1185" i="1"/>
  <c r="BE992" i="1"/>
  <c r="F77" i="9"/>
  <c r="F1274" i="1"/>
  <c r="N77" i="9"/>
  <c r="N1274" i="1"/>
  <c r="V77" i="9"/>
  <c r="V1274" i="1"/>
  <c r="AL77" i="9"/>
  <c r="AL1274" i="1"/>
  <c r="AT77" i="9"/>
  <c r="AT1274" i="1"/>
  <c r="BB77" i="9"/>
  <c r="BB1274" i="1"/>
  <c r="BJ77" i="9"/>
  <c r="BJ1274" i="1"/>
  <c r="BR77" i="9"/>
  <c r="BR1274" i="1"/>
  <c r="BJ80" i="9"/>
  <c r="BJ773" i="1"/>
  <c r="H7" i="9"/>
  <c r="H1261" i="1"/>
  <c r="H783" i="1"/>
  <c r="H985" i="1"/>
  <c r="H980" i="1" s="1"/>
  <c r="P7" i="9"/>
  <c r="P1261" i="1"/>
  <c r="P985" i="1"/>
  <c r="P980" i="1" s="1"/>
  <c r="P783" i="1"/>
  <c r="X7" i="9"/>
  <c r="X1261" i="1"/>
  <c r="X783" i="1"/>
  <c r="AF7" i="9"/>
  <c r="AF1261" i="1"/>
  <c r="AF783" i="1"/>
  <c r="AV7" i="9"/>
  <c r="AV1261" i="1"/>
  <c r="AV783" i="1"/>
  <c r="AV792" i="1" s="1"/>
  <c r="BD7" i="9"/>
  <c r="BD1261" i="1"/>
  <c r="BD783" i="1"/>
  <c r="BD792" i="1" s="1"/>
  <c r="BL7" i="9"/>
  <c r="BL1261" i="1"/>
  <c r="BL985" i="1"/>
  <c r="BL980" i="1" s="1"/>
  <c r="BL783" i="1"/>
  <c r="BL792" i="1" s="1"/>
  <c r="BT7" i="9"/>
  <c r="BT1261" i="1"/>
  <c r="BT783" i="1"/>
  <c r="BT792" i="1" s="1"/>
  <c r="BT793" i="1" s="1"/>
  <c r="AR982" i="1"/>
  <c r="AR984" i="1" s="1"/>
  <c r="AR838" i="1"/>
  <c r="AR839" i="1" s="1"/>
  <c r="AZ838" i="1"/>
  <c r="AZ839" i="1" s="1"/>
  <c r="AZ982" i="1"/>
  <c r="AZ984" i="1" s="1"/>
  <c r="BP982" i="1"/>
  <c r="BP984" i="1" s="1"/>
  <c r="BP838" i="1"/>
  <c r="BP839" i="1" s="1"/>
  <c r="F974" i="1"/>
  <c r="F972" i="1"/>
  <c r="V977" i="1"/>
  <c r="V972" i="1"/>
  <c r="AT974" i="1"/>
  <c r="AT972" i="1"/>
  <c r="BR974" i="1"/>
  <c r="BR972" i="1"/>
  <c r="G8" i="9"/>
  <c r="G1262" i="1"/>
  <c r="G755" i="1"/>
  <c r="O8" i="9"/>
  <c r="O1262" i="1"/>
  <c r="O755" i="1"/>
  <c r="W8" i="9"/>
  <c r="W1262" i="1"/>
  <c r="W755" i="1"/>
  <c r="AE8" i="9"/>
  <c r="AE1262" i="1"/>
  <c r="AE755" i="1"/>
  <c r="AM8" i="9"/>
  <c r="AM1262" i="1"/>
  <c r="AM755" i="1"/>
  <c r="AU8" i="9"/>
  <c r="AU1263" i="1"/>
  <c r="AU1262" i="1"/>
  <c r="AU755" i="1"/>
  <c r="BC8" i="9"/>
  <c r="BC755" i="1"/>
  <c r="BK8" i="9"/>
  <c r="BK1263" i="1"/>
  <c r="BK1262" i="1"/>
  <c r="BK755" i="1"/>
  <c r="BS8" i="9"/>
  <c r="BS1263" i="1"/>
  <c r="BS1262" i="1"/>
  <c r="BS755" i="1"/>
  <c r="BG108" i="9"/>
  <c r="BG93" i="9"/>
  <c r="BI773" i="1"/>
  <c r="AD782" i="1"/>
  <c r="BC789" i="1"/>
  <c r="BC791" i="1" s="1"/>
  <c r="BC793" i="1" s="1"/>
  <c r="BT805" i="1"/>
  <c r="BX805" i="1" s="1"/>
  <c r="AN779" i="1"/>
  <c r="AN780" i="1" s="1"/>
  <c r="AN782" i="1" s="1"/>
  <c r="AN835" i="1"/>
  <c r="AN837" i="1" s="1"/>
  <c r="AN839" i="1" s="1"/>
  <c r="BB839" i="1"/>
  <c r="AS841" i="1"/>
  <c r="BH857" i="1"/>
  <c r="BH858" i="1" s="1"/>
  <c r="BE866" i="1"/>
  <c r="CC870" i="1"/>
  <c r="AX945" i="1"/>
  <c r="BG940" i="1"/>
  <c r="BF945" i="1"/>
  <c r="BS957" i="1"/>
  <c r="AU984" i="1"/>
  <c r="AJ1181" i="1"/>
  <c r="J1167" i="1"/>
  <c r="R1167" i="1"/>
  <c r="Y1170" i="1"/>
  <c r="AH1167" i="1"/>
  <c r="AG1170" i="1"/>
  <c r="BM100" i="9"/>
  <c r="BP101" i="9" s="1"/>
  <c r="BM998" i="1"/>
  <c r="BM974" i="1" s="1"/>
  <c r="BX870" i="1"/>
  <c r="BQ931" i="1"/>
  <c r="X978" i="1"/>
  <c r="J71" i="9"/>
  <c r="R71" i="9"/>
  <c r="AA71" i="9"/>
  <c r="BK1007" i="1"/>
  <c r="AS1047" i="1"/>
  <c r="AS1054" i="1" s="1"/>
  <c r="AS1099" i="1"/>
  <c r="AS1114" i="1" s="1"/>
  <c r="AI1100" i="1"/>
  <c r="AI1047" i="1"/>
  <c r="AI1054" i="1" s="1"/>
  <c r="C1105" i="1"/>
  <c r="C1114" i="1" s="1"/>
  <c r="C1047" i="1"/>
  <c r="C1054" i="1" s="1"/>
  <c r="C1089" i="1" s="1"/>
  <c r="C1092" i="1" s="1"/>
  <c r="D1091" i="1" s="1"/>
  <c r="Z1114" i="1"/>
  <c r="AH1114" i="1"/>
  <c r="AQ1114" i="1"/>
  <c r="AD1207" i="1"/>
  <c r="AD1002" i="1"/>
  <c r="AD979" i="1" s="1"/>
  <c r="BR1207" i="1"/>
  <c r="BR1002" i="1"/>
  <c r="AZ1207" i="1"/>
  <c r="AZ1188" i="1"/>
  <c r="BI1188" i="1"/>
  <c r="BI1192" i="1" s="1"/>
  <c r="AI1189" i="1"/>
  <c r="G114" i="9"/>
  <c r="G1244" i="1"/>
  <c r="G1254" i="1" s="1"/>
  <c r="G1256" i="1" s="1"/>
  <c r="G1004" i="1"/>
  <c r="G978" i="1" s="1"/>
  <c r="O114" i="9"/>
  <c r="O1244" i="1"/>
  <c r="O1254" i="1" s="1"/>
  <c r="O1256" i="1" s="1"/>
  <c r="O1004" i="1"/>
  <c r="O979" i="1" s="1"/>
  <c r="W114" i="9"/>
  <c r="X115" i="9" s="1"/>
  <c r="W1244" i="1"/>
  <c r="W1254" i="1" s="1"/>
  <c r="W1256" i="1" s="1"/>
  <c r="W1004" i="1"/>
  <c r="W979" i="1" s="1"/>
  <c r="C979" i="1"/>
  <c r="BQ979" i="1"/>
  <c r="N979" i="1"/>
  <c r="N978" i="1"/>
  <c r="BC80" i="9"/>
  <c r="BC773" i="1"/>
  <c r="M1114" i="1"/>
  <c r="T1153" i="1"/>
  <c r="AN1002" i="1"/>
  <c r="AN1207" i="1"/>
  <c r="AD1114" i="1"/>
  <c r="BH1124" i="1"/>
  <c r="BH1068" i="1"/>
  <c r="AD1068" i="1"/>
  <c r="AD1127" i="1"/>
  <c r="AD728" i="1" s="1"/>
  <c r="AN1138" i="1"/>
  <c r="AN1086" i="1"/>
  <c r="BH1086" i="1"/>
  <c r="BH1140" i="1"/>
  <c r="J1089" i="1"/>
  <c r="AR1121" i="1"/>
  <c r="AX81" i="9"/>
  <c r="H1176" i="1"/>
  <c r="BX1241" i="1"/>
  <c r="BY1241" i="1" s="1"/>
  <c r="S1261" i="1"/>
  <c r="BO931" i="1"/>
  <c r="AV945" i="1"/>
  <c r="BJ979" i="1"/>
  <c r="BJ978" i="1"/>
  <c r="BC1047" i="1"/>
  <c r="BC1054" i="1" s="1"/>
  <c r="BC1099" i="1"/>
  <c r="BC1114" i="1" s="1"/>
  <c r="Y1124" i="1"/>
  <c r="Y1175" i="1" s="1"/>
  <c r="Y1068" i="1"/>
  <c r="BM1124" i="1"/>
  <c r="BM1068" i="1"/>
  <c r="BM1089" i="1" s="1"/>
  <c r="AI1127" i="1"/>
  <c r="AI728" i="1" s="1"/>
  <c r="AJ1281" i="1" s="1"/>
  <c r="AI1068" i="1"/>
  <c r="AS1138" i="1"/>
  <c r="AS1153" i="1" s="1"/>
  <c r="AS1086" i="1"/>
  <c r="AI1139" i="1"/>
  <c r="AI734" i="1" s="1"/>
  <c r="AI79" i="9" s="1"/>
  <c r="AI1086" i="1"/>
  <c r="K1089" i="1"/>
  <c r="S1089" i="1"/>
  <c r="AB1089" i="1"/>
  <c r="BP1089" i="1"/>
  <c r="AU1114" i="1"/>
  <c r="BN1114" i="1"/>
  <c r="I1175" i="1"/>
  <c r="I1114" i="1"/>
  <c r="BO1121" i="1"/>
  <c r="AD71" i="9"/>
  <c r="AL71" i="9"/>
  <c r="AP1153" i="1"/>
  <c r="BI1153" i="1"/>
  <c r="BS1153" i="1"/>
  <c r="BP1153" i="1"/>
  <c r="BQ1222" i="1"/>
  <c r="BQ1223" i="1" s="1"/>
  <c r="BQ1177" i="1"/>
  <c r="BE1261" i="1"/>
  <c r="E73" i="9"/>
  <c r="E1185" i="1"/>
  <c r="M73" i="9"/>
  <c r="M1185" i="1"/>
  <c r="M992" i="1"/>
  <c r="AC73" i="9"/>
  <c r="AC1185" i="1"/>
  <c r="AK73" i="9"/>
  <c r="AK1185" i="1"/>
  <c r="AK992" i="1"/>
  <c r="BA73" i="9"/>
  <c r="BA1185" i="1"/>
  <c r="BI73" i="9"/>
  <c r="BI1185" i="1"/>
  <c r="BQ73" i="9"/>
  <c r="BQ1185" i="1"/>
  <c r="H77" i="9"/>
  <c r="H1274" i="1"/>
  <c r="P77" i="9"/>
  <c r="P1281" i="1"/>
  <c r="P1274" i="1"/>
  <c r="X77" i="9"/>
  <c r="X1274" i="1"/>
  <c r="AF77" i="9"/>
  <c r="AF1274" i="1"/>
  <c r="AN77" i="9"/>
  <c r="AV77" i="9"/>
  <c r="AV1274" i="1"/>
  <c r="BD77" i="9"/>
  <c r="BD1274" i="1"/>
  <c r="BL77" i="9"/>
  <c r="BL1274" i="1"/>
  <c r="I7" i="9"/>
  <c r="I1261" i="1"/>
  <c r="I985" i="1"/>
  <c r="I980" i="1" s="1"/>
  <c r="Q7" i="9"/>
  <c r="Q1261" i="1"/>
  <c r="AG7" i="9"/>
  <c r="AG1261" i="1"/>
  <c r="AO7" i="9"/>
  <c r="AO1261" i="1"/>
  <c r="AW7" i="9"/>
  <c r="AW1261" i="1"/>
  <c r="AW985" i="1"/>
  <c r="AW980" i="1" s="1"/>
  <c r="AM984" i="1"/>
  <c r="BK984" i="1"/>
  <c r="U977" i="1"/>
  <c r="C8" i="9"/>
  <c r="C1262" i="1"/>
  <c r="K8" i="9"/>
  <c r="K1262" i="1"/>
  <c r="S8" i="9"/>
  <c r="S1262" i="1"/>
  <c r="AA8" i="9"/>
  <c r="AA1262" i="1"/>
  <c r="AI8" i="9"/>
  <c r="AI1262" i="1"/>
  <c r="AQ8" i="9"/>
  <c r="AQ1262" i="1"/>
  <c r="AQ1263" i="1"/>
  <c r="AY8" i="9"/>
  <c r="AY1262" i="1"/>
  <c r="AY1263" i="1"/>
  <c r="BG8" i="9"/>
  <c r="BG1262" i="1"/>
  <c r="BG1263" i="1"/>
  <c r="BO8" i="9"/>
  <c r="BO1262" i="1"/>
  <c r="U805" i="1"/>
  <c r="BA805" i="1"/>
  <c r="BI805" i="1"/>
  <c r="BQ805" i="1"/>
  <c r="BG931" i="1"/>
  <c r="BS945" i="1"/>
  <c r="AO979" i="1"/>
  <c r="AW979" i="1"/>
  <c r="BE979" i="1"/>
  <c r="BO978" i="1"/>
  <c r="AL1114" i="1"/>
  <c r="D1174" i="1"/>
  <c r="D1180" i="1" s="1"/>
  <c r="L1174" i="1"/>
  <c r="T1174" i="1"/>
  <c r="AB1174" i="1"/>
  <c r="AT1180" i="1"/>
  <c r="F71" i="9"/>
  <c r="N71" i="9"/>
  <c r="V71" i="9"/>
  <c r="BB100" i="9"/>
  <c r="BB998" i="1"/>
  <c r="BB974" i="1" s="1"/>
  <c r="BM1261" i="1"/>
  <c r="J7" i="9"/>
  <c r="J1261" i="1"/>
  <c r="R7" i="9"/>
  <c r="R1261" i="1"/>
  <c r="R985" i="1"/>
  <c r="R980" i="1" s="1"/>
  <c r="Z7" i="9"/>
  <c r="Z1261" i="1"/>
  <c r="AH7" i="9"/>
  <c r="AH1261" i="1"/>
  <c r="AP7" i="9"/>
  <c r="AP1261" i="1"/>
  <c r="AX7" i="9"/>
  <c r="AX1261" i="1"/>
  <c r="BF7" i="9"/>
  <c r="BF1261" i="1"/>
  <c r="BF985" i="1"/>
  <c r="BF980" i="1" s="1"/>
  <c r="BN7" i="9"/>
  <c r="BN1261" i="1"/>
  <c r="H984" i="1"/>
  <c r="BT984" i="1"/>
  <c r="D8" i="9"/>
  <c r="D1262" i="1"/>
  <c r="L8" i="9"/>
  <c r="L1262" i="1"/>
  <c r="T8" i="9"/>
  <c r="T1262" i="1"/>
  <c r="AB8" i="9"/>
  <c r="AB1262" i="1"/>
  <c r="AR8" i="9"/>
  <c r="AR1262" i="1"/>
  <c r="AR1263" i="1"/>
  <c r="AZ8" i="9"/>
  <c r="AZ1263" i="1"/>
  <c r="AZ1262" i="1"/>
  <c r="BH8" i="9"/>
  <c r="BH1262" i="1"/>
  <c r="BH1263" i="1"/>
  <c r="BP8" i="9"/>
  <c r="BP1262" i="1"/>
  <c r="BP1263" i="1"/>
  <c r="AX931" i="1"/>
  <c r="BF931" i="1"/>
  <c r="BT945" i="1"/>
  <c r="AO985" i="1"/>
  <c r="AO980" i="1" s="1"/>
  <c r="BM985" i="1"/>
  <c r="BQ992" i="1"/>
  <c r="BZ993" i="1"/>
  <c r="AG979" i="1"/>
  <c r="BN979" i="1"/>
  <c r="AM1114" i="1"/>
  <c r="BJ1121" i="1"/>
  <c r="Y1153" i="1"/>
  <c r="AH1153" i="1"/>
  <c r="U1262" i="1"/>
  <c r="L59" i="11"/>
  <c r="L57" i="11"/>
  <c r="T57" i="11"/>
  <c r="T59" i="11"/>
  <c r="AB57" i="11"/>
  <c r="AB59" i="11"/>
  <c r="AJ59" i="11"/>
  <c r="AJ57" i="11"/>
  <c r="C7" i="9"/>
  <c r="C1261" i="1"/>
  <c r="C985" i="1"/>
  <c r="C980" i="1" s="1"/>
  <c r="K7" i="9"/>
  <c r="K1261" i="1"/>
  <c r="AA7" i="9"/>
  <c r="AA1261" i="1"/>
  <c r="AA985" i="1"/>
  <c r="AA980" i="1" s="1"/>
  <c r="AI7" i="9"/>
  <c r="AI1261" i="1"/>
  <c r="AQ7" i="9"/>
  <c r="AQ1261" i="1"/>
  <c r="AY7" i="9"/>
  <c r="AY1261" i="1"/>
  <c r="BG7" i="9"/>
  <c r="BG1261" i="1"/>
  <c r="BO7" i="9"/>
  <c r="BO1261" i="1"/>
  <c r="BO985" i="1"/>
  <c r="BO980" i="1" s="1"/>
  <c r="Q984" i="1"/>
  <c r="BE984" i="1"/>
  <c r="AM972" i="1"/>
  <c r="BK972" i="1"/>
  <c r="E8" i="9"/>
  <c r="E1262" i="1"/>
  <c r="M8" i="9"/>
  <c r="M1262" i="1"/>
  <c r="AC8" i="9"/>
  <c r="AC1262" i="1"/>
  <c r="AK8" i="9"/>
  <c r="AK1262" i="1"/>
  <c r="AS8" i="9"/>
  <c r="AS1263" i="1"/>
  <c r="BA8" i="9"/>
  <c r="BA1262" i="1"/>
  <c r="BA1263" i="1"/>
  <c r="BI8" i="9"/>
  <c r="BI1263" i="1"/>
  <c r="BI1262" i="1"/>
  <c r="BQ8" i="9"/>
  <c r="BQ1263" i="1"/>
  <c r="D782" i="1"/>
  <c r="L782" i="1"/>
  <c r="T782" i="1"/>
  <c r="AB782" i="1"/>
  <c r="AJ782" i="1"/>
  <c r="J783" i="1"/>
  <c r="R783" i="1"/>
  <c r="Z783" i="1"/>
  <c r="AH783" i="1"/>
  <c r="AP783" i="1"/>
  <c r="AP792" i="1" s="1"/>
  <c r="AP793" i="1" s="1"/>
  <c r="AX783" i="1"/>
  <c r="AX792" i="1" s="1"/>
  <c r="BF783" i="1"/>
  <c r="BF792" i="1" s="1"/>
  <c r="BN783" i="1"/>
  <c r="BN792" i="1" s="1"/>
  <c r="U972" i="1"/>
  <c r="AM977" i="1"/>
  <c r="Q985" i="1"/>
  <c r="AP985" i="1"/>
  <c r="AP980" i="1" s="1"/>
  <c r="BN985" i="1"/>
  <c r="BN980" i="1" s="1"/>
  <c r="G1007" i="1"/>
  <c r="Y1007" i="1"/>
  <c r="BG1114" i="1"/>
  <c r="N1114" i="1"/>
  <c r="V1114" i="1"/>
  <c r="AE1114" i="1"/>
  <c r="BP1121" i="1"/>
  <c r="BQ1135" i="1"/>
  <c r="Z1153" i="1"/>
  <c r="AW105" i="9"/>
  <c r="AW1256" i="1"/>
  <c r="BO1223" i="1"/>
  <c r="M105" i="9"/>
  <c r="M1001" i="1"/>
  <c r="M977" i="1" s="1"/>
  <c r="AF105" i="9"/>
  <c r="AX100" i="9"/>
  <c r="BW1253" i="1"/>
  <c r="BV1026" i="1"/>
  <c r="BV10" i="9" s="1"/>
  <c r="AJ1262" i="1"/>
  <c r="J1153" i="1"/>
  <c r="R1153" i="1"/>
  <c r="AT1153" i="1"/>
  <c r="BB1153" i="1"/>
  <c r="AK1153" i="1"/>
  <c r="AP81" i="9"/>
  <c r="BS81" i="9"/>
  <c r="AY1170" i="1"/>
  <c r="D1170" i="1"/>
  <c r="AB1170" i="1"/>
  <c r="BB1167" i="1"/>
  <c r="BI1170" i="1"/>
  <c r="BJ1167" i="1"/>
  <c r="BJ1170" i="1" s="1"/>
  <c r="F1182" i="1"/>
  <c r="U1176" i="1"/>
  <c r="K1176" i="1"/>
  <c r="T1173" i="1"/>
  <c r="AB1173" i="1"/>
  <c r="BF1173" i="1"/>
  <c r="AR1207" i="1"/>
  <c r="AR1188" i="1"/>
  <c r="AN1189" i="1"/>
  <c r="AN1190" i="1"/>
  <c r="AN1194" i="1" s="1"/>
  <c r="AG1244" i="1"/>
  <c r="AG1254" i="1" s="1"/>
  <c r="T1089" i="1"/>
  <c r="BO1089" i="1"/>
  <c r="AN81" i="9"/>
  <c r="J1114" i="1"/>
  <c r="R1114" i="1"/>
  <c r="AA1114" i="1"/>
  <c r="E1175" i="1"/>
  <c r="E1176" i="1" s="1"/>
  <c r="E1114" i="1"/>
  <c r="W1114" i="1"/>
  <c r="R1135" i="1"/>
  <c r="AT1270" i="1"/>
  <c r="BZ1270" i="1"/>
  <c r="BZ1135" i="1"/>
  <c r="BN1153" i="1"/>
  <c r="AG81" i="9"/>
  <c r="K1170" i="1"/>
  <c r="AL1167" i="1"/>
  <c r="F1180" i="1"/>
  <c r="E1182" i="1"/>
  <c r="BG1173" i="1"/>
  <c r="G105" i="9"/>
  <c r="O105" i="9"/>
  <c r="O1001" i="1"/>
  <c r="O977" i="1" s="1"/>
  <c r="BK1223" i="1"/>
  <c r="BK1003" i="1"/>
  <c r="I114" i="9"/>
  <c r="L115" i="9" s="1"/>
  <c r="I1244" i="1"/>
  <c r="I1254" i="1" s="1"/>
  <c r="I1256" i="1" s="1"/>
  <c r="Q114" i="9"/>
  <c r="Q1244" i="1"/>
  <c r="Q1254" i="1" s="1"/>
  <c r="Q1256" i="1" s="1"/>
  <c r="Y114" i="9"/>
  <c r="AW100" i="9"/>
  <c r="AW1254" i="1"/>
  <c r="J72" i="11"/>
  <c r="J74" i="11" s="1"/>
  <c r="BT1007" i="1"/>
  <c r="BH1114" i="1"/>
  <c r="AX1068" i="1"/>
  <c r="BC1138" i="1"/>
  <c r="BC1086" i="1"/>
  <c r="AM1089" i="1"/>
  <c r="AS81" i="9"/>
  <c r="K1114" i="1"/>
  <c r="AJ1114" i="1"/>
  <c r="BK1121" i="1"/>
  <c r="C1270" i="1"/>
  <c r="K1270" i="1"/>
  <c r="S1135" i="1"/>
  <c r="S1270" i="1"/>
  <c r="AB1270" i="1"/>
  <c r="AB1135" i="1"/>
  <c r="AL1135" i="1"/>
  <c r="BN1270" i="1"/>
  <c r="K1135" i="1"/>
  <c r="AQ1135" i="1"/>
  <c r="AL1153" i="1"/>
  <c r="D1153" i="1"/>
  <c r="L1153" i="1"/>
  <c r="I81" i="9"/>
  <c r="Q81" i="9"/>
  <c r="Y81" i="9"/>
  <c r="AH81" i="9"/>
  <c r="BK81" i="9"/>
  <c r="AC1176" i="1"/>
  <c r="H105" i="9"/>
  <c r="H1268" i="1"/>
  <c r="P105" i="9"/>
  <c r="P1268" i="1"/>
  <c r="X105" i="9"/>
  <c r="X1001" i="1"/>
  <c r="X977" i="1" s="1"/>
  <c r="AI1221" i="1"/>
  <c r="AI1222" i="1" s="1"/>
  <c r="AI1223" i="1" s="1"/>
  <c r="AJ1222" i="1"/>
  <c r="AJ1223" i="1" s="1"/>
  <c r="W105" i="9"/>
  <c r="D105" i="9"/>
  <c r="D1268" i="1"/>
  <c r="AB105" i="9"/>
  <c r="AB1268" i="1"/>
  <c r="AD114" i="9"/>
  <c r="AD1244" i="1"/>
  <c r="G100" i="9"/>
  <c r="O100" i="9"/>
  <c r="AF100" i="9"/>
  <c r="AF998" i="1"/>
  <c r="AF972" i="1" s="1"/>
  <c r="AF1254" i="1"/>
  <c r="AF1256" i="1" s="1"/>
  <c r="AR1270" i="1"/>
  <c r="AN57" i="11"/>
  <c r="AN59" i="11"/>
  <c r="I979" i="1"/>
  <c r="C978" i="1"/>
  <c r="S978" i="1"/>
  <c r="AA978" i="1"/>
  <c r="Q1004" i="1"/>
  <c r="Q978" i="1" s="1"/>
  <c r="Y1114" i="1"/>
  <c r="BM1114" i="1"/>
  <c r="BR71" i="9"/>
  <c r="BC1270" i="1"/>
  <c r="AS1068" i="1"/>
  <c r="D1114" i="1"/>
  <c r="T1114" i="1"/>
  <c r="AC1114" i="1"/>
  <c r="AK1114" i="1"/>
  <c r="AT1114" i="1"/>
  <c r="Z1180" i="1"/>
  <c r="Z1182" i="1"/>
  <c r="BA1114" i="1"/>
  <c r="Z71" i="9"/>
  <c r="D1270" i="1"/>
  <c r="BO1270" i="1"/>
  <c r="AR1135" i="1"/>
  <c r="BR1167" i="1"/>
  <c r="I105" i="9"/>
  <c r="Z105" i="9"/>
  <c r="Z1268" i="1"/>
  <c r="Z1256" i="1"/>
  <c r="Z1001" i="1"/>
  <c r="Z977" i="1" s="1"/>
  <c r="BB1222" i="1"/>
  <c r="BB1223" i="1" s="1"/>
  <c r="BB1177" i="1"/>
  <c r="AT1177" i="1"/>
  <c r="AT1222" i="1"/>
  <c r="AT1223" i="1" s="1"/>
  <c r="AG1221" i="1"/>
  <c r="AG1222" i="1" s="1"/>
  <c r="AG1223" i="1" s="1"/>
  <c r="AM105" i="9"/>
  <c r="AI1234" i="1"/>
  <c r="BV1226" i="1"/>
  <c r="BD114" i="9"/>
  <c r="BD1244" i="1"/>
  <c r="BD1254" i="1" s="1"/>
  <c r="H100" i="9"/>
  <c r="H998" i="1"/>
  <c r="H974" i="1" s="1"/>
  <c r="P100" i="9"/>
  <c r="P101" i="9" s="1"/>
  <c r="P998" i="1"/>
  <c r="P972" i="1" s="1"/>
  <c r="X100" i="9"/>
  <c r="X998" i="1"/>
  <c r="X974" i="1" s="1"/>
  <c r="BS100" i="9"/>
  <c r="BS101" i="9" s="1"/>
  <c r="C4" i="9"/>
  <c r="C1020" i="1"/>
  <c r="C516" i="1" s="1"/>
  <c r="C554" i="1" s="1"/>
  <c r="C562" i="1" s="1"/>
  <c r="C1019" i="1"/>
  <c r="K4" i="9"/>
  <c r="K1020" i="1"/>
  <c r="K516" i="1" s="1"/>
  <c r="K1019" i="1"/>
  <c r="S4" i="9"/>
  <c r="S1020" i="1"/>
  <c r="S516" i="1" s="1"/>
  <c r="AA4" i="9"/>
  <c r="AA1020" i="1"/>
  <c r="AA516" i="1" s="1"/>
  <c r="AI4" i="9"/>
  <c r="AI1020" i="1"/>
  <c r="AI516" i="1" s="1"/>
  <c r="AI1019" i="1"/>
  <c r="AQ4" i="9"/>
  <c r="AQ1020" i="1"/>
  <c r="AQ516" i="1" s="1"/>
  <c r="AQ1019" i="1"/>
  <c r="AY4" i="9"/>
  <c r="AY1020" i="1"/>
  <c r="AY516" i="1" s="1"/>
  <c r="AY1022" i="1"/>
  <c r="BG4" i="9"/>
  <c r="BG1020" i="1"/>
  <c r="BG516" i="1" s="1"/>
  <c r="BO4" i="9"/>
  <c r="BO1020" i="1"/>
  <c r="BO516" i="1" s="1"/>
  <c r="BO1019" i="1"/>
  <c r="BW4" i="9"/>
  <c r="BW1020" i="1"/>
  <c r="BW1017" i="1"/>
  <c r="BW1019" i="1"/>
  <c r="CE4" i="9"/>
  <c r="CE1020" i="1"/>
  <c r="CE1017" i="1"/>
  <c r="CE1023" i="1"/>
  <c r="CE1019" i="1"/>
  <c r="CE1022" i="1"/>
  <c r="BF1270" i="1"/>
  <c r="BF1135" i="1"/>
  <c r="BP1270" i="1"/>
  <c r="BP1135" i="1"/>
  <c r="L1135" i="1"/>
  <c r="BU1135" i="1"/>
  <c r="M1135" i="1"/>
  <c r="BG1170" i="1"/>
  <c r="Q1167" i="1"/>
  <c r="Q1170" i="1" s="1"/>
  <c r="U1167" i="1"/>
  <c r="AP1167" i="1"/>
  <c r="BM1170" i="1"/>
  <c r="L1173" i="1"/>
  <c r="BQ1173" i="1"/>
  <c r="D1176" i="1"/>
  <c r="Y1207" i="1"/>
  <c r="BM1207" i="1"/>
  <c r="AX1207" i="1"/>
  <c r="BN1223" i="1"/>
  <c r="AH1221" i="1"/>
  <c r="AH1222" i="1" s="1"/>
  <c r="AH1223" i="1" s="1"/>
  <c r="BK100" i="9"/>
  <c r="G1268" i="1"/>
  <c r="Z48" i="11"/>
  <c r="Z53" i="11" s="1"/>
  <c r="Z51" i="11"/>
  <c r="K52" i="11"/>
  <c r="K48" i="11"/>
  <c r="K53" i="11" s="1"/>
  <c r="AU940" i="1"/>
  <c r="BC940" i="1"/>
  <c r="BK940" i="1"/>
  <c r="D1001" i="1"/>
  <c r="D977" i="1" s="1"/>
  <c r="W1001" i="1"/>
  <c r="W977" i="1" s="1"/>
  <c r="H1007" i="1"/>
  <c r="AN1114" i="1"/>
  <c r="BR1100" i="1"/>
  <c r="BR1047" i="1"/>
  <c r="BR1054" i="1" s="1"/>
  <c r="BH1047" i="1"/>
  <c r="BH1054" i="1" s="1"/>
  <c r="Z1089" i="1"/>
  <c r="AR1089" i="1"/>
  <c r="BM81" i="9"/>
  <c r="AO1114" i="1"/>
  <c r="AJ1174" i="1"/>
  <c r="AR1174" i="1"/>
  <c r="D71" i="9"/>
  <c r="L71" i="9"/>
  <c r="T71" i="9"/>
  <c r="AU71" i="9"/>
  <c r="G1270" i="1"/>
  <c r="G1135" i="1"/>
  <c r="O1270" i="1"/>
  <c r="O1135" i="1"/>
  <c r="W1270" i="1"/>
  <c r="W1135" i="1"/>
  <c r="AQ1270" i="1"/>
  <c r="AY1270" i="1"/>
  <c r="AY1135" i="1"/>
  <c r="BI1270" i="1"/>
  <c r="BI1135" i="1"/>
  <c r="BR1270" i="1"/>
  <c r="BR1135" i="1"/>
  <c r="F1169" i="1"/>
  <c r="F1135" i="1"/>
  <c r="N1169" i="1"/>
  <c r="N1135" i="1"/>
  <c r="N1270" i="1"/>
  <c r="CF1135" i="1"/>
  <c r="I1135" i="1"/>
  <c r="BA1135" i="1"/>
  <c r="AZ1153" i="1"/>
  <c r="BH1153" i="1"/>
  <c r="BO1153" i="1"/>
  <c r="BF81" i="9"/>
  <c r="S1170" i="1"/>
  <c r="L1169" i="1"/>
  <c r="AE1182" i="1"/>
  <c r="AE1176" i="1"/>
  <c r="AB1175" i="1"/>
  <c r="J1173" i="1"/>
  <c r="R1173" i="1"/>
  <c r="R1176" i="1" s="1"/>
  <c r="AH1173" i="1"/>
  <c r="AH1176" i="1" s="1"/>
  <c r="AX1173" i="1"/>
  <c r="AX1188" i="1"/>
  <c r="AK105" i="9"/>
  <c r="N105" i="9"/>
  <c r="N1268" i="1"/>
  <c r="AD1189" i="1"/>
  <c r="AD1193" i="1" s="1"/>
  <c r="BR1189" i="1"/>
  <c r="AE114" i="9"/>
  <c r="AE115" i="9" s="1"/>
  <c r="AE1004" i="1"/>
  <c r="AN1234" i="1"/>
  <c r="AE1244" i="1"/>
  <c r="BC1252" i="1"/>
  <c r="R1270" i="1"/>
  <c r="CF1270" i="1"/>
  <c r="AD1047" i="1"/>
  <c r="AD1054" i="1" s="1"/>
  <c r="AD1135" i="1"/>
  <c r="AE1279" i="1" s="1"/>
  <c r="AD1270" i="1"/>
  <c r="BR1068" i="1"/>
  <c r="AD1153" i="1"/>
  <c r="BR1153" i="1"/>
  <c r="F1114" i="1"/>
  <c r="AN1174" i="1"/>
  <c r="AV1174" i="1"/>
  <c r="AY71" i="9"/>
  <c r="BG71" i="9"/>
  <c r="BP71" i="9"/>
  <c r="AH1270" i="1"/>
  <c r="AO1135" i="1"/>
  <c r="AH1135" i="1"/>
  <c r="M1153" i="1"/>
  <c r="AC1153" i="1"/>
  <c r="AA1153" i="1"/>
  <c r="J81" i="9"/>
  <c r="R81" i="9"/>
  <c r="Z81" i="9"/>
  <c r="AT81" i="9"/>
  <c r="BB81" i="9"/>
  <c r="M1176" i="1"/>
  <c r="AP1188" i="1"/>
  <c r="AP1192" i="1" s="1"/>
  <c r="AP1207" i="1"/>
  <c r="BG1188" i="1"/>
  <c r="BG1207" i="1"/>
  <c r="R105" i="9"/>
  <c r="R1001" i="1"/>
  <c r="R977" i="1" s="1"/>
  <c r="R1256" i="1"/>
  <c r="AZ1222" i="1"/>
  <c r="AZ1177" i="1"/>
  <c r="BS1222" i="1"/>
  <c r="BS1177" i="1"/>
  <c r="AS1234" i="1"/>
  <c r="BR1229" i="1"/>
  <c r="AL114" i="9"/>
  <c r="AL1244" i="1"/>
  <c r="AL1254" i="1" s="1"/>
  <c r="AU114" i="9"/>
  <c r="AU1244" i="1"/>
  <c r="AU1254" i="1" s="1"/>
  <c r="BO114" i="9"/>
  <c r="BO1244" i="1"/>
  <c r="BO1254" i="1" s="1"/>
  <c r="BM1243" i="1"/>
  <c r="BM1244" i="1" s="1"/>
  <c r="BM1254" i="1" s="1"/>
  <c r="AB100" i="9"/>
  <c r="AB1254" i="1"/>
  <c r="AB1256" i="1" s="1"/>
  <c r="AK100" i="9"/>
  <c r="M9" i="11"/>
  <c r="AI48" i="11"/>
  <c r="AA51" i="11"/>
  <c r="AA48" i="11"/>
  <c r="AA53" i="11" s="1"/>
  <c r="R57" i="11"/>
  <c r="R59" i="11"/>
  <c r="AH59" i="11"/>
  <c r="AH57" i="11"/>
  <c r="Z57" i="11"/>
  <c r="G62" i="11"/>
  <c r="G64" i="11"/>
  <c r="G66" i="11" s="1"/>
  <c r="L67" i="11" s="1"/>
  <c r="W62" i="11"/>
  <c r="W64" i="11"/>
  <c r="W66" i="11" s="1"/>
  <c r="AE62" i="11"/>
  <c r="AE64" i="11"/>
  <c r="AE66" i="11" s="1"/>
  <c r="AE67" i="11" s="1"/>
  <c r="AM62" i="11"/>
  <c r="AM64" i="11"/>
  <c r="AM66" i="11" s="1"/>
  <c r="AM67" i="11" s="1"/>
  <c r="M67" i="11"/>
  <c r="R67" i="11"/>
  <c r="AN71" i="9"/>
  <c r="I1089" i="1"/>
  <c r="Y1086" i="1"/>
  <c r="AH1089" i="1"/>
  <c r="AQ1089" i="1"/>
  <c r="AZ1089" i="1"/>
  <c r="BI1089" i="1"/>
  <c r="BS1089" i="1"/>
  <c r="BC81" i="9"/>
  <c r="O1114" i="1"/>
  <c r="CC1100" i="1"/>
  <c r="AP71" i="9"/>
  <c r="AZ71" i="9"/>
  <c r="I1270" i="1"/>
  <c r="Z1270" i="1"/>
  <c r="Z1135" i="1"/>
  <c r="AJ1270" i="1"/>
  <c r="AJ1135" i="1"/>
  <c r="BA1270" i="1"/>
  <c r="BY1270" i="1"/>
  <c r="CC1125" i="1"/>
  <c r="BY1135" i="1"/>
  <c r="AO1153" i="1"/>
  <c r="C1153" i="1"/>
  <c r="K1153" i="1"/>
  <c r="U1182" i="1"/>
  <c r="AQ1173" i="1"/>
  <c r="AQ1176" i="1" s="1"/>
  <c r="CC1169" i="1"/>
  <c r="AQ1188" i="1"/>
  <c r="AY1188" i="1"/>
  <c r="AY1192" i="1" s="1"/>
  <c r="BP1207" i="1"/>
  <c r="BP1188" i="1"/>
  <c r="AY1207" i="1"/>
  <c r="AS1222" i="1"/>
  <c r="AS1177" i="1"/>
  <c r="BG1222" i="1"/>
  <c r="BG1177" i="1"/>
  <c r="L105" i="9"/>
  <c r="L1268" i="1"/>
  <c r="BR1234" i="1"/>
  <c r="F114" i="9"/>
  <c r="F1244" i="1"/>
  <c r="F1254" i="1" s="1"/>
  <c r="F1256" i="1" s="1"/>
  <c r="N114" i="9"/>
  <c r="N1244" i="1"/>
  <c r="N1254" i="1" s="1"/>
  <c r="N1256" i="1" s="1"/>
  <c r="V114" i="9"/>
  <c r="V115" i="9" s="1"/>
  <c r="V1244" i="1"/>
  <c r="V1254" i="1" s="1"/>
  <c r="AM114" i="9"/>
  <c r="AM1244" i="1"/>
  <c r="AV114" i="9"/>
  <c r="AV1244" i="1"/>
  <c r="AV1254" i="1" s="1"/>
  <c r="BP114" i="9"/>
  <c r="BP1244" i="1"/>
  <c r="BP1254" i="1" s="1"/>
  <c r="BP1004" i="1"/>
  <c r="BP979" i="1" s="1"/>
  <c r="AN100" i="9"/>
  <c r="AN998" i="1"/>
  <c r="AN972" i="1" s="1"/>
  <c r="E4" i="9"/>
  <c r="E1022" i="1"/>
  <c r="M4" i="9"/>
  <c r="M1022" i="1"/>
  <c r="U4" i="9"/>
  <c r="U1022" i="1"/>
  <c r="AC4" i="9"/>
  <c r="AC1022" i="1"/>
  <c r="AK4" i="9"/>
  <c r="AK1022" i="1"/>
  <c r="AS4" i="9"/>
  <c r="AS1022" i="1"/>
  <c r="AS1007" i="1" s="1"/>
  <c r="BA4" i="9"/>
  <c r="BA1022" i="1"/>
  <c r="BI4" i="9"/>
  <c r="BI1022" i="1"/>
  <c r="BQ4" i="9"/>
  <c r="BQ1023" i="1"/>
  <c r="BQ1022" i="1"/>
  <c r="BY1017" i="1"/>
  <c r="CC941" i="1" s="1"/>
  <c r="BY1023" i="1"/>
  <c r="BY1022" i="1"/>
  <c r="BY1019" i="1"/>
  <c r="BY4" i="9"/>
  <c r="AZ1114" i="1"/>
  <c r="AT71" i="9"/>
  <c r="BB71" i="9"/>
  <c r="BJ71" i="9"/>
  <c r="BJ72" i="9" s="1"/>
  <c r="J1270" i="1"/>
  <c r="AZ1270" i="1"/>
  <c r="BQ1270" i="1"/>
  <c r="D1135" i="1"/>
  <c r="AT1135" i="1"/>
  <c r="BJ1153" i="1"/>
  <c r="BJ81" i="9"/>
  <c r="AO1169" i="1"/>
  <c r="BH1170" i="1"/>
  <c r="BP1170" i="1"/>
  <c r="K1182" i="1"/>
  <c r="AL1175" i="1"/>
  <c r="S1173" i="1"/>
  <c r="Z1176" i="1"/>
  <c r="AA1173" i="1"/>
  <c r="AI1173" i="1"/>
  <c r="AW1173" i="1"/>
  <c r="AW1176" i="1" s="1"/>
  <c r="AE105" i="9"/>
  <c r="AE1268" i="1"/>
  <c r="P114" i="9"/>
  <c r="P115" i="9" s="1"/>
  <c r="P1244" i="1"/>
  <c r="P1254" i="1" s="1"/>
  <c r="P1256" i="1" s="1"/>
  <c r="BG114" i="9"/>
  <c r="BG1244" i="1"/>
  <c r="BG1254" i="1" s="1"/>
  <c r="Y1243" i="1"/>
  <c r="Y1244" i="1" s="1"/>
  <c r="Y1254" i="1" s="1"/>
  <c r="BJ100" i="9"/>
  <c r="BR100" i="9"/>
  <c r="E9" i="11"/>
  <c r="Y8" i="11"/>
  <c r="Z9" i="11"/>
  <c r="Y9" i="11" s="1"/>
  <c r="Y46" i="11"/>
  <c r="Y51" i="11" s="1"/>
  <c r="Y29" i="11"/>
  <c r="AB48" i="11"/>
  <c r="AB53" i="11" s="1"/>
  <c r="AB50" i="11"/>
  <c r="AJ48" i="11"/>
  <c r="AJ53" i="11" s="1"/>
  <c r="AJ50" i="11"/>
  <c r="I48" i="11"/>
  <c r="I53" i="11" s="1"/>
  <c r="I51" i="11"/>
  <c r="Q67" i="11"/>
  <c r="AS71" i="9"/>
  <c r="AN1068" i="1"/>
  <c r="AN1124" i="1"/>
  <c r="AN1175" i="1" s="1"/>
  <c r="F1089" i="1"/>
  <c r="N1089" i="1"/>
  <c r="V1089" i="1"/>
  <c r="BH81" i="9"/>
  <c r="BB1114" i="1"/>
  <c r="G71" i="9"/>
  <c r="O71" i="9"/>
  <c r="W71" i="9"/>
  <c r="AE71" i="9"/>
  <c r="AM71" i="9"/>
  <c r="BD71" i="9"/>
  <c r="BL71" i="9"/>
  <c r="BT71" i="9"/>
  <c r="L1270" i="1"/>
  <c r="T1270" i="1"/>
  <c r="AC1270" i="1"/>
  <c r="AK1270" i="1"/>
  <c r="BB1270" i="1"/>
  <c r="BJ1270" i="1"/>
  <c r="BS1270" i="1"/>
  <c r="BS1135" i="1"/>
  <c r="CD1135" i="1"/>
  <c r="F1153" i="1"/>
  <c r="N1153" i="1"/>
  <c r="V1153" i="1"/>
  <c r="AM1153" i="1"/>
  <c r="AU1153" i="1"/>
  <c r="BL1153" i="1"/>
  <c r="BT1153" i="1"/>
  <c r="AL81" i="9"/>
  <c r="AU81" i="9"/>
  <c r="BL81" i="9"/>
  <c r="BT81" i="9"/>
  <c r="BE1169" i="1"/>
  <c r="M1170" i="1"/>
  <c r="AM1167" i="1"/>
  <c r="AU1167" i="1"/>
  <c r="BC1167" i="1"/>
  <c r="BK1167" i="1"/>
  <c r="AO1182" i="1"/>
  <c r="BN1182" i="1"/>
  <c r="BC1206" i="1"/>
  <c r="BC1188" i="1" s="1"/>
  <c r="BC1192" i="1" s="1"/>
  <c r="BD1207" i="1"/>
  <c r="C105" i="9"/>
  <c r="C106" i="9" s="1"/>
  <c r="C1268" i="1"/>
  <c r="K105" i="9"/>
  <c r="K1256" i="1"/>
  <c r="K1268" i="1"/>
  <c r="BT1223" i="1"/>
  <c r="AR1222" i="1"/>
  <c r="BA1222" i="1"/>
  <c r="BA1223" i="1" s="1"/>
  <c r="BI1222" i="1"/>
  <c r="BI1223" i="1" s="1"/>
  <c r="F105" i="9"/>
  <c r="E105" i="9"/>
  <c r="E1268" i="1"/>
  <c r="U105" i="9"/>
  <c r="U1268" i="1"/>
  <c r="Y1190" i="1"/>
  <c r="AI1243" i="1"/>
  <c r="H1244" i="1"/>
  <c r="H1254" i="1" s="1"/>
  <c r="H1256" i="1" s="1"/>
  <c r="AO1244" i="1"/>
  <c r="AO1254" i="1" s="1"/>
  <c r="D100" i="9"/>
  <c r="D101" i="9" s="1"/>
  <c r="L100" i="9"/>
  <c r="L1254" i="1"/>
  <c r="T100" i="9"/>
  <c r="T101" i="9" s="1"/>
  <c r="T1254" i="1"/>
  <c r="T1256" i="1" s="1"/>
  <c r="AC100" i="9"/>
  <c r="AL100" i="9"/>
  <c r="AT101" i="9"/>
  <c r="BT100" i="9"/>
  <c r="BT1254" i="1"/>
  <c r="AE1254" i="1"/>
  <c r="BV1270" i="1"/>
  <c r="AF53" i="11"/>
  <c r="O62" i="11"/>
  <c r="BT1114" i="1"/>
  <c r="G1175" i="1"/>
  <c r="G1176" i="1" s="1"/>
  <c r="O1175" i="1"/>
  <c r="O1176" i="1" s="1"/>
  <c r="W1175" i="1"/>
  <c r="W1176" i="1" s="1"/>
  <c r="S1114" i="1"/>
  <c r="AB1114" i="1"/>
  <c r="H71" i="9"/>
  <c r="P71" i="9"/>
  <c r="X71" i="9"/>
  <c r="BE71" i="9"/>
  <c r="BX1115" i="1"/>
  <c r="E1270" i="1"/>
  <c r="M1270" i="1"/>
  <c r="AL1270" i="1"/>
  <c r="AU1135" i="1"/>
  <c r="BK1135" i="1"/>
  <c r="BT1135" i="1"/>
  <c r="AC1135" i="1"/>
  <c r="G1153" i="1"/>
  <c r="O1153" i="1"/>
  <c r="W1153" i="1"/>
  <c r="AE1153" i="1"/>
  <c r="AV1153" i="1"/>
  <c r="BD1153" i="1"/>
  <c r="BM1138" i="1"/>
  <c r="BX1138" i="1"/>
  <c r="CC1147" i="1"/>
  <c r="CC734" i="1" s="1"/>
  <c r="F81" i="9"/>
  <c r="N81" i="9"/>
  <c r="V81" i="9"/>
  <c r="AM81" i="9"/>
  <c r="AV81" i="9"/>
  <c r="BD81" i="9"/>
  <c r="BX1155" i="1"/>
  <c r="BX81" i="9" s="1"/>
  <c r="G1167" i="1"/>
  <c r="O1167" i="1"/>
  <c r="W1167" i="1"/>
  <c r="AD1170" i="1"/>
  <c r="AK1177" i="1"/>
  <c r="AY1177" i="1"/>
  <c r="AV1222" i="1"/>
  <c r="AV1223" i="1" s="1"/>
  <c r="V105" i="9"/>
  <c r="BR1190" i="1"/>
  <c r="AN1243" i="1"/>
  <c r="BX1237" i="1"/>
  <c r="X1244" i="1"/>
  <c r="X1254" i="1" s="1"/>
  <c r="X1256" i="1" s="1"/>
  <c r="Y100" i="9"/>
  <c r="E100" i="9"/>
  <c r="M100" i="9"/>
  <c r="U100" i="9"/>
  <c r="AM100" i="9"/>
  <c r="AM1254" i="1"/>
  <c r="AM1256" i="1" s="1"/>
  <c r="AU100" i="9"/>
  <c r="V1256" i="1"/>
  <c r="Y62" i="11"/>
  <c r="Y64" i="11"/>
  <c r="Y66" i="11" s="1"/>
  <c r="AD1086" i="1"/>
  <c r="BR1086" i="1"/>
  <c r="AF1114" i="1"/>
  <c r="AV1114" i="1"/>
  <c r="BD1114" i="1"/>
  <c r="BL1114" i="1"/>
  <c r="BN1277" i="1" s="1"/>
  <c r="BE1114" i="1"/>
  <c r="I71" i="9"/>
  <c r="Q71" i="9"/>
  <c r="AG71" i="9"/>
  <c r="AO71" i="9"/>
  <c r="BF71" i="9"/>
  <c r="BN71" i="9"/>
  <c r="F1270" i="1"/>
  <c r="V1270" i="1"/>
  <c r="AE1270" i="1"/>
  <c r="AE1135" i="1"/>
  <c r="AM1270" i="1"/>
  <c r="AM1135" i="1"/>
  <c r="AV1135" i="1"/>
  <c r="BD1135" i="1"/>
  <c r="BL1135" i="1"/>
  <c r="J1135" i="1"/>
  <c r="T1135" i="1"/>
  <c r="AZ1135" i="1"/>
  <c r="BJ1135" i="1"/>
  <c r="H1153" i="1"/>
  <c r="P1153" i="1"/>
  <c r="X1153" i="1"/>
  <c r="AF1153" i="1"/>
  <c r="G81" i="9"/>
  <c r="O81" i="9"/>
  <c r="W81" i="9"/>
  <c r="AE81" i="9"/>
  <c r="AW81" i="9"/>
  <c r="BE81" i="9"/>
  <c r="BN81" i="9"/>
  <c r="CC81" i="9"/>
  <c r="V1167" i="1"/>
  <c r="F1175" i="1"/>
  <c r="F1176" i="1" s="1"/>
  <c r="BK1176" i="1"/>
  <c r="AO1176" i="1"/>
  <c r="AP1173" i="1"/>
  <c r="AO1188" i="1"/>
  <c r="BJ1223" i="1"/>
  <c r="BH1216" i="1"/>
  <c r="BM1214" i="1"/>
  <c r="BM1216" i="1" s="1"/>
  <c r="BE1173" i="1"/>
  <c r="BE1176" i="1" s="1"/>
  <c r="BH1234" i="1"/>
  <c r="AT114" i="9"/>
  <c r="AT115" i="9" s="1"/>
  <c r="AT1244" i="1"/>
  <c r="AT1254" i="1" s="1"/>
  <c r="BC1234" i="1"/>
  <c r="AX1243" i="1"/>
  <c r="BK1244" i="1"/>
  <c r="BK1254" i="1" s="1"/>
  <c r="BV1248" i="1"/>
  <c r="BW1248" i="1" s="1"/>
  <c r="BX1248" i="1" s="1"/>
  <c r="BY1248" i="1" s="1"/>
  <c r="BZ1248" i="1" s="1"/>
  <c r="CA1248" i="1" s="1"/>
  <c r="CB1248" i="1" s="1"/>
  <c r="CC1248" i="1" s="1"/>
  <c r="CD1248" i="1" s="1"/>
  <c r="CE1248" i="1" s="1"/>
  <c r="CF1248" i="1" s="1"/>
  <c r="F100" i="9"/>
  <c r="AV100" i="9"/>
  <c r="BE100" i="9"/>
  <c r="BE1254" i="1"/>
  <c r="C4" i="11"/>
  <c r="C3" i="11"/>
  <c r="O72" i="11"/>
  <c r="O74" i="11" s="1"/>
  <c r="P74" i="11" s="1"/>
  <c r="AF75" i="11"/>
  <c r="P1270" i="1"/>
  <c r="X1270" i="1"/>
  <c r="CA1135" i="1"/>
  <c r="C81" i="9"/>
  <c r="K81" i="9"/>
  <c r="S81" i="9"/>
  <c r="AA81" i="9"/>
  <c r="AQ81" i="9"/>
  <c r="AY81" i="9"/>
  <c r="BG81" i="9"/>
  <c r="BO81" i="9"/>
  <c r="BS1181" i="1"/>
  <c r="I1173" i="1"/>
  <c r="I1176" i="1" s="1"/>
  <c r="Q1173" i="1"/>
  <c r="Y1173" i="1"/>
  <c r="AG1173" i="1"/>
  <c r="BM1173" i="1"/>
  <c r="BU1173" i="1"/>
  <c r="BQ114" i="9"/>
  <c r="BQ1244" i="1"/>
  <c r="BQ1254" i="1" s="1"/>
  <c r="C1244" i="1"/>
  <c r="C1254" i="1" s="1"/>
  <c r="C1256" i="1" s="1"/>
  <c r="AI1252" i="1"/>
  <c r="AI93" i="9" s="1"/>
  <c r="H1270" i="1"/>
  <c r="AN46" i="11"/>
  <c r="AN29" i="11"/>
  <c r="T45" i="11"/>
  <c r="AK48" i="11"/>
  <c r="AK53" i="11" s="1"/>
  <c r="S48" i="11"/>
  <c r="S53" i="11" s="1"/>
  <c r="AC50" i="11"/>
  <c r="E71" i="9"/>
  <c r="M71" i="9"/>
  <c r="U71" i="9"/>
  <c r="AC71" i="9"/>
  <c r="AK71" i="9"/>
  <c r="BA71" i="9"/>
  <c r="BI71" i="9"/>
  <c r="BQ71" i="9"/>
  <c r="AG1270" i="1"/>
  <c r="AW1270" i="1"/>
  <c r="BX1124" i="1"/>
  <c r="P1135" i="1"/>
  <c r="X1135" i="1"/>
  <c r="CB1135" i="1"/>
  <c r="D81" i="9"/>
  <c r="L81" i="9"/>
  <c r="T81" i="9"/>
  <c r="AB81" i="9"/>
  <c r="AJ81" i="9"/>
  <c r="AR81" i="9"/>
  <c r="AZ81" i="9"/>
  <c r="BP81" i="9"/>
  <c r="AN1214" i="1"/>
  <c r="AN1216" i="1" s="1"/>
  <c r="D115" i="9"/>
  <c r="AB115" i="9"/>
  <c r="BA114" i="9"/>
  <c r="BA1244" i="1"/>
  <c r="BA1254" i="1" s="1"/>
  <c r="BI114" i="9"/>
  <c r="BN115" i="9" s="1"/>
  <c r="BI1244" i="1"/>
  <c r="BI1254" i="1" s="1"/>
  <c r="D1244" i="1"/>
  <c r="D1254" i="1" s="1"/>
  <c r="D1256" i="1" s="1"/>
  <c r="AJ1244" i="1"/>
  <c r="AJ1254" i="1" s="1"/>
  <c r="AZ100" i="9"/>
  <c r="BU4" i="9"/>
  <c r="CC4" i="9"/>
  <c r="C4" i="13"/>
  <c r="BA9" i="11"/>
  <c r="BS9" i="11"/>
  <c r="BR9" i="11" s="1"/>
  <c r="BR7" i="11"/>
  <c r="O48" i="11"/>
  <c r="O53" i="11" s="1"/>
  <c r="O50" i="11"/>
  <c r="AJ38" i="11"/>
  <c r="AO347" i="1" s="1"/>
  <c r="AO354" i="1" s="1"/>
  <c r="L48" i="11"/>
  <c r="L53" i="11" s="1"/>
  <c r="L50" i="11"/>
  <c r="AG52" i="11"/>
  <c r="AG48" i="11"/>
  <c r="AG53" i="11" s="1"/>
  <c r="S51" i="11"/>
  <c r="N62" i="11"/>
  <c r="AN66" i="11"/>
  <c r="U70" i="11"/>
  <c r="U72" i="11"/>
  <c r="AC70" i="11"/>
  <c r="AC72" i="11"/>
  <c r="AC74" i="11" s="1"/>
  <c r="AK70" i="11"/>
  <c r="AK72" i="11"/>
  <c r="AK74" i="11" s="1"/>
  <c r="N70" i="11"/>
  <c r="E81" i="9"/>
  <c r="M81" i="9"/>
  <c r="U81" i="9"/>
  <c r="AC81" i="9"/>
  <c r="AK81" i="9"/>
  <c r="BA81" i="9"/>
  <c r="BI81" i="9"/>
  <c r="BQ81" i="9"/>
  <c r="AX1234" i="1"/>
  <c r="E114" i="9"/>
  <c r="E115" i="9" s="1"/>
  <c r="E1244" i="1"/>
  <c r="E1254" i="1" s="1"/>
  <c r="E1256" i="1" s="1"/>
  <c r="M114" i="9"/>
  <c r="M1244" i="1"/>
  <c r="M1254" i="1" s="1"/>
  <c r="M1256" i="1" s="1"/>
  <c r="U114" i="9"/>
  <c r="Z115" i="9" s="1"/>
  <c r="U1244" i="1"/>
  <c r="U1254" i="1" s="1"/>
  <c r="U1256" i="1" s="1"/>
  <c r="AC114" i="9"/>
  <c r="AC115" i="9" s="1"/>
  <c r="AC1244" i="1"/>
  <c r="AC1254" i="1" s="1"/>
  <c r="AC1256" i="1" s="1"/>
  <c r="AK114" i="9"/>
  <c r="AK1244" i="1"/>
  <c r="AK1254" i="1" s="1"/>
  <c r="AK1256" i="1" s="1"/>
  <c r="BB114" i="9"/>
  <c r="BB1244" i="1"/>
  <c r="BB1254" i="1" s="1"/>
  <c r="BJ114" i="9"/>
  <c r="BJ1244" i="1"/>
  <c r="BJ1254" i="1" s="1"/>
  <c r="BC1243" i="1"/>
  <c r="AA1244" i="1"/>
  <c r="AA1254" i="1" s="1"/>
  <c r="AA1256" i="1" s="1"/>
  <c r="BS1244" i="1"/>
  <c r="BS1254" i="1" s="1"/>
  <c r="AJ100" i="9"/>
  <c r="AJ101" i="9" s="1"/>
  <c r="AR100" i="9"/>
  <c r="BA100" i="9"/>
  <c r="BI100" i="9"/>
  <c r="BI101" i="9" s="1"/>
  <c r="BQ100" i="9"/>
  <c r="BV4" i="9"/>
  <c r="CD4" i="9"/>
  <c r="T32" i="11"/>
  <c r="T27" i="11"/>
  <c r="V48" i="11"/>
  <c r="V53" i="11" s="1"/>
  <c r="V50" i="11"/>
  <c r="AM48" i="11"/>
  <c r="AM53" i="11" s="1"/>
  <c r="N50" i="11"/>
  <c r="AK50" i="11"/>
  <c r="AC64" i="11"/>
  <c r="AC66" i="11" s="1"/>
  <c r="AC67" i="11" s="1"/>
  <c r="AC62" i="11"/>
  <c r="AK64" i="11"/>
  <c r="AK66" i="11" s="1"/>
  <c r="AK62" i="11"/>
  <c r="AD72" i="11"/>
  <c r="AD74" i="11" s="1"/>
  <c r="AD70" i="11"/>
  <c r="AL72" i="11"/>
  <c r="AL74" i="11" s="1"/>
  <c r="AL75" i="11" s="1"/>
  <c r="AL70" i="11"/>
  <c r="R75" i="11"/>
  <c r="Y32" i="11"/>
  <c r="Y27" i="11"/>
  <c r="Y45" i="11"/>
  <c r="AD27" i="11"/>
  <c r="W53" i="11"/>
  <c r="V64" i="11"/>
  <c r="V66" i="11" s="1"/>
  <c r="V67" i="11" s="1"/>
  <c r="V62" i="11"/>
  <c r="AD64" i="11"/>
  <c r="AD66" i="11" s="1"/>
  <c r="AL64" i="11"/>
  <c r="AL66" i="11" s="1"/>
  <c r="AL67" i="11" s="1"/>
  <c r="AL62" i="11"/>
  <c r="Z67" i="11"/>
  <c r="G70" i="11"/>
  <c r="G72" i="11"/>
  <c r="G74" i="11" s="1"/>
  <c r="AE70" i="11"/>
  <c r="AE72" i="11"/>
  <c r="AM70" i="11"/>
  <c r="AM72" i="11"/>
  <c r="AM74" i="11" s="1"/>
  <c r="BX4" i="9"/>
  <c r="CF4" i="9"/>
  <c r="BI9" i="11"/>
  <c r="BH9" i="11" s="1"/>
  <c r="BH7" i="11"/>
  <c r="BK9" i="11"/>
  <c r="AI16" i="11"/>
  <c r="AN47" i="11"/>
  <c r="AN52" i="11" s="1"/>
  <c r="AN31" i="11"/>
  <c r="AD43" i="11"/>
  <c r="AD47" i="11"/>
  <c r="AD52" i="11" s="1"/>
  <c r="M48" i="11"/>
  <c r="M53" i="11" s="1"/>
  <c r="AD50" i="11"/>
  <c r="M50" i="11"/>
  <c r="Q75" i="11"/>
  <c r="R101" i="9"/>
  <c r="Z101" i="9"/>
  <c r="CF1390" i="1"/>
  <c r="CF1021" i="1" s="1"/>
  <c r="BX1390" i="1"/>
  <c r="BX1021" i="1" s="1"/>
  <c r="BP1390" i="1"/>
  <c r="BP1021" i="1" s="1"/>
  <c r="BH1390" i="1"/>
  <c r="BH1021" i="1" s="1"/>
  <c r="AZ1390" i="1"/>
  <c r="AZ1021" i="1" s="1"/>
  <c r="AR1390" i="1"/>
  <c r="AR1021" i="1" s="1"/>
  <c r="AJ1390" i="1"/>
  <c r="AJ1021" i="1" s="1"/>
  <c r="AB1390" i="1"/>
  <c r="AB1021" i="1" s="1"/>
  <c r="T1390" i="1"/>
  <c r="T1021" i="1" s="1"/>
  <c r="L1390" i="1"/>
  <c r="L1021" i="1" s="1"/>
  <c r="D1390" i="1"/>
  <c r="D1021" i="1" s="1"/>
  <c r="CA1383" i="1"/>
  <c r="BS1383" i="1"/>
  <c r="BS1019" i="1" s="1"/>
  <c r="BK1383" i="1"/>
  <c r="BK1019" i="1" s="1"/>
  <c r="BC1383" i="1"/>
  <c r="BC1019" i="1" s="1"/>
  <c r="AU1383" i="1"/>
  <c r="AU1019" i="1" s="1"/>
  <c r="AM1383" i="1"/>
  <c r="AM1019" i="1" s="1"/>
  <c r="AE1383" i="1"/>
  <c r="AE1019" i="1" s="1"/>
  <c r="W1383" i="1"/>
  <c r="W1019" i="1" s="1"/>
  <c r="O1383" i="1"/>
  <c r="O1019" i="1" s="1"/>
  <c r="G1383" i="1"/>
  <c r="G1019" i="1" s="1"/>
  <c r="CD1376" i="1"/>
  <c r="BV1376" i="1"/>
  <c r="BN1376" i="1"/>
  <c r="BN1018" i="1" s="1"/>
  <c r="BF1376" i="1"/>
  <c r="BF1018" i="1" s="1"/>
  <c r="AX1376" i="1"/>
  <c r="AX1018" i="1" s="1"/>
  <c r="AP1376" i="1"/>
  <c r="AP1018" i="1" s="1"/>
  <c r="AH1376" i="1"/>
  <c r="AH1018" i="1" s="1"/>
  <c r="Z1376" i="1"/>
  <c r="Z1018" i="1" s="1"/>
  <c r="R1376" i="1"/>
  <c r="R1018" i="1" s="1"/>
  <c r="J1376" i="1"/>
  <c r="J1018" i="1" s="1"/>
  <c r="A1376" i="1"/>
  <c r="BY1369" i="1"/>
  <c r="BQ1369" i="1"/>
  <c r="BQ1017" i="1" s="1"/>
  <c r="BI1369" i="1"/>
  <c r="BI1017" i="1" s="1"/>
  <c r="BA1369" i="1"/>
  <c r="BA1017" i="1" s="1"/>
  <c r="AS1369" i="1"/>
  <c r="AS1017" i="1" s="1"/>
  <c r="AK1369" i="1"/>
  <c r="AK1017" i="1" s="1"/>
  <c r="AC1369" i="1"/>
  <c r="AC1017" i="1" s="1"/>
  <c r="U1369" i="1"/>
  <c r="U1017" i="1" s="1"/>
  <c r="M1369" i="1"/>
  <c r="M1017" i="1" s="1"/>
  <c r="E1369" i="1"/>
  <c r="E1017" i="1" s="1"/>
  <c r="CE1390" i="1"/>
  <c r="CE1021" i="1" s="1"/>
  <c r="BW1390" i="1"/>
  <c r="BW1021" i="1" s="1"/>
  <c r="BO1390" i="1"/>
  <c r="BO1021" i="1" s="1"/>
  <c r="BG1390" i="1"/>
  <c r="BG1021" i="1" s="1"/>
  <c r="AY1390" i="1"/>
  <c r="AY1021" i="1" s="1"/>
  <c r="AQ1390" i="1"/>
  <c r="AQ1021" i="1" s="1"/>
  <c r="AI1390" i="1"/>
  <c r="AI1021" i="1" s="1"/>
  <c r="AA1390" i="1"/>
  <c r="AA1021" i="1" s="1"/>
  <c r="S1390" i="1"/>
  <c r="S1021" i="1" s="1"/>
  <c r="K1390" i="1"/>
  <c r="K1021" i="1" s="1"/>
  <c r="C1390" i="1"/>
  <c r="C1021" i="1" s="1"/>
  <c r="BZ1383" i="1"/>
  <c r="BR1383" i="1"/>
  <c r="BR1019" i="1" s="1"/>
  <c r="BJ1383" i="1"/>
  <c r="BJ1019" i="1" s="1"/>
  <c r="BB1383" i="1"/>
  <c r="BB1019" i="1" s="1"/>
  <c r="AT1383" i="1"/>
  <c r="AT1019" i="1" s="1"/>
  <c r="AL1383" i="1"/>
  <c r="AL1019" i="1" s="1"/>
  <c r="AD1383" i="1"/>
  <c r="AD1019" i="1" s="1"/>
  <c r="V1383" i="1"/>
  <c r="V1019" i="1" s="1"/>
  <c r="N1383" i="1"/>
  <c r="N1019" i="1" s="1"/>
  <c r="F1383" i="1"/>
  <c r="F1019" i="1" s="1"/>
  <c r="CC1376" i="1"/>
  <c r="BU1376" i="1"/>
  <c r="BM1376" i="1"/>
  <c r="BM1018" i="1" s="1"/>
  <c r="BE1376" i="1"/>
  <c r="BE1018" i="1" s="1"/>
  <c r="AW1376" i="1"/>
  <c r="AW1018" i="1" s="1"/>
  <c r="AO1376" i="1"/>
  <c r="AO1018" i="1" s="1"/>
  <c r="AG1376" i="1"/>
  <c r="AG1018" i="1" s="1"/>
  <c r="Y1376" i="1"/>
  <c r="Y1018" i="1" s="1"/>
  <c r="Q1376" i="1"/>
  <c r="Q1018" i="1" s="1"/>
  <c r="I1376" i="1"/>
  <c r="I1018" i="1" s="1"/>
  <c r="CF1369" i="1"/>
  <c r="BX1369" i="1"/>
  <c r="BP1369" i="1"/>
  <c r="BP1017" i="1" s="1"/>
  <c r="BH1369" i="1"/>
  <c r="BH1017" i="1" s="1"/>
  <c r="AZ1369" i="1"/>
  <c r="AZ1017" i="1" s="1"/>
  <c r="AR1369" i="1"/>
  <c r="AR1017" i="1" s="1"/>
  <c r="AJ1369" i="1"/>
  <c r="AJ1017" i="1" s="1"/>
  <c r="AB1369" i="1"/>
  <c r="AB1017" i="1" s="1"/>
  <c r="T1369" i="1"/>
  <c r="T1017" i="1" s="1"/>
  <c r="L1369" i="1"/>
  <c r="L1017" i="1" s="1"/>
  <c r="D1369" i="1"/>
  <c r="D1017" i="1" s="1"/>
  <c r="CD1390" i="1"/>
  <c r="CD1021" i="1" s="1"/>
  <c r="BV1390" i="1"/>
  <c r="BV1021" i="1" s="1"/>
  <c r="BN1390" i="1"/>
  <c r="BN1021" i="1" s="1"/>
  <c r="BF1390" i="1"/>
  <c r="BF1021" i="1" s="1"/>
  <c r="AX1390" i="1"/>
  <c r="AX1021" i="1" s="1"/>
  <c r="AP1390" i="1"/>
  <c r="AP1021" i="1" s="1"/>
  <c r="AH1390" i="1"/>
  <c r="AH1021" i="1" s="1"/>
  <c r="Z1390" i="1"/>
  <c r="Z1021" i="1" s="1"/>
  <c r="R1390" i="1"/>
  <c r="R1021" i="1" s="1"/>
  <c r="J1390" i="1"/>
  <c r="J1021" i="1" s="1"/>
  <c r="A1390" i="1"/>
  <c r="BY1383" i="1"/>
  <c r="BQ1383" i="1"/>
  <c r="BQ1019" i="1" s="1"/>
  <c r="BI1383" i="1"/>
  <c r="BI1019" i="1" s="1"/>
  <c r="BA1383" i="1"/>
  <c r="BA1019" i="1" s="1"/>
  <c r="AS1383" i="1"/>
  <c r="AS1019" i="1" s="1"/>
  <c r="AK1383" i="1"/>
  <c r="AK1019" i="1" s="1"/>
  <c r="AC1383" i="1"/>
  <c r="AC1019" i="1" s="1"/>
  <c r="U1383" i="1"/>
  <c r="U1019" i="1" s="1"/>
  <c r="M1383" i="1"/>
  <c r="M1019" i="1" s="1"/>
  <c r="E1383" i="1"/>
  <c r="E1019" i="1" s="1"/>
  <c r="CB1376" i="1"/>
  <c r="BT1376" i="1"/>
  <c r="BT1018" i="1" s="1"/>
  <c r="BL1376" i="1"/>
  <c r="BL1018" i="1" s="1"/>
  <c r="BD1376" i="1"/>
  <c r="BD1018" i="1" s="1"/>
  <c r="AV1376" i="1"/>
  <c r="AV1018" i="1" s="1"/>
  <c r="AN1376" i="1"/>
  <c r="AN1018" i="1" s="1"/>
  <c r="AF1376" i="1"/>
  <c r="AF1018" i="1" s="1"/>
  <c r="X1376" i="1"/>
  <c r="X1018" i="1" s="1"/>
  <c r="P1376" i="1"/>
  <c r="P1018" i="1" s="1"/>
  <c r="H1376" i="1"/>
  <c r="H1018" i="1" s="1"/>
  <c r="CE1369" i="1"/>
  <c r="BW1369" i="1"/>
  <c r="BO1369" i="1"/>
  <c r="BO1017" i="1" s="1"/>
  <c r="BG1369" i="1"/>
  <c r="BG1017" i="1" s="1"/>
  <c r="AY1369" i="1"/>
  <c r="AY1017" i="1" s="1"/>
  <c r="AQ1369" i="1"/>
  <c r="AQ1017" i="1" s="1"/>
  <c r="AI1369" i="1"/>
  <c r="AI1017" i="1" s="1"/>
  <c r="AA1369" i="1"/>
  <c r="AA1017" i="1" s="1"/>
  <c r="S1369" i="1"/>
  <c r="S1017" i="1" s="1"/>
  <c r="K1369" i="1"/>
  <c r="K1017" i="1" s="1"/>
  <c r="C1369" i="1"/>
  <c r="C1017" i="1" s="1"/>
  <c r="AB9" i="11"/>
  <c r="J45" i="11"/>
  <c r="AD46" i="11"/>
  <c r="AD51" i="11" s="1"/>
  <c r="AD29" i="11"/>
  <c r="J47" i="11"/>
  <c r="J52" i="11" s="1"/>
  <c r="J62" i="11"/>
  <c r="P67" i="11"/>
  <c r="AA75" i="11"/>
  <c r="AJ70" i="11"/>
  <c r="S75" i="11"/>
  <c r="AD87" i="11"/>
  <c r="AD89" i="11" s="1"/>
  <c r="K101" i="9"/>
  <c r="S101" i="9"/>
  <c r="AQ101" i="9"/>
  <c r="AY101" i="9"/>
  <c r="AK9" i="11"/>
  <c r="AX16" i="11"/>
  <c r="AI29" i="11"/>
  <c r="AI66" i="11"/>
  <c r="X57" i="11"/>
  <c r="X59" i="11"/>
  <c r="S64" i="11"/>
  <c r="S66" i="11" s="1"/>
  <c r="S67" i="11" s="1"/>
  <c r="S62" i="11"/>
  <c r="AA64" i="11"/>
  <c r="AA66" i="11" s="1"/>
  <c r="AA62" i="11"/>
  <c r="K62" i="11"/>
  <c r="AB72" i="11"/>
  <c r="AB74" i="11" s="1"/>
  <c r="AG75" i="11" s="1"/>
  <c r="AB70" i="11"/>
  <c r="BZ4" i="9"/>
  <c r="AT1780" i="13"/>
  <c r="J66" i="11"/>
  <c r="O67" i="11" s="1"/>
  <c r="U57" i="11"/>
  <c r="P62" i="11"/>
  <c r="Q70" i="11"/>
  <c r="Y87" i="11"/>
  <c r="Y89" i="11" s="1"/>
  <c r="CA4" i="9"/>
  <c r="AI32" i="11"/>
  <c r="T43" i="11"/>
  <c r="W57" i="11"/>
  <c r="CB4" i="9"/>
  <c r="T66" i="11"/>
  <c r="T67" i="11" s="1"/>
  <c r="T46" i="11"/>
  <c r="T51" i="11" s="1"/>
  <c r="AI74" i="11"/>
  <c r="AI75" i="11" s="1"/>
  <c r="AN32" i="11"/>
  <c r="O59" i="11"/>
  <c r="M57" i="11"/>
  <c r="H62" i="11"/>
  <c r="AN62" i="11"/>
  <c r="AI87" i="11"/>
  <c r="AI89" i="11" s="1"/>
  <c r="AI27" i="11"/>
  <c r="AO1001" i="1" l="1"/>
  <c r="AO977" i="1" s="1"/>
  <c r="AO105" i="9"/>
  <c r="AY204" i="1"/>
  <c r="AY205" i="1"/>
  <c r="AY200" i="1"/>
  <c r="AY203" i="1"/>
  <c r="BJ433" i="1"/>
  <c r="AM433" i="1"/>
  <c r="U9" i="1"/>
  <c r="BA158" i="1"/>
  <c r="AJ1170" i="1"/>
  <c r="AH75" i="11"/>
  <c r="AI63" i="9"/>
  <c r="AE80" i="1"/>
  <c r="AE147" i="1" s="1"/>
  <c r="M1023" i="1"/>
  <c r="AY584" i="1"/>
  <c r="AY579" i="1" s="1"/>
  <c r="BU52" i="1"/>
  <c r="AM157" i="1"/>
  <c r="AG86" i="1"/>
  <c r="AB158" i="1"/>
  <c r="U152" i="1"/>
  <c r="BA9" i="1"/>
  <c r="BB10" i="1" s="1"/>
  <c r="R1268" i="1"/>
  <c r="AD1176" i="1"/>
  <c r="V1176" i="1"/>
  <c r="AX1089" i="1"/>
  <c r="BS80" i="9"/>
  <c r="BS773" i="1"/>
  <c r="M80" i="9"/>
  <c r="M773" i="1"/>
  <c r="P247" i="1"/>
  <c r="P211" i="1"/>
  <c r="P212" i="1" s="1"/>
  <c r="P214" i="1" s="1"/>
  <c r="P215" i="1" s="1"/>
  <c r="N215" i="1"/>
  <c r="BN1023" i="1"/>
  <c r="BN1007" i="1" s="1"/>
  <c r="BN516" i="1"/>
  <c r="AL1023" i="1"/>
  <c r="AL1007" i="1" s="1"/>
  <c r="AL516" i="1"/>
  <c r="T152" i="1"/>
  <c r="T159" i="1" s="1"/>
  <c r="T9" i="1"/>
  <c r="T10" i="1" s="1"/>
  <c r="AD402" i="1"/>
  <c r="AD61" i="9" s="1"/>
  <c r="W991" i="1"/>
  <c r="BM8" i="9"/>
  <c r="O991" i="1"/>
  <c r="J738" i="1"/>
  <c r="BL1188" i="1"/>
  <c r="BL1192" i="1" s="1"/>
  <c r="N1190" i="1"/>
  <c r="S1194" i="1" s="1"/>
  <c r="AN472" i="1"/>
  <c r="AN474" i="1" s="1"/>
  <c r="BS304" i="1"/>
  <c r="BR550" i="1"/>
  <c r="AI153" i="1"/>
  <c r="BH226" i="1"/>
  <c r="I153" i="1"/>
  <c r="I159" i="1" s="1"/>
  <c r="AG153" i="1"/>
  <c r="AS26" i="1"/>
  <c r="AS19" i="9" s="1"/>
  <c r="N63" i="9"/>
  <c r="AZ215" i="1"/>
  <c r="BF1192" i="1"/>
  <c r="Z436" i="1"/>
  <c r="Z442" i="1" s="1"/>
  <c r="Z480" i="1" s="1"/>
  <c r="AE219" i="1"/>
  <c r="V236" i="1"/>
  <c r="J198" i="1"/>
  <c r="BK183" i="1"/>
  <c r="BK16" i="1" s="1"/>
  <c r="X75" i="11"/>
  <c r="Q1268" i="1"/>
  <c r="BJ236" i="1"/>
  <c r="AJ236" i="1"/>
  <c r="BE784" i="1"/>
  <c r="BE786" i="1" s="1"/>
  <c r="BH1188" i="1"/>
  <c r="BH1192" i="1" s="1"/>
  <c r="T230" i="1"/>
  <c r="T231" i="1" s="1"/>
  <c r="L1188" i="1"/>
  <c r="N1188" i="1"/>
  <c r="BJ1189" i="1"/>
  <c r="BO1193" i="1" s="1"/>
  <c r="X67" i="11"/>
  <c r="AP101" i="9"/>
  <c r="AQ1192" i="1"/>
  <c r="Y75" i="11"/>
  <c r="AB784" i="1"/>
  <c r="AZ1192" i="1"/>
  <c r="BT991" i="1"/>
  <c r="V1268" i="1"/>
  <c r="L101" i="9"/>
  <c r="BH1190" i="1"/>
  <c r="BH1194" i="1" s="1"/>
  <c r="L1176" i="1"/>
  <c r="BO1023" i="1"/>
  <c r="BO1007" i="1" s="1"/>
  <c r="I1268" i="1"/>
  <c r="BC1135" i="1"/>
  <c r="T784" i="1"/>
  <c r="AF991" i="1"/>
  <c r="BJ784" i="1"/>
  <c r="AM991" i="1"/>
  <c r="U1179" i="1"/>
  <c r="BK1188" i="1"/>
  <c r="BP1192" i="1" s="1"/>
  <c r="W1189" i="1"/>
  <c r="W1193" i="1" s="1"/>
  <c r="BL1189" i="1"/>
  <c r="BL1193" i="1" s="1"/>
  <c r="N1189" i="1"/>
  <c r="F1193" i="1"/>
  <c r="J402" i="1"/>
  <c r="J61" i="9" s="1"/>
  <c r="BL125" i="1"/>
  <c r="AE62" i="1"/>
  <c r="AE178" i="1" s="1"/>
  <c r="AS410" i="1"/>
  <c r="AS173" i="1"/>
  <c r="AZ157" i="1"/>
  <c r="AO1193" i="1"/>
  <c r="AE238" i="1"/>
  <c r="E63" i="9"/>
  <c r="E231" i="1"/>
  <c r="S1256" i="1"/>
  <c r="AO786" i="1"/>
  <c r="AQ978" i="1"/>
  <c r="AX993" i="1"/>
  <c r="N231" i="1"/>
  <c r="F218" i="1"/>
  <c r="AC154" i="1"/>
  <c r="N226" i="1"/>
  <c r="AM226" i="1"/>
  <c r="BA247" i="1"/>
  <c r="AU80" i="9"/>
  <c r="AU773" i="1"/>
  <c r="L1189" i="1"/>
  <c r="K1023" i="1"/>
  <c r="K1007" i="1" s="1"/>
  <c r="AV991" i="1"/>
  <c r="S105" i="9"/>
  <c r="S106" i="9" s="1"/>
  <c r="E1170" i="1"/>
  <c r="CE1007" i="1"/>
  <c r="AR101" i="9"/>
  <c r="AS1223" i="1"/>
  <c r="R106" i="9"/>
  <c r="L784" i="1"/>
  <c r="BE993" i="1"/>
  <c r="AG980" i="1"/>
  <c r="BV993" i="1"/>
  <c r="AK986" i="1"/>
  <c r="BM972" i="1"/>
  <c r="J784" i="1"/>
  <c r="V991" i="1"/>
  <c r="BK1189" i="1"/>
  <c r="AU1188" i="1"/>
  <c r="W1188" i="1"/>
  <c r="W1192" i="1" s="1"/>
  <c r="AZ991" i="1"/>
  <c r="Z539" i="1"/>
  <c r="BL1190" i="1"/>
  <c r="BL1194" i="1" s="1"/>
  <c r="T409" i="1"/>
  <c r="W236" i="1"/>
  <c r="BN442" i="1"/>
  <c r="AE63" i="9"/>
  <c r="AL226" i="1"/>
  <c r="BN231" i="1"/>
  <c r="BH157" i="1"/>
  <c r="BH159" i="1" s="1"/>
  <c r="AX167" i="1"/>
  <c r="BS442" i="1"/>
  <c r="BS480" i="1" s="1"/>
  <c r="AB236" i="1"/>
  <c r="Q80" i="9"/>
  <c r="Q773" i="1"/>
  <c r="AP1023" i="1"/>
  <c r="AP1007" i="1" s="1"/>
  <c r="AP516" i="1"/>
  <c r="U215" i="1"/>
  <c r="L1256" i="1"/>
  <c r="Z106" i="9"/>
  <c r="BN101" i="9"/>
  <c r="Y67" i="11"/>
  <c r="AO1256" i="1"/>
  <c r="F115" i="9"/>
  <c r="D1182" i="1"/>
  <c r="AI1135" i="1"/>
  <c r="BO1263" i="1"/>
  <c r="BD1281" i="1"/>
  <c r="U986" i="1"/>
  <c r="Z784" i="1"/>
  <c r="BK1190" i="1"/>
  <c r="BK1194" i="1" s="1"/>
  <c r="AU1190" i="1"/>
  <c r="AU1194" i="1" s="1"/>
  <c r="W1190" i="1"/>
  <c r="W1194" i="1" s="1"/>
  <c r="BI786" i="1"/>
  <c r="V1188" i="1"/>
  <c r="M1189" i="1"/>
  <c r="J403" i="1"/>
  <c r="J62" i="9" s="1"/>
  <c r="AS403" i="1"/>
  <c r="AS62" i="9" s="1"/>
  <c r="AZ155" i="1"/>
  <c r="AI226" i="1"/>
  <c r="BG236" i="1"/>
  <c r="AL167" i="1"/>
  <c r="AY221" i="1"/>
  <c r="BG85" i="1"/>
  <c r="BJ156" i="1"/>
  <c r="BE156" i="1"/>
  <c r="BE159" i="1" s="1"/>
  <c r="AY793" i="1"/>
  <c r="BL231" i="1"/>
  <c r="AW215" i="1"/>
  <c r="AG236" i="1"/>
  <c r="BM11" i="1"/>
  <c r="BM27" i="9" s="1"/>
  <c r="BE63" i="9"/>
  <c r="AG154" i="1"/>
  <c r="AR204" i="1"/>
  <c r="AR206" i="1" s="1"/>
  <c r="T1023" i="1"/>
  <c r="T1007" i="1" s="1"/>
  <c r="T516" i="1"/>
  <c r="AD1023" i="1"/>
  <c r="AD1007" i="1" s="1"/>
  <c r="AD516" i="1"/>
  <c r="AB80" i="9"/>
  <c r="AB773" i="1"/>
  <c r="AZ993" i="1"/>
  <c r="E1181" i="1"/>
  <c r="V986" i="1"/>
  <c r="BJ1188" i="1"/>
  <c r="BJ1192" i="1" s="1"/>
  <c r="V1170" i="1"/>
  <c r="BK1156" i="1"/>
  <c r="AY1181" i="1"/>
  <c r="AH115" i="9"/>
  <c r="AN1193" i="1"/>
  <c r="M1268" i="1"/>
  <c r="BD793" i="1"/>
  <c r="M986" i="1"/>
  <c r="AU1189" i="1"/>
  <c r="AU1193" i="1" s="1"/>
  <c r="BQ991" i="1"/>
  <c r="BS300" i="1"/>
  <c r="V1190" i="1"/>
  <c r="V1194" i="1" s="1"/>
  <c r="M1188" i="1"/>
  <c r="X226" i="1"/>
  <c r="P538" i="1"/>
  <c r="BF231" i="1"/>
  <c r="AH1193" i="1"/>
  <c r="BJ158" i="1"/>
  <c r="U1156" i="1"/>
  <c r="BG63" i="9"/>
  <c r="AC1007" i="1"/>
  <c r="BC472" i="1"/>
  <c r="BC479" i="1" s="1"/>
  <c r="BC411" i="1" s="1"/>
  <c r="BC66" i="9" s="1"/>
  <c r="AH167" i="1"/>
  <c r="AH171" i="1" s="1"/>
  <c r="BB1023" i="1"/>
  <c r="BB1007" i="1" s="1"/>
  <c r="BB516" i="1"/>
  <c r="AR80" i="9"/>
  <c r="AR773" i="1"/>
  <c r="BP72" i="9"/>
  <c r="BP123" i="9" s="1"/>
  <c r="BE105" i="9"/>
  <c r="BE1001" i="1"/>
  <c r="BE977" i="1" s="1"/>
  <c r="BM261" i="1"/>
  <c r="BM262" i="1" s="1"/>
  <c r="BM268" i="1" s="1"/>
  <c r="BM267" i="1"/>
  <c r="BK173" i="1"/>
  <c r="AW171" i="1"/>
  <c r="AW174" i="1"/>
  <c r="AW172" i="1"/>
  <c r="BA569" i="1"/>
  <c r="BA564" i="1"/>
  <c r="AL172" i="1"/>
  <c r="AL171" i="1"/>
  <c r="AQ1001" i="1"/>
  <c r="AQ977" i="1" s="1"/>
  <c r="AQ105" i="9"/>
  <c r="AQ1256" i="1"/>
  <c r="BM171" i="1"/>
  <c r="BM172" i="1"/>
  <c r="BS1182" i="1"/>
  <c r="BS1180" i="1"/>
  <c r="BK171" i="1"/>
  <c r="BK174" i="1"/>
  <c r="BK172" i="1"/>
  <c r="AX172" i="1"/>
  <c r="AX171" i="1"/>
  <c r="AX175" i="1" s="1"/>
  <c r="AX173" i="1"/>
  <c r="AU204" i="1"/>
  <c r="AU206" i="1" s="1"/>
  <c r="AZ159" i="1"/>
  <c r="AA1192" i="1"/>
  <c r="AU231" i="1"/>
  <c r="AY206" i="1"/>
  <c r="F219" i="1"/>
  <c r="AH156" i="1"/>
  <c r="BC159" i="1"/>
  <c r="AW126" i="1"/>
  <c r="P218" i="1"/>
  <c r="AO204" i="1"/>
  <c r="AO206" i="1" s="1"/>
  <c r="AD425" i="1"/>
  <c r="AD429" i="1" s="1"/>
  <c r="AD431" i="1" s="1"/>
  <c r="AD395" i="1"/>
  <c r="BQ194" i="1"/>
  <c r="BQ204" i="1" s="1"/>
  <c r="BQ21" i="1"/>
  <c r="BQ28" i="1" s="1"/>
  <c r="AX224" i="1"/>
  <c r="F238" i="1"/>
  <c r="K239" i="1" s="1"/>
  <c r="BO159" i="1"/>
  <c r="BA159" i="1"/>
  <c r="AX174" i="1"/>
  <c r="BL236" i="1"/>
  <c r="AL236" i="1"/>
  <c r="BK194" i="1"/>
  <c r="BK200" i="1" s="1"/>
  <c r="K218" i="1"/>
  <c r="AG1121" i="1"/>
  <c r="AG720" i="1"/>
  <c r="BS584" i="1"/>
  <c r="BS579" i="1" s="1"/>
  <c r="BR579" i="1"/>
  <c r="Z194" i="1"/>
  <c r="Z204" i="1" s="1"/>
  <c r="Z21" i="1"/>
  <c r="Z28" i="1" s="1"/>
  <c r="BR38" i="9"/>
  <c r="BR63" i="9" s="1"/>
  <c r="BR398" i="1"/>
  <c r="AX866" i="1"/>
  <c r="AH126" i="1"/>
  <c r="AA153" i="1"/>
  <c r="AA1193" i="1"/>
  <c r="AH67" i="11"/>
  <c r="BI1176" i="1"/>
  <c r="BS1279" i="1"/>
  <c r="AI1023" i="1"/>
  <c r="AI1007" i="1" s="1"/>
  <c r="S1023" i="1"/>
  <c r="S1007" i="1" s="1"/>
  <c r="BK978" i="1"/>
  <c r="BI1182" i="1"/>
  <c r="BB972" i="1"/>
  <c r="Y7" i="9"/>
  <c r="BN1176" i="1"/>
  <c r="BN1181" i="1"/>
  <c r="G986" i="1"/>
  <c r="AL785" i="1"/>
  <c r="Y80" i="9"/>
  <c r="AE1194" i="1"/>
  <c r="M106" i="9"/>
  <c r="S1268" i="1"/>
  <c r="AM1271" i="1"/>
  <c r="AC1194" i="1"/>
  <c r="M231" i="1"/>
  <c r="AU155" i="1"/>
  <c r="BN1193" i="1"/>
  <c r="S218" i="1"/>
  <c r="L652" i="1"/>
  <c r="L653" i="1" s="1"/>
  <c r="F152" i="1"/>
  <c r="F159" i="1" s="1"/>
  <c r="F9" i="1"/>
  <c r="AJ67" i="11"/>
  <c r="AI67" i="11"/>
  <c r="AD75" i="11"/>
  <c r="AV101" i="9"/>
  <c r="BD1279" i="1"/>
  <c r="U101" i="9"/>
  <c r="U1270" i="1"/>
  <c r="AX1153" i="1"/>
  <c r="AY1280" i="1" s="1"/>
  <c r="AC105" i="9"/>
  <c r="J1001" i="1"/>
  <c r="J977" i="1" s="1"/>
  <c r="AJ1279" i="1"/>
  <c r="AJ1176" i="1"/>
  <c r="BD115" i="9"/>
  <c r="U1279" i="1"/>
  <c r="BC1089" i="1"/>
  <c r="P1182" i="1"/>
  <c r="BR773" i="1"/>
  <c r="BR1263" i="1"/>
  <c r="U1281" i="1"/>
  <c r="BG786" i="1"/>
  <c r="C108" i="9"/>
  <c r="C109" i="9" s="1"/>
  <c r="C110" i="9" s="1"/>
  <c r="O986" i="1"/>
  <c r="G773" i="1"/>
  <c r="Q993" i="1"/>
  <c r="AE80" i="9"/>
  <c r="BQ784" i="1"/>
  <c r="BQ786" i="1" s="1"/>
  <c r="P539" i="1"/>
  <c r="BS202" i="1"/>
  <c r="AK991" i="1"/>
  <c r="AX63" i="9"/>
  <c r="BR472" i="1"/>
  <c r="BR479" i="1" s="1"/>
  <c r="BR411" i="1" s="1"/>
  <c r="BR66" i="9" s="1"/>
  <c r="O231" i="1"/>
  <c r="BR64" i="1"/>
  <c r="BT65" i="1" s="1"/>
  <c r="AX552" i="1"/>
  <c r="BT479" i="1"/>
  <c r="BT411" i="1" s="1"/>
  <c r="BT66" i="9" s="1"/>
  <c r="BA167" i="1"/>
  <c r="BA171" i="1" s="1"/>
  <c r="BJ215" i="1"/>
  <c r="N153" i="1"/>
  <c r="Q159" i="1"/>
  <c r="AR200" i="1"/>
  <c r="Z159" i="1"/>
  <c r="J1264" i="1"/>
  <c r="BG1194" i="1"/>
  <c r="BM157" i="1"/>
  <c r="S219" i="1"/>
  <c r="S221" i="1" s="1"/>
  <c r="AU9" i="1"/>
  <c r="AZ11" i="1" s="1"/>
  <c r="AZ27" i="9" s="1"/>
  <c r="AR236" i="1"/>
  <c r="BH236" i="1"/>
  <c r="AK226" i="1"/>
  <c r="BM155" i="1"/>
  <c r="I1271" i="1"/>
  <c r="BQ167" i="1"/>
  <c r="BQ171" i="1" s="1"/>
  <c r="BU104" i="1"/>
  <c r="BU106" i="1" s="1"/>
  <c r="L487" i="1"/>
  <c r="L491" i="1" s="1"/>
  <c r="BP404" i="1"/>
  <c r="BJ412" i="1"/>
  <c r="BD215" i="1"/>
  <c r="AY436" i="1"/>
  <c r="AY442" i="1" s="1"/>
  <c r="F1268" i="1"/>
  <c r="F1001" i="1"/>
  <c r="F977" i="1" s="1"/>
  <c r="BC1177" i="1"/>
  <c r="BC1222" i="1"/>
  <c r="BC248" i="1"/>
  <c r="BC250" i="1" s="1"/>
  <c r="AI784" i="1"/>
  <c r="BC38" i="9"/>
  <c r="BC63" i="9" s="1"/>
  <c r="BC398" i="1"/>
  <c r="AM9" i="1"/>
  <c r="AN7" i="1" s="1"/>
  <c r="AM155" i="1"/>
  <c r="E1023" i="1"/>
  <c r="E1007" i="1" s="1"/>
  <c r="BA1023" i="1"/>
  <c r="BA1007" i="1" s="1"/>
  <c r="AS984" i="1"/>
  <c r="AS550" i="1"/>
  <c r="J25" i="1"/>
  <c r="AI105" i="1"/>
  <c r="R28" i="1"/>
  <c r="AM215" i="1"/>
  <c r="AG1156" i="1"/>
  <c r="BM9" i="9"/>
  <c r="BM785" i="1"/>
  <c r="BE1256" i="1"/>
  <c r="H972" i="1"/>
  <c r="AL986" i="1"/>
  <c r="AA991" i="1"/>
  <c r="BQ101" i="9"/>
  <c r="AP1176" i="1"/>
  <c r="F106" i="9"/>
  <c r="F116" i="9" s="1"/>
  <c r="F117" i="9" s="1"/>
  <c r="BO1173" i="1"/>
  <c r="AH993" i="1"/>
  <c r="AO1263" i="1"/>
  <c r="G72" i="9"/>
  <c r="G74" i="9" s="1"/>
  <c r="V153" i="1"/>
  <c r="V159" i="1" s="1"/>
  <c r="H1265" i="1"/>
  <c r="BN300" i="1"/>
  <c r="BI584" i="1"/>
  <c r="BI579" i="1" s="1"/>
  <c r="BH579" i="1"/>
  <c r="BL839" i="1"/>
  <c r="AQ980" i="1"/>
  <c r="AJ115" i="9"/>
  <c r="N101" i="9"/>
  <c r="V106" i="9"/>
  <c r="V116" i="9" s="1"/>
  <c r="F1170" i="1"/>
  <c r="M1007" i="1"/>
  <c r="J1268" i="1"/>
  <c r="BR1170" i="1"/>
  <c r="Q979" i="1"/>
  <c r="U1185" i="1"/>
  <c r="AN1089" i="1"/>
  <c r="AN784" i="1"/>
  <c r="AN785" i="1" s="1"/>
  <c r="AM785" i="1"/>
  <c r="AD773" i="1"/>
  <c r="BM755" i="1"/>
  <c r="M550" i="1"/>
  <c r="AM1192" i="1"/>
  <c r="BR839" i="1"/>
  <c r="AJ1192" i="1"/>
  <c r="BN773" i="1"/>
  <c r="AX773" i="1"/>
  <c r="T1268" i="1"/>
  <c r="X784" i="1"/>
  <c r="H784" i="1"/>
  <c r="AJ1179" i="1"/>
  <c r="BT487" i="1"/>
  <c r="BT803" i="1" s="1"/>
  <c r="D1271" i="1"/>
  <c r="BD218" i="1"/>
  <c r="AI58" i="1"/>
  <c r="BO202" i="1"/>
  <c r="AI398" i="1"/>
  <c r="BT436" i="1"/>
  <c r="BT442" i="1" s="1"/>
  <c r="BT480" i="1" s="1"/>
  <c r="BT764" i="1" s="1"/>
  <c r="AB986" i="1"/>
  <c r="AJ194" i="1"/>
  <c r="AJ200" i="1" s="1"/>
  <c r="BM158" i="1"/>
  <c r="R153" i="1"/>
  <c r="R159" i="1" s="1"/>
  <c r="BT289" i="1"/>
  <c r="BE157" i="1"/>
  <c r="AS1193" i="1"/>
  <c r="S238" i="1"/>
  <c r="AI157" i="1"/>
  <c r="BH231" i="1"/>
  <c r="AP226" i="1"/>
  <c r="AP238" i="1"/>
  <c r="AP1265" i="1" s="1"/>
  <c r="AZ158" i="1"/>
  <c r="AG159" i="1"/>
  <c r="BE1193" i="1"/>
  <c r="X1188" i="1"/>
  <c r="X1192" i="1" s="1"/>
  <c r="BB433" i="1"/>
  <c r="BI236" i="1"/>
  <c r="AE56" i="1"/>
  <c r="T214" i="1"/>
  <c r="T215" i="1" s="1"/>
  <c r="BG231" i="1"/>
  <c r="BU102" i="1"/>
  <c r="BU25" i="9" s="1"/>
  <c r="L474" i="1"/>
  <c r="BP479" i="1"/>
  <c r="BP411" i="1" s="1"/>
  <c r="BP66" i="9" s="1"/>
  <c r="BJ800" i="1"/>
  <c r="L436" i="1"/>
  <c r="L442" i="1" s="1"/>
  <c r="L480" i="1" s="1"/>
  <c r="L54" i="9" s="1"/>
  <c r="AS125" i="1"/>
  <c r="AW1023" i="1"/>
  <c r="AW1007" i="1" s="1"/>
  <c r="AW516" i="1"/>
  <c r="BM114" i="9"/>
  <c r="BQ115" i="9" s="1"/>
  <c r="BM1004" i="1"/>
  <c r="BM979" i="1" s="1"/>
  <c r="AT539" i="1"/>
  <c r="E992" i="1"/>
  <c r="E993" i="1" s="1"/>
  <c r="E805" i="1"/>
  <c r="BC982" i="1"/>
  <c r="BC984" i="1" s="1"/>
  <c r="BC986" i="1" s="1"/>
  <c r="BC838" i="1"/>
  <c r="BC839" i="1" s="1"/>
  <c r="BM80" i="9"/>
  <c r="BM773" i="1"/>
  <c r="BT156" i="1"/>
  <c r="BT158" i="1"/>
  <c r="BK215" i="1"/>
  <c r="BB215" i="1"/>
  <c r="AK1023" i="1"/>
  <c r="AK1007" i="1" s="1"/>
  <c r="AU156" i="1"/>
  <c r="AY201" i="1"/>
  <c r="AY202" i="1"/>
  <c r="BT101" i="9"/>
  <c r="BJ101" i="9"/>
  <c r="R993" i="1"/>
  <c r="AD993" i="1"/>
  <c r="AD48" i="11"/>
  <c r="AD53" i="11" s="1"/>
  <c r="BQ1007" i="1"/>
  <c r="AJ539" i="1"/>
  <c r="AO201" i="1"/>
  <c r="AO199" i="1"/>
  <c r="F63" i="9"/>
  <c r="K152" i="1"/>
  <c r="K159" i="1" s="1"/>
  <c r="K215" i="1"/>
  <c r="BF1121" i="1"/>
  <c r="BF720" i="1"/>
  <c r="R194" i="1"/>
  <c r="R204" i="1" s="1"/>
  <c r="R21" i="1"/>
  <c r="R23" i="1" s="1"/>
  <c r="R18" i="9" s="1"/>
  <c r="AK67" i="11"/>
  <c r="BA101" i="9"/>
  <c r="AZ101" i="9"/>
  <c r="E101" i="9"/>
  <c r="K1181" i="1"/>
  <c r="BS1223" i="1"/>
  <c r="BS1268" i="1" s="1"/>
  <c r="J105" i="9"/>
  <c r="N106" i="9" s="1"/>
  <c r="X101" i="9"/>
  <c r="AR1156" i="1"/>
  <c r="J101" i="9"/>
  <c r="W1268" i="1"/>
  <c r="Y115" i="9"/>
  <c r="O1268" i="1"/>
  <c r="BN793" i="1"/>
  <c r="AJ784" i="1"/>
  <c r="H986" i="1"/>
  <c r="U73" i="9"/>
  <c r="P1176" i="1"/>
  <c r="AS998" i="1"/>
  <c r="AS974" i="1" s="1"/>
  <c r="BK980" i="1"/>
  <c r="AS839" i="1"/>
  <c r="R550" i="1"/>
  <c r="BC786" i="1"/>
  <c r="BM1263" i="1"/>
  <c r="AS866" i="1"/>
  <c r="BT1273" i="1"/>
  <c r="R63" i="9"/>
  <c r="AT1193" i="1"/>
  <c r="AI1271" i="1"/>
  <c r="G1271" i="1"/>
  <c r="BJ991" i="1"/>
  <c r="AO200" i="1"/>
  <c r="BH991" i="1"/>
  <c r="BT652" i="1"/>
  <c r="BT661" i="1" s="1"/>
  <c r="BF158" i="1"/>
  <c r="AS398" i="1"/>
  <c r="AF236" i="1"/>
  <c r="AM231" i="1"/>
  <c r="V9" i="1"/>
  <c r="AO202" i="1"/>
  <c r="AM159" i="1"/>
  <c r="R1194" i="1"/>
  <c r="AO198" i="1"/>
  <c r="AU157" i="1"/>
  <c r="BK158" i="1"/>
  <c r="AL215" i="1"/>
  <c r="AZ10" i="1"/>
  <c r="U226" i="1"/>
  <c r="AF1194" i="1"/>
  <c r="BV98" i="1"/>
  <c r="BV99" i="1" s="1"/>
  <c r="BV165" i="1" s="1"/>
  <c r="M221" i="1"/>
  <c r="BP652" i="1"/>
  <c r="BJ988" i="1"/>
  <c r="L450" i="1"/>
  <c r="L455" i="1" s="1"/>
  <c r="AW433" i="1"/>
  <c r="V1023" i="1"/>
  <c r="V1007" i="1" s="1"/>
  <c r="V516" i="1"/>
  <c r="AW1121" i="1"/>
  <c r="AW1156" i="1" s="1"/>
  <c r="AW720" i="1"/>
  <c r="AX1177" i="1"/>
  <c r="AX1176" i="1" s="1"/>
  <c r="AX1222" i="1"/>
  <c r="AX247" i="1"/>
  <c r="AX248" i="1"/>
  <c r="AX250" i="1" s="1"/>
  <c r="AA80" i="9"/>
  <c r="AA773" i="1"/>
  <c r="BM7" i="9"/>
  <c r="BM783" i="1"/>
  <c r="BM792" i="1" s="1"/>
  <c r="BM793" i="1" s="1"/>
  <c r="BI1023" i="1"/>
  <c r="BI1007" i="1" s="1"/>
  <c r="BH224" i="1"/>
  <c r="S215" i="1"/>
  <c r="N152" i="1"/>
  <c r="I194" i="1"/>
  <c r="I205" i="1" s="1"/>
  <c r="BF1156" i="1"/>
  <c r="AD100" i="9"/>
  <c r="AF101" i="9" s="1"/>
  <c r="AD998" i="1"/>
  <c r="F1023" i="1"/>
  <c r="F1007" i="1" s="1"/>
  <c r="F516" i="1"/>
  <c r="F554" i="1" s="1"/>
  <c r="F562" i="1" s="1"/>
  <c r="F569" i="1" s="1"/>
  <c r="Y985" i="1"/>
  <c r="Y980" i="1" s="1"/>
  <c r="Y783" i="1"/>
  <c r="Y784" i="1" s="1"/>
  <c r="BT784" i="1"/>
  <c r="BT786" i="1" s="1"/>
  <c r="Y1261" i="1"/>
  <c r="AE980" i="1"/>
  <c r="BR993" i="1"/>
  <c r="AS734" i="1"/>
  <c r="AS79" i="9" s="1"/>
  <c r="BC1194" i="1"/>
  <c r="Q991" i="1"/>
  <c r="T225" i="1"/>
  <c r="BV50" i="1"/>
  <c r="BV51" i="1" s="1"/>
  <c r="BV163" i="1" s="1"/>
  <c r="BR238" i="1"/>
  <c r="BR240" i="1" s="1"/>
  <c r="S153" i="1"/>
  <c r="AM183" i="1"/>
  <c r="AM16" i="1" s="1"/>
  <c r="BB175" i="1"/>
  <c r="AH231" i="1"/>
  <c r="BE1194" i="1"/>
  <c r="BD238" i="1"/>
  <c r="BD240" i="1" s="1"/>
  <c r="BS278" i="1"/>
  <c r="J115" i="9"/>
  <c r="AM75" i="11"/>
  <c r="AC75" i="11"/>
  <c r="AE1256" i="1"/>
  <c r="U106" i="9"/>
  <c r="AA105" i="9"/>
  <c r="AO1170" i="1"/>
  <c r="BP115" i="9"/>
  <c r="N115" i="9"/>
  <c r="AS1176" i="1"/>
  <c r="AD1254" i="1"/>
  <c r="BF793" i="1"/>
  <c r="M993" i="1"/>
  <c r="AI1089" i="1"/>
  <c r="O115" i="9"/>
  <c r="D1092" i="1"/>
  <c r="E1091" i="1" s="1"/>
  <c r="E1092" i="1" s="1"/>
  <c r="F1091" i="1" s="1"/>
  <c r="F1092" i="1" s="1"/>
  <c r="G1091" i="1" s="1"/>
  <c r="AX791" i="1"/>
  <c r="AX793" i="1" s="1"/>
  <c r="AI993" i="1"/>
  <c r="AU991" i="1"/>
  <c r="AN974" i="1"/>
  <c r="AH784" i="1"/>
  <c r="BK1193" i="1"/>
  <c r="AM1193" i="1"/>
  <c r="K1277" i="1"/>
  <c r="T551" i="1"/>
  <c r="AR1194" i="1"/>
  <c r="AW986" i="1"/>
  <c r="K538" i="1"/>
  <c r="F1192" i="1"/>
  <c r="AE200" i="1"/>
  <c r="K1192" i="1"/>
  <c r="BG991" i="1"/>
  <c r="BJ63" i="9"/>
  <c r="AI1194" i="1"/>
  <c r="R1193" i="1"/>
  <c r="AP1193" i="1"/>
  <c r="BD1193" i="1"/>
  <c r="R9" i="1"/>
  <c r="S7" i="1" s="1"/>
  <c r="S12" i="1" s="1"/>
  <c r="BK156" i="1"/>
  <c r="BK159" i="1" s="1"/>
  <c r="AQ194" i="1"/>
  <c r="AQ204" i="1" s="1"/>
  <c r="BP106" i="1"/>
  <c r="AS174" i="1"/>
  <c r="BL172" i="1"/>
  <c r="AG1265" i="1"/>
  <c r="P1194" i="1"/>
  <c r="BM10" i="1"/>
  <c r="U236" i="1"/>
  <c r="AC215" i="1"/>
  <c r="BO70" i="9"/>
  <c r="BO72" i="9" s="1"/>
  <c r="BO74" i="9" s="1"/>
  <c r="BO723" i="1"/>
  <c r="AY784" i="1"/>
  <c r="AY786" i="1" s="1"/>
  <c r="BH9" i="9"/>
  <c r="BH785" i="1"/>
  <c r="BH755" i="1"/>
  <c r="BR394" i="1"/>
  <c r="BR60" i="9" s="1"/>
  <c r="BR409" i="1"/>
  <c r="M215" i="1"/>
  <c r="S231" i="1"/>
  <c r="BC229" i="1"/>
  <c r="BR738" i="1"/>
  <c r="BG156" i="1"/>
  <c r="BG159" i="1" s="1"/>
  <c r="BG9" i="1"/>
  <c r="BG10" i="1" s="1"/>
  <c r="AS58" i="1"/>
  <c r="BS320" i="1"/>
  <c r="BS322" i="1" s="1"/>
  <c r="BS324" i="1" s="1"/>
  <c r="BS325" i="1" s="1"/>
  <c r="BR318" i="1"/>
  <c r="BR320" i="1" s="1"/>
  <c r="BR322" i="1" s="1"/>
  <c r="BR324" i="1" s="1"/>
  <c r="BR325" i="1" s="1"/>
  <c r="AG105" i="9"/>
  <c r="AG1256" i="1"/>
  <c r="AG1268" i="1"/>
  <c r="AG1001" i="1"/>
  <c r="AG977" i="1" s="1"/>
  <c r="AF1268" i="1"/>
  <c r="AI105" i="9"/>
  <c r="AI1001" i="1"/>
  <c r="AI977" i="1" s="1"/>
  <c r="AH105" i="9"/>
  <c r="AH1256" i="1"/>
  <c r="AH1001" i="1"/>
  <c r="AH977" i="1" s="1"/>
  <c r="AH1268" i="1"/>
  <c r="BM436" i="1"/>
  <c r="BM442" i="1" s="1"/>
  <c r="BM480" i="1" s="1"/>
  <c r="BM433" i="1"/>
  <c r="BI105" i="9"/>
  <c r="BI1256" i="1"/>
  <c r="BI1001" i="1"/>
  <c r="BI977" i="1" s="1"/>
  <c r="BN480" i="1"/>
  <c r="AS194" i="1"/>
  <c r="AS203" i="1" s="1"/>
  <c r="AS183" i="1"/>
  <c r="AS16" i="1" s="1"/>
  <c r="AS21" i="1"/>
  <c r="BA105" i="9"/>
  <c r="BA1256" i="1"/>
  <c r="BA1001" i="1"/>
  <c r="BA977" i="1" s="1"/>
  <c r="L215" i="1"/>
  <c r="Q215" i="1"/>
  <c r="AS105" i="9"/>
  <c r="AS1001" i="1"/>
  <c r="AS977" i="1" s="1"/>
  <c r="W159" i="1"/>
  <c r="BB105" i="9"/>
  <c r="BB1256" i="1"/>
  <c r="BB1001" i="1"/>
  <c r="BB977" i="1" s="1"/>
  <c r="AI240" i="1"/>
  <c r="O159" i="1"/>
  <c r="AB203" i="1"/>
  <c r="AB202" i="1"/>
  <c r="AB200" i="1"/>
  <c r="AB199" i="1"/>
  <c r="AB204" i="1"/>
  <c r="AB201" i="1"/>
  <c r="AB198" i="1"/>
  <c r="AN404" i="1"/>
  <c r="Y1176" i="1"/>
  <c r="BM1222" i="1"/>
  <c r="BM1223" i="1" s="1"/>
  <c r="BM1177" i="1"/>
  <c r="BM1176" i="1" s="1"/>
  <c r="BM248" i="1"/>
  <c r="BM250" i="1" s="1"/>
  <c r="BS105" i="9"/>
  <c r="BS1256" i="1"/>
  <c r="BS1001" i="1"/>
  <c r="BS977" i="1" s="1"/>
  <c r="AD171" i="1"/>
  <c r="AD170" i="1"/>
  <c r="AD172" i="1"/>
  <c r="AD174" i="1"/>
  <c r="AD169" i="1"/>
  <c r="BJ74" i="9"/>
  <c r="CC1270" i="1"/>
  <c r="D215" i="1"/>
  <c r="E215" i="1"/>
  <c r="AT105" i="9"/>
  <c r="AT106" i="9" s="1"/>
  <c r="AT1256" i="1"/>
  <c r="AT1268" i="1"/>
  <c r="AT1001" i="1"/>
  <c r="AT977" i="1" s="1"/>
  <c r="BO994" i="1"/>
  <c r="BO722" i="1"/>
  <c r="BO444" i="1"/>
  <c r="BO448" i="1" s="1"/>
  <c r="AN1153" i="1"/>
  <c r="AN734" i="1"/>
  <c r="AN79" i="9" s="1"/>
  <c r="AD1003" i="1"/>
  <c r="AD978" i="1" s="1"/>
  <c r="AD1223" i="1"/>
  <c r="AM1173" i="1"/>
  <c r="BS986" i="1"/>
  <c r="BN957" i="1"/>
  <c r="AA101" i="9"/>
  <c r="AK75" i="11"/>
  <c r="AO74" i="11"/>
  <c r="BK101" i="9"/>
  <c r="AY1173" i="1"/>
  <c r="AY1176" i="1" s="1"/>
  <c r="AU1173" i="1"/>
  <c r="AU1176" i="1" s="1"/>
  <c r="AT1176" i="1"/>
  <c r="BM1121" i="1"/>
  <c r="BM720" i="1"/>
  <c r="Q115" i="9"/>
  <c r="AX101" i="9"/>
  <c r="AY1277" i="1"/>
  <c r="AU1121" i="1"/>
  <c r="AU1156" i="1" s="1"/>
  <c r="AU720" i="1"/>
  <c r="M1121" i="1"/>
  <c r="M1156" i="1" s="1"/>
  <c r="M720" i="1"/>
  <c r="AY986" i="1"/>
  <c r="BX77" i="9"/>
  <c r="AJ986" i="1"/>
  <c r="AM761" i="1"/>
  <c r="AM764" i="1" s="1"/>
  <c r="W986" i="1"/>
  <c r="CC605" i="1"/>
  <c r="CC464" i="1"/>
  <c r="CC30" i="1" s="1"/>
  <c r="BF784" i="1"/>
  <c r="BF786" i="1" s="1"/>
  <c r="BB108" i="9"/>
  <c r="BB93" i="9"/>
  <c r="AB607" i="1"/>
  <c r="AB599" i="1"/>
  <c r="AB600" i="1" s="1"/>
  <c r="AB604" i="1"/>
  <c r="BD112" i="9"/>
  <c r="BD113" i="9" s="1"/>
  <c r="BD652" i="1"/>
  <c r="BD404" i="1"/>
  <c r="BD1273" i="1" s="1"/>
  <c r="BD474" i="1"/>
  <c r="BD479" i="1"/>
  <c r="BD411" i="1" s="1"/>
  <c r="BD66" i="9" s="1"/>
  <c r="BD487" i="1"/>
  <c r="F60" i="9"/>
  <c r="AM218" i="1"/>
  <c r="AM238" i="1"/>
  <c r="AR239" i="1" s="1"/>
  <c r="AM219" i="1"/>
  <c r="AM221" i="1" s="1"/>
  <c r="H9" i="1"/>
  <c r="H153" i="1"/>
  <c r="E4" i="13"/>
  <c r="AI1192" i="1"/>
  <c r="AA183" i="1"/>
  <c r="AA194" i="1"/>
  <c r="AA204" i="1"/>
  <c r="AA21" i="1"/>
  <c r="AF9" i="1"/>
  <c r="AF155" i="1"/>
  <c r="AF156" i="1"/>
  <c r="AF153" i="1"/>
  <c r="M112" i="9"/>
  <c r="M487" i="1"/>
  <c r="M479" i="1"/>
  <c r="M411" i="1" s="1"/>
  <c r="M66" i="9" s="1"/>
  <c r="M652" i="1"/>
  <c r="M474" i="1"/>
  <c r="M404" i="1"/>
  <c r="AH1194" i="1"/>
  <c r="Q1193" i="1"/>
  <c r="I39" i="9"/>
  <c r="AP761" i="1"/>
  <c r="AY62" i="9"/>
  <c r="AY1271" i="1"/>
  <c r="Z62" i="9"/>
  <c r="Z1271" i="1"/>
  <c r="AS225" i="1"/>
  <c r="AS226" i="1" s="1"/>
  <c r="AS217" i="1"/>
  <c r="AW28" i="1"/>
  <c r="AW1264" i="1" s="1"/>
  <c r="AW23" i="1"/>
  <c r="AW18" i="9" s="1"/>
  <c r="N761" i="1"/>
  <c r="AV1188" i="1"/>
  <c r="AV1192" i="1" s="1"/>
  <c r="AS214" i="1"/>
  <c r="AX217" i="1"/>
  <c r="AX225" i="1"/>
  <c r="AX226" i="1" s="1"/>
  <c r="AX230" i="1"/>
  <c r="AH1265" i="1"/>
  <c r="AH240" i="1"/>
  <c r="BH183" i="1"/>
  <c r="BH16" i="1" s="1"/>
  <c r="BH21" i="1"/>
  <c r="BJ22" i="1" s="1"/>
  <c r="BH194" i="1"/>
  <c r="BH203" i="1" s="1"/>
  <c r="AS299" i="1"/>
  <c r="BQ181" i="1"/>
  <c r="BQ111" i="1"/>
  <c r="BQ109" i="1"/>
  <c r="BH126" i="1"/>
  <c r="BH125" i="1"/>
  <c r="Z231" i="1"/>
  <c r="BV225" i="1"/>
  <c r="BQ226" i="1"/>
  <c r="BT8" i="1"/>
  <c r="BT10" i="1"/>
  <c r="BT12" i="1"/>
  <c r="BT11" i="1"/>
  <c r="BT27" i="9" s="1"/>
  <c r="BU7" i="1"/>
  <c r="T24" i="1"/>
  <c r="AE120" i="1"/>
  <c r="H62" i="9"/>
  <c r="H1271" i="1"/>
  <c r="AI436" i="1"/>
  <c r="AI442" i="1" s="1"/>
  <c r="AI480" i="1" s="1"/>
  <c r="AI433" i="1"/>
  <c r="BM192" i="1"/>
  <c r="AS9" i="1"/>
  <c r="AS158" i="1"/>
  <c r="AS156" i="1"/>
  <c r="BR131" i="1"/>
  <c r="BR129" i="1"/>
  <c r="BR182" i="1"/>
  <c r="BO604" i="1"/>
  <c r="BO607" i="1"/>
  <c r="AN625" i="1"/>
  <c r="AM625" i="1"/>
  <c r="AL625" i="1"/>
  <c r="AK625" i="1"/>
  <c r="AO607" i="1"/>
  <c r="AO625" i="1"/>
  <c r="Y599" i="1"/>
  <c r="Y600" i="1" s="1"/>
  <c r="Y604" i="1"/>
  <c r="Z54" i="9"/>
  <c r="Z988" i="1"/>
  <c r="Z989" i="1" s="1"/>
  <c r="Z800" i="1"/>
  <c r="Z412" i="1"/>
  <c r="P21" i="1"/>
  <c r="P194" i="1"/>
  <c r="P204" i="1" s="1"/>
  <c r="AS157" i="1"/>
  <c r="AR157" i="1"/>
  <c r="AR9" i="1"/>
  <c r="AR158" i="1"/>
  <c r="BE62" i="9"/>
  <c r="BE1271" i="1"/>
  <c r="AW1189" i="1"/>
  <c r="AW1193" i="1" s="1"/>
  <c r="AF62" i="9"/>
  <c r="AF1271" i="1"/>
  <c r="AB54" i="9"/>
  <c r="AB988" i="1"/>
  <c r="AB412" i="1"/>
  <c r="BB54" i="9"/>
  <c r="BB800" i="1"/>
  <c r="BB988" i="1"/>
  <c r="BB412" i="1"/>
  <c r="AY231" i="1"/>
  <c r="BD231" i="1"/>
  <c r="BS218" i="1"/>
  <c r="BS238" i="1"/>
  <c r="BS219" i="1"/>
  <c r="AU202" i="1"/>
  <c r="AI174" i="1"/>
  <c r="BP231" i="1"/>
  <c r="BU230" i="1"/>
  <c r="AT26" i="1"/>
  <c r="AT19" i="9" s="1"/>
  <c r="AY26" i="1"/>
  <c r="AY19" i="9" s="1"/>
  <c r="BD221" i="1"/>
  <c r="BU225" i="1"/>
  <c r="BP226" i="1"/>
  <c r="BM105" i="1"/>
  <c r="BM106" i="1"/>
  <c r="AC226" i="1"/>
  <c r="AN183" i="1"/>
  <c r="AN16" i="1" s="1"/>
  <c r="AN21" i="1"/>
  <c r="AN194" i="1"/>
  <c r="AN204" i="1"/>
  <c r="AW159" i="1"/>
  <c r="BP55" i="9"/>
  <c r="BP136" i="9" s="1"/>
  <c r="BP406" i="1"/>
  <c r="BP65" i="9" s="1"/>
  <c r="BJ134" i="9"/>
  <c r="BJ67" i="9"/>
  <c r="AV21" i="1"/>
  <c r="AV183" i="1"/>
  <c r="AV16" i="1" s="1"/>
  <c r="AV194" i="1"/>
  <c r="AV204" i="1" s="1"/>
  <c r="V7" i="1"/>
  <c r="V12" i="1" s="1"/>
  <c r="Z7" i="1"/>
  <c r="Z8" i="1" s="1"/>
  <c r="Z11" i="1"/>
  <c r="Z27" i="9" s="1"/>
  <c r="AX604" i="1"/>
  <c r="BQ182" i="1"/>
  <c r="BQ131" i="1"/>
  <c r="BQ129" i="1"/>
  <c r="AW54" i="9"/>
  <c r="AW988" i="1"/>
  <c r="AW800" i="1"/>
  <c r="AW412" i="1"/>
  <c r="BK1170" i="1"/>
  <c r="BW1226" i="1"/>
  <c r="AV986" i="1"/>
  <c r="AS1121" i="1"/>
  <c r="AS1156" i="1" s="1"/>
  <c r="AS720" i="1"/>
  <c r="BQ1121" i="1"/>
  <c r="BQ720" i="1"/>
  <c r="BR108" i="9"/>
  <c r="BR93" i="9"/>
  <c r="F108" i="9"/>
  <c r="K109" i="9" s="1"/>
  <c r="K110" i="9" s="1"/>
  <c r="F93" i="9"/>
  <c r="F765" i="1"/>
  <c r="F766" i="1"/>
  <c r="AR761" i="1"/>
  <c r="AZ1193" i="1"/>
  <c r="AI625" i="1"/>
  <c r="AH625" i="1"/>
  <c r="AF625" i="1"/>
  <c r="AJ607" i="1"/>
  <c r="AG625" i="1"/>
  <c r="AJ625" i="1"/>
  <c r="AH21" i="1"/>
  <c r="AH194" i="1"/>
  <c r="AH204" i="1" s="1"/>
  <c r="AH183" i="1"/>
  <c r="AH16" i="1" s="1"/>
  <c r="AM19" i="1" s="1"/>
  <c r="AM31" i="9" s="1"/>
  <c r="BA986" i="1"/>
  <c r="BG80" i="9"/>
  <c r="BG773" i="1"/>
  <c r="J80" i="9"/>
  <c r="J773" i="1"/>
  <c r="L108" i="9"/>
  <c r="L93" i="9"/>
  <c r="AN1262" i="1"/>
  <c r="N551" i="1"/>
  <c r="L761" i="1"/>
  <c r="BT1170" i="1"/>
  <c r="H1170" i="1"/>
  <c r="BK112" i="9"/>
  <c r="BK474" i="1"/>
  <c r="BK652" i="1"/>
  <c r="BL658" i="1" s="1"/>
  <c r="BK404" i="1"/>
  <c r="BK487" i="1"/>
  <c r="BK479" i="1"/>
  <c r="BK411" i="1" s="1"/>
  <c r="BK66" i="9" s="1"/>
  <c r="BL607" i="1"/>
  <c r="BL604" i="1"/>
  <c r="BP60" i="9"/>
  <c r="BP1273" i="1"/>
  <c r="AB991" i="1"/>
  <c r="AT39" i="9"/>
  <c r="V607" i="1"/>
  <c r="V599" i="1"/>
  <c r="V600" i="1" s="1"/>
  <c r="M62" i="9"/>
  <c r="M1271" i="1"/>
  <c r="E1194" i="1"/>
  <c r="BT129" i="1"/>
  <c r="BJ761" i="1"/>
  <c r="I761" i="1"/>
  <c r="AC1192" i="1"/>
  <c r="BS786" i="1"/>
  <c r="BN539" i="1"/>
  <c r="AH60" i="9"/>
  <c r="BQ604" i="1"/>
  <c r="BQ607" i="1"/>
  <c r="S1192" i="1"/>
  <c r="Y991" i="1"/>
  <c r="BI62" i="9"/>
  <c r="BI1271" i="1"/>
  <c r="AX991" i="1"/>
  <c r="BT63" i="9"/>
  <c r="C63" i="9"/>
  <c r="BT55" i="9"/>
  <c r="BT136" i="9" s="1"/>
  <c r="BT406" i="1"/>
  <c r="BT65" i="9" s="1"/>
  <c r="BP436" i="1"/>
  <c r="BP442" i="1" s="1"/>
  <c r="BP480" i="1" s="1"/>
  <c r="BP433" i="1"/>
  <c r="BA174" i="1"/>
  <c r="BQ91" i="1"/>
  <c r="BQ89" i="1"/>
  <c r="BQ180" i="1"/>
  <c r="BV91" i="1"/>
  <c r="AQ607" i="1"/>
  <c r="AQ604" i="1"/>
  <c r="BY230" i="1"/>
  <c r="BT231" i="1"/>
  <c r="T218" i="1"/>
  <c r="T219" i="1"/>
  <c r="T221" i="1" s="1"/>
  <c r="T238" i="1"/>
  <c r="AN9" i="1"/>
  <c r="AN153" i="1"/>
  <c r="AN155" i="1"/>
  <c r="Y60" i="9"/>
  <c r="BC991" i="1"/>
  <c r="AM60" i="9"/>
  <c r="E226" i="1"/>
  <c r="F226" i="1"/>
  <c r="BK126" i="1"/>
  <c r="AA112" i="9"/>
  <c r="AA652" i="1"/>
  <c r="AA474" i="1"/>
  <c r="AA404" i="1"/>
  <c r="AA487" i="1"/>
  <c r="AA502" i="1" s="1"/>
  <c r="AA479" i="1"/>
  <c r="AA411" i="1" s="1"/>
  <c r="AA66" i="9" s="1"/>
  <c r="BT54" i="9"/>
  <c r="BT800" i="1"/>
  <c r="BT412" i="1"/>
  <c r="Y217" i="1"/>
  <c r="AD218" i="1" s="1"/>
  <c r="Y225" i="1"/>
  <c r="Y230" i="1"/>
  <c r="Q21" i="1"/>
  <c r="Q194" i="1"/>
  <c r="AQ200" i="1"/>
  <c r="AA62" i="9"/>
  <c r="AA1271" i="1"/>
  <c r="U112" i="9"/>
  <c r="U113" i="9" s="1"/>
  <c r="U487" i="1"/>
  <c r="U652" i="1"/>
  <c r="U474" i="1"/>
  <c r="U404" i="1"/>
  <c r="U479" i="1"/>
  <c r="U411" i="1" s="1"/>
  <c r="U66" i="9" s="1"/>
  <c r="AH54" i="9"/>
  <c r="AH988" i="1"/>
  <c r="AH412" i="1"/>
  <c r="AE226" i="1"/>
  <c r="W205" i="1"/>
  <c r="W24" i="1"/>
  <c r="AD158" i="1"/>
  <c r="BH299" i="1"/>
  <c r="BM292" i="1" s="1"/>
  <c r="BG167" i="1"/>
  <c r="BG171" i="1"/>
  <c r="E4" i="11"/>
  <c r="BC474" i="1"/>
  <c r="BC404" i="1"/>
  <c r="T37" i="9"/>
  <c r="T403" i="1"/>
  <c r="BE60" i="9"/>
  <c r="BG39" i="9"/>
  <c r="AH39" i="9"/>
  <c r="Q1192" i="1"/>
  <c r="BF54" i="9"/>
  <c r="BF800" i="1"/>
  <c r="BF988" i="1"/>
  <c r="BF412" i="1"/>
  <c r="BQ62" i="9"/>
  <c r="BQ1271" i="1"/>
  <c r="AY625" i="1"/>
  <c r="AX625" i="1"/>
  <c r="AV625" i="1"/>
  <c r="AW625" i="1"/>
  <c r="AU625" i="1"/>
  <c r="AY607" i="1"/>
  <c r="Z1192" i="1"/>
  <c r="AK219" i="1"/>
  <c r="AK221" i="1" s="1"/>
  <c r="AK218" i="1"/>
  <c r="AK238" i="1"/>
  <c r="AV9" i="1"/>
  <c r="BA11" i="1" s="1"/>
  <c r="BA27" i="9" s="1"/>
  <c r="AV155" i="1"/>
  <c r="BD1194" i="1"/>
  <c r="AV1189" i="1"/>
  <c r="AV1193" i="1" s="1"/>
  <c r="BM225" i="1"/>
  <c r="BM224" i="1"/>
  <c r="BQ436" i="1"/>
  <c r="BQ442" i="1" s="1"/>
  <c r="BQ480" i="1" s="1"/>
  <c r="BQ433" i="1"/>
  <c r="AS35" i="9"/>
  <c r="AS394" i="1"/>
  <c r="AD194" i="1"/>
  <c r="AD205" i="1" s="1"/>
  <c r="AD204" i="1"/>
  <c r="AD183" i="1"/>
  <c r="AD16" i="1" s="1"/>
  <c r="AD21" i="1"/>
  <c r="AC156" i="1"/>
  <c r="AC158" i="1"/>
  <c r="AC9" i="1"/>
  <c r="J152" i="1"/>
  <c r="AW105" i="1"/>
  <c r="AW106" i="1"/>
  <c r="AM63" i="1"/>
  <c r="AM178" i="1"/>
  <c r="AU25" i="1"/>
  <c r="AU26" i="1"/>
  <c r="AU19" i="9" s="1"/>
  <c r="V238" i="1"/>
  <c r="V218" i="1"/>
  <c r="V219" i="1"/>
  <c r="V221" i="1" s="1"/>
  <c r="AT43" i="9"/>
  <c r="AU491" i="1"/>
  <c r="AU503" i="1"/>
  <c r="R54" i="9"/>
  <c r="R988" i="1"/>
  <c r="R764" i="1"/>
  <c r="R412" i="1"/>
  <c r="BT236" i="1"/>
  <c r="BY235" i="1"/>
  <c r="BN219" i="1"/>
  <c r="BN218" i="1"/>
  <c r="BN238" i="1"/>
  <c r="BQ219" i="1"/>
  <c r="BQ221" i="1" s="1"/>
  <c r="BQ218" i="1"/>
  <c r="BQ238" i="1"/>
  <c r="BP181" i="1"/>
  <c r="BP111" i="1"/>
  <c r="AQ38" i="1"/>
  <c r="AQ35" i="1" s="1"/>
  <c r="AY1265" i="1"/>
  <c r="AY239" i="1"/>
  <c r="AY240" i="1"/>
  <c r="BF62" i="9"/>
  <c r="BF1271" i="1"/>
  <c r="H599" i="1"/>
  <c r="H600" i="1" s="1"/>
  <c r="H604" i="1"/>
  <c r="L24" i="1"/>
  <c r="AS155" i="1"/>
  <c r="AI173" i="1"/>
  <c r="BC57" i="1"/>
  <c r="BC58" i="1"/>
  <c r="BO39" i="9"/>
  <c r="BF39" i="9"/>
  <c r="AG607" i="1"/>
  <c r="AG604" i="1"/>
  <c r="P62" i="9"/>
  <c r="P1271" i="1"/>
  <c r="AE1265" i="1"/>
  <c r="AE240" i="1"/>
  <c r="AA238" i="1"/>
  <c r="AA219" i="1"/>
  <c r="AA218" i="1"/>
  <c r="AA156" i="1"/>
  <c r="AA9" i="1"/>
  <c r="AB10" i="1" s="1"/>
  <c r="AA157" i="1"/>
  <c r="AR155" i="1"/>
  <c r="AD24" i="1"/>
  <c r="AX105" i="1"/>
  <c r="BE39" i="9"/>
  <c r="AW1190" i="1"/>
  <c r="AW1194" i="1" s="1"/>
  <c r="X112" i="9"/>
  <c r="X652" i="1"/>
  <c r="X404" i="1"/>
  <c r="X487" i="1"/>
  <c r="X479" i="1"/>
  <c r="X411" i="1" s="1"/>
  <c r="X66" i="9" s="1"/>
  <c r="X474" i="1"/>
  <c r="BF10" i="1"/>
  <c r="BG7" i="1"/>
  <c r="BI226" i="1"/>
  <c r="BL183" i="1"/>
  <c r="BL16" i="1" s="1"/>
  <c r="BL21" i="1"/>
  <c r="BL194" i="1"/>
  <c r="BL204" i="1" s="1"/>
  <c r="M1265" i="1"/>
  <c r="M239" i="1"/>
  <c r="M240" i="1"/>
  <c r="M241" i="1" s="1"/>
  <c r="BU173" i="1"/>
  <c r="BP218" i="1"/>
  <c r="BP238" i="1"/>
  <c r="BP219" i="1"/>
  <c r="BP221" i="1" s="1"/>
  <c r="BM173" i="1"/>
  <c r="J22" i="1"/>
  <c r="I22" i="1"/>
  <c r="I28" i="1"/>
  <c r="J31" i="1" s="1"/>
  <c r="BK134" i="9"/>
  <c r="BK67" i="9"/>
  <c r="F758" i="1"/>
  <c r="F761" i="1"/>
  <c r="V54" i="9"/>
  <c r="V988" i="1"/>
  <c r="V412" i="1"/>
  <c r="BB1265" i="1"/>
  <c r="BB240" i="1"/>
  <c r="BJ203" i="1"/>
  <c r="BJ202" i="1"/>
  <c r="BJ201" i="1"/>
  <c r="U159" i="1"/>
  <c r="BE11" i="1"/>
  <c r="BE27" i="9" s="1"/>
  <c r="BF7" i="1"/>
  <c r="BF12" i="1" s="1"/>
  <c r="BE10" i="1"/>
  <c r="AX1193" i="1"/>
  <c r="AL54" i="9"/>
  <c r="AL988" i="1"/>
  <c r="AL412" i="1"/>
  <c r="Q101" i="9"/>
  <c r="S115" i="9"/>
  <c r="S116" i="9" s="1"/>
  <c r="BH1222" i="1"/>
  <c r="BH1223" i="1" s="1"/>
  <c r="BH1177" i="1"/>
  <c r="BH248" i="1"/>
  <c r="BH250" i="1" s="1"/>
  <c r="BY1237" i="1"/>
  <c r="BT1121" i="1"/>
  <c r="BT720" i="1"/>
  <c r="BT105" i="9"/>
  <c r="BT1001" i="1"/>
  <c r="BT977" i="1" s="1"/>
  <c r="BT1256" i="1"/>
  <c r="K106" i="9"/>
  <c r="AU1170" i="1"/>
  <c r="AN1135" i="1"/>
  <c r="AO1279" i="1" s="1"/>
  <c r="AN726" i="1"/>
  <c r="AN245" i="1"/>
  <c r="AN247" i="1" s="1"/>
  <c r="AY115" i="9"/>
  <c r="BY1007" i="1"/>
  <c r="AN101" i="9"/>
  <c r="BU1188" i="1"/>
  <c r="BZ1188" i="1" s="1"/>
  <c r="AB101" i="9"/>
  <c r="AK1268" i="1"/>
  <c r="AG1176" i="1"/>
  <c r="AN1121" i="1"/>
  <c r="AN720" i="1"/>
  <c r="U1181" i="1"/>
  <c r="AY1023" i="1"/>
  <c r="AY1007" i="1" s="1"/>
  <c r="AO1277" i="1"/>
  <c r="AK1121" i="1"/>
  <c r="AK720" i="1"/>
  <c r="AW101" i="9"/>
  <c r="T1176" i="1"/>
  <c r="Z1181" i="1"/>
  <c r="BP994" i="1"/>
  <c r="BP722" i="1"/>
  <c r="BP444" i="1"/>
  <c r="BP448" i="1" s="1"/>
  <c r="AY949" i="1"/>
  <c r="AY958" i="1"/>
  <c r="AY932" i="1" s="1"/>
  <c r="BH1135" i="1"/>
  <c r="BI1279" i="1" s="1"/>
  <c r="BH726" i="1"/>
  <c r="BH245" i="1"/>
  <c r="BH247" i="1" s="1"/>
  <c r="AN1003" i="1"/>
  <c r="AI1193" i="1"/>
  <c r="BC1207" i="1"/>
  <c r="BM101" i="9"/>
  <c r="BC1263" i="1"/>
  <c r="AQ986" i="1"/>
  <c r="W980" i="1"/>
  <c r="I986" i="1"/>
  <c r="BS971" i="1"/>
  <c r="AG986" i="1"/>
  <c r="D108" i="9"/>
  <c r="D93" i="9"/>
  <c r="D765" i="1"/>
  <c r="D766" i="1"/>
  <c r="BI986" i="1"/>
  <c r="X991" i="1"/>
  <c r="T75" i="11"/>
  <c r="U74" i="11"/>
  <c r="U75" i="11" s="1"/>
  <c r="X972" i="1"/>
  <c r="AE761" i="1"/>
  <c r="AE758" i="1"/>
  <c r="AF974" i="1"/>
  <c r="BB786" i="1"/>
  <c r="AT950" i="1"/>
  <c r="AT942" i="1" s="1"/>
  <c r="AT943" i="1" s="1"/>
  <c r="AD551" i="1"/>
  <c r="BC607" i="1"/>
  <c r="BC604" i="1"/>
  <c r="AU39" i="9"/>
  <c r="AE1192" i="1"/>
  <c r="O599" i="1"/>
  <c r="O600" i="1" s="1"/>
  <c r="O604" i="1"/>
  <c r="BI1121" i="1"/>
  <c r="BI720" i="1"/>
  <c r="P1121" i="1"/>
  <c r="P720" i="1"/>
  <c r="AT108" i="9"/>
  <c r="AT93" i="9"/>
  <c r="BB986" i="1"/>
  <c r="N986" i="1"/>
  <c r="BG993" i="1"/>
  <c r="AR991" i="1"/>
  <c r="S761" i="1"/>
  <c r="D625" i="1"/>
  <c r="D607" i="1"/>
  <c r="BN267" i="1"/>
  <c r="BS259" i="1"/>
  <c r="BS261" i="1" s="1"/>
  <c r="BS262" i="1" s="1"/>
  <c r="BS268" i="1" s="1"/>
  <c r="AR786" i="1"/>
  <c r="BI93" i="9"/>
  <c r="BI108" i="9"/>
  <c r="U1007" i="1"/>
  <c r="AZ784" i="1"/>
  <c r="AZ786" i="1" s="1"/>
  <c r="T106" i="9"/>
  <c r="AK43" i="9"/>
  <c r="N993" i="1"/>
  <c r="AV1170" i="1"/>
  <c r="BN62" i="9"/>
  <c r="BN1271" i="1"/>
  <c r="AZ112" i="9"/>
  <c r="AZ474" i="1"/>
  <c r="AZ487" i="1"/>
  <c r="AZ479" i="1"/>
  <c r="AZ411" i="1" s="1"/>
  <c r="AZ66" i="9" s="1"/>
  <c r="AZ652" i="1"/>
  <c r="AZ404" i="1"/>
  <c r="M450" i="1"/>
  <c r="M455" i="1" s="1"/>
  <c r="M436" i="1"/>
  <c r="M442" i="1" s="1"/>
  <c r="M480" i="1" s="1"/>
  <c r="M433" i="1"/>
  <c r="AU1273" i="1"/>
  <c r="AT758" i="1"/>
  <c r="AT761" i="1"/>
  <c r="BB39" i="9"/>
  <c r="AD112" i="9"/>
  <c r="AD479" i="1"/>
  <c r="AD411" i="1" s="1"/>
  <c r="AD66" i="9" s="1"/>
  <c r="AD652" i="1"/>
  <c r="AD404" i="1"/>
  <c r="AD474" i="1"/>
  <c r="V1192" i="1"/>
  <c r="E1192" i="1"/>
  <c r="BS310" i="1"/>
  <c r="S236" i="1"/>
  <c r="AV784" i="1"/>
  <c r="AV786" i="1" s="1"/>
  <c r="R43" i="9"/>
  <c r="BR604" i="1"/>
  <c r="BR607" i="1"/>
  <c r="BJ1193" i="1"/>
  <c r="BA1192" i="1"/>
  <c r="AK1194" i="1"/>
  <c r="U1194" i="1"/>
  <c r="BA436" i="1"/>
  <c r="BA442" i="1" s="1"/>
  <c r="BA480" i="1" s="1"/>
  <c r="BA433" i="1"/>
  <c r="BN306" i="1"/>
  <c r="BN312" i="1" s="1"/>
  <c r="BN32" i="1" s="1"/>
  <c r="BN21" i="9" s="1"/>
  <c r="BN310" i="1"/>
  <c r="AE231" i="1"/>
  <c r="AV221" i="1"/>
  <c r="BL784" i="1"/>
  <c r="BL786" i="1" s="1"/>
  <c r="AP986" i="1"/>
  <c r="R761" i="1"/>
  <c r="K1193" i="1"/>
  <c r="BP761" i="1"/>
  <c r="BO761" i="1"/>
  <c r="BT64" i="9"/>
  <c r="BT668" i="1"/>
  <c r="BH395" i="1"/>
  <c r="BH425" i="1"/>
  <c r="BH429" i="1" s="1"/>
  <c r="BH431" i="1" s="1"/>
  <c r="AZ62" i="9"/>
  <c r="AZ1271" i="1"/>
  <c r="AX24" i="1"/>
  <c r="AZ25" i="1" s="1"/>
  <c r="AL170" i="1"/>
  <c r="AY28" i="1"/>
  <c r="BM1271" i="1"/>
  <c r="L218" i="1"/>
  <c r="L238" i="1"/>
  <c r="L219" i="1"/>
  <c r="Q599" i="1"/>
  <c r="Q600" i="1" s="1"/>
  <c r="Q604" i="1"/>
  <c r="Q607" i="1"/>
  <c r="BF761" i="1"/>
  <c r="BF764" i="1" s="1"/>
  <c r="BG436" i="1"/>
  <c r="BG442" i="1" s="1"/>
  <c r="BG480" i="1" s="1"/>
  <c r="BG433" i="1"/>
  <c r="V60" i="9"/>
  <c r="BP236" i="1"/>
  <c r="BU235" i="1"/>
  <c r="AN158" i="1"/>
  <c r="AL126" i="1"/>
  <c r="BH167" i="1"/>
  <c r="BH171" i="1" s="1"/>
  <c r="AA604" i="1"/>
  <c r="AA607" i="1"/>
  <c r="AA599" i="1"/>
  <c r="AA600" i="1" s="1"/>
  <c r="BR300" i="1"/>
  <c r="L231" i="1"/>
  <c r="BP167" i="1"/>
  <c r="AP60" i="9"/>
  <c r="BC43" i="9"/>
  <c r="BC226" i="1"/>
  <c r="E219" i="1"/>
  <c r="E238" i="1"/>
  <c r="E218" i="1"/>
  <c r="AZ194" i="1"/>
  <c r="AZ204" i="1"/>
  <c r="AZ21" i="1"/>
  <c r="J153" i="1"/>
  <c r="BL174" i="1"/>
  <c r="W60" i="9"/>
  <c r="R39" i="9"/>
  <c r="T234" i="1"/>
  <c r="T235" i="1"/>
  <c r="T236" i="1" s="1"/>
  <c r="Y234" i="1"/>
  <c r="G9" i="1"/>
  <c r="G153" i="1"/>
  <c r="G159" i="1" s="1"/>
  <c r="BC288" i="1"/>
  <c r="Q39" i="9"/>
  <c r="T425" i="1"/>
  <c r="T429" i="1" s="1"/>
  <c r="T431" i="1" s="1"/>
  <c r="T395" i="1"/>
  <c r="AS230" i="1"/>
  <c r="AY112" i="9"/>
  <c r="AY113" i="9" s="1"/>
  <c r="AY652" i="1"/>
  <c r="AY474" i="1"/>
  <c r="AY404" i="1"/>
  <c r="AY487" i="1"/>
  <c r="AY479" i="1"/>
  <c r="AY411" i="1" s="1"/>
  <c r="AY66" i="9" s="1"/>
  <c r="AP1194" i="1"/>
  <c r="Z1194" i="1"/>
  <c r="BH34" i="9"/>
  <c r="BH1189" i="1"/>
  <c r="BH1193" i="1" s="1"/>
  <c r="BH738" i="1"/>
  <c r="BH598" i="1"/>
  <c r="BM607" i="1" s="1"/>
  <c r="BH467" i="1"/>
  <c r="BH472" i="1" s="1"/>
  <c r="BH410" i="1"/>
  <c r="BH409" i="1"/>
  <c r="AJ231" i="1"/>
  <c r="AB218" i="1"/>
  <c r="AB238" i="1"/>
  <c r="AB219" i="1"/>
  <c r="AG218" i="1"/>
  <c r="L194" i="1"/>
  <c r="L205" i="1" s="1"/>
  <c r="BJ289" i="1"/>
  <c r="BJ283" i="1"/>
  <c r="BJ284" i="1" s="1"/>
  <c r="BJ290" i="1" s="1"/>
  <c r="AP991" i="1"/>
  <c r="BM38" i="9"/>
  <c r="BM63" i="9" s="1"/>
  <c r="BM398" i="1"/>
  <c r="BM1193" i="1"/>
  <c r="BD39" i="9"/>
  <c r="AV1190" i="1"/>
  <c r="AV1194" i="1" s="1"/>
  <c r="W134" i="9"/>
  <c r="W67" i="9"/>
  <c r="O38" i="9"/>
  <c r="O63" i="9" s="1"/>
  <c r="O398" i="1"/>
  <c r="C395" i="1"/>
  <c r="C425" i="1"/>
  <c r="C429" i="1" s="1"/>
  <c r="C431" i="1" s="1"/>
  <c r="BN112" i="9"/>
  <c r="BN113" i="9" s="1"/>
  <c r="BN652" i="1"/>
  <c r="BN479" i="1"/>
  <c r="BN411" i="1" s="1"/>
  <c r="BN66" i="9" s="1"/>
  <c r="BN487" i="1"/>
  <c r="BN404" i="1"/>
  <c r="BN1273" i="1" s="1"/>
  <c r="BN474" i="1"/>
  <c r="H436" i="1"/>
  <c r="H442" i="1" s="1"/>
  <c r="H450" i="1"/>
  <c r="H455" i="1" s="1"/>
  <c r="H433" i="1"/>
  <c r="AX425" i="1"/>
  <c r="AX429" i="1" s="1"/>
  <c r="AX431" i="1" s="1"/>
  <c r="AX395" i="1"/>
  <c r="BE194" i="1"/>
  <c r="BE21" i="1"/>
  <c r="BJ23" i="1" s="1"/>
  <c r="BJ18" i="9" s="1"/>
  <c r="AI158" i="1"/>
  <c r="AW173" i="1"/>
  <c r="AR183" i="1"/>
  <c r="AR16" i="1" s="1"/>
  <c r="U194" i="1"/>
  <c r="U204" i="1" s="1"/>
  <c r="U21" i="1"/>
  <c r="BR12" i="1"/>
  <c r="BR8" i="1"/>
  <c r="AU55" i="9"/>
  <c r="AU136" i="9" s="1"/>
  <c r="AU406" i="1"/>
  <c r="AU65" i="9" s="1"/>
  <c r="AZ231" i="1"/>
  <c r="BE231" i="1"/>
  <c r="BN215" i="1"/>
  <c r="BP11" i="1"/>
  <c r="BP27" i="9" s="1"/>
  <c r="BQ7" i="1"/>
  <c r="BP10" i="1"/>
  <c r="BQ10" i="1"/>
  <c r="AM167" i="1"/>
  <c r="AP159" i="1"/>
  <c r="AN106" i="1"/>
  <c r="AN105" i="1"/>
  <c r="H39" i="9"/>
  <c r="AA436" i="1"/>
  <c r="AA442" i="1" s="1"/>
  <c r="AA433" i="1"/>
  <c r="BF226" i="1"/>
  <c r="BA226" i="1"/>
  <c r="AB183" i="1"/>
  <c r="AB16" i="1" s="1"/>
  <c r="AV106" i="1"/>
  <c r="AA25" i="1"/>
  <c r="BC167" i="1"/>
  <c r="AO60" i="9"/>
  <c r="AO1194" i="1"/>
  <c r="AG1193" i="1"/>
  <c r="P599" i="1"/>
  <c r="P600" i="1" s="1"/>
  <c r="P625" i="1"/>
  <c r="N625" i="1"/>
  <c r="M625" i="1"/>
  <c r="L625" i="1"/>
  <c r="P607" i="1"/>
  <c r="O625" i="1"/>
  <c r="Q218" i="1"/>
  <c r="V194" i="1"/>
  <c r="V205" i="1" s="1"/>
  <c r="V21" i="1"/>
  <c r="BU171" i="1"/>
  <c r="V24" i="1"/>
  <c r="BE112" i="9"/>
  <c r="BE479" i="1"/>
  <c r="BE411" i="1" s="1"/>
  <c r="BE66" i="9" s="1"/>
  <c r="BE652" i="1"/>
  <c r="BE474" i="1"/>
  <c r="BE404" i="1"/>
  <c r="BE487" i="1"/>
  <c r="AW39" i="9"/>
  <c r="AF607" i="1"/>
  <c r="AF604" i="1"/>
  <c r="X60" i="9"/>
  <c r="BL54" i="9"/>
  <c r="BL800" i="1"/>
  <c r="BL988" i="1"/>
  <c r="BL412" i="1"/>
  <c r="BI219" i="1"/>
  <c r="BI221" i="1" s="1"/>
  <c r="BI218" i="1"/>
  <c r="BI238" i="1"/>
  <c r="Z219" i="1"/>
  <c r="Z218" i="1"/>
  <c r="Z238" i="1"/>
  <c r="AE239" i="1" s="1"/>
  <c r="BF156" i="1"/>
  <c r="BR89" i="1"/>
  <c r="BR91" i="1"/>
  <c r="BR180" i="1"/>
  <c r="BT89" i="1"/>
  <c r="V43" i="9"/>
  <c r="BE215" i="1"/>
  <c r="AJ24" i="1"/>
  <c r="AX159" i="1"/>
  <c r="L55" i="9"/>
  <c r="L136" i="9" s="1"/>
  <c r="L406" i="1"/>
  <c r="L65" i="9" s="1"/>
  <c r="BP215" i="1"/>
  <c r="BU214" i="1"/>
  <c r="BZ214" i="1" s="1"/>
  <c r="BJ205" i="1"/>
  <c r="BJ206" i="1" s="1"/>
  <c r="AF21" i="1"/>
  <c r="AF194" i="1"/>
  <c r="AF204" i="1" s="1"/>
  <c r="BM60" i="9"/>
  <c r="BE54" i="9"/>
  <c r="BE988" i="1"/>
  <c r="BE800" i="1"/>
  <c r="BE412" i="1"/>
  <c r="AG215" i="1"/>
  <c r="AL11" i="1"/>
  <c r="AL27" i="9" s="1"/>
  <c r="AM7" i="1"/>
  <c r="AX85" i="1"/>
  <c r="BB7" i="1"/>
  <c r="BA10" i="1"/>
  <c r="AJ54" i="9"/>
  <c r="AJ988" i="1"/>
  <c r="AJ989" i="1" s="1"/>
  <c r="AJ800" i="1"/>
  <c r="AJ412" i="1"/>
  <c r="AU215" i="1"/>
  <c r="Y101" i="9"/>
  <c r="CC79" i="9"/>
  <c r="U1170" i="1"/>
  <c r="AQ1023" i="1"/>
  <c r="AQ1007" i="1" s="1"/>
  <c r="AD115" i="9"/>
  <c r="BK986" i="1"/>
  <c r="BO76" i="9"/>
  <c r="BO82" i="9" s="1"/>
  <c r="R1170" i="1"/>
  <c r="BS958" i="1"/>
  <c r="BS932" i="1" s="1"/>
  <c r="BS949" i="1"/>
  <c r="BK76" i="9"/>
  <c r="BK82" i="9" s="1"/>
  <c r="BK139" i="9" s="1"/>
  <c r="AW1170" i="1"/>
  <c r="AK21" i="1"/>
  <c r="AK194" i="1"/>
  <c r="AK199" i="1" s="1"/>
  <c r="AK204" i="1"/>
  <c r="V108" i="9"/>
  <c r="V93" i="9"/>
  <c r="BF21" i="1"/>
  <c r="BF194" i="1"/>
  <c r="BF183" i="1"/>
  <c r="BF16" i="1" s="1"/>
  <c r="V993" i="1"/>
  <c r="BD1181" i="1"/>
  <c r="BD1179" i="1"/>
  <c r="BD1170" i="1"/>
  <c r="BT1194" i="1"/>
  <c r="BY1190" i="1"/>
  <c r="F112" i="9"/>
  <c r="F113" i="9" s="1"/>
  <c r="F652" i="1"/>
  <c r="F474" i="1"/>
  <c r="F487" i="1"/>
  <c r="F502" i="1" s="1"/>
  <c r="F479" i="1"/>
  <c r="F404" i="1"/>
  <c r="AN991" i="1"/>
  <c r="BT303" i="1"/>
  <c r="BG183" i="1"/>
  <c r="BG16" i="1" s="1"/>
  <c r="BG194" i="1"/>
  <c r="BG21" i="1"/>
  <c r="D4" i="11"/>
  <c r="D3" i="11"/>
  <c r="R115" i="9"/>
  <c r="R116" i="9" s="1"/>
  <c r="AD67" i="11"/>
  <c r="U115" i="9"/>
  <c r="BX1135" i="1"/>
  <c r="BX726" i="1"/>
  <c r="AJ74" i="11"/>
  <c r="AV1121" i="1"/>
  <c r="AV720" i="1"/>
  <c r="AE106" i="9"/>
  <c r="BR114" i="9"/>
  <c r="BR1244" i="1"/>
  <c r="BR1254" i="1" s="1"/>
  <c r="BR1004" i="1"/>
  <c r="BR979" i="1" s="1"/>
  <c r="Y1089" i="1"/>
  <c r="AO1121" i="1"/>
  <c r="AO720" i="1"/>
  <c r="C1023" i="1"/>
  <c r="C1007" i="1" s="1"/>
  <c r="AI114" i="9"/>
  <c r="AI115" i="9" s="1"/>
  <c r="AI1244" i="1"/>
  <c r="AI1254" i="1" s="1"/>
  <c r="AI1256" i="1" s="1"/>
  <c r="AI1004" i="1"/>
  <c r="BB1176" i="1"/>
  <c r="BC1173" i="1"/>
  <c r="AT1121" i="1"/>
  <c r="AT720" i="1"/>
  <c r="Y1121" i="1"/>
  <c r="Y720" i="1"/>
  <c r="W106" i="9"/>
  <c r="BC1153" i="1"/>
  <c r="BC734" i="1"/>
  <c r="BC79" i="9" s="1"/>
  <c r="AA1121" i="1"/>
  <c r="AA1156" i="1" s="1"/>
  <c r="AE1277" i="1"/>
  <c r="AA720" i="1"/>
  <c r="AB1176" i="1"/>
  <c r="AM1121" i="1"/>
  <c r="AM1156" i="1" s="1"/>
  <c r="AM720" i="1"/>
  <c r="AM986" i="1"/>
  <c r="BP1156" i="1"/>
  <c r="AS1089" i="1"/>
  <c r="BC108" i="9"/>
  <c r="BC93" i="9"/>
  <c r="G980" i="1"/>
  <c r="BS721" i="1"/>
  <c r="BS744" i="1"/>
  <c r="BS724" i="1"/>
  <c r="BS1013" i="1" s="1"/>
  <c r="AX784" i="1"/>
  <c r="AX786" i="1" s="1"/>
  <c r="BP108" i="9"/>
  <c r="BP93" i="9"/>
  <c r="BQ986" i="1"/>
  <c r="T993" i="1"/>
  <c r="BL761" i="1"/>
  <c r="BE108" i="9"/>
  <c r="BE93" i="9"/>
  <c r="BO625" i="1"/>
  <c r="BS607" i="1"/>
  <c r="BS625" i="1"/>
  <c r="BP625" i="1"/>
  <c r="BR625" i="1"/>
  <c r="BQ625" i="1"/>
  <c r="AA625" i="1"/>
  <c r="AE607" i="1"/>
  <c r="AB625" i="1"/>
  <c r="AE599" i="1"/>
  <c r="AE600" i="1" s="1"/>
  <c r="AE625" i="1"/>
  <c r="AD625" i="1"/>
  <c r="AC625" i="1"/>
  <c r="G39" i="9"/>
  <c r="AC183" i="1"/>
  <c r="AC16" i="1" s="1"/>
  <c r="AC194" i="1"/>
  <c r="AC21" i="1"/>
  <c r="X1121" i="1"/>
  <c r="X1156" i="1" s="1"/>
  <c r="X720" i="1"/>
  <c r="BQ761" i="1"/>
  <c r="AR39" i="9"/>
  <c r="AS93" i="9"/>
  <c r="AS108" i="9"/>
  <c r="BD108" i="9"/>
  <c r="BD109" i="9" s="1"/>
  <c r="BD110" i="9" s="1"/>
  <c r="BD93" i="9"/>
  <c r="BT39" i="9"/>
  <c r="F625" i="1"/>
  <c r="F607" i="1"/>
  <c r="AB761" i="1"/>
  <c r="AL39" i="9"/>
  <c r="AD991" i="1"/>
  <c r="AI236" i="1"/>
  <c r="AN236" i="1"/>
  <c r="Z43" i="9"/>
  <c r="BC60" i="9"/>
  <c r="R986" i="1"/>
  <c r="BI60" i="9"/>
  <c r="AY761" i="1"/>
  <c r="AY758" i="1"/>
  <c r="D758" i="1"/>
  <c r="D761" i="1"/>
  <c r="AP112" i="9"/>
  <c r="AP652" i="1"/>
  <c r="AU661" i="1" s="1"/>
  <c r="AP479" i="1"/>
  <c r="AP411" i="1" s="1"/>
  <c r="AP66" i="9" s="1"/>
  <c r="AP404" i="1"/>
  <c r="AP474" i="1"/>
  <c r="AP487" i="1"/>
  <c r="AP502" i="1" s="1"/>
  <c r="AQ112" i="9"/>
  <c r="AQ652" i="1"/>
  <c r="AQ474" i="1"/>
  <c r="AQ487" i="1"/>
  <c r="AQ404" i="1"/>
  <c r="AQ479" i="1"/>
  <c r="AQ411" i="1" s="1"/>
  <c r="AQ66" i="9" s="1"/>
  <c r="BM217" i="1"/>
  <c r="BM235" i="1"/>
  <c r="BM236" i="1" s="1"/>
  <c r="AG178" i="1"/>
  <c r="AG63" i="1"/>
  <c r="BO436" i="1"/>
  <c r="BO442" i="1" s="1"/>
  <c r="BO480" i="1" s="1"/>
  <c r="BO433" i="1"/>
  <c r="E1" i="9"/>
  <c r="E1397" i="1"/>
  <c r="E515" i="1"/>
  <c r="F4" i="1"/>
  <c r="E3" i="1"/>
  <c r="E3" i="11" s="1"/>
  <c r="AG54" i="9"/>
  <c r="AG988" i="1"/>
  <c r="AG412" i="1"/>
  <c r="D238" i="1"/>
  <c r="D218" i="1"/>
  <c r="D219" i="1"/>
  <c r="AA115" i="9"/>
  <c r="O75" i="11"/>
  <c r="BM1153" i="1"/>
  <c r="BM734" i="1"/>
  <c r="BM79" i="9" s="1"/>
  <c r="BB1170" i="1"/>
  <c r="BB1121" i="1"/>
  <c r="BB1156" i="1" s="1"/>
  <c r="BB720" i="1"/>
  <c r="BD1277" i="1"/>
  <c r="AZ1121" i="1"/>
  <c r="AZ720" i="1"/>
  <c r="AS1270" i="1"/>
  <c r="O1121" i="1"/>
  <c r="O720" i="1"/>
  <c r="BT1173" i="1"/>
  <c r="BX1173" i="1"/>
  <c r="BS1176" i="1"/>
  <c r="F1121" i="1"/>
  <c r="F1156" i="1" s="1"/>
  <c r="F720" i="1"/>
  <c r="BO1156" i="1"/>
  <c r="BS1280" i="1"/>
  <c r="C6" i="9"/>
  <c r="C11" i="9" s="1"/>
  <c r="X106" i="9"/>
  <c r="P1280" i="1"/>
  <c r="L1156" i="1"/>
  <c r="BK722" i="1"/>
  <c r="BK994" i="1"/>
  <c r="BK444" i="1"/>
  <c r="BK448" i="1" s="1"/>
  <c r="R1121" i="1"/>
  <c r="R720" i="1"/>
  <c r="AH1156" i="1"/>
  <c r="G979" i="1"/>
  <c r="BS1156" i="1"/>
  <c r="BC1121" i="1"/>
  <c r="BC720" i="1"/>
  <c r="AS101" i="9"/>
  <c r="J1170" i="1"/>
  <c r="BH986" i="1"/>
  <c r="BL991" i="1"/>
  <c r="X761" i="1"/>
  <c r="BF108" i="9"/>
  <c r="BF93" i="9"/>
  <c r="I108" i="9"/>
  <c r="AL761" i="1"/>
  <c r="BK39" i="9"/>
  <c r="W39" i="9"/>
  <c r="AA67" i="11"/>
  <c r="AF67" i="11"/>
  <c r="BO101" i="9"/>
  <c r="K74" i="11"/>
  <c r="BI115" i="9"/>
  <c r="AN51" i="11"/>
  <c r="AN48" i="11"/>
  <c r="AN53" i="11" s="1"/>
  <c r="AI100" i="9"/>
  <c r="AI101" i="9" s="1"/>
  <c r="AI998" i="1"/>
  <c r="K115" i="9"/>
  <c r="BC114" i="9"/>
  <c r="BC1004" i="1"/>
  <c r="BC979" i="1" s="1"/>
  <c r="BC1244" i="1"/>
  <c r="BC1254" i="1" s="1"/>
  <c r="BJ105" i="9"/>
  <c r="BJ1256" i="1"/>
  <c r="BJ1001" i="1"/>
  <c r="BJ977" i="1" s="1"/>
  <c r="BR1089" i="1"/>
  <c r="M101" i="9"/>
  <c r="AZ1173" i="1"/>
  <c r="BD1173" i="1"/>
  <c r="O1170" i="1"/>
  <c r="AV1156" i="1"/>
  <c r="AY1279" i="1"/>
  <c r="AT1170" i="1"/>
  <c r="AF115" i="9"/>
  <c r="BP1223" i="1"/>
  <c r="BP1003" i="1"/>
  <c r="BP978" i="1" s="1"/>
  <c r="BA1173" i="1"/>
  <c r="BG1223" i="1"/>
  <c r="BF1268" i="1" s="1"/>
  <c r="BG1003" i="1"/>
  <c r="BG978" i="1" s="1"/>
  <c r="AE1280" i="1"/>
  <c r="BW1189" i="1"/>
  <c r="CB1189" i="1" s="1"/>
  <c r="BR1193" i="1"/>
  <c r="BD1280" i="1"/>
  <c r="BA1121" i="1"/>
  <c r="BA720" i="1"/>
  <c r="AC1121" i="1"/>
  <c r="AC720" i="1"/>
  <c r="O101" i="9"/>
  <c r="AJ1121" i="1"/>
  <c r="AJ720" i="1"/>
  <c r="AO101" i="9"/>
  <c r="BK105" i="9"/>
  <c r="BK1268" i="1"/>
  <c r="BK1256" i="1"/>
  <c r="BK1001" i="1"/>
  <c r="BK977" i="1" s="1"/>
  <c r="W1121" i="1"/>
  <c r="W1156" i="1" s="1"/>
  <c r="W720" i="1"/>
  <c r="J1121" i="1"/>
  <c r="K1278" i="1" s="1"/>
  <c r="J720" i="1"/>
  <c r="S1176" i="1"/>
  <c r="F1181" i="1"/>
  <c r="AE1121" i="1"/>
  <c r="AE720" i="1"/>
  <c r="Q980" i="1"/>
  <c r="BE986" i="1"/>
  <c r="BU993" i="1"/>
  <c r="AL1121" i="1"/>
  <c r="AL1156" i="1" s="1"/>
  <c r="AL720" i="1"/>
  <c r="AK993" i="1"/>
  <c r="AT1280" i="1"/>
  <c r="I1121" i="1"/>
  <c r="I1156" i="1" s="1"/>
  <c r="I720" i="1"/>
  <c r="BH733" i="1"/>
  <c r="BH772" i="1"/>
  <c r="W115" i="9"/>
  <c r="AH1121" i="1"/>
  <c r="AH720" i="1"/>
  <c r="AU986" i="1"/>
  <c r="AE108" i="9"/>
  <c r="AE109" i="9" s="1"/>
  <c r="AE110" i="9" s="1"/>
  <c r="AE93" i="9"/>
  <c r="AE765" i="1"/>
  <c r="AU105" i="9"/>
  <c r="AU1256" i="1"/>
  <c r="AU1001" i="1"/>
  <c r="AU977" i="1" s="1"/>
  <c r="AT1279" i="1"/>
  <c r="BB993" i="1"/>
  <c r="G722" i="1"/>
  <c r="G994" i="1"/>
  <c r="G444" i="1"/>
  <c r="G448" i="1" s="1"/>
  <c r="Y986" i="1"/>
  <c r="AR108" i="9"/>
  <c r="AR93" i="9"/>
  <c r="L993" i="1"/>
  <c r="CC659" i="1"/>
  <c r="CC473" i="1"/>
  <c r="AS786" i="1"/>
  <c r="BJ786" i="1"/>
  <c r="R93" i="9"/>
  <c r="R108" i="9"/>
  <c r="BP980" i="1"/>
  <c r="V761" i="1"/>
  <c r="V764" i="1" s="1"/>
  <c r="BS1192" i="1"/>
  <c r="AM607" i="1"/>
  <c r="AM604" i="1"/>
  <c r="Q1121" i="1"/>
  <c r="U1277" i="1"/>
  <c r="Q720" i="1"/>
  <c r="BI758" i="1"/>
  <c r="BI761" i="1"/>
  <c r="S991" i="1"/>
  <c r="I63" i="9"/>
  <c r="AZ39" i="9"/>
  <c r="AJ1194" i="1"/>
  <c r="AB39" i="9"/>
  <c r="D1192" i="1"/>
  <c r="AC108" i="9"/>
  <c r="AC93" i="9"/>
  <c r="W978" i="1"/>
  <c r="AJ108" i="9"/>
  <c r="AJ93" i="9"/>
  <c r="AJ765" i="1"/>
  <c r="AM993" i="1"/>
  <c r="AF784" i="1"/>
  <c r="P784" i="1"/>
  <c r="BH784" i="1"/>
  <c r="AC991" i="1"/>
  <c r="X1170" i="1"/>
  <c r="AN212" i="1"/>
  <c r="AN214" i="1" s="1"/>
  <c r="AN215" i="1" s="1"/>
  <c r="AN217" i="1"/>
  <c r="K236" i="1"/>
  <c r="BQ215" i="1"/>
  <c r="BV214" i="1"/>
  <c r="CA214" i="1" s="1"/>
  <c r="BH101" i="9"/>
  <c r="AL993" i="1"/>
  <c r="E569" i="1"/>
  <c r="E564" i="1"/>
  <c r="BO43" i="9"/>
  <c r="S43" i="9"/>
  <c r="K761" i="1"/>
  <c r="K758" i="1"/>
  <c r="BI112" i="9"/>
  <c r="BI113" i="9" s="1"/>
  <c r="BI652" i="1"/>
  <c r="BI487" i="1"/>
  <c r="BI474" i="1"/>
  <c r="BI479" i="1"/>
  <c r="BI411" i="1" s="1"/>
  <c r="BI66" i="9" s="1"/>
  <c r="BI404" i="1"/>
  <c r="AL112" i="9"/>
  <c r="AL652" i="1"/>
  <c r="AL474" i="1"/>
  <c r="AL487" i="1"/>
  <c r="AL479" i="1"/>
  <c r="AL411" i="1" s="1"/>
  <c r="AL66" i="9" s="1"/>
  <c r="AL404" i="1"/>
  <c r="AD604" i="1"/>
  <c r="AD607" i="1"/>
  <c r="AD599" i="1"/>
  <c r="AD600" i="1" s="1"/>
  <c r="E1193" i="1"/>
  <c r="AV1265" i="1"/>
  <c r="AV240" i="1"/>
  <c r="BM230" i="1"/>
  <c r="Z215" i="1"/>
  <c r="AE215" i="1"/>
  <c r="BA991" i="1"/>
  <c r="BO63" i="9"/>
  <c r="BR1192" i="1"/>
  <c r="BW1188" i="1"/>
  <c r="CB1188" i="1" s="1"/>
  <c r="BJ39" i="9"/>
  <c r="BA39" i="9"/>
  <c r="AC39" i="9"/>
  <c r="L60" i="9"/>
  <c r="L1273" i="1"/>
  <c r="BF219" i="1"/>
  <c r="BF218" i="1"/>
  <c r="BF238" i="1"/>
  <c r="AC604" i="1"/>
  <c r="R991" i="1"/>
  <c r="Z60" i="9"/>
  <c r="BV1189" i="1"/>
  <c r="CA1189" i="1" s="1"/>
  <c r="BQ1193" i="1"/>
  <c r="BI1193" i="1"/>
  <c r="S1193" i="1"/>
  <c r="K39" i="9"/>
  <c r="BP991" i="1"/>
  <c r="AQ761" i="1"/>
  <c r="BA62" i="9"/>
  <c r="BA1271" i="1"/>
  <c r="P986" i="1"/>
  <c r="BO991" i="1"/>
  <c r="BL803" i="1"/>
  <c r="BL491" i="1"/>
  <c r="BL502" i="1"/>
  <c r="Y425" i="1"/>
  <c r="Y429" i="1" s="1"/>
  <c r="Y431" i="1" s="1"/>
  <c r="Y395" i="1"/>
  <c r="BK289" i="1"/>
  <c r="BK283" i="1"/>
  <c r="BK284" i="1" s="1"/>
  <c r="BK290" i="1" s="1"/>
  <c r="BD194" i="1"/>
  <c r="BD21" i="1"/>
  <c r="L9" i="1"/>
  <c r="L152" i="1"/>
  <c r="L159" i="1" s="1"/>
  <c r="AL174" i="1"/>
  <c r="AI172" i="1"/>
  <c r="AQ1193" i="1"/>
  <c r="AR171" i="1"/>
  <c r="O9" i="1"/>
  <c r="O153" i="1"/>
  <c r="BF991" i="1"/>
  <c r="S62" i="9"/>
  <c r="S1271" i="1"/>
  <c r="J990" i="1"/>
  <c r="J991" i="1" s="1"/>
  <c r="J757" i="1"/>
  <c r="BC238" i="1"/>
  <c r="BC219" i="1"/>
  <c r="AX299" i="1"/>
  <c r="AF158" i="1"/>
  <c r="K153" i="1"/>
  <c r="BM174" i="1"/>
  <c r="BL105" i="1"/>
  <c r="BL106" i="1"/>
  <c r="AH112" i="9"/>
  <c r="AH652" i="1"/>
  <c r="AH479" i="1"/>
  <c r="AH411" i="1" s="1"/>
  <c r="AH66" i="9" s="1"/>
  <c r="AH474" i="1"/>
  <c r="AH487" i="1"/>
  <c r="AH404" i="1"/>
  <c r="AI126" i="1"/>
  <c r="AI170" i="1"/>
  <c r="BN60" i="9"/>
  <c r="AV436" i="1"/>
  <c r="AV442" i="1" s="1"/>
  <c r="AV480" i="1" s="1"/>
  <c r="AV433" i="1"/>
  <c r="AG183" i="1"/>
  <c r="AG16" i="1" s="1"/>
  <c r="AG21" i="1"/>
  <c r="AG194" i="1"/>
  <c r="AG204" i="1" s="1"/>
  <c r="AW9" i="1"/>
  <c r="AW158" i="1"/>
  <c r="R112" i="9"/>
  <c r="R652" i="1"/>
  <c r="R479" i="1"/>
  <c r="R411" i="1" s="1"/>
  <c r="R66" i="9" s="1"/>
  <c r="R487" i="1"/>
  <c r="R474" i="1"/>
  <c r="R404" i="1"/>
  <c r="BL171" i="1"/>
  <c r="BG62" i="9"/>
  <c r="BG1271" i="1"/>
  <c r="Q112" i="9"/>
  <c r="Q479" i="1"/>
  <c r="Q411" i="1" s="1"/>
  <c r="Q66" i="9" s="1"/>
  <c r="Q474" i="1"/>
  <c r="Q487" i="1"/>
  <c r="Q652" i="1"/>
  <c r="Q404" i="1"/>
  <c r="T34" i="9"/>
  <c r="T1188" i="1"/>
  <c r="T1192" i="1" s="1"/>
  <c r="T1189" i="1"/>
  <c r="T1193" i="1" s="1"/>
  <c r="T1190" i="1"/>
  <c r="T1194" i="1" s="1"/>
  <c r="T598" i="1"/>
  <c r="Y607" i="1" s="1"/>
  <c r="T738" i="1"/>
  <c r="T467" i="1"/>
  <c r="T472" i="1" s="1"/>
  <c r="T398" i="1"/>
  <c r="T394" i="1"/>
  <c r="T410" i="1"/>
  <c r="AW226" i="1"/>
  <c r="T402" i="1"/>
  <c r="T61" i="9" s="1"/>
  <c r="AP39" i="9"/>
  <c r="Z1193" i="1"/>
  <c r="BF215" i="1"/>
  <c r="BO1170" i="1"/>
  <c r="M63" i="9"/>
  <c r="BM39" i="9"/>
  <c r="AV112" i="9"/>
  <c r="AV652" i="1"/>
  <c r="AV474" i="1"/>
  <c r="AV404" i="1"/>
  <c r="AV487" i="1"/>
  <c r="AV479" i="1"/>
  <c r="AV411" i="1" s="1"/>
  <c r="AV66" i="9" s="1"/>
  <c r="AV39" i="9"/>
  <c r="BI436" i="1"/>
  <c r="BI442" i="1" s="1"/>
  <c r="BI433" i="1"/>
  <c r="C35" i="9"/>
  <c r="C39" i="9" s="1"/>
  <c r="C394" i="1"/>
  <c r="J34" i="9"/>
  <c r="J598" i="1"/>
  <c r="O607" i="1" s="1"/>
  <c r="J410" i="1"/>
  <c r="J467" i="1"/>
  <c r="J472" i="1" s="1"/>
  <c r="AO203" i="1"/>
  <c r="AK158" i="1"/>
  <c r="AK9" i="1"/>
  <c r="AP11" i="1" s="1"/>
  <c r="AP27" i="9" s="1"/>
  <c r="AK156" i="1"/>
  <c r="AK157" i="1"/>
  <c r="AL173" i="1"/>
  <c r="BK28" i="1"/>
  <c r="BK22" i="1"/>
  <c r="BK23" i="1"/>
  <c r="BK18" i="9" s="1"/>
  <c r="AR22" i="1"/>
  <c r="AR23" i="1"/>
  <c r="AR18" i="9" s="1"/>
  <c r="AR28" i="1"/>
  <c r="AQ172" i="1"/>
  <c r="BQ11" i="1"/>
  <c r="BQ27" i="9" s="1"/>
  <c r="N43" i="9"/>
  <c r="BH217" i="1"/>
  <c r="AM86" i="1"/>
  <c r="AM85" i="1"/>
  <c r="AR86" i="1"/>
  <c r="AP10" i="1"/>
  <c r="AQ7" i="1"/>
  <c r="AQ12" i="1" s="1"/>
  <c r="AF112" i="9"/>
  <c r="AF652" i="1"/>
  <c r="AF404" i="1"/>
  <c r="AF474" i="1"/>
  <c r="AF487" i="1"/>
  <c r="AF479" i="1"/>
  <c r="AF411" i="1" s="1"/>
  <c r="AF66" i="9" s="1"/>
  <c r="AU54" i="9"/>
  <c r="AU988" i="1"/>
  <c r="AU800" i="1"/>
  <c r="AU412" i="1"/>
  <c r="BL1265" i="1"/>
  <c r="BL240" i="1"/>
  <c r="R226" i="1"/>
  <c r="W226" i="1"/>
  <c r="BS28" i="1"/>
  <c r="BG174" i="1"/>
  <c r="BF112" i="9"/>
  <c r="BF652" i="1"/>
  <c r="BF479" i="1"/>
  <c r="BF411" i="1" s="1"/>
  <c r="BF66" i="9" s="1"/>
  <c r="BF474" i="1"/>
  <c r="BF487" i="1"/>
  <c r="BF404" i="1"/>
  <c r="AO39" i="9"/>
  <c r="AG1192" i="1"/>
  <c r="Y1192" i="1"/>
  <c r="P1193" i="1"/>
  <c r="CB225" i="1"/>
  <c r="AN156" i="1"/>
  <c r="AQ10" i="1"/>
  <c r="AQ11" i="1"/>
  <c r="AQ27" i="9" s="1"/>
  <c r="AR7" i="1"/>
  <c r="BN625" i="1"/>
  <c r="BL625" i="1"/>
  <c r="BM625" i="1"/>
  <c r="BK625" i="1"/>
  <c r="BJ625" i="1"/>
  <c r="BN607" i="1"/>
  <c r="AW112" i="9"/>
  <c r="AW479" i="1"/>
  <c r="AW411" i="1" s="1"/>
  <c r="AW66" i="9" s="1"/>
  <c r="AW652" i="1"/>
  <c r="AW474" i="1"/>
  <c r="AW487" i="1"/>
  <c r="AW404" i="1"/>
  <c r="AF1193" i="1"/>
  <c r="X599" i="1"/>
  <c r="X600" i="1" s="1"/>
  <c r="X604" i="1"/>
  <c r="X607" i="1"/>
  <c r="AO54" i="9"/>
  <c r="AO800" i="1"/>
  <c r="AO988" i="1"/>
  <c r="AO989" i="1" s="1"/>
  <c r="AO969" i="1" s="1"/>
  <c r="AO412" i="1"/>
  <c r="BA219" i="1"/>
  <c r="BA221" i="1" s="1"/>
  <c r="BA218" i="1"/>
  <c r="BA238" i="1"/>
  <c r="Z236" i="1"/>
  <c r="AE198" i="1"/>
  <c r="AV156" i="1"/>
  <c r="AK24" i="1"/>
  <c r="AZ236" i="1"/>
  <c r="BJ10" i="1"/>
  <c r="BJ11" i="1"/>
  <c r="BJ27" i="9" s="1"/>
  <c r="BK7" i="1"/>
  <c r="BK12" i="1" s="1"/>
  <c r="BU147" i="1"/>
  <c r="BU82" i="1"/>
  <c r="BU24" i="9" s="1"/>
  <c r="BV78" i="1"/>
  <c r="BU84" i="1"/>
  <c r="BB25" i="1"/>
  <c r="BB26" i="1"/>
  <c r="BB19" i="9" s="1"/>
  <c r="N1265" i="1"/>
  <c r="N239" i="1"/>
  <c r="N240" i="1"/>
  <c r="N241" i="1" s="1"/>
  <c r="AQ174" i="1"/>
  <c r="AL60" i="9"/>
  <c r="BR991" i="1"/>
  <c r="BN278" i="1"/>
  <c r="H197" i="1"/>
  <c r="AE28" i="1"/>
  <c r="AL159" i="1"/>
  <c r="S11" i="1"/>
  <c r="S27" i="9" s="1"/>
  <c r="T7" i="1"/>
  <c r="BR109" i="1"/>
  <c r="AR173" i="1"/>
  <c r="K1279" i="1"/>
  <c r="Y1223" i="1"/>
  <c r="Y1003" i="1"/>
  <c r="Y978" i="1" s="1"/>
  <c r="C564" i="1"/>
  <c r="C569" i="1"/>
  <c r="D1121" i="1"/>
  <c r="D720" i="1"/>
  <c r="BO105" i="9"/>
  <c r="BO1256" i="1"/>
  <c r="BO1001" i="1"/>
  <c r="BO977" i="1" s="1"/>
  <c r="AD108" i="9"/>
  <c r="AD93" i="9"/>
  <c r="AO986" i="1"/>
  <c r="BN108" i="9"/>
  <c r="BN93" i="9"/>
  <c r="BM579" i="1"/>
  <c r="BN584" i="1"/>
  <c r="BN579" i="1" s="1"/>
  <c r="AU1192" i="1"/>
  <c r="BJ986" i="1"/>
  <c r="BP39" i="9"/>
  <c r="AS73" i="9"/>
  <c r="AS1185" i="1"/>
  <c r="AS992" i="1"/>
  <c r="AS993" i="1" s="1"/>
  <c r="AS805" i="1"/>
  <c r="BQ93" i="9"/>
  <c r="BQ108" i="9"/>
  <c r="E108" i="9"/>
  <c r="E93" i="9"/>
  <c r="E765" i="1"/>
  <c r="E766" i="1"/>
  <c r="R80" i="9"/>
  <c r="R773" i="1"/>
  <c r="AF1170" i="1"/>
  <c r="N112" i="9"/>
  <c r="N652" i="1"/>
  <c r="N474" i="1"/>
  <c r="N404" i="1"/>
  <c r="N479" i="1"/>
  <c r="N411" i="1" s="1"/>
  <c r="N66" i="9" s="1"/>
  <c r="N487" i="1"/>
  <c r="AV105" i="9"/>
  <c r="AV1268" i="1"/>
  <c r="AV1256" i="1"/>
  <c r="AV1001" i="1"/>
  <c r="AV977" i="1" s="1"/>
  <c r="BX734" i="1"/>
  <c r="BL101" i="9"/>
  <c r="BJ1156" i="1"/>
  <c r="BN1280" i="1"/>
  <c r="AN114" i="9"/>
  <c r="AN1244" i="1"/>
  <c r="AN1254" i="1" s="1"/>
  <c r="AN1004" i="1"/>
  <c r="AN980" i="1" s="1"/>
  <c r="O106" i="9"/>
  <c r="AX1121" i="1"/>
  <c r="AX720" i="1"/>
  <c r="Y1135" i="1"/>
  <c r="Z1279" i="1" s="1"/>
  <c r="Y726" i="1"/>
  <c r="Y445" i="1"/>
  <c r="Y245" i="1"/>
  <c r="Y247" i="1" s="1"/>
  <c r="AZ1223" i="1"/>
  <c r="AZ1003" i="1"/>
  <c r="AZ978" i="1" s="1"/>
  <c r="AD784" i="1"/>
  <c r="BS108" i="9"/>
  <c r="BS93" i="9"/>
  <c r="BS765" i="1"/>
  <c r="BS766" i="1"/>
  <c r="AM108" i="9"/>
  <c r="AM93" i="9"/>
  <c r="X993" i="1"/>
  <c r="BH793" i="1"/>
  <c r="T108" i="9"/>
  <c r="T93" i="9"/>
  <c r="T986" i="1"/>
  <c r="BA993" i="1"/>
  <c r="G761" i="1"/>
  <c r="P974" i="1"/>
  <c r="AP93" i="9"/>
  <c r="AP108" i="9"/>
  <c r="AO93" i="9"/>
  <c r="AO108" i="9"/>
  <c r="AO765" i="1"/>
  <c r="AL991" i="1"/>
  <c r="L994" i="1"/>
  <c r="L722" i="1"/>
  <c r="L444" i="1"/>
  <c r="L448" i="1" s="1"/>
  <c r="AZ607" i="1"/>
  <c r="AZ604" i="1"/>
  <c r="L39" i="9"/>
  <c r="AP21" i="1"/>
  <c r="AP194" i="1"/>
  <c r="BP74" i="9"/>
  <c r="BT108" i="9"/>
  <c r="BT93" i="9"/>
  <c r="AN108" i="9"/>
  <c r="AN93" i="9"/>
  <c r="X93" i="9"/>
  <c r="X108" i="9"/>
  <c r="H108" i="9"/>
  <c r="J109" i="9" s="1"/>
  <c r="N607" i="1"/>
  <c r="N599" i="1"/>
  <c r="N600" i="1" s="1"/>
  <c r="N604" i="1"/>
  <c r="BL535" i="1"/>
  <c r="BM531" i="1"/>
  <c r="AA43" i="9"/>
  <c r="BB761" i="1"/>
  <c r="BB764" i="1" s="1"/>
  <c r="AE1179" i="1"/>
  <c r="AE1170" i="1"/>
  <c r="O37" i="9"/>
  <c r="O403" i="1"/>
  <c r="V112" i="9"/>
  <c r="V652" i="1"/>
  <c r="V474" i="1"/>
  <c r="V404" i="1"/>
  <c r="V487" i="1"/>
  <c r="V479" i="1"/>
  <c r="V411" i="1" s="1"/>
  <c r="V66" i="9" s="1"/>
  <c r="M60" i="9"/>
  <c r="BC993" i="1"/>
  <c r="BD436" i="1"/>
  <c r="BD442" i="1" s="1"/>
  <c r="BD433" i="1"/>
  <c r="D986" i="1"/>
  <c r="AR74" i="9"/>
  <c r="AK112" i="9"/>
  <c r="AK487" i="1"/>
  <c r="AK502" i="1" s="1"/>
  <c r="AK652" i="1"/>
  <c r="AK479" i="1"/>
  <c r="AK411" i="1" s="1"/>
  <c r="AK66" i="9" s="1"/>
  <c r="AK474" i="1"/>
  <c r="AK404" i="1"/>
  <c r="AI36" i="9"/>
  <c r="AI39" i="9" s="1"/>
  <c r="AI402" i="1"/>
  <c r="AI61" i="9" s="1"/>
  <c r="BO303" i="1"/>
  <c r="BO305" i="1" s="1"/>
  <c r="BO306" i="1" s="1"/>
  <c r="BO312" i="1" s="1"/>
  <c r="BO32" i="1" s="1"/>
  <c r="BO21" i="9" s="1"/>
  <c r="BJ311" i="1"/>
  <c r="AI183" i="1"/>
  <c r="AI16" i="1" s="1"/>
  <c r="AI194" i="1"/>
  <c r="AI21" i="1"/>
  <c r="AE986" i="1"/>
  <c r="E436" i="1"/>
  <c r="E442" i="1" s="1"/>
  <c r="E457" i="1"/>
  <c r="E459" i="1" s="1"/>
  <c r="E433" i="1"/>
  <c r="AW60" i="9"/>
  <c r="BB194" i="1"/>
  <c r="BB204" i="1" s="1"/>
  <c r="BB183" i="1"/>
  <c r="BB16" i="1" s="1"/>
  <c r="BB21" i="1"/>
  <c r="AQ86" i="1"/>
  <c r="AR85" i="1"/>
  <c r="T115" i="9"/>
  <c r="T48" i="11"/>
  <c r="T53" i="11" s="1"/>
  <c r="T50" i="11"/>
  <c r="V101" i="9"/>
  <c r="BI1277" i="1"/>
  <c r="BE1121" i="1"/>
  <c r="BE720" i="1"/>
  <c r="AF1121" i="1"/>
  <c r="AF720" i="1"/>
  <c r="W1170" i="1"/>
  <c r="BX1279" i="1"/>
  <c r="BG115" i="9"/>
  <c r="AY1223" i="1"/>
  <c r="AY1003" i="1"/>
  <c r="AY978" i="1" s="1"/>
  <c r="AB67" i="11"/>
  <c r="W67" i="11"/>
  <c r="AN75" i="11"/>
  <c r="AE979" i="1"/>
  <c r="AE978" i="1"/>
  <c r="BR1175" i="1"/>
  <c r="BR245" i="1"/>
  <c r="BR247" i="1" s="1"/>
  <c r="AA1023" i="1"/>
  <c r="AA1007" i="1" s="1"/>
  <c r="W101" i="9"/>
  <c r="AJ105" i="9"/>
  <c r="AJ106" i="9" s="1"/>
  <c r="AJ1268" i="1"/>
  <c r="AJ1256" i="1"/>
  <c r="AJ1001" i="1"/>
  <c r="AJ977" i="1" s="1"/>
  <c r="AG115" i="9"/>
  <c r="AA1176" i="1"/>
  <c r="Z1170" i="1"/>
  <c r="R1156" i="1"/>
  <c r="D784" i="1"/>
  <c r="C1121" i="1"/>
  <c r="C1156" i="1" s="1"/>
  <c r="C720" i="1"/>
  <c r="BZ1241" i="1"/>
  <c r="AQ1121" i="1"/>
  <c r="AQ720" i="1"/>
  <c r="BC1262" i="1"/>
  <c r="O93" i="9"/>
  <c r="O108" i="9"/>
  <c r="AR986" i="1"/>
  <c r="BT993" i="1"/>
  <c r="AX839" i="1"/>
  <c r="L986" i="1"/>
  <c r="D564" i="1"/>
  <c r="BK761" i="1"/>
  <c r="L63" i="9"/>
  <c r="BF993" i="1"/>
  <c r="AT938" i="1"/>
  <c r="AT937" i="1"/>
  <c r="Y93" i="9"/>
  <c r="Y108" i="9"/>
  <c r="E758" i="1"/>
  <c r="E761" i="1"/>
  <c r="AO1181" i="1"/>
  <c r="AO1179" i="1"/>
  <c r="BS1193" i="1"/>
  <c r="BR1114" i="1"/>
  <c r="M115" i="9"/>
  <c r="J50" i="11"/>
  <c r="J48" i="11"/>
  <c r="J53" i="11" s="1"/>
  <c r="AN1177" i="1"/>
  <c r="AN1176" i="1" s="1"/>
  <c r="AN1222" i="1"/>
  <c r="AN1223" i="1" s="1"/>
  <c r="AN248" i="1"/>
  <c r="AN250" i="1" s="1"/>
  <c r="L75" i="11"/>
  <c r="F101" i="9"/>
  <c r="AO1192" i="1"/>
  <c r="AD1089" i="1"/>
  <c r="AU101" i="9"/>
  <c r="BK115" i="9"/>
  <c r="AK1176" i="1"/>
  <c r="AL1173" i="1"/>
  <c r="AL1176" i="1" s="1"/>
  <c r="N1170" i="1"/>
  <c r="E106" i="9"/>
  <c r="AM1170" i="1"/>
  <c r="BR101" i="9"/>
  <c r="J1176" i="1"/>
  <c r="L106" i="9"/>
  <c r="BC1170" i="1"/>
  <c r="AS114" i="9"/>
  <c r="AS115" i="9" s="1"/>
  <c r="AS1244" i="1"/>
  <c r="AS1254" i="1" s="1"/>
  <c r="AS1256" i="1" s="1"/>
  <c r="AS1004" i="1"/>
  <c r="BG1192" i="1"/>
  <c r="BC100" i="9"/>
  <c r="BG101" i="9" s="1"/>
  <c r="BC998" i="1"/>
  <c r="AI1153" i="1"/>
  <c r="BN105" i="9"/>
  <c r="BN1256" i="1"/>
  <c r="BN1001" i="1"/>
  <c r="BN977" i="1" s="1"/>
  <c r="BN1268" i="1"/>
  <c r="P1279" i="1"/>
  <c r="BG1023" i="1"/>
  <c r="BG1007" i="1" s="1"/>
  <c r="P106" i="9"/>
  <c r="BI1280" i="1"/>
  <c r="K1121" i="1"/>
  <c r="K720" i="1"/>
  <c r="BH1121" i="1"/>
  <c r="BH720" i="1"/>
  <c r="AR1192" i="1"/>
  <c r="Z1277" i="1"/>
  <c r="V1121" i="1"/>
  <c r="V1156" i="1" s="1"/>
  <c r="V720" i="1"/>
  <c r="Q986" i="1"/>
  <c r="U1280" i="1"/>
  <c r="BQ1176" i="1"/>
  <c r="BR1173" i="1"/>
  <c r="AI77" i="9"/>
  <c r="AI1274" i="1"/>
  <c r="BO1176" i="1"/>
  <c r="BH1089" i="1"/>
  <c r="AD1121" i="1"/>
  <c r="AD1156" i="1" s="1"/>
  <c r="AD720" i="1"/>
  <c r="AO1268" i="1"/>
  <c r="BR1223" i="1"/>
  <c r="BR1003" i="1"/>
  <c r="AH1170" i="1"/>
  <c r="BK93" i="9"/>
  <c r="BK108" i="9"/>
  <c r="AU108" i="9"/>
  <c r="AU93" i="9"/>
  <c r="G108" i="9"/>
  <c r="AF993" i="1"/>
  <c r="AV1173" i="1"/>
  <c r="BO986" i="1"/>
  <c r="AS1274" i="1"/>
  <c r="AR1176" i="1"/>
  <c r="N93" i="9"/>
  <c r="N108" i="9"/>
  <c r="AS986" i="1"/>
  <c r="P758" i="1"/>
  <c r="P761" i="1"/>
  <c r="U70" i="9"/>
  <c r="U72" i="9" s="1"/>
  <c r="U723" i="1"/>
  <c r="U740" i="1"/>
  <c r="U741" i="1" s="1"/>
  <c r="U742" i="1" s="1"/>
  <c r="U743" i="1" s="1"/>
  <c r="AU761" i="1"/>
  <c r="W761" i="1"/>
  <c r="BP63" i="9"/>
  <c r="AH108" i="9"/>
  <c r="AH93" i="9"/>
  <c r="R784" i="1"/>
  <c r="BM108" i="9"/>
  <c r="BO109" i="9" s="1"/>
  <c r="BO110" i="9" s="1"/>
  <c r="BM93" i="9"/>
  <c r="AW108" i="9"/>
  <c r="AW93" i="9"/>
  <c r="BK63" i="9"/>
  <c r="BS39" i="9"/>
  <c r="AM1194" i="1"/>
  <c r="AE39" i="9"/>
  <c r="AY1121" i="1"/>
  <c r="AY720" i="1"/>
  <c r="E986" i="1"/>
  <c r="Z765" i="1"/>
  <c r="BD784" i="1"/>
  <c r="BD786" i="1" s="1"/>
  <c r="BJ93" i="9"/>
  <c r="BJ108" i="9"/>
  <c r="AT986" i="1"/>
  <c r="AG993" i="1"/>
  <c r="BP607" i="1"/>
  <c r="BP604" i="1"/>
  <c r="AR1193" i="1"/>
  <c r="AJ1193" i="1"/>
  <c r="L607" i="1"/>
  <c r="L599" i="1"/>
  <c r="L600" i="1" s="1"/>
  <c r="L604" i="1"/>
  <c r="D1193" i="1"/>
  <c r="BC425" i="1"/>
  <c r="BC429" i="1" s="1"/>
  <c r="BC431" i="1" s="1"/>
  <c r="BC395" i="1"/>
  <c r="BN784" i="1"/>
  <c r="BN786" i="1" s="1"/>
  <c r="O524" i="1"/>
  <c r="Q523" i="1"/>
  <c r="O523" i="1"/>
  <c r="T524" i="1"/>
  <c r="AM80" i="9"/>
  <c r="AM773" i="1"/>
  <c r="O978" i="1"/>
  <c r="AV798" i="1"/>
  <c r="BL93" i="9"/>
  <c r="BL108" i="9"/>
  <c r="AV108" i="9"/>
  <c r="AV93" i="9"/>
  <c r="AF108" i="9"/>
  <c r="AF93" i="9"/>
  <c r="P93" i="9"/>
  <c r="P108" i="9"/>
  <c r="P109" i="9" s="1"/>
  <c r="P110" i="9" s="1"/>
  <c r="P766" i="1"/>
  <c r="P765" i="1"/>
  <c r="E43" i="9"/>
  <c r="AC761" i="1"/>
  <c r="BL1170" i="1"/>
  <c r="BT604" i="1"/>
  <c r="BT607" i="1"/>
  <c r="N39" i="9"/>
  <c r="F39" i="9"/>
  <c r="AN35" i="9"/>
  <c r="AN39" i="9" s="1"/>
  <c r="AN394" i="1"/>
  <c r="BO200" i="1"/>
  <c r="BU182" i="1"/>
  <c r="BU131" i="1"/>
  <c r="BV128" i="1"/>
  <c r="O993" i="1"/>
  <c r="AT112" i="9"/>
  <c r="AT113" i="9" s="1"/>
  <c r="AT652" i="1"/>
  <c r="AT474" i="1"/>
  <c r="AT487" i="1"/>
  <c r="AT502" i="1" s="1"/>
  <c r="AT479" i="1"/>
  <c r="AT411" i="1" s="1"/>
  <c r="AT66" i="9" s="1"/>
  <c r="AT404" i="1"/>
  <c r="AL607" i="1"/>
  <c r="AL604" i="1"/>
  <c r="AD1194" i="1"/>
  <c r="V1193" i="1"/>
  <c r="E39" i="9"/>
  <c r="BQ236" i="1"/>
  <c r="BV235" i="1"/>
  <c r="BZ1022" i="1"/>
  <c r="CF1022" i="1"/>
  <c r="BX1022" i="1"/>
  <c r="BX1007" i="1" s="1"/>
  <c r="CD1022" i="1"/>
  <c r="CD1007" i="1" s="1"/>
  <c r="BV1022" i="1"/>
  <c r="BV1007" i="1" s="1"/>
  <c r="BW1022" i="1"/>
  <c r="BW1007" i="1" s="1"/>
  <c r="CC1022" i="1"/>
  <c r="CC1007" i="1" s="1"/>
  <c r="CB1022" i="1"/>
  <c r="BU1022" i="1"/>
  <c r="CA1022" i="1"/>
  <c r="CA1007" i="1" s="1"/>
  <c r="BR43" i="9"/>
  <c r="BA761" i="1"/>
  <c r="BC37" i="9"/>
  <c r="BC39" i="9" s="1"/>
  <c r="BC403" i="1"/>
  <c r="BR39" i="9"/>
  <c r="AK604" i="1"/>
  <c r="AK607" i="1"/>
  <c r="AK39" i="9"/>
  <c r="U60" i="9"/>
  <c r="U39" i="9"/>
  <c r="AY236" i="1"/>
  <c r="O218" i="1"/>
  <c r="O238" i="1"/>
  <c r="O219" i="1"/>
  <c r="BR179" i="1"/>
  <c r="BR67" i="1"/>
  <c r="BR65" i="1"/>
  <c r="BN986" i="1"/>
  <c r="BX48" i="9"/>
  <c r="BX1272" i="1"/>
  <c r="BQ1192" i="1"/>
  <c r="BV1188" i="1"/>
  <c r="CA1188" i="1" s="1"/>
  <c r="BI1194" i="1"/>
  <c r="S39" i="9"/>
  <c r="C112" i="9"/>
  <c r="C113" i="9" s="1"/>
  <c r="C652" i="1"/>
  <c r="C474" i="1"/>
  <c r="C479" i="1"/>
  <c r="C404" i="1"/>
  <c r="C487" i="1"/>
  <c r="AQ991" i="1"/>
  <c r="Q761" i="1"/>
  <c r="BL986" i="1"/>
  <c r="AO761" i="1"/>
  <c r="AO758" i="1"/>
  <c r="AU63" i="9"/>
  <c r="BL55" i="9"/>
  <c r="BL136" i="9" s="1"/>
  <c r="BL406" i="1"/>
  <c r="BL65" i="9" s="1"/>
  <c r="J38" i="9"/>
  <c r="J398" i="1"/>
  <c r="P436" i="1"/>
  <c r="P442" i="1" s="1"/>
  <c r="P480" i="1" s="1"/>
  <c r="P433" i="1"/>
  <c r="P450" i="1"/>
  <c r="P455" i="1" s="1"/>
  <c r="AY60" i="9"/>
  <c r="AQ1194" i="1"/>
  <c r="BR37" i="9"/>
  <c r="BR403" i="1"/>
  <c r="BQ303" i="1"/>
  <c r="BQ305" i="1" s="1"/>
  <c r="BQ306" i="1" s="1"/>
  <c r="BQ312" i="1" s="1"/>
  <c r="BQ32" i="1" s="1"/>
  <c r="BQ21" i="9" s="1"/>
  <c r="BL311" i="1"/>
  <c r="BO226" i="1"/>
  <c r="AH9" i="1"/>
  <c r="AH158" i="1"/>
  <c r="BQ38" i="1"/>
  <c r="BQ35" i="1" s="1"/>
  <c r="X436" i="1"/>
  <c r="X442" i="1" s="1"/>
  <c r="X480" i="1" s="1"/>
  <c r="X433" i="1"/>
  <c r="AQ226" i="1"/>
  <c r="AV226" i="1"/>
  <c r="W218" i="1"/>
  <c r="W238" i="1"/>
  <c r="W219" i="1"/>
  <c r="AH157" i="1"/>
  <c r="Y152" i="1"/>
  <c r="BM126" i="1"/>
  <c r="BF60" i="9"/>
  <c r="AA1194" i="1"/>
  <c r="AS991" i="1"/>
  <c r="AO226" i="1"/>
  <c r="BF157" i="1"/>
  <c r="G112" i="9"/>
  <c r="G652" i="1"/>
  <c r="G653" i="1" s="1"/>
  <c r="G654" i="1" s="1"/>
  <c r="G474" i="1"/>
  <c r="G487" i="1"/>
  <c r="G479" i="1"/>
  <c r="G404" i="1"/>
  <c r="Y235" i="1"/>
  <c r="BC231" i="1"/>
  <c r="BT219" i="1"/>
  <c r="BT221" i="1" s="1"/>
  <c r="BT238" i="1"/>
  <c r="BT218" i="1"/>
  <c r="S194" i="1"/>
  <c r="S205" i="1" s="1"/>
  <c r="S204" i="1"/>
  <c r="S21" i="1"/>
  <c r="BJ200" i="1"/>
  <c r="AI156" i="1"/>
  <c r="AI9" i="1"/>
  <c r="X9" i="1"/>
  <c r="X153" i="1"/>
  <c r="X159" i="1" s="1"/>
  <c r="AX266" i="1"/>
  <c r="AX192" i="1"/>
  <c r="AX195" i="1"/>
  <c r="AP62" i="9"/>
  <c r="AP1271" i="1"/>
  <c r="BG112" i="9"/>
  <c r="BG652" i="1"/>
  <c r="BG474" i="1"/>
  <c r="BG404" i="1"/>
  <c r="BG487" i="1"/>
  <c r="BG479" i="1"/>
  <c r="BG411" i="1" s="1"/>
  <c r="BG66" i="9" s="1"/>
  <c r="AH62" i="9"/>
  <c r="AH1271" i="1"/>
  <c r="Q436" i="1"/>
  <c r="Q442" i="1" s="1"/>
  <c r="Q480" i="1" s="1"/>
  <c r="Q433" i="1"/>
  <c r="Q450" i="1"/>
  <c r="Q455" i="1" s="1"/>
  <c r="AN226" i="1"/>
  <c r="AY1193" i="1"/>
  <c r="Z625" i="1"/>
  <c r="X625" i="1"/>
  <c r="Y625" i="1"/>
  <c r="W625" i="1"/>
  <c r="V625" i="1"/>
  <c r="Z599" i="1"/>
  <c r="Z600" i="1" s="1"/>
  <c r="Z607" i="1"/>
  <c r="Z39" i="9"/>
  <c r="O194" i="1"/>
  <c r="O204" i="1" s="1"/>
  <c r="O21" i="1"/>
  <c r="AI154" i="1"/>
  <c r="AV25" i="1"/>
  <c r="AG761" i="1"/>
  <c r="AQ1170" i="1"/>
  <c r="BM472" i="1"/>
  <c r="AV62" i="9"/>
  <c r="AV1271" i="1"/>
  <c r="T991" i="1"/>
  <c r="T224" i="1"/>
  <c r="O225" i="1"/>
  <c r="O226" i="1" s="1"/>
  <c r="O224" i="1"/>
  <c r="AR54" i="9"/>
  <c r="AR988" i="1"/>
  <c r="AR800" i="1"/>
  <c r="AR412" i="1"/>
  <c r="AX214" i="1"/>
  <c r="AX1271" i="1"/>
  <c r="J425" i="1"/>
  <c r="J429" i="1" s="1"/>
  <c r="J431" i="1" s="1"/>
  <c r="J395" i="1"/>
  <c r="P236" i="1"/>
  <c r="W215" i="1"/>
  <c r="AC157" i="1"/>
  <c r="AK155" i="1"/>
  <c r="AR174" i="1"/>
  <c r="AL106" i="1"/>
  <c r="AR202" i="1"/>
  <c r="AR203" i="1"/>
  <c r="AR205" i="1"/>
  <c r="BQ1264" i="1"/>
  <c r="AQ171" i="1"/>
  <c r="AQ175" i="1" s="1"/>
  <c r="U24" i="1"/>
  <c r="BJ43" i="9"/>
  <c r="AP236" i="1"/>
  <c r="AK236" i="1"/>
  <c r="AR231" i="1"/>
  <c r="AL238" i="1"/>
  <c r="AL219" i="1"/>
  <c r="AL221" i="1" s="1"/>
  <c r="AL218" i="1"/>
  <c r="AI171" i="1"/>
  <c r="AD173" i="1"/>
  <c r="BF86" i="1"/>
  <c r="H60" i="9"/>
  <c r="AF221" i="1"/>
  <c r="R219" i="1"/>
  <c r="R221" i="1" s="1"/>
  <c r="R238" i="1"/>
  <c r="R218" i="1"/>
  <c r="BS1264" i="1"/>
  <c r="BS201" i="1"/>
  <c r="BS203" i="1"/>
  <c r="BS200" i="1"/>
  <c r="BS204" i="1"/>
  <c r="BS206" i="1" s="1"/>
  <c r="AM126" i="1"/>
  <c r="AN125" i="1"/>
  <c r="AM125" i="1"/>
  <c r="BO112" i="9"/>
  <c r="BO652" i="1"/>
  <c r="BO474" i="1"/>
  <c r="BO479" i="1"/>
  <c r="BO411" i="1" s="1"/>
  <c r="BO66" i="9" s="1"/>
  <c r="BO404" i="1"/>
  <c r="BO487" i="1"/>
  <c r="AG1194" i="1"/>
  <c r="Y39" i="9"/>
  <c r="P1192" i="1"/>
  <c r="AR1265" i="1"/>
  <c r="AR240" i="1"/>
  <c r="Q1265" i="1"/>
  <c r="Q239" i="1"/>
  <c r="Q240" i="1"/>
  <c r="X22" i="1"/>
  <c r="X28" i="1"/>
  <c r="X1264" i="1" s="1"/>
  <c r="N194" i="1"/>
  <c r="N204" i="1" s="1"/>
  <c r="N21" i="1"/>
  <c r="AL24" i="1"/>
  <c r="BN1194" i="1"/>
  <c r="AW62" i="9"/>
  <c r="AW1271" i="1"/>
  <c r="AN604" i="1"/>
  <c r="AN607" i="1"/>
  <c r="AF1192" i="1"/>
  <c r="X1189" i="1"/>
  <c r="X1193" i="1" s="1"/>
  <c r="AE54" i="9"/>
  <c r="AE800" i="1"/>
  <c r="AE988" i="1"/>
  <c r="AE989" i="1" s="1"/>
  <c r="AE412" i="1"/>
  <c r="BD236" i="1"/>
  <c r="BF236" i="1"/>
  <c r="BA236" i="1"/>
  <c r="P221" i="1"/>
  <c r="F43" i="9"/>
  <c r="AZ218" i="1"/>
  <c r="AZ219" i="1"/>
  <c r="AZ238" i="1"/>
  <c r="BJ159" i="1"/>
  <c r="BU172" i="1"/>
  <c r="AO23" i="1"/>
  <c r="AO18" i="9" s="1"/>
  <c r="AO28" i="1"/>
  <c r="AO1264" i="1" s="1"/>
  <c r="BO38" i="1"/>
  <c r="BO35" i="1" s="1"/>
  <c r="AQ159" i="1"/>
  <c r="CF1007" i="1"/>
  <c r="AQ126" i="1"/>
  <c r="AV126" i="1"/>
  <c r="AJ112" i="9"/>
  <c r="AJ113" i="9" s="1"/>
  <c r="AJ652" i="1"/>
  <c r="AJ474" i="1"/>
  <c r="AJ487" i="1"/>
  <c r="AJ479" i="1"/>
  <c r="AJ411" i="1" s="1"/>
  <c r="AJ66" i="9" s="1"/>
  <c r="AJ404" i="1"/>
  <c r="O472" i="1"/>
  <c r="AV167" i="1"/>
  <c r="AV173" i="1" s="1"/>
  <c r="AC165" i="1"/>
  <c r="AC167" i="1" s="1"/>
  <c r="AE99" i="1"/>
  <c r="AA215" i="1"/>
  <c r="AT1265" i="1"/>
  <c r="AT240" i="1"/>
  <c r="BP64" i="9"/>
  <c r="BP668" i="1"/>
  <c r="AT442" i="1"/>
  <c r="E112" i="9"/>
  <c r="E113" i="9" s="1"/>
  <c r="E487" i="1"/>
  <c r="E652" i="1"/>
  <c r="E474" i="1"/>
  <c r="E479" i="1"/>
  <c r="E404" i="1"/>
  <c r="BS272" i="1"/>
  <c r="BS273" i="1" s="1"/>
  <c r="BS279" i="1" s="1"/>
  <c r="R231" i="1"/>
  <c r="O26" i="1"/>
  <c r="O19" i="9" s="1"/>
  <c r="O25" i="1"/>
  <c r="H204" i="1"/>
  <c r="H206" i="1" s="1"/>
  <c r="AC155" i="1"/>
  <c r="S152" i="1"/>
  <c r="AV86" i="1"/>
  <c r="BA86" i="1"/>
  <c r="AQ215" i="1"/>
  <c r="AF1265" i="1"/>
  <c r="BD1121" i="1"/>
  <c r="BD1156" i="1" s="1"/>
  <c r="BD720" i="1"/>
  <c r="K1280" i="1"/>
  <c r="G1156" i="1"/>
  <c r="AJ1180" i="1"/>
  <c r="AJ1182" i="1"/>
  <c r="AP1170" i="1"/>
  <c r="BS1277" i="1"/>
  <c r="AD77" i="9"/>
  <c r="AD1274" i="1"/>
  <c r="P1277" i="1"/>
  <c r="BT531" i="1"/>
  <c r="BT535" i="1" s="1"/>
  <c r="BR535" i="1"/>
  <c r="AA761" i="1"/>
  <c r="Y48" i="11"/>
  <c r="Y53" i="11" s="1"/>
  <c r="Y50" i="11"/>
  <c r="AX114" i="9"/>
  <c r="AX1004" i="1"/>
  <c r="AX1244" i="1"/>
  <c r="AX1254" i="1" s="1"/>
  <c r="AN67" i="11"/>
  <c r="P75" i="11"/>
  <c r="BR1194" i="1"/>
  <c r="BW1190" i="1"/>
  <c r="CB1190" i="1" s="1"/>
  <c r="G1170" i="1"/>
  <c r="AB1121" i="1"/>
  <c r="AB720" i="1"/>
  <c r="AC101" i="9"/>
  <c r="C116" i="9"/>
  <c r="C117" i="9" s="1"/>
  <c r="AL1170" i="1"/>
  <c r="Z1280" i="1"/>
  <c r="Q106" i="9"/>
  <c r="BG1176" i="1"/>
  <c r="BH1173" i="1"/>
  <c r="CC1279" i="1"/>
  <c r="AI53" i="11"/>
  <c r="BM115" i="9"/>
  <c r="AP1223" i="1"/>
  <c r="AP1003" i="1"/>
  <c r="AP978" i="1" s="1"/>
  <c r="Q1176" i="1"/>
  <c r="AT1181" i="1"/>
  <c r="AX1223" i="1"/>
  <c r="AX1003" i="1"/>
  <c r="AX978" i="1" s="1"/>
  <c r="T1121" i="1"/>
  <c r="T1156" i="1" s="1"/>
  <c r="T720" i="1"/>
  <c r="D106" i="9"/>
  <c r="BF1176" i="1"/>
  <c r="AR1223" i="1"/>
  <c r="AR1003" i="1"/>
  <c r="AR978" i="1" s="1"/>
  <c r="BX1253" i="1"/>
  <c r="BW1026" i="1"/>
  <c r="BW10" i="9" s="1"/>
  <c r="N1121" i="1"/>
  <c r="N1156" i="1" s="1"/>
  <c r="N720" i="1"/>
  <c r="BT986" i="1"/>
  <c r="BB101" i="9"/>
  <c r="BQ105" i="9"/>
  <c r="BQ1256" i="1"/>
  <c r="BQ1001" i="1"/>
  <c r="BQ977" i="1" s="1"/>
  <c r="BN1121" i="1"/>
  <c r="BN720" i="1"/>
  <c r="AR994" i="1"/>
  <c r="AR722" i="1"/>
  <c r="AR444" i="1"/>
  <c r="AR448" i="1" s="1"/>
  <c r="Z1121" i="1"/>
  <c r="Z1156" i="1" s="1"/>
  <c r="Z1266" i="1" s="1"/>
  <c r="Z720" i="1"/>
  <c r="AI1175" i="1"/>
  <c r="AI1176" i="1" s="1"/>
  <c r="AI1114" i="1"/>
  <c r="AI245" i="1"/>
  <c r="AI247" i="1" s="1"/>
  <c r="BP986" i="1"/>
  <c r="AL105" i="9"/>
  <c r="AL1268" i="1"/>
  <c r="AL1256" i="1"/>
  <c r="AL1001" i="1"/>
  <c r="AL977" i="1" s="1"/>
  <c r="BG986" i="1"/>
  <c r="AA986" i="1"/>
  <c r="AV993" i="1"/>
  <c r="AP784" i="1"/>
  <c r="AP786" i="1" s="1"/>
  <c r="BS70" i="9"/>
  <c r="BS72" i="9" s="1"/>
  <c r="BS740" i="1"/>
  <c r="BS741" i="1" s="1"/>
  <c r="BS742" i="1" s="1"/>
  <c r="BS743" i="1" s="1"/>
  <c r="BS723" i="1"/>
  <c r="W993" i="1"/>
  <c r="BI958" i="1"/>
  <c r="BI932" i="1" s="1"/>
  <c r="BI949" i="1"/>
  <c r="U994" i="1"/>
  <c r="U995" i="1" s="1"/>
  <c r="U971" i="1" s="1"/>
  <c r="U444" i="1"/>
  <c r="U448" i="1" s="1"/>
  <c r="U722" i="1"/>
  <c r="U766" i="1" s="1"/>
  <c r="S993" i="1"/>
  <c r="BI1179" i="1"/>
  <c r="BI1181" i="1"/>
  <c r="AE1281" i="1"/>
  <c r="AX1263" i="1"/>
  <c r="AG108" i="9"/>
  <c r="AG93" i="9"/>
  <c r="Q108" i="9"/>
  <c r="Q93" i="9"/>
  <c r="BT798" i="1"/>
  <c r="BE1170" i="1"/>
  <c r="BK607" i="1"/>
  <c r="BK604" i="1"/>
  <c r="W607" i="1"/>
  <c r="W604" i="1"/>
  <c r="W599" i="1"/>
  <c r="W600" i="1" s="1"/>
  <c r="BI21" i="1"/>
  <c r="BI194" i="1"/>
  <c r="BI204" i="1" s="1"/>
  <c r="H1121" i="1"/>
  <c r="H1156" i="1" s="1"/>
  <c r="H720" i="1"/>
  <c r="AL108" i="9"/>
  <c r="AL93" i="9"/>
  <c r="AI991" i="1"/>
  <c r="BU1189" i="1"/>
  <c r="BZ1189" i="1" s="1"/>
  <c r="BP1193" i="1"/>
  <c r="AR607" i="1"/>
  <c r="AR604" i="1"/>
  <c r="O425" i="1"/>
  <c r="O429" i="1" s="1"/>
  <c r="O431" i="1" s="1"/>
  <c r="O395" i="1"/>
  <c r="BA93" i="9"/>
  <c r="BA108" i="9"/>
  <c r="U108" i="9"/>
  <c r="U109" i="9" s="1"/>
  <c r="U93" i="9"/>
  <c r="Z80" i="9"/>
  <c r="Z773" i="1"/>
  <c r="BF80" i="9"/>
  <c r="BF773" i="1"/>
  <c r="BD958" i="1"/>
  <c r="BD932" i="1" s="1"/>
  <c r="BD949" i="1"/>
  <c r="I550" i="1"/>
  <c r="AN1170" i="1"/>
  <c r="BT1193" i="1"/>
  <c r="BY1189" i="1"/>
  <c r="BL39" i="9"/>
  <c r="AK761" i="1"/>
  <c r="BB112" i="9"/>
  <c r="BB652" i="1"/>
  <c r="BB487" i="1"/>
  <c r="BB404" i="1"/>
  <c r="BB474" i="1"/>
  <c r="BB479" i="1"/>
  <c r="BB411" i="1" s="1"/>
  <c r="BB66" i="9" s="1"/>
  <c r="AQ625" i="1"/>
  <c r="AP625" i="1"/>
  <c r="AT607" i="1"/>
  <c r="AT625" i="1"/>
  <c r="AS625" i="1"/>
  <c r="AR625" i="1"/>
  <c r="AD39" i="9"/>
  <c r="V39" i="9"/>
  <c r="M39" i="9"/>
  <c r="AK436" i="1"/>
  <c r="AK442" i="1" s="1"/>
  <c r="AK433" i="1"/>
  <c r="AB62" i="9"/>
  <c r="AB1271" i="1"/>
  <c r="BE218" i="1"/>
  <c r="BE238" i="1"/>
  <c r="BE219" i="1"/>
  <c r="BN21" i="1"/>
  <c r="BS23" i="1" s="1"/>
  <c r="BS18" i="9" s="1"/>
  <c r="BN194" i="1"/>
  <c r="BN204" i="1"/>
  <c r="BH552" i="1"/>
  <c r="AP43" i="9"/>
  <c r="U43" i="9"/>
  <c r="BS112" i="9"/>
  <c r="BS113" i="9" s="1"/>
  <c r="BS652" i="1"/>
  <c r="BS474" i="1"/>
  <c r="BS487" i="1"/>
  <c r="BS404" i="1"/>
  <c r="BS479" i="1"/>
  <c r="BS411" i="1" s="1"/>
  <c r="BS66" i="9" s="1"/>
  <c r="BA60" i="9"/>
  <c r="AK60" i="9"/>
  <c r="AC60" i="9"/>
  <c r="AC1273" i="1"/>
  <c r="BF986" i="1"/>
  <c r="Z965" i="1"/>
  <c r="Z962" i="1"/>
  <c r="R60" i="9"/>
  <c r="BV1190" i="1"/>
  <c r="CA1190" i="1" s="1"/>
  <c r="BI39" i="9"/>
  <c r="K112" i="9"/>
  <c r="K113" i="9" s="1"/>
  <c r="K652" i="1"/>
  <c r="K474" i="1"/>
  <c r="K487" i="1"/>
  <c r="K404" i="1"/>
  <c r="K479" i="1"/>
  <c r="BG761" i="1"/>
  <c r="BF1170" i="1"/>
  <c r="AL63" i="9"/>
  <c r="BL64" i="9"/>
  <c r="BL668" i="1"/>
  <c r="AA60" i="9"/>
  <c r="AS277" i="1"/>
  <c r="AU1264" i="1"/>
  <c r="AU201" i="1"/>
  <c r="AU203" i="1"/>
  <c r="AU200" i="1"/>
  <c r="BA173" i="1"/>
  <c r="BO60" i="9"/>
  <c r="AQ39" i="9"/>
  <c r="BR235" i="1"/>
  <c r="BR234" i="1"/>
  <c r="AW991" i="1"/>
  <c r="AN436" i="1"/>
  <c r="AN442" i="1" s="1"/>
  <c r="AN480" i="1" s="1"/>
  <c r="AN433" i="1"/>
  <c r="BA25" i="1"/>
  <c r="AZ26" i="1"/>
  <c r="AZ19" i="9" s="1"/>
  <c r="BP159" i="1"/>
  <c r="AU38" i="1"/>
  <c r="AU35" i="1" s="1"/>
  <c r="BT214" i="1"/>
  <c r="BR194" i="1"/>
  <c r="BR201" i="1" s="1"/>
  <c r="BR21" i="1"/>
  <c r="N60" i="9"/>
  <c r="Y194" i="1"/>
  <c r="Y204" i="1" s="1"/>
  <c r="Y21" i="1"/>
  <c r="J12" i="1"/>
  <c r="J10" i="1"/>
  <c r="J8" i="1"/>
  <c r="AI604" i="1"/>
  <c r="AI607" i="1"/>
  <c r="R62" i="9"/>
  <c r="R1271" i="1"/>
  <c r="BU181" i="1"/>
  <c r="BU111" i="1"/>
  <c r="BV108" i="1"/>
  <c r="BG604" i="1"/>
  <c r="BG607" i="1"/>
  <c r="AH604" i="1"/>
  <c r="AH607" i="1"/>
  <c r="Q62" i="9"/>
  <c r="Q1271" i="1"/>
  <c r="I112" i="9"/>
  <c r="I652" i="1"/>
  <c r="I479" i="1"/>
  <c r="I474" i="1"/>
  <c r="I487" i="1"/>
  <c r="I404" i="1"/>
  <c r="J35" i="9"/>
  <c r="J394" i="1"/>
  <c r="AM112" i="9"/>
  <c r="AM652" i="1"/>
  <c r="AM487" i="1"/>
  <c r="AM404" i="1"/>
  <c r="AM474" i="1"/>
  <c r="AM479" i="1"/>
  <c r="AM411" i="1" s="1"/>
  <c r="AM66" i="9" s="1"/>
  <c r="AY1194" i="1"/>
  <c r="Z112" i="9"/>
  <c r="Z113" i="9" s="1"/>
  <c r="Z652" i="1"/>
  <c r="Z479" i="1"/>
  <c r="Z411" i="1" s="1"/>
  <c r="Z66" i="9" s="1"/>
  <c r="Z474" i="1"/>
  <c r="Z487" i="1"/>
  <c r="Z404" i="1"/>
  <c r="AF54" i="9"/>
  <c r="AF764" i="1"/>
  <c r="AF988" i="1"/>
  <c r="AF412" i="1"/>
  <c r="AW203" i="1"/>
  <c r="AW205" i="1"/>
  <c r="AW206" i="1" s="1"/>
  <c r="AW202" i="1"/>
  <c r="AW200" i="1"/>
  <c r="AG991" i="1"/>
  <c r="AR112" i="9"/>
  <c r="AR474" i="1"/>
  <c r="AR487" i="1"/>
  <c r="AR404" i="1"/>
  <c r="AR652" i="1"/>
  <c r="AR479" i="1"/>
  <c r="AR411" i="1" s="1"/>
  <c r="AR66" i="9" s="1"/>
  <c r="BD60" i="9"/>
  <c r="AN229" i="1"/>
  <c r="AN230" i="1"/>
  <c r="AS34" i="9"/>
  <c r="AS63" i="9" s="1"/>
  <c r="AS1188" i="1"/>
  <c r="AS1192" i="1" s="1"/>
  <c r="AS1190" i="1"/>
  <c r="AS1194" i="1" s="1"/>
  <c r="AS738" i="1"/>
  <c r="AS598" i="1"/>
  <c r="AX607" i="1" s="1"/>
  <c r="AS409" i="1"/>
  <c r="AS467" i="1"/>
  <c r="AS472" i="1" s="1"/>
  <c r="AS402" i="1"/>
  <c r="AS61" i="9" s="1"/>
  <c r="AX35" i="9"/>
  <c r="AX39" i="9" s="1"/>
  <c r="AX394" i="1"/>
  <c r="AB159" i="1"/>
  <c r="AW85" i="1"/>
  <c r="AW86" i="1"/>
  <c r="AB167" i="1"/>
  <c r="AD154" i="1"/>
  <c r="BK10" i="1"/>
  <c r="BK11" i="1"/>
  <c r="BK27" i="9" s="1"/>
  <c r="BL7" i="1"/>
  <c r="BL8" i="1" s="1"/>
  <c r="U219" i="1"/>
  <c r="U221" i="1" s="1"/>
  <c r="U238" i="1"/>
  <c r="U218" i="1"/>
  <c r="BP194" i="1"/>
  <c r="BP204" i="1" s="1"/>
  <c r="BP21" i="1"/>
  <c r="BP183" i="1"/>
  <c r="BP16" i="1" s="1"/>
  <c r="BO1264" i="1"/>
  <c r="BO201" i="1"/>
  <c r="BO205" i="1"/>
  <c r="BO206" i="1" s="1"/>
  <c r="AD105" i="1"/>
  <c r="AI106" i="1"/>
  <c r="BF167" i="1"/>
  <c r="J217" i="1"/>
  <c r="AJ177" i="1"/>
  <c r="AJ61" i="1"/>
  <c r="AN178" i="1"/>
  <c r="AN63" i="1"/>
  <c r="BF607" i="1"/>
  <c r="BF604" i="1"/>
  <c r="AG112" i="9"/>
  <c r="AG652" i="1"/>
  <c r="AG479" i="1"/>
  <c r="AG411" i="1" s="1"/>
  <c r="AG66" i="9" s="1"/>
  <c r="AG487" i="1"/>
  <c r="AG404" i="1"/>
  <c r="AG474" i="1"/>
  <c r="AG39" i="9"/>
  <c r="AR218" i="1"/>
  <c r="X197" i="1"/>
  <c r="X205" i="1"/>
  <c r="X206" i="1" s="1"/>
  <c r="BL10" i="1"/>
  <c r="BM7" i="1"/>
  <c r="BL12" i="1"/>
  <c r="AN167" i="1"/>
  <c r="BN1192" i="1"/>
  <c r="BE604" i="1"/>
  <c r="BE607" i="1"/>
  <c r="AN1192" i="1"/>
  <c r="BH322" i="1"/>
  <c r="BH324" i="1" s="1"/>
  <c r="BH325" i="1" s="1"/>
  <c r="BJ221" i="1"/>
  <c r="AQ238" i="1"/>
  <c r="AQ218" i="1"/>
  <c r="AQ219" i="1"/>
  <c r="P1265" i="1"/>
  <c r="P240" i="1"/>
  <c r="P239" i="1"/>
  <c r="T194" i="1"/>
  <c r="M23" i="1"/>
  <c r="M18" i="9" s="1"/>
  <c r="M22" i="1"/>
  <c r="E20" i="9"/>
  <c r="E311" i="1"/>
  <c r="BR54" i="9"/>
  <c r="BR988" i="1"/>
  <c r="BR800" i="1"/>
  <c r="BR412" i="1"/>
  <c r="O60" i="9"/>
  <c r="AC105" i="1"/>
  <c r="AH106" i="1"/>
  <c r="AE104" i="1"/>
  <c r="BS281" i="1"/>
  <c r="BS283" i="1" s="1"/>
  <c r="BS284" i="1" s="1"/>
  <c r="BS290" i="1" s="1"/>
  <c r="BN289" i="1"/>
  <c r="M9" i="1"/>
  <c r="M152" i="1"/>
  <c r="M159" i="1" s="1"/>
  <c r="AM54" i="9"/>
  <c r="AM988" i="1"/>
  <c r="AM412" i="1"/>
  <c r="E60" i="9"/>
  <c r="K221" i="1"/>
  <c r="H28" i="1"/>
  <c r="K11" i="1"/>
  <c r="K27" i="9" s="1"/>
  <c r="L7" i="1"/>
  <c r="P7" i="1"/>
  <c r="AM105" i="1"/>
  <c r="AM106" i="1"/>
  <c r="W28" i="1"/>
  <c r="W22" i="1"/>
  <c r="W23" i="1"/>
  <c r="W18" i="9" s="1"/>
  <c r="BP182" i="1"/>
  <c r="BP131" i="1"/>
  <c r="AC7" i="1"/>
  <c r="BM214" i="1"/>
  <c r="AG175" i="1"/>
  <c r="AM101" i="9"/>
  <c r="S1121" i="1"/>
  <c r="S1156" i="1" s="1"/>
  <c r="S720" i="1"/>
  <c r="BD1223" i="1"/>
  <c r="BD1003" i="1"/>
  <c r="BD978" i="1" s="1"/>
  <c r="BM1003" i="1"/>
  <c r="BM978" i="1" s="1"/>
  <c r="Z116" i="9"/>
  <c r="E1121" i="1"/>
  <c r="E720" i="1"/>
  <c r="BG1121" i="1"/>
  <c r="BG720" i="1"/>
  <c r="BJ994" i="1"/>
  <c r="BJ722" i="1"/>
  <c r="BJ444" i="1"/>
  <c r="BJ448" i="1" s="1"/>
  <c r="BM986" i="1"/>
  <c r="AB108" i="9"/>
  <c r="AB93" i="9"/>
  <c r="M761" i="1"/>
  <c r="AU607" i="1"/>
  <c r="AM39" i="9"/>
  <c r="BA194" i="1"/>
  <c r="BA204" i="1"/>
  <c r="BA183" i="1"/>
  <c r="BA16" i="1" s="1"/>
  <c r="BA21" i="1"/>
  <c r="L70" i="9"/>
  <c r="L72" i="9" s="1"/>
  <c r="L740" i="1"/>
  <c r="L741" i="1" s="1"/>
  <c r="L742" i="1" s="1"/>
  <c r="L743" i="1" s="1"/>
  <c r="L723" i="1"/>
  <c r="AT1277" i="1"/>
  <c r="AP1121" i="1"/>
  <c r="AP720" i="1"/>
  <c r="AW80" i="9"/>
  <c r="AW773" i="1"/>
  <c r="AZ761" i="1"/>
  <c r="BP1194" i="1"/>
  <c r="BU1190" i="1"/>
  <c r="BZ1190" i="1" s="1"/>
  <c r="AJ39" i="9"/>
  <c r="M93" i="9"/>
  <c r="M108" i="9"/>
  <c r="BX836" i="1"/>
  <c r="BW781" i="1"/>
  <c r="G537" i="1"/>
  <c r="G541" i="1" s="1"/>
  <c r="K537" i="1"/>
  <c r="K541" i="1" s="1"/>
  <c r="K554" i="1" s="1"/>
  <c r="K562" i="1" s="1"/>
  <c r="U758" i="1"/>
  <c r="U761" i="1"/>
  <c r="P1179" i="1"/>
  <c r="P1181" i="1"/>
  <c r="BY1188" i="1"/>
  <c r="BT1192" i="1"/>
  <c r="D4" i="13"/>
  <c r="D3" i="13"/>
  <c r="BB607" i="1"/>
  <c r="BB604" i="1"/>
  <c r="E62" i="9"/>
  <c r="E1271" i="1"/>
  <c r="AC436" i="1"/>
  <c r="AC442" i="1" s="1"/>
  <c r="AC480" i="1" s="1"/>
  <c r="AC433" i="1"/>
  <c r="AW238" i="1"/>
  <c r="BB239" i="1" s="1"/>
  <c r="AW219" i="1"/>
  <c r="AW221" i="1" s="1"/>
  <c r="AW218" i="1"/>
  <c r="AJ758" i="1"/>
  <c r="AJ761" i="1"/>
  <c r="AJ764" i="1" s="1"/>
  <c r="AB112" i="9"/>
  <c r="AB113" i="9" s="1"/>
  <c r="AB474" i="1"/>
  <c r="AB487" i="1"/>
  <c r="AB652" i="1"/>
  <c r="AB479" i="1"/>
  <c r="AB411" i="1" s="1"/>
  <c r="AB66" i="9" s="1"/>
  <c r="AB404" i="1"/>
  <c r="AB1273" i="1" s="1"/>
  <c r="BJ112" i="9"/>
  <c r="BJ487" i="1"/>
  <c r="BJ502" i="1" s="1"/>
  <c r="BJ479" i="1"/>
  <c r="BJ411" i="1" s="1"/>
  <c r="BJ66" i="9" s="1"/>
  <c r="BJ652" i="1"/>
  <c r="BJ474" i="1"/>
  <c r="BJ404" i="1"/>
  <c r="U62" i="9"/>
  <c r="U1271" i="1"/>
  <c r="AC112" i="9"/>
  <c r="AC487" i="1"/>
  <c r="AC652" i="1"/>
  <c r="AC474" i="1"/>
  <c r="AC479" i="1"/>
  <c r="AC411" i="1" s="1"/>
  <c r="AC66" i="9" s="1"/>
  <c r="AC404" i="1"/>
  <c r="G63" i="9"/>
  <c r="BQ39" i="9"/>
  <c r="S112" i="9"/>
  <c r="S652" i="1"/>
  <c r="S474" i="1"/>
  <c r="S404" i="1"/>
  <c r="S487" i="1"/>
  <c r="S502" i="1" s="1"/>
  <c r="S479" i="1"/>
  <c r="S411" i="1" s="1"/>
  <c r="S66" i="9" s="1"/>
  <c r="K625" i="1"/>
  <c r="J625" i="1"/>
  <c r="H625" i="1"/>
  <c r="G625" i="1"/>
  <c r="K607" i="1"/>
  <c r="K599" i="1"/>
  <c r="K600" i="1" s="1"/>
  <c r="I625" i="1"/>
  <c r="AH761" i="1"/>
  <c r="BL661" i="1"/>
  <c r="AI229" i="1"/>
  <c r="AI230" i="1"/>
  <c r="AI231" i="1" s="1"/>
  <c r="AZ226" i="1"/>
  <c r="BE226" i="1"/>
  <c r="K24" i="1"/>
  <c r="K26" i="1" s="1"/>
  <c r="K19" i="9" s="1"/>
  <c r="S24" i="1"/>
  <c r="BX180" i="1"/>
  <c r="AD155" i="1"/>
  <c r="AD153" i="1"/>
  <c r="AD9" i="1"/>
  <c r="AW761" i="1"/>
  <c r="W112" i="9"/>
  <c r="W652" i="1"/>
  <c r="W487" i="1"/>
  <c r="W479" i="1"/>
  <c r="W411" i="1" s="1"/>
  <c r="W66" i="9" s="1"/>
  <c r="W474" i="1"/>
  <c r="W404" i="1"/>
  <c r="N436" i="1"/>
  <c r="N442" i="1" s="1"/>
  <c r="N480" i="1" s="1"/>
  <c r="N433" i="1"/>
  <c r="N450" i="1"/>
  <c r="N455" i="1" s="1"/>
  <c r="BC195" i="1"/>
  <c r="BC266" i="1"/>
  <c r="BC192" i="1"/>
  <c r="BQ67" i="1"/>
  <c r="BQ65" i="1"/>
  <c r="BQ179" i="1"/>
  <c r="AE112" i="9"/>
  <c r="AE113" i="9" s="1"/>
  <c r="AE652" i="1"/>
  <c r="AE474" i="1"/>
  <c r="AE404" i="1"/>
  <c r="AE487" i="1"/>
  <c r="AE479" i="1"/>
  <c r="AE411" i="1" s="1"/>
  <c r="AE66" i="9" s="1"/>
  <c r="W9" i="1"/>
  <c r="W153" i="1"/>
  <c r="A2" i="1"/>
  <c r="BE761" i="1"/>
  <c r="AU218" i="1"/>
  <c r="AU238" i="1"/>
  <c r="AU219" i="1"/>
  <c r="AU221" i="1" s="1"/>
  <c r="P9" i="1"/>
  <c r="P153" i="1"/>
  <c r="P159" i="1" s="1"/>
  <c r="AI472" i="1"/>
  <c r="R607" i="1"/>
  <c r="R604" i="1"/>
  <c r="R599" i="1"/>
  <c r="R600" i="1" s="1"/>
  <c r="BC299" i="1"/>
  <c r="AY39" i="9"/>
  <c r="AE201" i="1"/>
  <c r="AE199" i="1"/>
  <c r="AE203" i="1"/>
  <c r="AE204" i="1"/>
  <c r="BQ19" i="1"/>
  <c r="BQ31" i="9" s="1"/>
  <c r="AM24" i="1"/>
  <c r="AM63" i="9"/>
  <c r="BM604" i="1"/>
  <c r="BD625" i="1"/>
  <c r="BA625" i="1"/>
  <c r="AZ625" i="1"/>
  <c r="BD607" i="1"/>
  <c r="BC625" i="1"/>
  <c r="BB625" i="1"/>
  <c r="AN36" i="9"/>
  <c r="AN402" i="1"/>
  <c r="AN61" i="9" s="1"/>
  <c r="AS425" i="1"/>
  <c r="AS429" i="1" s="1"/>
  <c r="AS431" i="1" s="1"/>
  <c r="AS395" i="1"/>
  <c r="D425" i="1"/>
  <c r="D429" i="1" s="1"/>
  <c r="D431" i="1" s="1"/>
  <c r="D395" i="1"/>
  <c r="S1265" i="1"/>
  <c r="S239" i="1"/>
  <c r="S240" i="1"/>
  <c r="S241" i="1" s="1"/>
  <c r="BB43" i="9"/>
  <c r="BB502" i="1"/>
  <c r="BS54" i="9"/>
  <c r="BS988" i="1"/>
  <c r="BS989" i="1" s="1"/>
  <c r="BS969" i="1" s="1"/>
  <c r="BS800" i="1"/>
  <c r="BS412" i="1"/>
  <c r="BV230" i="1"/>
  <c r="BQ231" i="1"/>
  <c r="BC24" i="1"/>
  <c r="BM272" i="1"/>
  <c r="BM273" i="1" s="1"/>
  <c r="BM279" i="1" s="1"/>
  <c r="BM278" i="1"/>
  <c r="BV179" i="1"/>
  <c r="BV67" i="1"/>
  <c r="BW64" i="1"/>
  <c r="BX64" i="1" s="1"/>
  <c r="H112" i="9"/>
  <c r="H652" i="1"/>
  <c r="H487" i="1"/>
  <c r="H479" i="1"/>
  <c r="H404" i="1"/>
  <c r="H474" i="1"/>
  <c r="AQ433" i="1"/>
  <c r="AQ436" i="1"/>
  <c r="AQ442" i="1" s="1"/>
  <c r="AQ480" i="1" s="1"/>
  <c r="BO1194" i="1"/>
  <c r="BF1194" i="1"/>
  <c r="AO112" i="9"/>
  <c r="AO113" i="9" s="1"/>
  <c r="AO479" i="1"/>
  <c r="AO411" i="1" s="1"/>
  <c r="AO66" i="9" s="1"/>
  <c r="AO652" i="1"/>
  <c r="AO474" i="1"/>
  <c r="AO404" i="1"/>
  <c r="AO487" i="1"/>
  <c r="Y112" i="9"/>
  <c r="Y479" i="1"/>
  <c r="Y411" i="1" s="1"/>
  <c r="Y66" i="9" s="1"/>
  <c r="Y652" i="1"/>
  <c r="Y404" i="1"/>
  <c r="Y474" i="1"/>
  <c r="P39" i="9"/>
  <c r="BK1265" i="1"/>
  <c r="BK240" i="1"/>
  <c r="BK239" i="1"/>
  <c r="F194" i="1"/>
  <c r="F204" i="1" s="1"/>
  <c r="F21" i="1"/>
  <c r="F28" i="1" s="1"/>
  <c r="F33" i="1" s="1"/>
  <c r="AE124" i="1"/>
  <c r="AJ78" i="1"/>
  <c r="AF78" i="1"/>
  <c r="AB23" i="1"/>
  <c r="AB18" i="9" s="1"/>
  <c r="AW604" i="1"/>
  <c r="AW607" i="1"/>
  <c r="AF39" i="9"/>
  <c r="BJ1265" i="1"/>
  <c r="BJ240" i="1"/>
  <c r="AQ231" i="1"/>
  <c r="AV231" i="1"/>
  <c r="M198" i="1"/>
  <c r="M197" i="1"/>
  <c r="Y153" i="1"/>
  <c r="AB24" i="1"/>
  <c r="AB205" i="1"/>
  <c r="D20" i="9"/>
  <c r="D311" i="1"/>
  <c r="BG238" i="1"/>
  <c r="BG219" i="1"/>
  <c r="BG221" i="1" s="1"/>
  <c r="BG218" i="1"/>
  <c r="AE51" i="1"/>
  <c r="AE163" i="1" s="1"/>
  <c r="AA48" i="1"/>
  <c r="AA163" i="1"/>
  <c r="CB1007" i="1"/>
  <c r="BZ1007" i="1"/>
  <c r="AM194" i="1"/>
  <c r="AM205" i="1" s="1"/>
  <c r="BP661" i="1"/>
  <c r="BP658" i="1"/>
  <c r="S450" i="1"/>
  <c r="S455" i="1" s="1"/>
  <c r="S436" i="1"/>
  <c r="S442" i="1" s="1"/>
  <c r="S480" i="1" s="1"/>
  <c r="S433" i="1"/>
  <c r="BJ28" i="1"/>
  <c r="BJ1264" i="1" s="1"/>
  <c r="AD157" i="1"/>
  <c r="AB75" i="11"/>
  <c r="AE74" i="11"/>
  <c r="AE75" i="11" s="1"/>
  <c r="BH114" i="9"/>
  <c r="BH115" i="9" s="1"/>
  <c r="BH1004" i="1"/>
  <c r="BH1244" i="1"/>
  <c r="BH1254" i="1" s="1"/>
  <c r="BL1121" i="1"/>
  <c r="BL1156" i="1" s="1"/>
  <c r="BL720" i="1"/>
  <c r="CC1135" i="1"/>
  <c r="CC726" i="1"/>
  <c r="BM1135" i="1"/>
  <c r="BN1279" i="1" s="1"/>
  <c r="BM726" i="1"/>
  <c r="BM1270" i="1" s="1"/>
  <c r="BM245" i="1"/>
  <c r="BM247" i="1" s="1"/>
  <c r="W108" i="9"/>
  <c r="W93" i="9"/>
  <c r="AZ986" i="1"/>
  <c r="BT77" i="9"/>
  <c r="BT1274" i="1"/>
  <c r="H761" i="1"/>
  <c r="BS761" i="1"/>
  <c r="BS764" i="1" s="1"/>
  <c r="BS758" i="1"/>
  <c r="AI43" i="9"/>
  <c r="BB991" i="1"/>
  <c r="BS1179" i="1"/>
  <c r="BS1170" i="1"/>
  <c r="AT1192" i="1"/>
  <c r="M599" i="1"/>
  <c r="M600" i="1" s="1"/>
  <c r="M604" i="1"/>
  <c r="M607" i="1"/>
  <c r="E625" i="1"/>
  <c r="E607" i="1"/>
  <c r="U450" i="1"/>
  <c r="U455" i="1" s="1"/>
  <c r="U436" i="1"/>
  <c r="U442" i="1" s="1"/>
  <c r="U480" i="1" s="1"/>
  <c r="U765" i="1" s="1"/>
  <c r="U433" i="1"/>
  <c r="AQ236" i="1"/>
  <c r="AO238" i="1"/>
  <c r="AT239" i="1" s="1"/>
  <c r="AO218" i="1"/>
  <c r="AO219" i="1"/>
  <c r="AT221" i="1" s="1"/>
  <c r="AI35" i="9"/>
  <c r="AI394" i="1"/>
  <c r="BJ607" i="1"/>
  <c r="BA604" i="1"/>
  <c r="BA607" i="1"/>
  <c r="AK62" i="9"/>
  <c r="AK1271" i="1"/>
  <c r="AC62" i="9"/>
  <c r="AC1271" i="1"/>
  <c r="S625" i="1"/>
  <c r="R625" i="1"/>
  <c r="U625" i="1"/>
  <c r="U599" i="1"/>
  <c r="U600" i="1" s="1"/>
  <c r="T625" i="1"/>
  <c r="Q625" i="1"/>
  <c r="U607" i="1"/>
  <c r="BT226" i="1"/>
  <c r="BY225" i="1"/>
  <c r="AX986" i="1"/>
  <c r="Z761" i="1"/>
  <c r="Z758" i="1"/>
  <c r="BQ112" i="9"/>
  <c r="BQ487" i="1"/>
  <c r="BQ652" i="1"/>
  <c r="BQ479" i="1"/>
  <c r="BQ411" i="1" s="1"/>
  <c r="BQ66" i="9" s="1"/>
  <c r="BQ404" i="1"/>
  <c r="BQ474" i="1"/>
  <c r="BQ60" i="9"/>
  <c r="BG625" i="1"/>
  <c r="BF625" i="1"/>
  <c r="BH625" i="1"/>
  <c r="BE625" i="1"/>
  <c r="BI607" i="1"/>
  <c r="BI625" i="1"/>
  <c r="S604" i="1"/>
  <c r="S599" i="1"/>
  <c r="S600" i="1" s="1"/>
  <c r="S607" i="1"/>
  <c r="K1194" i="1"/>
  <c r="AH991" i="1"/>
  <c r="D1179" i="1"/>
  <c r="D1181" i="1"/>
  <c r="AC986" i="1"/>
  <c r="AF798" i="1"/>
  <c r="AD63" i="9"/>
  <c r="F457" i="1"/>
  <c r="F459" i="1" s="1"/>
  <c r="F436" i="1"/>
  <c r="F442" i="1" s="1"/>
  <c r="F433" i="1"/>
  <c r="G238" i="1"/>
  <c r="G219" i="1"/>
  <c r="G194" i="1"/>
  <c r="G204" i="1" s="1"/>
  <c r="G21" i="1"/>
  <c r="G28" i="1" s="1"/>
  <c r="AL194" i="1"/>
  <c r="AL183" i="1"/>
  <c r="AL16" i="1" s="1"/>
  <c r="AM17" i="1" s="1"/>
  <c r="AM29" i="9" s="1"/>
  <c r="AL21" i="1"/>
  <c r="BQ159" i="1"/>
  <c r="X236" i="1"/>
  <c r="AB231" i="1"/>
  <c r="BO1265" i="1"/>
  <c r="BO239" i="1"/>
  <c r="BO240" i="1"/>
  <c r="AF157" i="1"/>
  <c r="AE205" i="1"/>
  <c r="BN761" i="1"/>
  <c r="BN758" i="1"/>
  <c r="AG60" i="9"/>
  <c r="AN37" i="9"/>
  <c r="AN403" i="1"/>
  <c r="AA226" i="1"/>
  <c r="AF226" i="1"/>
  <c r="BT21" i="1"/>
  <c r="BT194" i="1"/>
  <c r="BT204" i="1" s="1"/>
  <c r="AT194" i="1"/>
  <c r="AT204" i="1" s="1"/>
  <c r="AT21" i="1"/>
  <c r="AA154" i="1"/>
  <c r="F2" i="9"/>
  <c r="F5" i="11"/>
  <c r="F5" i="13"/>
  <c r="K5" i="1"/>
  <c r="G5" i="1"/>
  <c r="AA39" i="9"/>
  <c r="AC219" i="1"/>
  <c r="AC221" i="1" s="1"/>
  <c r="AC238" i="1"/>
  <c r="AC218" i="1"/>
  <c r="V11" i="1"/>
  <c r="V27" i="9" s="1"/>
  <c r="W7" i="1"/>
  <c r="BU518" i="1"/>
  <c r="BU521" i="1"/>
  <c r="BE991" i="1"/>
  <c r="S63" i="9"/>
  <c r="AV60" i="9"/>
  <c r="BQ311" i="1"/>
  <c r="AV158" i="1"/>
  <c r="AH153" i="1"/>
  <c r="H152" i="1"/>
  <c r="BH288" i="1"/>
  <c r="BM281" i="1" s="1"/>
  <c r="BH195" i="1"/>
  <c r="L22" i="1"/>
  <c r="L28" i="1"/>
  <c r="R1192" i="1"/>
  <c r="AX43" i="9"/>
  <c r="AN157" i="1"/>
  <c r="BU122" i="1"/>
  <c r="BU26" i="9" s="1"/>
  <c r="BV118" i="1"/>
  <c r="BU124" i="1"/>
  <c r="BU149" i="1"/>
  <c r="BG1193" i="1"/>
  <c r="AH1192" i="1"/>
  <c r="Q1194" i="1"/>
  <c r="I599" i="1"/>
  <c r="I600" i="1" s="1"/>
  <c r="I604" i="1"/>
  <c r="AP607" i="1"/>
  <c r="AP604" i="1"/>
  <c r="BH35" i="9"/>
  <c r="BH394" i="1"/>
  <c r="BH1271" i="1"/>
  <c r="AW183" i="1"/>
  <c r="AW16" i="1" s="1"/>
  <c r="BR106" i="1"/>
  <c r="AI1170" i="1"/>
  <c r="BD1192" i="1"/>
  <c r="AV607" i="1"/>
  <c r="AV604" i="1"/>
  <c r="AP54" i="9"/>
  <c r="AP988" i="1"/>
  <c r="AP800" i="1"/>
  <c r="AP764" i="1"/>
  <c r="AP412" i="1"/>
  <c r="AX234" i="1"/>
  <c r="BC234" i="1"/>
  <c r="AX235" i="1"/>
  <c r="D35" i="9"/>
  <c r="D39" i="9" s="1"/>
  <c r="D394" i="1"/>
  <c r="D467" i="1"/>
  <c r="D472" i="1" s="1"/>
  <c r="J1271" i="1"/>
  <c r="C217" i="1"/>
  <c r="N26" i="1"/>
  <c r="N19" i="9" s="1"/>
  <c r="N25" i="1"/>
  <c r="BO11" i="1"/>
  <c r="BO27" i="9" s="1"/>
  <c r="BP7" i="1"/>
  <c r="BP8" i="1" s="1"/>
  <c r="BO10" i="1"/>
  <c r="AG11" i="1"/>
  <c r="AG27" i="9" s="1"/>
  <c r="AH7" i="1"/>
  <c r="W198" i="1"/>
  <c r="AH155" i="1"/>
  <c r="AU64" i="9"/>
  <c r="AU668" i="1"/>
  <c r="X239" i="1"/>
  <c r="BT159" i="1"/>
  <c r="AF154" i="1"/>
  <c r="BO62" i="9"/>
  <c r="BO1271" i="1"/>
  <c r="AP218" i="1"/>
  <c r="BM159" i="1"/>
  <c r="BC12" i="1"/>
  <c r="BC8" i="1"/>
  <c r="BC11" i="1"/>
  <c r="BC27" i="9" s="1"/>
  <c r="BC10" i="1"/>
  <c r="M24" i="1"/>
  <c r="M205" i="1"/>
  <c r="AN154" i="1"/>
  <c r="BF1193" i="1"/>
  <c r="AG62" i="9"/>
  <c r="AG1271" i="1"/>
  <c r="P112" i="9"/>
  <c r="P113" i="9" s="1"/>
  <c r="P652" i="1"/>
  <c r="P474" i="1"/>
  <c r="P404" i="1"/>
  <c r="P487" i="1"/>
  <c r="P479" i="1"/>
  <c r="P411" i="1" s="1"/>
  <c r="P66" i="9" s="1"/>
  <c r="AZ436" i="1"/>
  <c r="AZ442" i="1" s="1"/>
  <c r="AZ480" i="1" s="1"/>
  <c r="AZ433" i="1"/>
  <c r="AC236" i="1"/>
  <c r="BK218" i="1"/>
  <c r="AJ218" i="1"/>
  <c r="AJ238" i="1"/>
  <c r="AJ219" i="1"/>
  <c r="AJ221" i="1" s="1"/>
  <c r="X198" i="1"/>
  <c r="BL159" i="1"/>
  <c r="BB159" i="1"/>
  <c r="AL178" i="1"/>
  <c r="AL63" i="1"/>
  <c r="BA112" i="9"/>
  <c r="BA487" i="1"/>
  <c r="BA474" i="1"/>
  <c r="BA652" i="1"/>
  <c r="BA479" i="1"/>
  <c r="BA411" i="1" s="1"/>
  <c r="BA66" i="9" s="1"/>
  <c r="BA404" i="1"/>
  <c r="BN39" i="9"/>
  <c r="BE1192" i="1"/>
  <c r="AW1188" i="1"/>
  <c r="AW1192" i="1" s="1"/>
  <c r="AF60" i="9"/>
  <c r="X39" i="9"/>
  <c r="AS235" i="1"/>
  <c r="AS236" i="1" s="1"/>
  <c r="AD238" i="1"/>
  <c r="AI239" i="1" s="1"/>
  <c r="AD219" i="1"/>
  <c r="AI221" i="1"/>
  <c r="M204" i="1"/>
  <c r="AC24" i="1"/>
  <c r="AL43" i="9"/>
  <c r="J206" i="1"/>
  <c r="K194" i="1"/>
  <c r="BR150" i="1"/>
  <c r="BR158" i="1" s="1"/>
  <c r="AL169" i="1"/>
  <c r="BU1007" i="1"/>
  <c r="L64" i="9"/>
  <c r="L668" i="1"/>
  <c r="L669" i="1" s="1"/>
  <c r="BR167" i="1"/>
  <c r="AF231" i="1"/>
  <c r="BO203" i="1"/>
  <c r="BP803" i="1"/>
  <c r="BP491" i="1"/>
  <c r="BP503" i="1"/>
  <c r="BM991" i="1"/>
  <c r="K1265" i="1"/>
  <c r="K240" i="1"/>
  <c r="BF155" i="1"/>
  <c r="AC153" i="1"/>
  <c r="BY91" i="1"/>
  <c r="BZ88" i="1"/>
  <c r="BY180" i="1"/>
  <c r="W204" i="1"/>
  <c r="W206" i="1" s="1"/>
  <c r="AX467" i="1"/>
  <c r="AX472" i="1" s="1"/>
  <c r="AA155" i="1"/>
  <c r="AV1273" i="1" l="1"/>
  <c r="AK115" i="9"/>
  <c r="AW106" i="9"/>
  <c r="L503" i="1"/>
  <c r="AH159" i="1"/>
  <c r="BU113" i="1"/>
  <c r="BU115" i="1" s="1"/>
  <c r="BU16" i="9" s="1"/>
  <c r="AS159" i="1"/>
  <c r="M206" i="1"/>
  <c r="K28" i="1"/>
  <c r="AN231" i="1"/>
  <c r="BQ1194" i="1"/>
  <c r="U110" i="9"/>
  <c r="BQ173" i="1"/>
  <c r="BO1273" i="1"/>
  <c r="AS1271" i="1"/>
  <c r="Y11" i="1"/>
  <c r="Y27" i="9" s="1"/>
  <c r="AF1273" i="1"/>
  <c r="BK205" i="1"/>
  <c r="AJ75" i="11"/>
  <c r="AJ205" i="1"/>
  <c r="AH169" i="1"/>
  <c r="AB1192" i="1"/>
  <c r="L412" i="1"/>
  <c r="BC112" i="9"/>
  <c r="BC113" i="9" s="1"/>
  <c r="Y226" i="1"/>
  <c r="AQ201" i="1"/>
  <c r="AH172" i="1"/>
  <c r="BM1192" i="1"/>
  <c r="BK1192" i="1"/>
  <c r="BC1273" i="1"/>
  <c r="AH170" i="1"/>
  <c r="AH174" i="1"/>
  <c r="V10" i="1"/>
  <c r="AR159" i="1"/>
  <c r="BK8" i="1"/>
  <c r="AB109" i="9"/>
  <c r="BJ115" i="9"/>
  <c r="AS972" i="1"/>
  <c r="BK1264" i="1"/>
  <c r="AQ221" i="1"/>
  <c r="P26" i="1"/>
  <c r="P19" i="9" s="1"/>
  <c r="M116" i="9"/>
  <c r="AG101" i="9"/>
  <c r="AN109" i="9"/>
  <c r="AN110" i="9" s="1"/>
  <c r="AZ1194" i="1"/>
  <c r="D109" i="9"/>
  <c r="D110" i="9" s="1"/>
  <c r="L988" i="1"/>
  <c r="BF11" i="1"/>
  <c r="BF27" i="9" s="1"/>
  <c r="BR652" i="1"/>
  <c r="AQ203" i="1"/>
  <c r="BA172" i="1"/>
  <c r="AH173" i="1"/>
  <c r="AB1194" i="1"/>
  <c r="AE33" i="1"/>
  <c r="AE311" i="1" s="1"/>
  <c r="BC652" i="1"/>
  <c r="BE658" i="1" s="1"/>
  <c r="AB1193" i="1"/>
  <c r="L502" i="1"/>
  <c r="BV100" i="1"/>
  <c r="R12" i="1"/>
  <c r="BE101" i="9"/>
  <c r="BN106" i="9"/>
  <c r="BA8" i="1"/>
  <c r="Y1193" i="1"/>
  <c r="AW175" i="1"/>
  <c r="AQ1264" i="1"/>
  <c r="AS175" i="1"/>
  <c r="BO1192" i="1"/>
  <c r="AH199" i="1"/>
  <c r="AN479" i="1"/>
  <c r="AN411" i="1" s="1"/>
  <c r="AN66" i="9" s="1"/>
  <c r="S159" i="1"/>
  <c r="AN652" i="1"/>
  <c r="AP658" i="1" s="1"/>
  <c r="X221" i="1"/>
  <c r="AN112" i="9"/>
  <c r="N159" i="1"/>
  <c r="AJ204" i="1"/>
  <c r="AJ206" i="1" s="1"/>
  <c r="W109" i="9"/>
  <c r="R11" i="1"/>
  <c r="R27" i="9" s="1"/>
  <c r="BL11" i="1"/>
  <c r="BL27" i="9" s="1"/>
  <c r="BR204" i="1"/>
  <c r="AL109" i="9"/>
  <c r="AL110" i="9" s="1"/>
  <c r="AI109" i="9"/>
  <c r="O39" i="9"/>
  <c r="BA12" i="1"/>
  <c r="AJ203" i="1"/>
  <c r="BH1176" i="1"/>
  <c r="BM1194" i="1"/>
  <c r="BO115" i="9"/>
  <c r="BM784" i="1"/>
  <c r="BM786" i="1" s="1"/>
  <c r="AL175" i="1"/>
  <c r="BU146" i="1"/>
  <c r="BU54" i="1"/>
  <c r="BU23" i="9" s="1"/>
  <c r="BU56" i="1"/>
  <c r="AF109" i="9"/>
  <c r="AF110" i="9" s="1"/>
  <c r="F564" i="1"/>
  <c r="AO109" i="9"/>
  <c r="AO110" i="9" s="1"/>
  <c r="AQ8" i="1"/>
  <c r="AL101" i="9"/>
  <c r="BF109" i="9"/>
  <c r="L123" i="9"/>
  <c r="V204" i="1"/>
  <c r="AT109" i="9"/>
  <c r="AT110" i="9" s="1"/>
  <c r="J1156" i="1"/>
  <c r="L1266" i="1" s="1"/>
  <c r="BN221" i="1"/>
  <c r="BR474" i="1"/>
  <c r="BR55" i="9" s="1"/>
  <c r="BR136" i="9" s="1"/>
  <c r="BK201" i="1"/>
  <c r="BQ172" i="1"/>
  <c r="BF994" i="1"/>
  <c r="BF722" i="1"/>
  <c r="BF444" i="1"/>
  <c r="BF448" i="1" s="1"/>
  <c r="K7" i="1"/>
  <c r="K8" i="1" s="1"/>
  <c r="G7" i="1"/>
  <c r="G12" i="1" s="1"/>
  <c r="AG994" i="1"/>
  <c r="AG722" i="1"/>
  <c r="AG444" i="1"/>
  <c r="AG448" i="1" s="1"/>
  <c r="AD436" i="1"/>
  <c r="AD442" i="1" s="1"/>
  <c r="AD480" i="1" s="1"/>
  <c r="AD433" i="1"/>
  <c r="BK204" i="1"/>
  <c r="BK206" i="1" s="1"/>
  <c r="BH93" i="9"/>
  <c r="BH108" i="9"/>
  <c r="BH109" i="9" s="1"/>
  <c r="BH110" i="9" s="1"/>
  <c r="S1266" i="1"/>
  <c r="K33" i="1"/>
  <c r="K20" i="9" s="1"/>
  <c r="AV172" i="1"/>
  <c r="AQ19" i="1"/>
  <c r="AQ31" i="9" s="1"/>
  <c r="BR112" i="9"/>
  <c r="BJ604" i="1"/>
  <c r="K23" i="1"/>
  <c r="K18" i="9" s="1"/>
  <c r="N1273" i="1"/>
  <c r="Q109" i="9"/>
  <c r="Q110" i="9" s="1"/>
  <c r="BR1265" i="1"/>
  <c r="AZ221" i="1"/>
  <c r="S10" i="1"/>
  <c r="AU11" i="1"/>
  <c r="AU27" i="9" s="1"/>
  <c r="BK202" i="1"/>
  <c r="AY241" i="1"/>
  <c r="AN113" i="9"/>
  <c r="Z205" i="1"/>
  <c r="Z206" i="1" s="1"/>
  <c r="Z197" i="1"/>
  <c r="Z1264" i="1"/>
  <c r="Z198" i="1"/>
  <c r="AQ206" i="1"/>
  <c r="R8" i="1"/>
  <c r="R206" i="1"/>
  <c r="AU159" i="1"/>
  <c r="BG11" i="1"/>
  <c r="BG27" i="9" s="1"/>
  <c r="BH10" i="1"/>
  <c r="BH7" i="1"/>
  <c r="BN1272" i="1"/>
  <c r="V8" i="1"/>
  <c r="R10" i="1"/>
  <c r="BM175" i="1"/>
  <c r="AJ198" i="1"/>
  <c r="AJ201" i="1"/>
  <c r="AJ199" i="1"/>
  <c r="BK175" i="1"/>
  <c r="AD199" i="1"/>
  <c r="BD239" i="1"/>
  <c r="F240" i="1"/>
  <c r="AU604" i="1"/>
  <c r="AI110" i="9"/>
  <c r="Y159" i="1"/>
  <c r="BT491" i="1"/>
  <c r="BH786" i="1"/>
  <c r="AW993" i="1"/>
  <c r="Y215" i="1"/>
  <c r="BB1192" i="1"/>
  <c r="AX1194" i="1"/>
  <c r="BD1265" i="1"/>
  <c r="BA1193" i="1"/>
  <c r="AW115" i="9"/>
  <c r="AW116" i="9" s="1"/>
  <c r="AK159" i="1"/>
  <c r="AI159" i="1"/>
  <c r="X109" i="9"/>
  <c r="X110" i="9" s="1"/>
  <c r="BL175" i="1"/>
  <c r="BF221" i="1"/>
  <c r="AC109" i="9"/>
  <c r="AC110" i="9" s="1"/>
  <c r="BR980" i="1"/>
  <c r="U116" i="9"/>
  <c r="U117" i="9" s="1"/>
  <c r="Z221" i="1"/>
  <c r="AS231" i="1"/>
  <c r="L221" i="1"/>
  <c r="J106" i="9"/>
  <c r="J116" i="9" s="1"/>
  <c r="BT988" i="1"/>
  <c r="BR404" i="1"/>
  <c r="BR64" i="9" s="1"/>
  <c r="AD974" i="1"/>
  <c r="AD972" i="1"/>
  <c r="AW723" i="1"/>
  <c r="AW740" i="1"/>
  <c r="AW741" i="1" s="1"/>
  <c r="AW742" i="1" s="1"/>
  <c r="AW743" i="1" s="1"/>
  <c r="AW70" i="9"/>
  <c r="AW72" i="9" s="1"/>
  <c r="BQ206" i="1"/>
  <c r="R198" i="1"/>
  <c r="R197" i="1"/>
  <c r="R1264" i="1"/>
  <c r="R205" i="1"/>
  <c r="BQ205" i="1"/>
  <c r="BQ202" i="1"/>
  <c r="BQ200" i="1"/>
  <c r="BQ203" i="1"/>
  <c r="BQ201" i="1"/>
  <c r="I198" i="1"/>
  <c r="I204" i="1"/>
  <c r="I206" i="1" s="1"/>
  <c r="I197" i="1"/>
  <c r="BP109" i="9"/>
  <c r="BP110" i="9" s="1"/>
  <c r="AK101" i="9"/>
  <c r="AV7" i="1"/>
  <c r="AV8" i="1" s="1"/>
  <c r="BT503" i="1"/>
  <c r="BT502" i="1"/>
  <c r="Z117" i="9"/>
  <c r="BB1194" i="1"/>
  <c r="AP239" i="1"/>
  <c r="J110" i="9"/>
  <c r="E109" i="9"/>
  <c r="E110" i="9" s="1"/>
  <c r="AC17" i="1"/>
  <c r="AC29" i="9" s="1"/>
  <c r="K241" i="1"/>
  <c r="AO1273" i="1"/>
  <c r="AP240" i="1"/>
  <c r="F1265" i="1"/>
  <c r="BQ174" i="1"/>
  <c r="R1273" i="1"/>
  <c r="BS267" i="1"/>
  <c r="BO241" i="1"/>
  <c r="BN1278" i="1"/>
  <c r="Y236" i="1"/>
  <c r="AW109" i="9"/>
  <c r="AW110" i="9" s="1"/>
  <c r="BR1176" i="1"/>
  <c r="AM10" i="1"/>
  <c r="AJ202" i="1"/>
  <c r="E221" i="1"/>
  <c r="BL221" i="1"/>
  <c r="BK203" i="1"/>
  <c r="AO75" i="11"/>
  <c r="BO123" i="9"/>
  <c r="BL115" i="9"/>
  <c r="AQ205" i="1"/>
  <c r="AQ202" i="1"/>
  <c r="AD101" i="9"/>
  <c r="AH101" i="9"/>
  <c r="AW994" i="1"/>
  <c r="AW444" i="1"/>
  <c r="AW448" i="1" s="1"/>
  <c r="AW722" i="1"/>
  <c r="BF70" i="9"/>
  <c r="BF72" i="9" s="1"/>
  <c r="BF740" i="1"/>
  <c r="BF741" i="1" s="1"/>
  <c r="BF742" i="1" s="1"/>
  <c r="BF743" i="1" s="1"/>
  <c r="BF723" i="1"/>
  <c r="BM980" i="1"/>
  <c r="AG70" i="9"/>
  <c r="AG72" i="9" s="1"/>
  <c r="AG740" i="1"/>
  <c r="AG741" i="1" s="1"/>
  <c r="AG742" i="1" s="1"/>
  <c r="AG743" i="1" s="1"/>
  <c r="AG723" i="1"/>
  <c r="AE23" i="1"/>
  <c r="AE18" i="9" s="1"/>
  <c r="S13" i="1"/>
  <c r="AX135" i="9"/>
  <c r="D135" i="9"/>
  <c r="D42" i="9"/>
  <c r="Y206" i="1"/>
  <c r="C135" i="9"/>
  <c r="C42" i="9"/>
  <c r="BK1266" i="1"/>
  <c r="BF14" i="1"/>
  <c r="AX112" i="9"/>
  <c r="AX113" i="9" s="1"/>
  <c r="AX652" i="1"/>
  <c r="AX479" i="1"/>
  <c r="AX411" i="1" s="1"/>
  <c r="AX66" i="9" s="1"/>
  <c r="AX474" i="1"/>
  <c r="AX404" i="1"/>
  <c r="BV148" i="1"/>
  <c r="BW98" i="1"/>
  <c r="BV102" i="1"/>
  <c r="BV25" i="9" s="1"/>
  <c r="BV104" i="1"/>
  <c r="AC26" i="1"/>
  <c r="AC19" i="9" s="1"/>
  <c r="AC25" i="1"/>
  <c r="AH26" i="1"/>
  <c r="AH19" i="9" s="1"/>
  <c r="AZ54" i="9"/>
  <c r="AZ988" i="1"/>
  <c r="AZ764" i="1"/>
  <c r="AZ800" i="1"/>
  <c r="AZ412" i="1"/>
  <c r="D112" i="9"/>
  <c r="D113" i="9" s="1"/>
  <c r="D474" i="1"/>
  <c r="D487" i="1"/>
  <c r="D652" i="1"/>
  <c r="D479" i="1"/>
  <c r="D404" i="1"/>
  <c r="BU523" i="1"/>
  <c r="BV518" i="1"/>
  <c r="BU510" i="1"/>
  <c r="BU730" i="1" s="1"/>
  <c r="BU524" i="1"/>
  <c r="BU526" i="1"/>
  <c r="BU529" i="1" s="1"/>
  <c r="BV510" i="1"/>
  <c r="BV730" i="1" s="1"/>
  <c r="BN762" i="1"/>
  <c r="BN798" i="1"/>
  <c r="AL198" i="1"/>
  <c r="AL202" i="1"/>
  <c r="AL201" i="1"/>
  <c r="AL203" i="1"/>
  <c r="AL200" i="1"/>
  <c r="AL199" i="1"/>
  <c r="Z762" i="1"/>
  <c r="Z798" i="1"/>
  <c r="BG1265" i="1"/>
  <c r="BG240" i="1"/>
  <c r="BG241" i="1" s="1"/>
  <c r="BG239" i="1"/>
  <c r="AN135" i="9"/>
  <c r="Y658" i="1"/>
  <c r="Y653" i="1"/>
  <c r="AE64" i="9"/>
  <c r="AE668" i="1"/>
  <c r="AE669" i="1" s="1"/>
  <c r="N54" i="9"/>
  <c r="N988" i="1"/>
  <c r="N764" i="1"/>
  <c r="N412" i="1"/>
  <c r="S658" i="1"/>
  <c r="S661" i="1"/>
  <c r="S653" i="1"/>
  <c r="AC653" i="1"/>
  <c r="AC658" i="1"/>
  <c r="AC661" i="1"/>
  <c r="BA19" i="1"/>
  <c r="BA31" i="9" s="1"/>
  <c r="BJ721" i="1"/>
  <c r="BJ724" i="1"/>
  <c r="BJ744" i="1"/>
  <c r="BJ745" i="1" s="1"/>
  <c r="BJ746" i="1" s="1"/>
  <c r="BJ747" i="1" s="1"/>
  <c r="E70" i="9"/>
  <c r="E72" i="9" s="1"/>
  <c r="E723" i="1"/>
  <c r="E740" i="1"/>
  <c r="E741" i="1" s="1"/>
  <c r="E742" i="1" s="1"/>
  <c r="E743" i="1" s="1"/>
  <c r="AQ1265" i="1"/>
  <c r="AQ240" i="1"/>
  <c r="AQ239" i="1"/>
  <c r="AN171" i="1"/>
  <c r="AN174" i="1"/>
  <c r="AN169" i="1"/>
  <c r="AG503" i="1"/>
  <c r="AG502" i="1"/>
  <c r="AG491" i="1"/>
  <c r="BP206" i="1"/>
  <c r="BK14" i="1"/>
  <c r="AX60" i="9"/>
  <c r="AR64" i="9"/>
  <c r="AR668" i="1"/>
  <c r="AR1273" i="1"/>
  <c r="Z64" i="9"/>
  <c r="Z668" i="1"/>
  <c r="Z669" i="1" s="1"/>
  <c r="AM55" i="9"/>
  <c r="AM136" i="9" s="1"/>
  <c r="AM406" i="1"/>
  <c r="AM65" i="9" s="1"/>
  <c r="I491" i="1"/>
  <c r="I503" i="1"/>
  <c r="I502" i="1"/>
  <c r="Y28" i="1"/>
  <c r="Y1264" i="1" s="1"/>
  <c r="Y22" i="1"/>
  <c r="Y23" i="1"/>
  <c r="Y18" i="9" s="1"/>
  <c r="BR236" i="1"/>
  <c r="BW235" i="1"/>
  <c r="BE1265" i="1"/>
  <c r="BE239" i="1"/>
  <c r="BE240" i="1"/>
  <c r="BB661" i="1"/>
  <c r="BB658" i="1"/>
  <c r="BI23" i="1"/>
  <c r="BI18" i="9" s="1"/>
  <c r="BI28" i="1"/>
  <c r="BI1264" i="1" s="1"/>
  <c r="AP105" i="9"/>
  <c r="AP1256" i="1"/>
  <c r="AP1001" i="1"/>
  <c r="AP977" i="1" s="1"/>
  <c r="AP1268" i="1"/>
  <c r="AB722" i="1"/>
  <c r="AB994" i="1"/>
  <c r="AB444" i="1"/>
  <c r="AB448" i="1" s="1"/>
  <c r="E491" i="1"/>
  <c r="E503" i="1"/>
  <c r="E804" i="1"/>
  <c r="AL205" i="1"/>
  <c r="Y135" i="9"/>
  <c r="AN170" i="1"/>
  <c r="AI11" i="1"/>
  <c r="AI27" i="9" s="1"/>
  <c r="AI10" i="1"/>
  <c r="AH10" i="1"/>
  <c r="AH12" i="1"/>
  <c r="AH11" i="1"/>
  <c r="AH27" i="9" s="1"/>
  <c r="AM11" i="1"/>
  <c r="AM27" i="9" s="1"/>
  <c r="AH8" i="1"/>
  <c r="AI7" i="1"/>
  <c r="AI12" i="1" s="1"/>
  <c r="C55" i="9"/>
  <c r="C136" i="9" s="1"/>
  <c r="C406" i="1"/>
  <c r="C65" i="9" s="1"/>
  <c r="O1265" i="1"/>
  <c r="O240" i="1"/>
  <c r="BA798" i="1"/>
  <c r="E135" i="9"/>
  <c r="E42" i="9"/>
  <c r="N135" i="9"/>
  <c r="N42" i="9"/>
  <c r="BN116" i="9"/>
  <c r="BN117" i="9" s="1"/>
  <c r="L116" i="9"/>
  <c r="AI202" i="1"/>
  <c r="AI201" i="1"/>
  <c r="AI205" i="1"/>
  <c r="AI203" i="1"/>
  <c r="AI198" i="1"/>
  <c r="AI199" i="1"/>
  <c r="AI200" i="1"/>
  <c r="AK64" i="9"/>
  <c r="AK668" i="1"/>
  <c r="V661" i="1"/>
  <c r="V653" i="1"/>
  <c r="AZ105" i="9"/>
  <c r="AZ1256" i="1"/>
  <c r="AZ1268" i="1"/>
  <c r="AZ1001" i="1"/>
  <c r="AZ977" i="1" s="1"/>
  <c r="AX994" i="1"/>
  <c r="AX444" i="1"/>
  <c r="AX448" i="1" s="1"/>
  <c r="AX722" i="1"/>
  <c r="BX79" i="9"/>
  <c r="BX522" i="1"/>
  <c r="N661" i="1"/>
  <c r="N653" i="1"/>
  <c r="N658" i="1"/>
  <c r="BP135" i="9"/>
  <c r="BP42" i="9"/>
  <c r="AW55" i="9"/>
  <c r="AW136" i="9" s="1"/>
  <c r="AW406" i="1"/>
  <c r="AW65" i="9" s="1"/>
  <c r="BF661" i="1"/>
  <c r="BF658" i="1"/>
  <c r="BL241" i="1"/>
  <c r="BH218" i="1"/>
  <c r="BH238" i="1"/>
  <c r="BH219" i="1"/>
  <c r="BH221" i="1" s="1"/>
  <c r="AR31" i="1"/>
  <c r="AR38" i="1"/>
  <c r="AR35" i="1" s="1"/>
  <c r="J39" i="9"/>
  <c r="AP135" i="9"/>
  <c r="AP42" i="9"/>
  <c r="Q491" i="1"/>
  <c r="Q502" i="1"/>
  <c r="Q503" i="1"/>
  <c r="R55" i="9"/>
  <c r="R136" i="9" s="1"/>
  <c r="R406" i="1"/>
  <c r="R65" i="9" s="1"/>
  <c r="AH55" i="9"/>
  <c r="AH136" i="9" s="1"/>
  <c r="AH406" i="1"/>
  <c r="AH65" i="9" s="1"/>
  <c r="G721" i="1"/>
  <c r="G724" i="1"/>
  <c r="G744" i="1"/>
  <c r="G745" i="1" s="1"/>
  <c r="G746" i="1" s="1"/>
  <c r="G747" i="1" s="1"/>
  <c r="AN979" i="1"/>
  <c r="W994" i="1"/>
  <c r="W722" i="1"/>
  <c r="W444" i="1"/>
  <c r="W448" i="1" s="1"/>
  <c r="BC722" i="1"/>
  <c r="BC994" i="1"/>
  <c r="BC444" i="1"/>
  <c r="BC448" i="1" s="1"/>
  <c r="AZ70" i="9"/>
  <c r="AZ72" i="9" s="1"/>
  <c r="AZ740" i="1"/>
  <c r="AZ741" i="1" s="1"/>
  <c r="AZ742" i="1" s="1"/>
  <c r="AZ743" i="1" s="1"/>
  <c r="AZ723" i="1"/>
  <c r="AG134" i="9"/>
  <c r="AG67" i="9"/>
  <c r="AQ64" i="9"/>
  <c r="AQ668" i="1"/>
  <c r="AQ1273" i="1"/>
  <c r="AP64" i="9"/>
  <c r="AP668" i="1"/>
  <c r="BT135" i="9"/>
  <c r="BT42" i="9"/>
  <c r="AR135" i="9"/>
  <c r="AR42" i="9"/>
  <c r="AC198" i="1"/>
  <c r="AC202" i="1"/>
  <c r="AC200" i="1"/>
  <c r="AC203" i="1"/>
  <c r="AC199" i="1"/>
  <c r="AC201" i="1"/>
  <c r="Y70" i="9"/>
  <c r="Y72" i="9" s="1"/>
  <c r="Y740" i="1"/>
  <c r="Y741" i="1" s="1"/>
  <c r="Y742" i="1" s="1"/>
  <c r="Y743" i="1" s="1"/>
  <c r="Y723" i="1"/>
  <c r="BG201" i="1"/>
  <c r="BG202" i="1"/>
  <c r="BG205" i="1"/>
  <c r="BG200" i="1"/>
  <c r="BG203" i="1"/>
  <c r="F55" i="9"/>
  <c r="F136" i="9" s="1"/>
  <c r="F406" i="1"/>
  <c r="F65" i="9" s="1"/>
  <c r="BS938" i="1"/>
  <c r="BS934" i="1"/>
  <c r="BS937" i="1"/>
  <c r="N116" i="9"/>
  <c r="BB12" i="1"/>
  <c r="BB8" i="1"/>
  <c r="BE134" i="9"/>
  <c r="BE67" i="9"/>
  <c r="AM171" i="1"/>
  <c r="AM169" i="1"/>
  <c r="BM698" i="1"/>
  <c r="BN698" i="1"/>
  <c r="BN661" i="1"/>
  <c r="BL698" i="1"/>
  <c r="BK698" i="1"/>
  <c r="BJ698" i="1"/>
  <c r="BH39" i="9"/>
  <c r="E1265" i="1"/>
  <c r="E239" i="1"/>
  <c r="E240" i="1"/>
  <c r="E241" i="1" s="1"/>
  <c r="AX25" i="1"/>
  <c r="AX26" i="1"/>
  <c r="AX19" i="9" s="1"/>
  <c r="BB135" i="9"/>
  <c r="BB42" i="9"/>
  <c r="M54" i="9"/>
  <c r="M988" i="1"/>
  <c r="M764" i="1"/>
  <c r="M412" i="1"/>
  <c r="AZ55" i="9"/>
  <c r="AZ136" i="9" s="1"/>
  <c r="AZ406" i="1"/>
  <c r="AZ65" i="9" s="1"/>
  <c r="BI109" i="9"/>
  <c r="BI110" i="9" s="1"/>
  <c r="AN978" i="1"/>
  <c r="AN70" i="9"/>
  <c r="AN72" i="9" s="1"/>
  <c r="AN723" i="1"/>
  <c r="AN740" i="1"/>
  <c r="AN741" i="1" s="1"/>
  <c r="AN742" i="1" s="1"/>
  <c r="AN743" i="1" s="1"/>
  <c r="K116" i="9"/>
  <c r="K117" i="9" s="1"/>
  <c r="BT994" i="1"/>
  <c r="BT722" i="1"/>
  <c r="BT444" i="1"/>
  <c r="BT448" i="1" s="1"/>
  <c r="X491" i="1"/>
  <c r="X502" i="1"/>
  <c r="X503" i="1"/>
  <c r="AA1265" i="1"/>
  <c r="AA240" i="1"/>
  <c r="AA239" i="1"/>
  <c r="AF239" i="1"/>
  <c r="AV159" i="1"/>
  <c r="Y231" i="1"/>
  <c r="AD231" i="1"/>
  <c r="BT134" i="9"/>
  <c r="BT67" i="9"/>
  <c r="AN159" i="1"/>
  <c r="BJ1273" i="1"/>
  <c r="L798" i="1"/>
  <c r="L109" i="9"/>
  <c r="L110" i="9" s="1"/>
  <c r="AV19" i="1"/>
  <c r="AV31" i="9" s="1"/>
  <c r="L654" i="1"/>
  <c r="L657" i="1"/>
  <c r="Z134" i="9"/>
  <c r="Z94" i="9"/>
  <c r="Z91" i="9" s="1"/>
  <c r="Z67" i="9"/>
  <c r="AI54" i="9"/>
  <c r="AI988" i="1"/>
  <c r="AI989" i="1" s="1"/>
  <c r="AI412" i="1"/>
  <c r="BT13" i="1"/>
  <c r="N798" i="1"/>
  <c r="E3" i="13"/>
  <c r="BJ76" i="9"/>
  <c r="BJ82" i="9" s="1"/>
  <c r="BJ139" i="9" s="1"/>
  <c r="AS17" i="1"/>
  <c r="AS29" i="9" s="1"/>
  <c r="AS19" i="1"/>
  <c r="AS31" i="9" s="1"/>
  <c r="AA135" i="9"/>
  <c r="AA42" i="9"/>
  <c r="AT28" i="1"/>
  <c r="AT1264" i="1" s="1"/>
  <c r="AT23" i="1"/>
  <c r="AT18" i="9" s="1"/>
  <c r="BH978" i="1"/>
  <c r="BH979" i="1"/>
  <c r="AF84" i="1"/>
  <c r="AF79" i="1"/>
  <c r="CA230" i="1"/>
  <c r="AE206" i="1"/>
  <c r="AE55" i="9"/>
  <c r="AE136" i="9" s="1"/>
  <c r="AE406" i="1"/>
  <c r="AE65" i="9" s="1"/>
  <c r="AW798" i="1"/>
  <c r="AC503" i="1"/>
  <c r="AC491" i="1"/>
  <c r="AC502" i="1"/>
  <c r="E994" i="1"/>
  <c r="E995" i="1" s="1"/>
  <c r="E971" i="1" s="1"/>
  <c r="E722" i="1"/>
  <c r="E444" i="1"/>
  <c r="E448" i="1" s="1"/>
  <c r="E1156" i="1"/>
  <c r="BM215" i="1"/>
  <c r="BR215" i="1"/>
  <c r="AN172" i="1"/>
  <c r="AS39" i="9"/>
  <c r="Z491" i="1"/>
  <c r="Z503" i="1"/>
  <c r="Z804" i="1"/>
  <c r="AM64" i="9"/>
  <c r="AM668" i="1"/>
  <c r="AQ135" i="9"/>
  <c r="AQ42" i="9"/>
  <c r="BB113" i="9"/>
  <c r="AG109" i="9"/>
  <c r="AG110" i="9" s="1"/>
  <c r="BY1253" i="1"/>
  <c r="BX1026" i="1"/>
  <c r="BX10" i="9" s="1"/>
  <c r="AX105" i="9"/>
  <c r="AX106" i="9" s="1"/>
  <c r="AX1268" i="1"/>
  <c r="AX1256" i="1"/>
  <c r="AX1001" i="1"/>
  <c r="AX977" i="1" s="1"/>
  <c r="W1266" i="1"/>
  <c r="AZ1265" i="1"/>
  <c r="AZ240" i="1"/>
  <c r="AZ239" i="1"/>
  <c r="AL25" i="1"/>
  <c r="AL26" i="1"/>
  <c r="AL19" i="9" s="1"/>
  <c r="AQ26" i="1"/>
  <c r="AQ19" i="9" s="1"/>
  <c r="Z135" i="9"/>
  <c r="Z42" i="9"/>
  <c r="AD70" i="9"/>
  <c r="AD72" i="9" s="1"/>
  <c r="AD723" i="1"/>
  <c r="AD740" i="1"/>
  <c r="AD741" i="1" s="1"/>
  <c r="AD742" i="1" s="1"/>
  <c r="AD743" i="1" s="1"/>
  <c r="AS979" i="1"/>
  <c r="AS978" i="1"/>
  <c r="AQ70" i="9"/>
  <c r="AQ72" i="9" s="1"/>
  <c r="AQ740" i="1"/>
  <c r="AQ741" i="1" s="1"/>
  <c r="AQ742" i="1" s="1"/>
  <c r="AQ743" i="1" s="1"/>
  <c r="AQ723" i="1"/>
  <c r="AY105" i="9"/>
  <c r="AY106" i="9" s="1"/>
  <c r="AY1256" i="1"/>
  <c r="AY1268" i="1"/>
  <c r="AY1001" i="1"/>
  <c r="AY977" i="1" s="1"/>
  <c r="BB22" i="1"/>
  <c r="BB28" i="1"/>
  <c r="BB23" i="1"/>
  <c r="BB18" i="9" s="1"/>
  <c r="AI17" i="1"/>
  <c r="AI29" i="9" s="1"/>
  <c r="AI19" i="1"/>
  <c r="AI31" i="9" s="1"/>
  <c r="AK55" i="9"/>
  <c r="AK136" i="9" s="1"/>
  <c r="AK406" i="1"/>
  <c r="AK65" i="9" s="1"/>
  <c r="AP205" i="1"/>
  <c r="AP200" i="1"/>
  <c r="AP201" i="1"/>
  <c r="AP202" i="1"/>
  <c r="AP203" i="1"/>
  <c r="O116" i="9"/>
  <c r="BF113" i="9"/>
  <c r="AF491" i="1"/>
  <c r="AF502" i="1"/>
  <c r="AF503" i="1"/>
  <c r="AK11" i="1"/>
  <c r="AK27" i="9" s="1"/>
  <c r="AL7" i="1"/>
  <c r="AK10" i="1"/>
  <c r="AV135" i="9"/>
  <c r="AV42" i="9"/>
  <c r="R491" i="1"/>
  <c r="R503" i="1"/>
  <c r="BM231" i="1"/>
  <c r="BR231" i="1"/>
  <c r="AL64" i="9"/>
  <c r="AL668" i="1"/>
  <c r="BI55" i="9"/>
  <c r="BI136" i="9" s="1"/>
  <c r="BI406" i="1"/>
  <c r="BI65" i="9" s="1"/>
  <c r="AU1268" i="1"/>
  <c r="AL70" i="9"/>
  <c r="AL72" i="9" s="1"/>
  <c r="AL740" i="1"/>
  <c r="AL741" i="1" s="1"/>
  <c r="AL742" i="1" s="1"/>
  <c r="AL743" i="1" s="1"/>
  <c r="AL723" i="1"/>
  <c r="AC70" i="9"/>
  <c r="AC72" i="9" s="1"/>
  <c r="AC723" i="1"/>
  <c r="AC740" i="1"/>
  <c r="AC741" i="1" s="1"/>
  <c r="AC742" i="1" s="1"/>
  <c r="AC743" i="1" s="1"/>
  <c r="BK135" i="9"/>
  <c r="BK42" i="9"/>
  <c r="X798" i="1"/>
  <c r="AQ109" i="9"/>
  <c r="AQ110" i="9" s="1"/>
  <c r="BK724" i="1"/>
  <c r="BK721" i="1"/>
  <c r="BK744" i="1"/>
  <c r="BK745" i="1" s="1"/>
  <c r="BK746" i="1" s="1"/>
  <c r="BK747" i="1" s="1"/>
  <c r="BT1176" i="1"/>
  <c r="AZ994" i="1"/>
  <c r="AZ995" i="1" s="1"/>
  <c r="AZ971" i="1" s="1"/>
  <c r="BD1278" i="1"/>
  <c r="AZ722" i="1"/>
  <c r="AZ444" i="1"/>
  <c r="AZ448" i="1" s="1"/>
  <c r="BM1156" i="1"/>
  <c r="BO54" i="9"/>
  <c r="BO988" i="1"/>
  <c r="BO800" i="1"/>
  <c r="BO764" i="1"/>
  <c r="BO412" i="1"/>
  <c r="AQ503" i="1"/>
  <c r="AQ491" i="1"/>
  <c r="AQ502" i="1"/>
  <c r="AX109" i="9"/>
  <c r="AX110" i="9" s="1"/>
  <c r="Y994" i="1"/>
  <c r="Y995" i="1" s="1"/>
  <c r="Y971" i="1" s="1"/>
  <c r="Y722" i="1"/>
  <c r="Y444" i="1"/>
  <c r="Y448" i="1" s="1"/>
  <c r="C1008" i="1"/>
  <c r="AV70" i="9"/>
  <c r="AV72" i="9" s="1"/>
  <c r="AV723" i="1"/>
  <c r="AV740" i="1"/>
  <c r="AV741" i="1" s="1"/>
  <c r="AV742" i="1" s="1"/>
  <c r="AV743" i="1" s="1"/>
  <c r="BG17" i="1"/>
  <c r="BG29" i="9" s="1"/>
  <c r="BG19" i="1"/>
  <c r="BG31" i="9" s="1"/>
  <c r="F698" i="1"/>
  <c r="F661" i="1"/>
  <c r="BI1265" i="1"/>
  <c r="BI240" i="1"/>
  <c r="BI241" i="1" s="1"/>
  <c r="BI239" i="1"/>
  <c r="AA480" i="1"/>
  <c r="AM172" i="1"/>
  <c r="U198" i="1"/>
  <c r="U197" i="1"/>
  <c r="H7" i="1"/>
  <c r="H12" i="1" s="1"/>
  <c r="AI135" i="9"/>
  <c r="BP172" i="1"/>
  <c r="BP173" i="1"/>
  <c r="BH173" i="1"/>
  <c r="BH172" i="1"/>
  <c r="BP798" i="1"/>
  <c r="R502" i="1"/>
  <c r="AZ113" i="9"/>
  <c r="P70" i="9"/>
  <c r="P72" i="9" s="1"/>
  <c r="P723" i="1"/>
  <c r="P740" i="1"/>
  <c r="P741" i="1" s="1"/>
  <c r="P742" i="1" s="1"/>
  <c r="P743" i="1" s="1"/>
  <c r="AN105" i="9"/>
  <c r="AN106" i="9" s="1"/>
  <c r="AN1268" i="1"/>
  <c r="AN1256" i="1"/>
  <c r="AN1001" i="1"/>
  <c r="AN977" i="1" s="1"/>
  <c r="Y1156" i="1"/>
  <c r="Y1266" i="1" s="1"/>
  <c r="AK70" i="9"/>
  <c r="AK72" i="9" s="1"/>
  <c r="AK723" i="1"/>
  <c r="AK740" i="1"/>
  <c r="AK741" i="1" s="1"/>
  <c r="AK742" i="1" s="1"/>
  <c r="AK743" i="1" s="1"/>
  <c r="AN994" i="1"/>
  <c r="AN722" i="1"/>
  <c r="AN444" i="1"/>
  <c r="AN448" i="1" s="1"/>
  <c r="C1159" i="1"/>
  <c r="BH105" i="9"/>
  <c r="BH1256" i="1"/>
  <c r="BH1001" i="1"/>
  <c r="BH977" i="1" s="1"/>
  <c r="V134" i="9"/>
  <c r="V67" i="9"/>
  <c r="BG8" i="1"/>
  <c r="BG12" i="1"/>
  <c r="X64" i="9"/>
  <c r="X668" i="1"/>
  <c r="X669" i="1" s="1"/>
  <c r="AD26" i="1"/>
  <c r="AD19" i="9" s="1"/>
  <c r="AD25" i="1"/>
  <c r="AI26" i="1"/>
  <c r="AI19" i="9" s="1"/>
  <c r="AF25" i="1"/>
  <c r="BF135" i="9"/>
  <c r="BF42" i="9"/>
  <c r="AU1259" i="1"/>
  <c r="AU495" i="1"/>
  <c r="AD28" i="1"/>
  <c r="AD1264" i="1" s="1"/>
  <c r="AD23" i="1"/>
  <c r="AD18" i="9" s="1"/>
  <c r="AD22" i="1"/>
  <c r="BQ54" i="9"/>
  <c r="BQ988" i="1"/>
  <c r="BQ800" i="1"/>
  <c r="BQ764" i="1"/>
  <c r="BQ412" i="1"/>
  <c r="AV12" i="1"/>
  <c r="AV11" i="1"/>
  <c r="AV27" i="9" s="1"/>
  <c r="AV10" i="1"/>
  <c r="AW7" i="1"/>
  <c r="AW12" i="1" s="1"/>
  <c r="BE1273" i="1"/>
  <c r="BM294" i="1"/>
  <c r="BM295" i="1" s="1"/>
  <c r="BM301" i="1" s="1"/>
  <c r="BM300" i="1"/>
  <c r="AH134" i="9"/>
  <c r="AH67" i="9"/>
  <c r="BR658" i="1"/>
  <c r="AT135" i="9"/>
  <c r="AT42" i="9"/>
  <c r="AR798" i="1"/>
  <c r="BZ230" i="1"/>
  <c r="BS221" i="1"/>
  <c r="P197" i="1"/>
  <c r="P198" i="1"/>
  <c r="P205" i="1"/>
  <c r="P206" i="1" s="1"/>
  <c r="AX231" i="1"/>
  <c r="M64" i="9"/>
  <c r="M668" i="1"/>
  <c r="M669" i="1" s="1"/>
  <c r="AF159" i="1"/>
  <c r="BD491" i="1"/>
  <c r="BD503" i="1"/>
  <c r="BD804" i="1"/>
  <c r="BD502" i="1"/>
  <c r="AC174" i="1"/>
  <c r="AC171" i="1"/>
  <c r="AC170" i="1"/>
  <c r="AS205" i="1"/>
  <c r="AS202" i="1"/>
  <c r="AS200" i="1"/>
  <c r="BR172" i="1"/>
  <c r="BR171" i="1"/>
  <c r="BR155" i="1"/>
  <c r="BR156" i="1"/>
  <c r="BR157" i="1"/>
  <c r="BA55" i="9"/>
  <c r="BA136" i="9" s="1"/>
  <c r="BA406" i="1"/>
  <c r="BA65" i="9" s="1"/>
  <c r="BU133" i="1"/>
  <c r="BU126" i="1"/>
  <c r="BV52" i="1"/>
  <c r="BL113" i="9"/>
  <c r="BQ64" i="9"/>
  <c r="BQ668" i="1"/>
  <c r="AO221" i="1"/>
  <c r="Y113" i="9"/>
  <c r="H64" i="9"/>
  <c r="H668" i="1"/>
  <c r="H669" i="1" s="1"/>
  <c r="D436" i="1"/>
  <c r="D442" i="1" s="1"/>
  <c r="D433" i="1"/>
  <c r="AI112" i="9"/>
  <c r="AI113" i="9" s="1"/>
  <c r="AI652" i="1"/>
  <c r="AI474" i="1"/>
  <c r="AI479" i="1"/>
  <c r="AI411" i="1" s="1"/>
  <c r="AI66" i="9" s="1"/>
  <c r="AI404" i="1"/>
  <c r="BE798" i="1"/>
  <c r="AC698" i="1"/>
  <c r="AE661" i="1"/>
  <c r="AE698" i="1"/>
  <c r="AB698" i="1"/>
  <c r="AD698" i="1"/>
  <c r="AA698" i="1"/>
  <c r="AE653" i="1"/>
  <c r="AE654" i="1" s="1"/>
  <c r="W64" i="9"/>
  <c r="W668" i="1"/>
  <c r="W669" i="1" s="1"/>
  <c r="AD10" i="1"/>
  <c r="AD11" i="1"/>
  <c r="AD27" i="9" s="1"/>
  <c r="BQ135" i="9"/>
  <c r="BQ42" i="9"/>
  <c r="AC113" i="9"/>
  <c r="BY836" i="1"/>
  <c r="BX781" i="1"/>
  <c r="AP994" i="1"/>
  <c r="AP995" i="1" s="1"/>
  <c r="AP971" i="1" s="1"/>
  <c r="AT1278" i="1"/>
  <c r="AP722" i="1"/>
  <c r="AP444" i="1"/>
  <c r="AP448" i="1" s="1"/>
  <c r="BA205" i="1"/>
  <c r="BA206" i="1" s="1"/>
  <c r="BA200" i="1"/>
  <c r="BA202" i="1"/>
  <c r="BA203" i="1"/>
  <c r="BA201" i="1"/>
  <c r="M798" i="1"/>
  <c r="T204" i="1"/>
  <c r="T197" i="1"/>
  <c r="T198" i="1"/>
  <c r="AG658" i="1"/>
  <c r="AG661" i="1"/>
  <c r="U1265" i="1"/>
  <c r="U240" i="1"/>
  <c r="U241" i="1" s="1"/>
  <c r="U239" i="1"/>
  <c r="AR55" i="9"/>
  <c r="AR136" i="9" s="1"/>
  <c r="AR406" i="1"/>
  <c r="AR65" i="9" s="1"/>
  <c r="Z55" i="9"/>
  <c r="Z136" i="9" s="1"/>
  <c r="Z406" i="1"/>
  <c r="Z65" i="9" s="1"/>
  <c r="AM491" i="1"/>
  <c r="AM503" i="1"/>
  <c r="AM502" i="1"/>
  <c r="I480" i="1"/>
  <c r="I411" i="1"/>
  <c r="I66" i="9" s="1"/>
  <c r="BG798" i="1"/>
  <c r="K64" i="9"/>
  <c r="K668" i="1"/>
  <c r="K669" i="1" s="1"/>
  <c r="BS64" i="9"/>
  <c r="BS668" i="1"/>
  <c r="O436" i="1"/>
  <c r="O442" i="1" s="1"/>
  <c r="O480" i="1" s="1"/>
  <c r="O450" i="1"/>
  <c r="O455" i="1" s="1"/>
  <c r="O433" i="1"/>
  <c r="BS95" i="9"/>
  <c r="BS92" i="9" s="1"/>
  <c r="BS74" i="9"/>
  <c r="BN70" i="9"/>
  <c r="BN72" i="9" s="1"/>
  <c r="BN740" i="1"/>
  <c r="BN741" i="1" s="1"/>
  <c r="BN742" i="1" s="1"/>
  <c r="BN743" i="1" s="1"/>
  <c r="BN723" i="1"/>
  <c r="D116" i="9"/>
  <c r="AX979" i="1"/>
  <c r="AX980" i="1"/>
  <c r="AT480" i="1"/>
  <c r="AJ55" i="9"/>
  <c r="AJ136" i="9" s="1"/>
  <c r="AJ406" i="1"/>
  <c r="AJ65" i="9" s="1"/>
  <c r="BO33" i="1"/>
  <c r="BO20" i="9" s="1"/>
  <c r="N22" i="1"/>
  <c r="N28" i="1"/>
  <c r="N23" i="1"/>
  <c r="N18" i="9" s="1"/>
  <c r="BO803" i="1"/>
  <c r="BO491" i="1"/>
  <c r="BO503" i="1"/>
  <c r="R1265" i="1"/>
  <c r="R240" i="1"/>
  <c r="R241" i="1" s="1"/>
  <c r="R239" i="1"/>
  <c r="X54" i="9"/>
  <c r="X988" i="1"/>
  <c r="X764" i="1"/>
  <c r="X412" i="1"/>
  <c r="Q798" i="1"/>
  <c r="AT55" i="9"/>
  <c r="AT136" i="9" s="1"/>
  <c r="AT406" i="1"/>
  <c r="AT65" i="9" s="1"/>
  <c r="W798" i="1"/>
  <c r="W764" i="1"/>
  <c r="S109" i="9"/>
  <c r="S110" i="9" s="1"/>
  <c r="AD994" i="1"/>
  <c r="AD722" i="1"/>
  <c r="AD444" i="1"/>
  <c r="AD448" i="1" s="1"/>
  <c r="AQ722" i="1"/>
  <c r="AQ994" i="1"/>
  <c r="AQ444" i="1"/>
  <c r="AQ448" i="1" s="1"/>
  <c r="C806" i="1"/>
  <c r="C994" i="1"/>
  <c r="C995" i="1" s="1"/>
  <c r="C722" i="1"/>
  <c r="C444" i="1"/>
  <c r="C448" i="1" s="1"/>
  <c r="AM115" i="9"/>
  <c r="BB19" i="1"/>
  <c r="BB31" i="9" s="1"/>
  <c r="BB17" i="1"/>
  <c r="BB29" i="9" s="1"/>
  <c r="T226" i="1"/>
  <c r="M1273" i="1"/>
  <c r="O62" i="9"/>
  <c r="O1271" i="1"/>
  <c r="AP204" i="1"/>
  <c r="AP109" i="9"/>
  <c r="AP110" i="9" s="1"/>
  <c r="AN115" i="9"/>
  <c r="AP115" i="9"/>
  <c r="AQ115" i="9"/>
  <c r="AR115" i="9"/>
  <c r="BQ109" i="9"/>
  <c r="BQ110" i="9" s="1"/>
  <c r="AD109" i="9"/>
  <c r="D70" i="9"/>
  <c r="D72" i="9" s="1"/>
  <c r="D723" i="1"/>
  <c r="D740" i="1"/>
  <c r="D741" i="1" s="1"/>
  <c r="D742" i="1" s="1"/>
  <c r="D743" i="1" s="1"/>
  <c r="AU115" i="9"/>
  <c r="AE20" i="9"/>
  <c r="BA1265" i="1"/>
  <c r="BA239" i="1"/>
  <c r="BA240" i="1"/>
  <c r="BA241" i="1" s="1"/>
  <c r="AO135" i="9"/>
  <c r="AO42" i="9"/>
  <c r="AF55" i="9"/>
  <c r="AF136" i="9" s="1"/>
  <c r="AF406" i="1"/>
  <c r="AF65" i="9" s="1"/>
  <c r="C60" i="9"/>
  <c r="AG22" i="1"/>
  <c r="AG28" i="1"/>
  <c r="AG23" i="1"/>
  <c r="AG18" i="9" s="1"/>
  <c r="AH661" i="1"/>
  <c r="AH658" i="1"/>
  <c r="AV239" i="1"/>
  <c r="BI491" i="1"/>
  <c r="BI503" i="1"/>
  <c r="BI502" i="1"/>
  <c r="BI804" i="1"/>
  <c r="BO502" i="1"/>
  <c r="AY109" i="9"/>
  <c r="AY110" i="9" s="1"/>
  <c r="R109" i="9"/>
  <c r="R110" i="9" s="1"/>
  <c r="AU106" i="9"/>
  <c r="BH80" i="9"/>
  <c r="BH773" i="1"/>
  <c r="AL994" i="1"/>
  <c r="AL722" i="1"/>
  <c r="AL444" i="1"/>
  <c r="AL448" i="1" s="1"/>
  <c r="AE722" i="1"/>
  <c r="AE994" i="1"/>
  <c r="AE995" i="1" s="1"/>
  <c r="AE971" i="1" s="1"/>
  <c r="AE444" i="1"/>
  <c r="AE448" i="1" s="1"/>
  <c r="AC994" i="1"/>
  <c r="AC722" i="1"/>
  <c r="AC444" i="1"/>
  <c r="AC448" i="1" s="1"/>
  <c r="AX1156" i="1"/>
  <c r="F1" i="9"/>
  <c r="F1367" i="1"/>
  <c r="F1397" i="1"/>
  <c r="F515" i="1"/>
  <c r="F3" i="1"/>
  <c r="G4" i="1"/>
  <c r="AQ55" i="9"/>
  <c r="AQ136" i="9" s="1"/>
  <c r="AQ406" i="1"/>
  <c r="AQ65" i="9" s="1"/>
  <c r="AP661" i="1"/>
  <c r="Z502" i="1"/>
  <c r="AB798" i="1"/>
  <c r="BQ798" i="1"/>
  <c r="AC204" i="1"/>
  <c r="BL798" i="1"/>
  <c r="AA70" i="9"/>
  <c r="AA72" i="9" s="1"/>
  <c r="AA740" i="1"/>
  <c r="AA741" i="1" s="1"/>
  <c r="AA742" i="1" s="1"/>
  <c r="AA743" i="1" s="1"/>
  <c r="AA723" i="1"/>
  <c r="AT70" i="9"/>
  <c r="AT72" i="9" s="1"/>
  <c r="AT723" i="1"/>
  <c r="AT740" i="1"/>
  <c r="AT741" i="1" s="1"/>
  <c r="AT742" i="1" s="1"/>
  <c r="AT743" i="1" s="1"/>
  <c r="BR115" i="9"/>
  <c r="BT115" i="9"/>
  <c r="AV994" i="1"/>
  <c r="AV722" i="1"/>
  <c r="AV444" i="1"/>
  <c r="AV448" i="1" s="1"/>
  <c r="BT305" i="1"/>
  <c r="BT306" i="1" s="1"/>
  <c r="BT312" i="1" s="1"/>
  <c r="BT32" i="1" s="1"/>
  <c r="BT21" i="9" s="1"/>
  <c r="BT311" i="1"/>
  <c r="BF19" i="1"/>
  <c r="BF31" i="9" s="1"/>
  <c r="AW135" i="9"/>
  <c r="AW42" i="9"/>
  <c r="AR19" i="1"/>
  <c r="AR31" i="9" s="1"/>
  <c r="AR17" i="1"/>
  <c r="AR29" i="9" s="1"/>
  <c r="C436" i="1"/>
  <c r="C442" i="1" s="1"/>
  <c r="C433" i="1"/>
  <c r="BP171" i="1"/>
  <c r="BG54" i="9"/>
  <c r="BG988" i="1"/>
  <c r="BG800" i="1"/>
  <c r="BG764" i="1"/>
  <c r="BG412" i="1"/>
  <c r="L1265" i="1"/>
  <c r="L240" i="1"/>
  <c r="Q241" i="1" s="1"/>
  <c r="L239" i="1"/>
  <c r="AC1193" i="1"/>
  <c r="AD55" i="9"/>
  <c r="AD136" i="9" s="1"/>
  <c r="AD406" i="1"/>
  <c r="AD65" i="9" s="1"/>
  <c r="T116" i="9"/>
  <c r="P994" i="1"/>
  <c r="P995" i="1" s="1"/>
  <c r="P971" i="1" s="1"/>
  <c r="P722" i="1"/>
  <c r="P444" i="1"/>
  <c r="P448" i="1" s="1"/>
  <c r="AU135" i="9"/>
  <c r="AU42" i="9"/>
  <c r="AY937" i="1"/>
  <c r="AY938" i="1"/>
  <c r="AY934" i="1"/>
  <c r="AO1278" i="1"/>
  <c r="AK994" i="1"/>
  <c r="AK722" i="1"/>
  <c r="AK444" i="1"/>
  <c r="AK448" i="1" s="1"/>
  <c r="AN73" i="9"/>
  <c r="AN1185" i="1"/>
  <c r="AN992" i="1"/>
  <c r="AO1281" i="1"/>
  <c r="AN1274" i="1"/>
  <c r="BP1265" i="1"/>
  <c r="BP240" i="1"/>
  <c r="BP241" i="1" s="1"/>
  <c r="BP239" i="1"/>
  <c r="BF8" i="1"/>
  <c r="X661" i="1"/>
  <c r="X658" i="1"/>
  <c r="X653" i="1"/>
  <c r="L26" i="1"/>
  <c r="L19" i="9" s="1"/>
  <c r="L25" i="1"/>
  <c r="Q26" i="1"/>
  <c r="Q19" i="9" s="1"/>
  <c r="AD17" i="1"/>
  <c r="AD29" i="9" s="1"/>
  <c r="AK1265" i="1"/>
  <c r="AK240" i="1"/>
  <c r="AK241" i="1" s="1"/>
  <c r="AK239" i="1"/>
  <c r="Y218" i="1"/>
  <c r="Y238" i="1"/>
  <c r="Y219" i="1"/>
  <c r="Y221" i="1" s="1"/>
  <c r="AA491" i="1"/>
  <c r="AA503" i="1"/>
  <c r="AN8" i="1"/>
  <c r="AN10" i="1"/>
  <c r="AN11" i="1"/>
  <c r="AN27" i="9" s="1"/>
  <c r="AN12" i="1"/>
  <c r="BP54" i="9"/>
  <c r="BP988" i="1"/>
  <c r="BP800" i="1"/>
  <c r="BP764" i="1"/>
  <c r="BP412" i="1"/>
  <c r="AH17" i="1"/>
  <c r="AH29" i="9" s="1"/>
  <c r="AH19" i="1"/>
  <c r="AH31" i="9" s="1"/>
  <c r="BR109" i="9"/>
  <c r="BR110" i="9" s="1"/>
  <c r="AW134" i="9"/>
  <c r="AW67" i="9"/>
  <c r="AV28" i="1"/>
  <c r="AW31" i="1" s="1"/>
  <c r="AV23" i="1"/>
  <c r="AV18" i="9" s="1"/>
  <c r="AV22" i="1"/>
  <c r="BS1265" i="1"/>
  <c r="BS240" i="1"/>
  <c r="BS239" i="1"/>
  <c r="BB134" i="9"/>
  <c r="BB67" i="9"/>
  <c r="P23" i="1"/>
  <c r="P18" i="9" s="1"/>
  <c r="P28" i="1"/>
  <c r="P33" i="1" s="1"/>
  <c r="BH201" i="1"/>
  <c r="BH200" i="1"/>
  <c r="BH205" i="1"/>
  <c r="M55" i="9"/>
  <c r="M136" i="9" s="1"/>
  <c r="M406" i="1"/>
  <c r="M65" i="9" s="1"/>
  <c r="AF10" i="1"/>
  <c r="AF11" i="1"/>
  <c r="AF27" i="9" s="1"/>
  <c r="AG7" i="1"/>
  <c r="AD105" i="9"/>
  <c r="AD1268" i="1"/>
  <c r="AD1001" i="1"/>
  <c r="AD977" i="1" s="1"/>
  <c r="AD1256" i="1"/>
  <c r="AC1268" i="1"/>
  <c r="AD175" i="1"/>
  <c r="AS204" i="1"/>
  <c r="AH106" i="9"/>
  <c r="K1264" i="1"/>
  <c r="K197" i="1"/>
  <c r="K198" i="1"/>
  <c r="K204" i="1"/>
  <c r="BA803" i="1"/>
  <c r="BA491" i="1"/>
  <c r="BA502" i="1"/>
  <c r="BA503" i="1"/>
  <c r="AJ1265" i="1"/>
  <c r="AJ240" i="1"/>
  <c r="AJ241" i="1" s="1"/>
  <c r="AJ239" i="1"/>
  <c r="P502" i="1"/>
  <c r="P491" i="1"/>
  <c r="P804" i="1"/>
  <c r="P503" i="1"/>
  <c r="AP134" i="9"/>
  <c r="AP67" i="9"/>
  <c r="N991" i="1"/>
  <c r="BV119" i="1"/>
  <c r="BV166" i="1" s="1"/>
  <c r="L23" i="1"/>
  <c r="L18" i="9" s="1"/>
  <c r="G5" i="11"/>
  <c r="G5" i="13"/>
  <c r="G2" i="9"/>
  <c r="H5" i="1"/>
  <c r="AT203" i="1"/>
  <c r="AT205" i="1"/>
  <c r="AT206" i="1" s="1"/>
  <c r="AT202" i="1"/>
  <c r="AT201" i="1"/>
  <c r="AT200" i="1"/>
  <c r="AN62" i="9"/>
  <c r="AN1271" i="1"/>
  <c r="G1264" i="1"/>
  <c r="G197" i="1"/>
  <c r="G205" i="1"/>
  <c r="G206" i="1" s="1"/>
  <c r="G198" i="1"/>
  <c r="H798" i="1"/>
  <c r="AA167" i="1"/>
  <c r="P135" i="9"/>
  <c r="P42" i="9"/>
  <c r="AO503" i="1"/>
  <c r="AO491" i="1"/>
  <c r="AO804" i="1"/>
  <c r="AO502" i="1"/>
  <c r="H480" i="1"/>
  <c r="H411" i="1"/>
  <c r="H66" i="9" s="1"/>
  <c r="AH221" i="1"/>
  <c r="A2" i="11"/>
  <c r="A2" i="13"/>
  <c r="W55" i="9"/>
  <c r="W136" i="9" s="1"/>
  <c r="W406" i="1"/>
  <c r="W65" i="9" s="1"/>
  <c r="K205" i="1"/>
  <c r="AB64" i="9"/>
  <c r="AB668" i="1"/>
  <c r="AB669" i="1" s="1"/>
  <c r="O135" i="9"/>
  <c r="AB110" i="9"/>
  <c r="H31" i="1"/>
  <c r="AM134" i="9"/>
  <c r="AM67" i="9"/>
  <c r="BR134" i="9"/>
  <c r="BR67" i="9"/>
  <c r="BL13" i="1"/>
  <c r="BK221" i="1"/>
  <c r="AG113" i="9"/>
  <c r="AM174" i="1"/>
  <c r="AB169" i="1"/>
  <c r="AB170" i="1"/>
  <c r="AB172" i="1"/>
  <c r="AB174" i="1"/>
  <c r="AB173" i="1"/>
  <c r="AS112" i="9"/>
  <c r="AS652" i="1"/>
  <c r="AS479" i="1"/>
  <c r="AS411" i="1" s="1"/>
  <c r="AS66" i="9" s="1"/>
  <c r="AS474" i="1"/>
  <c r="AS404" i="1"/>
  <c r="AR113" i="9"/>
  <c r="F221" i="1"/>
  <c r="AM661" i="1"/>
  <c r="AM658" i="1"/>
  <c r="I658" i="1"/>
  <c r="I653" i="1"/>
  <c r="BT215" i="1"/>
  <c r="BY214" i="1"/>
  <c r="BT658" i="1"/>
  <c r="K804" i="1"/>
  <c r="K502" i="1"/>
  <c r="K491" i="1"/>
  <c r="K503" i="1"/>
  <c r="BS491" i="1"/>
  <c r="BS804" i="1"/>
  <c r="BS502" i="1"/>
  <c r="BS503" i="1"/>
  <c r="AD135" i="9"/>
  <c r="AI1121" i="1"/>
  <c r="AI1156" i="1" s="1"/>
  <c r="AI720" i="1"/>
  <c r="BN994" i="1"/>
  <c r="BN995" i="1" s="1"/>
  <c r="BN971" i="1" s="1"/>
  <c r="BN722" i="1"/>
  <c r="BN444" i="1"/>
  <c r="BN448" i="1" s="1"/>
  <c r="T70" i="9"/>
  <c r="T72" i="9" s="1"/>
  <c r="T723" i="1"/>
  <c r="T740" i="1"/>
  <c r="T741" i="1" s="1"/>
  <c r="T742" i="1" s="1"/>
  <c r="T743" i="1" s="1"/>
  <c r="AX115" i="9"/>
  <c r="AZ115" i="9"/>
  <c r="AA798" i="1"/>
  <c r="AM173" i="1"/>
  <c r="AE165" i="1"/>
  <c r="AE100" i="1"/>
  <c r="AF698" i="1"/>
  <c r="AJ661" i="1"/>
  <c r="AJ698" i="1"/>
  <c r="AI698" i="1"/>
  <c r="AH698" i="1"/>
  <c r="AG698" i="1"/>
  <c r="BO64" i="9"/>
  <c r="BO668" i="1"/>
  <c r="AI175" i="1"/>
  <c r="AR764" i="1"/>
  <c r="AG798" i="1"/>
  <c r="BG803" i="1"/>
  <c r="BG491" i="1"/>
  <c r="BG503" i="1"/>
  <c r="BG502" i="1"/>
  <c r="S23" i="1"/>
  <c r="S18" i="9" s="1"/>
  <c r="S28" i="1"/>
  <c r="S1264" i="1" s="1"/>
  <c r="S22" i="1"/>
  <c r="T22" i="1"/>
  <c r="BS289" i="1"/>
  <c r="P54" i="9"/>
  <c r="P764" i="1"/>
  <c r="P988" i="1"/>
  <c r="P989" i="1" s="1"/>
  <c r="P962" i="1" s="1"/>
  <c r="P800" i="1"/>
  <c r="P412" i="1"/>
  <c r="S135" i="9"/>
  <c r="S42" i="9"/>
  <c r="U135" i="9"/>
  <c r="U42" i="9"/>
  <c r="AS698" i="1"/>
  <c r="AT661" i="1"/>
  <c r="AR698" i="1"/>
  <c r="AQ698" i="1"/>
  <c r="AP698" i="1"/>
  <c r="AT698" i="1"/>
  <c r="AJ1273" i="1"/>
  <c r="E502" i="1"/>
  <c r="AY70" i="9"/>
  <c r="AY72" i="9" s="1"/>
  <c r="AY740" i="1"/>
  <c r="AY741" i="1" s="1"/>
  <c r="AY742" i="1" s="1"/>
  <c r="AY743" i="1" s="1"/>
  <c r="AY723" i="1"/>
  <c r="U95" i="9"/>
  <c r="U92" i="9" s="1"/>
  <c r="U74" i="9"/>
  <c r="N109" i="9"/>
  <c r="N110" i="9" s="1"/>
  <c r="BC974" i="1"/>
  <c r="BC972" i="1"/>
  <c r="BB115" i="9"/>
  <c r="AJ116" i="9"/>
  <c r="AJ117" i="9" s="1"/>
  <c r="AF70" i="9"/>
  <c r="AF72" i="9" s="1"/>
  <c r="AF740" i="1"/>
  <c r="AF741" i="1" s="1"/>
  <c r="AF742" i="1" s="1"/>
  <c r="AF743" i="1" s="1"/>
  <c r="AF723" i="1"/>
  <c r="AK661" i="1"/>
  <c r="AP22" i="1"/>
  <c r="AP23" i="1"/>
  <c r="AP18" i="9" s="1"/>
  <c r="AU23" i="1"/>
  <c r="AU18" i="9" s="1"/>
  <c r="AP28" i="1"/>
  <c r="AQ22" i="1"/>
  <c r="L724" i="1"/>
  <c r="L744" i="1"/>
  <c r="L745" i="1" s="1"/>
  <c r="L746" i="1" s="1"/>
  <c r="L747" i="1" s="1"/>
  <c r="L721" i="1"/>
  <c r="Y73" i="9"/>
  <c r="Y1185" i="1"/>
  <c r="Y992" i="1"/>
  <c r="Y1274" i="1"/>
  <c r="Z1281" i="1"/>
  <c r="BN109" i="9"/>
  <c r="BN110" i="9" s="1"/>
  <c r="D994" i="1"/>
  <c r="D995" i="1" s="1"/>
  <c r="D971" i="1" s="1"/>
  <c r="D722" i="1"/>
  <c r="D444" i="1"/>
  <c r="D448" i="1" s="1"/>
  <c r="BU93" i="1"/>
  <c r="BU86" i="1"/>
  <c r="Q221" i="1"/>
  <c r="AF64" i="9"/>
  <c r="AF668" i="1"/>
  <c r="R653" i="1"/>
  <c r="R658" i="1"/>
  <c r="R661" i="1"/>
  <c r="AG19" i="1"/>
  <c r="AG31" i="9" s="1"/>
  <c r="AH113" i="9"/>
  <c r="Y436" i="1"/>
  <c r="Y442" i="1" s="1"/>
  <c r="Y433" i="1"/>
  <c r="AC135" i="9"/>
  <c r="AC42" i="9"/>
  <c r="AL491" i="1"/>
  <c r="AL503" i="1"/>
  <c r="BI698" i="1"/>
  <c r="BG698" i="1"/>
  <c r="BF698" i="1"/>
  <c r="BH698" i="1"/>
  <c r="BE698" i="1"/>
  <c r="BI661" i="1"/>
  <c r="AN219" i="1"/>
  <c r="AN221" i="1" s="1"/>
  <c r="AN238" i="1"/>
  <c r="AN218" i="1"/>
  <c r="AJ109" i="9"/>
  <c r="AJ110" i="9" s="1"/>
  <c r="BI798" i="1"/>
  <c r="BI762" i="1"/>
  <c r="AR109" i="9"/>
  <c r="AR110" i="9" s="1"/>
  <c r="BA70" i="9"/>
  <c r="BA72" i="9" s="1"/>
  <c r="BA723" i="1"/>
  <c r="BA740" i="1"/>
  <c r="BA741" i="1" s="1"/>
  <c r="BA742" i="1" s="1"/>
  <c r="BA743" i="1" s="1"/>
  <c r="BC115" i="9"/>
  <c r="BE115" i="9"/>
  <c r="BF115" i="9"/>
  <c r="BO1266" i="1"/>
  <c r="O70" i="9"/>
  <c r="O72" i="9" s="1"/>
  <c r="O740" i="1"/>
  <c r="O741" i="1" s="1"/>
  <c r="O742" i="1" s="1"/>
  <c r="O743" i="1" s="1"/>
  <c r="O723" i="1"/>
  <c r="AQ658" i="1"/>
  <c r="AQ661" i="1"/>
  <c r="AP113" i="9"/>
  <c r="G135" i="9"/>
  <c r="G42" i="9"/>
  <c r="AT994" i="1"/>
  <c r="AT995" i="1" s="1"/>
  <c r="AT971" i="1" s="1"/>
  <c r="AT722" i="1"/>
  <c r="AT444" i="1"/>
  <c r="AT448" i="1" s="1"/>
  <c r="AO70" i="9"/>
  <c r="AO72" i="9" s="1"/>
  <c r="AO740" i="1"/>
  <c r="AO741" i="1" s="1"/>
  <c r="AO742" i="1" s="1"/>
  <c r="AO743" i="1" s="1"/>
  <c r="AO723" i="1"/>
  <c r="BO311" i="1"/>
  <c r="BF205" i="1"/>
  <c r="BF201" i="1"/>
  <c r="BF200" i="1"/>
  <c r="BF203" i="1"/>
  <c r="BF202" i="1"/>
  <c r="AK200" i="1"/>
  <c r="AK198" i="1"/>
  <c r="AK202" i="1"/>
  <c r="AK201" i="1"/>
  <c r="AK203" i="1"/>
  <c r="BO139" i="9"/>
  <c r="AJ970" i="1"/>
  <c r="AJ966" i="1"/>
  <c r="AJ967" i="1"/>
  <c r="BL764" i="1"/>
  <c r="V25" i="1"/>
  <c r="V26" i="1"/>
  <c r="V19" i="9" s="1"/>
  <c r="H135" i="9"/>
  <c r="H42" i="9"/>
  <c r="BE23" i="1"/>
  <c r="BE18" i="9" s="1"/>
  <c r="BE28" i="1"/>
  <c r="BD135" i="9"/>
  <c r="BD42" i="9"/>
  <c r="T450" i="1"/>
  <c r="T455" i="1" s="1"/>
  <c r="T436" i="1"/>
  <c r="T442" i="1" s="1"/>
  <c r="T480" i="1" s="1"/>
  <c r="T433" i="1"/>
  <c r="W1273" i="1"/>
  <c r="AZ23" i="1"/>
  <c r="AZ18" i="9" s="1"/>
  <c r="AZ28" i="1"/>
  <c r="BO798" i="1"/>
  <c r="AD64" i="9"/>
  <c r="AD668" i="1"/>
  <c r="AD669" i="1" s="1"/>
  <c r="AT798" i="1"/>
  <c r="AT762" i="1"/>
  <c r="BI70" i="9"/>
  <c r="BI72" i="9" s="1"/>
  <c r="BI723" i="1"/>
  <c r="BI740" i="1"/>
  <c r="BI741" i="1" s="1"/>
  <c r="BI742" i="1" s="1"/>
  <c r="BI743" i="1" s="1"/>
  <c r="BH73" i="9"/>
  <c r="BH1185" i="1"/>
  <c r="BH992" i="1"/>
  <c r="BH805" i="1"/>
  <c r="BI1281" i="1"/>
  <c r="BH1274" i="1"/>
  <c r="AY950" i="1"/>
  <c r="AY942" i="1" s="1"/>
  <c r="AY943" i="1" s="1"/>
  <c r="BH1156" i="1"/>
  <c r="BZ1237" i="1"/>
  <c r="L764" i="1"/>
  <c r="BO135" i="9"/>
  <c r="BO42" i="9"/>
  <c r="BQ1265" i="1"/>
  <c r="BQ240" i="1"/>
  <c r="BQ241" i="1" s="1"/>
  <c r="BQ239" i="1"/>
  <c r="AD206" i="1"/>
  <c r="BF134" i="9"/>
  <c r="BF67" i="9"/>
  <c r="W26" i="1"/>
  <c r="W19" i="9" s="1"/>
  <c r="W25" i="1"/>
  <c r="X25" i="1"/>
  <c r="U64" i="9"/>
  <c r="U668" i="1"/>
  <c r="U669" i="1" s="1"/>
  <c r="AA64" i="9"/>
  <c r="AA668" i="1"/>
  <c r="AA669" i="1" s="1"/>
  <c r="AM1273" i="1"/>
  <c r="T1265" i="1"/>
  <c r="T240" i="1"/>
  <c r="T239" i="1"/>
  <c r="BB1193" i="1"/>
  <c r="F109" i="9"/>
  <c r="F110" i="9" s="1"/>
  <c r="Z109" i="9"/>
  <c r="Z110" i="9" s="1"/>
  <c r="AB764" i="1"/>
  <c r="AE221" i="1"/>
  <c r="AS11" i="1"/>
  <c r="AS27" i="9" s="1"/>
  <c r="AS10" i="1"/>
  <c r="AX11" i="1"/>
  <c r="AX27" i="9" s="1"/>
  <c r="AE149" i="1"/>
  <c r="AF118" i="1"/>
  <c r="AJ118" i="1"/>
  <c r="AM170" i="1"/>
  <c r="BH28" i="1"/>
  <c r="BJ31" i="1" s="1"/>
  <c r="BH22" i="1"/>
  <c r="AX219" i="1"/>
  <c r="AX218" i="1"/>
  <c r="AX238" i="1"/>
  <c r="AW22" i="1"/>
  <c r="M658" i="1"/>
  <c r="M653" i="1"/>
  <c r="M661" i="1"/>
  <c r="AA23" i="1"/>
  <c r="AA18" i="9" s="1"/>
  <c r="AA22" i="1"/>
  <c r="AA28" i="1"/>
  <c r="I7" i="1"/>
  <c r="H10" i="1"/>
  <c r="I10" i="1"/>
  <c r="BD55" i="9"/>
  <c r="BD136" i="9" s="1"/>
  <c r="BD406" i="1"/>
  <c r="BD65" i="9" s="1"/>
  <c r="AM798" i="1"/>
  <c r="BM70" i="9"/>
  <c r="BM72" i="9" s="1"/>
  <c r="BM740" i="1"/>
  <c r="BM741" i="1" s="1"/>
  <c r="BM742" i="1" s="1"/>
  <c r="BM743" i="1" s="1"/>
  <c r="BM723" i="1"/>
  <c r="BS962" i="1"/>
  <c r="BS965" i="1"/>
  <c r="BS963" i="1"/>
  <c r="AT116" i="9"/>
  <c r="AT117" i="9" s="1"/>
  <c r="Q1273" i="1"/>
  <c r="BS106" i="9"/>
  <c r="AN55" i="9"/>
  <c r="AN136" i="9" s="1"/>
  <c r="AN406" i="1"/>
  <c r="AN65" i="9" s="1"/>
  <c r="AB206" i="1"/>
  <c r="BB106" i="9"/>
  <c r="BA1268" i="1"/>
  <c r="AB1156" i="1"/>
  <c r="AA1266" i="1" s="1"/>
  <c r="P64" i="9"/>
  <c r="P668" i="1"/>
  <c r="P669" i="1" s="1"/>
  <c r="P1273" i="1"/>
  <c r="AX236" i="1"/>
  <c r="BC236" i="1"/>
  <c r="BQ658" i="1"/>
  <c r="BQ661" i="1"/>
  <c r="AO1265" i="1"/>
  <c r="AO239" i="1"/>
  <c r="AO240" i="1"/>
  <c r="BV521" i="1"/>
  <c r="AA162" i="1"/>
  <c r="AE48" i="1"/>
  <c r="AE162" i="1" s="1"/>
  <c r="BJ239" i="1"/>
  <c r="F20" i="9"/>
  <c r="F311" i="1"/>
  <c r="AO64" i="9"/>
  <c r="AO668" i="1"/>
  <c r="H491" i="1"/>
  <c r="H503" i="1"/>
  <c r="H502" i="1"/>
  <c r="AS436" i="1"/>
  <c r="AS442" i="1" s="1"/>
  <c r="AS480" i="1" s="1"/>
  <c r="AS433" i="1"/>
  <c r="BR173" i="1"/>
  <c r="W33" i="1"/>
  <c r="P241" i="1"/>
  <c r="BM12" i="1"/>
  <c r="BR14" i="1" s="1"/>
  <c r="BM8" i="1"/>
  <c r="W698" i="1"/>
  <c r="V698" i="1"/>
  <c r="Z653" i="1"/>
  <c r="Z654" i="1" s="1"/>
  <c r="Z698" i="1"/>
  <c r="X698" i="1"/>
  <c r="Y698" i="1"/>
  <c r="Z661" i="1"/>
  <c r="K55" i="9"/>
  <c r="K136" i="9" s="1"/>
  <c r="K406" i="1"/>
  <c r="K65" i="9" s="1"/>
  <c r="BI950" i="1"/>
  <c r="BI942" i="1" s="1"/>
  <c r="BI943" i="1" s="1"/>
  <c r="AR105" i="9"/>
  <c r="AR1256" i="1"/>
  <c r="AR1268" i="1"/>
  <c r="AR1001" i="1"/>
  <c r="AR977" i="1" s="1"/>
  <c r="AW1268" i="1"/>
  <c r="T994" i="1"/>
  <c r="T722" i="1"/>
  <c r="T444" i="1"/>
  <c r="T448" i="1" s="1"/>
  <c r="AX1192" i="1"/>
  <c r="BG64" i="9"/>
  <c r="BG668" i="1"/>
  <c r="BG1273" i="1"/>
  <c r="S206" i="1"/>
  <c r="C804" i="1"/>
  <c r="C503" i="1"/>
  <c r="C491" i="1"/>
  <c r="C502" i="1"/>
  <c r="BR135" i="9"/>
  <c r="AV1176" i="1"/>
  <c r="BH70" i="9"/>
  <c r="BH72" i="9" s="1"/>
  <c r="BH723" i="1"/>
  <c r="BH740" i="1"/>
  <c r="BH741" i="1" s="1"/>
  <c r="BH742" i="1" s="1"/>
  <c r="BH743" i="1" s="1"/>
  <c r="E116" i="9"/>
  <c r="E117" i="9" s="1"/>
  <c r="AL115" i="9"/>
  <c r="N491" i="1"/>
  <c r="N503" i="1"/>
  <c r="U963" i="1"/>
  <c r="AO965" i="1"/>
  <c r="AO962" i="1"/>
  <c r="S8" i="1"/>
  <c r="H1264" i="1"/>
  <c r="BP174" i="1"/>
  <c r="BV79" i="1"/>
  <c r="BV164" i="1" s="1"/>
  <c r="AR221" i="1"/>
  <c r="BF64" i="9"/>
  <c r="BF668" i="1"/>
  <c r="AF658" i="1"/>
  <c r="AF661" i="1"/>
  <c r="N502" i="1"/>
  <c r="AV491" i="1"/>
  <c r="AV502" i="1"/>
  <c r="AV503" i="1"/>
  <c r="L11" i="1"/>
  <c r="L27" i="9" s="1"/>
  <c r="M7" i="1"/>
  <c r="M8" i="1" s="1"/>
  <c r="L10" i="1"/>
  <c r="L8" i="1"/>
  <c r="L12" i="1"/>
  <c r="Q11" i="1"/>
  <c r="Q27" i="9" s="1"/>
  <c r="BH63" i="9"/>
  <c r="AL55" i="9"/>
  <c r="AL136" i="9" s="1"/>
  <c r="AL406" i="1"/>
  <c r="AL65" i="9" s="1"/>
  <c r="AB135" i="9"/>
  <c r="AB42" i="9"/>
  <c r="AH70" i="9"/>
  <c r="AH72" i="9" s="1"/>
  <c r="AH740" i="1"/>
  <c r="AH741" i="1" s="1"/>
  <c r="AH742" i="1" s="1"/>
  <c r="AH743" i="1" s="1"/>
  <c r="AH723" i="1"/>
  <c r="I70" i="9"/>
  <c r="I72" i="9" s="1"/>
  <c r="I740" i="1"/>
  <c r="I741" i="1" s="1"/>
  <c r="I742" i="1" s="1"/>
  <c r="I743" i="1" s="1"/>
  <c r="I723" i="1"/>
  <c r="BA722" i="1"/>
  <c r="BA444" i="1"/>
  <c r="BA448" i="1" s="1"/>
  <c r="BA994" i="1"/>
  <c r="BA1156" i="1"/>
  <c r="BP105" i="9"/>
  <c r="BP1268" i="1"/>
  <c r="BP1256" i="1"/>
  <c r="BP1001" i="1"/>
  <c r="BP977" i="1" s="1"/>
  <c r="H1266" i="1"/>
  <c r="AL798" i="1"/>
  <c r="O722" i="1"/>
  <c r="O994" i="1"/>
  <c r="O444" i="1"/>
  <c r="O448" i="1" s="1"/>
  <c r="BB70" i="9"/>
  <c r="BB72" i="9" s="1"/>
  <c r="BB723" i="1"/>
  <c r="BB740" i="1"/>
  <c r="BB741" i="1" s="1"/>
  <c r="BB742" i="1" s="1"/>
  <c r="BB743" i="1" s="1"/>
  <c r="D1265" i="1"/>
  <c r="D240" i="1"/>
  <c r="E1367" i="1"/>
  <c r="AQ113" i="9"/>
  <c r="D762" i="1"/>
  <c r="D798" i="1"/>
  <c r="D806" i="1" s="1"/>
  <c r="AY762" i="1"/>
  <c r="AY798" i="1"/>
  <c r="AZ109" i="9"/>
  <c r="AZ110" i="9" s="1"/>
  <c r="BS745" i="1"/>
  <c r="BS746" i="1" s="1"/>
  <c r="BS747" i="1" s="1"/>
  <c r="AE1278" i="1"/>
  <c r="AA994" i="1"/>
  <c r="AA722" i="1"/>
  <c r="AA444" i="1"/>
  <c r="AA448" i="1" s="1"/>
  <c r="BC1176" i="1"/>
  <c r="AO994" i="1"/>
  <c r="AO995" i="1" s="1"/>
  <c r="AO971" i="1" s="1"/>
  <c r="AO722" i="1"/>
  <c r="AO444" i="1"/>
  <c r="AO448" i="1" s="1"/>
  <c r="BF28" i="1"/>
  <c r="BF1264" i="1" s="1"/>
  <c r="BF22" i="1"/>
  <c r="BF23" i="1"/>
  <c r="BF18" i="9" s="1"/>
  <c r="AK23" i="1"/>
  <c r="AK18" i="9" s="1"/>
  <c r="AK28" i="1"/>
  <c r="AK22" i="1"/>
  <c r="AJ134" i="9"/>
  <c r="AJ94" i="9"/>
  <c r="AJ91" i="9" s="1"/>
  <c r="AJ67" i="9"/>
  <c r="AF199" i="1"/>
  <c r="AF201" i="1"/>
  <c r="AF198" i="1"/>
  <c r="AF202" i="1"/>
  <c r="AF200" i="1"/>
  <c r="AF205" i="1"/>
  <c r="AF206" i="1" s="1"/>
  <c r="AF203" i="1"/>
  <c r="AJ26" i="1"/>
  <c r="AJ19" i="9" s="1"/>
  <c r="AO26" i="1"/>
  <c r="AO19" i="9" s="1"/>
  <c r="AJ28" i="1"/>
  <c r="BL134" i="9"/>
  <c r="BL67" i="9"/>
  <c r="BE803" i="1"/>
  <c r="BE502" i="1"/>
  <c r="BE503" i="1"/>
  <c r="BE491" i="1"/>
  <c r="BU175" i="1"/>
  <c r="BP12" i="1"/>
  <c r="BE203" i="1"/>
  <c r="BE200" i="1"/>
  <c r="BE205" i="1"/>
  <c r="BE202" i="1"/>
  <c r="BE201" i="1"/>
  <c r="BN55" i="9"/>
  <c r="BN136" i="9" s="1"/>
  <c r="BN406" i="1"/>
  <c r="BN65" i="9" s="1"/>
  <c r="L1264" i="1"/>
  <c r="L197" i="1"/>
  <c r="L198" i="1"/>
  <c r="L204" i="1"/>
  <c r="L206" i="1" s="1"/>
  <c r="BH112" i="9"/>
  <c r="BH113" i="9" s="1"/>
  <c r="BH474" i="1"/>
  <c r="BH652" i="1"/>
  <c r="BH479" i="1"/>
  <c r="BH411" i="1" s="1"/>
  <c r="BH66" i="9" s="1"/>
  <c r="BH404" i="1"/>
  <c r="AY804" i="1"/>
  <c r="AY491" i="1"/>
  <c r="AY503" i="1"/>
  <c r="AY502" i="1"/>
  <c r="Q135" i="9"/>
  <c r="Q42" i="9"/>
  <c r="BN311" i="1"/>
  <c r="BS303" i="1"/>
  <c r="BS305" i="1" s="1"/>
  <c r="BS306" i="1" s="1"/>
  <c r="BS312" i="1" s="1"/>
  <c r="BS32" i="1" s="1"/>
  <c r="BS21" i="9" s="1"/>
  <c r="AD661" i="1"/>
  <c r="AD658" i="1"/>
  <c r="AD653" i="1"/>
  <c r="AZ64" i="9"/>
  <c r="AZ668" i="1"/>
  <c r="AZ1273" i="1"/>
  <c r="S798" i="1"/>
  <c r="BI994" i="1"/>
  <c r="BI995" i="1" s="1"/>
  <c r="BI971" i="1" s="1"/>
  <c r="BI806" i="1"/>
  <c r="BI722" i="1"/>
  <c r="BI444" i="1"/>
  <c r="BI448" i="1" s="1"/>
  <c r="AE798" i="1"/>
  <c r="AE806" i="1" s="1"/>
  <c r="AE807" i="1" s="1"/>
  <c r="AE996" i="1" s="1"/>
  <c r="AE997" i="1" s="1"/>
  <c r="AE762" i="1"/>
  <c r="K564" i="1"/>
  <c r="K569" i="1"/>
  <c r="AN1270" i="1"/>
  <c r="L495" i="1"/>
  <c r="L1259" i="1"/>
  <c r="AA11" i="1"/>
  <c r="AA27" i="9" s="1"/>
  <c r="AB7" i="1"/>
  <c r="AA10" i="1"/>
  <c r="AA8" i="1"/>
  <c r="AA12" i="1"/>
  <c r="AD202" i="1"/>
  <c r="AD198" i="1"/>
  <c r="AD201" i="1"/>
  <c r="AD203" i="1"/>
  <c r="AD200" i="1"/>
  <c r="BM226" i="1"/>
  <c r="BR226" i="1"/>
  <c r="T62" i="9"/>
  <c r="T1271" i="1"/>
  <c r="U55" i="9"/>
  <c r="U136" i="9" s="1"/>
  <c r="U406" i="1"/>
  <c r="U65" i="9" s="1"/>
  <c r="AA55" i="9"/>
  <c r="AA136" i="9" s="1"/>
  <c r="AA406" i="1"/>
  <c r="AA65" i="9" s="1"/>
  <c r="AH1273" i="1"/>
  <c r="I798" i="1"/>
  <c r="BK803" i="1"/>
  <c r="BK491" i="1"/>
  <c r="BK503" i="1"/>
  <c r="BK502" i="1"/>
  <c r="AH203" i="1"/>
  <c r="AH198" i="1"/>
  <c r="AH201" i="1"/>
  <c r="AH200" i="1"/>
  <c r="AH202" i="1"/>
  <c r="AH205" i="1"/>
  <c r="AH206" i="1" s="1"/>
  <c r="BQ70" i="9"/>
  <c r="BQ72" i="9" s="1"/>
  <c r="BQ723" i="1"/>
  <c r="BQ740" i="1"/>
  <c r="BQ741" i="1" s="1"/>
  <c r="BQ742" i="1" s="1"/>
  <c r="BQ743" i="1" s="1"/>
  <c r="BB221" i="1"/>
  <c r="AN206" i="1"/>
  <c r="BM21" i="1"/>
  <c r="BM194" i="1"/>
  <c r="BM183" i="1"/>
  <c r="BM16" i="1" s="1"/>
  <c r="T26" i="1"/>
  <c r="T19" i="9" s="1"/>
  <c r="T25" i="1"/>
  <c r="Y26" i="1"/>
  <c r="Y19" i="9" s="1"/>
  <c r="T28" i="1"/>
  <c r="T1264" i="1" s="1"/>
  <c r="BH204" i="1"/>
  <c r="BH206" i="1" s="1"/>
  <c r="AW33" i="1"/>
  <c r="AW38" i="1"/>
  <c r="AW35" i="1" s="1"/>
  <c r="AW32" i="1" s="1"/>
  <c r="AP798" i="1"/>
  <c r="M70" i="9"/>
  <c r="M72" i="9" s="1"/>
  <c r="M723" i="1"/>
  <c r="M740" i="1"/>
  <c r="M741" i="1" s="1"/>
  <c r="M742" i="1" s="1"/>
  <c r="M743" i="1" s="1"/>
  <c r="BM994" i="1"/>
  <c r="BM995" i="1" s="1"/>
  <c r="BM971" i="1" s="1"/>
  <c r="BM722" i="1"/>
  <c r="BM444" i="1"/>
  <c r="BM448" i="1" s="1"/>
  <c r="BX179" i="1"/>
  <c r="AQ1268" i="1"/>
  <c r="AN64" i="9"/>
  <c r="AN668" i="1"/>
  <c r="AI1265" i="1"/>
  <c r="BN54" i="9"/>
  <c r="BN988" i="1"/>
  <c r="BN989" i="1" s="1"/>
  <c r="BN962" i="1" s="1"/>
  <c r="BN800" i="1"/>
  <c r="BN764" i="1"/>
  <c r="BN412" i="1"/>
  <c r="BM54" i="9"/>
  <c r="BM800" i="1"/>
  <c r="BM988" i="1"/>
  <c r="BM989" i="1" s="1"/>
  <c r="BM412" i="1"/>
  <c r="AG106" i="9"/>
  <c r="CA88" i="1"/>
  <c r="BZ180" i="1"/>
  <c r="BZ91" i="1"/>
  <c r="BA113" i="9"/>
  <c r="K2" i="9"/>
  <c r="K5" i="13"/>
  <c r="K5" i="11"/>
  <c r="L5" i="1"/>
  <c r="P5" i="1"/>
  <c r="BJ38" i="1"/>
  <c r="BJ35" i="1" s="1"/>
  <c r="AB25" i="1"/>
  <c r="AB26" i="1"/>
  <c r="AB19" i="9" s="1"/>
  <c r="AG26" i="1"/>
  <c r="AG19" i="9" s="1"/>
  <c r="AP241" i="1"/>
  <c r="BS970" i="1"/>
  <c r="BS966" i="1"/>
  <c r="BS967" i="1"/>
  <c r="AD159" i="1"/>
  <c r="AH798" i="1"/>
  <c r="U798" i="1"/>
  <c r="U806" i="1" s="1"/>
  <c r="U762" i="1"/>
  <c r="BH980" i="1"/>
  <c r="BG70" i="9"/>
  <c r="BG72" i="9" s="1"/>
  <c r="BG740" i="1"/>
  <c r="BG741" i="1" s="1"/>
  <c r="BG742" i="1" s="1"/>
  <c r="BG743" i="1" s="1"/>
  <c r="BG723" i="1"/>
  <c r="BD105" i="9"/>
  <c r="BI106" i="9" s="1"/>
  <c r="BD1256" i="1"/>
  <c r="BD1268" i="1"/>
  <c r="BD1001" i="1"/>
  <c r="BD977" i="1" s="1"/>
  <c r="H22" i="1"/>
  <c r="J219" i="1"/>
  <c r="O221" i="1" s="1"/>
  <c r="J238" i="1"/>
  <c r="AB171" i="1"/>
  <c r="BS55" i="9"/>
  <c r="BS136" i="9" s="1"/>
  <c r="BS406" i="1"/>
  <c r="BS65" i="9" s="1"/>
  <c r="AK798" i="1"/>
  <c r="E64" i="9"/>
  <c r="E668" i="1"/>
  <c r="AC173" i="1"/>
  <c r="AE966" i="1"/>
  <c r="AE970" i="1"/>
  <c r="AE967" i="1"/>
  <c r="AE969" i="1"/>
  <c r="N198" i="1"/>
  <c r="N205" i="1"/>
  <c r="N206" i="1" s="1"/>
  <c r="N197" i="1"/>
  <c r="AD226" i="1"/>
  <c r="AX21" i="1"/>
  <c r="AZ22" i="1" s="1"/>
  <c r="AX183" i="1"/>
  <c r="AX16" i="1" s="1"/>
  <c r="AX194" i="1"/>
  <c r="AX204" i="1" s="1"/>
  <c r="G64" i="9"/>
  <c r="G668" i="1"/>
  <c r="G669" i="1" s="1"/>
  <c r="W221" i="1"/>
  <c r="BR62" i="9"/>
  <c r="BR1271" i="1"/>
  <c r="AN60" i="9"/>
  <c r="BC436" i="1"/>
  <c r="BC442" i="1" s="1"/>
  <c r="BC480" i="1" s="1"/>
  <c r="BC433" i="1"/>
  <c r="AY994" i="1"/>
  <c r="AY995" i="1" s="1"/>
  <c r="AY971" i="1" s="1"/>
  <c r="AY722" i="1"/>
  <c r="AY444" i="1"/>
  <c r="AY448" i="1" s="1"/>
  <c r="AU798" i="1"/>
  <c r="CA1241" i="1"/>
  <c r="H1091" i="1"/>
  <c r="G1092" i="1"/>
  <c r="AF994" i="1"/>
  <c r="AF722" i="1"/>
  <c r="AF444" i="1"/>
  <c r="AF448" i="1" s="1"/>
  <c r="BB1264" i="1"/>
  <c r="BB203" i="1"/>
  <c r="BB200" i="1"/>
  <c r="BB205" i="1"/>
  <c r="BB206" i="1" s="1"/>
  <c r="BB202" i="1"/>
  <c r="BB201" i="1"/>
  <c r="AK491" i="1"/>
  <c r="AK503" i="1"/>
  <c r="BD64" i="9"/>
  <c r="BD668" i="1"/>
  <c r="AL502" i="1"/>
  <c r="AD1265" i="1"/>
  <c r="AD240" i="1"/>
  <c r="AI241" i="1" s="1"/>
  <c r="BN135" i="9"/>
  <c r="BN42" i="9"/>
  <c r="P55" i="9"/>
  <c r="P136" i="9" s="1"/>
  <c r="P406" i="1"/>
  <c r="P65" i="9" s="1"/>
  <c r="AW19" i="1"/>
  <c r="AW31" i="9" s="1"/>
  <c r="AW17" i="1"/>
  <c r="AW29" i="9" s="1"/>
  <c r="BM289" i="1"/>
  <c r="BM283" i="1"/>
  <c r="BM284" i="1" s="1"/>
  <c r="BM290" i="1" s="1"/>
  <c r="F3" i="13"/>
  <c r="F4" i="13"/>
  <c r="BT205" i="1"/>
  <c r="BT206" i="1" s="1"/>
  <c r="BT203" i="1"/>
  <c r="BT201" i="1"/>
  <c r="BT202" i="1"/>
  <c r="BT200" i="1"/>
  <c r="AG1273" i="1"/>
  <c r="AL28" i="1"/>
  <c r="AL1264" i="1" s="1"/>
  <c r="AL22" i="1"/>
  <c r="AL23" i="1"/>
  <c r="AL18" i="9" s="1"/>
  <c r="AQ23" i="1"/>
  <c r="AQ18" i="9" s="1"/>
  <c r="AM22" i="1"/>
  <c r="G1265" i="1"/>
  <c r="G240" i="1"/>
  <c r="BQ491" i="1"/>
  <c r="BQ502" i="1"/>
  <c r="BQ803" i="1"/>
  <c r="BQ503" i="1"/>
  <c r="W110" i="9"/>
  <c r="BL70" i="9"/>
  <c r="BL72" i="9" s="1"/>
  <c r="BL740" i="1"/>
  <c r="BL741" i="1" s="1"/>
  <c r="BL742" i="1" s="1"/>
  <c r="BL743" i="1" s="1"/>
  <c r="BL723" i="1"/>
  <c r="AE167" i="1"/>
  <c r="AE171" i="1" s="1"/>
  <c r="AB28" i="1"/>
  <c r="Y55" i="9"/>
  <c r="Y136" i="9" s="1"/>
  <c r="Y406" i="1"/>
  <c r="Y65" i="9" s="1"/>
  <c r="AO55" i="9"/>
  <c r="AO136" i="9" s="1"/>
  <c r="AO406" i="1"/>
  <c r="AO65" i="9" s="1"/>
  <c r="H653" i="1"/>
  <c r="H658" i="1"/>
  <c r="BC26" i="1"/>
  <c r="BC19" i="9" s="1"/>
  <c r="BC25" i="1"/>
  <c r="BE25" i="1"/>
  <c r="AM26" i="1"/>
  <c r="AM19" i="9" s="1"/>
  <c r="AM25" i="1"/>
  <c r="AR26" i="1"/>
  <c r="AR19" i="9" s="1"/>
  <c r="AN25" i="1"/>
  <c r="AM28" i="1"/>
  <c r="AM1264" i="1" s="1"/>
  <c r="AE1264" i="1"/>
  <c r="P8" i="1"/>
  <c r="U7" i="1"/>
  <c r="U8" i="1" s="1"/>
  <c r="Q7" i="1"/>
  <c r="P11" i="1"/>
  <c r="P27" i="9" s="1"/>
  <c r="W12" i="1"/>
  <c r="W10" i="1"/>
  <c r="W8" i="1"/>
  <c r="W11" i="1"/>
  <c r="W27" i="9" s="1"/>
  <c r="X7" i="1"/>
  <c r="W491" i="1"/>
  <c r="W503" i="1"/>
  <c r="W502" i="1"/>
  <c r="S491" i="1"/>
  <c r="S503" i="1"/>
  <c r="AC64" i="9"/>
  <c r="AC668" i="1"/>
  <c r="AC669" i="1" s="1"/>
  <c r="BJ64" i="9"/>
  <c r="BJ668" i="1"/>
  <c r="AB653" i="1"/>
  <c r="AB661" i="1"/>
  <c r="AB658" i="1"/>
  <c r="AW1265" i="1"/>
  <c r="AW239" i="1"/>
  <c r="AW240" i="1"/>
  <c r="AW241" i="1" s="1"/>
  <c r="AJ135" i="9"/>
  <c r="AJ42" i="9"/>
  <c r="AM135" i="9"/>
  <c r="AM42" i="9"/>
  <c r="BG994" i="1"/>
  <c r="BG722" i="1"/>
  <c r="BG444" i="1"/>
  <c r="BG448" i="1" s="1"/>
  <c r="BG1156" i="1"/>
  <c r="BL1266" i="1" s="1"/>
  <c r="S70" i="9"/>
  <c r="S72" i="9" s="1"/>
  <c r="S740" i="1"/>
  <c r="S741" i="1" s="1"/>
  <c r="S742" i="1" s="1"/>
  <c r="S743" i="1" s="1"/>
  <c r="S723" i="1"/>
  <c r="AE52" i="1"/>
  <c r="AG135" i="9"/>
  <c r="AG42" i="9"/>
  <c r="BF171" i="1"/>
  <c r="BF174" i="1"/>
  <c r="BF173" i="1"/>
  <c r="BP19" i="1"/>
  <c r="BP31" i="9" s="1"/>
  <c r="AS604" i="1"/>
  <c r="AS607" i="1"/>
  <c r="J60" i="9"/>
  <c r="BV181" i="1"/>
  <c r="BV111" i="1"/>
  <c r="BW108" i="1"/>
  <c r="AN54" i="9"/>
  <c r="AN988" i="1"/>
  <c r="AN412" i="1"/>
  <c r="AS201" i="1"/>
  <c r="J698" i="1"/>
  <c r="K698" i="1"/>
  <c r="H698" i="1"/>
  <c r="K653" i="1"/>
  <c r="K654" i="1" s="1"/>
  <c r="I698" i="1"/>
  <c r="G698" i="1"/>
  <c r="K661" i="1"/>
  <c r="AK1273" i="1"/>
  <c r="BQ698" i="1"/>
  <c r="BP698" i="1"/>
  <c r="BS661" i="1"/>
  <c r="BO698" i="1"/>
  <c r="BS698" i="1"/>
  <c r="BR698" i="1"/>
  <c r="BN205" i="1"/>
  <c r="BN206" i="1" s="1"/>
  <c r="BN201" i="1"/>
  <c r="BN200" i="1"/>
  <c r="BN203" i="1"/>
  <c r="BN202" i="1"/>
  <c r="AK480" i="1"/>
  <c r="AO1272" i="1"/>
  <c r="BB55" i="9"/>
  <c r="BB136" i="9" s="1"/>
  <c r="BB406" i="1"/>
  <c r="BB65" i="9" s="1"/>
  <c r="BD950" i="1"/>
  <c r="BD942" i="1" s="1"/>
  <c r="BD943" i="1" s="1"/>
  <c r="H70" i="9"/>
  <c r="H72" i="9" s="1"/>
  <c r="H740" i="1"/>
  <c r="H741" i="1" s="1"/>
  <c r="H742" i="1" s="1"/>
  <c r="H743" i="1" s="1"/>
  <c r="H723" i="1"/>
  <c r="BC135" i="9"/>
  <c r="BI938" i="1"/>
  <c r="BI937" i="1"/>
  <c r="BI934" i="1"/>
  <c r="Z70" i="9"/>
  <c r="Z72" i="9" s="1"/>
  <c r="Z740" i="1"/>
  <c r="Z741" i="1" s="1"/>
  <c r="Z742" i="1" s="1"/>
  <c r="Z743" i="1" s="1"/>
  <c r="Z723" i="1"/>
  <c r="AR744" i="1"/>
  <c r="AR745" i="1" s="1"/>
  <c r="AR746" i="1" s="1"/>
  <c r="AR747" i="1" s="1"/>
  <c r="AR721" i="1"/>
  <c r="AR724" i="1"/>
  <c r="BA115" i="9"/>
  <c r="BD70" i="9"/>
  <c r="BD72" i="9" s="1"/>
  <c r="BD723" i="1"/>
  <c r="BD740" i="1"/>
  <c r="BD741" i="1" s="1"/>
  <c r="BD742" i="1" s="1"/>
  <c r="BD743" i="1" s="1"/>
  <c r="AC159" i="1"/>
  <c r="E411" i="1"/>
  <c r="E66" i="9" s="1"/>
  <c r="E480" i="1"/>
  <c r="BK19" i="1"/>
  <c r="BK31" i="9" s="1"/>
  <c r="AV174" i="1"/>
  <c r="AV171" i="1"/>
  <c r="AO38" i="1"/>
  <c r="AO35" i="1" s="1"/>
  <c r="X23" i="1"/>
  <c r="X18" i="9" s="1"/>
  <c r="BO55" i="9"/>
  <c r="BO136" i="9" s="1"/>
  <c r="BO406" i="1"/>
  <c r="BO65" i="9" s="1"/>
  <c r="U26" i="1"/>
  <c r="U19" i="9" s="1"/>
  <c r="Z26" i="1"/>
  <c r="Z19" i="9" s="1"/>
  <c r="AR1264" i="1"/>
  <c r="BG55" i="9"/>
  <c r="BG136" i="9" s="1"/>
  <c r="BG406" i="1"/>
  <c r="BG65" i="9" s="1"/>
  <c r="S197" i="1"/>
  <c r="S198" i="1"/>
  <c r="G480" i="1"/>
  <c r="G411" i="1"/>
  <c r="W1265" i="1"/>
  <c r="W240" i="1"/>
  <c r="W239" i="1"/>
  <c r="U1273" i="1"/>
  <c r="AV109" i="9"/>
  <c r="AV110" i="9" s="1"/>
  <c r="AH109" i="9"/>
  <c r="P798" i="1"/>
  <c r="P806" i="1" s="1"/>
  <c r="P762" i="1"/>
  <c r="AU109" i="9"/>
  <c r="AU110" i="9" s="1"/>
  <c r="BH994" i="1"/>
  <c r="BH722" i="1"/>
  <c r="BH444" i="1"/>
  <c r="BH448" i="1" s="1"/>
  <c r="BC101" i="9"/>
  <c r="BF101" i="9"/>
  <c r="AO1156" i="1"/>
  <c r="AE1156" i="1"/>
  <c r="AE1266" i="1" s="1"/>
  <c r="BR1121" i="1"/>
  <c r="BR720" i="1"/>
  <c r="Y109" i="9"/>
  <c r="Y110" i="9" s="1"/>
  <c r="BT1156" i="1"/>
  <c r="AJ1277" i="1"/>
  <c r="AW1273" i="1"/>
  <c r="AE965" i="1"/>
  <c r="AE962" i="1"/>
  <c r="AE963" i="1"/>
  <c r="BD480" i="1"/>
  <c r="BD1272" i="1"/>
  <c r="V491" i="1"/>
  <c r="V503" i="1"/>
  <c r="L135" i="9"/>
  <c r="L42" i="9"/>
  <c r="P1278" i="1"/>
  <c r="BS109" i="9"/>
  <c r="BS110" i="9" s="1"/>
  <c r="Y1270" i="1"/>
  <c r="AV106" i="9"/>
  <c r="AK109" i="9"/>
  <c r="AK110" i="9" s="1"/>
  <c r="AK205" i="1"/>
  <c r="AK206" i="1" s="1"/>
  <c r="BF803" i="1"/>
  <c r="BF503" i="1"/>
  <c r="BF491" i="1"/>
  <c r="BF502" i="1"/>
  <c r="BS38" i="1"/>
  <c r="BS35" i="1" s="1"/>
  <c r="AF113" i="9"/>
  <c r="BK38" i="1"/>
  <c r="BK35" i="1" s="1"/>
  <c r="BK31" i="1"/>
  <c r="J112" i="9"/>
  <c r="N113" i="9" s="1"/>
  <c r="J652" i="1"/>
  <c r="J479" i="1"/>
  <c r="J404" i="1"/>
  <c r="J474" i="1"/>
  <c r="BI480" i="1"/>
  <c r="AV64" i="9"/>
  <c r="AV668" i="1"/>
  <c r="T60" i="9"/>
  <c r="T39" i="9"/>
  <c r="T63" i="9"/>
  <c r="BC1265" i="1"/>
  <c r="BC240" i="1"/>
  <c r="BD23" i="1"/>
  <c r="BD18" i="9" s="1"/>
  <c r="BD28" i="1"/>
  <c r="BA135" i="9"/>
  <c r="BA42" i="9"/>
  <c r="AU993" i="1"/>
  <c r="AL661" i="1"/>
  <c r="AL658" i="1"/>
  <c r="Q70" i="9"/>
  <c r="Q72" i="9" s="1"/>
  <c r="Q740" i="1"/>
  <c r="Q741" i="1" s="1"/>
  <c r="Q742" i="1" s="1"/>
  <c r="Q743" i="1" s="1"/>
  <c r="Q723" i="1"/>
  <c r="AH994" i="1"/>
  <c r="AH722" i="1"/>
  <c r="AH444" i="1"/>
  <c r="AH448" i="1" s="1"/>
  <c r="I994" i="1"/>
  <c r="I722" i="1"/>
  <c r="I444" i="1"/>
  <c r="I448" i="1" s="1"/>
  <c r="J70" i="9"/>
  <c r="J72" i="9" s="1"/>
  <c r="J740" i="1"/>
  <c r="J741" i="1" s="1"/>
  <c r="J742" i="1" s="1"/>
  <c r="J743" i="1" s="1"/>
  <c r="J723" i="1"/>
  <c r="AZ1156" i="1"/>
  <c r="BG105" i="9"/>
  <c r="BG1256" i="1"/>
  <c r="BG1268" i="1"/>
  <c r="BG1001" i="1"/>
  <c r="BG977" i="1" s="1"/>
  <c r="BL1268" i="1"/>
  <c r="AI972" i="1"/>
  <c r="AI974" i="1"/>
  <c r="R70" i="9"/>
  <c r="R72" i="9" s="1"/>
  <c r="R740" i="1"/>
  <c r="R741" i="1" s="1"/>
  <c r="R742" i="1" s="1"/>
  <c r="R743" i="1" s="1"/>
  <c r="R723" i="1"/>
  <c r="X116" i="9"/>
  <c r="F70" i="9"/>
  <c r="F72" i="9" s="1"/>
  <c r="F723" i="1"/>
  <c r="F740" i="1"/>
  <c r="F741" i="1" s="1"/>
  <c r="F742" i="1" s="1"/>
  <c r="F743" i="1" s="1"/>
  <c r="BB994" i="1"/>
  <c r="BB722" i="1"/>
  <c r="BB444" i="1"/>
  <c r="BB448" i="1" s="1"/>
  <c r="BI1273" i="1"/>
  <c r="AS109" i="9"/>
  <c r="AS110" i="9" s="1"/>
  <c r="X70" i="9"/>
  <c r="X72" i="9" s="1"/>
  <c r="X740" i="1"/>
  <c r="X741" i="1" s="1"/>
  <c r="X742" i="1" s="1"/>
  <c r="X743" i="1" s="1"/>
  <c r="X723" i="1"/>
  <c r="AM70" i="9"/>
  <c r="AM72" i="9" s="1"/>
  <c r="AM740" i="1"/>
  <c r="AM741" i="1" s="1"/>
  <c r="AM742" i="1" s="1"/>
  <c r="AM743" i="1" s="1"/>
  <c r="AM723" i="1"/>
  <c r="BX73" i="9"/>
  <c r="BX1185" i="1"/>
  <c r="BX992" i="1"/>
  <c r="BX993" i="1" s="1"/>
  <c r="F64" i="9"/>
  <c r="F668" i="1"/>
  <c r="BF204" i="1"/>
  <c r="V109" i="9"/>
  <c r="V110" i="9" s="1"/>
  <c r="AL10" i="1"/>
  <c r="BE764" i="1"/>
  <c r="AF22" i="1"/>
  <c r="AF23" i="1"/>
  <c r="AF18" i="9" s="1"/>
  <c r="AF28" i="1"/>
  <c r="AF1264" i="1" s="1"/>
  <c r="BD241" i="1"/>
  <c r="X1273" i="1"/>
  <c r="BE64" i="9"/>
  <c r="BE668" i="1"/>
  <c r="V28" i="1"/>
  <c r="W31" i="1" s="1"/>
  <c r="V22" i="1"/>
  <c r="V23" i="1"/>
  <c r="V18" i="9" s="1"/>
  <c r="BC173" i="1"/>
  <c r="BC172" i="1"/>
  <c r="BC174" i="1"/>
  <c r="AU10" i="1"/>
  <c r="BE204" i="1"/>
  <c r="BE206" i="1" s="1"/>
  <c r="BN64" i="9"/>
  <c r="BN668" i="1"/>
  <c r="BH604" i="1"/>
  <c r="BH607" i="1"/>
  <c r="AY64" i="9"/>
  <c r="AY668" i="1"/>
  <c r="AZ203" i="1"/>
  <c r="AZ202" i="1"/>
  <c r="AZ205" i="1"/>
  <c r="AZ206" i="1" s="1"/>
  <c r="AZ200" i="1"/>
  <c r="AZ201" i="1"/>
  <c r="AP1273" i="1"/>
  <c r="BZ235" i="1"/>
  <c r="BF798" i="1"/>
  <c r="AY33" i="1"/>
  <c r="AY38" i="1"/>
  <c r="AY35" i="1" s="1"/>
  <c r="AY1264" i="1"/>
  <c r="BH436" i="1"/>
  <c r="BH442" i="1" s="1"/>
  <c r="BH480" i="1" s="1"/>
  <c r="BH433" i="1"/>
  <c r="AZ658" i="1"/>
  <c r="AZ661" i="1"/>
  <c r="AJ1272" i="1"/>
  <c r="BH1270" i="1"/>
  <c r="BP721" i="1"/>
  <c r="BP724" i="1"/>
  <c r="BP744" i="1"/>
  <c r="BP745" i="1" s="1"/>
  <c r="BP746" i="1" s="1"/>
  <c r="BP747" i="1" s="1"/>
  <c r="P1156" i="1"/>
  <c r="AL764" i="1"/>
  <c r="L134" i="9"/>
  <c r="L67" i="9"/>
  <c r="I31" i="1"/>
  <c r="I1264" i="1"/>
  <c r="BL201" i="1"/>
  <c r="BL205" i="1"/>
  <c r="BL206" i="1" s="1"/>
  <c r="BL203" i="1"/>
  <c r="BL202" i="1"/>
  <c r="BL200" i="1"/>
  <c r="BE135" i="9"/>
  <c r="BE42" i="9"/>
  <c r="J159" i="1"/>
  <c r="AH135" i="9"/>
  <c r="AH42" i="9"/>
  <c r="U698" i="1"/>
  <c r="U653" i="1"/>
  <c r="U654" i="1" s="1"/>
  <c r="S698" i="1"/>
  <c r="U661" i="1"/>
  <c r="R698" i="1"/>
  <c r="Q698" i="1"/>
  <c r="T698" i="1"/>
  <c r="Q205" i="1"/>
  <c r="Q197" i="1"/>
  <c r="Q198" i="1"/>
  <c r="AA661" i="1"/>
  <c r="AA658" i="1"/>
  <c r="AA653" i="1"/>
  <c r="BJ798" i="1"/>
  <c r="BJ764" i="1"/>
  <c r="BK64" i="9"/>
  <c r="BK668" i="1"/>
  <c r="BK1273" i="1"/>
  <c r="AH22" i="1"/>
  <c r="AH28" i="1"/>
  <c r="AH23" i="1"/>
  <c r="AH18" i="9" s="1"/>
  <c r="AM23" i="1"/>
  <c r="AM18" i="9" s="1"/>
  <c r="BQ994" i="1"/>
  <c r="BQ722" i="1"/>
  <c r="BQ444" i="1"/>
  <c r="BQ448" i="1" s="1"/>
  <c r="BQ1156" i="1"/>
  <c r="BP1266" i="1" s="1"/>
  <c r="BX1226" i="1"/>
  <c r="Z75" i="11"/>
  <c r="AN200" i="1"/>
  <c r="AN205" i="1"/>
  <c r="AN203" i="1"/>
  <c r="AN202" i="1"/>
  <c r="AN198" i="1"/>
  <c r="AN201" i="1"/>
  <c r="AN199" i="1"/>
  <c r="AR10" i="1"/>
  <c r="AR11" i="1"/>
  <c r="AR27" i="9" s="1"/>
  <c r="AS7" i="1"/>
  <c r="AS12" i="1" s="1"/>
  <c r="AR12" i="1"/>
  <c r="AR8" i="1"/>
  <c r="T205" i="1"/>
  <c r="BH17" i="1"/>
  <c r="BH29" i="9" s="1"/>
  <c r="AS215" i="1"/>
  <c r="AS219" i="1"/>
  <c r="AS218" i="1"/>
  <c r="AS238" i="1"/>
  <c r="I135" i="9"/>
  <c r="I42" i="9"/>
  <c r="M491" i="1"/>
  <c r="M502" i="1"/>
  <c r="M503" i="1"/>
  <c r="AA202" i="1"/>
  <c r="AA198" i="1"/>
  <c r="AA203" i="1"/>
  <c r="AA199" i="1"/>
  <c r="AA205" i="1"/>
  <c r="AA206" i="1" s="1"/>
  <c r="AA200" i="1"/>
  <c r="AA201" i="1"/>
  <c r="AM1265" i="1"/>
  <c r="AM240" i="1"/>
  <c r="AM241" i="1" s="1"/>
  <c r="AM239" i="1"/>
  <c r="BA698" i="1"/>
  <c r="BD698" i="1"/>
  <c r="BC698" i="1"/>
  <c r="AZ698" i="1"/>
  <c r="BB698" i="1"/>
  <c r="BD661" i="1"/>
  <c r="BB109" i="9"/>
  <c r="BB110" i="9" s="1"/>
  <c r="AJ969" i="1"/>
  <c r="M722" i="1"/>
  <c r="M994" i="1"/>
  <c r="M444" i="1"/>
  <c r="M448" i="1" s="1"/>
  <c r="AM1176" i="1"/>
  <c r="AN1156" i="1"/>
  <c r="M991" i="1"/>
  <c r="AS1268" i="1"/>
  <c r="BA175" i="1"/>
  <c r="AI1268" i="1"/>
  <c r="BA658" i="1"/>
  <c r="BA661" i="1"/>
  <c r="D60" i="9"/>
  <c r="L33" i="1"/>
  <c r="L31" i="1"/>
  <c r="BQ55" i="9"/>
  <c r="BQ136" i="9" s="1"/>
  <c r="BQ406" i="1"/>
  <c r="BQ65" i="9" s="1"/>
  <c r="BS798" i="1"/>
  <c r="BS762" i="1"/>
  <c r="H55" i="9"/>
  <c r="H136" i="9" s="1"/>
  <c r="H406" i="1"/>
  <c r="H65" i="9" s="1"/>
  <c r="AY135" i="9"/>
  <c r="AY42" i="9"/>
  <c r="BJ803" i="1"/>
  <c r="BJ491" i="1"/>
  <c r="BJ503" i="1"/>
  <c r="AJ798" i="1"/>
  <c r="AJ806" i="1" s="1"/>
  <c r="AJ807" i="1" s="1"/>
  <c r="AJ996" i="1" s="1"/>
  <c r="AJ997" i="1" s="1"/>
  <c r="AJ762" i="1"/>
  <c r="AZ798" i="1"/>
  <c r="AP70" i="9"/>
  <c r="AP72" i="9" s="1"/>
  <c r="AP740" i="1"/>
  <c r="AP741" i="1" s="1"/>
  <c r="AP742" i="1" s="1"/>
  <c r="AP743" i="1" s="1"/>
  <c r="AP723" i="1"/>
  <c r="AR502" i="1"/>
  <c r="AR491" i="1"/>
  <c r="AR503" i="1"/>
  <c r="I55" i="9"/>
  <c r="I136" i="9" s="1"/>
  <c r="I406" i="1"/>
  <c r="I65" i="9" s="1"/>
  <c r="Y205" i="1"/>
  <c r="Y197" i="1"/>
  <c r="Y198" i="1"/>
  <c r="BR202" i="1"/>
  <c r="BR200" i="1"/>
  <c r="BR205" i="1"/>
  <c r="BR206" i="1" s="1"/>
  <c r="BR203" i="1"/>
  <c r="K480" i="1"/>
  <c r="K411" i="1"/>
  <c r="K66" i="9" s="1"/>
  <c r="V135" i="9"/>
  <c r="V42" i="9"/>
  <c r="AJ804" i="1"/>
  <c r="AJ491" i="1"/>
  <c r="AJ503" i="1"/>
  <c r="AJ502" i="1"/>
  <c r="AX215" i="1"/>
  <c r="BC215" i="1"/>
  <c r="AT491" i="1"/>
  <c r="AT804" i="1"/>
  <c r="AT503" i="1"/>
  <c r="AC798" i="1"/>
  <c r="BS135" i="9"/>
  <c r="BS42" i="9"/>
  <c r="P116" i="9"/>
  <c r="P117" i="9" s="1"/>
  <c r="E762" i="1"/>
  <c r="E798" i="1"/>
  <c r="E806" i="1" s="1"/>
  <c r="C70" i="9"/>
  <c r="C72" i="9" s="1"/>
  <c r="C740" i="1"/>
  <c r="C741" i="1" s="1"/>
  <c r="C742" i="1" s="1"/>
  <c r="C743" i="1" s="1"/>
  <c r="C723" i="1"/>
  <c r="BP76" i="9"/>
  <c r="BP82" i="9" s="1"/>
  <c r="BP139" i="9" s="1"/>
  <c r="AO134" i="9"/>
  <c r="AO94" i="9"/>
  <c r="AO91" i="9" s="1"/>
  <c r="AO67" i="9"/>
  <c r="AW658" i="1"/>
  <c r="AW661" i="1"/>
  <c r="BL239" i="1"/>
  <c r="BS1273" i="1"/>
  <c r="BM135" i="9"/>
  <c r="T604" i="1"/>
  <c r="T607" i="1"/>
  <c r="T599" i="1"/>
  <c r="T600" i="1" s="1"/>
  <c r="Q55" i="9"/>
  <c r="Q136" i="9" s="1"/>
  <c r="Q406" i="1"/>
  <c r="Q65" i="9" s="1"/>
  <c r="AG1264" i="1"/>
  <c r="AG199" i="1"/>
  <c r="AG203" i="1"/>
  <c r="AG200" i="1"/>
  <c r="AG201" i="1"/>
  <c r="AG202" i="1"/>
  <c r="AG205" i="1"/>
  <c r="AG206" i="1" s="1"/>
  <c r="AG198" i="1"/>
  <c r="K135" i="9"/>
  <c r="K42" i="9"/>
  <c r="AE70" i="9"/>
  <c r="AE72" i="9" s="1"/>
  <c r="AE740" i="1"/>
  <c r="AE741" i="1" s="1"/>
  <c r="AE742" i="1" s="1"/>
  <c r="AE743" i="1" s="1"/>
  <c r="AE723" i="1"/>
  <c r="BP1259" i="1"/>
  <c r="BP495" i="1"/>
  <c r="M698" i="1"/>
  <c r="N698" i="1"/>
  <c r="L698" i="1"/>
  <c r="P698" i="1"/>
  <c r="O698" i="1"/>
  <c r="P661" i="1"/>
  <c r="P653" i="1"/>
  <c r="P654" i="1" s="1"/>
  <c r="M25" i="1"/>
  <c r="M26" i="1"/>
  <c r="M19" i="9" s="1"/>
  <c r="R26" i="1"/>
  <c r="R19" i="9" s="1"/>
  <c r="C238" i="1"/>
  <c r="C219" i="1"/>
  <c r="D221" i="1" s="1"/>
  <c r="F3" i="11"/>
  <c r="F4" i="11"/>
  <c r="AI60" i="9"/>
  <c r="BC980" i="1"/>
  <c r="AF135" i="9"/>
  <c r="AF42" i="9"/>
  <c r="F1264" i="1"/>
  <c r="F205" i="1"/>
  <c r="F206" i="1" s="1"/>
  <c r="F198" i="1"/>
  <c r="F197" i="1"/>
  <c r="AK698" i="1"/>
  <c r="AO698" i="1"/>
  <c r="AN698" i="1"/>
  <c r="AL698" i="1"/>
  <c r="AO661" i="1"/>
  <c r="AM698" i="1"/>
  <c r="F239" i="1"/>
  <c r="W661" i="1"/>
  <c r="W658" i="1"/>
  <c r="W653" i="1"/>
  <c r="S64" i="9"/>
  <c r="S668" i="1"/>
  <c r="S669" i="1" s="1"/>
  <c r="BJ55" i="9"/>
  <c r="BJ136" i="9" s="1"/>
  <c r="BJ406" i="1"/>
  <c r="BJ65" i="9" s="1"/>
  <c r="AB503" i="1"/>
  <c r="AB502" i="1"/>
  <c r="AB491" i="1"/>
  <c r="P537" i="1"/>
  <c r="P541" i="1" s="1"/>
  <c r="L537" i="1"/>
  <c r="L541" i="1" s="1"/>
  <c r="L74" i="9"/>
  <c r="AK1156" i="1"/>
  <c r="AL1266" i="1" s="1"/>
  <c r="BM105" i="9"/>
  <c r="BM106" i="9" s="1"/>
  <c r="BM1256" i="1"/>
  <c r="BM1268" i="1"/>
  <c r="BM1001" i="1"/>
  <c r="BM977" i="1" s="1"/>
  <c r="S994" i="1"/>
  <c r="S722" i="1"/>
  <c r="S444" i="1"/>
  <c r="S448" i="1" s="1"/>
  <c r="AB11" i="1"/>
  <c r="AB27" i="9" s="1"/>
  <c r="M11" i="1"/>
  <c r="M27" i="9" s="1"/>
  <c r="N7" i="1"/>
  <c r="M10" i="1"/>
  <c r="N10" i="1"/>
  <c r="BP23" i="1"/>
  <c r="BP18" i="9" s="1"/>
  <c r="BP22" i="1"/>
  <c r="BP28" i="1"/>
  <c r="BQ22" i="1"/>
  <c r="BR28" i="1"/>
  <c r="BR22" i="1"/>
  <c r="BN23" i="1"/>
  <c r="BN18" i="9" s="1"/>
  <c r="BN28" i="1"/>
  <c r="BN1264" i="1" s="1"/>
  <c r="BB64" i="9"/>
  <c r="BB668" i="1"/>
  <c r="BB1273" i="1"/>
  <c r="BD937" i="1"/>
  <c r="BD938" i="1"/>
  <c r="BD934" i="1"/>
  <c r="AL106" i="9"/>
  <c r="Z994" i="1"/>
  <c r="Z995" i="1" s="1"/>
  <c r="Z722" i="1"/>
  <c r="Z806" i="1"/>
  <c r="Z807" i="1" s="1"/>
  <c r="Z996" i="1" s="1"/>
  <c r="Z997" i="1" s="1"/>
  <c r="Z444" i="1"/>
  <c r="Z448" i="1" s="1"/>
  <c r="BQ1268" i="1"/>
  <c r="BN1156" i="1"/>
  <c r="BS1266" i="1" s="1"/>
  <c r="AV115" i="9"/>
  <c r="BD994" i="1"/>
  <c r="BD995" i="1" s="1"/>
  <c r="BD722" i="1"/>
  <c r="BD444" i="1"/>
  <c r="BD448" i="1" s="1"/>
  <c r="AC172" i="1"/>
  <c r="E55" i="9"/>
  <c r="E136" i="9" s="1"/>
  <c r="E406" i="1"/>
  <c r="E65" i="9" s="1"/>
  <c r="O112" i="9"/>
  <c r="O113" i="9" s="1"/>
  <c r="O652" i="1"/>
  <c r="O474" i="1"/>
  <c r="O479" i="1"/>
  <c r="O411" i="1" s="1"/>
  <c r="O66" i="9" s="1"/>
  <c r="O404" i="1"/>
  <c r="O1273" i="1" s="1"/>
  <c r="X31" i="1"/>
  <c r="AL1265" i="1"/>
  <c r="AL239" i="1"/>
  <c r="AL240" i="1"/>
  <c r="AL241" i="1" s="1"/>
  <c r="AR134" i="9"/>
  <c r="AR67" i="9"/>
  <c r="O28" i="1"/>
  <c r="O1264" i="1" s="1"/>
  <c r="O23" i="1"/>
  <c r="O18" i="9" s="1"/>
  <c r="O22" i="1"/>
  <c r="T23" i="1"/>
  <c r="T18" i="9" s="1"/>
  <c r="Q54" i="9"/>
  <c r="Q988" i="1"/>
  <c r="Q764" i="1"/>
  <c r="Q412" i="1"/>
  <c r="BG658" i="1"/>
  <c r="BG661" i="1"/>
  <c r="G491" i="1"/>
  <c r="G503" i="1"/>
  <c r="G502" i="1"/>
  <c r="J63" i="9"/>
  <c r="AO762" i="1"/>
  <c r="AO798" i="1"/>
  <c r="AO806" i="1" s="1"/>
  <c r="AO807" i="1" s="1"/>
  <c r="AO996" i="1" s="1"/>
  <c r="AO997" i="1" s="1"/>
  <c r="C64" i="9"/>
  <c r="C668" i="1"/>
  <c r="BC62" i="9"/>
  <c r="BC1271" i="1"/>
  <c r="F135" i="9"/>
  <c r="F42" i="9"/>
  <c r="BM109" i="9"/>
  <c r="BM110" i="9" s="1"/>
  <c r="BR978" i="1"/>
  <c r="O109" i="9"/>
  <c r="O110" i="9" s="1"/>
  <c r="BE70" i="9"/>
  <c r="BE72" i="9" s="1"/>
  <c r="BE740" i="1"/>
  <c r="BE741" i="1" s="1"/>
  <c r="BE742" i="1" s="1"/>
  <c r="BE743" i="1" s="1"/>
  <c r="BE723" i="1"/>
  <c r="AI23" i="1"/>
  <c r="AI18" i="9" s="1"/>
  <c r="AI28" i="1"/>
  <c r="AI22" i="1"/>
  <c r="AR76" i="9"/>
  <c r="AR82" i="9" s="1"/>
  <c r="AR139" i="9" s="1"/>
  <c r="V64" i="9"/>
  <c r="V668" i="1"/>
  <c r="V669" i="1" s="1"/>
  <c r="BB798" i="1"/>
  <c r="BT109" i="9"/>
  <c r="BT110" i="9" s="1"/>
  <c r="AM109" i="9"/>
  <c r="AM110" i="9" s="1"/>
  <c r="Y1194" i="1"/>
  <c r="AJ1280" i="1"/>
  <c r="N64" i="9"/>
  <c r="N668" i="1"/>
  <c r="N669" i="1" s="1"/>
  <c r="BO1268" i="1"/>
  <c r="T12" i="1"/>
  <c r="V13" i="1" s="1"/>
  <c r="T8" i="1"/>
  <c r="BU150" i="1"/>
  <c r="BU156" i="1" s="1"/>
  <c r="AK25" i="1"/>
  <c r="AP26" i="1"/>
  <c r="AP19" i="9" s="1"/>
  <c r="AK26" i="1"/>
  <c r="AK19" i="9" s="1"/>
  <c r="AO764" i="1"/>
  <c r="AW64" i="9"/>
  <c r="AW668" i="1"/>
  <c r="BF55" i="9"/>
  <c r="BF136" i="9" s="1"/>
  <c r="BF406" i="1"/>
  <c r="BF65" i="9" s="1"/>
  <c r="AU764" i="1"/>
  <c r="AN173" i="1"/>
  <c r="AV55" i="9"/>
  <c r="AV136" i="9" s="1"/>
  <c r="AV406" i="1"/>
  <c r="AV65" i="9" s="1"/>
  <c r="Q64" i="9"/>
  <c r="Q668" i="1"/>
  <c r="Q669" i="1" s="1"/>
  <c r="AV54" i="9"/>
  <c r="AV988" i="1"/>
  <c r="AV764" i="1"/>
  <c r="AV800" i="1"/>
  <c r="AV412" i="1"/>
  <c r="AH64" i="9"/>
  <c r="AH668" i="1"/>
  <c r="BC218" i="1"/>
  <c r="O12" i="1"/>
  <c r="O8" i="1"/>
  <c r="O10" i="1"/>
  <c r="O11" i="1"/>
  <c r="O27" i="9" s="1"/>
  <c r="Q10" i="1"/>
  <c r="T11" i="1"/>
  <c r="T27" i="9" s="1"/>
  <c r="BD1264" i="1"/>
  <c r="BD200" i="1"/>
  <c r="BD205" i="1"/>
  <c r="BD201" i="1"/>
  <c r="BD202" i="1"/>
  <c r="BD203" i="1"/>
  <c r="BL495" i="1"/>
  <c r="BL1259" i="1"/>
  <c r="BF1265" i="1"/>
  <c r="BF239" i="1"/>
  <c r="BF240" i="1"/>
  <c r="BF241" i="1" s="1"/>
  <c r="AA109" i="9"/>
  <c r="AA110" i="9" s="1"/>
  <c r="V798" i="1"/>
  <c r="AP1156" i="1"/>
  <c r="J994" i="1"/>
  <c r="J722" i="1"/>
  <c r="J444" i="1"/>
  <c r="J448" i="1" s="1"/>
  <c r="AJ70" i="9"/>
  <c r="AJ72" i="9" s="1"/>
  <c r="AJ740" i="1"/>
  <c r="AJ741" i="1" s="1"/>
  <c r="AJ742" i="1" s="1"/>
  <c r="AJ743" i="1" s="1"/>
  <c r="AJ723" i="1"/>
  <c r="AM106" i="9"/>
  <c r="AK106" i="9"/>
  <c r="BA1176" i="1"/>
  <c r="AU1266" i="1"/>
  <c r="BJ1268" i="1"/>
  <c r="R994" i="1"/>
  <c r="R444" i="1"/>
  <c r="R448" i="1" s="1"/>
  <c r="R722" i="1"/>
  <c r="F994" i="1"/>
  <c r="F995" i="1" s="1"/>
  <c r="F722" i="1"/>
  <c r="F444" i="1"/>
  <c r="F448" i="1" s="1"/>
  <c r="AG764" i="1"/>
  <c r="BM218" i="1"/>
  <c r="BM219" i="1"/>
  <c r="BM238" i="1"/>
  <c r="BR218" i="1"/>
  <c r="AP491" i="1"/>
  <c r="AP503" i="1"/>
  <c r="X994" i="1"/>
  <c r="X722" i="1"/>
  <c r="X444" i="1"/>
  <c r="X448" i="1" s="1"/>
  <c r="AS980" i="1"/>
  <c r="BC109" i="9"/>
  <c r="BC110" i="9" s="1"/>
  <c r="AM722" i="1"/>
  <c r="AM994" i="1"/>
  <c r="AM444" i="1"/>
  <c r="AM448" i="1" s="1"/>
  <c r="BC1156" i="1"/>
  <c r="AI978" i="1"/>
  <c r="AI980" i="1"/>
  <c r="AI979" i="1"/>
  <c r="BG23" i="1"/>
  <c r="BG18" i="9" s="1"/>
  <c r="BG22" i="1"/>
  <c r="BG28" i="1"/>
  <c r="BG1264" i="1" s="1"/>
  <c r="F480" i="1"/>
  <c r="F411" i="1"/>
  <c r="F66" i="9" s="1"/>
  <c r="G76" i="9"/>
  <c r="G82" i="9" s="1"/>
  <c r="G139" i="9" s="1"/>
  <c r="V502" i="1"/>
  <c r="Z1265" i="1"/>
  <c r="Z239" i="1"/>
  <c r="Z240" i="1"/>
  <c r="BE55" i="9"/>
  <c r="BE136" i="9" s="1"/>
  <c r="BE406" i="1"/>
  <c r="BE65" i="9" s="1"/>
  <c r="V206" i="1"/>
  <c r="BC171" i="1"/>
  <c r="BQ8" i="1"/>
  <c r="BQ12" i="1"/>
  <c r="BR13" i="1"/>
  <c r="BN804" i="1"/>
  <c r="BN491" i="1"/>
  <c r="BN503" i="1"/>
  <c r="BN502" i="1"/>
  <c r="AB221" i="1"/>
  <c r="AG221" i="1"/>
  <c r="AY55" i="9"/>
  <c r="AY136" i="9" s="1"/>
  <c r="AY406" i="1"/>
  <c r="AY65" i="9" s="1"/>
  <c r="AY23" i="1"/>
  <c r="AY18" i="9" s="1"/>
  <c r="R798" i="1"/>
  <c r="L991" i="1"/>
  <c r="BC1223" i="1"/>
  <c r="BC1003" i="1"/>
  <c r="BC978" i="1" s="1"/>
  <c r="BL22" i="1"/>
  <c r="BL28" i="1"/>
  <c r="BL1264" i="1" s="1"/>
  <c r="BL23" i="1"/>
  <c r="BL18" i="9" s="1"/>
  <c r="BQ23" i="1"/>
  <c r="BQ18" i="9" s="1"/>
  <c r="X55" i="9"/>
  <c r="X136" i="9" s="1"/>
  <c r="X406" i="1"/>
  <c r="X65" i="9" s="1"/>
  <c r="BN1265" i="1"/>
  <c r="BN239" i="1"/>
  <c r="BN240" i="1"/>
  <c r="BN241" i="1" s="1"/>
  <c r="R134" i="9"/>
  <c r="R67" i="9"/>
  <c r="V1265" i="1"/>
  <c r="V239" i="1"/>
  <c r="V240" i="1"/>
  <c r="V241" i="1" s="1"/>
  <c r="AC11" i="1"/>
  <c r="AC27" i="9" s="1"/>
  <c r="AD7" i="1"/>
  <c r="AD12" i="1" s="1"/>
  <c r="AC12" i="1"/>
  <c r="AC8" i="1"/>
  <c r="AC10" i="1"/>
  <c r="AS60" i="9"/>
  <c r="BC64" i="9"/>
  <c r="BC668" i="1"/>
  <c r="AH764" i="1"/>
  <c r="U491" i="1"/>
  <c r="U503" i="1"/>
  <c r="U804" i="1"/>
  <c r="Q23" i="1"/>
  <c r="Q18" i="9" s="1"/>
  <c r="Q22" i="1"/>
  <c r="Q28" i="1"/>
  <c r="R22" i="1"/>
  <c r="AA113" i="9"/>
  <c r="Y1273" i="1"/>
  <c r="V604" i="1"/>
  <c r="BK661" i="1"/>
  <c r="BK658" i="1"/>
  <c r="AS70" i="9"/>
  <c r="AS72" i="9" s="1"/>
  <c r="AS723" i="1"/>
  <c r="AS740" i="1"/>
  <c r="AS741" i="1" s="1"/>
  <c r="AS742" i="1" s="1"/>
  <c r="AS743" i="1" s="1"/>
  <c r="AY480" i="1"/>
  <c r="AY1272" i="1"/>
  <c r="U11" i="1"/>
  <c r="U27" i="9" s="1"/>
  <c r="AN28" i="1"/>
  <c r="AN22" i="1"/>
  <c r="AN23" i="1"/>
  <c r="AN18" i="9" s="1"/>
  <c r="BZ225" i="1"/>
  <c r="AB134" i="9"/>
  <c r="AB67" i="9"/>
  <c r="Z764" i="1"/>
  <c r="AP221" i="1"/>
  <c r="AE183" i="1"/>
  <c r="AE16" i="1" s="1"/>
  <c r="AA16" i="1"/>
  <c r="AB17" i="1" s="1"/>
  <c r="AB29" i="9" s="1"/>
  <c r="AJ962" i="1"/>
  <c r="AJ965" i="1"/>
  <c r="AU70" i="9"/>
  <c r="AU72" i="9" s="1"/>
  <c r="AU723" i="1"/>
  <c r="AU740" i="1"/>
  <c r="AU741" i="1" s="1"/>
  <c r="AU742" i="1" s="1"/>
  <c r="AU743" i="1" s="1"/>
  <c r="BN958" i="1"/>
  <c r="BN932" i="1" s="1"/>
  <c r="BN949" i="1"/>
  <c r="AE1273" i="1"/>
  <c r="AM1268" i="1"/>
  <c r="AG10" i="1"/>
  <c r="BH202" i="1"/>
  <c r="BT22" i="1"/>
  <c r="BT28" i="1"/>
  <c r="BT1264" i="1" s="1"/>
  <c r="BT23" i="1"/>
  <c r="BT18" i="9" s="1"/>
  <c r="AL19" i="1"/>
  <c r="AL31" i="9" s="1"/>
  <c r="BL994" i="1"/>
  <c r="BL722" i="1"/>
  <c r="BL444" i="1"/>
  <c r="BL448" i="1" s="1"/>
  <c r="AB22" i="1"/>
  <c r="AQ54" i="9"/>
  <c r="AR94" i="9" s="1"/>
  <c r="AR91" i="9" s="1"/>
  <c r="AQ988" i="1"/>
  <c r="AQ989" i="1" s="1"/>
  <c r="AQ800" i="1"/>
  <c r="AQ764" i="1"/>
  <c r="AQ412" i="1"/>
  <c r="BS134" i="9"/>
  <c r="BS94" i="9"/>
  <c r="BS91" i="9" s="1"/>
  <c r="BS67" i="9"/>
  <c r="AG55" i="9"/>
  <c r="AG136" i="9" s="1"/>
  <c r="AG406" i="1"/>
  <c r="AG65" i="9" s="1"/>
  <c r="BF172" i="1"/>
  <c r="AU32" i="1"/>
  <c r="BL135" i="9"/>
  <c r="BL42" i="9"/>
  <c r="BA109" i="9"/>
  <c r="BA110" i="9" s="1"/>
  <c r="H994" i="1"/>
  <c r="H722" i="1"/>
  <c r="H444" i="1"/>
  <c r="H448" i="1" s="1"/>
  <c r="U724" i="1"/>
  <c r="U1013" i="1" s="1"/>
  <c r="U721" i="1"/>
  <c r="U744" i="1"/>
  <c r="N70" i="9"/>
  <c r="N72" i="9" s="1"/>
  <c r="N740" i="1"/>
  <c r="N741" i="1" s="1"/>
  <c r="N742" i="1" s="1"/>
  <c r="N743" i="1" s="1"/>
  <c r="N723" i="1"/>
  <c r="M1266" i="1"/>
  <c r="AE764" i="1"/>
  <c r="BO661" i="1"/>
  <c r="U205" i="1"/>
  <c r="U206" i="1" s="1"/>
  <c r="BM112" i="9"/>
  <c r="BM479" i="1"/>
  <c r="BM411" i="1" s="1"/>
  <c r="BM66" i="9" s="1"/>
  <c r="BM652" i="1"/>
  <c r="BO658" i="1" s="1"/>
  <c r="BM404" i="1"/>
  <c r="BM474" i="1"/>
  <c r="BF1273" i="1"/>
  <c r="CA235" i="1"/>
  <c r="BV182" i="1"/>
  <c r="BV131" i="1"/>
  <c r="BW128" i="1"/>
  <c r="AE135" i="9"/>
  <c r="AE42" i="9"/>
  <c r="V70" i="9"/>
  <c r="V72" i="9" s="1"/>
  <c r="V740" i="1"/>
  <c r="V741" i="1" s="1"/>
  <c r="V742" i="1" s="1"/>
  <c r="V743" i="1" s="1"/>
  <c r="V723" i="1"/>
  <c r="K70" i="9"/>
  <c r="K72" i="9" s="1"/>
  <c r="K740" i="1"/>
  <c r="K741" i="1" s="1"/>
  <c r="K742" i="1" s="1"/>
  <c r="K743" i="1" s="1"/>
  <c r="K723" i="1"/>
  <c r="S1273" i="1"/>
  <c r="AA159" i="1"/>
  <c r="BF159" i="1"/>
  <c r="AC169" i="1"/>
  <c r="AC205" i="1"/>
  <c r="X135" i="9"/>
  <c r="X42" i="9"/>
  <c r="BA64" i="9"/>
  <c r="BA668" i="1"/>
  <c r="BH174" i="1"/>
  <c r="BH60" i="9"/>
  <c r="H159" i="1"/>
  <c r="AC1265" i="1"/>
  <c r="AC240" i="1"/>
  <c r="AC241" i="1" s="1"/>
  <c r="AC239" i="1"/>
  <c r="AL204" i="1"/>
  <c r="AL206" i="1" s="1"/>
  <c r="BQ1273" i="1"/>
  <c r="U54" i="9"/>
  <c r="U988" i="1"/>
  <c r="U989" i="1" s="1"/>
  <c r="U764" i="1"/>
  <c r="U800" i="1"/>
  <c r="U412" i="1"/>
  <c r="BM73" i="9"/>
  <c r="BM1185" i="1"/>
  <c r="BM992" i="1"/>
  <c r="BM805" i="1"/>
  <c r="BN1281" i="1"/>
  <c r="BM1274" i="1"/>
  <c r="CC73" i="9"/>
  <c r="CC1185" i="1"/>
  <c r="CC992" i="1"/>
  <c r="CC993" i="1" s="1"/>
  <c r="W1264" i="1"/>
  <c r="S54" i="9"/>
  <c r="S988" i="1"/>
  <c r="S764" i="1"/>
  <c r="S412" i="1"/>
  <c r="AM201" i="1"/>
  <c r="AM200" i="1"/>
  <c r="AM204" i="1"/>
  <c r="AM206" i="1" s="1"/>
  <c r="AM198" i="1"/>
  <c r="AM202" i="1"/>
  <c r="AM203" i="1"/>
  <c r="AM199" i="1"/>
  <c r="Y64" i="9"/>
  <c r="Y668" i="1"/>
  <c r="Y669" i="1" s="1"/>
  <c r="BW179" i="1"/>
  <c r="BY64" i="1"/>
  <c r="BW67" i="1"/>
  <c r="X241" i="1"/>
  <c r="BQ17" i="1"/>
  <c r="BQ29" i="9" s="1"/>
  <c r="AU1265" i="1"/>
  <c r="AU240" i="1"/>
  <c r="AU239" i="1"/>
  <c r="AE804" i="1"/>
  <c r="AE491" i="1"/>
  <c r="AE503" i="1"/>
  <c r="AE502" i="1"/>
  <c r="BC194" i="1"/>
  <c r="BC183" i="1"/>
  <c r="BC16" i="1" s="1"/>
  <c r="BC21" i="1"/>
  <c r="BH23" i="1" s="1"/>
  <c r="BH18" i="9" s="1"/>
  <c r="S25" i="1"/>
  <c r="S26" i="1"/>
  <c r="S19" i="9" s="1"/>
  <c r="X26" i="1"/>
  <c r="X19" i="9" s="1"/>
  <c r="S55" i="9"/>
  <c r="S136" i="9" s="1"/>
  <c r="S406" i="1"/>
  <c r="S65" i="9" s="1"/>
  <c r="AC55" i="9"/>
  <c r="AC136" i="9" s="1"/>
  <c r="AC406" i="1"/>
  <c r="AC65" i="9" s="1"/>
  <c r="BJ661" i="1"/>
  <c r="AB55" i="9"/>
  <c r="AB136" i="9" s="1"/>
  <c r="AB406" i="1"/>
  <c r="AB65" i="9" s="1"/>
  <c r="AC54" i="9"/>
  <c r="AC988" i="1"/>
  <c r="AC412" i="1"/>
  <c r="AC764" i="1"/>
  <c r="H537" i="1"/>
  <c r="H541" i="1" s="1"/>
  <c r="G554" i="1"/>
  <c r="G562" i="1" s="1"/>
  <c r="M109" i="9"/>
  <c r="M110" i="9" s="1"/>
  <c r="BA23" i="1"/>
  <c r="BA18" i="9" s="1"/>
  <c r="BA22" i="1"/>
  <c r="BA28" i="1"/>
  <c r="AO1280" i="1"/>
  <c r="M28" i="1"/>
  <c r="AG64" i="9"/>
  <c r="AG668" i="1"/>
  <c r="BR174" i="1"/>
  <c r="BP1264" i="1"/>
  <c r="BP203" i="1"/>
  <c r="BP202" i="1"/>
  <c r="BP205" i="1"/>
  <c r="BP201" i="1"/>
  <c r="BP200" i="1"/>
  <c r="AR661" i="1"/>
  <c r="AR658" i="1"/>
  <c r="AF134" i="9"/>
  <c r="AF67" i="9"/>
  <c r="I64" i="9"/>
  <c r="I668" i="1"/>
  <c r="I669" i="1" s="1"/>
  <c r="I1273" i="1"/>
  <c r="BR183" i="1"/>
  <c r="BR16" i="1" s="1"/>
  <c r="AA1273" i="1"/>
  <c r="BI135" i="9"/>
  <c r="BI42" i="9"/>
  <c r="BA1273" i="1"/>
  <c r="U502" i="1"/>
  <c r="BE221" i="1"/>
  <c r="M135" i="9"/>
  <c r="M42" i="9"/>
  <c r="BB803" i="1"/>
  <c r="BB491" i="1"/>
  <c r="BB503" i="1"/>
  <c r="BI205" i="1"/>
  <c r="BI206" i="1" s="1"/>
  <c r="BI202" i="1"/>
  <c r="BI200" i="1"/>
  <c r="BI201" i="1"/>
  <c r="BI203" i="1"/>
  <c r="AO106" i="9"/>
  <c r="BQ106" i="9"/>
  <c r="N994" i="1"/>
  <c r="N722" i="1"/>
  <c r="N444" i="1"/>
  <c r="N448" i="1" s="1"/>
  <c r="Q116" i="9"/>
  <c r="AB70" i="9"/>
  <c r="AB72" i="9" s="1"/>
  <c r="AB740" i="1"/>
  <c r="AB741" i="1" s="1"/>
  <c r="AB742" i="1" s="1"/>
  <c r="AB743" i="1" s="1"/>
  <c r="AB723" i="1"/>
  <c r="BG109" i="9"/>
  <c r="BG110" i="9" s="1"/>
  <c r="AJ64" i="9"/>
  <c r="AJ668" i="1"/>
  <c r="AE134" i="9"/>
  <c r="AE94" i="9"/>
  <c r="AE91" i="9" s="1"/>
  <c r="AE67" i="9"/>
  <c r="J450" i="1"/>
  <c r="J455" i="1" s="1"/>
  <c r="J436" i="1"/>
  <c r="J442" i="1" s="1"/>
  <c r="J433" i="1"/>
  <c r="O197" i="1"/>
  <c r="O205" i="1"/>
  <c r="O206" i="1" s="1"/>
  <c r="O198" i="1"/>
  <c r="X10" i="1"/>
  <c r="X8" i="1"/>
  <c r="X12" i="1"/>
  <c r="X11" i="1"/>
  <c r="X27" i="9" s="1"/>
  <c r="Y7" i="1"/>
  <c r="BT1265" i="1"/>
  <c r="BT240" i="1"/>
  <c r="BT241" i="1" s="1"/>
  <c r="BT239" i="1"/>
  <c r="G55" i="9"/>
  <c r="G136" i="9" s="1"/>
  <c r="G406" i="1"/>
  <c r="G65" i="9" s="1"/>
  <c r="AY1273" i="1"/>
  <c r="BT495" i="1"/>
  <c r="BT1259" i="1"/>
  <c r="BS1272" i="1"/>
  <c r="C411" i="1"/>
  <c r="C66" i="9" s="1"/>
  <c r="C480" i="1"/>
  <c r="AK135" i="9"/>
  <c r="AK42" i="9"/>
  <c r="AT64" i="9"/>
  <c r="AT668" i="1"/>
  <c r="BR105" i="9"/>
  <c r="BR1256" i="1"/>
  <c r="BR1268" i="1"/>
  <c r="BR1001" i="1"/>
  <c r="BR977" i="1" s="1"/>
  <c r="Z1278" i="1"/>
  <c r="V994" i="1"/>
  <c r="V722" i="1"/>
  <c r="V444" i="1"/>
  <c r="V448" i="1" s="1"/>
  <c r="K994" i="1"/>
  <c r="K995" i="1" s="1"/>
  <c r="K722" i="1"/>
  <c r="K806" i="1"/>
  <c r="K444" i="1"/>
  <c r="K448" i="1" s="1"/>
  <c r="AC1156" i="1"/>
  <c r="AC1266" i="1" s="1"/>
  <c r="BK798" i="1"/>
  <c r="BK764" i="1"/>
  <c r="K1156" i="1"/>
  <c r="K1266" i="1" s="1"/>
  <c r="BI1278" i="1"/>
  <c r="BE994" i="1"/>
  <c r="BE722" i="1"/>
  <c r="BE444" i="1"/>
  <c r="BE448" i="1" s="1"/>
  <c r="BE1156" i="1"/>
  <c r="Y10" i="1"/>
  <c r="AI204" i="1"/>
  <c r="BA1194" i="1"/>
  <c r="V55" i="9"/>
  <c r="V136" i="9" s="1"/>
  <c r="V406" i="1"/>
  <c r="V65" i="9" s="1"/>
  <c r="G798" i="1"/>
  <c r="T109" i="9"/>
  <c r="T110" i="9" s="1"/>
  <c r="AX70" i="9"/>
  <c r="AX72" i="9" s="1"/>
  <c r="AX740" i="1"/>
  <c r="AX741" i="1" s="1"/>
  <c r="AX742" i="1" s="1"/>
  <c r="AX743" i="1" s="1"/>
  <c r="AX723" i="1"/>
  <c r="AF1156" i="1"/>
  <c r="AF1266" i="1" s="1"/>
  <c r="N55" i="9"/>
  <c r="N136" i="9" s="1"/>
  <c r="N406" i="1"/>
  <c r="N65" i="9" s="1"/>
  <c r="BN765" i="1"/>
  <c r="Y105" i="9"/>
  <c r="Y1256" i="1"/>
  <c r="Y1268" i="1"/>
  <c r="X1268" i="1"/>
  <c r="Y1001" i="1"/>
  <c r="Y977" i="1" s="1"/>
  <c r="AA1268" i="1"/>
  <c r="AL1273" i="1"/>
  <c r="AO970" i="1"/>
  <c r="AO966" i="1"/>
  <c r="AO967" i="1"/>
  <c r="AW491" i="1"/>
  <c r="AW503" i="1"/>
  <c r="AW502" i="1"/>
  <c r="AU134" i="9"/>
  <c r="AU67" i="9"/>
  <c r="J604" i="1"/>
  <c r="J599" i="1"/>
  <c r="J600" i="1" s="1"/>
  <c r="AV661" i="1"/>
  <c r="AV658" i="1"/>
  <c r="T112" i="9"/>
  <c r="T113" i="9" s="1"/>
  <c r="T474" i="1"/>
  <c r="T652" i="1"/>
  <c r="V658" i="1" s="1"/>
  <c r="T479" i="1"/>
  <c r="T411" i="1" s="1"/>
  <c r="T66" i="9" s="1"/>
  <c r="T404" i="1"/>
  <c r="T1273" i="1" s="1"/>
  <c r="Q653" i="1"/>
  <c r="Q661" i="1"/>
  <c r="R64" i="9"/>
  <c r="R668" i="1"/>
  <c r="R669" i="1" s="1"/>
  <c r="AW11" i="1"/>
  <c r="AW27" i="9" s="1"/>
  <c r="AW10" i="1"/>
  <c r="AX7" i="1"/>
  <c r="AW8" i="1"/>
  <c r="AX10" i="1"/>
  <c r="BB11" i="1"/>
  <c r="BB27" i="9" s="1"/>
  <c r="AH503" i="1"/>
  <c r="AH491" i="1"/>
  <c r="AH502" i="1"/>
  <c r="AR175" i="1"/>
  <c r="BD204" i="1"/>
  <c r="AQ798" i="1"/>
  <c r="Z1273" i="1"/>
  <c r="BJ135" i="9"/>
  <c r="BJ42" i="9"/>
  <c r="BI64" i="9"/>
  <c r="BI668" i="1"/>
  <c r="K798" i="1"/>
  <c r="K762" i="1"/>
  <c r="AZ135" i="9"/>
  <c r="AZ42" i="9"/>
  <c r="U1278" i="1"/>
  <c r="Q722" i="1"/>
  <c r="Q994" i="1"/>
  <c r="Q444" i="1"/>
  <c r="Q448" i="1" s="1"/>
  <c r="Q1156" i="1"/>
  <c r="W70" i="9"/>
  <c r="W72" i="9" s="1"/>
  <c r="W740" i="1"/>
  <c r="W741" i="1" s="1"/>
  <c r="W742" i="1" s="1"/>
  <c r="W743" i="1" s="1"/>
  <c r="W723" i="1"/>
  <c r="AJ994" i="1"/>
  <c r="AJ995" i="1" s="1"/>
  <c r="AJ971" i="1" s="1"/>
  <c r="AJ722" i="1"/>
  <c r="AJ444" i="1"/>
  <c r="AJ448" i="1" s="1"/>
  <c r="AJ1156" i="1"/>
  <c r="AZ1176" i="1"/>
  <c r="BD1182" i="1"/>
  <c r="BD1180" i="1"/>
  <c r="BD1176" i="1"/>
  <c r="W135" i="9"/>
  <c r="W42" i="9"/>
  <c r="BC70" i="9"/>
  <c r="BC72" i="9" s="1"/>
  <c r="BC740" i="1"/>
  <c r="BC741" i="1" s="1"/>
  <c r="BC742" i="1" s="1"/>
  <c r="BC743" i="1" s="1"/>
  <c r="BC723" i="1"/>
  <c r="AP55" i="9"/>
  <c r="AP136" i="9" s="1"/>
  <c r="AP406" i="1"/>
  <c r="AP65" i="9" s="1"/>
  <c r="AL135" i="9"/>
  <c r="AL42" i="9"/>
  <c r="AC23" i="1"/>
  <c r="AC18" i="9" s="1"/>
  <c r="AC28" i="1"/>
  <c r="AC22" i="1"/>
  <c r="BE109" i="9"/>
  <c r="BE110" i="9" s="1"/>
  <c r="AT1156" i="1"/>
  <c r="AT1266" i="1" s="1"/>
  <c r="W116" i="9"/>
  <c r="AE116" i="9"/>
  <c r="AE117" i="9" s="1"/>
  <c r="BX1270" i="1"/>
  <c r="BG204" i="1"/>
  <c r="F804" i="1"/>
  <c r="F491" i="1"/>
  <c r="F503" i="1"/>
  <c r="BS950" i="1"/>
  <c r="BS942" i="1" s="1"/>
  <c r="BS943" i="1" s="1"/>
  <c r="AM12" i="1"/>
  <c r="AM8" i="1"/>
  <c r="BE661" i="1"/>
  <c r="V198" i="1"/>
  <c r="V197" i="1"/>
  <c r="AA26" i="1"/>
  <c r="AA19" i="9" s="1"/>
  <c r="AD236" i="1"/>
  <c r="U23" i="1"/>
  <c r="U18" i="9" s="1"/>
  <c r="U28" i="1"/>
  <c r="U1264" i="1" s="1"/>
  <c r="Z23" i="1"/>
  <c r="Z18" i="9" s="1"/>
  <c r="AX436" i="1"/>
  <c r="AX442" i="1" s="1"/>
  <c r="AX480" i="1" s="1"/>
  <c r="AX433" i="1"/>
  <c r="AB1265" i="1"/>
  <c r="AB240" i="1"/>
  <c r="AB239" i="1"/>
  <c r="AG239" i="1"/>
  <c r="AX698" i="1"/>
  <c r="AW698" i="1"/>
  <c r="AU698" i="1"/>
  <c r="AV698" i="1"/>
  <c r="AY661" i="1"/>
  <c r="AY698" i="1"/>
  <c r="R135" i="9"/>
  <c r="R42" i="9"/>
  <c r="V1273" i="1"/>
  <c r="BA54" i="9"/>
  <c r="BA988" i="1"/>
  <c r="BA800" i="1"/>
  <c r="BA412" i="1"/>
  <c r="BA764" i="1"/>
  <c r="AT1273" i="1"/>
  <c r="AD113" i="9"/>
  <c r="AZ803" i="1"/>
  <c r="AZ491" i="1"/>
  <c r="AZ503" i="1"/>
  <c r="AZ502" i="1"/>
  <c r="BI1156" i="1"/>
  <c r="BI1266" i="1" s="1"/>
  <c r="D1156" i="1"/>
  <c r="I1266" i="1" s="1"/>
  <c r="BT70" i="9"/>
  <c r="BT72" i="9" s="1"/>
  <c r="BT740" i="1"/>
  <c r="BT741" i="1" s="1"/>
  <c r="BT742" i="1" s="1"/>
  <c r="BT743" i="1" s="1"/>
  <c r="BT723" i="1"/>
  <c r="AL134" i="9"/>
  <c r="AL67" i="9"/>
  <c r="F798" i="1"/>
  <c r="F806" i="1" s="1"/>
  <c r="F762" i="1"/>
  <c r="BL19" i="1"/>
  <c r="BL31" i="9" s="1"/>
  <c r="BL17" i="1"/>
  <c r="BL29" i="9" s="1"/>
  <c r="AA221" i="1"/>
  <c r="BG135" i="9"/>
  <c r="BG42" i="9"/>
  <c r="BC55" i="9"/>
  <c r="BC136" i="9" s="1"/>
  <c r="BC406" i="1"/>
  <c r="BC65" i="9" s="1"/>
  <c r="BG173" i="1"/>
  <c r="BG172" i="1"/>
  <c r="BG175" i="1" s="1"/>
  <c r="Q204" i="1"/>
  <c r="BK55" i="9"/>
  <c r="BK136" i="9" s="1"/>
  <c r="BK406" i="1"/>
  <c r="BK65" i="9" s="1"/>
  <c r="AS994" i="1"/>
  <c r="AS444" i="1"/>
  <c r="AS448" i="1" s="1"/>
  <c r="AS722" i="1"/>
  <c r="AW764" i="1"/>
  <c r="AV205" i="1"/>
  <c r="AV206" i="1" s="1"/>
  <c r="AV200" i="1"/>
  <c r="AV201" i="1"/>
  <c r="AV203" i="1"/>
  <c r="AV202" i="1"/>
  <c r="AN19" i="1"/>
  <c r="AN31" i="9" s="1"/>
  <c r="AN17" i="1"/>
  <c r="AN29" i="9" s="1"/>
  <c r="L661" i="1"/>
  <c r="Z966" i="1"/>
  <c r="Z970" i="1"/>
  <c r="Z969" i="1"/>
  <c r="Z967" i="1"/>
  <c r="CA225" i="1"/>
  <c r="AH239" i="1"/>
  <c r="F1273" i="1"/>
  <c r="AY1278" i="1"/>
  <c r="AU994" i="1"/>
  <c r="AU722" i="1"/>
  <c r="AU444" i="1"/>
  <c r="AU448" i="1" s="1"/>
  <c r="AY1182" i="1"/>
  <c r="AY1180" i="1"/>
  <c r="BO744" i="1"/>
  <c r="BO745" i="1" s="1"/>
  <c r="BO746" i="1" s="1"/>
  <c r="BO747" i="1" s="1"/>
  <c r="BO724" i="1"/>
  <c r="BO721" i="1"/>
  <c r="O1156" i="1"/>
  <c r="O1266" i="1" s="1"/>
  <c r="AY1156" i="1"/>
  <c r="AN658" i="1"/>
  <c r="AQ1156" i="1"/>
  <c r="AQ1266" i="1" s="1"/>
  <c r="AS23" i="1"/>
  <c r="AS18" i="9" s="1"/>
  <c r="AS28" i="1"/>
  <c r="AS1264" i="1" s="1"/>
  <c r="AS22" i="1"/>
  <c r="AU22" i="1"/>
  <c r="BI1268" i="1"/>
  <c r="AI106" i="9"/>
  <c r="AD1273" i="1"/>
  <c r="BK109" i="9" l="1"/>
  <c r="BK110" i="9" s="1"/>
  <c r="L995" i="1"/>
  <c r="L971" i="1" s="1"/>
  <c r="M12" i="1"/>
  <c r="R14" i="1" s="1"/>
  <c r="BK33" i="1"/>
  <c r="BK20" i="9" s="1"/>
  <c r="AH110" i="9"/>
  <c r="BN963" i="1"/>
  <c r="BE113" i="9"/>
  <c r="BR406" i="1"/>
  <c r="BR65" i="9" s="1"/>
  <c r="BC658" i="1"/>
  <c r="BU114" i="1"/>
  <c r="BC661" i="1"/>
  <c r="BU58" i="1"/>
  <c r="BU73" i="1"/>
  <c r="BG113" i="9"/>
  <c r="T241" i="1"/>
  <c r="AI1266" i="1"/>
  <c r="BU190" i="1"/>
  <c r="BL109" i="9"/>
  <c r="BL110" i="9" s="1"/>
  <c r="AJ963" i="1"/>
  <c r="BH1273" i="1"/>
  <c r="AD110" i="9"/>
  <c r="BH106" i="9"/>
  <c r="H13" i="1"/>
  <c r="AH175" i="1"/>
  <c r="AY806" i="1"/>
  <c r="BP106" i="9"/>
  <c r="AS1273" i="1"/>
  <c r="C1273" i="1"/>
  <c r="AN661" i="1"/>
  <c r="G8" i="1"/>
  <c r="BQ175" i="1"/>
  <c r="BF110" i="9"/>
  <c r="BC803" i="1"/>
  <c r="BJ1266" i="1"/>
  <c r="N995" i="1"/>
  <c r="N963" i="1" s="1"/>
  <c r="BL995" i="1"/>
  <c r="BL971" i="1" s="1"/>
  <c r="AN1273" i="1"/>
  <c r="BJ109" i="9"/>
  <c r="BJ110" i="9" s="1"/>
  <c r="AL123" i="9"/>
  <c r="AQ241" i="1"/>
  <c r="BP995" i="1"/>
  <c r="BP971" i="1" s="1"/>
  <c r="AJ1278" i="1"/>
  <c r="O995" i="1"/>
  <c r="O971" i="1" s="1"/>
  <c r="AA170" i="1"/>
  <c r="BP989" i="1"/>
  <c r="BP966" i="1" s="1"/>
  <c r="AR32" i="1"/>
  <c r="AR21" i="9" s="1"/>
  <c r="BG995" i="1"/>
  <c r="BG971" i="1" s="1"/>
  <c r="O117" i="9"/>
  <c r="W995" i="1"/>
  <c r="W971" i="1" s="1"/>
  <c r="AR33" i="1"/>
  <c r="AR311" i="1" s="1"/>
  <c r="AJ1266" i="1"/>
  <c r="BS311" i="1"/>
  <c r="K311" i="1"/>
  <c r="BI1272" i="1"/>
  <c r="BV80" i="1"/>
  <c r="BW78" i="1" s="1"/>
  <c r="AO241" i="1"/>
  <c r="H8" i="1"/>
  <c r="T1266" i="1"/>
  <c r="BE241" i="1"/>
  <c r="AW123" i="9"/>
  <c r="AW74" i="9"/>
  <c r="AN1266" i="1"/>
  <c r="U1272" i="1"/>
  <c r="AD8" i="1"/>
  <c r="AE1272" i="1"/>
  <c r="BO989" i="1"/>
  <c r="BO969" i="1" s="1"/>
  <c r="AG721" i="1"/>
  <c r="AG724" i="1"/>
  <c r="AG744" i="1"/>
  <c r="AG745" i="1" s="1"/>
  <c r="AG746" i="1" s="1"/>
  <c r="AG747" i="1" s="1"/>
  <c r="N1266" i="1"/>
  <c r="C1266" i="1"/>
  <c r="AG95" i="9"/>
  <c r="AG92" i="9" s="1"/>
  <c r="BE22" i="1"/>
  <c r="BH175" i="1"/>
  <c r="AW744" i="1"/>
  <c r="AW745" i="1" s="1"/>
  <c r="AW746" i="1" s="1"/>
  <c r="AW747" i="1" s="1"/>
  <c r="AW721" i="1"/>
  <c r="AW724" i="1"/>
  <c r="AD54" i="9"/>
  <c r="AF94" i="9" s="1"/>
  <c r="AF91" i="9" s="1"/>
  <c r="AD988" i="1"/>
  <c r="AH989" i="1" s="1"/>
  <c r="AD412" i="1"/>
  <c r="AV1264" i="1"/>
  <c r="E1266" i="1"/>
  <c r="BC175" i="1"/>
  <c r="BG206" i="1"/>
  <c r="AI206" i="1"/>
  <c r="M113" i="9"/>
  <c r="M117" i="9" s="1"/>
  <c r="BD806" i="1"/>
  <c r="AG74" i="9"/>
  <c r="AG76" i="9" s="1"/>
  <c r="AG82" i="9" s="1"/>
  <c r="AG139" i="9" s="1"/>
  <c r="AS221" i="1"/>
  <c r="BR668" i="1"/>
  <c r="Y963" i="1"/>
  <c r="AS206" i="1"/>
  <c r="AY963" i="1"/>
  <c r="E963" i="1"/>
  <c r="T206" i="1"/>
  <c r="BK241" i="1"/>
  <c r="AX995" i="1"/>
  <c r="AX971" i="1" s="1"/>
  <c r="BR1273" i="1"/>
  <c r="AD995" i="1"/>
  <c r="AD963" i="1" s="1"/>
  <c r="Q1266" i="1"/>
  <c r="K1272" i="1"/>
  <c r="AU241" i="1"/>
  <c r="H1273" i="1"/>
  <c r="Z241" i="1"/>
  <c r="W241" i="1"/>
  <c r="BK106" i="9"/>
  <c r="BK116" i="9" s="1"/>
  <c r="AQ32" i="1"/>
  <c r="AQ312" i="1" s="1"/>
  <c r="D117" i="9"/>
  <c r="P1272" i="1"/>
  <c r="AI8" i="1"/>
  <c r="BK123" i="9"/>
  <c r="BF74" i="9"/>
  <c r="BF76" i="9" s="1"/>
  <c r="BF82" i="9" s="1"/>
  <c r="BF139" i="9" s="1"/>
  <c r="BH8" i="1"/>
  <c r="BH12" i="1"/>
  <c r="BR113" i="9"/>
  <c r="BT113" i="9"/>
  <c r="BF724" i="1"/>
  <c r="BF721" i="1"/>
  <c r="BF744" i="1"/>
  <c r="BF745" i="1" s="1"/>
  <c r="BF746" i="1" s="1"/>
  <c r="BF747" i="1" s="1"/>
  <c r="AJ968" i="1"/>
  <c r="AJ964" i="1"/>
  <c r="BI116" i="9"/>
  <c r="BI117" i="9" s="1"/>
  <c r="AE968" i="1"/>
  <c r="AE964" i="1"/>
  <c r="AI14" i="1"/>
  <c r="AI13" i="1"/>
  <c r="BU5" i="9"/>
  <c r="BU6" i="9" s="1"/>
  <c r="BU1008" i="1"/>
  <c r="BU999" i="1" s="1"/>
  <c r="AS14" i="1"/>
  <c r="AS13" i="1"/>
  <c r="AO968" i="1"/>
  <c r="AO964" i="1"/>
  <c r="BQ116" i="9"/>
  <c r="BA33" i="1"/>
  <c r="BA31" i="1"/>
  <c r="BA38" i="1"/>
  <c r="BA35" i="1" s="1"/>
  <c r="BA32" i="1" s="1"/>
  <c r="BC19" i="1"/>
  <c r="BC31" i="9" s="1"/>
  <c r="BC17" i="1"/>
  <c r="BC29" i="9" s="1"/>
  <c r="BN950" i="1"/>
  <c r="BN942" i="1" s="1"/>
  <c r="Q31" i="1"/>
  <c r="Q33" i="1"/>
  <c r="R31" i="1"/>
  <c r="O661" i="1"/>
  <c r="O658" i="1"/>
  <c r="O653" i="1"/>
  <c r="AG116" i="9"/>
  <c r="AG117" i="9" s="1"/>
  <c r="BM205" i="1"/>
  <c r="BM203" i="1"/>
  <c r="BM202" i="1"/>
  <c r="BM200" i="1"/>
  <c r="BM201" i="1"/>
  <c r="T744" i="1"/>
  <c r="T745" i="1" s="1"/>
  <c r="T746" i="1" s="1"/>
  <c r="T747" i="1" s="1"/>
  <c r="T721" i="1"/>
  <c r="T724" i="1"/>
  <c r="R654" i="1"/>
  <c r="R657" i="1"/>
  <c r="I54" i="9"/>
  <c r="I988" i="1"/>
  <c r="I412" i="1"/>
  <c r="I764" i="1"/>
  <c r="AB241" i="1"/>
  <c r="AG241" i="1"/>
  <c r="BM64" i="9"/>
  <c r="BM668" i="1"/>
  <c r="BM1273" i="1"/>
  <c r="U745" i="1"/>
  <c r="U746" i="1" s="1"/>
  <c r="U747" i="1" s="1"/>
  <c r="AK116" i="9"/>
  <c r="BD971" i="1"/>
  <c r="BD963" i="1"/>
  <c r="M537" i="1"/>
  <c r="M541" i="1" s="1"/>
  <c r="L554" i="1"/>
  <c r="L562" i="1" s="1"/>
  <c r="BF1267" i="1"/>
  <c r="BF495" i="1"/>
  <c r="BF1259" i="1"/>
  <c r="BP14" i="1"/>
  <c r="O963" i="1"/>
  <c r="N495" i="1"/>
  <c r="N1259" i="1"/>
  <c r="BM95" i="9"/>
  <c r="BM92" i="9" s="1"/>
  <c r="BM74" i="9"/>
  <c r="BO95" i="9"/>
  <c r="BO92" i="9" s="1"/>
  <c r="BP95" i="9"/>
  <c r="BP92" i="9" s="1"/>
  <c r="AD971" i="1"/>
  <c r="BQ134" i="9"/>
  <c r="BQ94" i="9"/>
  <c r="BQ91" i="9" s="1"/>
  <c r="BQ67" i="9"/>
  <c r="X495" i="1"/>
  <c r="X1259" i="1"/>
  <c r="BC744" i="1"/>
  <c r="BC745" i="1" s="1"/>
  <c r="BC746" i="1" s="1"/>
  <c r="BC747" i="1" s="1"/>
  <c r="BC721" i="1"/>
  <c r="BC724" i="1"/>
  <c r="BW182" i="1"/>
  <c r="BY128" i="1"/>
  <c r="BW131" i="1"/>
  <c r="BN938" i="1"/>
  <c r="BN937" i="1"/>
  <c r="BN934" i="1"/>
  <c r="W654" i="1"/>
  <c r="W657" i="1"/>
  <c r="C1265" i="1"/>
  <c r="C240" i="1"/>
  <c r="D241" i="1" s="1"/>
  <c r="AS1265" i="1"/>
  <c r="AS239" i="1"/>
  <c r="AS240" i="1"/>
  <c r="AC123" i="9"/>
  <c r="X74" i="9"/>
  <c r="X95" i="9"/>
  <c r="X92" i="9" s="1"/>
  <c r="S495" i="1"/>
  <c r="S1259" i="1"/>
  <c r="BG95" i="9"/>
  <c r="BG92" i="9" s="1"/>
  <c r="BG74" i="9"/>
  <c r="BL123" i="9"/>
  <c r="AW20" i="9"/>
  <c r="AW311" i="1"/>
  <c r="BM28" i="1"/>
  <c r="BM1264" i="1" s="1"/>
  <c r="BM23" i="1"/>
  <c r="BM18" i="9" s="1"/>
  <c r="BM22" i="1"/>
  <c r="BO22" i="1"/>
  <c r="BK1267" i="1"/>
  <c r="BK1259" i="1"/>
  <c r="BK495" i="1"/>
  <c r="BH661" i="1"/>
  <c r="BH658" i="1"/>
  <c r="AO744" i="1"/>
  <c r="AO721" i="1"/>
  <c r="AO724" i="1"/>
  <c r="AO1013" i="1" s="1"/>
  <c r="AO766" i="1"/>
  <c r="AA995" i="1"/>
  <c r="D239" i="1"/>
  <c r="O721" i="1"/>
  <c r="O724" i="1"/>
  <c r="O744" i="1"/>
  <c r="O745" i="1" s="1"/>
  <c r="O746" i="1" s="1"/>
  <c r="O747" i="1" s="1"/>
  <c r="L13" i="1"/>
  <c r="L14" i="1"/>
  <c r="T995" i="1"/>
  <c r="W20" i="9"/>
  <c r="W311" i="1"/>
  <c r="H1267" i="1"/>
  <c r="H495" i="1"/>
  <c r="H1259" i="1"/>
  <c r="AX1265" i="1"/>
  <c r="AX240" i="1"/>
  <c r="AX239" i="1"/>
  <c r="AF119" i="1"/>
  <c r="AF124" i="1"/>
  <c r="CA1237" i="1"/>
  <c r="BH993" i="1"/>
  <c r="BL993" i="1"/>
  <c r="BJ993" i="1"/>
  <c r="BK993" i="1"/>
  <c r="BN123" i="9"/>
  <c r="BI74" i="9"/>
  <c r="BI95" i="9"/>
  <c r="BI92" i="9" s="1"/>
  <c r="Q113" i="9"/>
  <c r="S31" i="1"/>
  <c r="S33" i="1"/>
  <c r="AS113" i="9"/>
  <c r="AU113" i="9"/>
  <c r="BA1267" i="1"/>
  <c r="BA495" i="1"/>
  <c r="BA1259" i="1"/>
  <c r="BP970" i="1"/>
  <c r="BP967" i="1"/>
  <c r="BP969" i="1"/>
  <c r="BI1267" i="1"/>
  <c r="BI495" i="1"/>
  <c r="BI1259" i="1"/>
  <c r="D95" i="9"/>
  <c r="D92" i="9" s="1"/>
  <c r="E123" i="9"/>
  <c r="D74" i="9"/>
  <c r="AT963" i="1"/>
  <c r="X134" i="9"/>
  <c r="X67" i="9"/>
  <c r="N33" i="1"/>
  <c r="N31" i="1"/>
  <c r="AI55" i="9"/>
  <c r="AI136" i="9" s="1"/>
  <c r="AI406" i="1"/>
  <c r="AI65" i="9" s="1"/>
  <c r="BH116" i="9"/>
  <c r="BH117" i="9" s="1"/>
  <c r="AK95" i="9"/>
  <c r="AK92" i="9" s="1"/>
  <c r="AP123" i="9"/>
  <c r="AK74" i="9"/>
  <c r="AL12" i="1"/>
  <c r="AM13" i="1" s="1"/>
  <c r="AL8" i="1"/>
  <c r="AJ79" i="1"/>
  <c r="AF164" i="1"/>
  <c r="V654" i="1"/>
  <c r="V657" i="1"/>
  <c r="AH14" i="1"/>
  <c r="Y33" i="1"/>
  <c r="Y31" i="1"/>
  <c r="AG1267" i="1"/>
  <c r="AG495" i="1"/>
  <c r="AG1259" i="1"/>
  <c r="F123" i="9"/>
  <c r="E95" i="9"/>
  <c r="E92" i="9" s="1"/>
  <c r="E74" i="9"/>
  <c r="AC657" i="1"/>
  <c r="AC654" i="1"/>
  <c r="D698" i="1"/>
  <c r="D661" i="1"/>
  <c r="AZ134" i="9"/>
  <c r="AZ67" i="9"/>
  <c r="AX64" i="9"/>
  <c r="AX668" i="1"/>
  <c r="BC105" i="9"/>
  <c r="BC1001" i="1"/>
  <c r="BC977" i="1" s="1"/>
  <c r="BC1268" i="1"/>
  <c r="BC1256" i="1"/>
  <c r="BB1268" i="1"/>
  <c r="AL116" i="9"/>
  <c r="AH744" i="1"/>
  <c r="AH745" i="1" s="1"/>
  <c r="AH746" i="1" s="1"/>
  <c r="AH747" i="1" s="1"/>
  <c r="AH721" i="1"/>
  <c r="AH724" i="1"/>
  <c r="AN134" i="9"/>
  <c r="AN67" i="9"/>
  <c r="H654" i="1"/>
  <c r="H657" i="1"/>
  <c r="BQ1259" i="1"/>
  <c r="BQ495" i="1"/>
  <c r="AX17" i="1"/>
  <c r="AX29" i="9" s="1"/>
  <c r="AX19" i="1"/>
  <c r="AX31" i="9" s="1"/>
  <c r="J1265" i="1"/>
  <c r="J240" i="1"/>
  <c r="O241" i="1" s="1"/>
  <c r="AA744" i="1"/>
  <c r="AA745" i="1" s="1"/>
  <c r="AA746" i="1" s="1"/>
  <c r="AA747" i="1" s="1"/>
  <c r="AA724" i="1"/>
  <c r="AA721" i="1"/>
  <c r="BB116" i="9"/>
  <c r="BB117" i="9" s="1"/>
  <c r="AZ33" i="1"/>
  <c r="AZ38" i="1"/>
  <c r="AZ35" i="1" s="1"/>
  <c r="AZ32" i="1" s="1"/>
  <c r="Y123" i="9"/>
  <c r="T95" i="9"/>
  <c r="T92" i="9" s="1"/>
  <c r="T74" i="9"/>
  <c r="AA495" i="1"/>
  <c r="AA1259" i="1"/>
  <c r="AX1266" i="1"/>
  <c r="AW1266" i="1"/>
  <c r="BG14" i="1"/>
  <c r="BG13" i="1"/>
  <c r="AI116" i="9"/>
  <c r="AI117" i="9" s="1"/>
  <c r="AW13" i="1"/>
  <c r="AW14" i="1"/>
  <c r="AW495" i="1"/>
  <c r="AW1259" i="1"/>
  <c r="X13" i="1"/>
  <c r="X14" i="1"/>
  <c r="BC201" i="1"/>
  <c r="BC202" i="1"/>
  <c r="BC205" i="1"/>
  <c r="BC203" i="1"/>
  <c r="BC200" i="1"/>
  <c r="BC1266" i="1"/>
  <c r="AM116" i="9"/>
  <c r="U537" i="1"/>
  <c r="U541" i="1" s="1"/>
  <c r="Q537" i="1"/>
  <c r="Q541" i="1" s="1"/>
  <c r="P554" i="1"/>
  <c r="P562" i="1" s="1"/>
  <c r="AH31" i="1"/>
  <c r="AH33" i="1"/>
  <c r="C54" i="9"/>
  <c r="C800" i="1"/>
  <c r="C807" i="1" s="1"/>
  <c r="C996" i="1" s="1"/>
  <c r="C997" i="1" s="1"/>
  <c r="C988" i="1"/>
  <c r="C989" i="1" s="1"/>
  <c r="C764" i="1"/>
  <c r="C412" i="1"/>
  <c r="AG123" i="9"/>
  <c r="AB95" i="9"/>
  <c r="AB92" i="9" s="1"/>
  <c r="AB74" i="9"/>
  <c r="F241" i="1"/>
  <c r="X33" i="1"/>
  <c r="BQ1266" i="1"/>
  <c r="K123" i="9"/>
  <c r="F95" i="9"/>
  <c r="F92" i="9" s="1"/>
  <c r="F74" i="9"/>
  <c r="BR994" i="1"/>
  <c r="BR995" i="1" s="1"/>
  <c r="BR722" i="1"/>
  <c r="BR444" i="1"/>
  <c r="BR448" i="1" s="1"/>
  <c r="BR1156" i="1"/>
  <c r="BR1266" i="1" s="1"/>
  <c r="BS1278" i="1"/>
  <c r="BH995" i="1"/>
  <c r="E54" i="9"/>
  <c r="E988" i="1"/>
  <c r="E989" i="1" s="1"/>
  <c r="E800" i="1"/>
  <c r="E807" i="1" s="1"/>
  <c r="E996" i="1" s="1"/>
  <c r="E997" i="1" s="1"/>
  <c r="E764" i="1"/>
  <c r="E412" i="1"/>
  <c r="AK54" i="9"/>
  <c r="AN94" i="9" s="1"/>
  <c r="AN91" i="9" s="1"/>
  <c r="AK988" i="1"/>
  <c r="AK764" i="1"/>
  <c r="AK412" i="1"/>
  <c r="I1091" i="1"/>
  <c r="H1092" i="1"/>
  <c r="BN970" i="1"/>
  <c r="BN966" i="1"/>
  <c r="BN967" i="1"/>
  <c r="BN969" i="1"/>
  <c r="BM204" i="1"/>
  <c r="AD654" i="1"/>
  <c r="AD657" i="1"/>
  <c r="BH55" i="9"/>
  <c r="BH136" i="9" s="1"/>
  <c r="BH406" i="1"/>
  <c r="BH65" i="9" s="1"/>
  <c r="BP116" i="9"/>
  <c r="BP117" i="9" s="1"/>
  <c r="AV1267" i="1"/>
  <c r="AV1259" i="1"/>
  <c r="AV495" i="1"/>
  <c r="AA31" i="1"/>
  <c r="AA33" i="1"/>
  <c r="AQ21" i="9"/>
  <c r="BE33" i="1"/>
  <c r="BE38" i="1"/>
  <c r="BE35" i="1" s="1"/>
  <c r="BE32" i="1" s="1"/>
  <c r="T123" i="9"/>
  <c r="O95" i="9"/>
  <c r="O92" i="9" s="1"/>
  <c r="O74" i="9"/>
  <c r="AN1265" i="1"/>
  <c r="AN240" i="1"/>
  <c r="AN241" i="1" s="1"/>
  <c r="AN239" i="1"/>
  <c r="Y480" i="1"/>
  <c r="Z1272" i="1"/>
  <c r="Y993" i="1"/>
  <c r="AC993" i="1"/>
  <c r="AB993" i="1"/>
  <c r="AA993" i="1"/>
  <c r="AP31" i="1"/>
  <c r="AP38" i="1"/>
  <c r="AP35" i="1" s="1"/>
  <c r="AP32" i="1" s="1"/>
  <c r="AP33" i="1"/>
  <c r="AQ31" i="1"/>
  <c r="AU33" i="1"/>
  <c r="P807" i="1"/>
  <c r="P996" i="1" s="1"/>
  <c r="P997" i="1" s="1"/>
  <c r="BJ241" i="1"/>
  <c r="BV120" i="1"/>
  <c r="P1267" i="1"/>
  <c r="P495" i="1"/>
  <c r="P1259" i="1"/>
  <c r="BP134" i="9"/>
  <c r="BP67" i="9"/>
  <c r="BP94" i="9"/>
  <c r="BP91" i="9" s="1"/>
  <c r="Y1265" i="1"/>
  <c r="Y239" i="1"/>
  <c r="Y240" i="1"/>
  <c r="Y241" i="1" s="1"/>
  <c r="BG989" i="1"/>
  <c r="AT95" i="9"/>
  <c r="AT92" i="9" s="1"/>
  <c r="AY123" i="9"/>
  <c r="AT74" i="9"/>
  <c r="AL721" i="1"/>
  <c r="AL724" i="1"/>
  <c r="AL744" i="1"/>
  <c r="AL745" i="1" s="1"/>
  <c r="AL746" i="1" s="1"/>
  <c r="AL747" i="1" s="1"/>
  <c r="AU116" i="9"/>
  <c r="AU117" i="9" s="1"/>
  <c r="BN965" i="1"/>
  <c r="O54" i="9"/>
  <c r="S94" i="9" s="1"/>
  <c r="S91" i="9" s="1"/>
  <c r="O988" i="1"/>
  <c r="O989" i="1" s="1"/>
  <c r="O412" i="1"/>
  <c r="K1273" i="1"/>
  <c r="BR989" i="1"/>
  <c r="BZ836" i="1"/>
  <c r="BY781" i="1"/>
  <c r="AD13" i="1"/>
  <c r="AI658" i="1"/>
  <c r="AI661" i="1"/>
  <c r="BV54" i="1"/>
  <c r="BV23" i="9" s="1"/>
  <c r="BV56" i="1"/>
  <c r="BV146" i="1"/>
  <c r="BW50" i="1"/>
  <c r="AV14" i="1"/>
  <c r="C1269" i="1"/>
  <c r="C1164" i="1"/>
  <c r="D1158" i="1"/>
  <c r="D1159" i="1" s="1"/>
  <c r="J1266" i="1"/>
  <c r="U123" i="9"/>
  <c r="P95" i="9"/>
  <c r="P92" i="9" s="1"/>
  <c r="P74" i="9"/>
  <c r="BA123" i="9"/>
  <c r="AV95" i="9"/>
  <c r="AV92" i="9" s="1"/>
  <c r="AV74" i="9"/>
  <c r="AW95" i="9"/>
  <c r="AW92" i="9" s="1"/>
  <c r="AH123" i="9"/>
  <c r="AC95" i="9"/>
  <c r="AC92" i="9" s="1"/>
  <c r="AC74" i="9"/>
  <c r="AX116" i="9"/>
  <c r="AX117" i="9" s="1"/>
  <c r="Z1267" i="1"/>
  <c r="Z495" i="1"/>
  <c r="Z1259" i="1"/>
  <c r="E744" i="1"/>
  <c r="E721" i="1"/>
  <c r="E724" i="1"/>
  <c r="E1013" i="1" s="1"/>
  <c r="AF86" i="1"/>
  <c r="AF85" i="1"/>
  <c r="AG85" i="1"/>
  <c r="AJ84" i="1"/>
  <c r="AJ86" i="1" s="1"/>
  <c r="BT724" i="1"/>
  <c r="BT744" i="1"/>
  <c r="BT745" i="1" s="1"/>
  <c r="BT746" i="1" s="1"/>
  <c r="BT747" i="1" s="1"/>
  <c r="BT721" i="1"/>
  <c r="M134" i="9"/>
  <c r="M67" i="9"/>
  <c r="BJ106" i="9"/>
  <c r="AR312" i="1"/>
  <c r="BL963" i="1"/>
  <c r="E495" i="1"/>
  <c r="E1259" i="1"/>
  <c r="AP106" i="9"/>
  <c r="AQ106" i="9"/>
  <c r="S654" i="1"/>
  <c r="S657" i="1"/>
  <c r="D804" i="1"/>
  <c r="D491" i="1"/>
  <c r="E1267" i="1" s="1"/>
  <c r="D503" i="1"/>
  <c r="D502" i="1"/>
  <c r="AX55" i="9"/>
  <c r="AX136" i="9" s="1"/>
  <c r="AX406" i="1"/>
  <c r="AX65" i="9" s="1"/>
  <c r="U970" i="1"/>
  <c r="U969" i="1"/>
  <c r="U966" i="1"/>
  <c r="U967" i="1"/>
  <c r="U965" i="1"/>
  <c r="U962" i="1"/>
  <c r="BM658" i="1"/>
  <c r="BM661" i="1"/>
  <c r="AU21" i="9"/>
  <c r="AU312" i="1"/>
  <c r="BL721" i="1"/>
  <c r="BL744" i="1"/>
  <c r="BL745" i="1" s="1"/>
  <c r="BL746" i="1" s="1"/>
  <c r="BL747" i="1" s="1"/>
  <c r="BL724" i="1"/>
  <c r="AN38" i="1"/>
  <c r="AN35" i="1" s="1"/>
  <c r="AN32" i="1" s="1"/>
  <c r="AN33" i="1"/>
  <c r="AN31" i="1"/>
  <c r="X995" i="1"/>
  <c r="R995" i="1"/>
  <c r="K54" i="9"/>
  <c r="K988" i="1"/>
  <c r="K989" i="1" s="1"/>
  <c r="K764" i="1"/>
  <c r="K800" i="1"/>
  <c r="K807" i="1" s="1"/>
  <c r="K996" i="1" s="1"/>
  <c r="K997" i="1" s="1"/>
  <c r="K412" i="1"/>
  <c r="W13" i="1"/>
  <c r="W14" i="1"/>
  <c r="AP963" i="1"/>
  <c r="U134" i="9"/>
  <c r="U94" i="9"/>
  <c r="U91" i="9" s="1"/>
  <c r="U67" i="9"/>
  <c r="AV134" i="9"/>
  <c r="AV67" i="9"/>
  <c r="O33" i="1"/>
  <c r="O31" i="1"/>
  <c r="S995" i="1"/>
  <c r="AB1267" i="1"/>
  <c r="AB495" i="1"/>
  <c r="AB1259" i="1"/>
  <c r="AJ123" i="9"/>
  <c r="AE95" i="9"/>
  <c r="AE92" i="9" s="1"/>
  <c r="AE74" i="9"/>
  <c r="AR14" i="1"/>
  <c r="AR13" i="1"/>
  <c r="T135" i="9"/>
  <c r="AY1266" i="1"/>
  <c r="AU721" i="1"/>
  <c r="AU724" i="1"/>
  <c r="AU744" i="1"/>
  <c r="AU745" i="1" s="1"/>
  <c r="AU746" i="1" s="1"/>
  <c r="AU747" i="1" s="1"/>
  <c r="AS744" i="1"/>
  <c r="AS745" i="1" s="1"/>
  <c r="AS746" i="1" s="1"/>
  <c r="AS747" i="1" s="1"/>
  <c r="AS724" i="1"/>
  <c r="AS721" i="1"/>
  <c r="AM14" i="1"/>
  <c r="AC33" i="1"/>
  <c r="AC31" i="1"/>
  <c r="T55" i="9"/>
  <c r="T136" i="9" s="1"/>
  <c r="T406" i="1"/>
  <c r="T65" i="9" s="1"/>
  <c r="Y106" i="9"/>
  <c r="AA106" i="9"/>
  <c r="AC106" i="9"/>
  <c r="AB106" i="9"/>
  <c r="AX95" i="9"/>
  <c r="AX92" i="9" s="1"/>
  <c r="BC123" i="9"/>
  <c r="AX74" i="9"/>
  <c r="K744" i="1"/>
  <c r="K724" i="1"/>
  <c r="K1013" i="1" s="1"/>
  <c r="K721" i="1"/>
  <c r="BX128" i="1"/>
  <c r="Q117" i="9"/>
  <c r="AZ963" i="1"/>
  <c r="K95" i="9"/>
  <c r="K92" i="9" s="1"/>
  <c r="P123" i="9"/>
  <c r="K74" i="9"/>
  <c r="BQ13" i="1"/>
  <c r="BQ14" i="1"/>
  <c r="AM995" i="1"/>
  <c r="AP495" i="1"/>
  <c r="AP1259" i="1"/>
  <c r="F744" i="1"/>
  <c r="F721" i="1"/>
  <c r="F724" i="1"/>
  <c r="F1013" i="1" s="1"/>
  <c r="BR23" i="1"/>
  <c r="BR18" i="9" s="1"/>
  <c r="M14" i="1"/>
  <c r="M13" i="1"/>
  <c r="AI1273" i="1"/>
  <c r="AR804" i="1"/>
  <c r="AR803" i="1" s="1"/>
  <c r="AP804" i="1"/>
  <c r="AP803" i="1" s="1"/>
  <c r="AQ804" i="1"/>
  <c r="AQ803" i="1" s="1"/>
  <c r="BJ995" i="1"/>
  <c r="BV167" i="1"/>
  <c r="AA1264" i="1"/>
  <c r="AA657" i="1"/>
  <c r="AA654" i="1"/>
  <c r="AZ1264" i="1"/>
  <c r="O123" i="9"/>
  <c r="J95" i="9"/>
  <c r="J92" i="9" s="1"/>
  <c r="J74" i="9"/>
  <c r="J55" i="9"/>
  <c r="J136" i="9" s="1"/>
  <c r="J406" i="1"/>
  <c r="J65" i="9" s="1"/>
  <c r="BI123" i="9"/>
  <c r="BD95" i="9"/>
  <c r="BD92" i="9" s="1"/>
  <c r="BD74" i="9"/>
  <c r="AB654" i="1"/>
  <c r="AB657" i="1"/>
  <c r="Q12" i="1"/>
  <c r="Q8" i="1"/>
  <c r="BQ123" i="9"/>
  <c r="BL74" i="9"/>
  <c r="BL95" i="9"/>
  <c r="BL92" i="9" s="1"/>
  <c r="AR241" i="1"/>
  <c r="BN134" i="9"/>
  <c r="BN67" i="9"/>
  <c r="BN94" i="9"/>
  <c r="BN91" i="9" s="1"/>
  <c r="M95" i="9"/>
  <c r="M92" i="9" s="1"/>
  <c r="R123" i="9"/>
  <c r="M74" i="9"/>
  <c r="T33" i="1"/>
  <c r="T31" i="1"/>
  <c r="L47" i="9"/>
  <c r="L497" i="1"/>
  <c r="L505" i="1"/>
  <c r="L500" i="1"/>
  <c r="L1260" i="1"/>
  <c r="BE495" i="1"/>
  <c r="BE1259" i="1"/>
  <c r="AJ33" i="1"/>
  <c r="AJ1264" i="1"/>
  <c r="AK33" i="1"/>
  <c r="AK38" i="1"/>
  <c r="AK35" i="1" s="1"/>
  <c r="AK32" i="1" s="1"/>
  <c r="AK31" i="1"/>
  <c r="BA1266" i="1"/>
  <c r="BF1266" i="1"/>
  <c r="N123" i="9"/>
  <c r="I74" i="9"/>
  <c r="R1266" i="1"/>
  <c r="BM123" i="9"/>
  <c r="BH74" i="9"/>
  <c r="BH95" i="9"/>
  <c r="BH92" i="9" s="1"/>
  <c r="BJ95" i="9"/>
  <c r="BJ92" i="9" s="1"/>
  <c r="BK95" i="9"/>
  <c r="BK92" i="9" s="1"/>
  <c r="AX221" i="1"/>
  <c r="BH1266" i="1"/>
  <c r="AK1264" i="1"/>
  <c r="BD123" i="9"/>
  <c r="AY95" i="9"/>
  <c r="AY92" i="9" s="1"/>
  <c r="AY74" i="9"/>
  <c r="P970" i="1"/>
  <c r="P967" i="1"/>
  <c r="P969" i="1"/>
  <c r="P966" i="1"/>
  <c r="BN744" i="1"/>
  <c r="BN724" i="1"/>
  <c r="BN1013" i="1" s="1"/>
  <c r="BN721" i="1"/>
  <c r="BN766" i="1"/>
  <c r="BL14" i="1"/>
  <c r="H54" i="9"/>
  <c r="H764" i="1"/>
  <c r="H988" i="1"/>
  <c r="H412" i="1"/>
  <c r="AA172" i="1"/>
  <c r="AA173" i="1"/>
  <c r="AA169" i="1"/>
  <c r="AA174" i="1"/>
  <c r="K206" i="1"/>
  <c r="AN13" i="1"/>
  <c r="AN14" i="1"/>
  <c r="AK721" i="1"/>
  <c r="AK724" i="1"/>
  <c r="AK744" i="1"/>
  <c r="AK745" i="1" s="1"/>
  <c r="AK746" i="1" s="1"/>
  <c r="AK747" i="1" s="1"/>
  <c r="BG134" i="9"/>
  <c r="BG67" i="9"/>
  <c r="AV724" i="1"/>
  <c r="AV744" i="1"/>
  <c r="AV745" i="1" s="1"/>
  <c r="AV746" i="1" s="1"/>
  <c r="AV747" i="1" s="1"/>
  <c r="AV721" i="1"/>
  <c r="AC206" i="1"/>
  <c r="AC721" i="1"/>
  <c r="AC724" i="1"/>
  <c r="AC744" i="1"/>
  <c r="AC745" i="1" s="1"/>
  <c r="AC746" i="1" s="1"/>
  <c r="AC747" i="1" s="1"/>
  <c r="AQ995" i="1"/>
  <c r="AM495" i="1"/>
  <c r="AM1259" i="1"/>
  <c r="BA1264" i="1"/>
  <c r="BJ113" i="9"/>
  <c r="AD33" i="1"/>
  <c r="AD31" i="1"/>
  <c r="C999" i="1"/>
  <c r="C1009" i="1"/>
  <c r="BO966" i="1"/>
  <c r="BO970" i="1"/>
  <c r="BO967" i="1"/>
  <c r="R1267" i="1"/>
  <c r="R495" i="1"/>
  <c r="R1259" i="1"/>
  <c r="AY116" i="9"/>
  <c r="AY117" i="9" s="1"/>
  <c r="AZ241" i="1"/>
  <c r="AS135" i="9"/>
  <c r="AI970" i="1"/>
  <c r="AI966" i="1"/>
  <c r="AI965" i="1"/>
  <c r="AI967" i="1"/>
  <c r="AI969" i="1"/>
  <c r="AI962" i="1"/>
  <c r="AS123" i="9"/>
  <c r="AN95" i="9"/>
  <c r="AN92" i="9" s="1"/>
  <c r="AN74" i="9"/>
  <c r="BH135" i="9"/>
  <c r="BB14" i="1"/>
  <c r="BB13" i="1"/>
  <c r="AD123" i="9"/>
  <c r="Y74" i="9"/>
  <c r="Y95" i="9"/>
  <c r="Y92" i="9" s="1"/>
  <c r="AC1264" i="1"/>
  <c r="AR20" i="9"/>
  <c r="N654" i="1"/>
  <c r="N657" i="1"/>
  <c r="BE1268" i="1"/>
  <c r="O239" i="1"/>
  <c r="Y657" i="1"/>
  <c r="Y654" i="1"/>
  <c r="BU75" i="9"/>
  <c r="BU1274" i="1"/>
  <c r="BU1150" i="1"/>
  <c r="D55" i="9"/>
  <c r="D136" i="9" s="1"/>
  <c r="D406" i="1"/>
  <c r="D65" i="9" s="1"/>
  <c r="BR17" i="1"/>
  <c r="BR29" i="9" s="1"/>
  <c r="BR19" i="1"/>
  <c r="BR31" i="9" s="1"/>
  <c r="X724" i="1"/>
  <c r="X721" i="1"/>
  <c r="X744" i="1"/>
  <c r="X745" i="1" s="1"/>
  <c r="X746" i="1" s="1"/>
  <c r="X747" i="1" s="1"/>
  <c r="BN38" i="1"/>
  <c r="BN35" i="1" s="1"/>
  <c r="BN33" i="1"/>
  <c r="BN20" i="9" s="1"/>
  <c r="Z968" i="1"/>
  <c r="Z964" i="1"/>
  <c r="AY20" i="9"/>
  <c r="AY311" i="1"/>
  <c r="BH721" i="1"/>
  <c r="BH724" i="1"/>
  <c r="BH744" i="1"/>
  <c r="BH745" i="1" s="1"/>
  <c r="BH746" i="1" s="1"/>
  <c r="BH747" i="1" s="1"/>
  <c r="L2" i="9"/>
  <c r="L5" i="13"/>
  <c r="L5" i="11"/>
  <c r="M5" i="1"/>
  <c r="AT721" i="1"/>
  <c r="AT744" i="1"/>
  <c r="AT724" i="1"/>
  <c r="AT1013" i="1" s="1"/>
  <c r="AT766" i="1"/>
  <c r="BS76" i="9"/>
  <c r="BS82" i="9" s="1"/>
  <c r="BS139" i="9" s="1"/>
  <c r="AT33" i="1"/>
  <c r="AT38" i="1"/>
  <c r="AT35" i="1" s="1"/>
  <c r="AT32" i="1" s="1"/>
  <c r="J135" i="9"/>
  <c r="N134" i="9"/>
  <c r="N67" i="9"/>
  <c r="BV75" i="9"/>
  <c r="BV1274" i="1"/>
  <c r="BV1150" i="1"/>
  <c r="D480" i="1"/>
  <c r="D411" i="1"/>
  <c r="AZ989" i="1"/>
  <c r="AH495" i="1"/>
  <c r="AH1259" i="1"/>
  <c r="T653" i="1"/>
  <c r="T661" i="1"/>
  <c r="T658" i="1"/>
  <c r="AO116" i="9"/>
  <c r="AO117" i="9" s="1"/>
  <c r="AC134" i="9"/>
  <c r="AC67" i="9"/>
  <c r="F54" i="9"/>
  <c r="F988" i="1"/>
  <c r="F989" i="1" s="1"/>
  <c r="F800" i="1"/>
  <c r="F807" i="1" s="1"/>
  <c r="F996" i="1" s="1"/>
  <c r="F997" i="1" s="1"/>
  <c r="F764" i="1"/>
  <c r="F412" i="1"/>
  <c r="BJ123" i="9"/>
  <c r="BE95" i="9"/>
  <c r="BE92" i="9" s="1"/>
  <c r="BE74" i="9"/>
  <c r="BF95" i="9"/>
  <c r="BF92" i="9" s="1"/>
  <c r="S744" i="1"/>
  <c r="S745" i="1" s="1"/>
  <c r="S746" i="1" s="1"/>
  <c r="S747" i="1" s="1"/>
  <c r="S724" i="1"/>
  <c r="S721" i="1"/>
  <c r="BY1226" i="1"/>
  <c r="AH995" i="1"/>
  <c r="BI54" i="9"/>
  <c r="BI988" i="1"/>
  <c r="BI989" i="1" s="1"/>
  <c r="BI764" i="1"/>
  <c r="BI412" i="1"/>
  <c r="BI800" i="1"/>
  <c r="BI807" i="1" s="1"/>
  <c r="BI996" i="1" s="1"/>
  <c r="BI997" i="1" s="1"/>
  <c r="BI765" i="1"/>
  <c r="BR70" i="9"/>
  <c r="BR72" i="9" s="1"/>
  <c r="BR123" i="9" s="1"/>
  <c r="BR740" i="1"/>
  <c r="BR741" i="1" s="1"/>
  <c r="BR742" i="1" s="1"/>
  <c r="BR743" i="1" s="1"/>
  <c r="BR723" i="1"/>
  <c r="BW111" i="1"/>
  <c r="BW181" i="1"/>
  <c r="BY108" i="1"/>
  <c r="AE146" i="1"/>
  <c r="AF50" i="1"/>
  <c r="AJ50" i="1"/>
  <c r="AE45" i="1"/>
  <c r="AY744" i="1"/>
  <c r="AY724" i="1"/>
  <c r="AY1013" i="1" s="1"/>
  <c r="AY721" i="1"/>
  <c r="AY766" i="1"/>
  <c r="AX23" i="1"/>
  <c r="AX18" i="9" s="1"/>
  <c r="AX22" i="1"/>
  <c r="AX28" i="1"/>
  <c r="AZ31" i="1" s="1"/>
  <c r="Q206" i="1"/>
  <c r="W95" i="9"/>
  <c r="W92" i="9" s="1"/>
  <c r="AB123" i="9"/>
  <c r="W74" i="9"/>
  <c r="BC204" i="1"/>
  <c r="BC206" i="1" s="1"/>
  <c r="BG38" i="1"/>
  <c r="BG35" i="1" s="1"/>
  <c r="BG32" i="1" s="1"/>
  <c r="BG33" i="1"/>
  <c r="BG31" i="1"/>
  <c r="O14" i="1"/>
  <c r="O13" i="1"/>
  <c r="BU9" i="1"/>
  <c r="BU155" i="1"/>
  <c r="BU157" i="1"/>
  <c r="BN1266" i="1"/>
  <c r="AJ1267" i="1"/>
  <c r="AJ1259" i="1"/>
  <c r="AJ495" i="1"/>
  <c r="Q1264" i="1"/>
  <c r="V33" i="1"/>
  <c r="V31" i="1"/>
  <c r="BD206" i="1"/>
  <c r="BE1266" i="1"/>
  <c r="K971" i="1"/>
  <c r="K963" i="1"/>
  <c r="BR106" i="9"/>
  <c r="AT241" i="1"/>
  <c r="G569" i="1"/>
  <c r="G564" i="1"/>
  <c r="BM113" i="9"/>
  <c r="BP113" i="9"/>
  <c r="H724" i="1"/>
  <c r="H721" i="1"/>
  <c r="H744" i="1"/>
  <c r="H745" i="1" s="1"/>
  <c r="H746" i="1" s="1"/>
  <c r="H747" i="1" s="1"/>
  <c r="BX108" i="1"/>
  <c r="AY54" i="9"/>
  <c r="AY988" i="1"/>
  <c r="AY989" i="1" s="1"/>
  <c r="AY764" i="1"/>
  <c r="AY412" i="1"/>
  <c r="AY800" i="1"/>
  <c r="AY807" i="1" s="1"/>
  <c r="AY996" i="1" s="1"/>
  <c r="AY997" i="1" s="1"/>
  <c r="AY765" i="1"/>
  <c r="AM724" i="1"/>
  <c r="AM744" i="1"/>
  <c r="AM745" i="1" s="1"/>
  <c r="AM746" i="1" s="1"/>
  <c r="AM747" i="1" s="1"/>
  <c r="AM721" i="1"/>
  <c r="AO123" i="9"/>
  <c r="AJ95" i="9"/>
  <c r="AJ92" i="9" s="1"/>
  <c r="AJ74" i="9"/>
  <c r="AP1266" i="1"/>
  <c r="BR38" i="1"/>
  <c r="BR35" i="1" s="1"/>
  <c r="BR31" i="1"/>
  <c r="Q124" i="9"/>
  <c r="L76" i="9"/>
  <c r="L82" i="9" s="1"/>
  <c r="L139" i="9" s="1"/>
  <c r="BP47" i="9"/>
  <c r="BP497" i="1"/>
  <c r="BP505" i="1"/>
  <c r="BP500" i="1"/>
  <c r="BP1260" i="1"/>
  <c r="V113" i="9"/>
  <c r="V117" i="9" s="1"/>
  <c r="BO962" i="1"/>
  <c r="AT1267" i="1"/>
  <c r="AT1259" i="1"/>
  <c r="AT495" i="1"/>
  <c r="BJ495" i="1"/>
  <c r="BJ1259" i="1"/>
  <c r="BS806" i="1"/>
  <c r="BS807" i="1" s="1"/>
  <c r="BS996" i="1" s="1"/>
  <c r="BS997" i="1" s="1"/>
  <c r="BQ744" i="1"/>
  <c r="BQ745" i="1" s="1"/>
  <c r="BQ746" i="1" s="1"/>
  <c r="BQ747" i="1" s="1"/>
  <c r="BQ724" i="1"/>
  <c r="BQ721" i="1"/>
  <c r="V123" i="9"/>
  <c r="Q95" i="9"/>
  <c r="Q92" i="9" s="1"/>
  <c r="Q74" i="9"/>
  <c r="BD38" i="1"/>
  <c r="BD35" i="1" s="1"/>
  <c r="BD32" i="1" s="1"/>
  <c r="BD33" i="1"/>
  <c r="J64" i="9"/>
  <c r="J668" i="1"/>
  <c r="J669" i="1" s="1"/>
  <c r="V495" i="1"/>
  <c r="V1259" i="1"/>
  <c r="AO1266" i="1"/>
  <c r="AR989" i="1"/>
  <c r="AE123" i="9"/>
  <c r="Z74" i="9"/>
  <c r="Z124" i="9" s="1"/>
  <c r="Z95" i="9"/>
  <c r="Z92" i="9" s="1"/>
  <c r="M123" i="9"/>
  <c r="H74" i="9"/>
  <c r="X123" i="9"/>
  <c r="S95" i="9"/>
  <c r="S92" i="9" s="1"/>
  <c r="S74" i="9"/>
  <c r="W1267" i="1"/>
  <c r="W1259" i="1"/>
  <c r="W495" i="1"/>
  <c r="CB1241" i="1"/>
  <c r="BM963" i="1"/>
  <c r="BM970" i="1"/>
  <c r="BM967" i="1"/>
  <c r="BM966" i="1"/>
  <c r="BM969" i="1"/>
  <c r="BA106" i="9"/>
  <c r="F1266" i="1"/>
  <c r="AA14" i="1"/>
  <c r="AY1267" i="1"/>
  <c r="AY495" i="1"/>
  <c r="AY1259" i="1"/>
  <c r="BA995" i="1"/>
  <c r="AO963" i="1"/>
  <c r="L963" i="1"/>
  <c r="BS116" i="9"/>
  <c r="BS117" i="9" s="1"/>
  <c r="AS8" i="1"/>
  <c r="BF123" i="9"/>
  <c r="BA95" i="9"/>
  <c r="BA92" i="9" s="1"/>
  <c r="BA74" i="9"/>
  <c r="AL1267" i="1"/>
  <c r="AL495" i="1"/>
  <c r="AL1259" i="1"/>
  <c r="D744" i="1"/>
  <c r="D724" i="1"/>
  <c r="D1013" i="1" s="1"/>
  <c r="D721" i="1"/>
  <c r="AK123" i="9"/>
  <c r="AF95" i="9"/>
  <c r="AF92" i="9" s="1"/>
  <c r="AF74" i="9"/>
  <c r="AS64" i="9"/>
  <c r="AS668" i="1"/>
  <c r="AA171" i="1"/>
  <c r="H2" i="9"/>
  <c r="H5" i="11"/>
  <c r="H5" i="13"/>
  <c r="I5" i="1"/>
  <c r="AG12" i="1"/>
  <c r="AH13" i="1" s="1"/>
  <c r="AG8" i="1"/>
  <c r="AE241" i="1"/>
  <c r="BD1266" i="1"/>
  <c r="AK995" i="1"/>
  <c r="P744" i="1"/>
  <c r="P721" i="1"/>
  <c r="P724" i="1"/>
  <c r="P1013" i="1" s="1"/>
  <c r="BP175" i="1"/>
  <c r="AC995" i="1"/>
  <c r="D963" i="1"/>
  <c r="AQ744" i="1"/>
  <c r="AQ745" i="1" s="1"/>
  <c r="AQ746" i="1" s="1"/>
  <c r="AQ747" i="1" s="1"/>
  <c r="AQ724" i="1"/>
  <c r="AQ721" i="1"/>
  <c r="AU47" i="9"/>
  <c r="AU500" i="1"/>
  <c r="AU497" i="1"/>
  <c r="AU505" i="1"/>
  <c r="AU1260" i="1"/>
  <c r="BO134" i="9"/>
  <c r="BO67" i="9"/>
  <c r="BO94" i="9"/>
  <c r="BO91" i="9" s="1"/>
  <c r="AD95" i="9"/>
  <c r="AD92" i="9" s="1"/>
  <c r="AD74" i="9"/>
  <c r="BZ1253" i="1"/>
  <c r="BY1026" i="1"/>
  <c r="BY10" i="9" s="1"/>
  <c r="AI134" i="9"/>
  <c r="AI94" i="9"/>
  <c r="AI91" i="9" s="1"/>
  <c r="AI67" i="9"/>
  <c r="AA241" i="1"/>
  <c r="AF241" i="1"/>
  <c r="N117" i="9"/>
  <c r="BE123" i="9"/>
  <c r="AZ95" i="9"/>
  <c r="AZ92" i="9" s="1"/>
  <c r="AZ74" i="9"/>
  <c r="Q495" i="1"/>
  <c r="Q1259" i="1"/>
  <c r="AB995" i="1"/>
  <c r="BI33" i="1"/>
  <c r="BI38" i="1"/>
  <c r="BI35" i="1" s="1"/>
  <c r="BI32" i="1" s="1"/>
  <c r="CB235" i="1"/>
  <c r="I495" i="1"/>
  <c r="I1259" i="1"/>
  <c r="AX1273" i="1"/>
  <c r="AS33" i="1"/>
  <c r="AS38" i="1"/>
  <c r="AS35" i="1" s="1"/>
  <c r="AS32" i="1" s="1"/>
  <c r="AS31" i="1"/>
  <c r="AU31" i="1"/>
  <c r="AU995" i="1"/>
  <c r="BT95" i="9"/>
  <c r="BT92" i="9" s="1"/>
  <c r="BT74" i="9"/>
  <c r="BT123" i="9"/>
  <c r="AX54" i="9"/>
  <c r="BB94" i="9" s="1"/>
  <c r="BB91" i="9" s="1"/>
  <c r="AX988" i="1"/>
  <c r="AX800" i="1"/>
  <c r="AX412" i="1"/>
  <c r="V1264" i="1"/>
  <c r="AJ724" i="1"/>
  <c r="AJ1013" i="1" s="1"/>
  <c r="AJ744" i="1"/>
  <c r="AJ721" i="1"/>
  <c r="AJ766" i="1"/>
  <c r="Q995" i="1"/>
  <c r="Q657" i="1"/>
  <c r="Q654" i="1"/>
  <c r="BO113" i="9"/>
  <c r="E661" i="1"/>
  <c r="BL106" i="9"/>
  <c r="M33" i="1"/>
  <c r="M31" i="1"/>
  <c r="R33" i="1"/>
  <c r="M1264" i="1"/>
  <c r="I537" i="1"/>
  <c r="I541" i="1" s="1"/>
  <c r="H554" i="1"/>
  <c r="H562" i="1" s="1"/>
  <c r="BJ658" i="1"/>
  <c r="AE1267" i="1"/>
  <c r="AE1259" i="1"/>
  <c r="AE495" i="1"/>
  <c r="S134" i="9"/>
  <c r="S67" i="9"/>
  <c r="E1273" i="1"/>
  <c r="AQ970" i="1"/>
  <c r="AQ967" i="1"/>
  <c r="AQ966" i="1"/>
  <c r="AQ969" i="1"/>
  <c r="AS106" i="9"/>
  <c r="U1267" i="1"/>
  <c r="U495" i="1"/>
  <c r="U1259" i="1"/>
  <c r="F971" i="1"/>
  <c r="F963" i="1"/>
  <c r="BL47" i="9"/>
  <c r="BL505" i="1"/>
  <c r="BL500" i="1"/>
  <c r="BL497" i="1"/>
  <c r="BL1260" i="1"/>
  <c r="T13" i="1"/>
  <c r="T14" i="1"/>
  <c r="AI33" i="1"/>
  <c r="AI31" i="1"/>
  <c r="O64" i="9"/>
  <c r="O668" i="1"/>
  <c r="O669" i="1" s="1"/>
  <c r="N12" i="1"/>
  <c r="P12" i="1" s="1"/>
  <c r="N8" i="1"/>
  <c r="BQ113" i="9"/>
  <c r="AM1266" i="1"/>
  <c r="BM803" i="1"/>
  <c r="BH19" i="1"/>
  <c r="BH31" i="9" s="1"/>
  <c r="P1266" i="1"/>
  <c r="U1266" i="1"/>
  <c r="BH54" i="9"/>
  <c r="BH988" i="1"/>
  <c r="BH800" i="1"/>
  <c r="BH412" i="1"/>
  <c r="I744" i="1"/>
  <c r="I745" i="1" s="1"/>
  <c r="I746" i="1" s="1"/>
  <c r="I747" i="1" s="1"/>
  <c r="I721" i="1"/>
  <c r="I724" i="1"/>
  <c r="J480" i="1"/>
  <c r="J411" i="1"/>
  <c r="J66" i="9" s="1"/>
  <c r="BS33" i="1"/>
  <c r="BS20" i="9" s="1"/>
  <c r="AV116" i="9"/>
  <c r="G66" i="9"/>
  <c r="G1273" i="1"/>
  <c r="AO33" i="1"/>
  <c r="BG1266" i="1"/>
  <c r="AK495" i="1"/>
  <c r="AK1259" i="1"/>
  <c r="BM962" i="1"/>
  <c r="BJ33" i="1"/>
  <c r="BJ20" i="9" s="1"/>
  <c r="AW804" i="1"/>
  <c r="AW803" i="1" s="1"/>
  <c r="AV804" i="1"/>
  <c r="AV803" i="1" s="1"/>
  <c r="AU804" i="1"/>
  <c r="AU803" i="1" s="1"/>
  <c r="C495" i="1"/>
  <c r="C1259" i="1"/>
  <c r="BB1266" i="1"/>
  <c r="AM113" i="9"/>
  <c r="AD221" i="1"/>
  <c r="BH31" i="1"/>
  <c r="BH38" i="1"/>
  <c r="BH35" i="1" s="1"/>
  <c r="X113" i="9"/>
  <c r="X117" i="9" s="1"/>
  <c r="AQ962" i="1"/>
  <c r="AT123" i="9"/>
  <c r="AO95" i="9"/>
  <c r="AO92" i="9" s="1"/>
  <c r="AO74" i="9"/>
  <c r="AH1266" i="1"/>
  <c r="AV241" i="1"/>
  <c r="P134" i="9"/>
  <c r="P67" i="9"/>
  <c r="P94" i="9"/>
  <c r="P91" i="9" s="1"/>
  <c r="BG495" i="1"/>
  <c r="BG1259" i="1"/>
  <c r="AJ98" i="1"/>
  <c r="AF98" i="1"/>
  <c r="AE148" i="1"/>
  <c r="AI70" i="9"/>
  <c r="AI72" i="9" s="1"/>
  <c r="AL95" i="9" s="1"/>
  <c r="AL92" i="9" s="1"/>
  <c r="AI740" i="1"/>
  <c r="AI741" i="1" s="1"/>
  <c r="AI742" i="1" s="1"/>
  <c r="AI743" i="1" s="1"/>
  <c r="AI723" i="1"/>
  <c r="BS1267" i="1"/>
  <c r="BS495" i="1"/>
  <c r="BS1259" i="1"/>
  <c r="I657" i="1"/>
  <c r="I654" i="1"/>
  <c r="AS55" i="9"/>
  <c r="AS136" i="9" s="1"/>
  <c r="AS406" i="1"/>
  <c r="AS65" i="9" s="1"/>
  <c r="BR94" i="9"/>
  <c r="BR91" i="9" s="1"/>
  <c r="AP94" i="9"/>
  <c r="AP91" i="9" s="1"/>
  <c r="AV38" i="1"/>
  <c r="AV35" i="1" s="1"/>
  <c r="AV32" i="1" s="1"/>
  <c r="AV31" i="1"/>
  <c r="AV33" i="1"/>
  <c r="X657" i="1"/>
  <c r="X654" i="1"/>
  <c r="L241" i="1"/>
  <c r="AV995" i="1"/>
  <c r="AW995" i="1"/>
  <c r="AF123" i="9"/>
  <c r="AA95" i="9"/>
  <c r="AA92" i="9" s="1"/>
  <c r="AA74" i="9"/>
  <c r="BU191" i="1"/>
  <c r="BU135" i="1"/>
  <c r="BU17" i="9" s="1"/>
  <c r="BU134" i="1"/>
  <c r="BR159" i="1"/>
  <c r="AC175" i="1"/>
  <c r="AN724" i="1"/>
  <c r="AN744" i="1"/>
  <c r="AN745" i="1" s="1"/>
  <c r="AN746" i="1" s="1"/>
  <c r="AN747" i="1" s="1"/>
  <c r="AN721" i="1"/>
  <c r="AA54" i="9"/>
  <c r="AA764" i="1"/>
  <c r="AA988" i="1"/>
  <c r="AA412" i="1"/>
  <c r="AQ1267" i="1"/>
  <c r="AQ495" i="1"/>
  <c r="AQ1259" i="1"/>
  <c r="BM1266" i="1"/>
  <c r="AQ123" i="9"/>
  <c r="AL74" i="9"/>
  <c r="AF495" i="1"/>
  <c r="AF1259" i="1"/>
  <c r="BB33" i="1"/>
  <c r="BB31" i="1"/>
  <c r="BB38" i="1"/>
  <c r="BB35" i="1" s="1"/>
  <c r="BB32" i="1" s="1"/>
  <c r="G1266" i="1"/>
  <c r="BT94" i="9"/>
  <c r="BT91" i="9" s="1"/>
  <c r="AM175" i="1"/>
  <c r="BK995" i="1"/>
  <c r="AI1264" i="1"/>
  <c r="AB721" i="1"/>
  <c r="AB744" i="1"/>
  <c r="AB745" i="1" s="1"/>
  <c r="AB746" i="1" s="1"/>
  <c r="AB747" i="1" s="1"/>
  <c r="AB724" i="1"/>
  <c r="Y661" i="1"/>
  <c r="BW518" i="1"/>
  <c r="BW510" i="1"/>
  <c r="BW730" i="1" s="1"/>
  <c r="BV526" i="1"/>
  <c r="BV529" i="1" s="1"/>
  <c r="BV523" i="1"/>
  <c r="BV524" i="1"/>
  <c r="BW521" i="1"/>
  <c r="BV113" i="1"/>
  <c r="BV105" i="1"/>
  <c r="BV106" i="1"/>
  <c r="AX658" i="1"/>
  <c r="AX661" i="1"/>
  <c r="BU95" i="1"/>
  <c r="BU15" i="9" s="1"/>
  <c r="BU94" i="1"/>
  <c r="BU189" i="1"/>
  <c r="AS995" i="1"/>
  <c r="BA989" i="1"/>
  <c r="Q744" i="1"/>
  <c r="Q745" i="1" s="1"/>
  <c r="Q746" i="1" s="1"/>
  <c r="Q747" i="1" s="1"/>
  <c r="Q721" i="1"/>
  <c r="Q724" i="1"/>
  <c r="AX12" i="1"/>
  <c r="AX8" i="1"/>
  <c r="Q658" i="1"/>
  <c r="BE744" i="1"/>
  <c r="BE745" i="1" s="1"/>
  <c r="BE746" i="1" s="1"/>
  <c r="BE747" i="1" s="1"/>
  <c r="BE721" i="1"/>
  <c r="BE724" i="1"/>
  <c r="V721" i="1"/>
  <c r="V744" i="1"/>
  <c r="V745" i="1" s="1"/>
  <c r="V746" i="1" s="1"/>
  <c r="V747" i="1" s="1"/>
  <c r="V724" i="1"/>
  <c r="BT47" i="9"/>
  <c r="BT505" i="1"/>
  <c r="BT500" i="1"/>
  <c r="BT497" i="1"/>
  <c r="BT1260" i="1"/>
  <c r="E698" i="1"/>
  <c r="N744" i="1"/>
  <c r="N745" i="1" s="1"/>
  <c r="N746" i="1" s="1"/>
  <c r="N747" i="1" s="1"/>
  <c r="N721" i="1"/>
  <c r="N724" i="1"/>
  <c r="BB495" i="1"/>
  <c r="BB1259" i="1"/>
  <c r="W113" i="9"/>
  <c r="W117" i="9" s="1"/>
  <c r="BY67" i="1"/>
  <c r="BZ64" i="1"/>
  <c r="BY179" i="1"/>
  <c r="V95" i="9"/>
  <c r="V92" i="9" s="1"/>
  <c r="AA123" i="9"/>
  <c r="V74" i="9"/>
  <c r="S123" i="9"/>
  <c r="N95" i="9"/>
  <c r="N92" i="9" s="1"/>
  <c r="N74" i="9"/>
  <c r="AQ134" i="9"/>
  <c r="AQ94" i="9"/>
  <c r="AQ91" i="9" s="1"/>
  <c r="AQ67" i="9"/>
  <c r="AR1266" i="1"/>
  <c r="AU95" i="9"/>
  <c r="AU92" i="9" s="1"/>
  <c r="AZ123" i="9"/>
  <c r="AU74" i="9"/>
  <c r="AH241" i="1"/>
  <c r="BT989" i="1"/>
  <c r="AC14" i="1"/>
  <c r="BM1265" i="1"/>
  <c r="BM239" i="1"/>
  <c r="BM240" i="1"/>
  <c r="BR239" i="1"/>
  <c r="J744" i="1"/>
  <c r="J745" i="1" s="1"/>
  <c r="J746" i="1" s="1"/>
  <c r="J747" i="1" s="1"/>
  <c r="J724" i="1"/>
  <c r="J721" i="1"/>
  <c r="Q134" i="9"/>
  <c r="Q94" i="9"/>
  <c r="Q91" i="9" s="1"/>
  <c r="Q67" i="9"/>
  <c r="BD744" i="1"/>
  <c r="BD721" i="1"/>
  <c r="BD724" i="1"/>
  <c r="BD1013" i="1" s="1"/>
  <c r="BD766" i="1"/>
  <c r="Z744" i="1"/>
  <c r="Z724" i="1"/>
  <c r="Z1013" i="1" s="1"/>
  <c r="Z721" i="1"/>
  <c r="Z766" i="1"/>
  <c r="BP33" i="1"/>
  <c r="BP20" i="9" s="1"/>
  <c r="BP31" i="1"/>
  <c r="BP38" i="1"/>
  <c r="BP35" i="1" s="1"/>
  <c r="BQ31" i="1"/>
  <c r="BM116" i="9"/>
  <c r="Q123" i="9"/>
  <c r="BP1267" i="1"/>
  <c r="BR1264" i="1"/>
  <c r="AR495" i="1"/>
  <c r="AR1259" i="1"/>
  <c r="AU123" i="9"/>
  <c r="AP74" i="9"/>
  <c r="AP95" i="9"/>
  <c r="AP92" i="9" s="1"/>
  <c r="S113" i="9"/>
  <c r="S117" i="9" s="1"/>
  <c r="L20" i="9"/>
  <c r="L311" i="1"/>
  <c r="M995" i="1"/>
  <c r="M1267" i="1"/>
  <c r="M1259" i="1"/>
  <c r="M495" i="1"/>
  <c r="AN1264" i="1"/>
  <c r="BQ995" i="1"/>
  <c r="BI963" i="1"/>
  <c r="BF206" i="1"/>
  <c r="AR123" i="9"/>
  <c r="AM74" i="9"/>
  <c r="BB724" i="1"/>
  <c r="BB744" i="1"/>
  <c r="BB745" i="1" s="1"/>
  <c r="BB746" i="1" s="1"/>
  <c r="BB747" i="1" s="1"/>
  <c r="BB721" i="1"/>
  <c r="BG106" i="9"/>
  <c r="BC239" i="1"/>
  <c r="J653" i="1"/>
  <c r="J658" i="1"/>
  <c r="L658" i="1"/>
  <c r="BD54" i="9"/>
  <c r="BD764" i="1"/>
  <c r="BD800" i="1"/>
  <c r="BD988" i="1"/>
  <c r="BD989" i="1" s="1"/>
  <c r="BD412" i="1"/>
  <c r="BD765" i="1"/>
  <c r="G54" i="9"/>
  <c r="G764" i="1"/>
  <c r="G988" i="1"/>
  <c r="G412" i="1"/>
  <c r="AO32" i="1"/>
  <c r="AN989" i="1"/>
  <c r="BF175" i="1"/>
  <c r="AB33" i="1"/>
  <c r="AB31" i="1"/>
  <c r="AB1264" i="1"/>
  <c r="AD239" i="1"/>
  <c r="AF744" i="1"/>
  <c r="AF745" i="1" s="1"/>
  <c r="AF746" i="1" s="1"/>
  <c r="AF747" i="1" s="1"/>
  <c r="AF724" i="1"/>
  <c r="AF721" i="1"/>
  <c r="BC54" i="9"/>
  <c r="BG94" i="9" s="1"/>
  <c r="BG91" i="9" s="1"/>
  <c r="BC800" i="1"/>
  <c r="BC988" i="1"/>
  <c r="BC412" i="1"/>
  <c r="BD106" i="9"/>
  <c r="BM134" i="9"/>
  <c r="BM94" i="9"/>
  <c r="BM91" i="9" s="1"/>
  <c r="BM67" i="9"/>
  <c r="BM744" i="1"/>
  <c r="BM745" i="1" s="1"/>
  <c r="BM746" i="1" s="1"/>
  <c r="BM747" i="1" s="1"/>
  <c r="BM721" i="1"/>
  <c r="BM724" i="1"/>
  <c r="AH1264" i="1"/>
  <c r="BT106" i="9"/>
  <c r="BH64" i="9"/>
  <c r="BH668" i="1"/>
  <c r="BH803" i="1"/>
  <c r="BG123" i="9"/>
  <c r="BB95" i="9"/>
  <c r="BB92" i="9" s="1"/>
  <c r="BB74" i="9"/>
  <c r="BB123" i="9"/>
  <c r="AV1266" i="1"/>
  <c r="AM123" i="9"/>
  <c r="AH74" i="9"/>
  <c r="AH95" i="9"/>
  <c r="AH92" i="9" s="1"/>
  <c r="BC221" i="1"/>
  <c r="AR106" i="9"/>
  <c r="BM14" i="1"/>
  <c r="BM13" i="1"/>
  <c r="AS54" i="9"/>
  <c r="AS988" i="1"/>
  <c r="AS800" i="1"/>
  <c r="AS412" i="1"/>
  <c r="AB1266" i="1"/>
  <c r="AG1266" i="1"/>
  <c r="M657" i="1"/>
  <c r="M654" i="1"/>
  <c r="T54" i="9"/>
  <c r="X94" i="9" s="1"/>
  <c r="X91" i="9" s="1"/>
  <c r="T988" i="1"/>
  <c r="T412" i="1"/>
  <c r="U76" i="9"/>
  <c r="U82" i="9" s="1"/>
  <c r="U139" i="9" s="1"/>
  <c r="AE173" i="1"/>
  <c r="AI994" i="1"/>
  <c r="AI995" i="1" s="1"/>
  <c r="AI722" i="1"/>
  <c r="AI444" i="1"/>
  <c r="AI448" i="1" s="1"/>
  <c r="AO1267" i="1"/>
  <c r="AO495" i="1"/>
  <c r="AO1259" i="1"/>
  <c r="G4" i="13"/>
  <c r="BH1264" i="1"/>
  <c r="BS241" i="1"/>
  <c r="G1" i="9"/>
  <c r="G1397" i="1"/>
  <c r="G515" i="1"/>
  <c r="G3" i="1"/>
  <c r="G3" i="13" s="1"/>
  <c r="H4" i="1"/>
  <c r="C744" i="1"/>
  <c r="C724" i="1"/>
  <c r="C1013" i="1" s="1"/>
  <c r="C721" i="1"/>
  <c r="BO495" i="1"/>
  <c r="BO1259" i="1"/>
  <c r="AT1272" i="1"/>
  <c r="AP744" i="1"/>
  <c r="AP745" i="1" s="1"/>
  <c r="AP746" i="1" s="1"/>
  <c r="AP747" i="1" s="1"/>
  <c r="AP721" i="1"/>
  <c r="AP724" i="1"/>
  <c r="AP989" i="1"/>
  <c r="BR175" i="1"/>
  <c r="BD1267" i="1"/>
  <c r="BD1259" i="1"/>
  <c r="BD495" i="1"/>
  <c r="P1264" i="1"/>
  <c r="BR661" i="1"/>
  <c r="AN995" i="1"/>
  <c r="P965" i="1"/>
  <c r="AP1264" i="1"/>
  <c r="AV123" i="9"/>
  <c r="AQ95" i="9"/>
  <c r="AQ92" i="9" s="1"/>
  <c r="AQ74" i="9"/>
  <c r="AR95" i="9"/>
  <c r="AR92" i="9" s="1"/>
  <c r="BH1265" i="1"/>
  <c r="BH240" i="1"/>
  <c r="BH241" i="1" s="1"/>
  <c r="BH239" i="1"/>
  <c r="V1266" i="1"/>
  <c r="BP963" i="1"/>
  <c r="AN175" i="1"/>
  <c r="D1266" i="1"/>
  <c r="AZ495" i="1"/>
  <c r="AZ1259" i="1"/>
  <c r="BA134" i="9"/>
  <c r="BA67" i="9"/>
  <c r="U33" i="1"/>
  <c r="Z33" i="1"/>
  <c r="F1267" i="1"/>
  <c r="F495" i="1"/>
  <c r="F1259" i="1"/>
  <c r="BC95" i="9"/>
  <c r="BC92" i="9" s="1"/>
  <c r="BH123" i="9"/>
  <c r="BC74" i="9"/>
  <c r="T64" i="9"/>
  <c r="T668" i="1"/>
  <c r="T669" i="1" s="1"/>
  <c r="BE995" i="1"/>
  <c r="BF995" i="1"/>
  <c r="V995" i="1"/>
  <c r="Y12" i="1"/>
  <c r="AA13" i="1" s="1"/>
  <c r="Y8" i="1"/>
  <c r="N971" i="1"/>
  <c r="BC28" i="1"/>
  <c r="BH33" i="1" s="1"/>
  <c r="BC22" i="1"/>
  <c r="BC23" i="1"/>
  <c r="BC18" i="9" s="1"/>
  <c r="BM993" i="1"/>
  <c r="BM965" i="1" s="1"/>
  <c r="BO993" i="1"/>
  <c r="BO965" i="1" s="1"/>
  <c r="BQ993" i="1"/>
  <c r="BP993" i="1"/>
  <c r="U807" i="1"/>
  <c r="U996" i="1" s="1"/>
  <c r="U997" i="1" s="1"/>
  <c r="BM55" i="9"/>
  <c r="BM136" i="9" s="1"/>
  <c r="BM406" i="1"/>
  <c r="BM65" i="9" s="1"/>
  <c r="AR995" i="1"/>
  <c r="BT38" i="1"/>
  <c r="BT35" i="1" s="1"/>
  <c r="BT31" i="1"/>
  <c r="BT33" i="1"/>
  <c r="BT20" i="9" s="1"/>
  <c r="AX123" i="9"/>
  <c r="AS95" i="9"/>
  <c r="AS92" i="9" s="1"/>
  <c r="AS74" i="9"/>
  <c r="BL38" i="1"/>
  <c r="BL35" i="1" s="1"/>
  <c r="BL31" i="1"/>
  <c r="BL33" i="1"/>
  <c r="BL20" i="9" s="1"/>
  <c r="BQ33" i="1"/>
  <c r="BQ20" i="9" s="1"/>
  <c r="BN1267" i="1"/>
  <c r="BN495" i="1"/>
  <c r="BN1259" i="1"/>
  <c r="BA14" i="1"/>
  <c r="L124" i="9"/>
  <c r="BM221" i="1"/>
  <c r="BR221" i="1"/>
  <c r="R744" i="1"/>
  <c r="R745" i="1" s="1"/>
  <c r="R746" i="1" s="1"/>
  <c r="R747" i="1" s="1"/>
  <c r="R724" i="1"/>
  <c r="R721" i="1"/>
  <c r="J995" i="1"/>
  <c r="AL113" i="9"/>
  <c r="G1267" i="1"/>
  <c r="G495" i="1"/>
  <c r="G1259" i="1"/>
  <c r="O55" i="9"/>
  <c r="O136" i="9" s="1"/>
  <c r="O406" i="1"/>
  <c r="O65" i="9" s="1"/>
  <c r="Z971" i="1"/>
  <c r="Z963" i="1"/>
  <c r="AK1266" i="1"/>
  <c r="L95" i="9"/>
  <c r="L92" i="9" s="1"/>
  <c r="D123" i="9"/>
  <c r="C84" i="9"/>
  <c r="C129" i="9" s="1"/>
  <c r="C95" i="9"/>
  <c r="C92" i="9" s="1"/>
  <c r="C74" i="9"/>
  <c r="BU158" i="1"/>
  <c r="M744" i="1"/>
  <c r="M745" i="1" s="1"/>
  <c r="M746" i="1" s="1"/>
  <c r="M747" i="1" s="1"/>
  <c r="M724" i="1"/>
  <c r="M721" i="1"/>
  <c r="AY32" i="1"/>
  <c r="AF31" i="1"/>
  <c r="AF33" i="1"/>
  <c r="BB995" i="1"/>
  <c r="W123" i="9"/>
  <c r="R74" i="9"/>
  <c r="R95" i="9"/>
  <c r="R92" i="9" s="1"/>
  <c r="AZ1266" i="1"/>
  <c r="J113" i="9"/>
  <c r="J117" i="9" s="1"/>
  <c r="L113" i="9"/>
  <c r="AK113" i="9"/>
  <c r="AS1266" i="1"/>
  <c r="AV175" i="1"/>
  <c r="BG744" i="1"/>
  <c r="BG745" i="1" s="1"/>
  <c r="BG746" i="1" s="1"/>
  <c r="BG747" i="1" s="1"/>
  <c r="BG724" i="1"/>
  <c r="BG721" i="1"/>
  <c r="AM38" i="1"/>
  <c r="AM35" i="1" s="1"/>
  <c r="AM32" i="1" s="1"/>
  <c r="AM33" i="1"/>
  <c r="AM31" i="1"/>
  <c r="AE172" i="1"/>
  <c r="AE174" i="1"/>
  <c r="AE169" i="1"/>
  <c r="AL33" i="1"/>
  <c r="AL38" i="1"/>
  <c r="AL35" i="1" s="1"/>
  <c r="AL32" i="1" s="1"/>
  <c r="AL31" i="1"/>
  <c r="AQ33" i="1"/>
  <c r="AF995" i="1"/>
  <c r="AG995" i="1"/>
  <c r="AX1264" i="1"/>
  <c r="AX201" i="1"/>
  <c r="AX202" i="1"/>
  <c r="AX203" i="1"/>
  <c r="AX200" i="1"/>
  <c r="AX205" i="1"/>
  <c r="AX206" i="1" s="1"/>
  <c r="N1264" i="1"/>
  <c r="AB175" i="1"/>
  <c r="P5" i="11"/>
  <c r="P5" i="13"/>
  <c r="P2" i="9"/>
  <c r="U5" i="1"/>
  <c r="Q5" i="1"/>
  <c r="CB88" i="1"/>
  <c r="CC88" i="1" s="1"/>
  <c r="CA180" i="1"/>
  <c r="CA91" i="1"/>
  <c r="AW21" i="9"/>
  <c r="AW312" i="1"/>
  <c r="BM19" i="1"/>
  <c r="BM31" i="9" s="1"/>
  <c r="BM17" i="1"/>
  <c r="BM29" i="9" s="1"/>
  <c r="BQ95" i="9"/>
  <c r="BQ92" i="9" s="1"/>
  <c r="BQ74" i="9"/>
  <c r="AB8" i="1"/>
  <c r="AB12" i="1"/>
  <c r="BI724" i="1"/>
  <c r="BI1013" i="1" s="1"/>
  <c r="BI744" i="1"/>
  <c r="BI721" i="1"/>
  <c r="BI766" i="1"/>
  <c r="BE1264" i="1"/>
  <c r="BF33" i="1"/>
  <c r="BF31" i="1"/>
  <c r="BF38" i="1"/>
  <c r="BF35" i="1" s="1"/>
  <c r="BF32" i="1" s="1"/>
  <c r="BA744" i="1"/>
  <c r="BA745" i="1" s="1"/>
  <c r="BA746" i="1" s="1"/>
  <c r="BA747" i="1" s="1"/>
  <c r="BA721" i="1"/>
  <c r="BA724" i="1"/>
  <c r="R113" i="9"/>
  <c r="R117" i="9" s="1"/>
  <c r="AE170" i="1"/>
  <c r="I8" i="1"/>
  <c r="I12" i="1"/>
  <c r="BB241" i="1"/>
  <c r="AT806" i="1"/>
  <c r="AW113" i="9"/>
  <c r="AW117" i="9" s="1"/>
  <c r="AK658" i="1"/>
  <c r="Z123" i="9"/>
  <c r="K1267" i="1"/>
  <c r="K1259" i="1"/>
  <c r="K495" i="1"/>
  <c r="AS661" i="1"/>
  <c r="AS658" i="1"/>
  <c r="AU658" i="1"/>
  <c r="G4" i="11"/>
  <c r="AH116" i="9"/>
  <c r="AH117" i="9" s="1"/>
  <c r="AD106" i="9"/>
  <c r="AF106" i="9"/>
  <c r="P20" i="9"/>
  <c r="P311" i="1"/>
  <c r="AN993" i="1"/>
  <c r="AQ993" i="1"/>
  <c r="AQ965" i="1" s="1"/>
  <c r="AR993" i="1"/>
  <c r="AP993" i="1"/>
  <c r="T117" i="9"/>
  <c r="AE744" i="1"/>
  <c r="AE721" i="1"/>
  <c r="AE724" i="1"/>
  <c r="AE1013" i="1" s="1"/>
  <c r="AE766" i="1"/>
  <c r="AG31" i="1"/>
  <c r="AG33" i="1"/>
  <c r="AP206" i="1"/>
  <c r="C971" i="1"/>
  <c r="C963" i="1"/>
  <c r="AD724" i="1"/>
  <c r="AD744" i="1"/>
  <c r="AD745" i="1" s="1"/>
  <c r="AD746" i="1" s="1"/>
  <c r="AD747" i="1" s="1"/>
  <c r="AD721" i="1"/>
  <c r="BR803" i="1"/>
  <c r="AT54" i="9"/>
  <c r="AT764" i="1"/>
  <c r="AT988" i="1"/>
  <c r="AT989" i="1" s="1"/>
  <c r="AT800" i="1"/>
  <c r="AT412" i="1"/>
  <c r="AT765" i="1"/>
  <c r="BS123" i="9"/>
  <c r="BN95" i="9"/>
  <c r="BN92" i="9" s="1"/>
  <c r="BN74" i="9"/>
  <c r="AI64" i="9"/>
  <c r="AI668" i="1"/>
  <c r="BC13" i="1"/>
  <c r="BO995" i="1"/>
  <c r="BQ989" i="1"/>
  <c r="BH1268" i="1"/>
  <c r="AN116" i="9"/>
  <c r="AN117" i="9" s="1"/>
  <c r="Y744" i="1"/>
  <c r="Y745" i="1" s="1"/>
  <c r="Y746" i="1" s="1"/>
  <c r="Y747" i="1" s="1"/>
  <c r="Y721" i="1"/>
  <c r="Y724" i="1"/>
  <c r="AZ721" i="1"/>
  <c r="AZ744" i="1"/>
  <c r="AZ745" i="1" s="1"/>
  <c r="AZ746" i="1" s="1"/>
  <c r="AZ747" i="1" s="1"/>
  <c r="AZ724" i="1"/>
  <c r="AD1266" i="1"/>
  <c r="P963" i="1"/>
  <c r="X1266" i="1"/>
  <c r="AC495" i="1"/>
  <c r="AC1259" i="1"/>
  <c r="BK113" i="9"/>
  <c r="BC995" i="1"/>
  <c r="W721" i="1"/>
  <c r="W724" i="1"/>
  <c r="W744" i="1"/>
  <c r="W745" i="1" s="1"/>
  <c r="W746" i="1" s="1"/>
  <c r="W747" i="1" s="1"/>
  <c r="AV113" i="9"/>
  <c r="BO106" i="9"/>
  <c r="AX744" i="1"/>
  <c r="AX745" i="1" s="1"/>
  <c r="AX746" i="1" s="1"/>
  <c r="AX747" i="1" s="1"/>
  <c r="AX721" i="1"/>
  <c r="AX724" i="1"/>
  <c r="AZ106" i="9"/>
  <c r="L117" i="9"/>
  <c r="BP962" i="1"/>
  <c r="D64" i="9"/>
  <c r="D668" i="1"/>
  <c r="BW99" i="1"/>
  <c r="BW165" i="1" s="1"/>
  <c r="AZ94" i="9" l="1"/>
  <c r="AZ91" i="9" s="1"/>
  <c r="BU74" i="1"/>
  <c r="BU75" i="1"/>
  <c r="BU14" i="9" s="1"/>
  <c r="BU188" i="1"/>
  <c r="BU195" i="1" s="1"/>
  <c r="AE175" i="1"/>
  <c r="BA94" i="9"/>
  <c r="BA91" i="9" s="1"/>
  <c r="AV117" i="9"/>
  <c r="BR33" i="1"/>
  <c r="BR20" i="9" s="1"/>
  <c r="BU192" i="1"/>
  <c r="BT995" i="1"/>
  <c r="AF989" i="1"/>
  <c r="BD807" i="1"/>
  <c r="BD996" i="1" s="1"/>
  <c r="BD997" i="1" s="1"/>
  <c r="AW76" i="9"/>
  <c r="AW82" i="9" s="1"/>
  <c r="AW139" i="9" s="1"/>
  <c r="AW124" i="9"/>
  <c r="AX963" i="1"/>
  <c r="BP965" i="1"/>
  <c r="BM117" i="9"/>
  <c r="W963" i="1"/>
  <c r="AD134" i="9"/>
  <c r="AH94" i="9"/>
  <c r="AH91" i="9" s="1"/>
  <c r="AD67" i="9"/>
  <c r="BG963" i="1"/>
  <c r="BV147" i="1"/>
  <c r="BK117" i="9"/>
  <c r="AH969" i="1"/>
  <c r="AH967" i="1"/>
  <c r="AH965" i="1"/>
  <c r="AH970" i="1"/>
  <c r="AH962" i="1"/>
  <c r="AH966" i="1"/>
  <c r="BE31" i="1"/>
  <c r="AG94" i="9"/>
  <c r="AG91" i="9" s="1"/>
  <c r="BW100" i="1"/>
  <c r="BW102" i="1" s="1"/>
  <c r="BW25" i="9" s="1"/>
  <c r="C1267" i="1"/>
  <c r="BV84" i="1"/>
  <c r="BV85" i="1" s="1"/>
  <c r="AG989" i="1"/>
  <c r="BH13" i="1"/>
  <c r="BH14" i="1"/>
  <c r="BH32" i="1"/>
  <c r="BH21" i="9" s="1"/>
  <c r="BV82" i="1"/>
  <c r="BV24" i="9" s="1"/>
  <c r="AK117" i="9"/>
  <c r="AM95" i="9"/>
  <c r="AM92" i="9" s="1"/>
  <c r="AD94" i="9"/>
  <c r="AD91" i="9" s="1"/>
  <c r="AX241" i="1"/>
  <c r="BU183" i="1"/>
  <c r="BU16" i="1" s="1"/>
  <c r="BU21" i="1"/>
  <c r="BU194" i="1"/>
  <c r="BH20" i="9"/>
  <c r="BH311" i="1"/>
  <c r="CC180" i="1"/>
  <c r="CD88" i="1"/>
  <c r="CC91" i="1"/>
  <c r="AT970" i="1"/>
  <c r="AT966" i="1"/>
  <c r="AT967" i="1"/>
  <c r="AT969" i="1"/>
  <c r="AT965" i="1"/>
  <c r="AT962" i="1"/>
  <c r="U2" i="9"/>
  <c r="U5" i="13"/>
  <c r="U5" i="11"/>
  <c r="Z5" i="1"/>
  <c r="V5" i="1"/>
  <c r="AQ20" i="9"/>
  <c r="AQ311" i="1"/>
  <c r="AM20" i="9"/>
  <c r="AM311" i="1"/>
  <c r="W124" i="9"/>
  <c r="R76" i="9"/>
  <c r="R82" i="9" s="1"/>
  <c r="R139" i="9" s="1"/>
  <c r="G47" i="9"/>
  <c r="G505" i="1"/>
  <c r="G500" i="1"/>
  <c r="G497" i="1"/>
  <c r="G1260" i="1"/>
  <c r="BC76" i="9"/>
  <c r="BC82" i="9" s="1"/>
  <c r="BC139" i="9" s="1"/>
  <c r="AM124" i="9"/>
  <c r="AH76" i="9"/>
  <c r="AH82" i="9" s="1"/>
  <c r="AH139" i="9" s="1"/>
  <c r="BV5" i="9"/>
  <c r="BV6" i="9" s="1"/>
  <c r="BV1008" i="1"/>
  <c r="BV999" i="1" s="1"/>
  <c r="BS47" i="9"/>
  <c r="BS505" i="1"/>
  <c r="BS500" i="1"/>
  <c r="BS497" i="1"/>
  <c r="BS1260" i="1"/>
  <c r="C47" i="9"/>
  <c r="C505" i="1"/>
  <c r="C497" i="1"/>
  <c r="C500" i="1"/>
  <c r="C1260" i="1"/>
  <c r="BH134" i="9"/>
  <c r="BH67" i="9"/>
  <c r="BH94" i="9"/>
  <c r="BH91" i="9" s="1"/>
  <c r="BJ94" i="9"/>
  <c r="BJ91" i="9" s="1"/>
  <c r="BK94" i="9"/>
  <c r="BK91" i="9" s="1"/>
  <c r="BL94" i="9"/>
  <c r="BL91" i="9" s="1"/>
  <c r="AK971" i="1"/>
  <c r="AK963" i="1"/>
  <c r="AY968" i="1"/>
  <c r="AY964" i="1"/>
  <c r="BU10" i="1"/>
  <c r="BU12" i="1"/>
  <c r="BU11" i="1"/>
  <c r="BU27" i="9" s="1"/>
  <c r="BU8" i="1"/>
  <c r="BV7" i="1"/>
  <c r="BZ1226" i="1"/>
  <c r="AT21" i="9"/>
  <c r="AT312" i="1"/>
  <c r="AM47" i="9"/>
  <c r="AM505" i="1"/>
  <c r="AM500" i="1"/>
  <c r="AM497" i="1"/>
  <c r="AM1260" i="1"/>
  <c r="BV173" i="1"/>
  <c r="BV171" i="1"/>
  <c r="Y116" i="9"/>
  <c r="Y117" i="9" s="1"/>
  <c r="AJ164" i="1"/>
  <c r="AJ80" i="1"/>
  <c r="BN76" i="9"/>
  <c r="BN82" i="9" s="1"/>
  <c r="BN139" i="9" s="1"/>
  <c r="AF116" i="9"/>
  <c r="AF117" i="9" s="1"/>
  <c r="BF21" i="9"/>
  <c r="BF312" i="1"/>
  <c r="AB13" i="1"/>
  <c r="AB14" i="1"/>
  <c r="U20" i="9"/>
  <c r="U311" i="1"/>
  <c r="AS989" i="1"/>
  <c r="AU989" i="1"/>
  <c r="BD970" i="1"/>
  <c r="BD969" i="1"/>
  <c r="BD967" i="1"/>
  <c r="BD966" i="1"/>
  <c r="BD965" i="1"/>
  <c r="BD962" i="1"/>
  <c r="Z745" i="1"/>
  <c r="Z746" i="1" s="1"/>
  <c r="Z747" i="1" s="1"/>
  <c r="BT138" i="9"/>
  <c r="BT103" i="9"/>
  <c r="BV115" i="1"/>
  <c r="BV16" i="9" s="1"/>
  <c r="BV114" i="1"/>
  <c r="BV190" i="1"/>
  <c r="AQ124" i="9"/>
  <c r="AL76" i="9"/>
  <c r="AL82" i="9" s="1"/>
  <c r="AL139" i="9" s="1"/>
  <c r="AS21" i="9"/>
  <c r="AS312" i="1"/>
  <c r="AZ76" i="9"/>
  <c r="AZ82" i="9" s="1"/>
  <c r="AZ139" i="9" s="1"/>
  <c r="BT971" i="1"/>
  <c r="BT963" i="1"/>
  <c r="AA175" i="1"/>
  <c r="BD20" i="9"/>
  <c r="BD311" i="1"/>
  <c r="AB124" i="9"/>
  <c r="W76" i="9"/>
  <c r="W82" i="9" s="1"/>
  <c r="W139" i="9" s="1"/>
  <c r="BI968" i="1"/>
  <c r="BI964" i="1"/>
  <c r="AT745" i="1"/>
  <c r="AT746" i="1" s="1"/>
  <c r="AT747" i="1" s="1"/>
  <c r="C973" i="1"/>
  <c r="C975" i="1"/>
  <c r="AK21" i="9"/>
  <c r="AK312" i="1"/>
  <c r="X971" i="1"/>
  <c r="X963" i="1"/>
  <c r="E47" i="9"/>
  <c r="E497" i="1"/>
  <c r="E500" i="1"/>
  <c r="E505" i="1"/>
  <c r="E1260" i="1"/>
  <c r="S47" i="9"/>
  <c r="S505" i="1"/>
  <c r="S497" i="1"/>
  <c r="S500" i="1"/>
  <c r="S1260" i="1"/>
  <c r="BO116" i="9"/>
  <c r="BO117" i="9" s="1"/>
  <c r="AT134" i="9"/>
  <c r="AT94" i="9"/>
  <c r="AT91" i="9" s="1"/>
  <c r="AT67" i="9"/>
  <c r="AD116" i="9"/>
  <c r="AD117" i="9" s="1"/>
  <c r="I13" i="1"/>
  <c r="J13" i="1"/>
  <c r="AL21" i="9"/>
  <c r="AL312" i="1"/>
  <c r="Y14" i="1"/>
  <c r="Y13" i="1"/>
  <c r="BO47" i="9"/>
  <c r="BO497" i="1"/>
  <c r="BO505" i="1"/>
  <c r="BO500" i="1"/>
  <c r="BO1260" i="1"/>
  <c r="AS134" i="9"/>
  <c r="AS94" i="9"/>
  <c r="AS91" i="9" s="1"/>
  <c r="AS67" i="9"/>
  <c r="AU94" i="9"/>
  <c r="AU91" i="9" s="1"/>
  <c r="BD968" i="1"/>
  <c r="BD964" i="1"/>
  <c r="BG116" i="9"/>
  <c r="BG117" i="9" s="1"/>
  <c r="AR47" i="9"/>
  <c r="AR497" i="1"/>
  <c r="AR505" i="1"/>
  <c r="AR500" i="1"/>
  <c r="AR1260" i="1"/>
  <c r="BZ179" i="1"/>
  <c r="BZ67" i="1"/>
  <c r="CA64" i="1"/>
  <c r="AX13" i="1"/>
  <c r="AX14" i="1"/>
  <c r="BC14" i="1"/>
  <c r="AF124" i="9"/>
  <c r="AA76" i="9"/>
  <c r="AA82" i="9" s="1"/>
  <c r="AA139" i="9" s="1"/>
  <c r="BG47" i="9"/>
  <c r="BG500" i="1"/>
  <c r="BG505" i="1"/>
  <c r="BG497" i="1"/>
  <c r="BG1260" i="1"/>
  <c r="BV172" i="1"/>
  <c r="N14" i="1"/>
  <c r="N13" i="1"/>
  <c r="S14" i="1"/>
  <c r="AS20" i="9"/>
  <c r="AS311" i="1"/>
  <c r="BI20" i="9"/>
  <c r="BI311" i="1"/>
  <c r="CA1253" i="1"/>
  <c r="BZ1026" i="1"/>
  <c r="BZ10" i="9" s="1"/>
  <c r="AC971" i="1"/>
  <c r="AC963" i="1"/>
  <c r="AE12" i="1"/>
  <c r="BD21" i="9"/>
  <c r="BD312" i="1"/>
  <c r="BP56" i="9"/>
  <c r="BP507" i="1"/>
  <c r="BP57" i="9" s="1"/>
  <c r="BP88" i="9" s="1"/>
  <c r="BR116" i="9"/>
  <c r="BR117" i="9" s="1"/>
  <c r="BY181" i="1"/>
  <c r="BY111" i="1"/>
  <c r="BZ108" i="1"/>
  <c r="AD124" i="9"/>
  <c r="Y76" i="9"/>
  <c r="Y82" i="9" s="1"/>
  <c r="Y139" i="9" s="1"/>
  <c r="AS124" i="9"/>
  <c r="AN76" i="9"/>
  <c r="AN82" i="9" s="1"/>
  <c r="AN139" i="9" s="1"/>
  <c r="AQ971" i="1"/>
  <c r="AQ963" i="1"/>
  <c r="BD124" i="9"/>
  <c r="AY76" i="9"/>
  <c r="AY82" i="9" s="1"/>
  <c r="AY139" i="9" s="1"/>
  <c r="AK20" i="9"/>
  <c r="AK311" i="1"/>
  <c r="BL76" i="9"/>
  <c r="BL82" i="9" s="1"/>
  <c r="BL139" i="9" s="1"/>
  <c r="AJ124" i="9"/>
  <c r="AE76" i="9"/>
  <c r="AE82" i="9" s="1"/>
  <c r="AE139" i="9" s="1"/>
  <c r="AD14" i="1"/>
  <c r="O966" i="1"/>
  <c r="O970" i="1"/>
  <c r="O967" i="1"/>
  <c r="O969" i="1"/>
  <c r="O965" i="1"/>
  <c r="O962" i="1"/>
  <c r="P47" i="9"/>
  <c r="P505" i="1"/>
  <c r="P500" i="1"/>
  <c r="P497" i="1"/>
  <c r="P1260" i="1"/>
  <c r="AP20" i="9"/>
  <c r="AP311" i="1"/>
  <c r="AA20" i="9"/>
  <c r="AA311" i="1"/>
  <c r="BM206" i="1"/>
  <c r="J1091" i="1"/>
  <c r="I1092" i="1"/>
  <c r="E968" i="1"/>
  <c r="E964" i="1"/>
  <c r="X20" i="9"/>
  <c r="X311" i="1"/>
  <c r="C970" i="1"/>
  <c r="C969" i="1"/>
  <c r="C967" i="1"/>
  <c r="C965" i="1"/>
  <c r="C962" i="1"/>
  <c r="P569" i="1"/>
  <c r="P564" i="1"/>
  <c r="AW47" i="9"/>
  <c r="AW500" i="1"/>
  <c r="AW497" i="1"/>
  <c r="AW505" i="1"/>
  <c r="AW1260" i="1"/>
  <c r="BI47" i="9"/>
  <c r="BI497" i="1"/>
  <c r="BI505" i="1"/>
  <c r="BI500" i="1"/>
  <c r="BI1260" i="1"/>
  <c r="BY182" i="1"/>
  <c r="BZ128" i="1"/>
  <c r="BY131" i="1"/>
  <c r="N47" i="9"/>
  <c r="N505" i="1"/>
  <c r="N500" i="1"/>
  <c r="N497" i="1"/>
  <c r="N1260" i="1"/>
  <c r="BF47" i="9"/>
  <c r="BF505" i="1"/>
  <c r="BF497" i="1"/>
  <c r="BF500" i="1"/>
  <c r="BF1260" i="1"/>
  <c r="Q20" i="9"/>
  <c r="Q311" i="1"/>
  <c r="BA20" i="9"/>
  <c r="BA311" i="1"/>
  <c r="BQ970" i="1"/>
  <c r="BQ967" i="1"/>
  <c r="BQ966" i="1"/>
  <c r="BQ969" i="1"/>
  <c r="BQ965" i="1"/>
  <c r="BQ962" i="1"/>
  <c r="AG20" i="9"/>
  <c r="AG311" i="1"/>
  <c r="BF20" i="9"/>
  <c r="BF311" i="1"/>
  <c r="BQ76" i="9"/>
  <c r="BQ82" i="9" s="1"/>
  <c r="BQ139" i="9" s="1"/>
  <c r="AL20" i="9"/>
  <c r="AL311" i="1"/>
  <c r="BB971" i="1"/>
  <c r="BB963" i="1"/>
  <c r="AR971" i="1"/>
  <c r="AR963" i="1"/>
  <c r="V971" i="1"/>
  <c r="V963" i="1"/>
  <c r="G1367" i="1"/>
  <c r="AI744" i="1"/>
  <c r="AI745" i="1" s="1"/>
  <c r="AI746" i="1" s="1"/>
  <c r="AI747" i="1" s="1"/>
  <c r="AI724" i="1"/>
  <c r="AI721" i="1"/>
  <c r="AB20" i="9"/>
  <c r="AB311" i="1"/>
  <c r="G134" i="9"/>
  <c r="G67" i="9"/>
  <c r="AC13" i="1"/>
  <c r="BB21" i="9"/>
  <c r="BB312" i="1"/>
  <c r="AV20" i="9"/>
  <c r="AV311" i="1"/>
  <c r="AT124" i="9"/>
  <c r="AO76" i="9"/>
  <c r="AO82" i="9" s="1"/>
  <c r="AO139" i="9" s="1"/>
  <c r="AX803" i="1"/>
  <c r="AK47" i="9"/>
  <c r="AK505" i="1"/>
  <c r="AK497" i="1"/>
  <c r="AK500" i="1"/>
  <c r="AK1260" i="1"/>
  <c r="R989" i="1"/>
  <c r="BL49" i="9"/>
  <c r="BL506" i="1"/>
  <c r="BL50" i="9" s="1"/>
  <c r="BL526" i="1"/>
  <c r="U47" i="9"/>
  <c r="U497" i="1"/>
  <c r="U500" i="1"/>
  <c r="U505" i="1"/>
  <c r="U1260" i="1"/>
  <c r="M20" i="9"/>
  <c r="M311" i="1"/>
  <c r="BT76" i="9"/>
  <c r="BT82" i="9" s="1"/>
  <c r="BT139" i="9" s="1"/>
  <c r="AB971" i="1"/>
  <c r="AB963" i="1"/>
  <c r="AI124" i="9"/>
  <c r="AD76" i="9"/>
  <c r="AD82" i="9" s="1"/>
  <c r="AD139" i="9" s="1"/>
  <c r="D745" i="1"/>
  <c r="D746" i="1" s="1"/>
  <c r="D747" i="1" s="1"/>
  <c r="BW79" i="1"/>
  <c r="BW164" i="1" s="1"/>
  <c r="X124" i="9"/>
  <c r="S76" i="9"/>
  <c r="S82" i="9" s="1"/>
  <c r="S139" i="9" s="1"/>
  <c r="H76" i="9"/>
  <c r="H82" i="9" s="1"/>
  <c r="H139" i="9" s="1"/>
  <c r="AT47" i="9"/>
  <c r="AT505" i="1"/>
  <c r="AT500" i="1"/>
  <c r="AT497" i="1"/>
  <c r="AT1260" i="1"/>
  <c r="AY970" i="1"/>
  <c r="AY966" i="1"/>
  <c r="AY967" i="1"/>
  <c r="AY969" i="1"/>
  <c r="AY965" i="1"/>
  <c r="AY962" i="1"/>
  <c r="V20" i="9"/>
  <c r="V311" i="1"/>
  <c r="AL124" i="9"/>
  <c r="F968" i="1"/>
  <c r="F964" i="1"/>
  <c r="AD20" i="9"/>
  <c r="AD311" i="1"/>
  <c r="N124" i="9"/>
  <c r="I76" i="9"/>
  <c r="I82" i="9" s="1"/>
  <c r="I139" i="9" s="1"/>
  <c r="L49" i="9"/>
  <c r="L526" i="1"/>
  <c r="L506" i="1"/>
  <c r="L50" i="9" s="1"/>
  <c r="AS803" i="1"/>
  <c r="O20" i="9"/>
  <c r="O311" i="1"/>
  <c r="AN20" i="9"/>
  <c r="AN311" i="1"/>
  <c r="BW51" i="1"/>
  <c r="BW163" i="1" s="1"/>
  <c r="O134" i="9"/>
  <c r="O67" i="9"/>
  <c r="O94" i="9"/>
  <c r="O91" i="9" s="1"/>
  <c r="R94" i="9"/>
  <c r="R91" i="9" s="1"/>
  <c r="AP21" i="9"/>
  <c r="AP312" i="1"/>
  <c r="Y54" i="9"/>
  <c r="AA94" i="9" s="1"/>
  <c r="AA91" i="9" s="1"/>
  <c r="Y988" i="1"/>
  <c r="AB989" i="1" s="1"/>
  <c r="Y412" i="1"/>
  <c r="BE21" i="9"/>
  <c r="BE312" i="1"/>
  <c r="E970" i="1"/>
  <c r="E969" i="1"/>
  <c r="E967" i="1"/>
  <c r="E965" i="1"/>
  <c r="E962" i="1"/>
  <c r="BR971" i="1"/>
  <c r="BR963" i="1"/>
  <c r="C968" i="1"/>
  <c r="C964" i="1"/>
  <c r="R537" i="1"/>
  <c r="R541" i="1" s="1"/>
  <c r="Q554" i="1"/>
  <c r="Q562" i="1" s="1"/>
  <c r="AZ21" i="9"/>
  <c r="AZ312" i="1"/>
  <c r="BA47" i="9"/>
  <c r="BA497" i="1"/>
  <c r="BA500" i="1"/>
  <c r="BA505" i="1"/>
  <c r="BA1260" i="1"/>
  <c r="H47" i="9"/>
  <c r="H505" i="1"/>
  <c r="H500" i="1"/>
  <c r="H497" i="1"/>
  <c r="H1260" i="1"/>
  <c r="BW148" i="1"/>
  <c r="AE745" i="1"/>
  <c r="AE746" i="1" s="1"/>
  <c r="AE747" i="1" s="1"/>
  <c r="Z20" i="9"/>
  <c r="Z311" i="1"/>
  <c r="AH47" i="9"/>
  <c r="AH497" i="1"/>
  <c r="AH500" i="1"/>
  <c r="AH505" i="1"/>
  <c r="AH1260" i="1"/>
  <c r="R971" i="1"/>
  <c r="R963" i="1"/>
  <c r="AU20" i="9"/>
  <c r="AU311" i="1"/>
  <c r="E134" i="9"/>
  <c r="E94" i="9"/>
  <c r="E91" i="9" s="1"/>
  <c r="E67" i="9"/>
  <c r="Z537" i="1"/>
  <c r="Z541" i="1" s="1"/>
  <c r="V537" i="1"/>
  <c r="V541" i="1" s="1"/>
  <c r="U554" i="1"/>
  <c r="U562" i="1" s="1"/>
  <c r="BC106" i="9"/>
  <c r="BE106" i="9"/>
  <c r="BF106" i="9"/>
  <c r="BQ117" i="9"/>
  <c r="AD989" i="1"/>
  <c r="BC241" i="1"/>
  <c r="C130" i="9"/>
  <c r="C131" i="9"/>
  <c r="C85" i="9"/>
  <c r="C87" i="9" s="1"/>
  <c r="C76" i="9"/>
  <c r="C82" i="9" s="1"/>
  <c r="C139" i="9" s="1"/>
  <c r="BN47" i="9"/>
  <c r="BN505" i="1"/>
  <c r="BN500" i="1"/>
  <c r="BN497" i="1"/>
  <c r="BN1260" i="1"/>
  <c r="BE971" i="1"/>
  <c r="BE963" i="1"/>
  <c r="T989" i="1"/>
  <c r="W989" i="1"/>
  <c r="V989" i="1"/>
  <c r="AR116" i="9"/>
  <c r="AR117" i="9" s="1"/>
  <c r="BT116" i="9"/>
  <c r="BT117" i="9" s="1"/>
  <c r="AF970" i="1"/>
  <c r="AF967" i="1"/>
  <c r="AF969" i="1"/>
  <c r="AF966" i="1"/>
  <c r="AF965" i="1"/>
  <c r="AF962" i="1"/>
  <c r="BD745" i="1"/>
  <c r="BD746" i="1" s="1"/>
  <c r="BD747" i="1" s="1"/>
  <c r="BB20" i="9"/>
  <c r="BB311" i="1"/>
  <c r="AV21" i="9"/>
  <c r="AV312" i="1"/>
  <c r="AN123" i="9"/>
  <c r="AI95" i="9"/>
  <c r="AI92" i="9" s="1"/>
  <c r="AI74" i="9"/>
  <c r="AD241" i="1"/>
  <c r="Q989" i="1"/>
  <c r="Q971" i="1"/>
  <c r="Q963" i="1"/>
  <c r="I47" i="9"/>
  <c r="I500" i="1"/>
  <c r="I505" i="1"/>
  <c r="I497" i="1"/>
  <c r="I1260" i="1"/>
  <c r="I5" i="13"/>
  <c r="I2" i="9"/>
  <c r="I5" i="11"/>
  <c r="J5" i="1"/>
  <c r="AK124" i="9"/>
  <c r="AF76" i="9"/>
  <c r="AF82" i="9" s="1"/>
  <c r="AF139" i="9" s="1"/>
  <c r="AL47" i="9"/>
  <c r="AL505" i="1"/>
  <c r="AL500" i="1"/>
  <c r="AL497" i="1"/>
  <c r="AL1260" i="1"/>
  <c r="BA116" i="9"/>
  <c r="BA117" i="9" s="1"/>
  <c r="BP138" i="9"/>
  <c r="BP103" i="9"/>
  <c r="BX181" i="1"/>
  <c r="S989" i="1"/>
  <c r="AJ47" i="9"/>
  <c r="AJ505" i="1"/>
  <c r="AJ497" i="1"/>
  <c r="AJ500" i="1"/>
  <c r="AJ1260" i="1"/>
  <c r="BG21" i="9"/>
  <c r="BG312" i="1"/>
  <c r="AY745" i="1"/>
  <c r="AY746" i="1" s="1"/>
  <c r="AY747" i="1" s="1"/>
  <c r="BI134" i="9"/>
  <c r="BI94" i="9"/>
  <c r="BI91" i="9" s="1"/>
  <c r="BI67" i="9"/>
  <c r="BE76" i="9"/>
  <c r="BE82" i="9" s="1"/>
  <c r="BE139" i="9" s="1"/>
  <c r="F134" i="9"/>
  <c r="F94" i="9"/>
  <c r="F91" i="9" s="1"/>
  <c r="F67" i="9"/>
  <c r="D66" i="9"/>
  <c r="D1273" i="1"/>
  <c r="Q14" i="1"/>
  <c r="U12" i="1"/>
  <c r="U14" i="1" s="1"/>
  <c r="Q13" i="1"/>
  <c r="R13" i="1"/>
  <c r="V14" i="1"/>
  <c r="F745" i="1"/>
  <c r="F746" i="1" s="1"/>
  <c r="F747" i="1" s="1"/>
  <c r="P124" i="9"/>
  <c r="K76" i="9"/>
  <c r="K82" i="9" s="1"/>
  <c r="K139" i="9" s="1"/>
  <c r="BX182" i="1"/>
  <c r="AB116" i="9"/>
  <c r="AB117" i="9" s="1"/>
  <c r="AV94" i="9"/>
  <c r="AV91" i="9" s="1"/>
  <c r="AH124" i="9"/>
  <c r="AC76" i="9"/>
  <c r="AC82" i="9" s="1"/>
  <c r="AC139" i="9" s="1"/>
  <c r="BA124" i="9"/>
  <c r="AV76" i="9"/>
  <c r="AV82" i="9" s="1"/>
  <c r="AV139" i="9" s="1"/>
  <c r="D1269" i="1"/>
  <c r="D1164" i="1"/>
  <c r="E1158" i="1"/>
  <c r="E1159" i="1" s="1"/>
  <c r="BV58" i="1"/>
  <c r="BV57" i="1"/>
  <c r="BV73" i="1"/>
  <c r="BZ781" i="1"/>
  <c r="CA836" i="1"/>
  <c r="BV124" i="1"/>
  <c r="BV149" i="1"/>
  <c r="BW118" i="1"/>
  <c r="BV122" i="1"/>
  <c r="BV26" i="9" s="1"/>
  <c r="BE20" i="9"/>
  <c r="BE311" i="1"/>
  <c r="BH971" i="1"/>
  <c r="BH963" i="1"/>
  <c r="AG124" i="9"/>
  <c r="AB76" i="9"/>
  <c r="AB82" i="9" s="1"/>
  <c r="AB139" i="9" s="1"/>
  <c r="AV989" i="1"/>
  <c r="AA47" i="9"/>
  <c r="AA505" i="1"/>
  <c r="AA500" i="1"/>
  <c r="AA497" i="1"/>
  <c r="AA1260" i="1"/>
  <c r="AZ20" i="9"/>
  <c r="AZ311" i="1"/>
  <c r="AP124" i="9"/>
  <c r="AK76" i="9"/>
  <c r="AK82" i="9" s="1"/>
  <c r="AK139" i="9" s="1"/>
  <c r="D76" i="9"/>
  <c r="D82" i="9" s="1"/>
  <c r="D139" i="9" s="1"/>
  <c r="BV174" i="1"/>
  <c r="BI76" i="9"/>
  <c r="BI82" i="9" s="1"/>
  <c r="BI139" i="9" s="1"/>
  <c r="AF126" i="1"/>
  <c r="AF125" i="1"/>
  <c r="AJ124" i="1"/>
  <c r="AJ126" i="1" s="1"/>
  <c r="AG125" i="1"/>
  <c r="N537" i="1"/>
  <c r="N541" i="1" s="1"/>
  <c r="M554" i="1"/>
  <c r="M562" i="1" s="1"/>
  <c r="O654" i="1"/>
  <c r="O657" i="1"/>
  <c r="BN943" i="1"/>
  <c r="BN806" i="1"/>
  <c r="BN807" i="1" s="1"/>
  <c r="BN996" i="1" s="1"/>
  <c r="BN997" i="1" s="1"/>
  <c r="Z12" i="1"/>
  <c r="H1" i="9"/>
  <c r="H1397" i="1"/>
  <c r="H515" i="1"/>
  <c r="H3" i="1"/>
  <c r="H3" i="11" s="1"/>
  <c r="I4" i="1"/>
  <c r="S124" i="9"/>
  <c r="N76" i="9"/>
  <c r="N82" i="9" s="1"/>
  <c r="N139" i="9" s="1"/>
  <c r="AJ745" i="1"/>
  <c r="AJ746" i="1" s="1"/>
  <c r="AJ747" i="1" s="1"/>
  <c r="AU138" i="9"/>
  <c r="AU103" i="9"/>
  <c r="AO124" i="9"/>
  <c r="AJ76" i="9"/>
  <c r="AJ82" i="9" s="1"/>
  <c r="AJ139" i="9" s="1"/>
  <c r="AF51" i="1"/>
  <c r="AF56" i="1"/>
  <c r="C1012" i="1"/>
  <c r="C1000" i="1"/>
  <c r="C976" i="1" s="1"/>
  <c r="BD76" i="9"/>
  <c r="BD82" i="9" s="1"/>
  <c r="BD139" i="9" s="1"/>
  <c r="K745" i="1"/>
  <c r="K746" i="1" s="1"/>
  <c r="K747" i="1" s="1"/>
  <c r="U124" i="9"/>
  <c r="P76" i="9"/>
  <c r="P82" i="9" s="1"/>
  <c r="P139" i="9" s="1"/>
  <c r="BG970" i="1"/>
  <c r="BG966" i="1"/>
  <c r="BG967" i="1"/>
  <c r="BG969" i="1"/>
  <c r="BG965" i="1"/>
  <c r="BG962" i="1"/>
  <c r="Y124" i="9"/>
  <c r="T76" i="9"/>
  <c r="T82" i="9" s="1"/>
  <c r="T139" i="9" s="1"/>
  <c r="S20" i="9"/>
  <c r="S311" i="1"/>
  <c r="AA971" i="1"/>
  <c r="AA963" i="1"/>
  <c r="X47" i="9"/>
  <c r="X505" i="1"/>
  <c r="X500" i="1"/>
  <c r="X497" i="1"/>
  <c r="X1260" i="1"/>
  <c r="BA21" i="9"/>
  <c r="BA312" i="1"/>
  <c r="AM21" i="9"/>
  <c r="AM312" i="1"/>
  <c r="BC989" i="1"/>
  <c r="BF989" i="1"/>
  <c r="BE989" i="1"/>
  <c r="M971" i="1"/>
  <c r="M963" i="1"/>
  <c r="AE47" i="9"/>
  <c r="AE505" i="1"/>
  <c r="AE500" i="1"/>
  <c r="AE497" i="1"/>
  <c r="AE1260" i="1"/>
  <c r="R20" i="9"/>
  <c r="R311" i="1"/>
  <c r="BI21" i="9"/>
  <c r="BI312" i="1"/>
  <c r="AR966" i="1"/>
  <c r="AR970" i="1"/>
  <c r="AR967" i="1"/>
  <c r="AR969" i="1"/>
  <c r="AR962" i="1"/>
  <c r="AR965" i="1"/>
  <c r="BJ47" i="9"/>
  <c r="BJ500" i="1"/>
  <c r="BJ497" i="1"/>
  <c r="BJ505" i="1"/>
  <c r="BJ1260" i="1"/>
  <c r="AG970" i="1"/>
  <c r="AG966" i="1"/>
  <c r="AG967" i="1"/>
  <c r="AG969" i="1"/>
  <c r="AG965" i="1"/>
  <c r="AG962" i="1"/>
  <c r="AE150" i="1"/>
  <c r="AE155" i="1"/>
  <c r="AT20" i="9"/>
  <c r="AT311" i="1"/>
  <c r="R47" i="9"/>
  <c r="R505" i="1"/>
  <c r="R497" i="1"/>
  <c r="R500" i="1"/>
  <c r="R1260" i="1"/>
  <c r="L56" i="9"/>
  <c r="L507" i="1"/>
  <c r="L57" i="9" s="1"/>
  <c r="L88" i="9" s="1"/>
  <c r="BJ971" i="1"/>
  <c r="BJ963" i="1"/>
  <c r="AM971" i="1"/>
  <c r="AM963" i="1"/>
  <c r="BC124" i="9"/>
  <c r="AX76" i="9"/>
  <c r="AX82" i="9" s="1"/>
  <c r="AX139" i="9" s="1"/>
  <c r="S971" i="1"/>
  <c r="S963" i="1"/>
  <c r="BR744" i="1"/>
  <c r="BR745" i="1" s="1"/>
  <c r="BR746" i="1" s="1"/>
  <c r="BR747" i="1" s="1"/>
  <c r="BR724" i="1"/>
  <c r="BR721" i="1"/>
  <c r="BQ47" i="9"/>
  <c r="BQ497" i="1"/>
  <c r="BQ500" i="1"/>
  <c r="BQ505" i="1"/>
  <c r="BQ1260" i="1"/>
  <c r="BK47" i="9"/>
  <c r="BK505" i="1"/>
  <c r="BK500" i="1"/>
  <c r="BK497" i="1"/>
  <c r="BK1260" i="1"/>
  <c r="AC47" i="9"/>
  <c r="AC497" i="1"/>
  <c r="AC505" i="1"/>
  <c r="AC500" i="1"/>
  <c r="AC1260" i="1"/>
  <c r="BO971" i="1"/>
  <c r="BO963" i="1"/>
  <c r="AF20" i="9"/>
  <c r="AF311" i="1"/>
  <c r="AX124" i="9"/>
  <c r="AS76" i="9"/>
  <c r="AS82" i="9" s="1"/>
  <c r="AS139" i="9" s="1"/>
  <c r="BF971" i="1"/>
  <c r="BF963" i="1"/>
  <c r="AV124" i="9"/>
  <c r="AQ76" i="9"/>
  <c r="AQ82" i="9" s="1"/>
  <c r="AQ139" i="9" s="1"/>
  <c r="AP970" i="1"/>
  <c r="AP966" i="1"/>
  <c r="AP967" i="1"/>
  <c r="AP969" i="1"/>
  <c r="AP965" i="1"/>
  <c r="AP962" i="1"/>
  <c r="AI971" i="1"/>
  <c r="AI963" i="1"/>
  <c r="BC134" i="9"/>
  <c r="BC94" i="9"/>
  <c r="BC91" i="9" s="1"/>
  <c r="BC67" i="9"/>
  <c r="BE94" i="9"/>
  <c r="BE91" i="9" s="1"/>
  <c r="BF94" i="9"/>
  <c r="BF91" i="9" s="1"/>
  <c r="BD134" i="9"/>
  <c r="BD94" i="9"/>
  <c r="BD91" i="9" s="1"/>
  <c r="BD67" i="9"/>
  <c r="BQ971" i="1"/>
  <c r="BQ963" i="1"/>
  <c r="BT970" i="1"/>
  <c r="BT967" i="1"/>
  <c r="BT966" i="1"/>
  <c r="BT969" i="1"/>
  <c r="BT965" i="1"/>
  <c r="BT962" i="1"/>
  <c r="AA124" i="9"/>
  <c r="V76" i="9"/>
  <c r="V82" i="9" s="1"/>
  <c r="V139" i="9" s="1"/>
  <c r="BL56" i="9"/>
  <c r="BL507" i="1"/>
  <c r="BL57" i="9" s="1"/>
  <c r="BL88" i="9" s="1"/>
  <c r="CC1241" i="1"/>
  <c r="CD1241" i="1" s="1"/>
  <c r="V47" i="9"/>
  <c r="V500" i="1"/>
  <c r="V497" i="1"/>
  <c r="V505" i="1"/>
  <c r="V1260" i="1"/>
  <c r="AY134" i="9"/>
  <c r="AY94" i="9"/>
  <c r="AY91" i="9" s="1"/>
  <c r="AY67" i="9"/>
  <c r="BI970" i="1"/>
  <c r="BI966" i="1"/>
  <c r="BI967" i="1"/>
  <c r="BI969" i="1"/>
  <c r="BI962" i="1"/>
  <c r="BI965" i="1"/>
  <c r="M2" i="9"/>
  <c r="M5" i="11"/>
  <c r="M5" i="13"/>
  <c r="N5" i="1"/>
  <c r="AW989" i="1"/>
  <c r="AL995" i="1"/>
  <c r="K964" i="1"/>
  <c r="K968" i="1"/>
  <c r="E745" i="1"/>
  <c r="E746" i="1" s="1"/>
  <c r="E747" i="1" s="1"/>
  <c r="AG47" i="9"/>
  <c r="AG500" i="1"/>
  <c r="AG497" i="1"/>
  <c r="AG505" i="1"/>
  <c r="AG1260" i="1"/>
  <c r="AC124" i="9"/>
  <c r="X76" i="9"/>
  <c r="X82" i="9" s="1"/>
  <c r="X139" i="9" s="1"/>
  <c r="L569" i="1"/>
  <c r="L564" i="1"/>
  <c r="AZ116" i="9"/>
  <c r="AZ117" i="9" s="1"/>
  <c r="AW94" i="9"/>
  <c r="AW91" i="9" s="1"/>
  <c r="G3" i="11"/>
  <c r="CB180" i="1"/>
  <c r="CB91" i="1"/>
  <c r="AG971" i="1"/>
  <c r="AG963" i="1"/>
  <c r="AY21" i="9"/>
  <c r="AY312" i="1"/>
  <c r="BC38" i="1"/>
  <c r="BC35" i="1" s="1"/>
  <c r="BC32" i="1" s="1"/>
  <c r="BC31" i="1"/>
  <c r="BC33" i="1"/>
  <c r="F47" i="9"/>
  <c r="F505" i="1"/>
  <c r="F500" i="1"/>
  <c r="F497" i="1"/>
  <c r="F1260" i="1"/>
  <c r="C1014" i="1"/>
  <c r="C1015" i="1"/>
  <c r="C745" i="1"/>
  <c r="C746" i="1" s="1"/>
  <c r="C747" i="1" s="1"/>
  <c r="T134" i="9"/>
  <c r="T67" i="9"/>
  <c r="T94" i="9"/>
  <c r="T91" i="9" s="1"/>
  <c r="V94" i="9"/>
  <c r="V91" i="9" s="1"/>
  <c r="W94" i="9"/>
  <c r="W91" i="9" s="1"/>
  <c r="BB76" i="9"/>
  <c r="BB82" i="9" s="1"/>
  <c r="BB139" i="9" s="1"/>
  <c r="BB124" i="9"/>
  <c r="AN970" i="1"/>
  <c r="AN969" i="1"/>
  <c r="AN966" i="1"/>
  <c r="AN967" i="1"/>
  <c r="AN965" i="1"/>
  <c r="AN962" i="1"/>
  <c r="AR124" i="9"/>
  <c r="AM76" i="9"/>
  <c r="AM82" i="9" s="1"/>
  <c r="AM139" i="9" s="1"/>
  <c r="M47" i="9"/>
  <c r="M497" i="1"/>
  <c r="M505" i="1"/>
  <c r="M500" i="1"/>
  <c r="M1260" i="1"/>
  <c r="AP76" i="9"/>
  <c r="AP82" i="9" s="1"/>
  <c r="AP139" i="9" s="1"/>
  <c r="AU76" i="9"/>
  <c r="AU82" i="9" s="1"/>
  <c r="AU139" i="9" s="1"/>
  <c r="BT49" i="9"/>
  <c r="BT526" i="1"/>
  <c r="BT506" i="1"/>
  <c r="BT50" i="9" s="1"/>
  <c r="BA970" i="1"/>
  <c r="BA966" i="1"/>
  <c r="BA967" i="1"/>
  <c r="BA969" i="1"/>
  <c r="BA965" i="1"/>
  <c r="BA962" i="1"/>
  <c r="BW75" i="9"/>
  <c r="BW1274" i="1"/>
  <c r="BW1150" i="1"/>
  <c r="BX1150" i="1" s="1"/>
  <c r="BX730" i="1" s="1"/>
  <c r="AW971" i="1"/>
  <c r="AW963" i="1"/>
  <c r="BL138" i="9"/>
  <c r="BL103" i="9"/>
  <c r="H569" i="1"/>
  <c r="H564" i="1"/>
  <c r="AX989" i="1"/>
  <c r="BB989" i="1"/>
  <c r="AU971" i="1"/>
  <c r="AU963" i="1"/>
  <c r="AI123" i="9"/>
  <c r="AU49" i="9"/>
  <c r="AU506" i="1"/>
  <c r="AU50" i="9" s="1"/>
  <c r="AU526" i="1"/>
  <c r="H4" i="13"/>
  <c r="AY47" i="9"/>
  <c r="AY505" i="1"/>
  <c r="AY497" i="1"/>
  <c r="AY500" i="1"/>
  <c r="AY1260" i="1"/>
  <c r="W47" i="9"/>
  <c r="W500" i="1"/>
  <c r="W497" i="1"/>
  <c r="W505" i="1"/>
  <c r="W1260" i="1"/>
  <c r="J1273" i="1"/>
  <c r="AE124" i="9"/>
  <c r="Z76" i="9"/>
  <c r="Z82" i="9" s="1"/>
  <c r="Z139" i="9" s="1"/>
  <c r="BS968" i="1"/>
  <c r="BS964" i="1"/>
  <c r="AE145" i="1"/>
  <c r="AF62" i="1"/>
  <c r="AF48" i="1"/>
  <c r="AH971" i="1"/>
  <c r="AH963" i="1"/>
  <c r="T654" i="1"/>
  <c r="T657" i="1"/>
  <c r="D54" i="9"/>
  <c r="D800" i="1"/>
  <c r="D807" i="1" s="1"/>
  <c r="D996" i="1" s="1"/>
  <c r="D997" i="1" s="1"/>
  <c r="D988" i="1"/>
  <c r="D989" i="1" s="1"/>
  <c r="D764" i="1"/>
  <c r="D412" i="1"/>
  <c r="BH76" i="9"/>
  <c r="BH82" i="9" s="1"/>
  <c r="BH139" i="9" s="1"/>
  <c r="BE47" i="9"/>
  <c r="BE500" i="1"/>
  <c r="BE505" i="1"/>
  <c r="BE497" i="1"/>
  <c r="BE1260" i="1"/>
  <c r="T20" i="9"/>
  <c r="T311" i="1"/>
  <c r="AC116" i="9"/>
  <c r="AC117" i="9" s="1"/>
  <c r="K970" i="1"/>
  <c r="K966" i="1"/>
  <c r="K965" i="1"/>
  <c r="K962" i="1"/>
  <c r="K967" i="1"/>
  <c r="K969" i="1"/>
  <c r="AQ116" i="9"/>
  <c r="AQ117" i="9" s="1"/>
  <c r="BJ116" i="9"/>
  <c r="BJ117" i="9" s="1"/>
  <c r="Z47" i="9"/>
  <c r="Z505" i="1"/>
  <c r="Z497" i="1"/>
  <c r="Z500" i="1"/>
  <c r="Z1260" i="1"/>
  <c r="BR970" i="1"/>
  <c r="BR969" i="1"/>
  <c r="BR966" i="1"/>
  <c r="BR967" i="1"/>
  <c r="BR962" i="1"/>
  <c r="BR965" i="1"/>
  <c r="AV47" i="9"/>
  <c r="AV505" i="1"/>
  <c r="AV500" i="1"/>
  <c r="AV497" i="1"/>
  <c r="AV1260" i="1"/>
  <c r="AK989" i="1"/>
  <c r="AM989" i="1"/>
  <c r="AL989" i="1"/>
  <c r="AM117" i="9"/>
  <c r="BC1264" i="1"/>
  <c r="AL117" i="9"/>
  <c r="N20" i="9"/>
  <c r="N311" i="1"/>
  <c r="AF166" i="1"/>
  <c r="AJ119" i="1"/>
  <c r="BG76" i="9"/>
  <c r="BG82" i="9" s="1"/>
  <c r="BG139" i="9" s="1"/>
  <c r="BM76" i="9"/>
  <c r="BM82" i="9" s="1"/>
  <c r="BM139" i="9" s="1"/>
  <c r="I134" i="9"/>
  <c r="I67" i="9"/>
  <c r="AN971" i="1"/>
  <c r="AN963" i="1"/>
  <c r="J971" i="1"/>
  <c r="J963" i="1"/>
  <c r="AA134" i="9"/>
  <c r="AA67" i="9"/>
  <c r="BL116" i="9"/>
  <c r="BL117" i="9" s="1"/>
  <c r="AG14" i="1"/>
  <c r="BA971" i="1"/>
  <c r="BA963" i="1"/>
  <c r="V124" i="9"/>
  <c r="Q76" i="9"/>
  <c r="Q82" i="9" s="1"/>
  <c r="Q139" i="9" s="1"/>
  <c r="BP49" i="9"/>
  <c r="BP526" i="1"/>
  <c r="BP506" i="1"/>
  <c r="BP50" i="9" s="1"/>
  <c r="BG20" i="9"/>
  <c r="BG311" i="1"/>
  <c r="F970" i="1"/>
  <c r="F969" i="1"/>
  <c r="F967" i="1"/>
  <c r="F965" i="1"/>
  <c r="F962" i="1"/>
  <c r="AZ966" i="1"/>
  <c r="AZ970" i="1"/>
  <c r="AZ967" i="1"/>
  <c r="AZ969" i="1"/>
  <c r="AZ962" i="1"/>
  <c r="AZ965" i="1"/>
  <c r="BN745" i="1"/>
  <c r="BN746" i="1" s="1"/>
  <c r="BN747" i="1" s="1"/>
  <c r="AJ20" i="9"/>
  <c r="AJ311" i="1"/>
  <c r="L138" i="9"/>
  <c r="L103" i="9"/>
  <c r="AC20" i="9"/>
  <c r="AC311" i="1"/>
  <c r="AN21" i="9"/>
  <c r="AN312" i="1"/>
  <c r="AY124" i="9"/>
  <c r="AT76" i="9"/>
  <c r="AT82" i="9" s="1"/>
  <c r="AT139" i="9" s="1"/>
  <c r="K124" i="9"/>
  <c r="F76" i="9"/>
  <c r="F82" i="9" s="1"/>
  <c r="F139" i="9" s="1"/>
  <c r="C134" i="9"/>
  <c r="C94" i="9"/>
  <c r="C91" i="9" s="1"/>
  <c r="C67" i="9"/>
  <c r="C128" i="9"/>
  <c r="AL14" i="1"/>
  <c r="AQ14" i="1"/>
  <c r="CB1237" i="1"/>
  <c r="AO745" i="1"/>
  <c r="AO746" i="1" s="1"/>
  <c r="AO747" i="1" s="1"/>
  <c r="BC971" i="1"/>
  <c r="BC963" i="1"/>
  <c r="K12" i="1"/>
  <c r="P14" i="1" s="1"/>
  <c r="AT807" i="1"/>
  <c r="AT996" i="1" s="1"/>
  <c r="AT997" i="1" s="1"/>
  <c r="K47" i="9"/>
  <c r="K500" i="1"/>
  <c r="K497" i="1"/>
  <c r="K505" i="1"/>
  <c r="K1260" i="1"/>
  <c r="BI745" i="1"/>
  <c r="BI746" i="1" s="1"/>
  <c r="BI747" i="1" s="1"/>
  <c r="Q2" i="9"/>
  <c r="Q5" i="11"/>
  <c r="Q5" i="13"/>
  <c r="R5" i="1"/>
  <c r="AF971" i="1"/>
  <c r="AF963" i="1"/>
  <c r="U968" i="1"/>
  <c r="U964" i="1"/>
  <c r="AZ47" i="9"/>
  <c r="AZ497" i="1"/>
  <c r="AZ500" i="1"/>
  <c r="AZ505" i="1"/>
  <c r="AZ1260" i="1"/>
  <c r="BD47" i="9"/>
  <c r="BD505" i="1"/>
  <c r="BD500" i="1"/>
  <c r="BD497" i="1"/>
  <c r="BD1260" i="1"/>
  <c r="AO47" i="9"/>
  <c r="AO500" i="1"/>
  <c r="AO505" i="1"/>
  <c r="AO497" i="1"/>
  <c r="AO1260" i="1"/>
  <c r="BD116" i="9"/>
  <c r="BD117" i="9" s="1"/>
  <c r="AO21" i="9"/>
  <c r="AO312" i="1"/>
  <c r="J657" i="1"/>
  <c r="J654" i="1"/>
  <c r="BM241" i="1"/>
  <c r="BR241" i="1"/>
  <c r="BB47" i="9"/>
  <c r="BB505" i="1"/>
  <c r="BB500" i="1"/>
  <c r="BB497" i="1"/>
  <c r="BB1260" i="1"/>
  <c r="BT56" i="9"/>
  <c r="BT507" i="1"/>
  <c r="BT57" i="9" s="1"/>
  <c r="BT88" i="9" s="1"/>
  <c r="AS971" i="1"/>
  <c r="AS963" i="1"/>
  <c r="BW524" i="1"/>
  <c r="BW526" i="1"/>
  <c r="BX526" i="1" s="1"/>
  <c r="BW523" i="1"/>
  <c r="BX518" i="1"/>
  <c r="BY521" i="1"/>
  <c r="BK971" i="1"/>
  <c r="BK963" i="1"/>
  <c r="AF47" i="9"/>
  <c r="AF505" i="1"/>
  <c r="AF500" i="1"/>
  <c r="AF497" i="1"/>
  <c r="AF1260" i="1"/>
  <c r="AQ47" i="9"/>
  <c r="AQ505" i="1"/>
  <c r="AQ497" i="1"/>
  <c r="AQ500" i="1"/>
  <c r="AQ1260" i="1"/>
  <c r="AV971" i="1"/>
  <c r="AV963" i="1"/>
  <c r="AF99" i="1"/>
  <c r="AF104" i="1"/>
  <c r="AO20" i="9"/>
  <c r="AO311" i="1"/>
  <c r="J54" i="9"/>
  <c r="J988" i="1"/>
  <c r="J412" i="1"/>
  <c r="BH989" i="1"/>
  <c r="BJ989" i="1"/>
  <c r="BK989" i="1"/>
  <c r="BL989" i="1"/>
  <c r="AI20" i="9"/>
  <c r="AI311" i="1"/>
  <c r="AS116" i="9"/>
  <c r="AS117" i="9" s="1"/>
  <c r="J537" i="1"/>
  <c r="J541" i="1" s="1"/>
  <c r="J554" i="1" s="1"/>
  <c r="J562" i="1" s="1"/>
  <c r="I554" i="1"/>
  <c r="I562" i="1" s="1"/>
  <c r="AX134" i="9"/>
  <c r="AX94" i="9"/>
  <c r="AX91" i="9" s="1"/>
  <c r="AX67" i="9"/>
  <c r="Q47" i="9"/>
  <c r="Q500" i="1"/>
  <c r="Q497" i="1"/>
  <c r="Q505" i="1"/>
  <c r="Q1260" i="1"/>
  <c r="AU56" i="9"/>
  <c r="AU507" i="1"/>
  <c r="AU57" i="9" s="1"/>
  <c r="AU88" i="9" s="1"/>
  <c r="P745" i="1"/>
  <c r="P746" i="1" s="1"/>
  <c r="P747" i="1" s="1"/>
  <c r="H4" i="11"/>
  <c r="BA76" i="9"/>
  <c r="BA82" i="9" s="1"/>
  <c r="BA139" i="9" s="1"/>
  <c r="BU159" i="1"/>
  <c r="AX33" i="1"/>
  <c r="AX31" i="1"/>
  <c r="AX38" i="1"/>
  <c r="AX35" i="1" s="1"/>
  <c r="AX32" i="1" s="1"/>
  <c r="BR95" i="9"/>
  <c r="BR92" i="9" s="1"/>
  <c r="BR74" i="9"/>
  <c r="H134" i="9"/>
  <c r="H67" i="9"/>
  <c r="R124" i="9"/>
  <c r="M76" i="9"/>
  <c r="M82" i="9" s="1"/>
  <c r="M139" i="9" s="1"/>
  <c r="O124" i="9"/>
  <c r="J76" i="9"/>
  <c r="J82" i="9" s="1"/>
  <c r="J139" i="9" s="1"/>
  <c r="AP47" i="9"/>
  <c r="AP500" i="1"/>
  <c r="AP505" i="1"/>
  <c r="AP497" i="1"/>
  <c r="AP1260" i="1"/>
  <c r="AA116" i="9"/>
  <c r="AA117" i="9" s="1"/>
  <c r="AB47" i="9"/>
  <c r="AB505" i="1"/>
  <c r="AB497" i="1"/>
  <c r="AB500" i="1"/>
  <c r="AB1260" i="1"/>
  <c r="K134" i="9"/>
  <c r="K94" i="9"/>
  <c r="K91" i="9" s="1"/>
  <c r="K67" i="9"/>
  <c r="D1267" i="1"/>
  <c r="D495" i="1"/>
  <c r="D1259" i="1"/>
  <c r="AP116" i="9"/>
  <c r="AP117" i="9" s="1"/>
  <c r="P968" i="1"/>
  <c r="P964" i="1"/>
  <c r="T124" i="9"/>
  <c r="O76" i="9"/>
  <c r="O82" i="9" s="1"/>
  <c r="O139" i="9" s="1"/>
  <c r="AK134" i="9"/>
  <c r="AK94" i="9"/>
  <c r="AK91" i="9" s="1"/>
  <c r="AK67" i="9"/>
  <c r="AM94" i="9"/>
  <c r="AM91" i="9" s="1"/>
  <c r="AL94" i="9"/>
  <c r="AL91" i="9" s="1"/>
  <c r="AH20" i="9"/>
  <c r="AH311" i="1"/>
  <c r="F124" i="9"/>
  <c r="E76" i="9"/>
  <c r="E82" i="9" s="1"/>
  <c r="E139" i="9" s="1"/>
  <c r="Y20" i="9"/>
  <c r="Y311" i="1"/>
  <c r="T971" i="1"/>
  <c r="T963" i="1"/>
  <c r="BM33" i="1"/>
  <c r="BM20" i="9" s="1"/>
  <c r="BM38" i="1"/>
  <c r="BM35" i="1" s="1"/>
  <c r="BM31" i="1"/>
  <c r="BO31" i="1"/>
  <c r="AS241" i="1"/>
  <c r="X989" i="1"/>
  <c r="BH312" i="1" l="1"/>
  <c r="BV150" i="1"/>
  <c r="BV155" i="1" s="1"/>
  <c r="H3" i="13"/>
  <c r="Z14" i="1"/>
  <c r="AB94" i="9"/>
  <c r="AB91" i="9" s="1"/>
  <c r="BW104" i="1"/>
  <c r="BW113" i="1" s="1"/>
  <c r="BX527" i="1"/>
  <c r="BV93" i="1"/>
  <c r="BV95" i="1" s="1"/>
  <c r="BV15" i="9" s="1"/>
  <c r="BV86" i="1"/>
  <c r="BW80" i="1"/>
  <c r="BW147" i="1" s="1"/>
  <c r="AB970" i="1"/>
  <c r="AB966" i="1"/>
  <c r="AB967" i="1"/>
  <c r="AB969" i="1"/>
  <c r="AB965" i="1"/>
  <c r="AB962" i="1"/>
  <c r="BX75" i="9"/>
  <c r="BX1281" i="1"/>
  <c r="BX1274" i="1"/>
  <c r="BB49" i="9"/>
  <c r="BB506" i="1"/>
  <c r="BB50" i="9" s="1"/>
  <c r="BB526" i="1"/>
  <c r="AZ56" i="9"/>
  <c r="AZ507" i="1"/>
  <c r="AZ57" i="9" s="1"/>
  <c r="AZ88" i="9" s="1"/>
  <c r="AM966" i="1"/>
  <c r="AM970" i="1"/>
  <c r="AM967" i="1"/>
  <c r="AM969" i="1"/>
  <c r="AM962" i="1"/>
  <c r="AM965" i="1"/>
  <c r="AA138" i="9"/>
  <c r="AA103" i="9"/>
  <c r="I4" i="13"/>
  <c r="BN49" i="9"/>
  <c r="BN506" i="1"/>
  <c r="BN50" i="9" s="1"/>
  <c r="BI56" i="9"/>
  <c r="BI507" i="1"/>
  <c r="AP49" i="9"/>
  <c r="AP526" i="1"/>
  <c r="AP506" i="1"/>
  <c r="AP50" i="9" s="1"/>
  <c r="BL970" i="1"/>
  <c r="BL969" i="1"/>
  <c r="BL967" i="1"/>
  <c r="BL966" i="1"/>
  <c r="BL962" i="1"/>
  <c r="BL965" i="1"/>
  <c r="AQ56" i="9"/>
  <c r="AQ507" i="1"/>
  <c r="AQ57" i="9" s="1"/>
  <c r="AQ88" i="9" s="1"/>
  <c r="Z138" i="9"/>
  <c r="Z103" i="9"/>
  <c r="Z104" i="9" s="1"/>
  <c r="BE49" i="9"/>
  <c r="BE526" i="1"/>
  <c r="BE506" i="1"/>
  <c r="BE50" i="9" s="1"/>
  <c r="AL971" i="1"/>
  <c r="AL963" i="1"/>
  <c r="L137" i="9"/>
  <c r="L98" i="9"/>
  <c r="AV970" i="1"/>
  <c r="AV966" i="1"/>
  <c r="AV967" i="1"/>
  <c r="AV969" i="1"/>
  <c r="AV965" i="1"/>
  <c r="AV962" i="1"/>
  <c r="AL56" i="9"/>
  <c r="AL507" i="1"/>
  <c r="AL57" i="9" s="1"/>
  <c r="AL88" i="9" s="1"/>
  <c r="BN56" i="9"/>
  <c r="BN507" i="1"/>
  <c r="BK966" i="1"/>
  <c r="BK967" i="1"/>
  <c r="BK970" i="1"/>
  <c r="BK969" i="1"/>
  <c r="BK962" i="1"/>
  <c r="BK965" i="1"/>
  <c r="AZ138" i="9"/>
  <c r="AZ103" i="9"/>
  <c r="BK56" i="9"/>
  <c r="BK507" i="1"/>
  <c r="BK57" i="9" s="1"/>
  <c r="BK88" i="9" s="1"/>
  <c r="I1" i="9"/>
  <c r="I1397" i="1"/>
  <c r="I515" i="1"/>
  <c r="I3" i="1"/>
  <c r="I3" i="11" s="1"/>
  <c r="J4" i="1"/>
  <c r="BW119" i="1"/>
  <c r="BW166" i="1" s="1"/>
  <c r="E1269" i="1"/>
  <c r="F1158" i="1"/>
  <c r="F1159" i="1" s="1"/>
  <c r="E1164" i="1"/>
  <c r="I49" i="9"/>
  <c r="I506" i="1"/>
  <c r="I50" i="9" s="1"/>
  <c r="I526" i="1"/>
  <c r="V970" i="1"/>
  <c r="V969" i="1"/>
  <c r="V967" i="1"/>
  <c r="V966" i="1"/>
  <c r="V965" i="1"/>
  <c r="V962" i="1"/>
  <c r="AD967" i="1"/>
  <c r="AD970" i="1"/>
  <c r="AD966" i="1"/>
  <c r="AD969" i="1"/>
  <c r="AD962" i="1"/>
  <c r="AD965" i="1"/>
  <c r="H49" i="9"/>
  <c r="H526" i="1"/>
  <c r="H506" i="1"/>
  <c r="H50" i="9" s="1"/>
  <c r="BA138" i="9"/>
  <c r="BA103" i="9"/>
  <c r="R966" i="1"/>
  <c r="R970" i="1"/>
  <c r="R969" i="1"/>
  <c r="R967" i="1"/>
  <c r="R965" i="1"/>
  <c r="R962" i="1"/>
  <c r="BF56" i="9"/>
  <c r="BF507" i="1"/>
  <c r="BF57" i="9" s="1"/>
  <c r="BF88" i="9" s="1"/>
  <c r="N138" i="9"/>
  <c r="N103" i="9"/>
  <c r="BI49" i="9"/>
  <c r="BI506" i="1"/>
  <c r="BI50" i="9" s="1"/>
  <c r="BG138" i="9"/>
  <c r="BG103" i="9"/>
  <c r="AR138" i="9"/>
  <c r="AR103" i="9"/>
  <c r="BO138" i="9"/>
  <c r="BO103" i="9"/>
  <c r="CA1226" i="1"/>
  <c r="BV156" i="1"/>
  <c r="AO138" i="9"/>
  <c r="AO103" i="9"/>
  <c r="AO104" i="9" s="1"/>
  <c r="K49" i="9"/>
  <c r="K506" i="1"/>
  <c r="K50" i="9" s="1"/>
  <c r="AJ166" i="1"/>
  <c r="AJ120" i="1"/>
  <c r="BB967" i="1"/>
  <c r="BB970" i="1"/>
  <c r="BB966" i="1"/>
  <c r="BB969" i="1"/>
  <c r="BB962" i="1"/>
  <c r="BB965" i="1"/>
  <c r="F56" i="9"/>
  <c r="F507" i="1"/>
  <c r="AG56" i="9"/>
  <c r="AG507" i="1"/>
  <c r="AG57" i="9" s="1"/>
  <c r="AG88" i="9" s="1"/>
  <c r="AL49" i="9"/>
  <c r="AL506" i="1"/>
  <c r="AL50" i="9" s="1"/>
  <c r="AL526" i="1"/>
  <c r="BA56" i="9"/>
  <c r="BA507" i="1"/>
  <c r="BA57" i="9" s="1"/>
  <c r="BA88" i="9" s="1"/>
  <c r="AT49" i="9"/>
  <c r="AT506" i="1"/>
  <c r="AT50" i="9" s="1"/>
  <c r="AW138" i="9"/>
  <c r="AW103" i="9"/>
  <c r="AE14" i="1"/>
  <c r="G49" i="9"/>
  <c r="G526" i="1"/>
  <c r="G506" i="1"/>
  <c r="G50" i="9" s="1"/>
  <c r="AU137" i="9"/>
  <c r="AU98" i="9"/>
  <c r="AF138" i="9"/>
  <c r="AF103" i="9"/>
  <c r="BB56" i="9"/>
  <c r="BB507" i="1"/>
  <c r="BB57" i="9" s="1"/>
  <c r="BB88" i="9" s="1"/>
  <c r="K56" i="9"/>
  <c r="K507" i="1"/>
  <c r="AK970" i="1"/>
  <c r="AK969" i="1"/>
  <c r="AK966" i="1"/>
  <c r="AK967" i="1"/>
  <c r="AK962" i="1"/>
  <c r="AK965" i="1"/>
  <c r="W56" i="9"/>
  <c r="W507" i="1"/>
  <c r="W57" i="9" s="1"/>
  <c r="W88" i="9" s="1"/>
  <c r="AX970" i="1"/>
  <c r="AX966" i="1"/>
  <c r="AX967" i="1"/>
  <c r="AX969" i="1"/>
  <c r="AX962" i="1"/>
  <c r="AX965" i="1"/>
  <c r="BL137" i="9"/>
  <c r="BL98" i="9"/>
  <c r="BE970" i="1"/>
  <c r="BE966" i="1"/>
  <c r="BE967" i="1"/>
  <c r="BE969" i="1"/>
  <c r="BE965" i="1"/>
  <c r="BE962" i="1"/>
  <c r="AJ56" i="1"/>
  <c r="AJ58" i="1" s="1"/>
  <c r="AF58" i="1"/>
  <c r="AF57" i="1"/>
  <c r="AG57" i="1"/>
  <c r="Q970" i="1"/>
  <c r="Q966" i="1"/>
  <c r="Q967" i="1"/>
  <c r="Q969" i="1"/>
  <c r="Q965" i="1"/>
  <c r="Q962" i="1"/>
  <c r="AR49" i="9"/>
  <c r="AR526" i="1"/>
  <c r="AR506" i="1"/>
  <c r="AR50" i="9" s="1"/>
  <c r="W138" i="9"/>
  <c r="W103" i="9"/>
  <c r="AW970" i="1"/>
  <c r="AW966" i="1"/>
  <c r="AW969" i="1"/>
  <c r="AW967" i="1"/>
  <c r="AW962" i="1"/>
  <c r="AW965" i="1"/>
  <c r="BQ138" i="9"/>
  <c r="BQ103" i="9"/>
  <c r="AE9" i="1"/>
  <c r="AE153" i="1"/>
  <c r="AF183" i="1"/>
  <c r="AE156" i="1"/>
  <c r="AE158" i="1"/>
  <c r="BF970" i="1"/>
  <c r="BF966" i="1"/>
  <c r="BF967" i="1"/>
  <c r="BF969" i="1"/>
  <c r="BF962" i="1"/>
  <c r="BF965" i="1"/>
  <c r="AF163" i="1"/>
  <c r="AJ51" i="1"/>
  <c r="D47" i="9"/>
  <c r="D497" i="1"/>
  <c r="D505" i="1"/>
  <c r="D500" i="1"/>
  <c r="D1260" i="1"/>
  <c r="BJ970" i="1"/>
  <c r="BJ966" i="1"/>
  <c r="BJ967" i="1"/>
  <c r="BJ969" i="1"/>
  <c r="BJ962" i="1"/>
  <c r="BJ965" i="1"/>
  <c r="AV49" i="9"/>
  <c r="AV506" i="1"/>
  <c r="AV50" i="9" s="1"/>
  <c r="AV526" i="1"/>
  <c r="BE56" i="9"/>
  <c r="BE507" i="1"/>
  <c r="BE57" i="9" s="1"/>
  <c r="BE88" i="9" s="1"/>
  <c r="AJ48" i="1"/>
  <c r="AJ162" i="1" s="1"/>
  <c r="AF162" i="1"/>
  <c r="V49" i="9"/>
  <c r="V506" i="1"/>
  <c r="V50" i="9" s="1"/>
  <c r="V526" i="1"/>
  <c r="R56" i="9"/>
  <c r="R507" i="1"/>
  <c r="R57" i="9" s="1"/>
  <c r="R88" i="9" s="1"/>
  <c r="BC966" i="1"/>
  <c r="BC970" i="1"/>
  <c r="BC969" i="1"/>
  <c r="BC967" i="1"/>
  <c r="BC962" i="1"/>
  <c r="BC965" i="1"/>
  <c r="BV158" i="1"/>
  <c r="AL138" i="9"/>
  <c r="AL103" i="9"/>
  <c r="W970" i="1"/>
  <c r="W966" i="1"/>
  <c r="W967" i="1"/>
  <c r="W969" i="1"/>
  <c r="W965" i="1"/>
  <c r="W962" i="1"/>
  <c r="BN138" i="9"/>
  <c r="BN103" i="9"/>
  <c r="BN104" i="9" s="1"/>
  <c r="H56" i="9"/>
  <c r="H507" i="1"/>
  <c r="H57" i="9" s="1"/>
  <c r="H88" i="9" s="1"/>
  <c r="AT138" i="9"/>
  <c r="AT103" i="9"/>
  <c r="AT104" i="9" s="1"/>
  <c r="BF49" i="9"/>
  <c r="BF526" i="1"/>
  <c r="BF506" i="1"/>
  <c r="BF50" i="9" s="1"/>
  <c r="BI138" i="9"/>
  <c r="BI103" i="9"/>
  <c r="BI104" i="9" s="1"/>
  <c r="CA67" i="1"/>
  <c r="CB64" i="1"/>
  <c r="CA179" i="1"/>
  <c r="E56" i="9"/>
  <c r="E507" i="1"/>
  <c r="AU970" i="1"/>
  <c r="AU966" i="1"/>
  <c r="AU967" i="1"/>
  <c r="AU969" i="1"/>
  <c r="AU965" i="1"/>
  <c r="AU962" i="1"/>
  <c r="AM49" i="9"/>
  <c r="AM526" i="1"/>
  <c r="AM506" i="1"/>
  <c r="AM50" i="9" s="1"/>
  <c r="BS49" i="9"/>
  <c r="BS506" i="1"/>
  <c r="BS50" i="9" s="1"/>
  <c r="G138" i="9"/>
  <c r="G103" i="9"/>
  <c r="J134" i="9"/>
  <c r="J94" i="9"/>
  <c r="J91" i="9" s="1"/>
  <c r="J67" i="9"/>
  <c r="L94" i="9"/>
  <c r="L91" i="9" s="1"/>
  <c r="M94" i="9"/>
  <c r="M91" i="9" s="1"/>
  <c r="N94" i="9"/>
  <c r="N91" i="9" s="1"/>
  <c r="W49" i="9"/>
  <c r="W526" i="1"/>
  <c r="W506" i="1"/>
  <c r="W50" i="9" s="1"/>
  <c r="BQ56" i="9"/>
  <c r="BQ507" i="1"/>
  <c r="BQ57" i="9" s="1"/>
  <c r="BQ88" i="9" s="1"/>
  <c r="S970" i="1"/>
  <c r="S969" i="1"/>
  <c r="S967" i="1"/>
  <c r="S966" i="1"/>
  <c r="S962" i="1"/>
  <c r="S965" i="1"/>
  <c r="W537" i="1"/>
  <c r="W541" i="1" s="1"/>
  <c r="V554" i="1"/>
  <c r="V562" i="1" s="1"/>
  <c r="N56" i="9"/>
  <c r="N507" i="1"/>
  <c r="N57" i="9" s="1"/>
  <c r="N88" i="9" s="1"/>
  <c r="S138" i="9"/>
  <c r="S103" i="9"/>
  <c r="BV175" i="1"/>
  <c r="X970" i="1"/>
  <c r="X967" i="1"/>
  <c r="X966" i="1"/>
  <c r="X969" i="1"/>
  <c r="X965" i="1"/>
  <c r="X962" i="1"/>
  <c r="AZ49" i="9"/>
  <c r="AZ526" i="1"/>
  <c r="AZ506" i="1"/>
  <c r="AZ50" i="9" s="1"/>
  <c r="BP527" i="1"/>
  <c r="BP529" i="1"/>
  <c r="AG138" i="9"/>
  <c r="AG103" i="9"/>
  <c r="BK49" i="9"/>
  <c r="BK526" i="1"/>
  <c r="BK506" i="1"/>
  <c r="BK50" i="9" s="1"/>
  <c r="BQ49" i="9"/>
  <c r="BQ526" i="1"/>
  <c r="BQ506" i="1"/>
  <c r="BQ50" i="9" s="1"/>
  <c r="AE49" i="9"/>
  <c r="AE506" i="1"/>
  <c r="AE50" i="9" s="1"/>
  <c r="X49" i="9"/>
  <c r="X526" i="1"/>
  <c r="X506" i="1"/>
  <c r="X50" i="9" s="1"/>
  <c r="BN968" i="1"/>
  <c r="BN964" i="1"/>
  <c r="AE537" i="1"/>
  <c r="AE541" i="1" s="1"/>
  <c r="AA537" i="1"/>
  <c r="AA541" i="1" s="1"/>
  <c r="Z554" i="1"/>
  <c r="Z562" i="1" s="1"/>
  <c r="BA49" i="9"/>
  <c r="BA526" i="1"/>
  <c r="BA506" i="1"/>
  <c r="BA50" i="9" s="1"/>
  <c r="AT56" i="9"/>
  <c r="AT507" i="1"/>
  <c r="BG56" i="9"/>
  <c r="BG507" i="1"/>
  <c r="BG57" i="9" s="1"/>
  <c r="BG88" i="9" s="1"/>
  <c r="BO49" i="9"/>
  <c r="BO526" i="1"/>
  <c r="BO506" i="1"/>
  <c r="BO50" i="9" s="1"/>
  <c r="C138" i="9"/>
  <c r="C103" i="9"/>
  <c r="C104" i="9" s="1"/>
  <c r="G56" i="9"/>
  <c r="G507" i="1"/>
  <c r="G57" i="9" s="1"/>
  <c r="G88" i="9" s="1"/>
  <c r="AB56" i="9"/>
  <c r="AB507" i="1"/>
  <c r="AB57" i="9" s="1"/>
  <c r="AB88" i="9" s="1"/>
  <c r="AQ49" i="9"/>
  <c r="AQ506" i="1"/>
  <c r="AQ50" i="9" s="1"/>
  <c r="AQ526" i="1"/>
  <c r="BD49" i="9"/>
  <c r="BD506" i="1"/>
  <c r="BD50" i="9" s="1"/>
  <c r="K138" i="9"/>
  <c r="K103" i="9"/>
  <c r="K104" i="9" s="1"/>
  <c r="AU527" i="1"/>
  <c r="AU529" i="1"/>
  <c r="F138" i="9"/>
  <c r="F103" i="9"/>
  <c r="F104" i="9" s="1"/>
  <c r="BV9" i="1"/>
  <c r="BV157" i="1"/>
  <c r="AE56" i="9"/>
  <c r="AE507" i="1"/>
  <c r="X56" i="9"/>
  <c r="X507" i="1"/>
  <c r="X57" i="9" s="1"/>
  <c r="X88" i="9" s="1"/>
  <c r="AB49" i="9"/>
  <c r="AB526" i="1"/>
  <c r="AB506" i="1"/>
  <c r="AB50" i="9" s="1"/>
  <c r="AP56" i="9"/>
  <c r="AP507" i="1"/>
  <c r="AP57" i="9" s="1"/>
  <c r="AP88" i="9" s="1"/>
  <c r="AX21" i="9"/>
  <c r="AX312" i="1"/>
  <c r="I569" i="1"/>
  <c r="I564" i="1"/>
  <c r="AJ104" i="1"/>
  <c r="AJ106" i="1" s="1"/>
  <c r="AF106" i="1"/>
  <c r="AF105" i="1"/>
  <c r="AG105" i="1"/>
  <c r="BB138" i="9"/>
  <c r="BB103" i="9"/>
  <c r="BD56" i="9"/>
  <c r="BD507" i="1"/>
  <c r="AT968" i="1"/>
  <c r="AT964" i="1"/>
  <c r="BT527" i="1"/>
  <c r="BT529" i="1"/>
  <c r="BC20" i="9"/>
  <c r="BC311" i="1"/>
  <c r="N5" i="11"/>
  <c r="N2" i="9"/>
  <c r="N5" i="13"/>
  <c r="O5" i="1"/>
  <c r="BJ49" i="9"/>
  <c r="BJ506" i="1"/>
  <c r="BJ50" i="9" s="1"/>
  <c r="BJ526" i="1"/>
  <c r="V2" i="9"/>
  <c r="V5" i="11"/>
  <c r="V5" i="13"/>
  <c r="W5" i="1"/>
  <c r="J569" i="1"/>
  <c r="J564" i="1"/>
  <c r="AF165" i="1"/>
  <c r="AJ99" i="1"/>
  <c r="CC1237" i="1"/>
  <c r="BE138" i="9"/>
  <c r="BE103" i="9"/>
  <c r="AF178" i="1"/>
  <c r="AF63" i="1"/>
  <c r="AJ62" i="1"/>
  <c r="AY56" i="9"/>
  <c r="AY507" i="1"/>
  <c r="BV126" i="1"/>
  <c r="BV125" i="1"/>
  <c r="BV133" i="1"/>
  <c r="I56" i="9"/>
  <c r="I507" i="1"/>
  <c r="I57" i="9" s="1"/>
  <c r="I88" i="9" s="1"/>
  <c r="AS970" i="1"/>
  <c r="AS966" i="1"/>
  <c r="AS967" i="1"/>
  <c r="AS969" i="1"/>
  <c r="AS965" i="1"/>
  <c r="AS962" i="1"/>
  <c r="AJ147" i="1"/>
  <c r="AK78" i="1"/>
  <c r="AJ82" i="1"/>
  <c r="AJ24" i="9" s="1"/>
  <c r="AO78" i="1"/>
  <c r="BS56" i="9"/>
  <c r="BS507" i="1"/>
  <c r="AB138" i="9"/>
  <c r="AB103" i="9"/>
  <c r="AX20" i="9"/>
  <c r="AX311" i="1"/>
  <c r="Q56" i="9"/>
  <c r="Q507" i="1"/>
  <c r="Q57" i="9" s="1"/>
  <c r="Q88" i="9" s="1"/>
  <c r="BW529" i="1"/>
  <c r="AO49" i="9"/>
  <c r="AO506" i="1"/>
  <c r="AO50" i="9" s="1"/>
  <c r="BD138" i="9"/>
  <c r="BD103" i="9"/>
  <c r="BD104" i="9" s="1"/>
  <c r="D968" i="1"/>
  <c r="D964" i="1"/>
  <c r="AE154" i="1"/>
  <c r="AY49" i="9"/>
  <c r="AY506" i="1"/>
  <c r="AY50" i="9" s="1"/>
  <c r="BC21" i="9"/>
  <c r="BC312" i="1"/>
  <c r="V138" i="9"/>
  <c r="V103" i="9"/>
  <c r="BJ138" i="9"/>
  <c r="BJ103" i="9"/>
  <c r="M569" i="1"/>
  <c r="M564" i="1"/>
  <c r="AA49" i="9"/>
  <c r="AA506" i="1"/>
  <c r="AA50" i="9" s="1"/>
  <c r="AA526" i="1"/>
  <c r="CA781" i="1"/>
  <c r="CB836" i="1"/>
  <c r="AJ49" i="9"/>
  <c r="AJ506" i="1"/>
  <c r="AJ50" i="9" s="1"/>
  <c r="J2" i="9"/>
  <c r="J5" i="13"/>
  <c r="J5" i="11"/>
  <c r="I138" i="9"/>
  <c r="I103" i="9"/>
  <c r="AN124" i="9"/>
  <c r="AI76" i="9"/>
  <c r="AI82" i="9" s="1"/>
  <c r="AI139" i="9" s="1"/>
  <c r="BE116" i="9"/>
  <c r="BE117" i="9" s="1"/>
  <c r="AH49" i="9"/>
  <c r="AH506" i="1"/>
  <c r="AH50" i="9" s="1"/>
  <c r="AH526" i="1"/>
  <c r="H138" i="9"/>
  <c r="H103" i="9"/>
  <c r="Q569" i="1"/>
  <c r="Q564" i="1"/>
  <c r="Y134" i="9"/>
  <c r="Y94" i="9"/>
  <c r="Y91" i="9" s="1"/>
  <c r="Y67" i="9"/>
  <c r="AC94" i="9"/>
  <c r="AC91" i="9" s="1"/>
  <c r="L527" i="1"/>
  <c r="L529" i="1"/>
  <c r="U49" i="9"/>
  <c r="U506" i="1"/>
  <c r="U50" i="9" s="1"/>
  <c r="AK49" i="9"/>
  <c r="AK506" i="1"/>
  <c r="AK50" i="9" s="1"/>
  <c r="AK526" i="1"/>
  <c r="BF138" i="9"/>
  <c r="BF103" i="9"/>
  <c r="K1091" i="1"/>
  <c r="K1092" i="1" s="1"/>
  <c r="L1091" i="1" s="1"/>
  <c r="J1092" i="1"/>
  <c r="P56" i="9"/>
  <c r="P507" i="1"/>
  <c r="BP137" i="9"/>
  <c r="BP98" i="9"/>
  <c r="CA1026" i="1"/>
  <c r="CA10" i="9" s="1"/>
  <c r="CB1253" i="1"/>
  <c r="S56" i="9"/>
  <c r="S507" i="1"/>
  <c r="S57" i="9" s="1"/>
  <c r="S88" i="9" s="1"/>
  <c r="E138" i="9"/>
  <c r="E103" i="9"/>
  <c r="E104" i="9" s="1"/>
  <c r="BU22" i="1"/>
  <c r="BU28" i="1"/>
  <c r="BU23" i="1"/>
  <c r="BU18" i="9" s="1"/>
  <c r="AP138" i="9"/>
  <c r="AP103" i="9"/>
  <c r="BH970" i="1"/>
  <c r="BH966" i="1"/>
  <c r="BH967" i="1"/>
  <c r="BH969" i="1"/>
  <c r="BH965" i="1"/>
  <c r="BH962" i="1"/>
  <c r="AC56" i="9"/>
  <c r="AC507" i="1"/>
  <c r="AC57" i="9" s="1"/>
  <c r="AC88" i="9" s="1"/>
  <c r="R49" i="9"/>
  <c r="R506" i="1"/>
  <c r="R50" i="9" s="1"/>
  <c r="R526" i="1"/>
  <c r="AE138" i="9"/>
  <c r="AE103" i="9"/>
  <c r="AE104" i="9" s="1"/>
  <c r="AH56" i="9"/>
  <c r="AH507" i="1"/>
  <c r="AH57" i="9" s="1"/>
  <c r="AH88" i="9" s="1"/>
  <c r="U56" i="9"/>
  <c r="U507" i="1"/>
  <c r="AK56" i="9"/>
  <c r="AK507" i="1"/>
  <c r="AK57" i="9" s="1"/>
  <c r="AK88" i="9" s="1"/>
  <c r="P49" i="9"/>
  <c r="P506" i="1"/>
  <c r="P50" i="9" s="1"/>
  <c r="AM56" i="9"/>
  <c r="AM507" i="1"/>
  <c r="AM57" i="9" s="1"/>
  <c r="AM88" i="9" s="1"/>
  <c r="BU209" i="1"/>
  <c r="BU205" i="1"/>
  <c r="BU462" i="1"/>
  <c r="BU202" i="1"/>
  <c r="BU200" i="1"/>
  <c r="Q138" i="9"/>
  <c r="Q103" i="9"/>
  <c r="AF49" i="9"/>
  <c r="AF526" i="1"/>
  <c r="AF506" i="1"/>
  <c r="AF50" i="9" s="1"/>
  <c r="BX524" i="1"/>
  <c r="BY518" i="1"/>
  <c r="BX529" i="1"/>
  <c r="CC522" i="1"/>
  <c r="BT137" i="9"/>
  <c r="BT98" i="9"/>
  <c r="AV138" i="9"/>
  <c r="AV103" i="9"/>
  <c r="Z56" i="9"/>
  <c r="Z507" i="1"/>
  <c r="D134" i="9"/>
  <c r="D67" i="9"/>
  <c r="D94" i="9"/>
  <c r="D91" i="9" s="1"/>
  <c r="AE157" i="1"/>
  <c r="M49" i="9"/>
  <c r="M526" i="1"/>
  <c r="M506" i="1"/>
  <c r="M50" i="9" s="1"/>
  <c r="AC49" i="9"/>
  <c r="AC526" i="1"/>
  <c r="AC506" i="1"/>
  <c r="AC50" i="9" s="1"/>
  <c r="R138" i="9"/>
  <c r="R103" i="9"/>
  <c r="H1367" i="1"/>
  <c r="O537" i="1"/>
  <c r="O541" i="1" s="1"/>
  <c r="O554" i="1" s="1"/>
  <c r="O562" i="1" s="1"/>
  <c r="N554" i="1"/>
  <c r="N562" i="1" s="1"/>
  <c r="AA56" i="9"/>
  <c r="AA507" i="1"/>
  <c r="AA57" i="9" s="1"/>
  <c r="AA88" i="9" s="1"/>
  <c r="I4" i="11"/>
  <c r="BC116" i="9"/>
  <c r="BC117" i="9" s="1"/>
  <c r="AH138" i="9"/>
  <c r="AH103" i="9"/>
  <c r="S537" i="1"/>
  <c r="S541" i="1" s="1"/>
  <c r="R554" i="1"/>
  <c r="R562" i="1" s="1"/>
  <c r="BW52" i="1"/>
  <c r="U138" i="9"/>
  <c r="U103" i="9"/>
  <c r="U104" i="9" s="1"/>
  <c r="AW49" i="9"/>
  <c r="AW526" i="1"/>
  <c r="AW506" i="1"/>
  <c r="AW50" i="9" s="1"/>
  <c r="S49" i="9"/>
  <c r="S506" i="1"/>
  <c r="S50" i="9" s="1"/>
  <c r="S526" i="1"/>
  <c r="BV189" i="1"/>
  <c r="AM138" i="9"/>
  <c r="AM103" i="9"/>
  <c r="BU14" i="1"/>
  <c r="BU13" i="1"/>
  <c r="C56" i="9"/>
  <c r="C507" i="1"/>
  <c r="BS138" i="9"/>
  <c r="BS103" i="9"/>
  <c r="BS104" i="9" s="1"/>
  <c r="BU19" i="1"/>
  <c r="BU31" i="9" s="1"/>
  <c r="Q49" i="9"/>
  <c r="Q526" i="1"/>
  <c r="Q506" i="1"/>
  <c r="Q50" i="9" s="1"/>
  <c r="AQ138" i="9"/>
  <c r="AQ103" i="9"/>
  <c r="AV56" i="9"/>
  <c r="AV507" i="1"/>
  <c r="AV57" i="9" s="1"/>
  <c r="AV88" i="9" s="1"/>
  <c r="D970" i="1"/>
  <c r="D967" i="1"/>
  <c r="D969" i="1"/>
  <c r="D962" i="1"/>
  <c r="D965" i="1"/>
  <c r="M56" i="9"/>
  <c r="M507" i="1"/>
  <c r="M57" i="9" s="1"/>
  <c r="M88" i="9" s="1"/>
  <c r="V56" i="9"/>
  <c r="V507" i="1"/>
  <c r="V57" i="9" s="1"/>
  <c r="V88" i="9" s="1"/>
  <c r="BK138" i="9"/>
  <c r="BK103" i="9"/>
  <c r="BJ56" i="9"/>
  <c r="BJ507" i="1"/>
  <c r="BJ57" i="9" s="1"/>
  <c r="BJ88" i="9" s="1"/>
  <c r="X138" i="9"/>
  <c r="X103" i="9"/>
  <c r="AJ56" i="9"/>
  <c r="AJ507" i="1"/>
  <c r="T970" i="1"/>
  <c r="T966" i="1"/>
  <c r="T967" i="1"/>
  <c r="T969" i="1"/>
  <c r="T965" i="1"/>
  <c r="T962" i="1"/>
  <c r="BF116" i="9"/>
  <c r="BF117" i="9" s="1"/>
  <c r="Y989" i="1"/>
  <c r="AC989" i="1"/>
  <c r="BZ131" i="1"/>
  <c r="CA128" i="1"/>
  <c r="BZ182" i="1"/>
  <c r="E49" i="9"/>
  <c r="E526" i="1"/>
  <c r="E506" i="1"/>
  <c r="E50" i="9" s="1"/>
  <c r="Z2" i="9"/>
  <c r="Z5" i="13"/>
  <c r="Z5" i="11"/>
  <c r="AA5" i="1"/>
  <c r="AE5" i="1"/>
  <c r="BR76" i="9"/>
  <c r="BR82" i="9" s="1"/>
  <c r="BR139" i="9" s="1"/>
  <c r="J989" i="1"/>
  <c r="L989" i="1"/>
  <c r="M989" i="1"/>
  <c r="N989" i="1"/>
  <c r="BU203" i="1"/>
  <c r="AF56" i="9"/>
  <c r="AF507" i="1"/>
  <c r="AF57" i="9" s="1"/>
  <c r="AF88" i="9" s="1"/>
  <c r="AO56" i="9"/>
  <c r="AO507" i="1"/>
  <c r="R2" i="9"/>
  <c r="R5" i="13"/>
  <c r="R5" i="11"/>
  <c r="S5" i="1"/>
  <c r="AL970" i="1"/>
  <c r="AL966" i="1"/>
  <c r="AL969" i="1"/>
  <c r="AL967" i="1"/>
  <c r="AL962" i="1"/>
  <c r="AL965" i="1"/>
  <c r="Z49" i="9"/>
  <c r="Z506" i="1"/>
  <c r="Z50" i="9" s="1"/>
  <c r="AY138" i="9"/>
  <c r="AY103" i="9"/>
  <c r="AY104" i="9" s="1"/>
  <c r="M138" i="9"/>
  <c r="M103" i="9"/>
  <c r="F49" i="9"/>
  <c r="F506" i="1"/>
  <c r="F50" i="9" s="1"/>
  <c r="F526" i="1"/>
  <c r="AG49" i="9"/>
  <c r="AG526" i="1"/>
  <c r="AG506" i="1"/>
  <c r="AG50" i="9" s="1"/>
  <c r="CE1241" i="1"/>
  <c r="AC138" i="9"/>
  <c r="AC103" i="9"/>
  <c r="BV188" i="1"/>
  <c r="BV75" i="1"/>
  <c r="BV14" i="9" s="1"/>
  <c r="BV74" i="1"/>
  <c r="AJ138" i="9"/>
  <c r="AJ103" i="9"/>
  <c r="AJ104" i="9" s="1"/>
  <c r="U564" i="1"/>
  <c r="U569" i="1"/>
  <c r="BU201" i="1"/>
  <c r="BL527" i="1"/>
  <c r="BL529" i="1"/>
  <c r="AK138" i="9"/>
  <c r="AK103" i="9"/>
  <c r="N49" i="9"/>
  <c r="N506" i="1"/>
  <c r="N50" i="9" s="1"/>
  <c r="N526" i="1"/>
  <c r="AW56" i="9"/>
  <c r="AW507" i="1"/>
  <c r="AW57" i="9" s="1"/>
  <c r="AW88" i="9" s="1"/>
  <c r="P138" i="9"/>
  <c r="P103" i="9"/>
  <c r="P104" i="9" s="1"/>
  <c r="BZ181" i="1"/>
  <c r="BZ111" i="1"/>
  <c r="CA108" i="1"/>
  <c r="BG49" i="9"/>
  <c r="BG526" i="1"/>
  <c r="BG506" i="1"/>
  <c r="BG50" i="9" s="1"/>
  <c r="AA989" i="1"/>
  <c r="AR56" i="9"/>
  <c r="AR507" i="1"/>
  <c r="AR57" i="9" s="1"/>
  <c r="AR88" i="9" s="1"/>
  <c r="BO56" i="9"/>
  <c r="BO507" i="1"/>
  <c r="BO57" i="9" s="1"/>
  <c r="BO88" i="9" s="1"/>
  <c r="C49" i="9"/>
  <c r="C506" i="1"/>
  <c r="C50" i="9" s="1"/>
  <c r="CD180" i="1"/>
  <c r="CE88" i="1"/>
  <c r="BU204" i="1"/>
  <c r="BW106" i="1" l="1"/>
  <c r="BW105" i="1"/>
  <c r="BU1264" i="1"/>
  <c r="AE159" i="1"/>
  <c r="BV94" i="1"/>
  <c r="I3" i="13"/>
  <c r="BW84" i="1"/>
  <c r="BW86" i="1" s="1"/>
  <c r="I1367" i="1"/>
  <c r="BW82" i="1"/>
  <c r="BW24" i="9" s="1"/>
  <c r="BU206" i="1"/>
  <c r="BW120" i="1"/>
  <c r="BW149" i="1" s="1"/>
  <c r="BV159" i="1"/>
  <c r="T537" i="1"/>
  <c r="T541" i="1" s="1"/>
  <c r="T554" i="1" s="1"/>
  <c r="T562" i="1" s="1"/>
  <c r="S554" i="1"/>
  <c r="S562" i="1" s="1"/>
  <c r="AF527" i="1"/>
  <c r="AF529" i="1"/>
  <c r="AJ537" i="1"/>
  <c r="AJ541" i="1" s="1"/>
  <c r="AF537" i="1"/>
  <c r="AF541" i="1" s="1"/>
  <c r="AE554" i="1"/>
  <c r="AE562" i="1" s="1"/>
  <c r="AJ163" i="1"/>
  <c r="AJ52" i="1"/>
  <c r="BG137" i="9"/>
  <c r="BG98" i="9"/>
  <c r="N137" i="9"/>
  <c r="N98" i="9"/>
  <c r="AL527" i="1"/>
  <c r="AL529" i="1"/>
  <c r="F1269" i="1"/>
  <c r="G1158" i="1"/>
  <c r="G1159" i="1" s="1"/>
  <c r="F1164" i="1"/>
  <c r="K1158" i="1"/>
  <c r="K1159" i="1" s="1"/>
  <c r="BB527" i="1"/>
  <c r="BB529" i="1"/>
  <c r="AJ107" i="9"/>
  <c r="AJ111" i="9"/>
  <c r="CF1241" i="1"/>
  <c r="AC970" i="1"/>
  <c r="AC966" i="1"/>
  <c r="AC967" i="1"/>
  <c r="AC969" i="1"/>
  <c r="AC962" i="1"/>
  <c r="AC965" i="1"/>
  <c r="AJ57" i="9"/>
  <c r="AJ1011" i="1"/>
  <c r="AW527" i="1"/>
  <c r="AW529" i="1"/>
  <c r="M970" i="1"/>
  <c r="M969" i="1"/>
  <c r="M967" i="1"/>
  <c r="M966" i="1"/>
  <c r="M965" i="1"/>
  <c r="M962" i="1"/>
  <c r="BS107" i="9"/>
  <c r="BS111" i="9"/>
  <c r="AK137" i="9"/>
  <c r="AK98" i="9"/>
  <c r="O5" i="11"/>
  <c r="O2" i="9"/>
  <c r="O5" i="13"/>
  <c r="AP137" i="9"/>
  <c r="AP98" i="9"/>
  <c r="AR529" i="1"/>
  <c r="AR527" i="1"/>
  <c r="BW93" i="1"/>
  <c r="AO57" i="9"/>
  <c r="AO1011" i="1"/>
  <c r="U57" i="9"/>
  <c r="U1011" i="1"/>
  <c r="AE107" i="9"/>
  <c r="AE111" i="9"/>
  <c r="P57" i="9"/>
  <c r="P1011" i="1"/>
  <c r="J4" i="11"/>
  <c r="I137" i="9"/>
  <c r="I98" i="9"/>
  <c r="BO137" i="9"/>
  <c r="BO98" i="9"/>
  <c r="AO137" i="9"/>
  <c r="AO98" i="9"/>
  <c r="AO99" i="9" s="1"/>
  <c r="AO102" i="9" s="1"/>
  <c r="AJ137" i="9"/>
  <c r="AJ98" i="9"/>
  <c r="AJ99" i="9" s="1"/>
  <c r="AJ102" i="9" s="1"/>
  <c r="Q527" i="1"/>
  <c r="Q529" i="1"/>
  <c r="AA137" i="9"/>
  <c r="AA98" i="9"/>
  <c r="U137" i="9"/>
  <c r="U98" i="9"/>
  <c r="U99" i="9" s="1"/>
  <c r="U102" i="9" s="1"/>
  <c r="BU31" i="1"/>
  <c r="BU33" i="1"/>
  <c r="BU20" i="9" s="1"/>
  <c r="P137" i="9"/>
  <c r="P98" i="9"/>
  <c r="P99" i="9" s="1"/>
  <c r="P102" i="9" s="1"/>
  <c r="F107" i="9"/>
  <c r="F111" i="9"/>
  <c r="AQ527" i="1"/>
  <c r="AQ529" i="1"/>
  <c r="AT137" i="9"/>
  <c r="AT98" i="9"/>
  <c r="AT99" i="9" s="1"/>
  <c r="AT102" i="9" s="1"/>
  <c r="BQ527" i="1"/>
  <c r="BQ529" i="1"/>
  <c r="V527" i="1"/>
  <c r="V529" i="1"/>
  <c r="AV527" i="1"/>
  <c r="AV529" i="1"/>
  <c r="AY107" i="9"/>
  <c r="AY111" i="9"/>
  <c r="C137" i="9"/>
  <c r="C98" i="9"/>
  <c r="C99" i="9" s="1"/>
  <c r="C102" i="9" s="1"/>
  <c r="N569" i="1"/>
  <c r="N564" i="1"/>
  <c r="CD1237" i="1"/>
  <c r="BQ137" i="9"/>
  <c r="BQ98" i="9"/>
  <c r="BI111" i="9"/>
  <c r="BI107" i="9"/>
  <c r="K57" i="9"/>
  <c r="K1011" i="1"/>
  <c r="BK137" i="9"/>
  <c r="BK98" i="9"/>
  <c r="AR137" i="9"/>
  <c r="AR98" i="9"/>
  <c r="V137" i="9"/>
  <c r="V98" i="9"/>
  <c r="U107" i="9"/>
  <c r="U111" i="9"/>
  <c r="M527" i="1"/>
  <c r="M529" i="1"/>
  <c r="BY524" i="1"/>
  <c r="BY526" i="1"/>
  <c r="BY529" i="1" s="1"/>
  <c r="BY523" i="1"/>
  <c r="BZ518" i="1"/>
  <c r="BZ510" i="1"/>
  <c r="BZ730" i="1" s="1"/>
  <c r="BZ521" i="1"/>
  <c r="AH137" i="9"/>
  <c r="AH98" i="9"/>
  <c r="M1091" i="1"/>
  <c r="L1092" i="1"/>
  <c r="CB781" i="1"/>
  <c r="CC836" i="1"/>
  <c r="BS57" i="9"/>
  <c r="BS1011" i="1"/>
  <c r="AY57" i="9"/>
  <c r="AY1011" i="1"/>
  <c r="AU5" i="9"/>
  <c r="AU122" i="9" s="1"/>
  <c r="AU1008" i="1"/>
  <c r="BA529" i="1"/>
  <c r="BA527" i="1"/>
  <c r="X527" i="1"/>
  <c r="X529" i="1"/>
  <c r="K137" i="9"/>
  <c r="K98" i="9"/>
  <c r="K99" i="9" s="1"/>
  <c r="K102" i="9" s="1"/>
  <c r="AG137" i="9"/>
  <c r="AG98" i="9"/>
  <c r="I527" i="1"/>
  <c r="I529" i="1"/>
  <c r="AA966" i="1"/>
  <c r="AA970" i="1"/>
  <c r="AA969" i="1"/>
  <c r="AA967" i="1"/>
  <c r="AA965" i="1"/>
  <c r="AA962" i="1"/>
  <c r="BL5" i="9"/>
  <c r="BL122" i="9" s="1"/>
  <c r="BL1008" i="1"/>
  <c r="S527" i="1"/>
  <c r="S529" i="1"/>
  <c r="L5" i="9"/>
  <c r="L122" i="9" s="1"/>
  <c r="L1008" i="1"/>
  <c r="AJ165" i="1"/>
  <c r="AJ100" i="1"/>
  <c r="X137" i="9"/>
  <c r="X98" i="9"/>
  <c r="BO527" i="1"/>
  <c r="BO529" i="1"/>
  <c r="W527" i="1"/>
  <c r="W529" i="1"/>
  <c r="AM529" i="1"/>
  <c r="AM527" i="1"/>
  <c r="E57" i="9"/>
  <c r="E1011" i="1"/>
  <c r="H137" i="9"/>
  <c r="H98" i="9"/>
  <c r="F57" i="9"/>
  <c r="F1011" i="1"/>
  <c r="CB1226" i="1"/>
  <c r="BN137" i="9"/>
  <c r="BN98" i="9"/>
  <c r="BN99" i="9" s="1"/>
  <c r="BN102" i="9" s="1"/>
  <c r="BV195" i="1"/>
  <c r="F527" i="1"/>
  <c r="F529" i="1"/>
  <c r="AE2" i="9"/>
  <c r="AE5" i="13"/>
  <c r="AE5" i="11"/>
  <c r="AJ5" i="1"/>
  <c r="AF5" i="1"/>
  <c r="M137" i="9"/>
  <c r="M98" i="9"/>
  <c r="BW56" i="1"/>
  <c r="BW146" i="1"/>
  <c r="BW54" i="1"/>
  <c r="BW23" i="9" s="1"/>
  <c r="BY510" i="1"/>
  <c r="BU34" i="9"/>
  <c r="BU1233" i="1"/>
  <c r="BU1119" i="1" s="1"/>
  <c r="BU1206" i="1"/>
  <c r="BU1227" i="1"/>
  <c r="BU737" i="1"/>
  <c r="BU598" i="1"/>
  <c r="AA529" i="1"/>
  <c r="AA527" i="1"/>
  <c r="AJ178" i="1"/>
  <c r="AJ63" i="1"/>
  <c r="BT5" i="9"/>
  <c r="BT122" i="9" s="1"/>
  <c r="BT1008" i="1"/>
  <c r="AE57" i="9"/>
  <c r="AE1011" i="1"/>
  <c r="K107" i="9"/>
  <c r="K111" i="9"/>
  <c r="AB137" i="9"/>
  <c r="AB98" i="9"/>
  <c r="Z569" i="1"/>
  <c r="Z564" i="1"/>
  <c r="E137" i="9"/>
  <c r="E98" i="9"/>
  <c r="E99" i="9" s="1"/>
  <c r="E102" i="9" s="1"/>
  <c r="BF529" i="1"/>
  <c r="BF527" i="1"/>
  <c r="BN107" i="9"/>
  <c r="BN111" i="9"/>
  <c r="D49" i="9"/>
  <c r="D526" i="1"/>
  <c r="D506" i="1"/>
  <c r="D50" i="9" s="1"/>
  <c r="BB137" i="9"/>
  <c r="BB98" i="9"/>
  <c r="F137" i="9"/>
  <c r="F98" i="9"/>
  <c r="F99" i="9" s="1"/>
  <c r="F102" i="9" s="1"/>
  <c r="H527" i="1"/>
  <c r="H529" i="1"/>
  <c r="Z107" i="9"/>
  <c r="Z111" i="9"/>
  <c r="BI57" i="9"/>
  <c r="BI1011" i="1"/>
  <c r="N527" i="1"/>
  <c r="N529" i="1"/>
  <c r="BU212" i="1"/>
  <c r="BU223" i="1"/>
  <c r="BU233" i="1"/>
  <c r="BU228" i="1"/>
  <c r="E107" i="9"/>
  <c r="E111" i="9"/>
  <c r="AK527" i="1"/>
  <c r="AK529" i="1"/>
  <c r="BD111" i="9"/>
  <c r="BD107" i="9"/>
  <c r="AK79" i="1"/>
  <c r="AK84" i="1"/>
  <c r="CB108" i="1"/>
  <c r="CA181" i="1"/>
  <c r="CA111" i="1"/>
  <c r="L970" i="1"/>
  <c r="L966" i="1"/>
  <c r="L967" i="1"/>
  <c r="L969" i="1"/>
  <c r="L962" i="1"/>
  <c r="L965" i="1"/>
  <c r="AC529" i="1"/>
  <c r="AC527" i="1"/>
  <c r="W2" i="9"/>
  <c r="W5" i="13"/>
  <c r="W5" i="11"/>
  <c r="X5" i="1"/>
  <c r="BV10" i="1"/>
  <c r="BV12" i="1"/>
  <c r="BV11" i="1"/>
  <c r="BV27" i="9" s="1"/>
  <c r="BW7" i="1"/>
  <c r="BV8" i="1"/>
  <c r="G137" i="9"/>
  <c r="G98" i="9"/>
  <c r="AT57" i="9"/>
  <c r="AT1011" i="1"/>
  <c r="BP5" i="9"/>
  <c r="BP122" i="9" s="1"/>
  <c r="BP1008" i="1"/>
  <c r="CB67" i="1"/>
  <c r="CB179" i="1"/>
  <c r="AT111" i="9"/>
  <c r="AT107" i="9"/>
  <c r="R137" i="9"/>
  <c r="R98" i="9"/>
  <c r="BE137" i="9"/>
  <c r="BE98" i="9"/>
  <c r="AF167" i="1"/>
  <c r="AF170" i="1" s="1"/>
  <c r="AO111" i="9"/>
  <c r="AO107" i="9"/>
  <c r="BF137" i="9"/>
  <c r="BF98" i="9"/>
  <c r="J970" i="1"/>
  <c r="J966" i="1"/>
  <c r="J967" i="1"/>
  <c r="J969" i="1"/>
  <c r="J965" i="1"/>
  <c r="J962" i="1"/>
  <c r="Y970" i="1"/>
  <c r="Y967" i="1"/>
  <c r="Y966" i="1"/>
  <c r="Y969" i="1"/>
  <c r="Y965" i="1"/>
  <c r="Y962" i="1"/>
  <c r="C57" i="9"/>
  <c r="C1011" i="1"/>
  <c r="J4" i="13"/>
  <c r="BD57" i="9"/>
  <c r="BD1011" i="1"/>
  <c r="AB527" i="1"/>
  <c r="AB529" i="1"/>
  <c r="C111" i="9"/>
  <c r="C107" i="9"/>
  <c r="V564" i="1"/>
  <c r="V569" i="1"/>
  <c r="AF16" i="1"/>
  <c r="AJ183" i="1"/>
  <c r="AJ16" i="1" s="1"/>
  <c r="AJ19" i="1" s="1"/>
  <c r="AJ31" i="9" s="1"/>
  <c r="CE180" i="1"/>
  <c r="CF88" i="1"/>
  <c r="CF180" i="1" s="1"/>
  <c r="BW115" i="1"/>
  <c r="BW16" i="9" s="1"/>
  <c r="BW114" i="1"/>
  <c r="BW190" i="1"/>
  <c r="BX113" i="1"/>
  <c r="Z57" i="9"/>
  <c r="Z1011" i="1"/>
  <c r="BX5" i="9"/>
  <c r="BX6" i="9" s="1"/>
  <c r="BX1008" i="1"/>
  <c r="BX999" i="1" s="1"/>
  <c r="AM137" i="9"/>
  <c r="AM98" i="9"/>
  <c r="R529" i="1"/>
  <c r="R527" i="1"/>
  <c r="S137" i="9"/>
  <c r="S98" i="9"/>
  <c r="AH529" i="1"/>
  <c r="AH527" i="1"/>
  <c r="BD137" i="9"/>
  <c r="BD98" i="9"/>
  <c r="BD99" i="9" s="1"/>
  <c r="BD102" i="9" s="1"/>
  <c r="X537" i="1"/>
  <c r="X541" i="1" s="1"/>
  <c r="W554" i="1"/>
  <c r="W562" i="1" s="1"/>
  <c r="P107" i="9"/>
  <c r="P111" i="9"/>
  <c r="AG527" i="1"/>
  <c r="AG529" i="1"/>
  <c r="E527" i="1"/>
  <c r="E529" i="1"/>
  <c r="O569" i="1"/>
  <c r="O564" i="1"/>
  <c r="Z137" i="9"/>
  <c r="Z98" i="9"/>
  <c r="Z99" i="9" s="1"/>
  <c r="Z102" i="9" s="1"/>
  <c r="CC1253" i="1"/>
  <c r="CB1026" i="1"/>
  <c r="CB10" i="9" s="1"/>
  <c r="BW5" i="9"/>
  <c r="BW6" i="9" s="1"/>
  <c r="BW1008" i="1"/>
  <c r="BW999" i="1" s="1"/>
  <c r="AZ527" i="1"/>
  <c r="AZ529" i="1"/>
  <c r="D56" i="9"/>
  <c r="D507" i="1"/>
  <c r="AE8" i="1"/>
  <c r="AJ7" i="1"/>
  <c r="AF7" i="1"/>
  <c r="AE11" i="1"/>
  <c r="AE27" i="9" s="1"/>
  <c r="W137" i="9"/>
  <c r="W98" i="9"/>
  <c r="J1" i="9"/>
  <c r="J1397" i="1"/>
  <c r="J515" i="1"/>
  <c r="K4" i="1"/>
  <c r="J3" i="1"/>
  <c r="J3" i="11" s="1"/>
  <c r="BN57" i="9"/>
  <c r="BN1011" i="1"/>
  <c r="BE529" i="1"/>
  <c r="BE527" i="1"/>
  <c r="AQ137" i="9"/>
  <c r="AQ98" i="9"/>
  <c r="AP529" i="1"/>
  <c r="AP527" i="1"/>
  <c r="S2" i="9"/>
  <c r="S5" i="13"/>
  <c r="S5" i="11"/>
  <c r="T5" i="1"/>
  <c r="AF137" i="9"/>
  <c r="AF98" i="9"/>
  <c r="AV137" i="9"/>
  <c r="AV98" i="9"/>
  <c r="BS137" i="9"/>
  <c r="BS98" i="9"/>
  <c r="BS99" i="9" s="1"/>
  <c r="BS102" i="9" s="1"/>
  <c r="AY137" i="9"/>
  <c r="AY98" i="9"/>
  <c r="AY99" i="9" s="1"/>
  <c r="AY102" i="9" s="1"/>
  <c r="BJ529" i="1"/>
  <c r="BJ527" i="1"/>
  <c r="BK529" i="1"/>
  <c r="BK527" i="1"/>
  <c r="G529" i="1"/>
  <c r="G527" i="1"/>
  <c r="AO118" i="1"/>
  <c r="AK118" i="1"/>
  <c r="AJ122" i="1"/>
  <c r="AJ26" i="9" s="1"/>
  <c r="AJ149" i="1"/>
  <c r="BG527" i="1"/>
  <c r="BG529" i="1"/>
  <c r="AW137" i="9"/>
  <c r="AW98" i="9"/>
  <c r="N970" i="1"/>
  <c r="N967" i="1"/>
  <c r="N969" i="1"/>
  <c r="N966" i="1"/>
  <c r="N965" i="1"/>
  <c r="N962" i="1"/>
  <c r="AA2" i="9"/>
  <c r="AA5" i="11"/>
  <c r="AA5" i="13"/>
  <c r="AB5" i="1"/>
  <c r="CA131" i="1"/>
  <c r="CB128" i="1"/>
  <c r="CC128" i="1" s="1"/>
  <c r="CA182" i="1"/>
  <c r="BJ137" i="9"/>
  <c r="BJ98" i="9"/>
  <c r="R564" i="1"/>
  <c r="R569" i="1"/>
  <c r="AC137" i="9"/>
  <c r="AC98" i="9"/>
  <c r="BW167" i="1"/>
  <c r="Q137" i="9"/>
  <c r="Q98" i="9"/>
  <c r="BV191" i="1"/>
  <c r="BV192" i="1" s="1"/>
  <c r="BV134" i="1"/>
  <c r="BV135" i="1"/>
  <c r="BV17" i="9" s="1"/>
  <c r="AE137" i="9"/>
  <c r="AE98" i="9"/>
  <c r="AE99" i="9" s="1"/>
  <c r="AE102" i="9" s="1"/>
  <c r="AB537" i="1"/>
  <c r="AB541" i="1" s="1"/>
  <c r="AA554" i="1"/>
  <c r="AA562" i="1" s="1"/>
  <c r="CC64" i="1"/>
  <c r="D138" i="9"/>
  <c r="D103" i="9"/>
  <c r="D104" i="9" s="1"/>
  <c r="BA137" i="9"/>
  <c r="BA98" i="9"/>
  <c r="AL137" i="9"/>
  <c r="AL98" i="9"/>
  <c r="BI137" i="9"/>
  <c r="BI98" i="9"/>
  <c r="BI99" i="9" s="1"/>
  <c r="BI102" i="9" s="1"/>
  <c r="AZ137" i="9"/>
  <c r="AZ98" i="9"/>
  <c r="AF173" i="1" l="1"/>
  <c r="AF171" i="1"/>
  <c r="BW85" i="1"/>
  <c r="J1367" i="1"/>
  <c r="BW122" i="1"/>
  <c r="BW26" i="9" s="1"/>
  <c r="BW124" i="1"/>
  <c r="BW125" i="1" s="1"/>
  <c r="J3" i="13"/>
  <c r="CC182" i="1"/>
  <c r="CD128" i="1"/>
  <c r="CC131" i="1"/>
  <c r="AK119" i="1"/>
  <c r="AK124" i="1"/>
  <c r="AK164" i="1"/>
  <c r="AO79" i="1"/>
  <c r="AJ2" i="9"/>
  <c r="AE1339" i="1"/>
  <c r="AJ5" i="11"/>
  <c r="AH1339" i="1"/>
  <c r="AG1339" i="1"/>
  <c r="AD1339" i="1"/>
  <c r="AJ5" i="13"/>
  <c r="AF1339" i="1"/>
  <c r="AD700" i="1"/>
  <c r="AF700" i="1"/>
  <c r="AE700" i="1"/>
  <c r="AG627" i="1"/>
  <c r="AH700" i="1"/>
  <c r="AG700" i="1"/>
  <c r="AH627" i="1"/>
  <c r="AF627" i="1"/>
  <c r="AD627" i="1"/>
  <c r="AE627" i="1"/>
  <c r="AO5" i="1"/>
  <c r="AK5" i="1"/>
  <c r="CC1226" i="1"/>
  <c r="AJ102" i="1"/>
  <c r="AJ25" i="9" s="1"/>
  <c r="AK98" i="1"/>
  <c r="AO98" i="1"/>
  <c r="AJ148" i="1"/>
  <c r="L6" i="9"/>
  <c r="L11" i="9" s="1"/>
  <c r="L120" i="9"/>
  <c r="L84" i="9"/>
  <c r="L85" i="9"/>
  <c r="L87" i="9" s="1"/>
  <c r="L121" i="9"/>
  <c r="S5" i="9"/>
  <c r="S1008" i="1"/>
  <c r="U88" i="9"/>
  <c r="U127" i="9"/>
  <c r="D107" i="9"/>
  <c r="D111" i="9"/>
  <c r="D57" i="9"/>
  <c r="D1011" i="1"/>
  <c r="CD1253" i="1"/>
  <c r="CC1026" i="1"/>
  <c r="CC10" i="9" s="1"/>
  <c r="BD88" i="9"/>
  <c r="BD127" i="9"/>
  <c r="AA5" i="9"/>
  <c r="AA1008" i="1"/>
  <c r="X5" i="9"/>
  <c r="X1008" i="1"/>
  <c r="BZ75" i="9"/>
  <c r="BZ1274" i="1"/>
  <c r="BZ1150" i="1"/>
  <c r="K88" i="9"/>
  <c r="K127" i="9"/>
  <c r="AF5" i="9"/>
  <c r="AF1008" i="1"/>
  <c r="BK5" i="9"/>
  <c r="BK1008" i="1"/>
  <c r="D137" i="9"/>
  <c r="D98" i="9"/>
  <c r="D99" i="9" s="1"/>
  <c r="D102" i="9" s="1"/>
  <c r="BW126" i="1"/>
  <c r="BV21" i="1"/>
  <c r="BV183" i="1"/>
  <c r="BV16" i="1" s="1"/>
  <c r="BV194" i="1"/>
  <c r="BV204" i="1" s="1"/>
  <c r="BO5" i="9"/>
  <c r="BO1008" i="1"/>
  <c r="N1091" i="1"/>
  <c r="M1092" i="1"/>
  <c r="BG5" i="9"/>
  <c r="BG1008" i="1"/>
  <c r="AP5" i="9"/>
  <c r="AP1008" i="1"/>
  <c r="BP14" i="13"/>
  <c r="BP1781" i="13" s="1"/>
  <c r="BP999" i="1"/>
  <c r="BP1009" i="1"/>
  <c r="BP1000" i="1" s="1"/>
  <c r="BP976" i="1" s="1"/>
  <c r="D527" i="1"/>
  <c r="D529" i="1"/>
  <c r="BX190" i="1"/>
  <c r="BX115" i="1"/>
  <c r="BX16" i="9" s="1"/>
  <c r="AE88" i="9"/>
  <c r="AE127" i="9"/>
  <c r="T569" i="1"/>
  <c r="T564" i="1"/>
  <c r="AA564" i="1"/>
  <c r="AA569" i="1"/>
  <c r="K1" i="9"/>
  <c r="K1397" i="1"/>
  <c r="K515" i="1"/>
  <c r="L4" i="1"/>
  <c r="K3" i="1"/>
  <c r="J1181" i="1" s="1"/>
  <c r="K4" i="11"/>
  <c r="K4" i="13"/>
  <c r="W569" i="1"/>
  <c r="W564" i="1"/>
  <c r="BV14" i="1"/>
  <c r="BV13" i="1"/>
  <c r="BT14" i="13"/>
  <c r="BT1781" i="13" s="1"/>
  <c r="BT999" i="1"/>
  <c r="BT1009" i="1"/>
  <c r="BU604" i="1"/>
  <c r="BU607" i="1"/>
  <c r="AU14" i="13"/>
  <c r="AU1781" i="13" s="1"/>
  <c r="AU999" i="1"/>
  <c r="AU1009" i="1"/>
  <c r="AU1000" i="1" s="1"/>
  <c r="AU976" i="1" s="1"/>
  <c r="CD836" i="1"/>
  <c r="CC781" i="1"/>
  <c r="BW94" i="1"/>
  <c r="BW189" i="1"/>
  <c r="BW95" i="1"/>
  <c r="BW15" i="9" s="1"/>
  <c r="BX93" i="1"/>
  <c r="P1158" i="1"/>
  <c r="P1159" i="1" s="1"/>
  <c r="K1269" i="1"/>
  <c r="K1164" i="1"/>
  <c r="L1158" i="1"/>
  <c r="L1159" i="1" s="1"/>
  <c r="T2" i="9"/>
  <c r="T5" i="13"/>
  <c r="T5" i="11"/>
  <c r="BE5" i="9"/>
  <c r="BE1008" i="1"/>
  <c r="C88" i="9"/>
  <c r="C127" i="9"/>
  <c r="BU471" i="1"/>
  <c r="BU234" i="1"/>
  <c r="N5" i="9"/>
  <c r="N1008" i="1"/>
  <c r="BF5" i="9"/>
  <c r="BF1008" i="1"/>
  <c r="BU1116" i="1"/>
  <c r="BU224" i="1"/>
  <c r="BU469" i="1"/>
  <c r="AY88" i="9"/>
  <c r="AY127" i="9"/>
  <c r="AR5" i="9"/>
  <c r="AR1008" i="1"/>
  <c r="CC179" i="1"/>
  <c r="CD64" i="1"/>
  <c r="CC67" i="1"/>
  <c r="AH5" i="9"/>
  <c r="AH1008" i="1"/>
  <c r="AF169" i="1"/>
  <c r="AF172" i="1"/>
  <c r="AF174" i="1"/>
  <c r="AC5" i="9"/>
  <c r="AC1008" i="1"/>
  <c r="V5" i="9"/>
  <c r="V1008" i="1"/>
  <c r="BW173" i="1"/>
  <c r="BW171" i="1"/>
  <c r="BW172" i="1"/>
  <c r="X5" i="11"/>
  <c r="X2" i="9"/>
  <c r="X5" i="13"/>
  <c r="Y5" i="1"/>
  <c r="CB181" i="1"/>
  <c r="CB111" i="1"/>
  <c r="BI88" i="9"/>
  <c r="BI127" i="9"/>
  <c r="BY730" i="1"/>
  <c r="F88" i="9"/>
  <c r="F127" i="9"/>
  <c r="BZ524" i="1"/>
  <c r="BZ526" i="1"/>
  <c r="BZ529" i="1" s="1"/>
  <c r="BZ523" i="1"/>
  <c r="CA518" i="1"/>
  <c r="CA521" i="1"/>
  <c r="AO50" i="1"/>
  <c r="AJ45" i="1"/>
  <c r="AJ54" i="1"/>
  <c r="AJ23" i="9" s="1"/>
  <c r="AJ146" i="1"/>
  <c r="AK50" i="1"/>
  <c r="BJ5" i="9"/>
  <c r="BJ1008" i="1"/>
  <c r="BP6" i="9"/>
  <c r="BP11" i="9" s="1"/>
  <c r="BP120" i="9"/>
  <c r="BP84" i="9"/>
  <c r="BP85" i="9"/>
  <c r="BP87" i="9" s="1"/>
  <c r="BP124" i="9"/>
  <c r="BP121" i="9"/>
  <c r="BA5" i="9"/>
  <c r="BA1008" i="1"/>
  <c r="AQ5" i="9"/>
  <c r="AQ1008" i="1"/>
  <c r="AJ167" i="1"/>
  <c r="AJ173" i="1" s="1"/>
  <c r="AC537" i="1"/>
  <c r="AC541" i="1" s="1"/>
  <c r="AB554" i="1"/>
  <c r="AB562" i="1" s="1"/>
  <c r="AF12" i="1"/>
  <c r="AF8" i="1"/>
  <c r="AZ5" i="9"/>
  <c r="AZ1008" i="1"/>
  <c r="E5" i="9"/>
  <c r="E1008" i="1"/>
  <c r="Y537" i="1"/>
  <c r="Y541" i="1" s="1"/>
  <c r="Y554" i="1" s="1"/>
  <c r="Y562" i="1" s="1"/>
  <c r="X554" i="1"/>
  <c r="X562" i="1" s="1"/>
  <c r="AF19" i="1"/>
  <c r="AF31" i="9" s="1"/>
  <c r="AF17" i="1"/>
  <c r="AF29" i="9" s="1"/>
  <c r="AG17" i="1"/>
  <c r="AG29" i="9" s="1"/>
  <c r="AB5" i="9"/>
  <c r="AB1008" i="1"/>
  <c r="AT88" i="9"/>
  <c r="AT127" i="9"/>
  <c r="BT6" i="9"/>
  <c r="BT11" i="9" s="1"/>
  <c r="BT120" i="9"/>
  <c r="BT84" i="9"/>
  <c r="BT121" i="9"/>
  <c r="BT124" i="9"/>
  <c r="BT85" i="9"/>
  <c r="BT87" i="9" s="1"/>
  <c r="BU478" i="1"/>
  <c r="BW150" i="1"/>
  <c r="BW155" i="1"/>
  <c r="F5" i="9"/>
  <c r="F1008" i="1"/>
  <c r="AM5" i="9"/>
  <c r="AM1008" i="1"/>
  <c r="BL14" i="13"/>
  <c r="BL1781" i="13" s="1"/>
  <c r="BL999" i="1"/>
  <c r="BL1009" i="1"/>
  <c r="BL1000" i="1" s="1"/>
  <c r="BL976" i="1" s="1"/>
  <c r="I5" i="9"/>
  <c r="I1008" i="1"/>
  <c r="AU6" i="9"/>
  <c r="AU11" i="9" s="1"/>
  <c r="AU120" i="9"/>
  <c r="AU121" i="9"/>
  <c r="AU84" i="9"/>
  <c r="AU85" i="9"/>
  <c r="AU87" i="9" s="1"/>
  <c r="AU124" i="9"/>
  <c r="BW174" i="1"/>
  <c r="CE1237" i="1"/>
  <c r="Q5" i="9"/>
  <c r="Q1008" i="1"/>
  <c r="AJ127" i="9"/>
  <c r="AJ88" i="9"/>
  <c r="AE569" i="1"/>
  <c r="AE564" i="1"/>
  <c r="AG5" i="9"/>
  <c r="AG1008" i="1"/>
  <c r="AV5" i="9"/>
  <c r="AV1008" i="1"/>
  <c r="AO88" i="9"/>
  <c r="AO127" i="9"/>
  <c r="AK537" i="1"/>
  <c r="AK541" i="1" s="1"/>
  <c r="AO537" i="1"/>
  <c r="AO541" i="1" s="1"/>
  <c r="AJ554" i="1"/>
  <c r="AJ562" i="1" s="1"/>
  <c r="CB131" i="1"/>
  <c r="CB182" i="1"/>
  <c r="AL5" i="9"/>
  <c r="AL1008" i="1"/>
  <c r="BN127" i="9"/>
  <c r="BN88" i="9"/>
  <c r="BU120" i="9"/>
  <c r="BY5" i="9"/>
  <c r="BY6" i="9" s="1"/>
  <c r="BY1008" i="1"/>
  <c r="AB5" i="11"/>
  <c r="AB2" i="9"/>
  <c r="AB5" i="13"/>
  <c r="AC5" i="1"/>
  <c r="G5" i="9"/>
  <c r="G1008" i="1"/>
  <c r="AK5" i="9"/>
  <c r="AK1008" i="1"/>
  <c r="P127" i="9"/>
  <c r="P88" i="9"/>
  <c r="AW5" i="9"/>
  <c r="AW1008" i="1"/>
  <c r="BB5" i="9"/>
  <c r="BB1008" i="1"/>
  <c r="S564" i="1"/>
  <c r="S569" i="1"/>
  <c r="E88" i="9"/>
  <c r="E127" i="9"/>
  <c r="BS88" i="9"/>
  <c r="BS127" i="9"/>
  <c r="BV203" i="1"/>
  <c r="R5" i="9"/>
  <c r="R1008" i="1"/>
  <c r="Z127" i="9"/>
  <c r="Z88" i="9"/>
  <c r="AK86" i="1"/>
  <c r="AO84" i="1"/>
  <c r="AO86" i="1" s="1"/>
  <c r="AK85" i="1"/>
  <c r="AL85" i="1"/>
  <c r="BU229" i="1"/>
  <c r="BU470" i="1"/>
  <c r="H5" i="9"/>
  <c r="H1008" i="1"/>
  <c r="BU1117" i="1"/>
  <c r="BW58" i="1"/>
  <c r="BW57" i="1"/>
  <c r="BW73" i="1"/>
  <c r="AF5" i="11"/>
  <c r="AF5" i="13"/>
  <c r="AF2" i="9"/>
  <c r="AD1321" i="1"/>
  <c r="AE1321" i="1"/>
  <c r="AE672" i="1"/>
  <c r="AD672" i="1"/>
  <c r="AE610" i="1"/>
  <c r="AD610" i="1"/>
  <c r="AG5" i="1"/>
  <c r="W5" i="9"/>
  <c r="W1008" i="1"/>
  <c r="L999" i="1"/>
  <c r="L1009" i="1"/>
  <c r="L1000" i="1" s="1"/>
  <c r="L976" i="1" s="1"/>
  <c r="BL6" i="9"/>
  <c r="BL11" i="9" s="1"/>
  <c r="BL120" i="9"/>
  <c r="BL121" i="9"/>
  <c r="BL84" i="9"/>
  <c r="BL124" i="9"/>
  <c r="BL85" i="9"/>
  <c r="BL87" i="9" s="1"/>
  <c r="M5" i="9"/>
  <c r="M1008" i="1"/>
  <c r="BQ5" i="9"/>
  <c r="BQ1008" i="1"/>
  <c r="G1269" i="1"/>
  <c r="H1158" i="1"/>
  <c r="H1159" i="1" s="1"/>
  <c r="G1164" i="1"/>
  <c r="AG537" i="1"/>
  <c r="AG541" i="1" s="1"/>
  <c r="AF554" i="1"/>
  <c r="AF562" i="1" s="1"/>
  <c r="CC108" i="1"/>
  <c r="J1182" i="1" l="1"/>
  <c r="BW133" i="1"/>
  <c r="K1367" i="1"/>
  <c r="AF175" i="1"/>
  <c r="BL975" i="1"/>
  <c r="BL973" i="1"/>
  <c r="CA523" i="1"/>
  <c r="CA526" i="1"/>
  <c r="CA529" i="1" s="1"/>
  <c r="CA524" i="1"/>
  <c r="CB518" i="1"/>
  <c r="CB521" i="1"/>
  <c r="AR999" i="1"/>
  <c r="AR1009" i="1"/>
  <c r="AR1000" i="1" s="1"/>
  <c r="AR976" i="1" s="1"/>
  <c r="L1" i="9"/>
  <c r="L1397" i="1"/>
  <c r="L515" i="1"/>
  <c r="M4" i="1"/>
  <c r="L3" i="1"/>
  <c r="L1367" i="1" s="1"/>
  <c r="L4" i="11"/>
  <c r="L4" i="13"/>
  <c r="X6" i="9"/>
  <c r="X11" i="9" s="1"/>
  <c r="X120" i="9"/>
  <c r="X121" i="9"/>
  <c r="X84" i="9"/>
  <c r="X85" i="9"/>
  <c r="X87" i="9" s="1"/>
  <c r="X122" i="9"/>
  <c r="AD1350" i="1"/>
  <c r="AD711" i="1" s="1"/>
  <c r="AD1342" i="1"/>
  <c r="AD1344" i="1"/>
  <c r="AD1348" i="1"/>
  <c r="AD1351" i="1"/>
  <c r="AD1340" i="1"/>
  <c r="AD628" i="1" s="1"/>
  <c r="AD1338" i="1"/>
  <c r="AD1343" i="1"/>
  <c r="AD1349" i="1"/>
  <c r="AD710" i="1" s="1"/>
  <c r="AD714" i="1" s="1"/>
  <c r="AD1347" i="1"/>
  <c r="AD702" i="1" s="1"/>
  <c r="AD1345" i="1"/>
  <c r="AD1346" i="1"/>
  <c r="AD701" i="1" s="1"/>
  <c r="AD1341" i="1"/>
  <c r="AD629" i="1" s="1"/>
  <c r="AF569" i="1"/>
  <c r="AF564" i="1"/>
  <c r="H6" i="9"/>
  <c r="H11" i="9" s="1"/>
  <c r="H84" i="9"/>
  <c r="H85" i="9"/>
  <c r="H87" i="9" s="1"/>
  <c r="AK999" i="1"/>
  <c r="AK1009" i="1"/>
  <c r="AK1000" i="1" s="1"/>
  <c r="AK976" i="1" s="1"/>
  <c r="AQ999" i="1"/>
  <c r="AQ1009" i="1"/>
  <c r="AQ1000" i="1" s="1"/>
  <c r="AQ976" i="1" s="1"/>
  <c r="BU38" i="9"/>
  <c r="BU63" i="9" s="1"/>
  <c r="BU398" i="1"/>
  <c r="BZ5" i="9"/>
  <c r="BZ6" i="9" s="1"/>
  <c r="BZ1008" i="1"/>
  <c r="BZ999" i="1" s="1"/>
  <c r="AH999" i="1"/>
  <c r="AH1009" i="1"/>
  <c r="AH1000" i="1" s="1"/>
  <c r="AH976" i="1" s="1"/>
  <c r="AP999" i="1"/>
  <c r="AP1009" i="1"/>
  <c r="AP1000" i="1" s="1"/>
  <c r="AP976" i="1" s="1"/>
  <c r="BV22" i="1"/>
  <c r="BV28" i="1"/>
  <c r="BV23" i="1"/>
  <c r="BV18" i="9" s="1"/>
  <c r="CD1026" i="1"/>
  <c r="CD10" i="9" s="1"/>
  <c r="CE1253" i="1"/>
  <c r="AK2" i="9"/>
  <c r="AJ1321" i="1"/>
  <c r="AK5" i="11"/>
  <c r="AK5" i="13"/>
  <c r="AI1321" i="1"/>
  <c r="AJ610" i="1"/>
  <c r="AI672" i="1"/>
  <c r="AJ672" i="1"/>
  <c r="AI610" i="1"/>
  <c r="AL5" i="1"/>
  <c r="AK166" i="1"/>
  <c r="AO119" i="1"/>
  <c r="M999" i="1"/>
  <c r="M1009" i="1"/>
  <c r="M1000" i="1" s="1"/>
  <c r="M976" i="1" s="1"/>
  <c r="BY999" i="1"/>
  <c r="Y569" i="1"/>
  <c r="Y564" i="1"/>
  <c r="AH6" i="9"/>
  <c r="AH11" i="9" s="1"/>
  <c r="AH120" i="9"/>
  <c r="AH121" i="9"/>
  <c r="AH84" i="9"/>
  <c r="AH85" i="9"/>
  <c r="AH87" i="9" s="1"/>
  <c r="AH122" i="9"/>
  <c r="N999" i="1"/>
  <c r="N1009" i="1"/>
  <c r="N1000" i="1" s="1"/>
  <c r="N976" i="1" s="1"/>
  <c r="H1269" i="1"/>
  <c r="I1158" i="1"/>
  <c r="I1159" i="1" s="1"/>
  <c r="H1164" i="1"/>
  <c r="L975" i="1"/>
  <c r="L973" i="1"/>
  <c r="R999" i="1"/>
  <c r="R1009" i="1"/>
  <c r="R1000" i="1" s="1"/>
  <c r="R976" i="1" s="1"/>
  <c r="E999" i="1"/>
  <c r="E1009" i="1"/>
  <c r="E1014" i="1"/>
  <c r="BK14" i="13"/>
  <c r="BK1781" i="13" s="1"/>
  <c r="BK999" i="1"/>
  <c r="BK1009" i="1"/>
  <c r="BK1000" i="1" s="1"/>
  <c r="BK976" i="1" s="1"/>
  <c r="W999" i="1"/>
  <c r="W1009" i="1"/>
  <c r="W1000" i="1" s="1"/>
  <c r="W976" i="1" s="1"/>
  <c r="AD1327" i="1"/>
  <c r="AD1329" i="1"/>
  <c r="AD674" i="1" s="1"/>
  <c r="AD1332" i="1"/>
  <c r="AD686" i="1" s="1"/>
  <c r="AD1330" i="1"/>
  <c r="AD1326" i="1"/>
  <c r="AD1333" i="1"/>
  <c r="AD1328" i="1"/>
  <c r="AD673" i="1" s="1"/>
  <c r="AD1331" i="1"/>
  <c r="AD685" i="1" s="1"/>
  <c r="AD1325" i="1"/>
  <c r="AD1324" i="1"/>
  <c r="AD1323" i="1"/>
  <c r="AD612" i="1" s="1"/>
  <c r="AD1322" i="1"/>
  <c r="AD611" i="1" s="1"/>
  <c r="R6" i="9"/>
  <c r="R11" i="9" s="1"/>
  <c r="R120" i="9"/>
  <c r="R121" i="9"/>
  <c r="R84" i="9"/>
  <c r="R85" i="9"/>
  <c r="R87" i="9" s="1"/>
  <c r="R122" i="9"/>
  <c r="BB6" i="9"/>
  <c r="BB11" i="9" s="1"/>
  <c r="BB120" i="9"/>
  <c r="BB121" i="9"/>
  <c r="BB84" i="9"/>
  <c r="BB85" i="9"/>
  <c r="BB87" i="9" s="1"/>
  <c r="BB122" i="9"/>
  <c r="AL999" i="1"/>
  <c r="AL1009" i="1"/>
  <c r="AL1000" i="1" s="1"/>
  <c r="AL976" i="1" s="1"/>
  <c r="AP537" i="1"/>
  <c r="AP541" i="1" s="1"/>
  <c r="AT537" i="1"/>
  <c r="AT541" i="1" s="1"/>
  <c r="AO554" i="1"/>
  <c r="AO562" i="1" s="1"/>
  <c r="CF1237" i="1"/>
  <c r="I999" i="1"/>
  <c r="I1009" i="1"/>
  <c r="I1000" i="1" s="1"/>
  <c r="I976" i="1" s="1"/>
  <c r="F6" i="9"/>
  <c r="F120" i="9"/>
  <c r="F84" i="9"/>
  <c r="F129" i="9" s="1"/>
  <c r="F85" i="9"/>
  <c r="F87" i="9" s="1"/>
  <c r="F121" i="9"/>
  <c r="F122" i="9"/>
  <c r="AB999" i="1"/>
  <c r="AB1009" i="1"/>
  <c r="AB1000" i="1" s="1"/>
  <c r="AB976" i="1" s="1"/>
  <c r="E120" i="9"/>
  <c r="E6" i="9"/>
  <c r="E84" i="9"/>
  <c r="E129" i="9" s="1"/>
  <c r="E85" i="9"/>
  <c r="E87" i="9" s="1"/>
  <c r="E124" i="9"/>
  <c r="E121" i="9"/>
  <c r="AD537" i="1"/>
  <c r="AD541" i="1" s="1"/>
  <c r="AD554" i="1" s="1"/>
  <c r="AD562" i="1" s="1"/>
  <c r="AC554" i="1"/>
  <c r="AC562" i="1" s="1"/>
  <c r="BJ999" i="1"/>
  <c r="BJ14" i="13"/>
  <c r="BJ1781" i="13" s="1"/>
  <c r="BJ1009" i="1"/>
  <c r="BJ1000" i="1" s="1"/>
  <c r="BJ976" i="1" s="1"/>
  <c r="Y2" i="9"/>
  <c r="Y5" i="11"/>
  <c r="Y5" i="13"/>
  <c r="AC999" i="1"/>
  <c r="AC1009" i="1"/>
  <c r="AC1000" i="1" s="1"/>
  <c r="AC976" i="1" s="1"/>
  <c r="BG6" i="9"/>
  <c r="BG11" i="9" s="1"/>
  <c r="BG120" i="9"/>
  <c r="BG121" i="9"/>
  <c r="BG84" i="9"/>
  <c r="BG85" i="9"/>
  <c r="BG87" i="9" s="1"/>
  <c r="BG124" i="9"/>
  <c r="BG122" i="9"/>
  <c r="BO14" i="13"/>
  <c r="BO1781" i="13" s="1"/>
  <c r="BO999" i="1"/>
  <c r="BO1009" i="1"/>
  <c r="BO1000" i="1" s="1"/>
  <c r="BO976" i="1" s="1"/>
  <c r="BK6" i="9"/>
  <c r="BK11" i="9" s="1"/>
  <c r="BK84" i="9"/>
  <c r="BK85" i="9"/>
  <c r="BK87" i="9" s="1"/>
  <c r="BK120" i="9"/>
  <c r="BK124" i="9"/>
  <c r="BK121" i="9"/>
  <c r="BK122" i="9"/>
  <c r="S999" i="1"/>
  <c r="S1009" i="1"/>
  <c r="S1000" i="1" s="1"/>
  <c r="S976" i="1" s="1"/>
  <c r="BQ14" i="13"/>
  <c r="BQ1781" i="13" s="1"/>
  <c r="BQ999" i="1"/>
  <c r="BQ1009" i="1"/>
  <c r="BQ1000" i="1" s="1"/>
  <c r="BQ976" i="1" s="1"/>
  <c r="BY75" i="9"/>
  <c r="BY1150" i="1"/>
  <c r="BY1274" i="1"/>
  <c r="BP975" i="1"/>
  <c r="BP973" i="1"/>
  <c r="CD1226" i="1"/>
  <c r="BQ120" i="9"/>
  <c r="BQ6" i="9"/>
  <c r="BQ11" i="9" s="1"/>
  <c r="BQ84" i="9"/>
  <c r="BQ121" i="9"/>
  <c r="BQ124" i="9"/>
  <c r="BQ85" i="9"/>
  <c r="BQ87" i="9" s="1"/>
  <c r="BQ122" i="9"/>
  <c r="BW188" i="1"/>
  <c r="BW74" i="1"/>
  <c r="BW75" i="1"/>
  <c r="BW14" i="9" s="1"/>
  <c r="BX73" i="1"/>
  <c r="AR6" i="9"/>
  <c r="AR11" i="9" s="1"/>
  <c r="AR120" i="9"/>
  <c r="AR84" i="9"/>
  <c r="AR85" i="9"/>
  <c r="AR87" i="9" s="1"/>
  <c r="AR121" i="9"/>
  <c r="AR122" i="9"/>
  <c r="Q1158" i="1"/>
  <c r="Q1159" i="1" s="1"/>
  <c r="P1164" i="1"/>
  <c r="U1158" i="1"/>
  <c r="U1159" i="1" s="1"/>
  <c r="BT973" i="1"/>
  <c r="BT975" i="1"/>
  <c r="AG1345" i="1"/>
  <c r="AG1347" i="1"/>
  <c r="AG702" i="1" s="1"/>
  <c r="AG1346" i="1"/>
  <c r="AG701" i="1" s="1"/>
  <c r="AG1344" i="1"/>
  <c r="AG1340" i="1"/>
  <c r="AG628" i="1" s="1"/>
  <c r="AG1351" i="1"/>
  <c r="AG1349" i="1"/>
  <c r="AG710" i="1" s="1"/>
  <c r="AG714" i="1" s="1"/>
  <c r="AG1338" i="1"/>
  <c r="AG1343" i="1"/>
  <c r="AG1341" i="1"/>
  <c r="AG629" i="1" s="1"/>
  <c r="AG1350" i="1"/>
  <c r="AG711" i="1" s="1"/>
  <c r="AG1342" i="1"/>
  <c r="AG1348" i="1"/>
  <c r="Q999" i="1"/>
  <c r="Q1009" i="1"/>
  <c r="Q1000" i="1" s="1"/>
  <c r="Q976" i="1" s="1"/>
  <c r="AM999" i="1"/>
  <c r="AM1009" i="1"/>
  <c r="AM1000" i="1" s="1"/>
  <c r="AM976" i="1" s="1"/>
  <c r="X569" i="1"/>
  <c r="X564" i="1"/>
  <c r="AQ6" i="9"/>
  <c r="AQ11" i="9" s="1"/>
  <c r="AQ120" i="9"/>
  <c r="AQ121" i="9"/>
  <c r="AQ84" i="9"/>
  <c r="AQ85" i="9"/>
  <c r="AQ87" i="9" s="1"/>
  <c r="AQ122" i="9"/>
  <c r="AJ150" i="1"/>
  <c r="V999" i="1"/>
  <c r="V1009" i="1"/>
  <c r="V1000" i="1" s="1"/>
  <c r="V976" i="1" s="1"/>
  <c r="BE14" i="13"/>
  <c r="BE1781" i="13" s="1"/>
  <c r="BE999" i="1"/>
  <c r="BE1009" i="1"/>
  <c r="BE1000" i="1" s="1"/>
  <c r="BE976" i="1" s="1"/>
  <c r="AH1346" i="1"/>
  <c r="AH701" i="1" s="1"/>
  <c r="AH1348" i="1"/>
  <c r="AH1340" i="1"/>
  <c r="AH628" i="1" s="1"/>
  <c r="AH1351" i="1"/>
  <c r="AH1349" i="1"/>
  <c r="AH710" i="1" s="1"/>
  <c r="AH714" i="1" s="1"/>
  <c r="AH1347" i="1"/>
  <c r="AH702" i="1" s="1"/>
  <c r="AH1350" i="1"/>
  <c r="AH711" i="1" s="1"/>
  <c r="AH1344" i="1"/>
  <c r="AH1343" i="1"/>
  <c r="AH1341" i="1"/>
  <c r="AH629" i="1" s="1"/>
  <c r="AH1342" i="1"/>
  <c r="AH1345" i="1"/>
  <c r="AG999" i="1"/>
  <c r="AG1009" i="1"/>
  <c r="AG1000" i="1" s="1"/>
  <c r="AG976" i="1" s="1"/>
  <c r="BA14" i="13"/>
  <c r="BA1781" i="13" s="1"/>
  <c r="BA999" i="1"/>
  <c r="BA1009" i="1"/>
  <c r="BA1000" i="1" s="1"/>
  <c r="BA976" i="1" s="1"/>
  <c r="BW175" i="1"/>
  <c r="AO2" i="9"/>
  <c r="AM1339" i="1"/>
  <c r="AO5" i="13"/>
  <c r="AK1339" i="1"/>
  <c r="AL1339" i="1"/>
  <c r="AJ1339" i="1"/>
  <c r="AO5" i="11"/>
  <c r="AI1339" i="1"/>
  <c r="AL700" i="1"/>
  <c r="AJ627" i="1"/>
  <c r="AI627" i="1"/>
  <c r="AK700" i="1"/>
  <c r="AK627" i="1"/>
  <c r="AL627" i="1"/>
  <c r="AM700" i="1"/>
  <c r="AJ700" i="1"/>
  <c r="AI700" i="1"/>
  <c r="AP5" i="1"/>
  <c r="AM627" i="1"/>
  <c r="AT5" i="1"/>
  <c r="M120" i="9"/>
  <c r="M6" i="9"/>
  <c r="M11" i="9" s="1"/>
  <c r="M84" i="9"/>
  <c r="M121" i="9"/>
  <c r="M124" i="9"/>
  <c r="M85" i="9"/>
  <c r="M87" i="9" s="1"/>
  <c r="M122" i="9"/>
  <c r="AE1328" i="1"/>
  <c r="AE673" i="1" s="1"/>
  <c r="AE1330" i="1"/>
  <c r="AE1322" i="1"/>
  <c r="AE611" i="1" s="1"/>
  <c r="AE1324" i="1"/>
  <c r="AE1331" i="1"/>
  <c r="AE685" i="1" s="1"/>
  <c r="AE1329" i="1"/>
  <c r="AE674" i="1" s="1"/>
  <c r="AE1327" i="1"/>
  <c r="AE1326" i="1"/>
  <c r="AE1325" i="1"/>
  <c r="AE1333" i="1"/>
  <c r="AE1332" i="1"/>
  <c r="AE686" i="1" s="1"/>
  <c r="AE1323" i="1"/>
  <c r="AE612" i="1" s="1"/>
  <c r="BU36" i="9"/>
  <c r="BU402" i="1"/>
  <c r="BU61" i="9" s="1"/>
  <c r="AJ564" i="1"/>
  <c r="AJ569" i="1"/>
  <c r="AG6" i="9"/>
  <c r="AG11" i="9" s="1"/>
  <c r="AG120" i="9"/>
  <c r="AG121" i="9"/>
  <c r="AG84" i="9"/>
  <c r="AG85" i="9"/>
  <c r="AG87" i="9" s="1"/>
  <c r="AG122" i="9"/>
  <c r="BG14" i="13"/>
  <c r="BG1781" i="13" s="1"/>
  <c r="BG999" i="1"/>
  <c r="BG1009" i="1"/>
  <c r="BG1000" i="1" s="1"/>
  <c r="BG976" i="1" s="1"/>
  <c r="AA6" i="9"/>
  <c r="AA11" i="9" s="1"/>
  <c r="AA120" i="9"/>
  <c r="AA84" i="9"/>
  <c r="AA121" i="9"/>
  <c r="AA85" i="9"/>
  <c r="AA87" i="9" s="1"/>
  <c r="AA122" i="9"/>
  <c r="D127" i="9"/>
  <c r="D88" i="9"/>
  <c r="AJ157" i="1"/>
  <c r="AE1351" i="1"/>
  <c r="AE1343" i="1"/>
  <c r="AE1345" i="1"/>
  <c r="AE1348" i="1"/>
  <c r="AE1346" i="1"/>
  <c r="AE701" i="1" s="1"/>
  <c r="AE1344" i="1"/>
  <c r="AE1342" i="1"/>
  <c r="AE1349" i="1"/>
  <c r="AE710" i="1" s="1"/>
  <c r="AE714" i="1" s="1"/>
  <c r="AE1340" i="1"/>
  <c r="AE628" i="1" s="1"/>
  <c r="AE1347" i="1"/>
  <c r="AE702" i="1" s="1"/>
  <c r="AE1338" i="1"/>
  <c r="AE1350" i="1"/>
  <c r="AE711" i="1" s="1"/>
  <c r="AE1341" i="1"/>
  <c r="AE629" i="1" s="1"/>
  <c r="W6" i="9"/>
  <c r="W11" i="9" s="1"/>
  <c r="W120" i="9"/>
  <c r="W121" i="9"/>
  <c r="W84" i="9"/>
  <c r="W85" i="9"/>
  <c r="W87" i="9" s="1"/>
  <c r="W122" i="9"/>
  <c r="AW14" i="13"/>
  <c r="AW1781" i="13" s="1"/>
  <c r="AW999" i="1"/>
  <c r="AW1009" i="1"/>
  <c r="AW1000" i="1" s="1"/>
  <c r="AW976" i="1" s="1"/>
  <c r="G999" i="1"/>
  <c r="G1009" i="1"/>
  <c r="G1000" i="1" s="1"/>
  <c r="G976" i="1" s="1"/>
  <c r="AL6" i="9"/>
  <c r="AL11" i="9" s="1"/>
  <c r="AL120" i="9"/>
  <c r="AL121" i="9"/>
  <c r="AL84" i="9"/>
  <c r="AL85" i="9"/>
  <c r="AL87" i="9" s="1"/>
  <c r="AL122" i="9"/>
  <c r="AL537" i="1"/>
  <c r="AL541" i="1" s="1"/>
  <c r="AK554" i="1"/>
  <c r="AK562" i="1" s="1"/>
  <c r="I6" i="9"/>
  <c r="I11" i="9" s="1"/>
  <c r="I84" i="9"/>
  <c r="I85" i="9"/>
  <c r="I87" i="9" s="1"/>
  <c r="AB6" i="9"/>
  <c r="AB11" i="9" s="1"/>
  <c r="AB121" i="9"/>
  <c r="AB120" i="9"/>
  <c r="AB84" i="9"/>
  <c r="AB85" i="9"/>
  <c r="AB87" i="9" s="1"/>
  <c r="AB122" i="9"/>
  <c r="AZ14" i="13"/>
  <c r="AZ1781" i="13" s="1"/>
  <c r="AZ999" i="1"/>
  <c r="AZ1009" i="1"/>
  <c r="AZ1000" i="1" s="1"/>
  <c r="AZ976" i="1" s="1"/>
  <c r="AJ169" i="1"/>
  <c r="AJ172" i="1"/>
  <c r="AJ174" i="1"/>
  <c r="AJ170" i="1"/>
  <c r="BJ6" i="9"/>
  <c r="BJ11" i="9" s="1"/>
  <c r="BJ84" i="9"/>
  <c r="BJ120" i="9"/>
  <c r="BJ121" i="9"/>
  <c r="BJ85" i="9"/>
  <c r="BJ87" i="9" s="1"/>
  <c r="BJ124" i="9"/>
  <c r="BJ122" i="9"/>
  <c r="AC6" i="9"/>
  <c r="AC11" i="9" s="1"/>
  <c r="AC120" i="9"/>
  <c r="AC84" i="9"/>
  <c r="AC121" i="9"/>
  <c r="AC85" i="9"/>
  <c r="AC87" i="9" s="1"/>
  <c r="AC122" i="9"/>
  <c r="CD179" i="1"/>
  <c r="CE64" i="1"/>
  <c r="M1158" i="1"/>
  <c r="M1159" i="1" s="1"/>
  <c r="L1269" i="1"/>
  <c r="L1164" i="1"/>
  <c r="BO84" i="9"/>
  <c r="BO85" i="9"/>
  <c r="BO87" i="9" s="1"/>
  <c r="BO6" i="9"/>
  <c r="BO11" i="9" s="1"/>
  <c r="BO120" i="9"/>
  <c r="BO124" i="9"/>
  <c r="BO121" i="9"/>
  <c r="BO122" i="9"/>
  <c r="S6" i="9"/>
  <c r="S11" i="9" s="1"/>
  <c r="S120" i="9"/>
  <c r="S121" i="9"/>
  <c r="S84" i="9"/>
  <c r="S85" i="9"/>
  <c r="S87" i="9" s="1"/>
  <c r="S122" i="9"/>
  <c r="AK104" i="1"/>
  <c r="AK99" i="1"/>
  <c r="AF1344" i="1"/>
  <c r="AF1346" i="1"/>
  <c r="AF701" i="1" s="1"/>
  <c r="AF1338" i="1"/>
  <c r="AF1342" i="1"/>
  <c r="AF1340" i="1"/>
  <c r="AF628" i="1" s="1"/>
  <c r="AF1348" i="1"/>
  <c r="AF1347" i="1"/>
  <c r="AF702" i="1" s="1"/>
  <c r="AF1343" i="1"/>
  <c r="AF1349" i="1"/>
  <c r="AF710" i="1" s="1"/>
  <c r="AF714" i="1" s="1"/>
  <c r="AF1341" i="1"/>
  <c r="AF629" i="1" s="1"/>
  <c r="AF1351" i="1"/>
  <c r="AF1350" i="1"/>
  <c r="AF711" i="1" s="1"/>
  <c r="AF1345" i="1"/>
  <c r="AO164" i="1"/>
  <c r="AO80" i="1"/>
  <c r="CD182" i="1"/>
  <c r="CE128" i="1"/>
  <c r="CC181" i="1"/>
  <c r="CC111" i="1"/>
  <c r="CD108" i="1"/>
  <c r="H999" i="1"/>
  <c r="H1009" i="1"/>
  <c r="H1000" i="1" s="1"/>
  <c r="H976" i="1" s="1"/>
  <c r="AC2" i="9"/>
  <c r="AC5" i="13"/>
  <c r="AC5" i="11"/>
  <c r="AD5" i="1"/>
  <c r="AV6" i="9"/>
  <c r="AV11" i="9" s="1"/>
  <c r="AV120" i="9"/>
  <c r="AV84" i="9"/>
  <c r="AV121" i="9"/>
  <c r="AV85" i="9"/>
  <c r="AV87" i="9" s="1"/>
  <c r="AV122" i="9"/>
  <c r="BT1000" i="1"/>
  <c r="BT976" i="1" s="1"/>
  <c r="BX933" i="1"/>
  <c r="BV17" i="1"/>
  <c r="BV29" i="9" s="1"/>
  <c r="BV19" i="1"/>
  <c r="BV31" i="9" s="1"/>
  <c r="AF999" i="1"/>
  <c r="AF1009" i="1"/>
  <c r="AF1000" i="1" s="1"/>
  <c r="AF976" i="1" s="1"/>
  <c r="BU1106" i="1"/>
  <c r="BU410" i="1"/>
  <c r="AF14" i="1"/>
  <c r="AF13" i="1"/>
  <c r="AJ12" i="1"/>
  <c r="AJ14" i="1" s="1"/>
  <c r="AG13" i="1"/>
  <c r="AK56" i="1"/>
  <c r="AK51" i="1"/>
  <c r="BF14" i="13"/>
  <c r="BF1781" i="13" s="1"/>
  <c r="BF999" i="1"/>
  <c r="BF1009" i="1"/>
  <c r="BF1000" i="1" s="1"/>
  <c r="BF976" i="1" s="1"/>
  <c r="CE836" i="1"/>
  <c r="CD781" i="1"/>
  <c r="AF6" i="9"/>
  <c r="AF11" i="9" s="1"/>
  <c r="AF120" i="9"/>
  <c r="AF84" i="9"/>
  <c r="AF85" i="9"/>
  <c r="AF87" i="9" s="1"/>
  <c r="AF121" i="9"/>
  <c r="AF122" i="9"/>
  <c r="AO124" i="1"/>
  <c r="AO126" i="1" s="1"/>
  <c r="AK125" i="1"/>
  <c r="AK126" i="1"/>
  <c r="AL125" i="1"/>
  <c r="AH537" i="1"/>
  <c r="AH541" i="1" s="1"/>
  <c r="AG554" i="1"/>
  <c r="AG562" i="1" s="1"/>
  <c r="AK6" i="9"/>
  <c r="AK11" i="9" s="1"/>
  <c r="AK120" i="9"/>
  <c r="AK84" i="9"/>
  <c r="AK85" i="9"/>
  <c r="AK87" i="9" s="1"/>
  <c r="AK121" i="9"/>
  <c r="AK122" i="9"/>
  <c r="BF6" i="9"/>
  <c r="BF11" i="9" s="1"/>
  <c r="BF120" i="9"/>
  <c r="BF84" i="9"/>
  <c r="BF85" i="9"/>
  <c r="BF87" i="9" s="1"/>
  <c r="BF121" i="9"/>
  <c r="BF124" i="9"/>
  <c r="BF122" i="9"/>
  <c r="BX189" i="1"/>
  <c r="BX95" i="1"/>
  <c r="BX15" i="9" s="1"/>
  <c r="Q6" i="9"/>
  <c r="Q11" i="9" s="1"/>
  <c r="Q120" i="9"/>
  <c r="Q121" i="9"/>
  <c r="Q84" i="9"/>
  <c r="Q85" i="9"/>
  <c r="Q87" i="9" s="1"/>
  <c r="Q122" i="9"/>
  <c r="AM6" i="9"/>
  <c r="AM11" i="9" s="1"/>
  <c r="AM120" i="9"/>
  <c r="AM121" i="9"/>
  <c r="AM84" i="9"/>
  <c r="AM85" i="9"/>
  <c r="AM87" i="9" s="1"/>
  <c r="AM122" i="9"/>
  <c r="V6" i="9"/>
  <c r="V11" i="9" s="1"/>
  <c r="V120" i="9"/>
  <c r="V121" i="9"/>
  <c r="V84" i="9"/>
  <c r="V85" i="9"/>
  <c r="V87" i="9" s="1"/>
  <c r="V122" i="9"/>
  <c r="BE6" i="9"/>
  <c r="BE11" i="9" s="1"/>
  <c r="BE120" i="9"/>
  <c r="BE84" i="9"/>
  <c r="BE121" i="9"/>
  <c r="BE124" i="9"/>
  <c r="BE85" i="9"/>
  <c r="BE87" i="9" s="1"/>
  <c r="BE122" i="9"/>
  <c r="AU973" i="1"/>
  <c r="AU975" i="1"/>
  <c r="AP6" i="9"/>
  <c r="AP11" i="9" s="1"/>
  <c r="AP120" i="9"/>
  <c r="AP84" i="9"/>
  <c r="AP85" i="9"/>
  <c r="AP87" i="9" s="1"/>
  <c r="AP121" i="9"/>
  <c r="AP122" i="9"/>
  <c r="BW134" i="1"/>
  <c r="BW135" i="1"/>
  <c r="BW17" i="9" s="1"/>
  <c r="BW191" i="1"/>
  <c r="BX133" i="1"/>
  <c r="AA999" i="1"/>
  <c r="AA1009" i="1"/>
  <c r="AA1000" i="1" s="1"/>
  <c r="AA976" i="1" s="1"/>
  <c r="BB14" i="13"/>
  <c r="BB1781" i="13" s="1"/>
  <c r="BB999" i="1"/>
  <c r="BB1009" i="1"/>
  <c r="BB1000" i="1" s="1"/>
  <c r="BB976" i="1" s="1"/>
  <c r="F999" i="1"/>
  <c r="F1009" i="1"/>
  <c r="F1014" i="1"/>
  <c r="AB564" i="1"/>
  <c r="AB569" i="1"/>
  <c r="BA6" i="9"/>
  <c r="BA11" i="9" s="1"/>
  <c r="BA120" i="9"/>
  <c r="BA121" i="9"/>
  <c r="BA84" i="9"/>
  <c r="BA85" i="9"/>
  <c r="BA87" i="9" s="1"/>
  <c r="BA122" i="9"/>
  <c r="AK62" i="1"/>
  <c r="AK48" i="1"/>
  <c r="AJ145" i="1"/>
  <c r="AJ154" i="1" s="1"/>
  <c r="AJ47" i="1"/>
  <c r="N6" i="9"/>
  <c r="N11" i="9" s="1"/>
  <c r="N120" i="9"/>
  <c r="N84" i="9"/>
  <c r="N85" i="9"/>
  <c r="N87" i="9" s="1"/>
  <c r="N121" i="9"/>
  <c r="N122" i="9"/>
  <c r="D5" i="9"/>
  <c r="D1008" i="1"/>
  <c r="O1091" i="1"/>
  <c r="N1092" i="1"/>
  <c r="AG2" i="9"/>
  <c r="AG5" i="13"/>
  <c r="AG5" i="11"/>
  <c r="AF1321" i="1"/>
  <c r="AF672" i="1"/>
  <c r="AF610" i="1"/>
  <c r="AH5" i="1"/>
  <c r="AW6" i="9"/>
  <c r="AW11" i="9" s="1"/>
  <c r="AW84" i="9"/>
  <c r="AW120" i="9"/>
  <c r="AW121" i="9"/>
  <c r="AW85" i="9"/>
  <c r="AW87" i="9" s="1"/>
  <c r="AW122" i="9"/>
  <c r="G6" i="9"/>
  <c r="G11" i="9" s="1"/>
  <c r="G84" i="9"/>
  <c r="G85" i="9"/>
  <c r="G87" i="9" s="1"/>
  <c r="AV14" i="13"/>
  <c r="AV1781" i="13" s="1"/>
  <c r="AV999" i="1"/>
  <c r="AV1009" i="1"/>
  <c r="AV1000" i="1" s="1"/>
  <c r="AV976" i="1" s="1"/>
  <c r="BW9" i="1"/>
  <c r="BW157" i="1"/>
  <c r="BW156" i="1"/>
  <c r="AZ6" i="9"/>
  <c r="AZ11" i="9" s="1"/>
  <c r="AZ120" i="9"/>
  <c r="AZ121" i="9"/>
  <c r="AZ84" i="9"/>
  <c r="AZ124" i="9"/>
  <c r="AZ85" i="9"/>
  <c r="AZ87" i="9" s="1"/>
  <c r="AZ122" i="9"/>
  <c r="AJ171" i="1"/>
  <c r="AJ175" i="1" s="1"/>
  <c r="CA510" i="1"/>
  <c r="CA730" i="1" s="1"/>
  <c r="BU37" i="9"/>
  <c r="BU403" i="1"/>
  <c r="BU62" i="9" s="1"/>
  <c r="H760" i="1"/>
  <c r="G760" i="1"/>
  <c r="J484" i="1"/>
  <c r="I1180" i="1"/>
  <c r="H1180" i="1"/>
  <c r="G1180" i="1"/>
  <c r="I760" i="1"/>
  <c r="G1179" i="1"/>
  <c r="G758" i="1"/>
  <c r="J1179" i="1"/>
  <c r="J1180" i="1"/>
  <c r="I758" i="1"/>
  <c r="I1179" i="1"/>
  <c r="H1179" i="1"/>
  <c r="H758" i="1"/>
  <c r="J758" i="1"/>
  <c r="H762" i="1"/>
  <c r="G762" i="1"/>
  <c r="I762" i="1"/>
  <c r="G1182" i="1"/>
  <c r="G1181" i="1"/>
  <c r="K3" i="13"/>
  <c r="H1181" i="1"/>
  <c r="K3" i="11"/>
  <c r="H1182" i="1"/>
  <c r="I1181" i="1"/>
  <c r="I1182" i="1"/>
  <c r="BV205" i="1"/>
  <c r="BV206" i="1" s="1"/>
  <c r="BV209" i="1"/>
  <c r="BV462" i="1"/>
  <c r="BV1264" i="1" s="1"/>
  <c r="BV202" i="1"/>
  <c r="BV201" i="1"/>
  <c r="BV200" i="1"/>
  <c r="E122" i="9"/>
  <c r="X999" i="1"/>
  <c r="X1009" i="1"/>
  <c r="X1000" i="1" s="1"/>
  <c r="X976" i="1" s="1"/>
  <c r="BW158" i="1"/>
  <c r="N411" i="10"/>
  <c r="N407" i="10"/>
  <c r="N415" i="10"/>
  <c r="N404" i="10"/>
  <c r="N402" i="10"/>
  <c r="N432" i="10"/>
  <c r="N399" i="10"/>
  <c r="N403" i="10"/>
  <c r="N417" i="10"/>
  <c r="N401" i="10"/>
  <c r="N406" i="10"/>
  <c r="N418" i="10"/>
  <c r="N408" i="10"/>
  <c r="N409" i="10"/>
  <c r="N400" i="10"/>
  <c r="N424" i="10"/>
  <c r="N412" i="10"/>
  <c r="N414" i="10"/>
  <c r="N416" i="10"/>
  <c r="N410" i="10"/>
  <c r="N425" i="10"/>
  <c r="N423" i="10"/>
  <c r="N405" i="10"/>
  <c r="N413" i="10"/>
  <c r="BW159" i="1" l="1"/>
  <c r="Q416" i="10"/>
  <c r="P416" i="10"/>
  <c r="P407" i="10"/>
  <c r="Q407" i="10"/>
  <c r="Q401" i="10"/>
  <c r="P401" i="10"/>
  <c r="Q417" i="10"/>
  <c r="P417" i="10"/>
  <c r="P413" i="10"/>
  <c r="Q413" i="10"/>
  <c r="P408" i="10"/>
  <c r="Q408" i="10"/>
  <c r="P402" i="10"/>
  <c r="Q402" i="10"/>
  <c r="Q414" i="10"/>
  <c r="P414" i="10"/>
  <c r="Q411" i="10"/>
  <c r="P411" i="10"/>
  <c r="Q403" i="10"/>
  <c r="P403" i="10"/>
  <c r="Q432" i="10"/>
  <c r="P432" i="10"/>
  <c r="Q412" i="10"/>
  <c r="P412" i="10"/>
  <c r="Q415" i="10"/>
  <c r="P415" i="10"/>
  <c r="P423" i="10"/>
  <c r="Q423" i="10"/>
  <c r="Q409" i="10"/>
  <c r="P409" i="10"/>
  <c r="Q418" i="10"/>
  <c r="P418" i="10"/>
  <c r="Q425" i="10"/>
  <c r="P425" i="10"/>
  <c r="Q404" i="10"/>
  <c r="P404" i="10"/>
  <c r="P400" i="10"/>
  <c r="Q400" i="10"/>
  <c r="P406" i="10"/>
  <c r="Q406" i="10"/>
  <c r="P410" i="10"/>
  <c r="Q410" i="10"/>
  <c r="Q399" i="10"/>
  <c r="P399" i="10"/>
  <c r="Q424" i="10"/>
  <c r="P424" i="10"/>
  <c r="Q405" i="10"/>
  <c r="P405" i="10"/>
  <c r="AE634" i="1"/>
  <c r="AE631" i="1"/>
  <c r="AE703" i="1"/>
  <c r="AE708" i="1" s="1"/>
  <c r="AE706" i="1"/>
  <c r="AG975" i="1"/>
  <c r="AG973" i="1"/>
  <c r="AH712" i="1"/>
  <c r="AH715" i="1"/>
  <c r="AJ9" i="1"/>
  <c r="AJ153" i="1"/>
  <c r="AK183" i="1"/>
  <c r="AJ156" i="1"/>
  <c r="AJ158" i="1"/>
  <c r="AG715" i="1"/>
  <c r="AG712" i="1"/>
  <c r="AG713" i="1" s="1"/>
  <c r="AG703" i="1"/>
  <c r="AG706" i="1"/>
  <c r="Q1164" i="1"/>
  <c r="R1158" i="1"/>
  <c r="R1159" i="1" s="1"/>
  <c r="BX188" i="1"/>
  <c r="BX75" i="1"/>
  <c r="BX14" i="9" s="1"/>
  <c r="AO564" i="1"/>
  <c r="AO569" i="1"/>
  <c r="AD681" i="1"/>
  <c r="AE681" i="1" s="1"/>
  <c r="AD675" i="1"/>
  <c r="AD678" i="1"/>
  <c r="W973" i="1"/>
  <c r="W975" i="1"/>
  <c r="M975" i="1"/>
  <c r="M973" i="1"/>
  <c r="AI1332" i="1"/>
  <c r="AI686" i="1" s="1"/>
  <c r="AI1324" i="1"/>
  <c r="AI1326" i="1"/>
  <c r="AI1329" i="1"/>
  <c r="AI674" i="1" s="1"/>
  <c r="AI1331" i="1"/>
  <c r="AI685" i="1" s="1"/>
  <c r="AI1325" i="1"/>
  <c r="AI1328" i="1"/>
  <c r="AI673" i="1" s="1"/>
  <c r="AI1323" i="1"/>
  <c r="AI612" i="1" s="1"/>
  <c r="AI1330" i="1"/>
  <c r="AI1327" i="1"/>
  <c r="AI1333" i="1"/>
  <c r="AI1322" i="1"/>
  <c r="AI611" i="1" s="1"/>
  <c r="BV31" i="1"/>
  <c r="BV33" i="1"/>
  <c r="BV20" i="9" s="1"/>
  <c r="AD706" i="1"/>
  <c r="AD703" i="1"/>
  <c r="AD705" i="1" s="1"/>
  <c r="CC518" i="1"/>
  <c r="CB526" i="1"/>
  <c r="CC526" i="1" s="1"/>
  <c r="CB524" i="1"/>
  <c r="CB523" i="1"/>
  <c r="AF706" i="1"/>
  <c r="AF703" i="1"/>
  <c r="BV212" i="1"/>
  <c r="BV228" i="1"/>
  <c r="BV233" i="1"/>
  <c r="BV223" i="1"/>
  <c r="BW11" i="1"/>
  <c r="BW27" i="9" s="1"/>
  <c r="BW8" i="1"/>
  <c r="BW10" i="1"/>
  <c r="BW12" i="1"/>
  <c r="D999" i="1"/>
  <c r="D1009" i="1"/>
  <c r="D1014" i="1"/>
  <c r="BF975" i="1"/>
  <c r="BF973" i="1"/>
  <c r="CE182" i="1"/>
  <c r="CF128" i="1"/>
  <c r="CF182" i="1" s="1"/>
  <c r="AO99" i="1"/>
  <c r="AK165" i="1"/>
  <c r="AZ975" i="1"/>
  <c r="AZ973" i="1"/>
  <c r="AE712" i="1"/>
  <c r="AE716" i="1" s="1"/>
  <c r="AE715" i="1"/>
  <c r="AP2" i="9"/>
  <c r="AP5" i="13"/>
  <c r="AN1321" i="1"/>
  <c r="AP5" i="11"/>
  <c r="AO1321" i="1"/>
  <c r="AN672" i="1"/>
  <c r="AO672" i="1"/>
  <c r="AN610" i="1"/>
  <c r="AO610" i="1"/>
  <c r="AQ5" i="1"/>
  <c r="AM1351" i="1"/>
  <c r="AM1343" i="1"/>
  <c r="AM1345" i="1"/>
  <c r="AM1350" i="1"/>
  <c r="AM711" i="1" s="1"/>
  <c r="AM1346" i="1"/>
  <c r="AM701" i="1" s="1"/>
  <c r="AM1344" i="1"/>
  <c r="AM1342" i="1"/>
  <c r="AM1349" i="1"/>
  <c r="AM710" i="1" s="1"/>
  <c r="AM714" i="1" s="1"/>
  <c r="AM1348" i="1"/>
  <c r="AM1347" i="1"/>
  <c r="AM702" i="1" s="1"/>
  <c r="AM1341" i="1"/>
  <c r="AM629" i="1" s="1"/>
  <c r="AM1340" i="1"/>
  <c r="AM628" i="1" s="1"/>
  <c r="AH704" i="1"/>
  <c r="AH707" i="1"/>
  <c r="AJ155" i="1"/>
  <c r="AG634" i="1"/>
  <c r="AG631" i="1"/>
  <c r="AG707" i="1"/>
  <c r="AG704" i="1"/>
  <c r="AG705" i="1"/>
  <c r="S975" i="1"/>
  <c r="S973" i="1"/>
  <c r="AY537" i="1"/>
  <c r="AY541" i="1" s="1"/>
  <c r="AU537" i="1"/>
  <c r="AU541" i="1" s="1"/>
  <c r="AT554" i="1"/>
  <c r="AT562" i="1" s="1"/>
  <c r="R975" i="1"/>
  <c r="R973" i="1"/>
  <c r="AO166" i="1"/>
  <c r="AO120" i="1"/>
  <c r="AK975" i="1"/>
  <c r="AK973" i="1"/>
  <c r="CA5" i="9"/>
  <c r="CA6" i="9" s="1"/>
  <c r="CA1008" i="1"/>
  <c r="CA999" i="1" s="1"/>
  <c r="AW975" i="1"/>
  <c r="AW973" i="1"/>
  <c r="D6" i="9"/>
  <c r="D120" i="9"/>
  <c r="D84" i="9"/>
  <c r="D129" i="9" s="1"/>
  <c r="D124" i="9"/>
  <c r="D121" i="9"/>
  <c r="D85" i="9"/>
  <c r="D87" i="9" s="1"/>
  <c r="D122" i="9"/>
  <c r="BB973" i="1"/>
  <c r="BB975" i="1"/>
  <c r="AG569" i="1"/>
  <c r="AG564" i="1"/>
  <c r="X975" i="1"/>
  <c r="X973" i="1"/>
  <c r="AV975" i="1"/>
  <c r="AV973" i="1"/>
  <c r="AF1329" i="1"/>
  <c r="AF674" i="1" s="1"/>
  <c r="AF1331" i="1"/>
  <c r="AF685" i="1" s="1"/>
  <c r="AF1323" i="1"/>
  <c r="AF612" i="1" s="1"/>
  <c r="AF1324" i="1"/>
  <c r="AF1333" i="1"/>
  <c r="AF1322" i="1"/>
  <c r="AF611" i="1" s="1"/>
  <c r="AF1325" i="1"/>
  <c r="AF1328" i="1"/>
  <c r="AF673" i="1" s="1"/>
  <c r="AF1326" i="1"/>
  <c r="AF1332" i="1"/>
  <c r="AF686" i="1" s="1"/>
  <c r="AF1327" i="1"/>
  <c r="AF1330" i="1"/>
  <c r="AO48" i="1"/>
  <c r="AO162" i="1" s="1"/>
  <c r="AK162" i="1"/>
  <c r="AI537" i="1"/>
  <c r="AI541" i="1" s="1"/>
  <c r="AI554" i="1" s="1"/>
  <c r="AI562" i="1" s="1"/>
  <c r="AH554" i="1"/>
  <c r="AH562" i="1" s="1"/>
  <c r="AK163" i="1"/>
  <c r="AO51" i="1"/>
  <c r="BU1247" i="1"/>
  <c r="AT78" i="1"/>
  <c r="AP78" i="1"/>
  <c r="AO147" i="1"/>
  <c r="AO82" i="1"/>
  <c r="AO24" i="9" s="1"/>
  <c r="AF707" i="1"/>
  <c r="AF704" i="1"/>
  <c r="AF705" i="1"/>
  <c r="AK106" i="1"/>
  <c r="AK105" i="1"/>
  <c r="AO104" i="1"/>
  <c r="AO106" i="1" s="1"/>
  <c r="AL105" i="1"/>
  <c r="M1269" i="1"/>
  <c r="M1164" i="1"/>
  <c r="N1158" i="1"/>
  <c r="N1159" i="1" s="1"/>
  <c r="AE679" i="1"/>
  <c r="AE676" i="1"/>
  <c r="BO973" i="1"/>
  <c r="BO975" i="1"/>
  <c r="E11" i="9"/>
  <c r="E130" i="9"/>
  <c r="AQ537" i="1"/>
  <c r="AQ541" i="1" s="1"/>
  <c r="AP554" i="1"/>
  <c r="AP562" i="1" s="1"/>
  <c r="BK973" i="1"/>
  <c r="BK975" i="1"/>
  <c r="AD704" i="1"/>
  <c r="AD707" i="1"/>
  <c r="AF631" i="1"/>
  <c r="AF634" i="1"/>
  <c r="AO62" i="1"/>
  <c r="AK63" i="1"/>
  <c r="AK178" i="1"/>
  <c r="AK57" i="1"/>
  <c r="AK58" i="1"/>
  <c r="AO56" i="1"/>
  <c r="AO58" i="1" s="1"/>
  <c r="AL57" i="1"/>
  <c r="CE179" i="1"/>
  <c r="CF64" i="1"/>
  <c r="CF179" i="1" s="1"/>
  <c r="AE705" i="1"/>
  <c r="AE707" i="1"/>
  <c r="AE704" i="1"/>
  <c r="AI1347" i="1"/>
  <c r="AI702" i="1" s="1"/>
  <c r="AI1349" i="1"/>
  <c r="AI710" i="1" s="1"/>
  <c r="AI714" i="1" s="1"/>
  <c r="AI1341" i="1"/>
  <c r="AI629" i="1" s="1"/>
  <c r="AI1338" i="1"/>
  <c r="AI1343" i="1"/>
  <c r="AI1350" i="1"/>
  <c r="AI711" i="1" s="1"/>
  <c r="AI1345" i="1"/>
  <c r="AI1340" i="1"/>
  <c r="AI628" i="1" s="1"/>
  <c r="AI1351" i="1"/>
  <c r="AI1342" i="1"/>
  <c r="AI1346" i="1"/>
  <c r="AI701" i="1" s="1"/>
  <c r="AI1348" i="1"/>
  <c r="AI1344" i="1"/>
  <c r="AM973" i="1"/>
  <c r="AM975" i="1"/>
  <c r="BW195" i="1"/>
  <c r="BW192" i="1"/>
  <c r="CE1226" i="1"/>
  <c r="BJ975" i="1"/>
  <c r="BJ973" i="1"/>
  <c r="F11" i="9"/>
  <c r="F130" i="9"/>
  <c r="AD619" i="1"/>
  <c r="AE619" i="1" s="1"/>
  <c r="AD616" i="1"/>
  <c r="AD613" i="1"/>
  <c r="AL2" i="9"/>
  <c r="AL5" i="11"/>
  <c r="AL5" i="13"/>
  <c r="AK1321" i="1"/>
  <c r="AK672" i="1"/>
  <c r="AK610" i="1"/>
  <c r="AM5" i="1"/>
  <c r="AJ1333" i="1"/>
  <c r="AJ1325" i="1"/>
  <c r="AJ1327" i="1"/>
  <c r="AJ1331" i="1"/>
  <c r="AJ685" i="1" s="1"/>
  <c r="AJ1326" i="1"/>
  <c r="AJ1329" i="1"/>
  <c r="AJ674" i="1" s="1"/>
  <c r="AJ1323" i="1"/>
  <c r="AJ612" i="1" s="1"/>
  <c r="AJ1324" i="1"/>
  <c r="AJ1322" i="1"/>
  <c r="AJ611" i="1" s="1"/>
  <c r="AJ1330" i="1"/>
  <c r="AJ1332" i="1"/>
  <c r="AJ686" i="1" s="1"/>
  <c r="AJ1328" i="1"/>
  <c r="AJ673" i="1" s="1"/>
  <c r="AP975" i="1"/>
  <c r="AP973" i="1"/>
  <c r="AD715" i="1"/>
  <c r="AD712" i="1"/>
  <c r="AR975" i="1"/>
  <c r="AR973" i="1"/>
  <c r="AE633" i="1"/>
  <c r="AE630" i="1"/>
  <c r="AE635" i="1" s="1"/>
  <c r="AE617" i="1"/>
  <c r="AE614" i="1"/>
  <c r="AH633" i="1"/>
  <c r="AH630" i="1"/>
  <c r="BE975" i="1"/>
  <c r="BE973" i="1"/>
  <c r="AC973" i="1"/>
  <c r="AC975" i="1"/>
  <c r="AC564" i="1"/>
  <c r="AC569" i="1"/>
  <c r="AL975" i="1"/>
  <c r="AL973" i="1"/>
  <c r="AD615" i="1"/>
  <c r="AD620" i="1"/>
  <c r="AE620" i="1" s="1"/>
  <c r="AD614" i="1"/>
  <c r="AD617" i="1"/>
  <c r="AD693" i="1"/>
  <c r="AE693" i="1" s="1"/>
  <c r="AD687" i="1"/>
  <c r="AD688" i="1" s="1"/>
  <c r="AD690" i="1"/>
  <c r="AE690" i="1" s="1"/>
  <c r="N973" i="1"/>
  <c r="N975" i="1"/>
  <c r="L3" i="13"/>
  <c r="L3" i="11"/>
  <c r="AF715" i="1"/>
  <c r="AF712" i="1"/>
  <c r="AK569" i="1"/>
  <c r="AK564" i="1"/>
  <c r="AE687" i="1"/>
  <c r="AE688" i="1"/>
  <c r="AE616" i="1"/>
  <c r="AE613" i="1"/>
  <c r="AE615" i="1" s="1"/>
  <c r="AJ1348" i="1"/>
  <c r="AJ1340" i="1"/>
  <c r="AJ628" i="1" s="1"/>
  <c r="AJ1350" i="1"/>
  <c r="AJ711" i="1" s="1"/>
  <c r="AJ1342" i="1"/>
  <c r="AJ1343" i="1"/>
  <c r="AJ1341" i="1"/>
  <c r="AJ629" i="1" s="1"/>
  <c r="AJ1347" i="1"/>
  <c r="AJ702" i="1" s="1"/>
  <c r="AJ1351" i="1"/>
  <c r="AJ1338" i="1"/>
  <c r="AJ1349" i="1"/>
  <c r="AJ710" i="1" s="1"/>
  <c r="AJ714" i="1" s="1"/>
  <c r="AJ1345" i="1"/>
  <c r="AJ1344" i="1"/>
  <c r="AJ1346" i="1"/>
  <c r="AJ701" i="1" s="1"/>
  <c r="BA973" i="1"/>
  <c r="BA975" i="1"/>
  <c r="AH632" i="1"/>
  <c r="AH634" i="1"/>
  <c r="AH631" i="1"/>
  <c r="Q973" i="1"/>
  <c r="Q975" i="1"/>
  <c r="BQ973" i="1"/>
  <c r="BQ975" i="1"/>
  <c r="AD564" i="1"/>
  <c r="AD569" i="1"/>
  <c r="AB975" i="1"/>
  <c r="AB973" i="1"/>
  <c r="I975" i="1"/>
  <c r="I973" i="1"/>
  <c r="AD677" i="1"/>
  <c r="AD682" i="1"/>
  <c r="AE682" i="1" s="1"/>
  <c r="AD676" i="1"/>
  <c r="AD679" i="1"/>
  <c r="I1164" i="1"/>
  <c r="I1269" i="1"/>
  <c r="J1158" i="1"/>
  <c r="J1159" i="1" s="1"/>
  <c r="CE1026" i="1"/>
  <c r="CE10" i="9" s="1"/>
  <c r="CF1253" i="1"/>
  <c r="CF1026" i="1" s="1"/>
  <c r="CF10" i="9" s="1"/>
  <c r="AH973" i="1"/>
  <c r="AH975" i="1"/>
  <c r="AQ975" i="1"/>
  <c r="AQ973" i="1"/>
  <c r="M1" i="9"/>
  <c r="M1397" i="1"/>
  <c r="M515" i="1"/>
  <c r="N4" i="1"/>
  <c r="M3" i="1"/>
  <c r="M4" i="11"/>
  <c r="M4" i="13"/>
  <c r="AF630" i="1"/>
  <c r="AF633" i="1"/>
  <c r="J759" i="1"/>
  <c r="J40" i="9"/>
  <c r="J42" i="9" s="1"/>
  <c r="J487" i="1"/>
  <c r="CA75" i="9"/>
  <c r="CA1150" i="1"/>
  <c r="CA1274" i="1"/>
  <c r="F1000" i="1"/>
  <c r="F976" i="1" s="1"/>
  <c r="F1012" i="1"/>
  <c r="F1015" i="1"/>
  <c r="BX191" i="1"/>
  <c r="BX135" i="1"/>
  <c r="BX17" i="9" s="1"/>
  <c r="CD181" i="1"/>
  <c r="CE108" i="1"/>
  <c r="F973" i="1"/>
  <c r="F975" i="1"/>
  <c r="CF836" i="1"/>
  <c r="CF781" i="1" s="1"/>
  <c r="CE781" i="1"/>
  <c r="AM537" i="1"/>
  <c r="AM541" i="1" s="1"/>
  <c r="AL554" i="1"/>
  <c r="AL562" i="1" s="1"/>
  <c r="G973" i="1"/>
  <c r="G975" i="1"/>
  <c r="AL1350" i="1"/>
  <c r="AL711" i="1" s="1"/>
  <c r="AL1342" i="1"/>
  <c r="AL1344" i="1"/>
  <c r="AL1347" i="1"/>
  <c r="AL702" i="1" s="1"/>
  <c r="AL1345" i="1"/>
  <c r="AL1341" i="1"/>
  <c r="AL629" i="1" s="1"/>
  <c r="AL1348" i="1"/>
  <c r="AL1351" i="1"/>
  <c r="AL1346" i="1"/>
  <c r="AL701" i="1" s="1"/>
  <c r="AL1349" i="1"/>
  <c r="AL710" i="1" s="1"/>
  <c r="AL714" i="1" s="1"/>
  <c r="AL1343" i="1"/>
  <c r="AL1340" i="1"/>
  <c r="AL628" i="1" s="1"/>
  <c r="AL1338" i="1"/>
  <c r="AH1338" i="1"/>
  <c r="AG633" i="1"/>
  <c r="AG630" i="1"/>
  <c r="U1164" i="1"/>
  <c r="V1158" i="1"/>
  <c r="V1159" i="1" s="1"/>
  <c r="Z1158" i="1"/>
  <c r="Z1159" i="1" s="1"/>
  <c r="E1012" i="1"/>
  <c r="E1000" i="1"/>
  <c r="E976" i="1" s="1"/>
  <c r="E1015" i="1"/>
  <c r="AD633" i="1"/>
  <c r="AD630" i="1"/>
  <c r="AA973" i="1"/>
  <c r="AA975" i="1"/>
  <c r="AF973" i="1"/>
  <c r="AF975" i="1"/>
  <c r="H975" i="1"/>
  <c r="H973" i="1"/>
  <c r="BV34" i="9"/>
  <c r="BV1206" i="1"/>
  <c r="BV1227" i="1"/>
  <c r="BV1233" i="1"/>
  <c r="BV1119" i="1" s="1"/>
  <c r="BV737" i="1"/>
  <c r="BV598" i="1"/>
  <c r="AH2" i="9"/>
  <c r="AH5" i="13"/>
  <c r="AG1321" i="1"/>
  <c r="AH5" i="11"/>
  <c r="AG672" i="1"/>
  <c r="AG610" i="1"/>
  <c r="AI5" i="1"/>
  <c r="P1091" i="1"/>
  <c r="P1092" i="1" s="1"/>
  <c r="O1092" i="1"/>
  <c r="AD2" i="9"/>
  <c r="AD5" i="11"/>
  <c r="AD5" i="13"/>
  <c r="BG975" i="1"/>
  <c r="BG973" i="1"/>
  <c r="AE678" i="1"/>
  <c r="AE675" i="1"/>
  <c r="AE677" i="1" s="1"/>
  <c r="AT2" i="9"/>
  <c r="AT5" i="11"/>
  <c r="AR1339" i="1"/>
  <c r="AQ1339" i="1"/>
  <c r="AO1339" i="1"/>
  <c r="AT5" i="13"/>
  <c r="AP1339" i="1"/>
  <c r="AN1339" i="1"/>
  <c r="AM1338" i="1" s="1"/>
  <c r="AO700" i="1"/>
  <c r="AR627" i="1"/>
  <c r="AN700" i="1"/>
  <c r="AQ627" i="1"/>
  <c r="AO627" i="1"/>
  <c r="AR700" i="1"/>
  <c r="AP700" i="1"/>
  <c r="AP627" i="1"/>
  <c r="AQ700" i="1"/>
  <c r="AY5" i="1"/>
  <c r="AN627" i="1"/>
  <c r="AU5" i="1"/>
  <c r="AK1349" i="1"/>
  <c r="AK710" i="1" s="1"/>
  <c r="AK714" i="1" s="1"/>
  <c r="AK1341" i="1"/>
  <c r="AK629" i="1" s="1"/>
  <c r="AK1351" i="1"/>
  <c r="AK1343" i="1"/>
  <c r="AK1347" i="1"/>
  <c r="AK702" i="1" s="1"/>
  <c r="AK1345" i="1"/>
  <c r="AK1350" i="1"/>
  <c r="AK711" i="1" s="1"/>
  <c r="AK1338" i="1"/>
  <c r="AK1342" i="1"/>
  <c r="AK1346" i="1"/>
  <c r="AK701" i="1" s="1"/>
  <c r="AK1344" i="1"/>
  <c r="AK1348" i="1"/>
  <c r="AK1340" i="1"/>
  <c r="AK628" i="1" s="1"/>
  <c r="AH703" i="1"/>
  <c r="AH706" i="1"/>
  <c r="V973" i="1"/>
  <c r="V975" i="1"/>
  <c r="AD692" i="1"/>
  <c r="AE692" i="1" s="1"/>
  <c r="AD689" i="1"/>
  <c r="AE689" i="1" s="1"/>
  <c r="E975" i="1"/>
  <c r="E973" i="1"/>
  <c r="AD634" i="1"/>
  <c r="AD631" i="1"/>
  <c r="AD632" i="1"/>
  <c r="CB510" i="1"/>
  <c r="CB730" i="1" s="1"/>
  <c r="N421" i="10"/>
  <c r="N376" i="10"/>
  <c r="N352" i="10"/>
  <c r="N391" i="10"/>
  <c r="N429" i="10"/>
  <c r="N381" i="10"/>
  <c r="N377" i="10"/>
  <c r="N366" i="10"/>
  <c r="N364" i="10"/>
  <c r="N387" i="10"/>
  <c r="N357" i="10"/>
  <c r="N430" i="10"/>
  <c r="N347" i="10"/>
  <c r="N328" i="10"/>
  <c r="N355" i="10"/>
  <c r="N329" i="10"/>
  <c r="N371" i="10"/>
  <c r="N359" i="10"/>
  <c r="N368" i="10"/>
  <c r="N362" i="10"/>
  <c r="N336" i="10"/>
  <c r="N346" i="10"/>
  <c r="N338" i="10"/>
  <c r="N360" i="10"/>
  <c r="N348" i="10"/>
  <c r="N420" i="10"/>
  <c r="N394" i="10"/>
  <c r="N392" i="10"/>
  <c r="N334" i="10"/>
  <c r="N340" i="10"/>
  <c r="N389" i="10"/>
  <c r="N339" i="10"/>
  <c r="N380" i="10"/>
  <c r="N332" i="10"/>
  <c r="N428" i="10"/>
  <c r="N341" i="10"/>
  <c r="N333" i="10"/>
  <c r="N331" i="10"/>
  <c r="N327" i="10"/>
  <c r="N386" i="10"/>
  <c r="N388" i="10"/>
  <c r="N375" i="10"/>
  <c r="N365" i="10"/>
  <c r="N369" i="10"/>
  <c r="N393" i="10"/>
  <c r="N397" i="10"/>
  <c r="N337" i="10"/>
  <c r="N390" i="10"/>
  <c r="N373" i="10"/>
  <c r="N427" i="10"/>
  <c r="N335" i="10"/>
  <c r="N374" i="10"/>
  <c r="N396" i="10"/>
  <c r="N372" i="10"/>
  <c r="N353" i="10"/>
  <c r="N349" i="10"/>
  <c r="N345" i="10"/>
  <c r="N358" i="10"/>
  <c r="N350" i="10"/>
  <c r="N354" i="10"/>
  <c r="N395" i="10"/>
  <c r="N370" i="10"/>
  <c r="N367" i="10"/>
  <c r="N351" i="10"/>
  <c r="N330" i="10"/>
  <c r="N378" i="10"/>
  <c r="N356" i="10"/>
  <c r="N384" i="10"/>
  <c r="N385" i="10"/>
  <c r="N342" i="10"/>
  <c r="N344" i="10"/>
  <c r="N363" i="10"/>
  <c r="AJ159" i="1" l="1"/>
  <c r="CC527" i="1"/>
  <c r="AE713" i="1"/>
  <c r="Q377" i="10"/>
  <c r="P377" i="10"/>
  <c r="P420" i="10"/>
  <c r="Q420" i="10"/>
  <c r="Q354" i="10"/>
  <c r="P354" i="10"/>
  <c r="P373" i="10"/>
  <c r="Q373" i="10"/>
  <c r="Q362" i="10"/>
  <c r="P362" i="10"/>
  <c r="P336" i="10"/>
  <c r="Q336" i="10"/>
  <c r="Q387" i="10"/>
  <c r="P387" i="10"/>
  <c r="P331" i="10"/>
  <c r="Q331" i="10"/>
  <c r="P375" i="10"/>
  <c r="Q375" i="10"/>
  <c r="Q329" i="10"/>
  <c r="P329" i="10"/>
  <c r="P356" i="10"/>
  <c r="Q356" i="10"/>
  <c r="Q340" i="10"/>
  <c r="P340" i="10"/>
  <c r="Q396" i="10"/>
  <c r="P396" i="10"/>
  <c r="P368" i="10"/>
  <c r="Q368" i="10"/>
  <c r="Q334" i="10"/>
  <c r="P334" i="10"/>
  <c r="Q348" i="10"/>
  <c r="P348" i="10"/>
  <c r="Q350" i="10"/>
  <c r="P350" i="10"/>
  <c r="Q381" i="10"/>
  <c r="P381" i="10"/>
  <c r="Q390" i="10"/>
  <c r="P390" i="10"/>
  <c r="Q392" i="10"/>
  <c r="P392" i="10"/>
  <c r="Q332" i="10"/>
  <c r="P332" i="10"/>
  <c r="P341" i="10"/>
  <c r="Q341" i="10"/>
  <c r="Q344" i="10"/>
  <c r="P344" i="10"/>
  <c r="P355" i="10"/>
  <c r="Q355" i="10"/>
  <c r="Q378" i="10"/>
  <c r="P378" i="10"/>
  <c r="P388" i="10"/>
  <c r="Q388" i="10"/>
  <c r="P397" i="10"/>
  <c r="Q397" i="10"/>
  <c r="Q337" i="10"/>
  <c r="P337" i="10"/>
  <c r="P360" i="10"/>
  <c r="Q360" i="10"/>
  <c r="Q367" i="10"/>
  <c r="P367" i="10"/>
  <c r="Q374" i="10"/>
  <c r="P374" i="10"/>
  <c r="P429" i="10"/>
  <c r="Q429" i="10"/>
  <c r="P351" i="10"/>
  <c r="Q351" i="10"/>
  <c r="Q358" i="10"/>
  <c r="P358" i="10"/>
  <c r="Q372" i="10"/>
  <c r="P372" i="10"/>
  <c r="P393" i="10"/>
  <c r="Q393" i="10"/>
  <c r="Q328" i="10"/>
  <c r="P328" i="10"/>
  <c r="Q342" i="10"/>
  <c r="P342" i="10"/>
  <c r="Q380" i="10"/>
  <c r="P380" i="10"/>
  <c r="Q386" i="10"/>
  <c r="P386" i="10"/>
  <c r="Q330" i="10"/>
  <c r="P330" i="10"/>
  <c r="Q349" i="10"/>
  <c r="P349" i="10"/>
  <c r="Q364" i="10"/>
  <c r="P364" i="10"/>
  <c r="Q370" i="10"/>
  <c r="P370" i="10"/>
  <c r="Q391" i="10"/>
  <c r="P391" i="10"/>
  <c r="Q335" i="10"/>
  <c r="P335" i="10"/>
  <c r="Q338" i="10"/>
  <c r="P338" i="10"/>
  <c r="Q345" i="10"/>
  <c r="P345" i="10"/>
  <c r="Q359" i="10"/>
  <c r="P359" i="10"/>
  <c r="P363" i="10"/>
  <c r="Q363" i="10"/>
  <c r="Q369" i="10"/>
  <c r="P369" i="10"/>
  <c r="Q385" i="10"/>
  <c r="P385" i="10"/>
  <c r="P327" i="10"/>
  <c r="Q327" i="10"/>
  <c r="P339" i="10"/>
  <c r="Q339" i="10"/>
  <c r="P347" i="10"/>
  <c r="Q347" i="10"/>
  <c r="P353" i="10"/>
  <c r="Q353" i="10"/>
  <c r="P366" i="10"/>
  <c r="Q366" i="10"/>
  <c r="P376" i="10"/>
  <c r="Q376" i="10"/>
  <c r="P395" i="10"/>
  <c r="Q395" i="10"/>
  <c r="P427" i="10"/>
  <c r="Q427" i="10"/>
  <c r="P333" i="10"/>
  <c r="Q333" i="10"/>
  <c r="P346" i="10"/>
  <c r="Q346" i="10"/>
  <c r="Q352" i="10"/>
  <c r="P352" i="10"/>
  <c r="P357" i="10"/>
  <c r="Q357" i="10"/>
  <c r="P365" i="10"/>
  <c r="Q365" i="10"/>
  <c r="P371" i="10"/>
  <c r="Q371" i="10"/>
  <c r="Q384" i="10"/>
  <c r="P384" i="10"/>
  <c r="P389" i="10"/>
  <c r="Q389" i="10"/>
  <c r="Q394" i="10"/>
  <c r="P394" i="10"/>
  <c r="Q430" i="10"/>
  <c r="P430" i="10"/>
  <c r="P421" i="10"/>
  <c r="Q421" i="10"/>
  <c r="Q428" i="10"/>
  <c r="P428" i="10"/>
  <c r="AO1345" i="1"/>
  <c r="AO1347" i="1"/>
  <c r="AO702" i="1" s="1"/>
  <c r="AO1348" i="1"/>
  <c r="AO1342" i="1"/>
  <c r="AO1351" i="1"/>
  <c r="AO1349" i="1"/>
  <c r="AO710" i="1" s="1"/>
  <c r="AO714" i="1" s="1"/>
  <c r="AO1338" i="1"/>
  <c r="AO1350" i="1"/>
  <c r="AO711" i="1" s="1"/>
  <c r="AO1343" i="1"/>
  <c r="AO1341" i="1"/>
  <c r="AO629" i="1" s="1"/>
  <c r="AO1346" i="1"/>
  <c r="AO701" i="1" s="1"/>
  <c r="AO1344" i="1"/>
  <c r="AO1340" i="1"/>
  <c r="AO628" i="1" s="1"/>
  <c r="BV478" i="1"/>
  <c r="AG639" i="1"/>
  <c r="AG635" i="1"/>
  <c r="AJ595" i="1"/>
  <c r="AG643" i="1"/>
  <c r="AG640" i="1"/>
  <c r="AJ634" i="1"/>
  <c r="AJ631" i="1"/>
  <c r="AJ663" i="1"/>
  <c r="AD716" i="1"/>
  <c r="AJ613" i="1"/>
  <c r="AJ616" i="1"/>
  <c r="AD618" i="1"/>
  <c r="AD621" i="1"/>
  <c r="AF593" i="1"/>
  <c r="AF597" i="1" s="1"/>
  <c r="CF1226" i="1"/>
  <c r="AP569" i="1"/>
  <c r="AP564" i="1"/>
  <c r="AM633" i="1"/>
  <c r="AM630" i="1"/>
  <c r="AM706" i="1"/>
  <c r="AM703" i="1"/>
  <c r="AD708" i="1"/>
  <c r="AJ647" i="1"/>
  <c r="AI620" i="1"/>
  <c r="AJ620" i="1" s="1"/>
  <c r="AI614" i="1"/>
  <c r="AI617" i="1"/>
  <c r="AK630" i="1"/>
  <c r="AK633" i="1"/>
  <c r="J1164" i="1"/>
  <c r="J1269" i="1"/>
  <c r="AU2" i="9"/>
  <c r="AU5" i="11"/>
  <c r="AS1321" i="1"/>
  <c r="AT1321" i="1"/>
  <c r="AS672" i="1"/>
  <c r="AS610" i="1"/>
  <c r="AT610" i="1"/>
  <c r="AT672" i="1"/>
  <c r="AU5" i="13"/>
  <c r="AV5" i="1"/>
  <c r="AQ1347" i="1"/>
  <c r="AQ702" i="1" s="1"/>
  <c r="AQ1349" i="1"/>
  <c r="AQ710" i="1" s="1"/>
  <c r="AQ714" i="1" s="1"/>
  <c r="AQ1341" i="1"/>
  <c r="AQ629" i="1" s="1"/>
  <c r="AQ1344" i="1"/>
  <c r="AQ1351" i="1"/>
  <c r="AQ1346" i="1"/>
  <c r="AQ701" i="1" s="1"/>
  <c r="AQ1340" i="1"/>
  <c r="AQ628" i="1" s="1"/>
  <c r="AQ1343" i="1"/>
  <c r="AQ1348" i="1"/>
  <c r="AQ1345" i="1"/>
  <c r="AQ1342" i="1"/>
  <c r="AQ1338" i="1"/>
  <c r="AQ1350" i="1"/>
  <c r="AQ711" i="1" s="1"/>
  <c r="AF640" i="1"/>
  <c r="AF639" i="1"/>
  <c r="AJ594" i="1"/>
  <c r="AF643" i="1"/>
  <c r="AF635" i="1"/>
  <c r="AJ706" i="1"/>
  <c r="AJ703" i="1"/>
  <c r="AJ708" i="1" s="1"/>
  <c r="AD713" i="1"/>
  <c r="AM2" i="9"/>
  <c r="AM5" i="11"/>
  <c r="AL1321" i="1"/>
  <c r="AM5" i="13"/>
  <c r="AL672" i="1"/>
  <c r="AL610" i="1"/>
  <c r="AN5" i="1"/>
  <c r="AR537" i="1"/>
  <c r="AR541" i="1" s="1"/>
  <c r="AQ554" i="1"/>
  <c r="AQ562" i="1" s="1"/>
  <c r="AF617" i="1"/>
  <c r="AF614" i="1"/>
  <c r="AF620" i="1"/>
  <c r="AT564" i="1"/>
  <c r="AT569" i="1"/>
  <c r="AG632" i="1"/>
  <c r="AM715" i="1"/>
  <c r="AM712" i="1"/>
  <c r="AM713" i="1" s="1"/>
  <c r="AF708" i="1"/>
  <c r="AJ648" i="1"/>
  <c r="AI678" i="1"/>
  <c r="AI675" i="1"/>
  <c r="AI681" i="1"/>
  <c r="AJ681" i="1" s="1"/>
  <c r="AJ649" i="1"/>
  <c r="AG708" i="1"/>
  <c r="AJ11" i="1"/>
  <c r="AJ27" i="9" s="1"/>
  <c r="AK7" i="1"/>
  <c r="AJ8" i="1"/>
  <c r="AO7" i="1"/>
  <c r="AK703" i="1"/>
  <c r="AK706" i="1"/>
  <c r="AL634" i="1"/>
  <c r="AL631" i="1"/>
  <c r="AL564" i="1"/>
  <c r="AL569" i="1"/>
  <c r="CE181" i="1"/>
  <c r="CF108" i="1"/>
  <c r="CF181" i="1" s="1"/>
  <c r="AJ615" i="1"/>
  <c r="AJ617" i="1"/>
  <c r="AJ614" i="1"/>
  <c r="BW183" i="1"/>
  <c r="BW16" i="1" s="1"/>
  <c r="BW194" i="1"/>
  <c r="BW204" i="1" s="1"/>
  <c r="BW21" i="1"/>
  <c r="AI706" i="1"/>
  <c r="AI703" i="1"/>
  <c r="AI634" i="1"/>
  <c r="AI631" i="1"/>
  <c r="AO178" i="1"/>
  <c r="AO63" i="1"/>
  <c r="N1269" i="1"/>
  <c r="O1158" i="1"/>
  <c r="O1159" i="1" s="1"/>
  <c r="N1164" i="1"/>
  <c r="AO163" i="1"/>
  <c r="AO52" i="1"/>
  <c r="AF693" i="1"/>
  <c r="AF687" i="1"/>
  <c r="AF690" i="1"/>
  <c r="AF689" i="1"/>
  <c r="AF692" i="1"/>
  <c r="AV537" i="1"/>
  <c r="AV541" i="1" s="1"/>
  <c r="AU554" i="1"/>
  <c r="AU562" i="1" s="1"/>
  <c r="AM634" i="1"/>
  <c r="AM631" i="1"/>
  <c r="AM632" i="1"/>
  <c r="AO1330" i="1"/>
  <c r="AO1322" i="1"/>
  <c r="AO611" i="1" s="1"/>
  <c r="AO1332" i="1"/>
  <c r="AO686" i="1" s="1"/>
  <c r="AO1324" i="1"/>
  <c r="AO1327" i="1"/>
  <c r="AO1331" i="1"/>
  <c r="AO685" i="1" s="1"/>
  <c r="AO1333" i="1"/>
  <c r="AO1329" i="1"/>
  <c r="AO674" i="1" s="1"/>
  <c r="AO1326" i="1"/>
  <c r="AO1328" i="1"/>
  <c r="AO673" i="1" s="1"/>
  <c r="AO1325" i="1"/>
  <c r="AO1323" i="1"/>
  <c r="AO612" i="1" s="1"/>
  <c r="AK712" i="1"/>
  <c r="AK713" i="1" s="1"/>
  <c r="AK715" i="1"/>
  <c r="AR1348" i="1"/>
  <c r="AR1340" i="1"/>
  <c r="AR628" i="1" s="1"/>
  <c r="AR1350" i="1"/>
  <c r="AR711" i="1" s="1"/>
  <c r="AR1342" i="1"/>
  <c r="AR1351" i="1"/>
  <c r="AR1346" i="1"/>
  <c r="AR701" i="1" s="1"/>
  <c r="AR1349" i="1"/>
  <c r="AR710" i="1" s="1"/>
  <c r="AR714" i="1" s="1"/>
  <c r="AR1341" i="1"/>
  <c r="AR629" i="1" s="1"/>
  <c r="AR1347" i="1"/>
  <c r="AR702" i="1" s="1"/>
  <c r="AR1345" i="1"/>
  <c r="AR1344" i="1"/>
  <c r="AR1343" i="1"/>
  <c r="AG1330" i="1"/>
  <c r="AG1322" i="1"/>
  <c r="AG611" i="1" s="1"/>
  <c r="AG1332" i="1"/>
  <c r="AG686" i="1" s="1"/>
  <c r="AG1324" i="1"/>
  <c r="AG1333" i="1"/>
  <c r="AG1327" i="1"/>
  <c r="AG1325" i="1"/>
  <c r="AG1331" i="1"/>
  <c r="AG685" i="1" s="1"/>
  <c r="AG1329" i="1"/>
  <c r="AG674" i="1" s="1"/>
  <c r="AG1323" i="1"/>
  <c r="AG612" i="1" s="1"/>
  <c r="AG1328" i="1"/>
  <c r="AG673" i="1" s="1"/>
  <c r="AG1326" i="1"/>
  <c r="BV1117" i="1"/>
  <c r="AJ650" i="1"/>
  <c r="AH708" i="1"/>
  <c r="AY2" i="9"/>
  <c r="AU1339" i="1"/>
  <c r="AS1339" i="1"/>
  <c r="AY5" i="11"/>
  <c r="AY5" i="13"/>
  <c r="AV1339" i="1"/>
  <c r="AT1339" i="1"/>
  <c r="AT700" i="1"/>
  <c r="AW700" i="1"/>
  <c r="AU700" i="1"/>
  <c r="AW627" i="1"/>
  <c r="AV700" i="1"/>
  <c r="AV627" i="1"/>
  <c r="AS700" i="1"/>
  <c r="AU627" i="1"/>
  <c r="AT627" i="1"/>
  <c r="AW1339" i="1"/>
  <c r="AZ5" i="1"/>
  <c r="AS627" i="1"/>
  <c r="BD5" i="1"/>
  <c r="BV1116" i="1"/>
  <c r="AN537" i="1"/>
  <c r="AN541" i="1" s="1"/>
  <c r="AN554" i="1" s="1"/>
  <c r="AN562" i="1" s="1"/>
  <c r="AM554" i="1"/>
  <c r="AM562" i="1" s="1"/>
  <c r="AJ715" i="1"/>
  <c r="AJ713" i="1"/>
  <c r="AJ712" i="1"/>
  <c r="AJ716" i="1" s="1"/>
  <c r="AJ676" i="1"/>
  <c r="AJ679" i="1"/>
  <c r="E128" i="9"/>
  <c r="E131" i="9"/>
  <c r="AK171" i="1"/>
  <c r="AK167" i="1"/>
  <c r="AK173" i="1" s="1"/>
  <c r="AF679" i="1"/>
  <c r="AF676" i="1"/>
  <c r="AF682" i="1"/>
  <c r="AZ537" i="1"/>
  <c r="AZ541" i="1" s="1"/>
  <c r="BD537" i="1"/>
  <c r="BD541" i="1" s="1"/>
  <c r="AY554" i="1"/>
  <c r="AY562" i="1" s="1"/>
  <c r="AM705" i="1"/>
  <c r="AM704" i="1"/>
  <c r="AM707" i="1"/>
  <c r="AI692" i="1"/>
  <c r="AJ692" i="1" s="1"/>
  <c r="AI689" i="1"/>
  <c r="AJ689" i="1" s="1"/>
  <c r="AG716" i="1"/>
  <c r="AJ665" i="1"/>
  <c r="AL707" i="1"/>
  <c r="AL704" i="1"/>
  <c r="M3" i="13"/>
  <c r="M3" i="11"/>
  <c r="AJ630" i="1"/>
  <c r="AJ635" i="1" s="1"/>
  <c r="AJ633" i="1"/>
  <c r="AF716" i="1"/>
  <c r="AJ664" i="1"/>
  <c r="AK1326" i="1"/>
  <c r="AK1328" i="1"/>
  <c r="AK673" i="1" s="1"/>
  <c r="AK1325" i="1"/>
  <c r="AK1323" i="1"/>
  <c r="AK612" i="1" s="1"/>
  <c r="AK1332" i="1"/>
  <c r="AK686" i="1" s="1"/>
  <c r="AK1330" i="1"/>
  <c r="AK1333" i="1"/>
  <c r="AK1331" i="1"/>
  <c r="AK685" i="1" s="1"/>
  <c r="AK1324" i="1"/>
  <c r="AK1322" i="1"/>
  <c r="AK611" i="1" s="1"/>
  <c r="AK1329" i="1"/>
  <c r="AK674" i="1" s="1"/>
  <c r="AK1327" i="1"/>
  <c r="F128" i="9"/>
  <c r="F131" i="9"/>
  <c r="AI705" i="1"/>
  <c r="AI704" i="1"/>
  <c r="AI707" i="1"/>
  <c r="AH569" i="1"/>
  <c r="AH564" i="1"/>
  <c r="AF678" i="1"/>
  <c r="AF675" i="1"/>
  <c r="AF677" i="1" s="1"/>
  <c r="AF681" i="1"/>
  <c r="D11" i="9"/>
  <c r="D130" i="9"/>
  <c r="AN1329" i="1"/>
  <c r="AN674" i="1" s="1"/>
  <c r="AN1331" i="1"/>
  <c r="AN685" i="1" s="1"/>
  <c r="AN1323" i="1"/>
  <c r="AN612" i="1" s="1"/>
  <c r="AN1332" i="1"/>
  <c r="AN686" i="1" s="1"/>
  <c r="AN1328" i="1"/>
  <c r="AN673" i="1" s="1"/>
  <c r="AN1326" i="1"/>
  <c r="AN1330" i="1"/>
  <c r="AN1333" i="1"/>
  <c r="AN1322" i="1"/>
  <c r="AN611" i="1" s="1"/>
  <c r="AN1324" i="1"/>
  <c r="AN1325" i="1"/>
  <c r="AN1327" i="1"/>
  <c r="BV224" i="1"/>
  <c r="BV469" i="1"/>
  <c r="AI616" i="1"/>
  <c r="AI613" i="1"/>
  <c r="AI619" i="1"/>
  <c r="AJ619" i="1" s="1"/>
  <c r="AI679" i="1"/>
  <c r="AI676" i="1"/>
  <c r="AI677" i="1"/>
  <c r="AI682" i="1"/>
  <c r="AJ682" i="1" s="1"/>
  <c r="BX195" i="1"/>
  <c r="BX192" i="1"/>
  <c r="AJ666" i="1"/>
  <c r="AH716" i="1"/>
  <c r="AE632" i="1"/>
  <c r="AK704" i="1"/>
  <c r="AK707" i="1"/>
  <c r="AK705" i="1"/>
  <c r="BV120" i="9"/>
  <c r="Z1164" i="1"/>
  <c r="AE1158" i="1"/>
  <c r="AE1159" i="1" s="1"/>
  <c r="AA1158" i="1"/>
  <c r="AA1159" i="1" s="1"/>
  <c r="AN1344" i="1"/>
  <c r="AN1346" i="1"/>
  <c r="AN701" i="1" s="1"/>
  <c r="AN1338" i="1"/>
  <c r="AN1350" i="1"/>
  <c r="AN711" i="1" s="1"/>
  <c r="AN1348" i="1"/>
  <c r="AN1340" i="1"/>
  <c r="AN628" i="1" s="1"/>
  <c r="AN1351" i="1"/>
  <c r="AN1349" i="1"/>
  <c r="AN710" i="1" s="1"/>
  <c r="AN714" i="1" s="1"/>
  <c r="AN1347" i="1"/>
  <c r="AN702" i="1" s="1"/>
  <c r="AN1343" i="1"/>
  <c r="AN1342" i="1"/>
  <c r="AN1341" i="1"/>
  <c r="AN629" i="1" s="1"/>
  <c r="AN1345" i="1"/>
  <c r="AE683" i="1"/>
  <c r="AE680" i="1"/>
  <c r="Q1091" i="1"/>
  <c r="P1269" i="1"/>
  <c r="AF642" i="1"/>
  <c r="AD635" i="1"/>
  <c r="AJ593" i="1"/>
  <c r="W1158" i="1"/>
  <c r="W1159" i="1" s="1"/>
  <c r="V1164" i="1"/>
  <c r="J491" i="1"/>
  <c r="J503" i="1"/>
  <c r="J502" i="1"/>
  <c r="N1" i="9"/>
  <c r="N1397" i="1"/>
  <c r="N515" i="1"/>
  <c r="N3" i="1"/>
  <c r="O4" i="1"/>
  <c r="N4" i="13"/>
  <c r="N4" i="11"/>
  <c r="AF713" i="1"/>
  <c r="AH643" i="1"/>
  <c r="AH640" i="1"/>
  <c r="AH639" i="1"/>
  <c r="AH635" i="1"/>
  <c r="AJ596" i="1"/>
  <c r="AJ675" i="1"/>
  <c r="AJ678" i="1"/>
  <c r="AI630" i="1"/>
  <c r="AI632" i="1" s="1"/>
  <c r="AI633" i="1"/>
  <c r="AI569" i="1"/>
  <c r="AI564" i="1"/>
  <c r="AO122" i="1"/>
  <c r="AO26" i="9" s="1"/>
  <c r="AP118" i="1"/>
  <c r="AO149" i="1"/>
  <c r="AT118" i="1"/>
  <c r="AQ2" i="9"/>
  <c r="AQ5" i="13"/>
  <c r="AP1321" i="1"/>
  <c r="AQ5" i="11"/>
  <c r="AP672" i="1"/>
  <c r="AP610" i="1"/>
  <c r="AR5" i="1"/>
  <c r="AO165" i="1"/>
  <c r="AO100" i="1"/>
  <c r="D1000" i="1"/>
  <c r="D976" i="1" s="1"/>
  <c r="D1012" i="1"/>
  <c r="D1015" i="1"/>
  <c r="BV234" i="1"/>
  <c r="BV471" i="1"/>
  <c r="R1164" i="1"/>
  <c r="S1158" i="1"/>
  <c r="S1159" i="1" s="1"/>
  <c r="AH713" i="1"/>
  <c r="AP1346" i="1"/>
  <c r="AP701" i="1" s="1"/>
  <c r="AP1338" i="1"/>
  <c r="AP1348" i="1"/>
  <c r="AP1340" i="1"/>
  <c r="AP628" i="1" s="1"/>
  <c r="AP1342" i="1"/>
  <c r="AP1344" i="1"/>
  <c r="AP1351" i="1"/>
  <c r="AP1349" i="1"/>
  <c r="AP710" i="1" s="1"/>
  <c r="AP714" i="1" s="1"/>
  <c r="AP1343" i="1"/>
  <c r="AP1341" i="1"/>
  <c r="AP629" i="1" s="1"/>
  <c r="AP1347" i="1"/>
  <c r="AP702" i="1" s="1"/>
  <c r="AP1345" i="1"/>
  <c r="AP1350" i="1"/>
  <c r="AP711" i="1" s="1"/>
  <c r="AI2" i="9"/>
  <c r="AH1321" i="1"/>
  <c r="AI5" i="13"/>
  <c r="AI5" i="11"/>
  <c r="AH672" i="1"/>
  <c r="AH610" i="1"/>
  <c r="AE621" i="1"/>
  <c r="AE618" i="1"/>
  <c r="AJ687" i="1"/>
  <c r="AJ688" i="1" s="1"/>
  <c r="AF632" i="1"/>
  <c r="AP79" i="1"/>
  <c r="AP84" i="1"/>
  <c r="AK170" i="1"/>
  <c r="AF616" i="1"/>
  <c r="AF613" i="1"/>
  <c r="AF619" i="1"/>
  <c r="AH705" i="1"/>
  <c r="D975" i="1"/>
  <c r="D973" i="1"/>
  <c r="BV470" i="1"/>
  <c r="BV229" i="1"/>
  <c r="CD518" i="1"/>
  <c r="CD510" i="1"/>
  <c r="CD730" i="1" s="1"/>
  <c r="CC529" i="1"/>
  <c r="CC524" i="1"/>
  <c r="CD522" i="1"/>
  <c r="AD683" i="1"/>
  <c r="AD680" i="1"/>
  <c r="AF647" i="1"/>
  <c r="AF651" i="1" s="1"/>
  <c r="AL633" i="1"/>
  <c r="AL630" i="1"/>
  <c r="CB75" i="9"/>
  <c r="CB1274" i="1"/>
  <c r="CB1150" i="1"/>
  <c r="CC1150" i="1" s="1"/>
  <c r="CC730" i="1" s="1"/>
  <c r="AK632" i="1"/>
  <c r="AK631" i="1"/>
  <c r="AK634" i="1"/>
  <c r="BV599" i="1"/>
  <c r="BV604" i="1"/>
  <c r="BV607" i="1"/>
  <c r="AL706" i="1"/>
  <c r="AL703" i="1"/>
  <c r="AL705" i="1" s="1"/>
  <c r="AL715" i="1"/>
  <c r="AL712" i="1"/>
  <c r="J760" i="1"/>
  <c r="J761" i="1"/>
  <c r="M1367" i="1"/>
  <c r="AJ705" i="1"/>
  <c r="AJ704" i="1"/>
  <c r="AJ707" i="1"/>
  <c r="AD694" i="1"/>
  <c r="AE694" i="1" s="1"/>
  <c r="AF663" i="1"/>
  <c r="AF667" i="1" s="1"/>
  <c r="AD691" i="1"/>
  <c r="AE691" i="1" s="1"/>
  <c r="AI715" i="1"/>
  <c r="AI712" i="1"/>
  <c r="AI713" i="1" s="1"/>
  <c r="BW14" i="1"/>
  <c r="BW13" i="1"/>
  <c r="BX12" i="1"/>
  <c r="CB529" i="1"/>
  <c r="AI687" i="1"/>
  <c r="AI688" i="1" s="1"/>
  <c r="AI690" i="1"/>
  <c r="AJ690" i="1" s="1"/>
  <c r="AI693" i="1"/>
  <c r="AJ693" i="1" s="1"/>
  <c r="AO183" i="1"/>
  <c r="AO16" i="1" s="1"/>
  <c r="AO19" i="1" s="1"/>
  <c r="AO31" i="9" s="1"/>
  <c r="AK16" i="1"/>
  <c r="N289" i="10"/>
  <c r="N322" i="10"/>
  <c r="N298" i="10"/>
  <c r="N294" i="10"/>
  <c r="N318" i="10"/>
  <c r="N288" i="10"/>
  <c r="N279" i="10"/>
  <c r="N308" i="10"/>
  <c r="N316" i="10"/>
  <c r="N282" i="10"/>
  <c r="N301" i="10"/>
  <c r="N317" i="10"/>
  <c r="N281" i="10"/>
  <c r="N285" i="10"/>
  <c r="N319" i="10"/>
  <c r="N291" i="10"/>
  <c r="N287" i="10"/>
  <c r="N290" i="10"/>
  <c r="N325" i="10"/>
  <c r="N311" i="10"/>
  <c r="N280" i="10"/>
  <c r="N310" i="10"/>
  <c r="N312" i="10"/>
  <c r="N283" i="10"/>
  <c r="N299" i="10"/>
  <c r="N321" i="10"/>
  <c r="N292" i="10"/>
  <c r="N315" i="10"/>
  <c r="N320" i="10"/>
  <c r="N302" i="10"/>
  <c r="N278" i="10"/>
  <c r="N300" i="10"/>
  <c r="N323" i="10"/>
  <c r="N284" i="10"/>
  <c r="N303" i="10"/>
  <c r="N293" i="10"/>
  <c r="N324" i="10"/>
  <c r="P325" i="10" l="1"/>
  <c r="Q325" i="10"/>
  <c r="Q288" i="10"/>
  <c r="P288" i="10"/>
  <c r="Q280" i="10"/>
  <c r="P280" i="10"/>
  <c r="Q319" i="10"/>
  <c r="P319" i="10"/>
  <c r="Q315" i="10"/>
  <c r="P315" i="10"/>
  <c r="Q310" i="10"/>
  <c r="P310" i="10"/>
  <c r="P299" i="10"/>
  <c r="Q299" i="10"/>
  <c r="Q293" i="10"/>
  <c r="P293" i="10"/>
  <c r="P289" i="10"/>
  <c r="Q289" i="10"/>
  <c r="P283" i="10"/>
  <c r="Q283" i="10"/>
  <c r="Q279" i="10"/>
  <c r="P279" i="10"/>
  <c r="Q320" i="10"/>
  <c r="P320" i="10"/>
  <c r="Q300" i="10"/>
  <c r="P300" i="10"/>
  <c r="Q294" i="10"/>
  <c r="P294" i="10"/>
  <c r="Q284" i="10"/>
  <c r="P284" i="10"/>
  <c r="Q301" i="10"/>
  <c r="P301" i="10"/>
  <c r="Q281" i="10"/>
  <c r="P281" i="10"/>
  <c r="P323" i="10"/>
  <c r="Q323" i="10"/>
  <c r="P311" i="10"/>
  <c r="Q311" i="10"/>
  <c r="Q318" i="10"/>
  <c r="P318" i="10"/>
  <c r="Q308" i="10"/>
  <c r="P308" i="10"/>
  <c r="P291" i="10"/>
  <c r="Q291" i="10"/>
  <c r="P316" i="10"/>
  <c r="Q316" i="10"/>
  <c r="P302" i="10"/>
  <c r="Q302" i="10"/>
  <c r="P287" i="10"/>
  <c r="Q287" i="10"/>
  <c r="P324" i="10"/>
  <c r="Q324" i="10"/>
  <c r="P322" i="10"/>
  <c r="Q322" i="10"/>
  <c r="P312" i="10"/>
  <c r="Q312" i="10"/>
  <c r="Q321" i="10"/>
  <c r="P321" i="10"/>
  <c r="Q303" i="10"/>
  <c r="P303" i="10"/>
  <c r="P290" i="10"/>
  <c r="Q290" i="10"/>
  <c r="Q282" i="10"/>
  <c r="P282" i="10"/>
  <c r="Q278" i="10"/>
  <c r="P278" i="10"/>
  <c r="P317" i="10"/>
  <c r="Q317" i="10"/>
  <c r="P285" i="10"/>
  <c r="Q285" i="10"/>
  <c r="P292" i="10"/>
  <c r="Q292" i="10"/>
  <c r="Q298" i="10"/>
  <c r="P298" i="10"/>
  <c r="CC75" i="9"/>
  <c r="CC1281" i="1"/>
  <c r="CC1274" i="1"/>
  <c r="AO148" i="1"/>
  <c r="AP98" i="1"/>
  <c r="AT98" i="1"/>
  <c r="AO102" i="1"/>
  <c r="AO25" i="9" s="1"/>
  <c r="AP1331" i="1"/>
  <c r="AP685" i="1" s="1"/>
  <c r="AP1323" i="1"/>
  <c r="AP612" i="1" s="1"/>
  <c r="AP1333" i="1"/>
  <c r="AP1325" i="1"/>
  <c r="AP1330" i="1"/>
  <c r="AP1324" i="1"/>
  <c r="AP1329" i="1"/>
  <c r="AP674" i="1" s="1"/>
  <c r="AP1332" i="1"/>
  <c r="AP686" i="1" s="1"/>
  <c r="AP1328" i="1"/>
  <c r="AP673" i="1" s="1"/>
  <c r="AP1326" i="1"/>
  <c r="AP1322" i="1"/>
  <c r="AP611" i="1" s="1"/>
  <c r="AP1327" i="1"/>
  <c r="AI623" i="1"/>
  <c r="AJ597" i="1"/>
  <c r="AJ624" i="1"/>
  <c r="AI624" i="1"/>
  <c r="AJ623" i="1"/>
  <c r="O1" i="9"/>
  <c r="O1397" i="1"/>
  <c r="O1367" i="1"/>
  <c r="O515" i="1"/>
  <c r="O3" i="1"/>
  <c r="P4" i="1"/>
  <c r="O4" i="11"/>
  <c r="O4" i="13"/>
  <c r="J495" i="1"/>
  <c r="J1259" i="1"/>
  <c r="J1267" i="1"/>
  <c r="I1267" i="1"/>
  <c r="K1275" i="1"/>
  <c r="L1267" i="1"/>
  <c r="AP633" i="1"/>
  <c r="AP630" i="1"/>
  <c r="AK19" i="1"/>
  <c r="AK31" i="9" s="1"/>
  <c r="AK17" i="1"/>
  <c r="AK29" i="9" s="1"/>
  <c r="AL17" i="1"/>
  <c r="AL29" i="9" s="1"/>
  <c r="BV603" i="1"/>
  <c r="BV600" i="1"/>
  <c r="BV606" i="1"/>
  <c r="CC5" i="9"/>
  <c r="CC6" i="9" s="1"/>
  <c r="CC1008" i="1"/>
  <c r="CC999" i="1" s="1"/>
  <c r="AF405" i="1"/>
  <c r="AF669" i="1"/>
  <c r="AL716" i="1"/>
  <c r="AO665" i="1"/>
  <c r="AL640" i="1"/>
  <c r="AL639" i="1"/>
  <c r="AL635" i="1"/>
  <c r="AL643" i="1"/>
  <c r="AO595" i="1"/>
  <c r="CD75" i="9"/>
  <c r="CD1274" i="1"/>
  <c r="CD1150" i="1"/>
  <c r="AL713" i="1"/>
  <c r="CE518" i="1"/>
  <c r="CE510" i="1" s="1"/>
  <c r="CE730" i="1" s="1"/>
  <c r="CD524" i="1"/>
  <c r="CD526" i="1"/>
  <c r="CD529" i="1" s="1"/>
  <c r="CE522" i="1"/>
  <c r="AF656" i="1"/>
  <c r="AF473" i="1"/>
  <c r="AF653" i="1"/>
  <c r="AF621" i="1"/>
  <c r="AF618" i="1"/>
  <c r="AG593" i="1"/>
  <c r="AG597" i="1" s="1"/>
  <c r="BX194" i="1"/>
  <c r="BX21" i="1"/>
  <c r="AI621" i="1"/>
  <c r="AI618" i="1"/>
  <c r="AK593" i="1"/>
  <c r="AK597" i="1" s="1"/>
  <c r="AN692" i="1"/>
  <c r="AO692" i="1" s="1"/>
  <c r="AN689" i="1"/>
  <c r="AO689" i="1" s="1"/>
  <c r="AK676" i="1"/>
  <c r="AK679" i="1"/>
  <c r="AK682" i="1"/>
  <c r="BI537" i="1"/>
  <c r="BI541" i="1" s="1"/>
  <c r="BE537" i="1"/>
  <c r="BE541" i="1" s="1"/>
  <c r="BD554" i="1"/>
  <c r="BD562" i="1" s="1"/>
  <c r="AV1344" i="1"/>
  <c r="AV1346" i="1"/>
  <c r="AV701" i="1" s="1"/>
  <c r="AV1338" i="1"/>
  <c r="AV1347" i="1"/>
  <c r="AV702" i="1" s="1"/>
  <c r="AV1343" i="1"/>
  <c r="AV1341" i="1"/>
  <c r="AV629" i="1" s="1"/>
  <c r="AV1345" i="1"/>
  <c r="AV1348" i="1"/>
  <c r="AV1349" i="1"/>
  <c r="AV710" i="1" s="1"/>
  <c r="AV714" i="1" s="1"/>
  <c r="AV1340" i="1"/>
  <c r="AV628" i="1" s="1"/>
  <c r="AV1342" i="1"/>
  <c r="AV1351" i="1"/>
  <c r="AV1350" i="1"/>
  <c r="AV711" i="1" s="1"/>
  <c r="AU569" i="1"/>
  <c r="AU564" i="1"/>
  <c r="AP50" i="1"/>
  <c r="AO54" i="1"/>
  <c r="AO23" i="9" s="1"/>
  <c r="AO146" i="1"/>
  <c r="AT50" i="1"/>
  <c r="AO45" i="1"/>
  <c r="AL632" i="1"/>
  <c r="AV2" i="9"/>
  <c r="AV5" i="11"/>
  <c r="AV5" i="13"/>
  <c r="AU1321" i="1"/>
  <c r="AU610" i="1"/>
  <c r="AU672" i="1"/>
  <c r="AW5" i="1"/>
  <c r="AM643" i="1"/>
  <c r="AM640" i="1"/>
  <c r="AO596" i="1"/>
  <c r="AM639" i="1"/>
  <c r="AM635" i="1"/>
  <c r="BV1106" i="1"/>
  <c r="BV410" i="1"/>
  <c r="AN703" i="1"/>
  <c r="AN706" i="1"/>
  <c r="AN616" i="1"/>
  <c r="AN619" i="1"/>
  <c r="AO619" i="1" s="1"/>
  <c r="AN613" i="1"/>
  <c r="AN679" i="1"/>
  <c r="AN682" i="1"/>
  <c r="AO682" i="1" s="1"/>
  <c r="AN676" i="1"/>
  <c r="AK619" i="1"/>
  <c r="AK613" i="1"/>
  <c r="AK616" i="1"/>
  <c r="AK681" i="1"/>
  <c r="AK675" i="1"/>
  <c r="AK678" i="1"/>
  <c r="BA537" i="1"/>
  <c r="BA541" i="1" s="1"/>
  <c r="BB537" i="1" s="1"/>
  <c r="BB541" i="1" s="1"/>
  <c r="AZ554" i="1"/>
  <c r="AZ562" i="1" s="1"/>
  <c r="AO614" i="1"/>
  <c r="AO617" i="1"/>
  <c r="AW537" i="1"/>
  <c r="AW541" i="1" s="1"/>
  <c r="AV554" i="1"/>
  <c r="AV562" i="1" s="1"/>
  <c r="AO167" i="1"/>
  <c r="AO666" i="1"/>
  <c r="AO667" i="1" s="1"/>
  <c r="AM716" i="1"/>
  <c r="AF644" i="1"/>
  <c r="AG642" i="1"/>
  <c r="AQ630" i="1"/>
  <c r="AQ633" i="1"/>
  <c r="AJ632" i="1"/>
  <c r="AO633" i="1"/>
  <c r="AO630" i="1"/>
  <c r="AO635" i="1" s="1"/>
  <c r="AM569" i="1"/>
  <c r="AM564" i="1"/>
  <c r="BD2" i="9"/>
  <c r="BD5" i="11"/>
  <c r="BD5" i="13"/>
  <c r="BA1339" i="1"/>
  <c r="BB1339" i="1"/>
  <c r="AY1339" i="1"/>
  <c r="AZ1339" i="1"/>
  <c r="AX1339" i="1"/>
  <c r="BB700" i="1"/>
  <c r="AX700" i="1"/>
  <c r="AZ627" i="1"/>
  <c r="AY627" i="1"/>
  <c r="AZ700" i="1"/>
  <c r="BB627" i="1"/>
  <c r="AY700" i="1"/>
  <c r="BA627" i="1"/>
  <c r="AX627" i="1"/>
  <c r="BE5" i="1"/>
  <c r="BA700" i="1"/>
  <c r="BI5" i="1"/>
  <c r="AR715" i="1"/>
  <c r="AR712" i="1"/>
  <c r="AO687" i="1"/>
  <c r="AO688" i="1" s="1"/>
  <c r="AI708" i="1"/>
  <c r="AO647" i="1"/>
  <c r="AH697" i="1"/>
  <c r="AH696" i="1"/>
  <c r="AL1327" i="1"/>
  <c r="AL1329" i="1"/>
  <c r="AL674" i="1" s="1"/>
  <c r="AL1323" i="1"/>
  <c r="AL612" i="1" s="1"/>
  <c r="AL1328" i="1"/>
  <c r="AL673" i="1" s="1"/>
  <c r="AL1330" i="1"/>
  <c r="AL1325" i="1"/>
  <c r="AL1332" i="1"/>
  <c r="AL686" i="1" s="1"/>
  <c r="AL1331" i="1"/>
  <c r="AL685" i="1" s="1"/>
  <c r="AL1333" i="1"/>
  <c r="AL1324" i="1"/>
  <c r="AL1322" i="1"/>
  <c r="AL611" i="1" s="1"/>
  <c r="AL1326" i="1"/>
  <c r="AG624" i="1"/>
  <c r="AG623" i="1"/>
  <c r="AQ703" i="1"/>
  <c r="AQ706" i="1"/>
  <c r="AI615" i="1"/>
  <c r="AN707" i="1"/>
  <c r="AN705" i="1"/>
  <c r="AN704" i="1"/>
  <c r="CB5" i="9"/>
  <c r="CB6" i="9" s="1"/>
  <c r="CB1008" i="1"/>
  <c r="CB999" i="1" s="1"/>
  <c r="AP85" i="1"/>
  <c r="AT84" i="1"/>
  <c r="AT86" i="1" s="1"/>
  <c r="AP86" i="1"/>
  <c r="AQ85" i="1"/>
  <c r="D128" i="9"/>
  <c r="D131" i="9"/>
  <c r="AK689" i="1"/>
  <c r="AK692" i="1"/>
  <c r="AN569" i="1"/>
  <c r="AN564" i="1"/>
  <c r="AS1349" i="1"/>
  <c r="AS710" i="1" s="1"/>
  <c r="AS714" i="1" s="1"/>
  <c r="AS1341" i="1"/>
  <c r="AS629" i="1" s="1"/>
  <c r="AS1351" i="1"/>
  <c r="AS1343" i="1"/>
  <c r="AS1340" i="1"/>
  <c r="AS628" i="1" s="1"/>
  <c r="AS1338" i="1"/>
  <c r="AS1347" i="1"/>
  <c r="AS702" i="1" s="1"/>
  <c r="AS1345" i="1"/>
  <c r="AS1348" i="1"/>
  <c r="AS1344" i="1"/>
  <c r="AS1342" i="1"/>
  <c r="AS1346" i="1"/>
  <c r="AS701" i="1" s="1"/>
  <c r="AS1350" i="1"/>
  <c r="AS711" i="1" s="1"/>
  <c r="AG675" i="1"/>
  <c r="AG678" i="1"/>
  <c r="AG681" i="1"/>
  <c r="AG693" i="1"/>
  <c r="AG690" i="1"/>
  <c r="AG688" i="1"/>
  <c r="AG687" i="1"/>
  <c r="AR707" i="1"/>
  <c r="AR704" i="1"/>
  <c r="AR633" i="1"/>
  <c r="AR630" i="1"/>
  <c r="AO678" i="1"/>
  <c r="AO675" i="1"/>
  <c r="AO677" i="1" s="1"/>
  <c r="AO613" i="1"/>
  <c r="AO616" i="1"/>
  <c r="O1164" i="1"/>
  <c r="O1269" i="1"/>
  <c r="AK708" i="1"/>
  <c r="AO648" i="1"/>
  <c r="AQ712" i="1"/>
  <c r="AQ715" i="1"/>
  <c r="AF696" i="1"/>
  <c r="AF697" i="1"/>
  <c r="AJ621" i="1"/>
  <c r="AJ618" i="1"/>
  <c r="AG644" i="1"/>
  <c r="AO703" i="1"/>
  <c r="AO708" i="1" s="1"/>
  <c r="AO706" i="1"/>
  <c r="AP715" i="1"/>
  <c r="AP712" i="1"/>
  <c r="AF1158" i="1"/>
  <c r="AF1159" i="1" s="1"/>
  <c r="AE1164" i="1"/>
  <c r="AJ1158" i="1"/>
  <c r="AJ1159" i="1" s="1"/>
  <c r="AZ5" i="13"/>
  <c r="AX1321" i="1"/>
  <c r="AZ2" i="9"/>
  <c r="AY1321" i="1"/>
  <c r="AZ5" i="11"/>
  <c r="AY672" i="1"/>
  <c r="AX610" i="1"/>
  <c r="AX672" i="1"/>
  <c r="AY610" i="1"/>
  <c r="BA5" i="1"/>
  <c r="AU1351" i="1"/>
  <c r="AU1343" i="1"/>
  <c r="AU1345" i="1"/>
  <c r="AU1347" i="1"/>
  <c r="AU702" i="1" s="1"/>
  <c r="AU1341" i="1"/>
  <c r="AU629" i="1" s="1"/>
  <c r="AU1350" i="1"/>
  <c r="AU711" i="1" s="1"/>
  <c r="AU1340" i="1"/>
  <c r="AU628" i="1" s="1"/>
  <c r="AU1338" i="1"/>
  <c r="AU1346" i="1"/>
  <c r="AU701" i="1" s="1"/>
  <c r="AU1342" i="1"/>
  <c r="AU1349" i="1"/>
  <c r="AU710" i="1" s="1"/>
  <c r="AU714" i="1" s="1"/>
  <c r="AU1344" i="1"/>
  <c r="AU1348" i="1"/>
  <c r="AG614" i="1"/>
  <c r="AG620" i="1"/>
  <c r="AG617" i="1"/>
  <c r="AG619" i="1"/>
  <c r="AG613" i="1"/>
  <c r="AG616" i="1"/>
  <c r="AR634" i="1"/>
  <c r="AR631" i="1"/>
  <c r="AK647" i="1"/>
  <c r="AK651" i="1" s="1"/>
  <c r="AI683" i="1"/>
  <c r="AI680" i="1"/>
  <c r="AQ569" i="1"/>
  <c r="AQ564" i="1"/>
  <c r="AH623" i="1"/>
  <c r="AH624" i="1"/>
  <c r="AO634" i="1"/>
  <c r="AO631" i="1"/>
  <c r="AO632" i="1"/>
  <c r="AO707" i="1"/>
  <c r="AO704" i="1"/>
  <c r="AO705" i="1"/>
  <c r="T1158" i="1"/>
  <c r="T1159" i="1" s="1"/>
  <c r="S1164" i="1"/>
  <c r="AJ683" i="1"/>
  <c r="AJ680" i="1"/>
  <c r="AO173" i="1"/>
  <c r="N3" i="13"/>
  <c r="N3" i="11"/>
  <c r="R1091" i="1"/>
  <c r="Q1092" i="1"/>
  <c r="Q1269" i="1" s="1"/>
  <c r="AP704" i="1"/>
  <c r="AP707" i="1"/>
  <c r="BV37" i="9"/>
  <c r="BV403" i="1"/>
  <c r="BV62" i="9" s="1"/>
  <c r="AI635" i="1"/>
  <c r="AK642" i="1"/>
  <c r="AO593" i="1"/>
  <c r="AN630" i="1"/>
  <c r="AN633" i="1"/>
  <c r="AN681" i="1"/>
  <c r="AO681" i="1" s="1"/>
  <c r="AN678" i="1"/>
  <c r="AN675" i="1"/>
  <c r="AG647" i="1"/>
  <c r="AG651" i="1" s="1"/>
  <c r="AF683" i="1"/>
  <c r="AF680" i="1"/>
  <c r="AJ677" i="1"/>
  <c r="AW1345" i="1"/>
  <c r="AW1347" i="1"/>
  <c r="AW702" i="1" s="1"/>
  <c r="AW1350" i="1"/>
  <c r="AW711" i="1" s="1"/>
  <c r="AW1342" i="1"/>
  <c r="AW1349" i="1"/>
  <c r="AW710" i="1" s="1"/>
  <c r="AW714" i="1" s="1"/>
  <c r="AW1341" i="1"/>
  <c r="AW629" i="1" s="1"/>
  <c r="AW1348" i="1"/>
  <c r="AW1338" i="1"/>
  <c r="AW1346" i="1"/>
  <c r="AW701" i="1" s="1"/>
  <c r="AW1344" i="1"/>
  <c r="AW1343" i="1"/>
  <c r="AW1340" i="1"/>
  <c r="AW628" i="1" s="1"/>
  <c r="AW1351" i="1"/>
  <c r="AG676" i="1"/>
  <c r="AG682" i="1"/>
  <c r="AG679" i="1"/>
  <c r="AG677" i="1"/>
  <c r="AR1338" i="1"/>
  <c r="AO676" i="1"/>
  <c r="AO679" i="1"/>
  <c r="AG663" i="1"/>
  <c r="AG667" i="1" s="1"/>
  <c r="AF691" i="1"/>
  <c r="AF694" i="1"/>
  <c r="BW23" i="1"/>
  <c r="BW18" i="9" s="1"/>
  <c r="BW28" i="1"/>
  <c r="BW22" i="1"/>
  <c r="AS537" i="1"/>
  <c r="AS541" i="1" s="1"/>
  <c r="AS554" i="1" s="1"/>
  <c r="AS562" i="1" s="1"/>
  <c r="AR554" i="1"/>
  <c r="AR562" i="1" s="1"/>
  <c r="AQ631" i="1"/>
  <c r="AQ634" i="1"/>
  <c r="AQ632" i="1"/>
  <c r="AK643" i="1"/>
  <c r="AO594" i="1"/>
  <c r="AK640" i="1"/>
  <c r="AK639" i="1"/>
  <c r="AK635" i="1"/>
  <c r="AL708" i="1"/>
  <c r="AO649" i="1"/>
  <c r="AH1331" i="1"/>
  <c r="AH685" i="1" s="1"/>
  <c r="AH1323" i="1"/>
  <c r="AH612" i="1" s="1"/>
  <c r="AH1333" i="1"/>
  <c r="AH1325" i="1"/>
  <c r="AH1327" i="1"/>
  <c r="AH1322" i="1"/>
  <c r="AH611" i="1" s="1"/>
  <c r="AH1329" i="1"/>
  <c r="AH674" i="1" s="1"/>
  <c r="AH1332" i="1"/>
  <c r="AH686" i="1" s="1"/>
  <c r="AH1330" i="1"/>
  <c r="AH1324" i="1"/>
  <c r="AH1326" i="1"/>
  <c r="AH1328" i="1"/>
  <c r="AH673" i="1" s="1"/>
  <c r="AA1164" i="1"/>
  <c r="AB1158" i="1"/>
  <c r="AB1159" i="1" s="1"/>
  <c r="BV38" i="9"/>
  <c r="BV63" i="9" s="1"/>
  <c r="BV398" i="1"/>
  <c r="J762" i="1"/>
  <c r="J798" i="1"/>
  <c r="J764" i="1"/>
  <c r="AT79" i="1"/>
  <c r="AP164" i="1"/>
  <c r="AP632" i="1"/>
  <c r="AP634" i="1"/>
  <c r="AP631" i="1"/>
  <c r="AR5" i="13"/>
  <c r="AQ1321" i="1"/>
  <c r="AR5" i="11"/>
  <c r="AR2" i="9"/>
  <c r="AQ672" i="1"/>
  <c r="AQ610" i="1"/>
  <c r="AS5" i="1"/>
  <c r="N1367" i="1"/>
  <c r="X1158" i="1"/>
  <c r="X1159" i="1" s="1"/>
  <c r="W1164" i="1"/>
  <c r="AN690" i="1"/>
  <c r="AO690" i="1" s="1"/>
  <c r="AN687" i="1"/>
  <c r="AN688" i="1" s="1"/>
  <c r="AN693" i="1"/>
  <c r="AO693" i="1" s="1"/>
  <c r="AK693" i="1"/>
  <c r="AK690" i="1"/>
  <c r="AK687" i="1"/>
  <c r="AK688" i="1" s="1"/>
  <c r="AG689" i="1"/>
  <c r="AG692" i="1"/>
  <c r="BW209" i="1"/>
  <c r="BW462" i="1"/>
  <c r="BW205" i="1"/>
  <c r="BW206" i="1" s="1"/>
  <c r="BW202" i="1"/>
  <c r="BW201" i="1"/>
  <c r="BW203" i="1"/>
  <c r="BW200" i="1"/>
  <c r="AG697" i="1"/>
  <c r="AG696" i="1"/>
  <c r="AN2" i="9"/>
  <c r="AN5" i="11"/>
  <c r="AN5" i="13"/>
  <c r="AM1321" i="1"/>
  <c r="AM672" i="1"/>
  <c r="AM610" i="1"/>
  <c r="AT1327" i="1"/>
  <c r="AT1329" i="1"/>
  <c r="AT674" i="1" s="1"/>
  <c r="AT1331" i="1"/>
  <c r="AT685" i="1" s="1"/>
  <c r="AT1325" i="1"/>
  <c r="AT1328" i="1"/>
  <c r="AT673" i="1" s="1"/>
  <c r="AT1326" i="1"/>
  <c r="AT1332" i="1"/>
  <c r="AT686" i="1" s="1"/>
  <c r="AT1330" i="1"/>
  <c r="AT1333" i="1"/>
  <c r="AT1323" i="1"/>
  <c r="AT612" i="1" s="1"/>
  <c r="AT1322" i="1"/>
  <c r="AT611" i="1" s="1"/>
  <c r="AT1324" i="1"/>
  <c r="AM708" i="1"/>
  <c r="AO650" i="1"/>
  <c r="AO715" i="1"/>
  <c r="AO712" i="1"/>
  <c r="AO716" i="1" s="1"/>
  <c r="AI694" i="1"/>
  <c r="AJ694" i="1" s="1"/>
  <c r="AI691" i="1"/>
  <c r="AJ691" i="1" s="1"/>
  <c r="AK663" i="1"/>
  <c r="AK667" i="1" s="1"/>
  <c r="AI716" i="1"/>
  <c r="AO663" i="1"/>
  <c r="BV36" i="9"/>
  <c r="BV402" i="1"/>
  <c r="BV61" i="9" s="1"/>
  <c r="AP703" i="1"/>
  <c r="AP705" i="1" s="1"/>
  <c r="AP706" i="1"/>
  <c r="AP124" i="1"/>
  <c r="AP119" i="1"/>
  <c r="AF624" i="1"/>
  <c r="AF623" i="1"/>
  <c r="AN631" i="1"/>
  <c r="AN634" i="1"/>
  <c r="AN632" i="1"/>
  <c r="AN712" i="1"/>
  <c r="AN713" i="1" s="1"/>
  <c r="AN715" i="1"/>
  <c r="AJ667" i="1"/>
  <c r="AN617" i="1"/>
  <c r="AN614" i="1"/>
  <c r="AN620" i="1"/>
  <c r="AO620" i="1" s="1"/>
  <c r="AN615" i="1"/>
  <c r="AK615" i="1"/>
  <c r="AK617" i="1"/>
  <c r="AK620" i="1"/>
  <c r="AK614" i="1"/>
  <c r="AY569" i="1"/>
  <c r="AY564" i="1"/>
  <c r="AK169" i="1"/>
  <c r="AK172" i="1"/>
  <c r="AK174" i="1"/>
  <c r="AT1350" i="1"/>
  <c r="AT711" i="1" s="1"/>
  <c r="AT1342" i="1"/>
  <c r="AT1344" i="1"/>
  <c r="AT1349" i="1"/>
  <c r="AT710" i="1" s="1"/>
  <c r="AT714" i="1" s="1"/>
  <c r="AT1343" i="1"/>
  <c r="AT1346" i="1"/>
  <c r="AT701" i="1" s="1"/>
  <c r="AT1340" i="1"/>
  <c r="AT628" i="1" s="1"/>
  <c r="AT1338" i="1"/>
  <c r="AT1351" i="1"/>
  <c r="AT1345" i="1"/>
  <c r="AT1341" i="1"/>
  <c r="AT629" i="1" s="1"/>
  <c r="AT1348" i="1"/>
  <c r="AT1347" i="1"/>
  <c r="AT702" i="1" s="1"/>
  <c r="AI697" i="1"/>
  <c r="AJ697" i="1"/>
  <c r="AJ651" i="1"/>
  <c r="AJ696" i="1"/>
  <c r="AI696" i="1"/>
  <c r="AR706" i="1"/>
  <c r="AR703" i="1"/>
  <c r="AR705" i="1" s="1"/>
  <c r="AO664" i="1"/>
  <c r="AK716" i="1"/>
  <c r="AF688" i="1"/>
  <c r="BW17" i="1"/>
  <c r="BW29" i="9" s="1"/>
  <c r="BW19" i="1"/>
  <c r="BW31" i="9" s="1"/>
  <c r="AK8" i="1"/>
  <c r="AK12" i="1"/>
  <c r="AF615" i="1"/>
  <c r="AQ704" i="1"/>
  <c r="AQ707" i="1"/>
  <c r="AQ705" i="1"/>
  <c r="AS1326" i="1"/>
  <c r="AS1328" i="1"/>
  <c r="AS673" i="1" s="1"/>
  <c r="AS1333" i="1"/>
  <c r="AS1329" i="1"/>
  <c r="AS674" i="1" s="1"/>
  <c r="AS1327" i="1"/>
  <c r="AS1331" i="1"/>
  <c r="AS685" i="1" s="1"/>
  <c r="AS1323" i="1"/>
  <c r="AS612" i="1" s="1"/>
  <c r="AS1325" i="1"/>
  <c r="AS1324" i="1"/>
  <c r="AS1322" i="1"/>
  <c r="AS611" i="1" s="1"/>
  <c r="AS1332" i="1"/>
  <c r="AS686" i="1" s="1"/>
  <c r="AS1330" i="1"/>
  <c r="AF464" i="1"/>
  <c r="AF30" i="1" s="1"/>
  <c r="AF599" i="1"/>
  <c r="N275" i="10"/>
  <c r="N244" i="10"/>
  <c r="N252" i="10"/>
  <c r="N272" i="10"/>
  <c r="N250" i="10"/>
  <c r="N260" i="10"/>
  <c r="N245" i="10"/>
  <c r="N251" i="10"/>
  <c r="N249" i="10"/>
  <c r="N261" i="10"/>
  <c r="N248" i="10"/>
  <c r="N257" i="10"/>
  <c r="N240" i="10"/>
  <c r="N270" i="10"/>
  <c r="N253" i="10"/>
  <c r="N267" i="10"/>
  <c r="N239" i="10"/>
  <c r="N242" i="10"/>
  <c r="N259" i="10"/>
  <c r="N238" i="10"/>
  <c r="N262" i="10"/>
  <c r="N306" i="10"/>
  <c r="N241" i="10"/>
  <c r="N271" i="10"/>
  <c r="N258" i="10"/>
  <c r="N256" i="10"/>
  <c r="N276" i="10"/>
  <c r="N254" i="10"/>
  <c r="N269" i="10"/>
  <c r="N247" i="10"/>
  <c r="N243" i="10"/>
  <c r="AO713" i="1" l="1"/>
  <c r="BW1264" i="1"/>
  <c r="AK175" i="1"/>
  <c r="P271" i="10"/>
  <c r="Q271" i="10"/>
  <c r="Q306" i="10"/>
  <c r="P306" i="10"/>
  <c r="P250" i="10"/>
  <c r="Q250" i="10"/>
  <c r="P245" i="10"/>
  <c r="Q245" i="10"/>
  <c r="Q252" i="10"/>
  <c r="P252" i="10"/>
  <c r="P275" i="10"/>
  <c r="Q275" i="10"/>
  <c r="Q238" i="10"/>
  <c r="P238" i="10"/>
  <c r="Q242" i="10"/>
  <c r="P242" i="10"/>
  <c r="P257" i="10"/>
  <c r="Q257" i="10"/>
  <c r="P261" i="10"/>
  <c r="Q261" i="10"/>
  <c r="Q267" i="10"/>
  <c r="P267" i="10"/>
  <c r="P247" i="10"/>
  <c r="Q247" i="10"/>
  <c r="P270" i="10"/>
  <c r="Q270" i="10"/>
  <c r="P276" i="10"/>
  <c r="Q276" i="10"/>
  <c r="P251" i="10"/>
  <c r="Q251" i="10"/>
  <c r="Q258" i="10"/>
  <c r="P258" i="10"/>
  <c r="P272" i="10"/>
  <c r="Q272" i="10"/>
  <c r="P262" i="10"/>
  <c r="Q262" i="10"/>
  <c r="Q241" i="10"/>
  <c r="P241" i="10"/>
  <c r="Q260" i="10"/>
  <c r="P260" i="10"/>
  <c r="Q244" i="10"/>
  <c r="P244" i="10"/>
  <c r="Q254" i="10"/>
  <c r="P254" i="10"/>
  <c r="Q259" i="10"/>
  <c r="P259" i="10"/>
  <c r="P239" i="10"/>
  <c r="Q239" i="10"/>
  <c r="Q243" i="10"/>
  <c r="P243" i="10"/>
  <c r="P249" i="10"/>
  <c r="Q249" i="10"/>
  <c r="P253" i="10"/>
  <c r="Q253" i="10"/>
  <c r="Q269" i="10"/>
  <c r="P269" i="10"/>
  <c r="Q240" i="10"/>
  <c r="P240" i="10"/>
  <c r="Q248" i="10"/>
  <c r="P248" i="10"/>
  <c r="Q256" i="10"/>
  <c r="P256" i="10"/>
  <c r="CD5" i="9"/>
  <c r="CD6" i="9" s="1"/>
  <c r="CD1008" i="1"/>
  <c r="CD999" i="1" s="1"/>
  <c r="AT614" i="1"/>
  <c r="AT617" i="1"/>
  <c r="AT676" i="1"/>
  <c r="AT679" i="1"/>
  <c r="BW212" i="1"/>
  <c r="BX212" i="1" s="1"/>
  <c r="BW228" i="1"/>
  <c r="BW223" i="1"/>
  <c r="BW233" i="1"/>
  <c r="BX209" i="1"/>
  <c r="AH681" i="1"/>
  <c r="AH675" i="1"/>
  <c r="AH678" i="1"/>
  <c r="AS564" i="1"/>
  <c r="AS569" i="1"/>
  <c r="AW633" i="1"/>
  <c r="AW630" i="1"/>
  <c r="AP647" i="1"/>
  <c r="AP651" i="1" s="1"/>
  <c r="AN680" i="1"/>
  <c r="AN683" i="1"/>
  <c r="S1091" i="1"/>
  <c r="R1092" i="1"/>
  <c r="R1269" i="1" s="1"/>
  <c r="AG621" i="1"/>
  <c r="AG618" i="1"/>
  <c r="AH593" i="1"/>
  <c r="AH597" i="1" s="1"/>
  <c r="AT665" i="1"/>
  <c r="AQ716" i="1"/>
  <c r="AS712" i="1"/>
  <c r="AS713" i="1"/>
  <c r="AS715" i="1"/>
  <c r="AS633" i="1"/>
  <c r="AS630" i="1"/>
  <c r="BI2" i="9"/>
  <c r="BC1339" i="1"/>
  <c r="BD1339" i="1"/>
  <c r="BI5" i="11"/>
  <c r="BI5" i="13"/>
  <c r="BE1339" i="1"/>
  <c r="BG1339" i="1"/>
  <c r="BF1339" i="1"/>
  <c r="BG700" i="1"/>
  <c r="BF700" i="1"/>
  <c r="BG627" i="1"/>
  <c r="BD700" i="1"/>
  <c r="BE627" i="1"/>
  <c r="BF627" i="1"/>
  <c r="BC700" i="1"/>
  <c r="BC627" i="1"/>
  <c r="BE700" i="1"/>
  <c r="BN5" i="1"/>
  <c r="BD627" i="1"/>
  <c r="BJ5" i="1"/>
  <c r="BA1349" i="1"/>
  <c r="BA710" i="1" s="1"/>
  <c r="BA714" i="1" s="1"/>
  <c r="BA1341" i="1"/>
  <c r="BA629" i="1" s="1"/>
  <c r="BA1351" i="1"/>
  <c r="BA1343" i="1"/>
  <c r="BA1348" i="1"/>
  <c r="BA1344" i="1"/>
  <c r="BA1342" i="1"/>
  <c r="BA1346" i="1"/>
  <c r="BA701" i="1" s="1"/>
  <c r="BA1350" i="1"/>
  <c r="BA711" i="1" s="1"/>
  <c r="BA1340" i="1"/>
  <c r="BA628" i="1" s="1"/>
  <c r="BA1347" i="1"/>
  <c r="BA702" i="1" s="1"/>
  <c r="BA1345" i="1"/>
  <c r="BA1338" i="1"/>
  <c r="AK680" i="1"/>
  <c r="AK683" i="1"/>
  <c r="AL647" i="1"/>
  <c r="AL651" i="1" s="1"/>
  <c r="BV1247" i="1"/>
  <c r="AW2" i="9"/>
  <c r="AW5" i="11"/>
  <c r="AW5" i="13"/>
  <c r="AV1321" i="1"/>
  <c r="AV672" i="1"/>
  <c r="AV610" i="1"/>
  <c r="AX5" i="1"/>
  <c r="AO145" i="1"/>
  <c r="AO47" i="1"/>
  <c r="AV704" i="1"/>
  <c r="AV707" i="1"/>
  <c r="BJ537" i="1"/>
  <c r="BJ541" i="1" s="1"/>
  <c r="BN537" i="1"/>
  <c r="BN541" i="1" s="1"/>
  <c r="BI554" i="1"/>
  <c r="BI562" i="1" s="1"/>
  <c r="AR708" i="1"/>
  <c r="AT650" i="1"/>
  <c r="AW712" i="1"/>
  <c r="AW713" i="1" s="1"/>
  <c r="AW715" i="1"/>
  <c r="AY1332" i="1"/>
  <c r="AY686" i="1" s="1"/>
  <c r="AY1324" i="1"/>
  <c r="AY1326" i="1"/>
  <c r="AY1330" i="1"/>
  <c r="AY1333" i="1"/>
  <c r="AY1327" i="1"/>
  <c r="AY1322" i="1"/>
  <c r="AY611" i="1" s="1"/>
  <c r="AY1329" i="1"/>
  <c r="AY674" i="1" s="1"/>
  <c r="AY1325" i="1"/>
  <c r="AY1331" i="1"/>
  <c r="AY685" i="1" s="1"/>
  <c r="AY1323" i="1"/>
  <c r="AY612" i="1" s="1"/>
  <c r="AY1328" i="1"/>
  <c r="AY673" i="1" s="1"/>
  <c r="AG1158" i="1"/>
  <c r="AG1159" i="1" s="1"/>
  <c r="AF1164" i="1"/>
  <c r="AH642" i="1"/>
  <c r="AH644" i="1" s="1"/>
  <c r="AO621" i="1"/>
  <c r="AO618" i="1"/>
  <c r="AH663" i="1"/>
  <c r="AH667" i="1" s="1"/>
  <c r="AG694" i="1"/>
  <c r="AG691" i="1"/>
  <c r="AS703" i="1"/>
  <c r="AS706" i="1"/>
  <c r="AL678" i="1"/>
  <c r="AL681" i="1"/>
  <c r="AL675" i="1"/>
  <c r="AP593" i="1"/>
  <c r="AP597" i="1" s="1"/>
  <c r="AN621" i="1"/>
  <c r="AN618" i="1"/>
  <c r="AM624" i="1"/>
  <c r="AM623" i="1"/>
  <c r="AP619" i="1"/>
  <c r="AP616" i="1"/>
  <c r="AP613" i="1"/>
  <c r="AP615" i="1" s="1"/>
  <c r="AH617" i="1"/>
  <c r="AH620" i="1"/>
  <c r="AH614" i="1"/>
  <c r="AL624" i="1"/>
  <c r="AL623" i="1"/>
  <c r="BW33" i="1"/>
  <c r="BW20" i="9" s="1"/>
  <c r="BW31" i="1"/>
  <c r="AW707" i="1"/>
  <c r="AW704" i="1"/>
  <c r="AU706" i="1"/>
  <c r="AU703" i="1"/>
  <c r="AO680" i="1"/>
  <c r="AO683" i="1"/>
  <c r="AL616" i="1"/>
  <c r="AL619" i="1"/>
  <c r="AL613" i="1"/>
  <c r="AL615" i="1"/>
  <c r="AL620" i="1"/>
  <c r="AL614" i="1"/>
  <c r="AL617" i="1"/>
  <c r="BE2" i="9"/>
  <c r="BE5" i="13"/>
  <c r="BC1321" i="1"/>
  <c r="BE5" i="11"/>
  <c r="BD1321" i="1"/>
  <c r="BD610" i="1"/>
  <c r="BD672" i="1"/>
  <c r="BC610" i="1"/>
  <c r="BF5" i="1"/>
  <c r="BC672" i="1"/>
  <c r="AO405" i="1"/>
  <c r="AO669" i="1"/>
  <c r="AO150" i="1"/>
  <c r="AO155" i="1" s="1"/>
  <c r="AV630" i="1"/>
  <c r="AV633" i="1"/>
  <c r="AV706" i="1"/>
  <c r="AV703" i="1"/>
  <c r="BX23" i="1"/>
  <c r="BX18" i="9" s="1"/>
  <c r="BX28" i="1"/>
  <c r="BX33" i="1" s="1"/>
  <c r="BX20" i="9" s="1"/>
  <c r="AF654" i="1"/>
  <c r="AF657" i="1"/>
  <c r="CE75" i="9"/>
  <c r="CE1274" i="1"/>
  <c r="CE1150" i="1"/>
  <c r="AM642" i="1"/>
  <c r="J47" i="9"/>
  <c r="J505" i="1"/>
  <c r="J500" i="1"/>
  <c r="J497" i="1"/>
  <c r="J1260" i="1"/>
  <c r="AP614" i="1"/>
  <c r="AP620" i="1"/>
  <c r="AP617" i="1"/>
  <c r="AS676" i="1"/>
  <c r="AS682" i="1"/>
  <c r="AT682" i="1" s="1"/>
  <c r="AS679" i="1"/>
  <c r="AK13" i="1"/>
  <c r="AO12" i="1"/>
  <c r="AO14" i="1" s="1"/>
  <c r="AK14" i="1"/>
  <c r="AL13" i="1"/>
  <c r="AS675" i="1"/>
  <c r="AS677" i="1" s="1"/>
  <c r="AS678" i="1"/>
  <c r="AS681" i="1"/>
  <c r="AT681" i="1" s="1"/>
  <c r="AT687" i="1"/>
  <c r="AT688" i="1" s="1"/>
  <c r="AH689" i="1"/>
  <c r="AH692" i="1"/>
  <c r="AL642" i="1"/>
  <c r="AL644" i="1" s="1"/>
  <c r="AK644" i="1"/>
  <c r="AW703" i="1"/>
  <c r="AW705" i="1" s="1"/>
  <c r="AW706" i="1"/>
  <c r="AK659" i="1"/>
  <c r="AK656" i="1"/>
  <c r="AK473" i="1"/>
  <c r="AK653" i="1"/>
  <c r="AZ1321" i="1"/>
  <c r="BA5" i="13"/>
  <c r="BA2" i="9"/>
  <c r="BA5" i="11"/>
  <c r="AZ672" i="1"/>
  <c r="AZ610" i="1"/>
  <c r="BB5" i="1"/>
  <c r="AX1331" i="1"/>
  <c r="AX685" i="1" s="1"/>
  <c r="AX1323" i="1"/>
  <c r="AX612" i="1" s="1"/>
  <c r="AX1333" i="1"/>
  <c r="AX1325" i="1"/>
  <c r="AX1328" i="1"/>
  <c r="AX673" i="1" s="1"/>
  <c r="AX1326" i="1"/>
  <c r="AX1332" i="1"/>
  <c r="AX686" i="1" s="1"/>
  <c r="AX1324" i="1"/>
  <c r="AX1327" i="1"/>
  <c r="AX1330" i="1"/>
  <c r="AX1329" i="1"/>
  <c r="AX674" i="1" s="1"/>
  <c r="AX1322" i="1"/>
  <c r="AX611" i="1" s="1"/>
  <c r="AP716" i="1"/>
  <c r="AT664" i="1"/>
  <c r="AS632" i="1"/>
  <c r="AS631" i="1"/>
  <c r="AS634" i="1"/>
  <c r="AL677" i="1"/>
  <c r="AL676" i="1"/>
  <c r="AL679" i="1"/>
  <c r="AL682" i="1"/>
  <c r="AR716" i="1"/>
  <c r="AT666" i="1"/>
  <c r="AT667" i="1" s="1"/>
  <c r="AO169" i="1"/>
  <c r="AO172" i="1"/>
  <c r="AO170" i="1"/>
  <c r="AO174" i="1"/>
  <c r="AK618" i="1"/>
  <c r="AL593" i="1"/>
  <c r="AL597" i="1" s="1"/>
  <c r="AK621" i="1"/>
  <c r="AO624" i="1"/>
  <c r="AO597" i="1"/>
  <c r="AN624" i="1"/>
  <c r="AN623" i="1"/>
  <c r="AO623" i="1"/>
  <c r="AU1328" i="1"/>
  <c r="AU673" i="1" s="1"/>
  <c r="AU1330" i="1"/>
  <c r="AU1322" i="1"/>
  <c r="AU611" i="1" s="1"/>
  <c r="AU1325" i="1"/>
  <c r="AU1323" i="1"/>
  <c r="AU612" i="1" s="1"/>
  <c r="AU1332" i="1"/>
  <c r="AU686" i="1" s="1"/>
  <c r="AU1326" i="1"/>
  <c r="AU1333" i="1"/>
  <c r="AU1329" i="1"/>
  <c r="AU674" i="1" s="1"/>
  <c r="AU1327" i="1"/>
  <c r="AU1331" i="1"/>
  <c r="AU685" i="1" s="1"/>
  <c r="AU1324" i="1"/>
  <c r="BX205" i="1"/>
  <c r="BX202" i="1"/>
  <c r="BX201" i="1"/>
  <c r="BX203" i="1"/>
  <c r="BX200" i="1"/>
  <c r="CF518" i="1"/>
  <c r="CF510" i="1" s="1"/>
  <c r="CF730" i="1" s="1"/>
  <c r="CE529" i="1"/>
  <c r="CE524" i="1"/>
  <c r="CE526" i="1"/>
  <c r="CF522" i="1"/>
  <c r="AP643" i="1"/>
  <c r="AP639" i="1"/>
  <c r="AP640" i="1"/>
  <c r="AP635" i="1"/>
  <c r="AT594" i="1"/>
  <c r="AP681" i="1"/>
  <c r="AP675" i="1"/>
  <c r="AP678" i="1"/>
  <c r="AP689" i="1"/>
  <c r="AP692" i="1"/>
  <c r="AS687" i="1"/>
  <c r="AS688" i="1" s="1"/>
  <c r="AS693" i="1"/>
  <c r="AT693" i="1" s="1"/>
  <c r="AS690" i="1"/>
  <c r="AT690" i="1" s="1"/>
  <c r="AJ473" i="1"/>
  <c r="AJ653" i="1"/>
  <c r="AJ654" i="1" s="1"/>
  <c r="AT663" i="1"/>
  <c r="AN716" i="1"/>
  <c r="AM1328" i="1"/>
  <c r="AM673" i="1" s="1"/>
  <c r="AM1330" i="1"/>
  <c r="AM1322" i="1"/>
  <c r="AM611" i="1" s="1"/>
  <c r="AM1332" i="1"/>
  <c r="AM686" i="1" s="1"/>
  <c r="AM1326" i="1"/>
  <c r="AM1324" i="1"/>
  <c r="AM1331" i="1"/>
  <c r="AM685" i="1" s="1"/>
  <c r="AM1327" i="1"/>
  <c r="AM1323" i="1"/>
  <c r="AM612" i="1" s="1"/>
  <c r="AM1333" i="1"/>
  <c r="AM1329" i="1"/>
  <c r="AM674" i="1" s="1"/>
  <c r="AM1325" i="1"/>
  <c r="AK691" i="1"/>
  <c r="AK694" i="1"/>
  <c r="AL663" i="1"/>
  <c r="AL667" i="1" s="1"/>
  <c r="AH690" i="1"/>
  <c r="AH693" i="1"/>
  <c r="AH687" i="1"/>
  <c r="AM696" i="1"/>
  <c r="AM697" i="1"/>
  <c r="AP642" i="1"/>
  <c r="AT593" i="1"/>
  <c r="AN635" i="1"/>
  <c r="AG615" i="1"/>
  <c r="AU633" i="1"/>
  <c r="AU630" i="1"/>
  <c r="AU632" i="1" s="1"/>
  <c r="AL696" i="1"/>
  <c r="AL697" i="1"/>
  <c r="AR640" i="1"/>
  <c r="AR635" i="1"/>
  <c r="AR639" i="1"/>
  <c r="AT596" i="1"/>
  <c r="AR643" i="1"/>
  <c r="AR713" i="1"/>
  <c r="AX1346" i="1"/>
  <c r="AX701" i="1" s="1"/>
  <c r="AX1338" i="1"/>
  <c r="AX1348" i="1"/>
  <c r="AX1340" i="1"/>
  <c r="AX628" i="1" s="1"/>
  <c r="AX1350" i="1"/>
  <c r="AX711" i="1" s="1"/>
  <c r="AX1345" i="1"/>
  <c r="AX1344" i="1"/>
  <c r="AX1341" i="1"/>
  <c r="AX629" i="1" s="1"/>
  <c r="AX1343" i="1"/>
  <c r="AX1342" i="1"/>
  <c r="AX1351" i="1"/>
  <c r="AX1347" i="1"/>
  <c r="AX702" i="1" s="1"/>
  <c r="AX1349" i="1"/>
  <c r="AX710" i="1" s="1"/>
  <c r="AX714" i="1" s="1"/>
  <c r="AQ640" i="1"/>
  <c r="AQ635" i="1"/>
  <c r="AQ643" i="1"/>
  <c r="AT595" i="1"/>
  <c r="AQ639" i="1"/>
  <c r="AO171" i="1"/>
  <c r="AO175" i="1" s="1"/>
  <c r="AP56" i="1"/>
  <c r="AP51" i="1"/>
  <c r="AK677" i="1"/>
  <c r="BX204" i="1"/>
  <c r="BX206" i="1" s="1"/>
  <c r="AP690" i="1"/>
  <c r="AP693" i="1"/>
  <c r="AP687" i="1"/>
  <c r="AP688" i="1" s="1"/>
  <c r="AT634" i="1"/>
  <c r="AT631" i="1"/>
  <c r="AT119" i="1"/>
  <c r="AP166" i="1"/>
  <c r="AS616" i="1"/>
  <c r="AS613" i="1"/>
  <c r="AS615" i="1" s="1"/>
  <c r="AS619" i="1"/>
  <c r="AT619" i="1" s="1"/>
  <c r="AT715" i="1"/>
  <c r="AT712" i="1"/>
  <c r="AT716" i="1" s="1"/>
  <c r="AP126" i="1"/>
  <c r="AP125" i="1"/>
  <c r="AT124" i="1"/>
  <c r="AT126" i="1" s="1"/>
  <c r="AQ125" i="1"/>
  <c r="AK405" i="1"/>
  <c r="AK669" i="1"/>
  <c r="AO696" i="1"/>
  <c r="AN696" i="1"/>
  <c r="AO651" i="1"/>
  <c r="AO697" i="1"/>
  <c r="AN697" i="1"/>
  <c r="AT633" i="1"/>
  <c r="AT630" i="1"/>
  <c r="AT635" i="1" s="1"/>
  <c r="AT648" i="1"/>
  <c r="AP708" i="1"/>
  <c r="AT678" i="1"/>
  <c r="AT675" i="1"/>
  <c r="Y1158" i="1"/>
  <c r="Y1159" i="1" s="1"/>
  <c r="X1164" i="1"/>
  <c r="AT164" i="1"/>
  <c r="AT80" i="1"/>
  <c r="AH682" i="1"/>
  <c r="AH679" i="1"/>
  <c r="AH677" i="1"/>
  <c r="AH676" i="1"/>
  <c r="AK624" i="1"/>
  <c r="AK623" i="1"/>
  <c r="T1164" i="1"/>
  <c r="AU712" i="1"/>
  <c r="AU713" i="1" s="1"/>
  <c r="AU715" i="1"/>
  <c r="AP713" i="1"/>
  <c r="AL689" i="1"/>
  <c r="AL692" i="1"/>
  <c r="AZ1348" i="1"/>
  <c r="AZ1340" i="1"/>
  <c r="AZ628" i="1" s="1"/>
  <c r="AZ1350" i="1"/>
  <c r="AZ711" i="1" s="1"/>
  <c r="AZ1342" i="1"/>
  <c r="AZ1344" i="1"/>
  <c r="AZ1349" i="1"/>
  <c r="AZ710" i="1" s="1"/>
  <c r="AZ714" i="1" s="1"/>
  <c r="AZ1338" i="1"/>
  <c r="AZ1345" i="1"/>
  <c r="AZ1343" i="1"/>
  <c r="AZ1351" i="1"/>
  <c r="AZ1347" i="1"/>
  <c r="AZ702" i="1" s="1"/>
  <c r="AZ1346" i="1"/>
  <c r="AZ701" i="1" s="1"/>
  <c r="AZ1341" i="1"/>
  <c r="AZ629" i="1" s="1"/>
  <c r="AV564" i="1"/>
  <c r="AV569" i="1"/>
  <c r="AZ564" i="1"/>
  <c r="AZ569" i="1"/>
  <c r="AN708" i="1"/>
  <c r="AT647" i="1"/>
  <c r="AM644" i="1"/>
  <c r="P1" i="9"/>
  <c r="P1397" i="1"/>
  <c r="P515" i="1"/>
  <c r="P3" i="1"/>
  <c r="Q4" i="1"/>
  <c r="P4" i="11"/>
  <c r="P4" i="13"/>
  <c r="AP682" i="1"/>
  <c r="AP676" i="1"/>
  <c r="AP679" i="1"/>
  <c r="AP677" i="1"/>
  <c r="AP663" i="1"/>
  <c r="AP667" i="1" s="1"/>
  <c r="AN694" i="1"/>
  <c r="AO694" i="1" s="1"/>
  <c r="AN691" i="1"/>
  <c r="AO691" i="1" s="1"/>
  <c r="AS2" i="9"/>
  <c r="AR1321" i="1"/>
  <c r="AS5" i="11"/>
  <c r="AS5" i="13"/>
  <c r="AR610" i="1"/>
  <c r="AR672" i="1"/>
  <c r="AS617" i="1"/>
  <c r="AS620" i="1"/>
  <c r="AT620" i="1" s="1"/>
  <c r="AS614" i="1"/>
  <c r="AT703" i="1"/>
  <c r="AT708" i="1" s="1"/>
  <c r="AT706" i="1"/>
  <c r="AB1164" i="1"/>
  <c r="AC1158" i="1"/>
  <c r="AC1159" i="1" s="1"/>
  <c r="AH619" i="1"/>
  <c r="AH616" i="1"/>
  <c r="AH613" i="1"/>
  <c r="AH615" i="1" s="1"/>
  <c r="AG405" i="1"/>
  <c r="AG669" i="1"/>
  <c r="AW632" i="1"/>
  <c r="AW634" i="1"/>
  <c r="AW631" i="1"/>
  <c r="AR632" i="1"/>
  <c r="AU634" i="1"/>
  <c r="AU631" i="1"/>
  <c r="AS705" i="1"/>
  <c r="AS704" i="1"/>
  <c r="AS707" i="1"/>
  <c r="AQ708" i="1"/>
  <c r="AT649" i="1"/>
  <c r="AL693" i="1"/>
  <c r="AL690" i="1"/>
  <c r="AL687" i="1"/>
  <c r="AL688" i="1" s="1"/>
  <c r="AY1347" i="1"/>
  <c r="AY702" i="1" s="1"/>
  <c r="AY1349" i="1"/>
  <c r="AY710" i="1" s="1"/>
  <c r="AY714" i="1" s="1"/>
  <c r="AY1341" i="1"/>
  <c r="AY629" i="1" s="1"/>
  <c r="AY1348" i="1"/>
  <c r="AY1342" i="1"/>
  <c r="AY1351" i="1"/>
  <c r="AY1346" i="1"/>
  <c r="AY701" i="1" s="1"/>
  <c r="AY1340" i="1"/>
  <c r="AY628" i="1" s="1"/>
  <c r="AY1345" i="1"/>
  <c r="AY1344" i="1"/>
  <c r="AY1338" i="1"/>
  <c r="AY1350" i="1"/>
  <c r="AY711" i="1" s="1"/>
  <c r="AY1343" i="1"/>
  <c r="AX537" i="1"/>
  <c r="AX541" i="1" s="1"/>
  <c r="AX554" i="1" s="1"/>
  <c r="AX562" i="1" s="1"/>
  <c r="AW554" i="1"/>
  <c r="AW562" i="1" s="1"/>
  <c r="BC537" i="1"/>
  <c r="BC541" i="1" s="1"/>
  <c r="BC554" i="1" s="1"/>
  <c r="BC562" i="1" s="1"/>
  <c r="BB554" i="1"/>
  <c r="BB562" i="1" s="1"/>
  <c r="AN677" i="1"/>
  <c r="AV631" i="1"/>
  <c r="AV632" i="1"/>
  <c r="AV634" i="1"/>
  <c r="BD564" i="1"/>
  <c r="BD569" i="1"/>
  <c r="O1181" i="1"/>
  <c r="O3" i="11"/>
  <c r="O3" i="13"/>
  <c r="AJ605" i="1"/>
  <c r="AJ464" i="1"/>
  <c r="AJ30" i="1" s="1"/>
  <c r="AJ599" i="1"/>
  <c r="AP99" i="1"/>
  <c r="AP104" i="1"/>
  <c r="AJ405" i="1"/>
  <c r="AJ669" i="1"/>
  <c r="AF637" i="1"/>
  <c r="AF638" i="1" s="1"/>
  <c r="AF600" i="1"/>
  <c r="AS689" i="1"/>
  <c r="AT689" i="1" s="1"/>
  <c r="AS692" i="1"/>
  <c r="AT692" i="1" s="1"/>
  <c r="AT707" i="1"/>
  <c r="AT704" i="1"/>
  <c r="AT613" i="1"/>
  <c r="AT616" i="1"/>
  <c r="BW34" i="9"/>
  <c r="BW1233" i="1"/>
  <c r="BW1206" i="1"/>
  <c r="BW1227" i="1"/>
  <c r="BW737" i="1"/>
  <c r="BW598" i="1"/>
  <c r="BX462" i="1"/>
  <c r="BX1264" i="1" s="1"/>
  <c r="AQ1332" i="1"/>
  <c r="AQ686" i="1" s="1"/>
  <c r="AQ1324" i="1"/>
  <c r="AQ1326" i="1"/>
  <c r="AQ1333" i="1"/>
  <c r="AQ1327" i="1"/>
  <c r="AQ1322" i="1"/>
  <c r="AQ611" i="1" s="1"/>
  <c r="AQ1331" i="1"/>
  <c r="AQ685" i="1" s="1"/>
  <c r="AQ1325" i="1"/>
  <c r="AQ1328" i="1"/>
  <c r="AQ673" i="1" s="1"/>
  <c r="AQ1323" i="1"/>
  <c r="AQ612" i="1" s="1"/>
  <c r="AQ1330" i="1"/>
  <c r="AQ1329" i="1"/>
  <c r="AQ674" i="1" s="1"/>
  <c r="AR564" i="1"/>
  <c r="AR569" i="1"/>
  <c r="AG656" i="1"/>
  <c r="AG473" i="1"/>
  <c r="AG653" i="1"/>
  <c r="AU705" i="1"/>
  <c r="AU707" i="1"/>
  <c r="AU704" i="1"/>
  <c r="AO1158" i="1"/>
  <c r="AO1159" i="1" s="1"/>
  <c r="AJ1164" i="1"/>
  <c r="AK1158" i="1"/>
  <c r="AK1159" i="1" s="1"/>
  <c r="AQ713" i="1"/>
  <c r="AG683" i="1"/>
  <c r="AH647" i="1"/>
  <c r="AH651" i="1" s="1"/>
  <c r="AG680" i="1"/>
  <c r="AK696" i="1"/>
  <c r="AK697" i="1"/>
  <c r="BB1350" i="1"/>
  <c r="BB711" i="1" s="1"/>
  <c r="BB1342" i="1"/>
  <c r="BB1344" i="1"/>
  <c r="BB1346" i="1"/>
  <c r="BB701" i="1" s="1"/>
  <c r="BB1351" i="1"/>
  <c r="BB1340" i="1"/>
  <c r="BB628" i="1" s="1"/>
  <c r="BB1338" i="1"/>
  <c r="BB1343" i="1"/>
  <c r="BB1348" i="1"/>
  <c r="BB1347" i="1"/>
  <c r="BB702" i="1" s="1"/>
  <c r="BB1349" i="1"/>
  <c r="BB710" i="1" s="1"/>
  <c r="BB714" i="1" s="1"/>
  <c r="BB1345" i="1"/>
  <c r="BB1341" i="1"/>
  <c r="BB629" i="1" s="1"/>
  <c r="AO615" i="1"/>
  <c r="AV715" i="1"/>
  <c r="AV712" i="1"/>
  <c r="BF537" i="1"/>
  <c r="BF541" i="1" s="1"/>
  <c r="BE554" i="1"/>
  <c r="BE562" i="1" s="1"/>
  <c r="AK605" i="1"/>
  <c r="AK602" i="1"/>
  <c r="AK464" i="1"/>
  <c r="AK30" i="1" s="1"/>
  <c r="AK599" i="1"/>
  <c r="AG464" i="1"/>
  <c r="AG30" i="1" s="1"/>
  <c r="AG599" i="1"/>
  <c r="AO157" i="1"/>
  <c r="N203" i="10"/>
  <c r="N199" i="10"/>
  <c r="N207" i="10"/>
  <c r="N208" i="10"/>
  <c r="N230" i="10"/>
  <c r="N223" i="10"/>
  <c r="N236" i="10"/>
  <c r="N202" i="10"/>
  <c r="N235" i="10"/>
  <c r="N232" i="10"/>
  <c r="N265" i="10"/>
  <c r="N211" i="10"/>
  <c r="N197" i="10"/>
  <c r="N212" i="10"/>
  <c r="N201" i="10"/>
  <c r="N198" i="10"/>
  <c r="N196" i="10"/>
  <c r="N200" i="10"/>
  <c r="N221" i="10"/>
  <c r="N210" i="10"/>
  <c r="N214" i="10"/>
  <c r="N231" i="10"/>
  <c r="N220" i="10"/>
  <c r="N218" i="10"/>
  <c r="N209" i="10"/>
  <c r="N222" i="10"/>
  <c r="N213" i="10"/>
  <c r="N227" i="10"/>
  <c r="N229" i="10"/>
  <c r="N224" i="10"/>
  <c r="N219" i="10"/>
  <c r="AT632" i="1" l="1"/>
  <c r="Q223" i="10"/>
  <c r="P223" i="10"/>
  <c r="Q208" i="10"/>
  <c r="P208" i="10"/>
  <c r="Q199" i="10"/>
  <c r="P199" i="10"/>
  <c r="Q229" i="10"/>
  <c r="P229" i="10"/>
  <c r="P219" i="10"/>
  <c r="Q219" i="10"/>
  <c r="Q213" i="10"/>
  <c r="P213" i="10"/>
  <c r="P209" i="10"/>
  <c r="Q209" i="10"/>
  <c r="Q220" i="10"/>
  <c r="P220" i="10"/>
  <c r="Q214" i="10"/>
  <c r="P214" i="10"/>
  <c r="Q221" i="10"/>
  <c r="P221" i="10"/>
  <c r="Q196" i="10"/>
  <c r="P196" i="10"/>
  <c r="P232" i="10"/>
  <c r="Q232" i="10"/>
  <c r="P211" i="10"/>
  <c r="Q211" i="10"/>
  <c r="Q201" i="10"/>
  <c r="P201" i="10"/>
  <c r="Q197" i="10"/>
  <c r="P197" i="10"/>
  <c r="P236" i="10"/>
  <c r="Q236" i="10"/>
  <c r="P230" i="10"/>
  <c r="Q230" i="10"/>
  <c r="P207" i="10"/>
  <c r="Q207" i="10"/>
  <c r="P203" i="10"/>
  <c r="Q203" i="10"/>
  <c r="Q227" i="10"/>
  <c r="P227" i="10"/>
  <c r="P224" i="10"/>
  <c r="Q224" i="10"/>
  <c r="Q222" i="10"/>
  <c r="P222" i="10"/>
  <c r="Q218" i="10"/>
  <c r="P218" i="10"/>
  <c r="P231" i="10"/>
  <c r="Q231" i="10"/>
  <c r="P210" i="10"/>
  <c r="Q210" i="10"/>
  <c r="P200" i="10"/>
  <c r="Q200" i="10"/>
  <c r="Q198" i="10"/>
  <c r="P198" i="10"/>
  <c r="P235" i="10"/>
  <c r="Q235" i="10"/>
  <c r="Q265" i="10"/>
  <c r="P265" i="10"/>
  <c r="Q212" i="10"/>
  <c r="P212" i="10"/>
  <c r="Q202" i="10"/>
  <c r="P202" i="10"/>
  <c r="BB715" i="1"/>
  <c r="BB712" i="1"/>
  <c r="AL1158" i="1"/>
  <c r="AL1159" i="1" s="1"/>
  <c r="AK1164" i="1"/>
  <c r="AY715" i="1"/>
  <c r="AY712" i="1"/>
  <c r="AY716" i="1" s="1"/>
  <c r="AZ634" i="1"/>
  <c r="AZ631" i="1"/>
  <c r="AX715" i="1"/>
  <c r="AX712" i="1"/>
  <c r="AI663" i="1"/>
  <c r="AI667" i="1" s="1"/>
  <c r="AH691" i="1"/>
  <c r="AH694" i="1"/>
  <c r="AM682" i="1"/>
  <c r="AM679" i="1"/>
  <c r="AM676" i="1"/>
  <c r="AM619" i="1"/>
  <c r="AM613" i="1"/>
  <c r="AM616" i="1"/>
  <c r="AQ623" i="1"/>
  <c r="AQ624" i="1"/>
  <c r="CF75" i="9"/>
  <c r="CF1150" i="1"/>
  <c r="CF1274" i="1"/>
  <c r="AU687" i="1"/>
  <c r="AU690" i="1"/>
  <c r="AU693" i="1"/>
  <c r="AX620" i="1"/>
  <c r="AY620" i="1" s="1"/>
  <c r="AX617" i="1"/>
  <c r="AX614" i="1"/>
  <c r="AZ1333" i="1"/>
  <c r="AZ1325" i="1"/>
  <c r="AZ1327" i="1"/>
  <c r="AZ1332" i="1"/>
  <c r="AZ686" i="1" s="1"/>
  <c r="AZ1330" i="1"/>
  <c r="AZ1329" i="1"/>
  <c r="AZ674" i="1" s="1"/>
  <c r="AZ1331" i="1"/>
  <c r="AZ685" i="1" s="1"/>
  <c r="AZ1324" i="1"/>
  <c r="AZ1323" i="1"/>
  <c r="AZ612" i="1" s="1"/>
  <c r="AZ1322" i="1"/>
  <c r="AZ611" i="1" s="1"/>
  <c r="AZ1328" i="1"/>
  <c r="AZ673" i="1" s="1"/>
  <c r="AZ1326" i="1"/>
  <c r="J138" i="9"/>
  <c r="J103" i="9"/>
  <c r="AG1164" i="1"/>
  <c r="AH1158" i="1"/>
  <c r="AH1159" i="1" s="1"/>
  <c r="AS696" i="1"/>
  <c r="AT697" i="1"/>
  <c r="AS697" i="1"/>
  <c r="AT651" i="1"/>
  <c r="AT696" i="1"/>
  <c r="BA704" i="1"/>
  <c r="BA707" i="1"/>
  <c r="BG1347" i="1"/>
  <c r="BG702" i="1" s="1"/>
  <c r="BG1349" i="1"/>
  <c r="BG710" i="1" s="1"/>
  <c r="BG714" i="1" s="1"/>
  <c r="BG1341" i="1"/>
  <c r="BG629" i="1" s="1"/>
  <c r="BG1350" i="1"/>
  <c r="BG711" i="1" s="1"/>
  <c r="BG1345" i="1"/>
  <c r="BG1348" i="1"/>
  <c r="BG1342" i="1"/>
  <c r="BG1351" i="1"/>
  <c r="BG1344" i="1"/>
  <c r="BG1343" i="1"/>
  <c r="BG1346" i="1"/>
  <c r="BG701" i="1" s="1"/>
  <c r="BG1340" i="1"/>
  <c r="BG628" i="1" s="1"/>
  <c r="AY593" i="1"/>
  <c r="AS635" i="1"/>
  <c r="AU642" i="1"/>
  <c r="AP659" i="1"/>
  <c r="AP656" i="1"/>
  <c r="AP473" i="1"/>
  <c r="AP653" i="1"/>
  <c r="AG637" i="1"/>
  <c r="AG638" i="1" s="1"/>
  <c r="AG600" i="1"/>
  <c r="AY665" i="1"/>
  <c r="AV716" i="1"/>
  <c r="AV713" i="1"/>
  <c r="AY634" i="1"/>
  <c r="AY631" i="1"/>
  <c r="AR696" i="1"/>
  <c r="AR697" i="1"/>
  <c r="AP405" i="1"/>
  <c r="AP669" i="1"/>
  <c r="Q1" i="9"/>
  <c r="Q1397" i="1"/>
  <c r="Q515" i="1"/>
  <c r="Q3" i="1"/>
  <c r="Q1367" i="1" s="1"/>
  <c r="R4" i="1"/>
  <c r="Q4" i="11"/>
  <c r="Q4" i="13"/>
  <c r="AZ706" i="1"/>
  <c r="AZ703" i="1"/>
  <c r="AX704" i="1"/>
  <c r="AX707" i="1"/>
  <c r="AX633" i="1"/>
  <c r="AX630" i="1"/>
  <c r="AU620" i="1"/>
  <c r="AU617" i="1"/>
  <c r="AU614" i="1"/>
  <c r="AO605" i="1"/>
  <c r="AO464" i="1"/>
  <c r="AO30" i="1" s="1"/>
  <c r="AO599" i="1"/>
  <c r="AX689" i="1"/>
  <c r="AY689" i="1" s="1"/>
  <c r="AX692" i="1"/>
  <c r="AY692" i="1" s="1"/>
  <c r="AK657" i="1"/>
  <c r="AK660" i="1"/>
  <c r="AK654" i="1"/>
  <c r="AY648" i="1"/>
  <c r="AU708" i="1"/>
  <c r="AY678" i="1"/>
  <c r="AY675" i="1"/>
  <c r="AO154" i="1"/>
  <c r="BA633" i="1"/>
  <c r="BA630" i="1"/>
  <c r="BA632" i="1" s="1"/>
  <c r="BA631" i="1"/>
  <c r="BA634" i="1"/>
  <c r="BE1345" i="1"/>
  <c r="BE1347" i="1"/>
  <c r="BE702" i="1" s="1"/>
  <c r="BE1343" i="1"/>
  <c r="BE1341" i="1"/>
  <c r="BE629" i="1" s="1"/>
  <c r="BE1350" i="1"/>
  <c r="BE711" i="1" s="1"/>
  <c r="BE1348" i="1"/>
  <c r="BE1351" i="1"/>
  <c r="BE1349" i="1"/>
  <c r="BE710" i="1" s="1"/>
  <c r="BE714" i="1" s="1"/>
  <c r="BE1342" i="1"/>
  <c r="BE1344" i="1"/>
  <c r="BE1340" i="1"/>
  <c r="BE628" i="1" s="1"/>
  <c r="BE1338" i="1"/>
  <c r="BE1346" i="1"/>
  <c r="BE701" i="1" s="1"/>
  <c r="AH464" i="1"/>
  <c r="AH30" i="1" s="1"/>
  <c r="AH602" i="1"/>
  <c r="AH605" i="1"/>
  <c r="AH599" i="1"/>
  <c r="AY596" i="1"/>
  <c r="AW643" i="1"/>
  <c r="AW635" i="1"/>
  <c r="AW640" i="1"/>
  <c r="AW639" i="1"/>
  <c r="AZ704" i="1"/>
  <c r="AZ705" i="1"/>
  <c r="AZ707" i="1"/>
  <c r="AZ715" i="1"/>
  <c r="AZ712" i="1"/>
  <c r="AZ713" i="1" s="1"/>
  <c r="AY664" i="1"/>
  <c r="AU716" i="1"/>
  <c r="AT683" i="1"/>
  <c r="AT680" i="1"/>
  <c r="AO659" i="1"/>
  <c r="AO473" i="1"/>
  <c r="AO653" i="1"/>
  <c r="AT166" i="1"/>
  <c r="AT120" i="1"/>
  <c r="AM620" i="1"/>
  <c r="AM617" i="1"/>
  <c r="AM614" i="1"/>
  <c r="AM615" i="1"/>
  <c r="AM681" i="1"/>
  <c r="AM675" i="1"/>
  <c r="AM677" i="1" s="1"/>
  <c r="AM678" i="1"/>
  <c r="AS694" i="1"/>
  <c r="AT694" i="1" s="1"/>
  <c r="AS691" i="1"/>
  <c r="AT691" i="1" s="1"/>
  <c r="AU663" i="1"/>
  <c r="AU667" i="1" s="1"/>
  <c r="CE5" i="9"/>
  <c r="CE6" i="9" s="1"/>
  <c r="CE1008" i="1"/>
  <c r="CE999" i="1" s="1"/>
  <c r="BB5" i="11"/>
  <c r="BB5" i="13"/>
  <c r="BB2" i="9"/>
  <c r="BA1321" i="1"/>
  <c r="BA672" i="1"/>
  <c r="BA610" i="1"/>
  <c r="BC5" i="1"/>
  <c r="AV708" i="1"/>
  <c r="AY649" i="1"/>
  <c r="AH405" i="1"/>
  <c r="AH669" i="1"/>
  <c r="AY617" i="1"/>
  <c r="AY614" i="1"/>
  <c r="BI569" i="1"/>
  <c r="BI564" i="1"/>
  <c r="AX2" i="9"/>
  <c r="AX5" i="13"/>
  <c r="AX5" i="11"/>
  <c r="AW1321" i="1"/>
  <c r="AW672" i="1"/>
  <c r="AW610" i="1"/>
  <c r="BA712" i="1"/>
  <c r="BA713" i="1"/>
  <c r="BA715" i="1"/>
  <c r="BX34" i="9"/>
  <c r="BX598" i="1"/>
  <c r="AK637" i="1"/>
  <c r="AK638" i="1" s="1"/>
  <c r="AK606" i="1"/>
  <c r="AK600" i="1"/>
  <c r="AK603" i="1"/>
  <c r="AC1164" i="1"/>
  <c r="AD1158" i="1"/>
  <c r="AD1159" i="1" s="1"/>
  <c r="O1180" i="1"/>
  <c r="M1180" i="1"/>
  <c r="L760" i="1"/>
  <c r="M760" i="1"/>
  <c r="O484" i="1"/>
  <c r="N760" i="1"/>
  <c r="N1180" i="1"/>
  <c r="N1179" i="1"/>
  <c r="O758" i="1"/>
  <c r="M1179" i="1"/>
  <c r="L1179" i="1"/>
  <c r="M758" i="1"/>
  <c r="O1179" i="1"/>
  <c r="N758" i="1"/>
  <c r="L758" i="1"/>
  <c r="L1180" i="1"/>
  <c r="L762" i="1"/>
  <c r="N762" i="1"/>
  <c r="M762" i="1"/>
  <c r="P3" i="13"/>
  <c r="P3" i="11"/>
  <c r="L1181" i="1"/>
  <c r="L1182" i="1"/>
  <c r="M1182" i="1"/>
  <c r="M1181" i="1"/>
  <c r="N1182" i="1"/>
  <c r="N1181" i="1"/>
  <c r="AP697" i="1"/>
  <c r="AP696" i="1"/>
  <c r="BW478" i="1"/>
  <c r="BX737" i="1"/>
  <c r="BX738" i="1" s="1"/>
  <c r="AT705" i="1"/>
  <c r="AT104" i="1"/>
  <c r="AT106" i="1" s="1"/>
  <c r="AP106" i="1"/>
  <c r="AP105" i="1"/>
  <c r="AQ105" i="1"/>
  <c r="O1182" i="1"/>
  <c r="BB564" i="1"/>
  <c r="BB569" i="1"/>
  <c r="AY707" i="1"/>
  <c r="AY704" i="1"/>
  <c r="AZ633" i="1"/>
  <c r="AZ630" i="1"/>
  <c r="AT82" i="1"/>
  <c r="AT24" i="9" s="1"/>
  <c r="AT147" i="1"/>
  <c r="AY78" i="1"/>
  <c r="AU78" i="1"/>
  <c r="AP623" i="1"/>
  <c r="AP624" i="1"/>
  <c r="CF526" i="1"/>
  <c r="CF529" i="1"/>
  <c r="CF524" i="1"/>
  <c r="AU689" i="1"/>
  <c r="AU692" i="1"/>
  <c r="AU619" i="1"/>
  <c r="AU616" i="1"/>
  <c r="AU613" i="1"/>
  <c r="AT405" i="1"/>
  <c r="AT669" i="1"/>
  <c r="AX690" i="1"/>
  <c r="AY690" i="1" s="1"/>
  <c r="AX687" i="1"/>
  <c r="AX688" i="1" s="1"/>
  <c r="AX693" i="1"/>
  <c r="AY693" i="1" s="1"/>
  <c r="BD1329" i="1"/>
  <c r="BD674" i="1" s="1"/>
  <c r="BD1331" i="1"/>
  <c r="BD685" i="1" s="1"/>
  <c r="BD1323" i="1"/>
  <c r="BD612" i="1" s="1"/>
  <c r="BD1327" i="1"/>
  <c r="BD1325" i="1"/>
  <c r="BD1322" i="1"/>
  <c r="BD611" i="1" s="1"/>
  <c r="BD1328" i="1"/>
  <c r="BD673" i="1" s="1"/>
  <c r="BD1326" i="1"/>
  <c r="BD1324" i="1"/>
  <c r="BD1332" i="1"/>
  <c r="BD686" i="1" s="1"/>
  <c r="BD1333" i="1"/>
  <c r="BD1330" i="1"/>
  <c r="AL680" i="1"/>
  <c r="AM647" i="1"/>
  <c r="AM651" i="1" s="1"/>
  <c r="AL683" i="1"/>
  <c r="BS537" i="1"/>
  <c r="BS541" i="1" s="1"/>
  <c r="BO537" i="1"/>
  <c r="BO541" i="1" s="1"/>
  <c r="BN554" i="1"/>
  <c r="BN562" i="1" s="1"/>
  <c r="AL659" i="1"/>
  <c r="AL656" i="1"/>
  <c r="AL473" i="1"/>
  <c r="AL653" i="1"/>
  <c r="BA703" i="1"/>
  <c r="BA705" i="1" s="1"/>
  <c r="BA706" i="1"/>
  <c r="BJ2" i="9"/>
  <c r="BJ5" i="11"/>
  <c r="BH1321" i="1"/>
  <c r="BJ5" i="13"/>
  <c r="BI1321" i="1"/>
  <c r="BI672" i="1"/>
  <c r="BI610" i="1"/>
  <c r="BH672" i="1"/>
  <c r="BH610" i="1"/>
  <c r="BK5" i="1"/>
  <c r="AT677" i="1"/>
  <c r="AQ692" i="1"/>
  <c r="AQ689" i="1"/>
  <c r="AT621" i="1"/>
  <c r="AT618" i="1"/>
  <c r="AY630" i="1"/>
  <c r="AY635" i="1" s="1"/>
  <c r="AY633" i="1"/>
  <c r="AR624" i="1"/>
  <c r="AR623" i="1"/>
  <c r="AX703" i="1"/>
  <c r="AX705" i="1" s="1"/>
  <c r="AX706" i="1"/>
  <c r="AL405" i="1"/>
  <c r="AL669" i="1"/>
  <c r="AM692" i="1"/>
  <c r="AM689" i="1"/>
  <c r="AQ642" i="1"/>
  <c r="AP644" i="1"/>
  <c r="AL605" i="1"/>
  <c r="AL602" i="1"/>
  <c r="AL464" i="1"/>
  <c r="AL30" i="1" s="1"/>
  <c r="AL599" i="1"/>
  <c r="AL621" i="1"/>
  <c r="AL618" i="1"/>
  <c r="AM593" i="1"/>
  <c r="AM597" i="1" s="1"/>
  <c r="AY687" i="1"/>
  <c r="AY688" i="1" s="1"/>
  <c r="BK537" i="1"/>
  <c r="BK541" i="1" s="1"/>
  <c r="BJ554" i="1"/>
  <c r="BJ562" i="1" s="1"/>
  <c r="BD1344" i="1"/>
  <c r="BD1346" i="1"/>
  <c r="BD701" i="1" s="1"/>
  <c r="BD1338" i="1"/>
  <c r="BD1351" i="1"/>
  <c r="BD1349" i="1"/>
  <c r="BD710" i="1" s="1"/>
  <c r="BD714" i="1" s="1"/>
  <c r="BD1345" i="1"/>
  <c r="BD1350" i="1"/>
  <c r="BD711" i="1" s="1"/>
  <c r="BD1348" i="1"/>
  <c r="BD1347" i="1"/>
  <c r="BD702" i="1" s="1"/>
  <c r="BD1343" i="1"/>
  <c r="BD1341" i="1"/>
  <c r="BD629" i="1" s="1"/>
  <c r="BD1340" i="1"/>
  <c r="BD628" i="1" s="1"/>
  <c r="BD1342" i="1"/>
  <c r="AS716" i="1"/>
  <c r="AY663" i="1"/>
  <c r="BW471" i="1"/>
  <c r="BW234" i="1"/>
  <c r="BX233" i="1"/>
  <c r="AQ616" i="1"/>
  <c r="AQ613" i="1"/>
  <c r="AQ619" i="1"/>
  <c r="BW607" i="1"/>
  <c r="BW604" i="1"/>
  <c r="BW599" i="1"/>
  <c r="BB634" i="1"/>
  <c r="BB631" i="1"/>
  <c r="BX1227" i="1"/>
  <c r="BW1117" i="1"/>
  <c r="BX1117" i="1" s="1"/>
  <c r="AP165" i="1"/>
  <c r="AT99" i="1"/>
  <c r="BC569" i="1"/>
  <c r="BC564" i="1"/>
  <c r="BE564" i="1"/>
  <c r="BE569" i="1"/>
  <c r="BB706" i="1"/>
  <c r="BB703" i="1"/>
  <c r="AH656" i="1"/>
  <c r="AH473" i="1"/>
  <c r="AH653" i="1"/>
  <c r="BX1206" i="1"/>
  <c r="BW1116" i="1"/>
  <c r="AJ600" i="1"/>
  <c r="AJ606" i="1"/>
  <c r="AW564" i="1"/>
  <c r="AW569" i="1"/>
  <c r="AY703" i="1"/>
  <c r="AY708" i="1" s="1"/>
  <c r="AY706" i="1"/>
  <c r="AL694" i="1"/>
  <c r="AL691" i="1"/>
  <c r="AM663" i="1"/>
  <c r="AM667" i="1" s="1"/>
  <c r="AR1333" i="1"/>
  <c r="AR1325" i="1"/>
  <c r="AR1327" i="1"/>
  <c r="AR1324" i="1"/>
  <c r="AR1322" i="1"/>
  <c r="AR611" i="1" s="1"/>
  <c r="AR1329" i="1"/>
  <c r="AR674" i="1" s="1"/>
  <c r="AR1328" i="1"/>
  <c r="AR673" i="1" s="1"/>
  <c r="AR1326" i="1"/>
  <c r="AR1332" i="1"/>
  <c r="AR686" i="1" s="1"/>
  <c r="AR1323" i="1"/>
  <c r="AR612" i="1" s="1"/>
  <c r="AR1331" i="1"/>
  <c r="AR685" i="1" s="1"/>
  <c r="AR1330" i="1"/>
  <c r="P1367" i="1"/>
  <c r="AQ697" i="1"/>
  <c r="AQ696" i="1"/>
  <c r="AT713" i="1"/>
  <c r="AT51" i="1"/>
  <c r="AP163" i="1"/>
  <c r="AQ644" i="1"/>
  <c r="AR642" i="1"/>
  <c r="AX632" i="1"/>
  <c r="AX631" i="1"/>
  <c r="AX634" i="1"/>
  <c r="AU682" i="1"/>
  <c r="AU679" i="1"/>
  <c r="AU676" i="1"/>
  <c r="AU678" i="1"/>
  <c r="AU675" i="1"/>
  <c r="AU677" i="1" s="1"/>
  <c r="AU681" i="1"/>
  <c r="AX681" i="1"/>
  <c r="AY681" i="1" s="1"/>
  <c r="AX678" i="1"/>
  <c r="AX675" i="1"/>
  <c r="J49" i="9"/>
  <c r="J506" i="1"/>
  <c r="J50" i="9" s="1"/>
  <c r="J526" i="1"/>
  <c r="AV635" i="1"/>
  <c r="AY595" i="1"/>
  <c r="AV639" i="1"/>
  <c r="AV640" i="1"/>
  <c r="AV643" i="1"/>
  <c r="BC1328" i="1"/>
  <c r="BC673" i="1" s="1"/>
  <c r="BC1330" i="1"/>
  <c r="BC1322" i="1"/>
  <c r="BC611" i="1" s="1"/>
  <c r="BC1333" i="1"/>
  <c r="BC1331" i="1"/>
  <c r="BC685" i="1" s="1"/>
  <c r="BC1329" i="1"/>
  <c r="BC674" i="1" s="1"/>
  <c r="BC1327" i="1"/>
  <c r="BC1323" i="1"/>
  <c r="BC612" i="1" s="1"/>
  <c r="BC1324" i="1"/>
  <c r="BC1326" i="1"/>
  <c r="BC1325" i="1"/>
  <c r="BC1332" i="1"/>
  <c r="BC686" i="1" s="1"/>
  <c r="AY676" i="1"/>
  <c r="AY677" i="1"/>
  <c r="AY679" i="1"/>
  <c r="AV705" i="1"/>
  <c r="AV1329" i="1"/>
  <c r="AV674" i="1" s="1"/>
  <c r="AV1331" i="1"/>
  <c r="AV685" i="1" s="1"/>
  <c r="AV1323" i="1"/>
  <c r="AV612" i="1" s="1"/>
  <c r="AV1330" i="1"/>
  <c r="AV1328" i="1"/>
  <c r="AV673" i="1" s="1"/>
  <c r="AV1326" i="1"/>
  <c r="AV1332" i="1"/>
  <c r="AV686" i="1" s="1"/>
  <c r="AV1333" i="1"/>
  <c r="AV1327" i="1"/>
  <c r="AV1325" i="1"/>
  <c r="AV1324" i="1"/>
  <c r="AV1322" i="1"/>
  <c r="AV611" i="1" s="1"/>
  <c r="BN2" i="9"/>
  <c r="BN5" i="13"/>
  <c r="BK1339" i="1"/>
  <c r="BI1339" i="1"/>
  <c r="BN5" i="11"/>
  <c r="BJ1339" i="1"/>
  <c r="BH1339" i="1"/>
  <c r="BL1339" i="1"/>
  <c r="BJ700" i="1"/>
  <c r="BH627" i="1"/>
  <c r="BK700" i="1"/>
  <c r="BJ627" i="1"/>
  <c r="BI700" i="1"/>
  <c r="BI627" i="1"/>
  <c r="BH700" i="1"/>
  <c r="BK627" i="1"/>
  <c r="BO5" i="1"/>
  <c r="BL627" i="1"/>
  <c r="BL700" i="1"/>
  <c r="BS5" i="1"/>
  <c r="BC1351" i="1"/>
  <c r="BC1343" i="1"/>
  <c r="BC1345" i="1"/>
  <c r="BC1340" i="1"/>
  <c r="BC628" i="1" s="1"/>
  <c r="BC1338" i="1"/>
  <c r="BC1349" i="1"/>
  <c r="BC710" i="1" s="1"/>
  <c r="BC714" i="1" s="1"/>
  <c r="BC1347" i="1"/>
  <c r="BC702" i="1" s="1"/>
  <c r="BC1341" i="1"/>
  <c r="BC629" i="1" s="1"/>
  <c r="BC1350" i="1"/>
  <c r="BC711" i="1" s="1"/>
  <c r="BC1348" i="1"/>
  <c r="BC1344" i="1"/>
  <c r="BC1346" i="1"/>
  <c r="BC701" i="1" s="1"/>
  <c r="BC1342" i="1"/>
  <c r="T1091" i="1"/>
  <c r="S1092" i="1"/>
  <c r="S1269" i="1" s="1"/>
  <c r="BW469" i="1"/>
  <c r="BW224" i="1"/>
  <c r="BX223" i="1"/>
  <c r="BB630" i="1"/>
  <c r="BB633" i="1"/>
  <c r="AO1164" i="1"/>
  <c r="AT1158" i="1"/>
  <c r="AT1159" i="1" s="1"/>
  <c r="AP1158" i="1"/>
  <c r="AP1159" i="1" s="1"/>
  <c r="AQ682" i="1"/>
  <c r="AQ679" i="1"/>
  <c r="AQ676" i="1"/>
  <c r="BG537" i="1"/>
  <c r="BG541" i="1" s="1"/>
  <c r="BF554" i="1"/>
  <c r="BF562" i="1" s="1"/>
  <c r="AQ615" i="1"/>
  <c r="AQ620" i="1"/>
  <c r="AQ614" i="1"/>
  <c r="AQ617" i="1"/>
  <c r="BX1233" i="1"/>
  <c r="BX1190" i="1" s="1"/>
  <c r="BX1194" i="1" s="1"/>
  <c r="BW1119" i="1"/>
  <c r="BX1119" i="1" s="1"/>
  <c r="AX569" i="1"/>
  <c r="AX564" i="1"/>
  <c r="AP58" i="1"/>
  <c r="AP57" i="1"/>
  <c r="AT56" i="1"/>
  <c r="AT58" i="1" s="1"/>
  <c r="AQ57" i="1"/>
  <c r="AR644" i="1"/>
  <c r="AP683" i="1"/>
  <c r="AP680" i="1"/>
  <c r="AQ647" i="1"/>
  <c r="AQ651" i="1" s="1"/>
  <c r="AX619" i="1"/>
  <c r="AY619" i="1" s="1"/>
  <c r="AX616" i="1"/>
  <c r="AX613" i="1"/>
  <c r="AX615" i="1" s="1"/>
  <c r="AY650" i="1"/>
  <c r="AW708" i="1"/>
  <c r="J56" i="9"/>
  <c r="J507" i="1"/>
  <c r="J57" i="9" s="1"/>
  <c r="J88" i="9" s="1"/>
  <c r="K1276" i="1"/>
  <c r="AY616" i="1"/>
  <c r="AY613" i="1"/>
  <c r="AY615" i="1" s="1"/>
  <c r="BW470" i="1"/>
  <c r="BW229" i="1"/>
  <c r="BX228" i="1"/>
  <c r="AT615" i="1"/>
  <c r="BB705" i="1"/>
  <c r="BB707" i="1"/>
  <c r="BB704" i="1"/>
  <c r="AG657" i="1"/>
  <c r="AG654" i="1"/>
  <c r="AQ678" i="1"/>
  <c r="AQ681" i="1"/>
  <c r="AQ675" i="1"/>
  <c r="AQ677" i="1" s="1"/>
  <c r="AQ687" i="1"/>
  <c r="AQ688" i="1" s="1"/>
  <c r="AQ693" i="1"/>
  <c r="AQ690" i="1"/>
  <c r="BW120" i="9"/>
  <c r="AH618" i="1"/>
  <c r="AH621" i="1"/>
  <c r="AI593" i="1"/>
  <c r="AI597" i="1" s="1"/>
  <c r="Y1164" i="1"/>
  <c r="AS618" i="1"/>
  <c r="AS621" i="1"/>
  <c r="AU593" i="1"/>
  <c r="AU597" i="1" s="1"/>
  <c r="AQ663" i="1"/>
  <c r="AQ667" i="1" s="1"/>
  <c r="AP694" i="1"/>
  <c r="AP691" i="1"/>
  <c r="AT624" i="1"/>
  <c r="AT597" i="1"/>
  <c r="AS623" i="1"/>
  <c r="AS624" i="1"/>
  <c r="AT623" i="1"/>
  <c r="AU639" i="1"/>
  <c r="AU635" i="1"/>
  <c r="AY594" i="1"/>
  <c r="AU643" i="1"/>
  <c r="AU640" i="1"/>
  <c r="AH688" i="1"/>
  <c r="AM693" i="1"/>
  <c r="AM687" i="1"/>
  <c r="AM688" i="1" s="1"/>
  <c r="AM690" i="1"/>
  <c r="AX679" i="1"/>
  <c r="AX676" i="1"/>
  <c r="AX677" i="1"/>
  <c r="AX682" i="1"/>
  <c r="AY682" i="1" s="1"/>
  <c r="AS680" i="1"/>
  <c r="AS683" i="1"/>
  <c r="AU647" i="1"/>
  <c r="AU651" i="1" s="1"/>
  <c r="AO9" i="1"/>
  <c r="AO153" i="1"/>
  <c r="AP183" i="1"/>
  <c r="AO156" i="1"/>
  <c r="AO158" i="1"/>
  <c r="BF2" i="9"/>
  <c r="BF5" i="13"/>
  <c r="BF5" i="11"/>
  <c r="BE1321" i="1"/>
  <c r="BE610" i="1"/>
  <c r="BE672" i="1"/>
  <c r="BG5" i="1"/>
  <c r="AP618" i="1"/>
  <c r="AQ593" i="1"/>
  <c r="AQ597" i="1" s="1"/>
  <c r="AP621" i="1"/>
  <c r="AP602" i="1"/>
  <c r="AP464" i="1"/>
  <c r="AP30" i="1" s="1"/>
  <c r="AP605" i="1"/>
  <c r="AP599" i="1"/>
  <c r="AY647" i="1"/>
  <c r="AS708" i="1"/>
  <c r="AW716" i="1"/>
  <c r="AY666" i="1"/>
  <c r="AY667" i="1" s="1"/>
  <c r="BF1346" i="1"/>
  <c r="BF701" i="1" s="1"/>
  <c r="BF1338" i="1"/>
  <c r="BF1348" i="1"/>
  <c r="BF1340" i="1"/>
  <c r="BF628" i="1" s="1"/>
  <c r="BF1343" i="1"/>
  <c r="BF1341" i="1"/>
  <c r="BF629" i="1" s="1"/>
  <c r="BF1347" i="1"/>
  <c r="BF702" i="1" s="1"/>
  <c r="BF1351" i="1"/>
  <c r="BF1349" i="1"/>
  <c r="BF710" i="1" s="1"/>
  <c r="BF714" i="1" s="1"/>
  <c r="BF1342" i="1"/>
  <c r="BF1345" i="1"/>
  <c r="BF1344" i="1"/>
  <c r="BF1350" i="1"/>
  <c r="BF711" i="1" s="1"/>
  <c r="AH680" i="1"/>
  <c r="AH683" i="1"/>
  <c r="AI647" i="1"/>
  <c r="AI651" i="1" s="1"/>
  <c r="BX214" i="1"/>
  <c r="BX215" i="1" s="1"/>
  <c r="N161" i="10"/>
  <c r="N179" i="10"/>
  <c r="N162" i="10"/>
  <c r="N172" i="10"/>
  <c r="N192" i="10"/>
  <c r="N180" i="10"/>
  <c r="N158" i="10"/>
  <c r="N188" i="10"/>
  <c r="N205" i="10"/>
  <c r="N171" i="10"/>
  <c r="N177" i="10"/>
  <c r="N183" i="10"/>
  <c r="N169" i="10"/>
  <c r="N173" i="10"/>
  <c r="N160" i="10"/>
  <c r="N186" i="10"/>
  <c r="N194" i="10"/>
  <c r="N167" i="10"/>
  <c r="N185" i="10"/>
  <c r="N216" i="10"/>
  <c r="N191" i="10"/>
  <c r="N187" i="10"/>
  <c r="N178" i="10"/>
  <c r="N176" i="10"/>
  <c r="N175" i="10"/>
  <c r="N168" i="10"/>
  <c r="N170" i="10"/>
  <c r="N155" i="10"/>
  <c r="N159" i="10"/>
  <c r="N156" i="10"/>
  <c r="N182" i="10"/>
  <c r="AO159" i="1" l="1"/>
  <c r="AY713" i="1"/>
  <c r="Q158" i="10"/>
  <c r="P158" i="10"/>
  <c r="P205" i="10"/>
  <c r="Q205" i="10"/>
  <c r="P188" i="10"/>
  <c r="Q188" i="10"/>
  <c r="P156" i="10"/>
  <c r="Q156" i="10"/>
  <c r="Q172" i="10"/>
  <c r="P172" i="10"/>
  <c r="P168" i="10"/>
  <c r="Q168" i="10"/>
  <c r="Q162" i="10"/>
  <c r="P162" i="10"/>
  <c r="P192" i="10"/>
  <c r="Q192" i="10"/>
  <c r="P167" i="10"/>
  <c r="Q167" i="10"/>
  <c r="Q182" i="10"/>
  <c r="P182" i="10"/>
  <c r="P161" i="10"/>
  <c r="Q161" i="10"/>
  <c r="P173" i="10"/>
  <c r="Q173" i="10"/>
  <c r="Q155" i="10"/>
  <c r="P155" i="10"/>
  <c r="P171" i="10"/>
  <c r="Q171" i="10"/>
  <c r="Q187" i="10"/>
  <c r="P187" i="10"/>
  <c r="Q176" i="10"/>
  <c r="P176" i="10"/>
  <c r="Q180" i="10"/>
  <c r="P180" i="10"/>
  <c r="Q186" i="10"/>
  <c r="P186" i="10"/>
  <c r="P216" i="10"/>
  <c r="Q216" i="10"/>
  <c r="Q159" i="10"/>
  <c r="P159" i="10"/>
  <c r="P170" i="10"/>
  <c r="Q170" i="10"/>
  <c r="Q175" i="10"/>
  <c r="P175" i="10"/>
  <c r="Q179" i="10"/>
  <c r="P179" i="10"/>
  <c r="P185" i="10"/>
  <c r="Q185" i="10"/>
  <c r="Q194" i="10"/>
  <c r="P194" i="10"/>
  <c r="Q178" i="10"/>
  <c r="P178" i="10"/>
  <c r="Q160" i="10"/>
  <c r="P160" i="10"/>
  <c r="P169" i="10"/>
  <c r="Q169" i="10"/>
  <c r="Q177" i="10"/>
  <c r="P177" i="10"/>
  <c r="P183" i="10"/>
  <c r="Q183" i="10"/>
  <c r="Q191" i="10"/>
  <c r="P191" i="10"/>
  <c r="BC703" i="1"/>
  <c r="BC706" i="1"/>
  <c r="BC633" i="1"/>
  <c r="BC630" i="1"/>
  <c r="BL1344" i="1"/>
  <c r="BL1346" i="1"/>
  <c r="BL701" i="1" s="1"/>
  <c r="BL1342" i="1"/>
  <c r="BL1340" i="1"/>
  <c r="BL628" i="1" s="1"/>
  <c r="BL1347" i="1"/>
  <c r="BL702" i="1" s="1"/>
  <c r="BL1343" i="1"/>
  <c r="BL1351" i="1"/>
  <c r="BL1350" i="1"/>
  <c r="BL711" i="1" s="1"/>
  <c r="BL1349" i="1"/>
  <c r="BL710" i="1" s="1"/>
  <c r="BL714" i="1" s="1"/>
  <c r="BL1341" i="1"/>
  <c r="BL629" i="1" s="1"/>
  <c r="BL1348" i="1"/>
  <c r="BL1345" i="1"/>
  <c r="AV616" i="1"/>
  <c r="AV613" i="1"/>
  <c r="AV619" i="1"/>
  <c r="BC687" i="1"/>
  <c r="BC693" i="1"/>
  <c r="BD693" i="1" s="1"/>
  <c r="BC690" i="1"/>
  <c r="BD690" i="1" s="1"/>
  <c r="AW624" i="1"/>
  <c r="AW623" i="1"/>
  <c r="AM405" i="1"/>
  <c r="AM669" i="1"/>
  <c r="BX1189" i="1"/>
  <c r="BX1193" i="1" s="1"/>
  <c r="AQ621" i="1"/>
  <c r="AR593" i="1"/>
  <c r="AR597" i="1" s="1"/>
  <c r="AQ618" i="1"/>
  <c r="BD630" i="1"/>
  <c r="BD635" i="1" s="1"/>
  <c r="BD633" i="1"/>
  <c r="AM602" i="1"/>
  <c r="AM605" i="1"/>
  <c r="AM464" i="1"/>
  <c r="AM30" i="1" s="1"/>
  <c r="AM599" i="1"/>
  <c r="BH1333" i="1"/>
  <c r="BH1325" i="1"/>
  <c r="BH1327" i="1"/>
  <c r="BH1328" i="1"/>
  <c r="BH673" i="1" s="1"/>
  <c r="BH1323" i="1"/>
  <c r="BH612" i="1" s="1"/>
  <c r="BH1326" i="1"/>
  <c r="BH1329" i="1"/>
  <c r="BH674" i="1" s="1"/>
  <c r="BH1324" i="1"/>
  <c r="BH1330" i="1"/>
  <c r="BH1332" i="1"/>
  <c r="BH686" i="1" s="1"/>
  <c r="BH1322" i="1"/>
  <c r="BH611" i="1" s="1"/>
  <c r="BH1331" i="1"/>
  <c r="BH685" i="1" s="1"/>
  <c r="BD617" i="1"/>
  <c r="BD614" i="1"/>
  <c r="BX120" i="9"/>
  <c r="AW1330" i="1"/>
  <c r="AW1322" i="1"/>
  <c r="AW611" i="1" s="1"/>
  <c r="AW1332" i="1"/>
  <c r="AW686" i="1" s="1"/>
  <c r="AW1324" i="1"/>
  <c r="AW1323" i="1"/>
  <c r="AW612" i="1" s="1"/>
  <c r="AW1328" i="1"/>
  <c r="AW673" i="1" s="1"/>
  <c r="AW1326" i="1"/>
  <c r="AW1333" i="1"/>
  <c r="AW1327" i="1"/>
  <c r="AW1325" i="1"/>
  <c r="AW1331" i="1"/>
  <c r="AW685" i="1" s="1"/>
  <c r="AW1329" i="1"/>
  <c r="AW674" i="1" s="1"/>
  <c r="R1397" i="1"/>
  <c r="R1" i="9"/>
  <c r="R515" i="1"/>
  <c r="S4" i="1"/>
  <c r="R3" i="1"/>
  <c r="R1367" i="1" s="1"/>
  <c r="R4" i="13"/>
  <c r="R4" i="11"/>
  <c r="AH1164" i="1"/>
  <c r="AI1158" i="1"/>
  <c r="AI1159" i="1" s="1"/>
  <c r="BD663" i="1"/>
  <c r="AX716" i="1"/>
  <c r="AI656" i="1"/>
  <c r="AI473" i="1"/>
  <c r="AI653" i="1"/>
  <c r="BE1330" i="1"/>
  <c r="BE1322" i="1"/>
  <c r="BE611" i="1" s="1"/>
  <c r="BE1332" i="1"/>
  <c r="BE686" i="1" s="1"/>
  <c r="BE1324" i="1"/>
  <c r="BE1331" i="1"/>
  <c r="BE685" i="1" s="1"/>
  <c r="BE1329" i="1"/>
  <c r="BE674" i="1" s="1"/>
  <c r="BE1325" i="1"/>
  <c r="BE1328" i="1"/>
  <c r="BE673" i="1" s="1"/>
  <c r="BE1326" i="1"/>
  <c r="BE1323" i="1"/>
  <c r="BE612" i="1" s="1"/>
  <c r="BE1327" i="1"/>
  <c r="BE1333" i="1"/>
  <c r="AT7" i="1"/>
  <c r="AP7" i="1"/>
  <c r="AO8" i="1"/>
  <c r="AO11" i="1"/>
  <c r="AO27" i="9" s="1"/>
  <c r="AV642" i="1"/>
  <c r="AU644" i="1"/>
  <c r="BB643" i="1"/>
  <c r="BB639" i="1"/>
  <c r="BB640" i="1"/>
  <c r="BD596" i="1"/>
  <c r="BB635" i="1"/>
  <c r="BH1348" i="1"/>
  <c r="BH1340" i="1"/>
  <c r="BH628" i="1" s="1"/>
  <c r="BH1350" i="1"/>
  <c r="BH711" i="1" s="1"/>
  <c r="BH1342" i="1"/>
  <c r="BH1347" i="1"/>
  <c r="BH702" i="1" s="1"/>
  <c r="BH1345" i="1"/>
  <c r="BH1344" i="1"/>
  <c r="BH1349" i="1"/>
  <c r="BH710" i="1" s="1"/>
  <c r="BH714" i="1" s="1"/>
  <c r="BH1343" i="1"/>
  <c r="BH1346" i="1"/>
  <c r="BH701" i="1" s="1"/>
  <c r="BH1341" i="1"/>
  <c r="BH629" i="1" s="1"/>
  <c r="BH1338" i="1"/>
  <c r="BH1351" i="1"/>
  <c r="AV617" i="1"/>
  <c r="AV614" i="1"/>
  <c r="AV615" i="1"/>
  <c r="AV620" i="1"/>
  <c r="BC619" i="1"/>
  <c r="BD619" i="1" s="1"/>
  <c r="BC616" i="1"/>
  <c r="BC613" i="1"/>
  <c r="AR675" i="1"/>
  <c r="AR677" i="1" s="1"/>
  <c r="AR681" i="1"/>
  <c r="AR678" i="1"/>
  <c r="BX1116" i="1"/>
  <c r="BB632" i="1"/>
  <c r="BD631" i="1"/>
  <c r="BD634" i="1"/>
  <c r="BD632" i="1"/>
  <c r="AX708" i="1"/>
  <c r="BD647" i="1"/>
  <c r="BK2" i="9"/>
  <c r="BK5" i="13"/>
  <c r="BJ1321" i="1"/>
  <c r="BK5" i="11"/>
  <c r="BJ672" i="1"/>
  <c r="BJ610" i="1"/>
  <c r="BL5" i="1"/>
  <c r="BN564" i="1"/>
  <c r="BN569" i="1"/>
  <c r="BD687" i="1"/>
  <c r="BD688" i="1" s="1"/>
  <c r="AU621" i="1"/>
  <c r="AU618" i="1"/>
  <c r="AV593" i="1"/>
  <c r="AV597" i="1" s="1"/>
  <c r="AZ635" i="1"/>
  <c r="AZ643" i="1"/>
  <c r="AZ640" i="1"/>
  <c r="AZ639" i="1"/>
  <c r="BD594" i="1"/>
  <c r="BW1106" i="1"/>
  <c r="BW410" i="1"/>
  <c r="BX478" i="1"/>
  <c r="BX410" i="1" s="1"/>
  <c r="BA1326" i="1"/>
  <c r="BA1328" i="1"/>
  <c r="BA673" i="1" s="1"/>
  <c r="BA1324" i="1"/>
  <c r="BA1322" i="1"/>
  <c r="BA611" i="1" s="1"/>
  <c r="BA1331" i="1"/>
  <c r="BA685" i="1" s="1"/>
  <c r="BA1333" i="1"/>
  <c r="BA1332" i="1"/>
  <c r="BA686" i="1" s="1"/>
  <c r="BA1330" i="1"/>
  <c r="BA1323" i="1"/>
  <c r="BA612" i="1" s="1"/>
  <c r="BA1329" i="1"/>
  <c r="BA674" i="1" s="1"/>
  <c r="BA1327" i="1"/>
  <c r="BA1325" i="1"/>
  <c r="AT149" i="1"/>
  <c r="AU118" i="1"/>
  <c r="AY118" i="1"/>
  <c r="AT122" i="1"/>
  <c r="AT26" i="9" s="1"/>
  <c r="BE706" i="1"/>
  <c r="BE703" i="1"/>
  <c r="BE705" i="1" s="1"/>
  <c r="BE715" i="1"/>
  <c r="BE712" i="1"/>
  <c r="BE713" i="1"/>
  <c r="BA643" i="1"/>
  <c r="BA640" i="1"/>
  <c r="BD595" i="1"/>
  <c r="BA639" i="1"/>
  <c r="BA635" i="1"/>
  <c r="AV697" i="1"/>
  <c r="AV696" i="1"/>
  <c r="Q3" i="11"/>
  <c r="Q3" i="13"/>
  <c r="AU623" i="1"/>
  <c r="AU624" i="1"/>
  <c r="AZ692" i="1"/>
  <c r="AZ689" i="1"/>
  <c r="BF704" i="1"/>
  <c r="BF707" i="1"/>
  <c r="AU656" i="1"/>
  <c r="AU473" i="1"/>
  <c r="AU659" i="1"/>
  <c r="AU653" i="1"/>
  <c r="AV624" i="1"/>
  <c r="AV623" i="1"/>
  <c r="AI605" i="1"/>
  <c r="AI602" i="1"/>
  <c r="AI464" i="1"/>
  <c r="AI30" i="1" s="1"/>
  <c r="AI599" i="1"/>
  <c r="AY621" i="1"/>
  <c r="AY618" i="1"/>
  <c r="AY697" i="1"/>
  <c r="AX696" i="1"/>
  <c r="AX697" i="1"/>
  <c r="AY651" i="1"/>
  <c r="AY696" i="1"/>
  <c r="BX225" i="1"/>
  <c r="BX226" i="1" s="1"/>
  <c r="BX224" i="1"/>
  <c r="BJ1350" i="1"/>
  <c r="BJ711" i="1" s="1"/>
  <c r="BJ1342" i="1"/>
  <c r="BJ1344" i="1"/>
  <c r="BJ1348" i="1"/>
  <c r="BJ1351" i="1"/>
  <c r="BJ1340" i="1"/>
  <c r="BJ628" i="1" s="1"/>
  <c r="BJ1338" i="1"/>
  <c r="BJ1347" i="1"/>
  <c r="BJ702" i="1" s="1"/>
  <c r="BJ1346" i="1"/>
  <c r="BJ701" i="1" s="1"/>
  <c r="BJ1345" i="1"/>
  <c r="BJ1341" i="1"/>
  <c r="BJ629" i="1" s="1"/>
  <c r="BJ1343" i="1"/>
  <c r="BJ1349" i="1"/>
  <c r="BJ710" i="1" s="1"/>
  <c r="BJ714" i="1" s="1"/>
  <c r="AV692" i="1"/>
  <c r="AV689" i="1"/>
  <c r="J527" i="1"/>
  <c r="K526" i="1"/>
  <c r="J529" i="1"/>
  <c r="AR679" i="1"/>
  <c r="AR676" i="1"/>
  <c r="AR682" i="1"/>
  <c r="BX1188" i="1"/>
  <c r="BX1192" i="1" s="1"/>
  <c r="BX234" i="1"/>
  <c r="BX235" i="1"/>
  <c r="BX236" i="1" s="1"/>
  <c r="BD706" i="1"/>
  <c r="BD703" i="1"/>
  <c r="BD708" i="1" s="1"/>
  <c r="BP537" i="1"/>
  <c r="BP541" i="1" s="1"/>
  <c r="BO554" i="1"/>
  <c r="BO562" i="1" s="1"/>
  <c r="BD679" i="1"/>
  <c r="BD676" i="1"/>
  <c r="O759" i="1"/>
  <c r="O40" i="9"/>
  <c r="O42" i="9" s="1"/>
  <c r="O487" i="1"/>
  <c r="BE631" i="1"/>
  <c r="BE634" i="1"/>
  <c r="BG1338" i="1"/>
  <c r="J104" i="9"/>
  <c r="J111" i="9" s="1"/>
  <c r="L104" i="9"/>
  <c r="N104" i="9"/>
  <c r="M104" i="9"/>
  <c r="AZ682" i="1"/>
  <c r="AZ679" i="1"/>
  <c r="AZ676" i="1"/>
  <c r="AX713" i="1"/>
  <c r="AM1158" i="1"/>
  <c r="AM1159" i="1" s="1"/>
  <c r="AL1164" i="1"/>
  <c r="BF634" i="1"/>
  <c r="BF631" i="1"/>
  <c r="AY405" i="1"/>
  <c r="AY669" i="1"/>
  <c r="AQ691" i="1"/>
  <c r="AQ694" i="1"/>
  <c r="AR663" i="1"/>
  <c r="AR667" i="1" s="1"/>
  <c r="AX618" i="1"/>
  <c r="AZ593" i="1"/>
  <c r="AZ597" i="1" s="1"/>
  <c r="AX621" i="1"/>
  <c r="AV679" i="1"/>
  <c r="AV676" i="1"/>
  <c r="AV682" i="1"/>
  <c r="BC681" i="1"/>
  <c r="BD681" i="1" s="1"/>
  <c r="BC678" i="1"/>
  <c r="BC675" i="1"/>
  <c r="AU680" i="1"/>
  <c r="AU683" i="1"/>
  <c r="AV647" i="1"/>
  <c r="AV651" i="1" s="1"/>
  <c r="AR613" i="1"/>
  <c r="AR619" i="1"/>
  <c r="AR616" i="1"/>
  <c r="AH657" i="1"/>
  <c r="AH654" i="1"/>
  <c r="BD707" i="1"/>
  <c r="BD704" i="1"/>
  <c r="BT537" i="1"/>
  <c r="BT541" i="1" s="1"/>
  <c r="BT554" i="1" s="1"/>
  <c r="BT562" i="1" s="1"/>
  <c r="BS554" i="1"/>
  <c r="BS562" i="1" s="1"/>
  <c r="AN647" i="1"/>
  <c r="AN651" i="1" s="1"/>
  <c r="AM680" i="1"/>
  <c r="AM683" i="1"/>
  <c r="AO660" i="1"/>
  <c r="AO654" i="1"/>
  <c r="BD664" i="1"/>
  <c r="AZ716" i="1"/>
  <c r="BE633" i="1"/>
  <c r="BE630" i="1"/>
  <c r="BE632" i="1" s="1"/>
  <c r="AU615" i="1"/>
  <c r="AP657" i="1"/>
  <c r="AP660" i="1"/>
  <c r="AP654" i="1"/>
  <c r="BG630" i="1"/>
  <c r="BG632" i="1" s="1"/>
  <c r="BG633" i="1"/>
  <c r="BG715" i="1"/>
  <c r="BG712" i="1"/>
  <c r="AT659" i="1"/>
  <c r="AT473" i="1"/>
  <c r="AT653" i="1"/>
  <c r="BC712" i="1"/>
  <c r="BC715" i="1"/>
  <c r="AQ602" i="1"/>
  <c r="AQ464" i="1"/>
  <c r="AQ30" i="1" s="1"/>
  <c r="AQ605" i="1"/>
  <c r="AQ599" i="1"/>
  <c r="AQ405" i="1"/>
  <c r="AQ669" i="1"/>
  <c r="AR647" i="1"/>
  <c r="AR651" i="1" s="1"/>
  <c r="AQ680" i="1"/>
  <c r="AQ683" i="1"/>
  <c r="AP1164" i="1"/>
  <c r="AQ1158" i="1"/>
  <c r="AQ1159" i="1" s="1"/>
  <c r="BW38" i="9"/>
  <c r="BW63" i="9" s="1"/>
  <c r="BW398" i="1"/>
  <c r="BX469" i="1"/>
  <c r="BC634" i="1"/>
  <c r="BC631" i="1"/>
  <c r="BC632" i="1"/>
  <c r="BS5" i="11"/>
  <c r="BS2" i="9"/>
  <c r="BQ1339" i="1"/>
  <c r="BS5" i="13"/>
  <c r="BN1339" i="1"/>
  <c r="BM1339" i="1"/>
  <c r="BL1338" i="1" s="1"/>
  <c r="BP1339" i="1"/>
  <c r="BO1339" i="1"/>
  <c r="BP700" i="1"/>
  <c r="BP627" i="1"/>
  <c r="BO700" i="1"/>
  <c r="BO627" i="1"/>
  <c r="BM700" i="1"/>
  <c r="BM627" i="1"/>
  <c r="BQ627" i="1"/>
  <c r="BQ700" i="1"/>
  <c r="BX5" i="1"/>
  <c r="BN627" i="1"/>
  <c r="BN700" i="1"/>
  <c r="BT5" i="1"/>
  <c r="BI1349" i="1"/>
  <c r="BI710" i="1" s="1"/>
  <c r="BI714" i="1" s="1"/>
  <c r="BI1341" i="1"/>
  <c r="BI629" i="1" s="1"/>
  <c r="BI1351" i="1"/>
  <c r="BI1343" i="1"/>
  <c r="BI1350" i="1"/>
  <c r="BI711" i="1" s="1"/>
  <c r="BI1346" i="1"/>
  <c r="BI701" i="1" s="1"/>
  <c r="BI1348" i="1"/>
  <c r="BI1344" i="1"/>
  <c r="BI1342" i="1"/>
  <c r="BI1347" i="1"/>
  <c r="BI702" i="1" s="1"/>
  <c r="BI1345" i="1"/>
  <c r="BI1340" i="1"/>
  <c r="BI628" i="1" s="1"/>
  <c r="BI1338" i="1"/>
  <c r="BC620" i="1"/>
  <c r="BD620" i="1" s="1"/>
  <c r="BC617" i="1"/>
  <c r="BC614" i="1"/>
  <c r="BC615" i="1"/>
  <c r="AT165" i="1"/>
  <c r="AT100" i="1"/>
  <c r="BW600" i="1"/>
  <c r="BW603" i="1"/>
  <c r="BW606" i="1"/>
  <c r="BW37" i="9"/>
  <c r="BW403" i="1"/>
  <c r="BW62" i="9" s="1"/>
  <c r="BX471" i="1"/>
  <c r="BJ569" i="1"/>
  <c r="BJ564" i="1"/>
  <c r="BA708" i="1"/>
  <c r="BD649" i="1"/>
  <c r="BD678" i="1"/>
  <c r="BD675" i="1"/>
  <c r="AW696" i="1"/>
  <c r="AW697" i="1"/>
  <c r="AY623" i="1"/>
  <c r="AX623" i="1"/>
  <c r="AY597" i="1"/>
  <c r="AY624" i="1"/>
  <c r="AX624" i="1"/>
  <c r="BE707" i="1"/>
  <c r="BE704" i="1"/>
  <c r="AZ708" i="1"/>
  <c r="BD648" i="1"/>
  <c r="AY632" i="1"/>
  <c r="BG703" i="1"/>
  <c r="BG706" i="1"/>
  <c r="BG634" i="1"/>
  <c r="BG631" i="1"/>
  <c r="AZ693" i="1"/>
  <c r="AZ690" i="1"/>
  <c r="AZ687" i="1"/>
  <c r="AZ688" i="1" s="1"/>
  <c r="BB716" i="1"/>
  <c r="BD666" i="1"/>
  <c r="BF712" i="1"/>
  <c r="BF715" i="1"/>
  <c r="BF633" i="1"/>
  <c r="BF630" i="1"/>
  <c r="AM691" i="1"/>
  <c r="AN663" i="1"/>
  <c r="AN667" i="1" s="1"/>
  <c r="AM694" i="1"/>
  <c r="AU602" i="1"/>
  <c r="AU605" i="1"/>
  <c r="AU464" i="1"/>
  <c r="AU30" i="1" s="1"/>
  <c r="AU599" i="1"/>
  <c r="BX230" i="1"/>
  <c r="BX231" i="1" s="1"/>
  <c r="BX229" i="1"/>
  <c r="AU1158" i="1"/>
  <c r="AU1159" i="1" s="1"/>
  <c r="AT1164" i="1"/>
  <c r="AY1158" i="1"/>
  <c r="AY1159" i="1" s="1"/>
  <c r="BC705" i="1"/>
  <c r="BC704" i="1"/>
  <c r="BC707" i="1"/>
  <c r="BK1351" i="1"/>
  <c r="BK1343" i="1"/>
  <c r="BK1345" i="1"/>
  <c r="BK1348" i="1"/>
  <c r="BK1346" i="1"/>
  <c r="BK701" i="1" s="1"/>
  <c r="BK1344" i="1"/>
  <c r="BK1342" i="1"/>
  <c r="BK1349" i="1"/>
  <c r="BK710" i="1" s="1"/>
  <c r="BK714" i="1" s="1"/>
  <c r="BK1340" i="1"/>
  <c r="BK628" i="1" s="1"/>
  <c r="BK1338" i="1"/>
  <c r="BK1347" i="1"/>
  <c r="BK702" i="1" s="1"/>
  <c r="BK1341" i="1"/>
  <c r="BK629" i="1" s="1"/>
  <c r="BK1350" i="1"/>
  <c r="BK711" i="1" s="1"/>
  <c r="AV693" i="1"/>
  <c r="AV690" i="1"/>
  <c r="AV687" i="1"/>
  <c r="AV644" i="1"/>
  <c r="AW642" i="1"/>
  <c r="AW644" i="1" s="1"/>
  <c r="AR692" i="1"/>
  <c r="AR689" i="1"/>
  <c r="BD712" i="1"/>
  <c r="BD716" i="1" s="1"/>
  <c r="BD715" i="1"/>
  <c r="BL537" i="1"/>
  <c r="BL541" i="1" s="1"/>
  <c r="BK554" i="1"/>
  <c r="BK562" i="1" s="1"/>
  <c r="AL654" i="1"/>
  <c r="AL660" i="1"/>
  <c r="AL657" i="1"/>
  <c r="AM656" i="1"/>
  <c r="AM659" i="1"/>
  <c r="AM473" i="1"/>
  <c r="AM653" i="1"/>
  <c r="BD616" i="1"/>
  <c r="BD613" i="1"/>
  <c r="BD615" i="1" s="1"/>
  <c r="AX691" i="1"/>
  <c r="AY691" i="1" s="1"/>
  <c r="AX694" i="1"/>
  <c r="AY694" i="1" s="1"/>
  <c r="AZ663" i="1"/>
  <c r="AZ667" i="1" s="1"/>
  <c r="AU84" i="1"/>
  <c r="AU79" i="1"/>
  <c r="AY705" i="1"/>
  <c r="BA716" i="1"/>
  <c r="BD665" i="1"/>
  <c r="AH603" i="1"/>
  <c r="AH637" i="1"/>
  <c r="AH638" i="1" s="1"/>
  <c r="AH600" i="1"/>
  <c r="AH606" i="1"/>
  <c r="AZ675" i="1"/>
  <c r="AZ678" i="1"/>
  <c r="AZ681" i="1"/>
  <c r="AZ632" i="1"/>
  <c r="BF703" i="1"/>
  <c r="BF705" i="1" s="1"/>
  <c r="BF706" i="1"/>
  <c r="AT605" i="1"/>
  <c r="AT464" i="1"/>
  <c r="AT30" i="1" s="1"/>
  <c r="AT599" i="1"/>
  <c r="J137" i="9"/>
  <c r="J98" i="9"/>
  <c r="AU696" i="1"/>
  <c r="AU697" i="1"/>
  <c r="BG2" i="9"/>
  <c r="BG5" i="11"/>
  <c r="BF1321" i="1"/>
  <c r="BG5" i="13"/>
  <c r="BF672" i="1"/>
  <c r="BF610" i="1"/>
  <c r="BH5" i="1"/>
  <c r="AQ659" i="1"/>
  <c r="AQ656" i="1"/>
  <c r="AQ473" i="1"/>
  <c r="AQ653" i="1"/>
  <c r="BF564" i="1"/>
  <c r="BF569" i="1"/>
  <c r="U1091" i="1"/>
  <c r="U1092" i="1" s="1"/>
  <c r="T1092" i="1"/>
  <c r="T1269" i="1" s="1"/>
  <c r="BC682" i="1"/>
  <c r="BD682" i="1" s="1"/>
  <c r="BC679" i="1"/>
  <c r="BC676" i="1"/>
  <c r="BC677" i="1"/>
  <c r="AP167" i="1"/>
  <c r="AP173" i="1" s="1"/>
  <c r="AR620" i="1"/>
  <c r="AR615" i="1"/>
  <c r="AR614" i="1"/>
  <c r="AR617" i="1"/>
  <c r="BB708" i="1"/>
  <c r="BD650" i="1"/>
  <c r="AL606" i="1"/>
  <c r="AL637" i="1"/>
  <c r="AL638" i="1" s="1"/>
  <c r="AL600" i="1"/>
  <c r="AL603" i="1"/>
  <c r="BI1326" i="1"/>
  <c r="BI1328" i="1"/>
  <c r="BI673" i="1" s="1"/>
  <c r="BI1332" i="1"/>
  <c r="BI686" i="1" s="1"/>
  <c r="BI1330" i="1"/>
  <c r="BI1324" i="1"/>
  <c r="BI1322" i="1"/>
  <c r="BI611" i="1" s="1"/>
  <c r="BI1325" i="1"/>
  <c r="BI1331" i="1"/>
  <c r="BI685" i="1" s="1"/>
  <c r="BI1333" i="1"/>
  <c r="BI1323" i="1"/>
  <c r="BI612" i="1" s="1"/>
  <c r="BI1329" i="1"/>
  <c r="BI674" i="1" s="1"/>
  <c r="BI1327" i="1"/>
  <c r="BC2" i="9"/>
  <c r="BC5" i="13"/>
  <c r="BB1321" i="1"/>
  <c r="BC5" i="11"/>
  <c r="BB610" i="1"/>
  <c r="BB672" i="1"/>
  <c r="AY683" i="1"/>
  <c r="AY680" i="1"/>
  <c r="AZ642" i="1"/>
  <c r="AX635" i="1"/>
  <c r="BD593" i="1"/>
  <c r="BG707" i="1"/>
  <c r="BG705" i="1"/>
  <c r="BG704" i="1"/>
  <c r="AZ613" i="1"/>
  <c r="AZ615" i="1" s="1"/>
  <c r="AZ616" i="1"/>
  <c r="AZ619" i="1"/>
  <c r="AU691" i="1"/>
  <c r="AV663" i="1"/>
  <c r="AV667" i="1" s="1"/>
  <c r="AU694" i="1"/>
  <c r="AN593" i="1"/>
  <c r="AN597" i="1" s="1"/>
  <c r="AM618" i="1"/>
  <c r="AM621" i="1"/>
  <c r="AI405" i="1"/>
  <c r="AI669" i="1"/>
  <c r="BB713" i="1"/>
  <c r="AP600" i="1"/>
  <c r="AP606" i="1"/>
  <c r="AP603" i="1"/>
  <c r="AP637" i="1"/>
  <c r="AP638" i="1" s="1"/>
  <c r="AT183" i="1"/>
  <c r="AT16" i="1" s="1"/>
  <c r="AT19" i="1" s="1"/>
  <c r="AT31" i="9" s="1"/>
  <c r="AP16" i="1"/>
  <c r="BW36" i="9"/>
  <c r="BW402" i="1"/>
  <c r="BW61" i="9" s="1"/>
  <c r="BX470" i="1"/>
  <c r="BH537" i="1"/>
  <c r="BH541" i="1" s="1"/>
  <c r="BH554" i="1" s="1"/>
  <c r="BH562" i="1" s="1"/>
  <c r="BG554" i="1"/>
  <c r="BG562" i="1" s="1"/>
  <c r="BO2" i="9"/>
  <c r="BN1321" i="1"/>
  <c r="BM1321" i="1"/>
  <c r="BO5" i="11"/>
  <c r="BO5" i="13"/>
  <c r="BN610" i="1"/>
  <c r="BM610" i="1"/>
  <c r="BN672" i="1"/>
  <c r="BM672" i="1"/>
  <c r="BP5" i="1"/>
  <c r="AV681" i="1"/>
  <c r="AV675" i="1"/>
  <c r="AV678" i="1"/>
  <c r="BC692" i="1"/>
  <c r="BD692" i="1" s="1"/>
  <c r="BC689" i="1"/>
  <c r="BD689" i="1" s="1"/>
  <c r="AZ647" i="1"/>
  <c r="AZ651" i="1" s="1"/>
  <c r="AX683" i="1"/>
  <c r="AX680" i="1"/>
  <c r="AT163" i="1"/>
  <c r="AT52" i="1"/>
  <c r="AR690" i="1"/>
  <c r="AR687" i="1"/>
  <c r="AR688" i="1" s="1"/>
  <c r="AR693" i="1"/>
  <c r="CF5" i="9"/>
  <c r="CF6" i="9" s="1"/>
  <c r="CF1008" i="1"/>
  <c r="CF999" i="1" s="1"/>
  <c r="AD1164" i="1"/>
  <c r="BW625" i="1"/>
  <c r="BV625" i="1"/>
  <c r="BT625" i="1"/>
  <c r="BX607" i="1"/>
  <c r="BX625" i="1"/>
  <c r="BU625" i="1"/>
  <c r="AU405" i="1"/>
  <c r="AU669" i="1"/>
  <c r="AO606" i="1"/>
  <c r="AO600" i="1"/>
  <c r="AZ620" i="1"/>
  <c r="AZ617" i="1"/>
  <c r="AZ614" i="1"/>
  <c r="AU688" i="1"/>
  <c r="N149" i="10"/>
  <c r="N122" i="10"/>
  <c r="N165" i="10"/>
  <c r="N130" i="10"/>
  <c r="N106" i="10"/>
  <c r="N146" i="10"/>
  <c r="N120" i="10"/>
  <c r="N105" i="10"/>
  <c r="N102" i="10"/>
  <c r="N131" i="10"/>
  <c r="N109" i="10"/>
  <c r="N127" i="10"/>
  <c r="N143" i="10"/>
  <c r="N139" i="10"/>
  <c r="N103" i="10"/>
  <c r="N145" i="10"/>
  <c r="N142" i="10"/>
  <c r="N133" i="10"/>
  <c r="N304" i="10"/>
  <c r="N121" i="10"/>
  <c r="N115" i="10"/>
  <c r="N107" i="10"/>
  <c r="N152" i="10"/>
  <c r="N118" i="10"/>
  <c r="N153" i="10"/>
  <c r="N128" i="10"/>
  <c r="N119" i="10"/>
  <c r="N108" i="10"/>
  <c r="N140" i="10"/>
  <c r="N110" i="10"/>
  <c r="N116" i="10"/>
  <c r="N132" i="10"/>
  <c r="AP171" i="1" l="1"/>
  <c r="BD713" i="1"/>
  <c r="Q152" i="10"/>
  <c r="P152" i="10"/>
  <c r="Q145" i="10"/>
  <c r="P145" i="10"/>
  <c r="Q102" i="10"/>
  <c r="P102" i="10"/>
  <c r="Q130" i="10"/>
  <c r="P130" i="10"/>
  <c r="Q106" i="10"/>
  <c r="P106" i="10"/>
  <c r="Q149" i="10"/>
  <c r="P149" i="10"/>
  <c r="P131" i="10"/>
  <c r="Q131" i="10"/>
  <c r="P118" i="10"/>
  <c r="Q118" i="10"/>
  <c r="Q165" i="10"/>
  <c r="P165" i="10"/>
  <c r="Q146" i="10"/>
  <c r="P146" i="10"/>
  <c r="Q132" i="10"/>
  <c r="P132" i="10"/>
  <c r="Q122" i="10"/>
  <c r="P122" i="10"/>
  <c r="P120" i="10"/>
  <c r="Q120" i="10"/>
  <c r="P108" i="10"/>
  <c r="Q108" i="10"/>
  <c r="Q143" i="10"/>
  <c r="P143" i="10"/>
  <c r="Q116" i="10"/>
  <c r="P116" i="10"/>
  <c r="Q110" i="10"/>
  <c r="P110" i="10"/>
  <c r="P119" i="10"/>
  <c r="Q119" i="10"/>
  <c r="P107" i="10"/>
  <c r="Q107" i="10"/>
  <c r="P115" i="10"/>
  <c r="Q115" i="10"/>
  <c r="P139" i="10"/>
  <c r="Q139" i="10"/>
  <c r="Q133" i="10"/>
  <c r="P133" i="10"/>
  <c r="P109" i="10"/>
  <c r="Q109" i="10"/>
  <c r="P142" i="10"/>
  <c r="Q142" i="10"/>
  <c r="P105" i="10"/>
  <c r="Q105" i="10"/>
  <c r="P140" i="10"/>
  <c r="Q140" i="10"/>
  <c r="P128" i="10"/>
  <c r="Q128" i="10"/>
  <c r="P153" i="10"/>
  <c r="Q153" i="10"/>
  <c r="P127" i="10"/>
  <c r="Q127" i="10"/>
  <c r="P121" i="10"/>
  <c r="Q121" i="10"/>
  <c r="P103" i="10"/>
  <c r="Q103" i="10"/>
  <c r="P304" i="10"/>
  <c r="Q304" i="10"/>
  <c r="BM1330" i="1"/>
  <c r="BM1322" i="1"/>
  <c r="BM611" i="1" s="1"/>
  <c r="BM1332" i="1"/>
  <c r="BM686" i="1" s="1"/>
  <c r="BM1324" i="1"/>
  <c r="BM1333" i="1"/>
  <c r="BM1327" i="1"/>
  <c r="BM1328" i="1"/>
  <c r="BM673" i="1" s="1"/>
  <c r="BM1326" i="1"/>
  <c r="BM1325" i="1"/>
  <c r="BM1331" i="1"/>
  <c r="BM685" i="1" s="1"/>
  <c r="BM1329" i="1"/>
  <c r="BM674" i="1" s="1"/>
  <c r="BM1323" i="1"/>
  <c r="BM612" i="1" s="1"/>
  <c r="AP17" i="1"/>
  <c r="AP29" i="9" s="1"/>
  <c r="AP19" i="1"/>
  <c r="AP31" i="9" s="1"/>
  <c r="AQ17" i="1"/>
  <c r="AQ29" i="9" s="1"/>
  <c r="BK704" i="1"/>
  <c r="BK707" i="1"/>
  <c r="AV1158" i="1"/>
  <c r="AV1159" i="1" s="1"/>
  <c r="AU1164" i="1"/>
  <c r="AN405" i="1"/>
  <c r="AN669" i="1"/>
  <c r="BT5" i="11"/>
  <c r="BT5" i="13"/>
  <c r="BT2" i="9"/>
  <c r="BR1321" i="1"/>
  <c r="BS1321" i="1"/>
  <c r="BS672" i="1"/>
  <c r="BR672" i="1"/>
  <c r="BS610" i="1"/>
  <c r="BR610" i="1"/>
  <c r="BU5" i="1"/>
  <c r="BI663" i="1"/>
  <c r="BC716" i="1"/>
  <c r="O491" i="1"/>
  <c r="O503" i="1"/>
  <c r="O502" i="1"/>
  <c r="BB624" i="1"/>
  <c r="BB623" i="1"/>
  <c r="BJ1327" i="1"/>
  <c r="BJ1329" i="1"/>
  <c r="BJ674" i="1" s="1"/>
  <c r="BJ1332" i="1"/>
  <c r="BJ686" i="1" s="1"/>
  <c r="BJ1330" i="1"/>
  <c r="BJ1326" i="1"/>
  <c r="BJ1333" i="1"/>
  <c r="BJ1328" i="1"/>
  <c r="BJ673" i="1" s="1"/>
  <c r="BJ1331" i="1"/>
  <c r="BJ685" i="1" s="1"/>
  <c r="BJ1322" i="1"/>
  <c r="BJ611" i="1" s="1"/>
  <c r="BJ1324" i="1"/>
  <c r="BJ1323" i="1"/>
  <c r="BJ612" i="1" s="1"/>
  <c r="BJ1325" i="1"/>
  <c r="BH706" i="1"/>
  <c r="BH703" i="1"/>
  <c r="BH633" i="1"/>
  <c r="BH630" i="1"/>
  <c r="AR602" i="1"/>
  <c r="AR605" i="1"/>
  <c r="AR464" i="1"/>
  <c r="AR30" i="1" s="1"/>
  <c r="AR599" i="1"/>
  <c r="BD667" i="1"/>
  <c r="BX37" i="9"/>
  <c r="BX403" i="1"/>
  <c r="BX62" i="9" s="1"/>
  <c r="BG564" i="1"/>
  <c r="BG569" i="1"/>
  <c r="AN605" i="1"/>
  <c r="AN602" i="1"/>
  <c r="AN464" i="1"/>
  <c r="AN30" i="1" s="1"/>
  <c r="AN599" i="1"/>
  <c r="BI675" i="1"/>
  <c r="BI678" i="1"/>
  <c r="AQ657" i="1"/>
  <c r="AQ660" i="1"/>
  <c r="AQ654" i="1"/>
  <c r="BF1331" i="1"/>
  <c r="BF685" i="1" s="1"/>
  <c r="BF1323" i="1"/>
  <c r="BF612" i="1" s="1"/>
  <c r="BF1333" i="1"/>
  <c r="BF1325" i="1"/>
  <c r="BF1332" i="1"/>
  <c r="BF686" i="1" s="1"/>
  <c r="BF1322" i="1"/>
  <c r="BF611" i="1" s="1"/>
  <c r="BF1327" i="1"/>
  <c r="BF1324" i="1"/>
  <c r="BF1330" i="1"/>
  <c r="BF1329" i="1"/>
  <c r="BF674" i="1" s="1"/>
  <c r="BF1328" i="1"/>
  <c r="BF673" i="1" s="1"/>
  <c r="BF1326" i="1"/>
  <c r="AT606" i="1"/>
  <c r="AT600" i="1"/>
  <c r="AZ683" i="1"/>
  <c r="BA647" i="1"/>
  <c r="BA651" i="1" s="1"/>
  <c r="AZ680" i="1"/>
  <c r="AY79" i="1"/>
  <c r="AU164" i="1"/>
  <c r="AV691" i="1"/>
  <c r="AW663" i="1"/>
  <c r="AW667" i="1" s="1"/>
  <c r="AV694" i="1"/>
  <c r="BK633" i="1"/>
  <c r="BK630" i="1"/>
  <c r="BG708" i="1"/>
  <c r="BI650" i="1"/>
  <c r="BD680" i="1"/>
  <c r="BD683" i="1"/>
  <c r="BQ1349" i="1"/>
  <c r="BQ710" i="1" s="1"/>
  <c r="BQ714" i="1" s="1"/>
  <c r="BQ1341" i="1"/>
  <c r="BQ629" i="1" s="1"/>
  <c r="BQ1351" i="1"/>
  <c r="BQ1343" i="1"/>
  <c r="BQ1347" i="1"/>
  <c r="BQ702" i="1" s="1"/>
  <c r="BQ1345" i="1"/>
  <c r="BQ1350" i="1"/>
  <c r="BQ711" i="1" s="1"/>
  <c r="BQ1342" i="1"/>
  <c r="BQ1346" i="1"/>
  <c r="BQ701" i="1" s="1"/>
  <c r="BQ1348" i="1"/>
  <c r="BQ1344" i="1"/>
  <c r="BQ1340" i="1"/>
  <c r="BQ628" i="1" s="1"/>
  <c r="BC713" i="1"/>
  <c r="BG639" i="1"/>
  <c r="BG635" i="1"/>
  <c r="BG643" i="1"/>
  <c r="BG640" i="1"/>
  <c r="BI596" i="1"/>
  <c r="AZ602" i="1"/>
  <c r="AZ605" i="1"/>
  <c r="AZ464" i="1"/>
  <c r="AZ30" i="1" s="1"/>
  <c r="AZ599" i="1"/>
  <c r="BJ634" i="1"/>
  <c r="BJ631" i="1"/>
  <c r="BA690" i="1"/>
  <c r="BA687" i="1"/>
  <c r="BA688" i="1" s="1"/>
  <c r="BA693" i="1"/>
  <c r="AZ644" i="1"/>
  <c r="BA642" i="1"/>
  <c r="BA644" i="1" s="1"/>
  <c r="BE681" i="1"/>
  <c r="BE675" i="1"/>
  <c r="BE678" i="1"/>
  <c r="AI657" i="1"/>
  <c r="AI654" i="1"/>
  <c r="AW681" i="1"/>
  <c r="AW678" i="1"/>
  <c r="AW675" i="1"/>
  <c r="AW677" i="1" s="1"/>
  <c r="AM606" i="1"/>
  <c r="AM603" i="1"/>
  <c r="AM637" i="1"/>
  <c r="AM638" i="1" s="1"/>
  <c r="AM600" i="1"/>
  <c r="BL631" i="1"/>
  <c r="BL634" i="1"/>
  <c r="BI687" i="1"/>
  <c r="BI688" i="1" s="1"/>
  <c r="AM654" i="1"/>
  <c r="AM660" i="1"/>
  <c r="AM657" i="1"/>
  <c r="BM537" i="1"/>
  <c r="BM541" i="1" s="1"/>
  <c r="BM554" i="1" s="1"/>
  <c r="BM562" i="1" s="1"/>
  <c r="BL554" i="1"/>
  <c r="BL562" i="1" s="1"/>
  <c r="AR694" i="1"/>
  <c r="AS663" i="1"/>
  <c r="AS667" i="1" s="1"/>
  <c r="AR691" i="1"/>
  <c r="BH569" i="1"/>
  <c r="BH564" i="1"/>
  <c r="AU86" i="1"/>
  <c r="AY84" i="1"/>
  <c r="AY86" i="1" s="1"/>
  <c r="AU85" i="1"/>
  <c r="AV85" i="1"/>
  <c r="BF640" i="1"/>
  <c r="BF639" i="1"/>
  <c r="BF643" i="1"/>
  <c r="BF635" i="1"/>
  <c r="BI595" i="1"/>
  <c r="AZ691" i="1"/>
  <c r="AZ694" i="1"/>
  <c r="BA663" i="1"/>
  <c r="BA667" i="1" s="1"/>
  <c r="AY605" i="1"/>
  <c r="AY464" i="1"/>
  <c r="AY30" i="1" s="1"/>
  <c r="AY599" i="1"/>
  <c r="BI703" i="1"/>
  <c r="BI708" i="1" s="1"/>
  <c r="BI706" i="1"/>
  <c r="AQ1164" i="1"/>
  <c r="AR1158" i="1"/>
  <c r="AR1159" i="1" s="1"/>
  <c r="AT654" i="1"/>
  <c r="AT660" i="1"/>
  <c r="BS569" i="1"/>
  <c r="BS564" i="1"/>
  <c r="AZ677" i="1"/>
  <c r="O760" i="1"/>
  <c r="O761" i="1"/>
  <c r="J5" i="9"/>
  <c r="J1008" i="1"/>
  <c r="AU119" i="1"/>
  <c r="AU124" i="1"/>
  <c r="AW614" i="1"/>
  <c r="AW620" i="1"/>
  <c r="AW617" i="1"/>
  <c r="BH682" i="1"/>
  <c r="BI682" i="1" s="1"/>
  <c r="BH676" i="1"/>
  <c r="BH679" i="1"/>
  <c r="BC691" i="1"/>
  <c r="BD691" i="1" s="1"/>
  <c r="BC694" i="1"/>
  <c r="BD694" i="1" s="1"/>
  <c r="BE663" i="1"/>
  <c r="BE667" i="1" s="1"/>
  <c r="BL703" i="1"/>
  <c r="BL706" i="1"/>
  <c r="BI617" i="1"/>
  <c r="BI614" i="1"/>
  <c r="BX36" i="9"/>
  <c r="BX402" i="1"/>
  <c r="BX61" i="9" s="1"/>
  <c r="AV405" i="1"/>
  <c r="AV669" i="1"/>
  <c r="AZ623" i="1"/>
  <c r="AZ624" i="1"/>
  <c r="AT146" i="1"/>
  <c r="AY50" i="1"/>
  <c r="AT54" i="1"/>
  <c r="AT23" i="9" s="1"/>
  <c r="AU50" i="1"/>
  <c r="BB1327" i="1"/>
  <c r="BB1329" i="1"/>
  <c r="BB674" i="1" s="1"/>
  <c r="BB1324" i="1"/>
  <c r="BB1322" i="1"/>
  <c r="BB611" i="1" s="1"/>
  <c r="BB1333" i="1"/>
  <c r="BB1325" i="1"/>
  <c r="BB1328" i="1"/>
  <c r="BB673" i="1" s="1"/>
  <c r="BB1323" i="1"/>
  <c r="BB612" i="1" s="1"/>
  <c r="BB1326" i="1"/>
  <c r="BB1330" i="1"/>
  <c r="BB1332" i="1"/>
  <c r="BB686" i="1" s="1"/>
  <c r="BB1331" i="1"/>
  <c r="BB685" i="1" s="1"/>
  <c r="AZ405" i="1"/>
  <c r="AZ669" i="1"/>
  <c r="AU603" i="1"/>
  <c r="AU637" i="1"/>
  <c r="AU638" i="1" s="1"/>
  <c r="AU606" i="1"/>
  <c r="AU600" i="1"/>
  <c r="BA696" i="1"/>
  <c r="BA697" i="1"/>
  <c r="BB697" i="1"/>
  <c r="BB696" i="1"/>
  <c r="BI712" i="1"/>
  <c r="BI716" i="1" s="1"/>
  <c r="BI715" i="1"/>
  <c r="BI713" i="1"/>
  <c r="BX2" i="9"/>
  <c r="BX5" i="13"/>
  <c r="BS1339" i="1"/>
  <c r="BX5" i="11"/>
  <c r="BT1339" i="1"/>
  <c r="BR1339" i="1"/>
  <c r="BX1354" i="1"/>
  <c r="BR700" i="1"/>
  <c r="BT627" i="1"/>
  <c r="BS627" i="1"/>
  <c r="BS700" i="1"/>
  <c r="BT700" i="1"/>
  <c r="BR627" i="1"/>
  <c r="CC5" i="1"/>
  <c r="BY5" i="1"/>
  <c r="AQ600" i="1"/>
  <c r="AQ603" i="1"/>
  <c r="AQ606" i="1"/>
  <c r="AQ637" i="1"/>
  <c r="AQ638" i="1" s="1"/>
  <c r="BT569" i="1"/>
  <c r="BT564" i="1"/>
  <c r="AR621" i="1"/>
  <c r="AR618" i="1"/>
  <c r="AS593" i="1"/>
  <c r="AS597" i="1" s="1"/>
  <c r="AR405" i="1"/>
  <c r="AR669" i="1"/>
  <c r="K529" i="1"/>
  <c r="K527" i="1"/>
  <c r="BJ703" i="1"/>
  <c r="BJ706" i="1"/>
  <c r="BJ712" i="1"/>
  <c r="BJ713" i="1" s="1"/>
  <c r="BJ715" i="1"/>
  <c r="AU657" i="1"/>
  <c r="AU654" i="1"/>
  <c r="AU660" i="1"/>
  <c r="BA689" i="1"/>
  <c r="BA692" i="1"/>
  <c r="AV605" i="1"/>
  <c r="AV602" i="1"/>
  <c r="AV464" i="1"/>
  <c r="AV30" i="1" s="1"/>
  <c r="AV599" i="1"/>
  <c r="AZ697" i="1"/>
  <c r="AZ696" i="1"/>
  <c r="BD624" i="1"/>
  <c r="BD597" i="1"/>
  <c r="BD623" i="1"/>
  <c r="BC624" i="1"/>
  <c r="BC623" i="1"/>
  <c r="AP8" i="1"/>
  <c r="AP12" i="1"/>
  <c r="BE676" i="1"/>
  <c r="BE677" i="1"/>
  <c r="BE682" i="1"/>
  <c r="BE679" i="1"/>
  <c r="AW676" i="1"/>
  <c r="AW682" i="1"/>
  <c r="AW679" i="1"/>
  <c r="BC688" i="1"/>
  <c r="BL715" i="1"/>
  <c r="BL712" i="1"/>
  <c r="BL713" i="1" s="1"/>
  <c r="BI616" i="1"/>
  <c r="BI613" i="1"/>
  <c r="BI615" i="1" s="1"/>
  <c r="BH2" i="9"/>
  <c r="BH5" i="11"/>
  <c r="BH5" i="13"/>
  <c r="BG1321" i="1"/>
  <c r="BG610" i="1"/>
  <c r="BG672" i="1"/>
  <c r="BF708" i="1"/>
  <c r="BI649" i="1"/>
  <c r="BP2" i="9"/>
  <c r="BP5" i="11"/>
  <c r="BP5" i="13"/>
  <c r="BO1321" i="1"/>
  <c r="BO672" i="1"/>
  <c r="BO610" i="1"/>
  <c r="BQ5" i="1"/>
  <c r="BN1331" i="1"/>
  <c r="BN685" i="1" s="1"/>
  <c r="BN1323" i="1"/>
  <c r="BN612" i="1" s="1"/>
  <c r="BN1333" i="1"/>
  <c r="BN1325" i="1"/>
  <c r="BN1327" i="1"/>
  <c r="BN1322" i="1"/>
  <c r="BN611" i="1" s="1"/>
  <c r="BN1329" i="1"/>
  <c r="BN674" i="1" s="1"/>
  <c r="BN1332" i="1"/>
  <c r="BN686" i="1" s="1"/>
  <c r="BN1330" i="1"/>
  <c r="BN1328" i="1"/>
  <c r="BN673" i="1" s="1"/>
  <c r="BN1326" i="1"/>
  <c r="BN1324" i="1"/>
  <c r="AZ621" i="1"/>
  <c r="AZ618" i="1"/>
  <c r="BA593" i="1"/>
  <c r="BA597" i="1" s="1"/>
  <c r="AZ656" i="1"/>
  <c r="AZ659" i="1"/>
  <c r="AZ473" i="1"/>
  <c r="AZ653" i="1"/>
  <c r="BI679" i="1"/>
  <c r="BI676" i="1"/>
  <c r="BI677" i="1"/>
  <c r="AT167" i="1"/>
  <c r="AW647" i="1"/>
  <c r="AW651" i="1" s="1"/>
  <c r="AV680" i="1"/>
  <c r="AV683" i="1"/>
  <c r="AV688" i="1"/>
  <c r="BI630" i="1"/>
  <c r="BI635" i="1" s="1"/>
  <c r="BI633" i="1"/>
  <c r="BO1347" i="1"/>
  <c r="BO702" i="1" s="1"/>
  <c r="BO1349" i="1"/>
  <c r="BO710" i="1" s="1"/>
  <c r="BO714" i="1" s="1"/>
  <c r="BO1341" i="1"/>
  <c r="BO629" i="1" s="1"/>
  <c r="BO1338" i="1"/>
  <c r="BO1343" i="1"/>
  <c r="BO1350" i="1"/>
  <c r="BO711" i="1" s="1"/>
  <c r="BO1345" i="1"/>
  <c r="BO1351" i="1"/>
  <c r="BO1342" i="1"/>
  <c r="BO1348" i="1"/>
  <c r="BO1346" i="1"/>
  <c r="BO701" i="1" s="1"/>
  <c r="BO1340" i="1"/>
  <c r="BO628" i="1" s="1"/>
  <c r="BO1344" i="1"/>
  <c r="AV659" i="1"/>
  <c r="AV473" i="1"/>
  <c r="AV656" i="1"/>
  <c r="AV653" i="1"/>
  <c r="AV677" i="1"/>
  <c r="BF632" i="1"/>
  <c r="BD677" i="1"/>
  <c r="BJ705" i="1"/>
  <c r="BJ707" i="1"/>
  <c r="BJ704" i="1"/>
  <c r="BE716" i="1"/>
  <c r="BI664" i="1"/>
  <c r="BA619" i="1"/>
  <c r="BA613" i="1"/>
  <c r="BB642" i="1" s="1"/>
  <c r="BB644" i="1" s="1"/>
  <c r="BA616" i="1"/>
  <c r="BL5" i="11"/>
  <c r="BL5" i="13"/>
  <c r="BL2" i="9"/>
  <c r="BK1321" i="1"/>
  <c r="BK672" i="1"/>
  <c r="BK610" i="1"/>
  <c r="BM5" i="1"/>
  <c r="BE692" i="1"/>
  <c r="BE689" i="1"/>
  <c r="R3" i="13"/>
  <c r="R3" i="11"/>
  <c r="AW692" i="1"/>
  <c r="AW689" i="1"/>
  <c r="AW693" i="1"/>
  <c r="AW690" i="1"/>
  <c r="AW687" i="1"/>
  <c r="AW688" i="1" s="1"/>
  <c r="BH620" i="1"/>
  <c r="BI620" i="1" s="1"/>
  <c r="BH614" i="1"/>
  <c r="BH617" i="1"/>
  <c r="BE642" i="1"/>
  <c r="BI593" i="1"/>
  <c r="BC635" i="1"/>
  <c r="BK715" i="1"/>
  <c r="BK712" i="1"/>
  <c r="BK713" i="1" s="1"/>
  <c r="BK706" i="1"/>
  <c r="BK703" i="1"/>
  <c r="BD1158" i="1"/>
  <c r="BD1159" i="1" s="1"/>
  <c r="AZ1158" i="1"/>
  <c r="AZ1159" i="1" s="1"/>
  <c r="AY1164" i="1"/>
  <c r="BI665" i="1"/>
  <c r="BF716" i="1"/>
  <c r="AY98" i="1"/>
  <c r="AT148" i="1"/>
  <c r="AU98" i="1"/>
  <c r="AT102" i="1"/>
  <c r="AT25" i="9" s="1"/>
  <c r="BP1348" i="1"/>
  <c r="BP1340" i="1"/>
  <c r="BP628" i="1" s="1"/>
  <c r="BP1350" i="1"/>
  <c r="BP711" i="1" s="1"/>
  <c r="BP1342" i="1"/>
  <c r="BP1343" i="1"/>
  <c r="BP1341" i="1"/>
  <c r="BP629" i="1" s="1"/>
  <c r="BP1351" i="1"/>
  <c r="BP1338" i="1"/>
  <c r="BP1346" i="1"/>
  <c r="BP701" i="1" s="1"/>
  <c r="BP1345" i="1"/>
  <c r="BP1347" i="1"/>
  <c r="BP702" i="1" s="1"/>
  <c r="BP1344" i="1"/>
  <c r="BP1349" i="1"/>
  <c r="BP710" i="1" s="1"/>
  <c r="BP714" i="1" s="1"/>
  <c r="BI666" i="1"/>
  <c r="BI667" i="1" s="1"/>
  <c r="BG716" i="1"/>
  <c r="BD705" i="1"/>
  <c r="M107" i="9"/>
  <c r="M111" i="9"/>
  <c r="AI600" i="1"/>
  <c r="AI606" i="1"/>
  <c r="AI603" i="1"/>
  <c r="BX1106" i="1"/>
  <c r="BW1247" i="1"/>
  <c r="AR683" i="1"/>
  <c r="AS647" i="1"/>
  <c r="AS651" i="1" s="1"/>
  <c r="AR680" i="1"/>
  <c r="BH707" i="1"/>
  <c r="BH704" i="1"/>
  <c r="BH705" i="1"/>
  <c r="S1397" i="1"/>
  <c r="S1" i="9"/>
  <c r="S515" i="1"/>
  <c r="T4" i="1"/>
  <c r="S3" i="1"/>
  <c r="S1367" i="1" s="1"/>
  <c r="S4" i="11"/>
  <c r="S4" i="13"/>
  <c r="AW619" i="1"/>
  <c r="AW613" i="1"/>
  <c r="AW616" i="1"/>
  <c r="BH692" i="1"/>
  <c r="BI692" i="1" s="1"/>
  <c r="BH689" i="1"/>
  <c r="BI689" i="1" s="1"/>
  <c r="BH675" i="1"/>
  <c r="BH677" i="1" s="1"/>
  <c r="BH678" i="1"/>
  <c r="BH681" i="1"/>
  <c r="BI681" i="1" s="1"/>
  <c r="AV618" i="1"/>
  <c r="AW593" i="1"/>
  <c r="AW597" i="1" s="1"/>
  <c r="AV621" i="1"/>
  <c r="AP172" i="1"/>
  <c r="AP174" i="1"/>
  <c r="V1091" i="1"/>
  <c r="U1269" i="1"/>
  <c r="J99" i="9"/>
  <c r="L99" i="9"/>
  <c r="L102" i="9" s="1"/>
  <c r="M99" i="9"/>
  <c r="M102" i="9" s="1"/>
  <c r="N99" i="9"/>
  <c r="N102" i="9" s="1"/>
  <c r="BD621" i="1"/>
  <c r="BD618" i="1"/>
  <c r="BK634" i="1"/>
  <c r="BK631" i="1"/>
  <c r="BK632" i="1"/>
  <c r="BF713" i="1"/>
  <c r="AT173" i="1"/>
  <c r="BI704" i="1"/>
  <c r="BI705" i="1"/>
  <c r="BI707" i="1"/>
  <c r="BI632" i="1"/>
  <c r="BI631" i="1"/>
  <c r="BI634" i="1"/>
  <c r="BM1345" i="1"/>
  <c r="BM1347" i="1"/>
  <c r="BM702" i="1" s="1"/>
  <c r="BM1346" i="1"/>
  <c r="BM701" i="1" s="1"/>
  <c r="BM1344" i="1"/>
  <c r="BM1340" i="1"/>
  <c r="BM628" i="1" s="1"/>
  <c r="BM1351" i="1"/>
  <c r="BM1349" i="1"/>
  <c r="BM710" i="1" s="1"/>
  <c r="BM714" i="1" s="1"/>
  <c r="BM1338" i="1"/>
  <c r="BM1343" i="1"/>
  <c r="BM1341" i="1"/>
  <c r="BM629" i="1" s="1"/>
  <c r="BM1350" i="1"/>
  <c r="BM711" i="1" s="1"/>
  <c r="BM1348" i="1"/>
  <c r="BM1342" i="1"/>
  <c r="BG713" i="1"/>
  <c r="BE640" i="1"/>
  <c r="BE635" i="1"/>
  <c r="BE639" i="1"/>
  <c r="BI594" i="1"/>
  <c r="BE643" i="1"/>
  <c r="N107" i="9"/>
  <c r="N111" i="9"/>
  <c r="BO564" i="1"/>
  <c r="BO569" i="1"/>
  <c r="BJ630" i="1"/>
  <c r="BJ633" i="1"/>
  <c r="BI648" i="1"/>
  <c r="BE708" i="1"/>
  <c r="BA679" i="1"/>
  <c r="BA676" i="1"/>
  <c r="BA682" i="1"/>
  <c r="BA675" i="1"/>
  <c r="BA677" i="1" s="1"/>
  <c r="BA678" i="1"/>
  <c r="BA681" i="1"/>
  <c r="BA624" i="1"/>
  <c r="BA623" i="1"/>
  <c r="BC618" i="1"/>
  <c r="BC621" i="1"/>
  <c r="BE593" i="1"/>
  <c r="BE597" i="1" s="1"/>
  <c r="BE693" i="1"/>
  <c r="BE687" i="1"/>
  <c r="BE688" i="1" s="1"/>
  <c r="BE690" i="1"/>
  <c r="BH613" i="1"/>
  <c r="BH616" i="1"/>
  <c r="BH619" i="1"/>
  <c r="BI619" i="1" s="1"/>
  <c r="BL705" i="1"/>
  <c r="BL704" i="1"/>
  <c r="BL707" i="1"/>
  <c r="BC697" i="1"/>
  <c r="BD696" i="1"/>
  <c r="BC696" i="1"/>
  <c r="BD651" i="1"/>
  <c r="BD697" i="1"/>
  <c r="BK569" i="1"/>
  <c r="BK564" i="1"/>
  <c r="BN1346" i="1"/>
  <c r="BN701" i="1" s="1"/>
  <c r="BN1338" i="1"/>
  <c r="BN1348" i="1"/>
  <c r="BN1340" i="1"/>
  <c r="BN628" i="1" s="1"/>
  <c r="BN1351" i="1"/>
  <c r="BN1349" i="1"/>
  <c r="BN710" i="1" s="1"/>
  <c r="BN714" i="1" s="1"/>
  <c r="BN1347" i="1"/>
  <c r="BN702" i="1" s="1"/>
  <c r="BN1350" i="1"/>
  <c r="BN711" i="1" s="1"/>
  <c r="BN1342" i="1"/>
  <c r="BN1345" i="1"/>
  <c r="BN1343" i="1"/>
  <c r="BN1341" i="1"/>
  <c r="BN629" i="1" s="1"/>
  <c r="BN1344" i="1"/>
  <c r="BX38" i="9"/>
  <c r="BX63" i="9" s="1"/>
  <c r="BX398" i="1"/>
  <c r="AR659" i="1"/>
  <c r="AR656" i="1"/>
  <c r="AR473" i="1"/>
  <c r="AR653" i="1"/>
  <c r="AN656" i="1"/>
  <c r="AN473" i="1"/>
  <c r="AN659" i="1"/>
  <c r="AN653" i="1"/>
  <c r="BC683" i="1"/>
  <c r="BC680" i="1"/>
  <c r="BE647" i="1"/>
  <c r="BE651" i="1" s="1"/>
  <c r="AN1158" i="1"/>
  <c r="AN1159" i="1" s="1"/>
  <c r="AM1164" i="1"/>
  <c r="L107" i="9"/>
  <c r="L111" i="9"/>
  <c r="BQ537" i="1"/>
  <c r="BQ541" i="1" s="1"/>
  <c r="BP554" i="1"/>
  <c r="BP562" i="1" s="1"/>
  <c r="AY659" i="1"/>
  <c r="AY473" i="1"/>
  <c r="AY653" i="1"/>
  <c r="BA615" i="1"/>
  <c r="BA617" i="1"/>
  <c r="BA614" i="1"/>
  <c r="BA620" i="1"/>
  <c r="BH632" i="1"/>
  <c r="BH634" i="1"/>
  <c r="BH631" i="1"/>
  <c r="BH715" i="1"/>
  <c r="BH712" i="1"/>
  <c r="BH713" i="1" s="1"/>
  <c r="BE614" i="1"/>
  <c r="BE617" i="1"/>
  <c r="BE620" i="1"/>
  <c r="BE619" i="1"/>
  <c r="BE613" i="1"/>
  <c r="BE616" i="1"/>
  <c r="AI1164" i="1"/>
  <c r="BH693" i="1"/>
  <c r="BI693" i="1" s="1"/>
  <c r="BH687" i="1"/>
  <c r="BH688" i="1" s="1"/>
  <c r="BH690" i="1"/>
  <c r="BI690" i="1" s="1"/>
  <c r="BL630" i="1"/>
  <c r="BL633" i="1"/>
  <c r="BI647" i="1"/>
  <c r="BC708" i="1"/>
  <c r="N137" i="10"/>
  <c r="N54" i="10"/>
  <c r="N81" i="10"/>
  <c r="N78" i="10"/>
  <c r="N75" i="10"/>
  <c r="N50" i="10"/>
  <c r="N65" i="10"/>
  <c r="N94" i="10"/>
  <c r="N79" i="10"/>
  <c r="N100" i="10"/>
  <c r="N66" i="10"/>
  <c r="N67" i="10"/>
  <c r="N113" i="10"/>
  <c r="N62" i="10"/>
  <c r="N91" i="10"/>
  <c r="BX1355" i="1"/>
  <c r="N52" i="10"/>
  <c r="N49" i="10"/>
  <c r="N90" i="10"/>
  <c r="N87" i="10"/>
  <c r="N125" i="10"/>
  <c r="N63" i="10"/>
  <c r="N53" i="10"/>
  <c r="N93" i="10"/>
  <c r="N68" i="10"/>
  <c r="N76" i="10"/>
  <c r="N112" i="10"/>
  <c r="N55" i="10"/>
  <c r="N99" i="10"/>
  <c r="N88" i="10"/>
  <c r="N80" i="10"/>
  <c r="N97" i="10"/>
  <c r="AP175" i="1" l="1"/>
  <c r="P112" i="10"/>
  <c r="Q112" i="10"/>
  <c r="Q88" i="10"/>
  <c r="P88" i="10"/>
  <c r="Q81" i="10"/>
  <c r="P81" i="10"/>
  <c r="P49" i="10"/>
  <c r="Q49" i="10"/>
  <c r="P97" i="10"/>
  <c r="Q97" i="10"/>
  <c r="Q62" i="10"/>
  <c r="P62" i="10"/>
  <c r="Q65" i="10"/>
  <c r="P65" i="10"/>
  <c r="Q100" i="10"/>
  <c r="P100" i="10"/>
  <c r="P91" i="10"/>
  <c r="Q91" i="10"/>
  <c r="P125" i="10"/>
  <c r="Q125" i="10"/>
  <c r="Q66" i="10"/>
  <c r="P66" i="10"/>
  <c r="P75" i="10"/>
  <c r="Q75" i="10"/>
  <c r="Q53" i="10"/>
  <c r="P53" i="10"/>
  <c r="P68" i="10"/>
  <c r="Q68" i="10"/>
  <c r="P90" i="10"/>
  <c r="Q90" i="10"/>
  <c r="P137" i="10"/>
  <c r="Q137" i="10"/>
  <c r="P76" i="10"/>
  <c r="Q76" i="10"/>
  <c r="P99" i="10"/>
  <c r="Q99" i="10"/>
  <c r="P54" i="10"/>
  <c r="Q54" i="10"/>
  <c r="Q52" i="10"/>
  <c r="P52" i="10"/>
  <c r="Q80" i="10"/>
  <c r="P80" i="10"/>
  <c r="Q113" i="10"/>
  <c r="P113" i="10"/>
  <c r="Q50" i="10"/>
  <c r="P50" i="10"/>
  <c r="P79" i="10"/>
  <c r="Q79" i="10"/>
  <c r="Q55" i="10"/>
  <c r="P55" i="10"/>
  <c r="P67" i="10"/>
  <c r="Q67" i="10"/>
  <c r="P78" i="10"/>
  <c r="Q78" i="10"/>
  <c r="Q93" i="10"/>
  <c r="P93" i="10"/>
  <c r="Q63" i="10"/>
  <c r="P63" i="10"/>
  <c r="Q87" i="10"/>
  <c r="P87" i="10"/>
  <c r="P94" i="10"/>
  <c r="Q94" i="10"/>
  <c r="BF663" i="1"/>
  <c r="BF667" i="1" s="1"/>
  <c r="BE691" i="1"/>
  <c r="BE694" i="1"/>
  <c r="BP630" i="1"/>
  <c r="BP633" i="1"/>
  <c r="AX663" i="1"/>
  <c r="AX667" i="1" s="1"/>
  <c r="AW691" i="1"/>
  <c r="AW694" i="1"/>
  <c r="AZ654" i="1"/>
  <c r="AZ657" i="1"/>
  <c r="AZ660" i="1"/>
  <c r="BR1350" i="1"/>
  <c r="BR711" i="1" s="1"/>
  <c r="BR1342" i="1"/>
  <c r="BR1344" i="1"/>
  <c r="BR1347" i="1"/>
  <c r="BR702" i="1" s="1"/>
  <c r="BR1345" i="1"/>
  <c r="BR1341" i="1"/>
  <c r="BR629" i="1" s="1"/>
  <c r="BR1348" i="1"/>
  <c r="BR1346" i="1"/>
  <c r="BR701" i="1" s="1"/>
  <c r="BR1349" i="1"/>
  <c r="BR710" i="1" s="1"/>
  <c r="BR714" i="1" s="1"/>
  <c r="BR1351" i="1"/>
  <c r="BR1343" i="1"/>
  <c r="BR1340" i="1"/>
  <c r="BR628" i="1" s="1"/>
  <c r="BR1338" i="1"/>
  <c r="BB620" i="1"/>
  <c r="BB614" i="1"/>
  <c r="BB617" i="1"/>
  <c r="BF647" i="1"/>
  <c r="BF651" i="1" s="1"/>
  <c r="BE680" i="1"/>
  <c r="BE683" i="1"/>
  <c r="BI696" i="1"/>
  <c r="BI651" i="1"/>
  <c r="BI697" i="1"/>
  <c r="BH697" i="1"/>
  <c r="BH696" i="1"/>
  <c r="AY164" i="1"/>
  <c r="AY80" i="1"/>
  <c r="BF682" i="1"/>
  <c r="BF679" i="1"/>
  <c r="BF676" i="1"/>
  <c r="BF620" i="1"/>
  <c r="BF614" i="1"/>
  <c r="BF617" i="1"/>
  <c r="BM678" i="1"/>
  <c r="BM675" i="1"/>
  <c r="BM681" i="1"/>
  <c r="BN681" i="1" s="1"/>
  <c r="BN634" i="1"/>
  <c r="BN631" i="1"/>
  <c r="BE697" i="1"/>
  <c r="BE696" i="1"/>
  <c r="AR654" i="1"/>
  <c r="AR660" i="1"/>
  <c r="AR657" i="1"/>
  <c r="BN706" i="1"/>
  <c r="BN703" i="1"/>
  <c r="BN708" i="1" s="1"/>
  <c r="BF696" i="1"/>
  <c r="BF697" i="1"/>
  <c r="BF642" i="1"/>
  <c r="BE644" i="1"/>
  <c r="BM712" i="1"/>
  <c r="BM713" i="1" s="1"/>
  <c r="BM715" i="1"/>
  <c r="BM706" i="1"/>
  <c r="BM703" i="1"/>
  <c r="AS659" i="1"/>
  <c r="AS656" i="1"/>
  <c r="AS473" i="1"/>
  <c r="AS653" i="1"/>
  <c r="BP706" i="1"/>
  <c r="BP703" i="1"/>
  <c r="AZ1164" i="1"/>
  <c r="BA1158" i="1"/>
  <c r="BA1159" i="1" s="1"/>
  <c r="BO712" i="1"/>
  <c r="BO713" i="1" s="1"/>
  <c r="BO715" i="1"/>
  <c r="AW656" i="1"/>
  <c r="AW659" i="1"/>
  <c r="AW473" i="1"/>
  <c r="AW653" i="1"/>
  <c r="BN675" i="1"/>
  <c r="BN678" i="1"/>
  <c r="BN617" i="1"/>
  <c r="BN614" i="1"/>
  <c r="BJ708" i="1"/>
  <c r="BN648" i="1"/>
  <c r="BT1344" i="1"/>
  <c r="BT1346" i="1"/>
  <c r="BT701" i="1" s="1"/>
  <c r="BT1338" i="1"/>
  <c r="BT1350" i="1"/>
  <c r="BT711" i="1" s="1"/>
  <c r="BT1348" i="1"/>
  <c r="BT1340" i="1"/>
  <c r="BT628" i="1" s="1"/>
  <c r="BT1351" i="1"/>
  <c r="BT1349" i="1"/>
  <c r="BT710" i="1" s="1"/>
  <c r="BT714" i="1" s="1"/>
  <c r="BT1341" i="1"/>
  <c r="BT629" i="1" s="1"/>
  <c r="BT1345" i="1"/>
  <c r="BT1343" i="1"/>
  <c r="BT1347" i="1"/>
  <c r="BT702" i="1" s="1"/>
  <c r="BT1342" i="1"/>
  <c r="BB678" i="1"/>
  <c r="BB681" i="1"/>
  <c r="BB675" i="1"/>
  <c r="AY124" i="1"/>
  <c r="AY126" i="1" s="1"/>
  <c r="AU125" i="1"/>
  <c r="AU126" i="1"/>
  <c r="AV125" i="1"/>
  <c r="BG623" i="1"/>
  <c r="BG624" i="1"/>
  <c r="BL564" i="1"/>
  <c r="BL569" i="1"/>
  <c r="BA694" i="1"/>
  <c r="BB663" i="1"/>
  <c r="BB667" i="1" s="1"/>
  <c r="BA691" i="1"/>
  <c r="BQ1338" i="1"/>
  <c r="BQ707" i="1"/>
  <c r="BQ704" i="1"/>
  <c r="BF692" i="1"/>
  <c r="BF689" i="1"/>
  <c r="AR603" i="1"/>
  <c r="AR637" i="1"/>
  <c r="AR638" i="1" s="1"/>
  <c r="AR600" i="1"/>
  <c r="AR606" i="1"/>
  <c r="O495" i="1"/>
  <c r="O1259" i="1"/>
  <c r="O1267" i="1"/>
  <c r="P1275" i="1"/>
  <c r="Q1267" i="1"/>
  <c r="N1267" i="1"/>
  <c r="BM634" i="1"/>
  <c r="BM631" i="1"/>
  <c r="BM707" i="1"/>
  <c r="BM704" i="1"/>
  <c r="BM705" i="1"/>
  <c r="AW605" i="1"/>
  <c r="AW602" i="1"/>
  <c r="AW464" i="1"/>
  <c r="AW30" i="1" s="1"/>
  <c r="AW599" i="1"/>
  <c r="AW621" i="1"/>
  <c r="AX593" i="1"/>
  <c r="AX597" i="1" s="1"/>
  <c r="AW618" i="1"/>
  <c r="BE624" i="1"/>
  <c r="BE623" i="1"/>
  <c r="AT172" i="1"/>
  <c r="AT174" i="1"/>
  <c r="AP14" i="1"/>
  <c r="AT12" i="1"/>
  <c r="AT14" i="1" s="1"/>
  <c r="AP13" i="1"/>
  <c r="AQ13" i="1"/>
  <c r="AU51" i="1"/>
  <c r="AU56" i="1"/>
  <c r="AU166" i="1"/>
  <c r="AY119" i="1"/>
  <c r="BM569" i="1"/>
  <c r="BM564" i="1"/>
  <c r="AX647" i="1"/>
  <c r="AX651" i="1" s="1"/>
  <c r="AW680" i="1"/>
  <c r="AW683" i="1"/>
  <c r="BQ633" i="1"/>
  <c r="BQ630" i="1"/>
  <c r="BK643" i="1"/>
  <c r="BK635" i="1"/>
  <c r="BK640" i="1"/>
  <c r="BK639" i="1"/>
  <c r="BN595" i="1"/>
  <c r="BA659" i="1"/>
  <c r="BA656" i="1"/>
  <c r="BA473" i="1"/>
  <c r="BA653" i="1"/>
  <c r="BJ620" i="1"/>
  <c r="BJ614" i="1"/>
  <c r="BJ617" i="1"/>
  <c r="BJ690" i="1"/>
  <c r="BJ687" i="1"/>
  <c r="BJ688" i="1"/>
  <c r="BJ693" i="1"/>
  <c r="BN715" i="1"/>
  <c r="BN712" i="1"/>
  <c r="BN716" i="1" s="1"/>
  <c r="BF623" i="1"/>
  <c r="BF624" i="1"/>
  <c r="AN660" i="1"/>
  <c r="AN657" i="1"/>
  <c r="AN654" i="1"/>
  <c r="BN704" i="1"/>
  <c r="BN707" i="1"/>
  <c r="BA680" i="1"/>
  <c r="BB647" i="1"/>
  <c r="BB651" i="1" s="1"/>
  <c r="BA683" i="1"/>
  <c r="BJ643" i="1"/>
  <c r="BJ640" i="1"/>
  <c r="BJ639" i="1"/>
  <c r="BJ635" i="1"/>
  <c r="BN594" i="1"/>
  <c r="BX1247" i="1"/>
  <c r="AU104" i="1"/>
  <c r="AU99" i="1"/>
  <c r="BE1158" i="1"/>
  <c r="BE1159" i="1" s="1"/>
  <c r="BD1164" i="1"/>
  <c r="BI1158" i="1"/>
  <c r="BI1159" i="1" s="1"/>
  <c r="BO630" i="1"/>
  <c r="BO633" i="1"/>
  <c r="AT171" i="1"/>
  <c r="BN688" i="1"/>
  <c r="BN687" i="1"/>
  <c r="BQ2" i="9"/>
  <c r="BP1321" i="1"/>
  <c r="BQ5" i="11"/>
  <c r="BQ5" i="13"/>
  <c r="BP610" i="1"/>
  <c r="BP672" i="1"/>
  <c r="BR5" i="1"/>
  <c r="BG697" i="1"/>
  <c r="BG696" i="1"/>
  <c r="AV637" i="1"/>
  <c r="AV638" i="1" s="1"/>
  <c r="AV606" i="1"/>
  <c r="AV600" i="1"/>
  <c r="AV603" i="1"/>
  <c r="K5" i="9"/>
  <c r="K1008" i="1"/>
  <c r="BY2" i="9"/>
  <c r="BY1354" i="1"/>
  <c r="BY5" i="13"/>
  <c r="BY5" i="11"/>
  <c r="BZ5" i="1"/>
  <c r="BS1351" i="1"/>
  <c r="BS1343" i="1"/>
  <c r="BS1345" i="1"/>
  <c r="BS1350" i="1"/>
  <c r="BS711" i="1" s="1"/>
  <c r="BS1346" i="1"/>
  <c r="BS701" i="1" s="1"/>
  <c r="BS1344" i="1"/>
  <c r="BS1342" i="1"/>
  <c r="BS1349" i="1"/>
  <c r="BS710" i="1" s="1"/>
  <c r="BS714" i="1" s="1"/>
  <c r="BS1341" i="1"/>
  <c r="BS629" i="1" s="1"/>
  <c r="BS1340" i="1"/>
  <c r="BS628" i="1" s="1"/>
  <c r="BS1347" i="1"/>
  <c r="BS702" i="1" s="1"/>
  <c r="BS1338" i="1"/>
  <c r="BS1348" i="1"/>
  <c r="BN650" i="1"/>
  <c r="BL708" i="1"/>
  <c r="AY600" i="1"/>
  <c r="AY606" i="1"/>
  <c r="BF644" i="1"/>
  <c r="BI597" i="1"/>
  <c r="BI624" i="1"/>
  <c r="BH624" i="1"/>
  <c r="BI623" i="1"/>
  <c r="BH623" i="1"/>
  <c r="BJ679" i="1"/>
  <c r="BJ676" i="1"/>
  <c r="BJ682" i="1"/>
  <c r="BS1328" i="1"/>
  <c r="BS673" i="1" s="1"/>
  <c r="BS1330" i="1"/>
  <c r="BS1322" i="1"/>
  <c r="BS611" i="1" s="1"/>
  <c r="BS1332" i="1"/>
  <c r="BS686" i="1" s="1"/>
  <c r="BS1326" i="1"/>
  <c r="BS1324" i="1"/>
  <c r="BS1323" i="1"/>
  <c r="BS612" i="1" s="1"/>
  <c r="BS1331" i="1"/>
  <c r="BS685" i="1" s="1"/>
  <c r="BS1333" i="1"/>
  <c r="BS1325" i="1"/>
  <c r="BS1327" i="1"/>
  <c r="BS1329" i="1"/>
  <c r="BS674" i="1" s="1"/>
  <c r="AW1158" i="1"/>
  <c r="AW1159" i="1" s="1"/>
  <c r="AV1164" i="1"/>
  <c r="BM614" i="1"/>
  <c r="BM620" i="1"/>
  <c r="BN620" i="1" s="1"/>
  <c r="BM617" i="1"/>
  <c r="BN663" i="1"/>
  <c r="BH716" i="1"/>
  <c r="BP564" i="1"/>
  <c r="BP569" i="1"/>
  <c r="BE656" i="1"/>
  <c r="BE659" i="1"/>
  <c r="BE473" i="1"/>
  <c r="BE653" i="1"/>
  <c r="BN596" i="1"/>
  <c r="BL640" i="1"/>
  <c r="BL639" i="1"/>
  <c r="BL643" i="1"/>
  <c r="BL635" i="1"/>
  <c r="BE621" i="1"/>
  <c r="BE618" i="1"/>
  <c r="BF593" i="1"/>
  <c r="BF597" i="1" s="1"/>
  <c r="BR537" i="1"/>
  <c r="BR541" i="1" s="1"/>
  <c r="BR554" i="1" s="1"/>
  <c r="BR562" i="1" s="1"/>
  <c r="BQ554" i="1"/>
  <c r="BQ562" i="1" s="1"/>
  <c r="BH694" i="1"/>
  <c r="BI694" i="1" s="1"/>
  <c r="BH691" i="1"/>
  <c r="BI691" i="1" s="1"/>
  <c r="BJ663" i="1"/>
  <c r="BJ667" i="1" s="1"/>
  <c r="BE615" i="1"/>
  <c r="BE605" i="1"/>
  <c r="BE602" i="1"/>
  <c r="BE464" i="1"/>
  <c r="BE30" i="1" s="1"/>
  <c r="BE599" i="1"/>
  <c r="BI405" i="1"/>
  <c r="BI669" i="1"/>
  <c r="BP632" i="1"/>
  <c r="BP634" i="1"/>
  <c r="BP631" i="1"/>
  <c r="BK708" i="1"/>
  <c r="BN649" i="1"/>
  <c r="BM2" i="9"/>
  <c r="BM5" i="13"/>
  <c r="BM5" i="11"/>
  <c r="BL1321" i="1"/>
  <c r="BL672" i="1"/>
  <c r="BL610" i="1"/>
  <c r="BA618" i="1"/>
  <c r="BB593" i="1"/>
  <c r="BB597" i="1" s="1"/>
  <c r="BA621" i="1"/>
  <c r="BO703" i="1"/>
  <c r="BO706" i="1"/>
  <c r="BO634" i="1"/>
  <c r="BO631" i="1"/>
  <c r="BO632" i="1"/>
  <c r="BA605" i="1"/>
  <c r="BA602" i="1"/>
  <c r="BA464" i="1"/>
  <c r="BA30" i="1" s="1"/>
  <c r="BA599" i="1"/>
  <c r="BN677" i="1"/>
  <c r="BN676" i="1"/>
  <c r="BN679" i="1"/>
  <c r="BI618" i="1"/>
  <c r="BI621" i="1"/>
  <c r="CC2" i="9"/>
  <c r="CC5" i="11"/>
  <c r="CC1354" i="1"/>
  <c r="CC5" i="13"/>
  <c r="CD5" i="1"/>
  <c r="BB689" i="1"/>
  <c r="BB692" i="1"/>
  <c r="BB619" i="1"/>
  <c r="BB616" i="1"/>
  <c r="BB613" i="1"/>
  <c r="BB615" i="1" s="1"/>
  <c r="BE405" i="1"/>
  <c r="BE669" i="1"/>
  <c r="BL632" i="1"/>
  <c r="BQ632" i="1"/>
  <c r="BQ631" i="1"/>
  <c r="BQ634" i="1"/>
  <c r="BF619" i="1"/>
  <c r="BF616" i="1"/>
  <c r="BF613" i="1"/>
  <c r="BJ619" i="1"/>
  <c r="BJ616" i="1"/>
  <c r="BJ613" i="1"/>
  <c r="BJ615" i="1" s="1"/>
  <c r="BR1327" i="1"/>
  <c r="BR1329" i="1"/>
  <c r="BR674" i="1" s="1"/>
  <c r="BR1323" i="1"/>
  <c r="BR612" i="1" s="1"/>
  <c r="BR1328" i="1"/>
  <c r="BR673" i="1" s="1"/>
  <c r="BR1333" i="1"/>
  <c r="BR1331" i="1"/>
  <c r="BR685" i="1" s="1"/>
  <c r="BR1325" i="1"/>
  <c r="BR1324" i="1"/>
  <c r="BR1322" i="1"/>
  <c r="BR611" i="1" s="1"/>
  <c r="BR1332" i="1"/>
  <c r="BR686" i="1" s="1"/>
  <c r="BR1326" i="1"/>
  <c r="BR1330" i="1"/>
  <c r="BM676" i="1"/>
  <c r="BM677" i="1"/>
  <c r="BM682" i="1"/>
  <c r="BN682" i="1" s="1"/>
  <c r="BM679" i="1"/>
  <c r="BM693" i="1"/>
  <c r="BN693" i="1" s="1"/>
  <c r="BM690" i="1"/>
  <c r="BN690" i="1" s="1"/>
  <c r="BM687" i="1"/>
  <c r="BD659" i="1"/>
  <c r="BD473" i="1"/>
  <c r="BD653" i="1"/>
  <c r="BN616" i="1"/>
  <c r="BN613" i="1"/>
  <c r="BB687" i="1"/>
  <c r="BB688" i="1" s="1"/>
  <c r="BB693" i="1"/>
  <c r="BB690" i="1"/>
  <c r="AT150" i="1"/>
  <c r="AW615" i="1"/>
  <c r="J999" i="1"/>
  <c r="J1009" i="1"/>
  <c r="J1000" i="1" s="1"/>
  <c r="J976" i="1" s="1"/>
  <c r="BJ632" i="1"/>
  <c r="BQ703" i="1"/>
  <c r="BQ705" i="1" s="1"/>
  <c r="BQ706" i="1"/>
  <c r="AW405" i="1"/>
  <c r="AW669" i="1"/>
  <c r="BF690" i="1"/>
  <c r="BF693" i="1"/>
  <c r="BF687" i="1"/>
  <c r="BF688" i="1" s="1"/>
  <c r="BH635" i="1"/>
  <c r="BJ642" i="1"/>
  <c r="BN593" i="1"/>
  <c r="BJ689" i="1"/>
  <c r="BJ692" i="1"/>
  <c r="BM689" i="1"/>
  <c r="BN689" i="1" s="1"/>
  <c r="BM692" i="1"/>
  <c r="BN692" i="1" s="1"/>
  <c r="BM619" i="1"/>
  <c r="BN619" i="1" s="1"/>
  <c r="BM613" i="1"/>
  <c r="BM616" i="1"/>
  <c r="BN633" i="1"/>
  <c r="BN630" i="1"/>
  <c r="BN635" i="1" s="1"/>
  <c r="BH621" i="1"/>
  <c r="BH618" i="1"/>
  <c r="BJ593" i="1"/>
  <c r="BJ597" i="1" s="1"/>
  <c r="W1091" i="1"/>
  <c r="V1092" i="1"/>
  <c r="V1269" i="1" s="1"/>
  <c r="BH683" i="1"/>
  <c r="BH680" i="1"/>
  <c r="BJ647" i="1"/>
  <c r="BJ651" i="1" s="1"/>
  <c r="S3" i="11"/>
  <c r="S3" i="13"/>
  <c r="BK716" i="1"/>
  <c r="BN665" i="1"/>
  <c r="BH615" i="1"/>
  <c r="AV660" i="1"/>
  <c r="AV657" i="1"/>
  <c r="AV654" i="1"/>
  <c r="BO704" i="1"/>
  <c r="BO705" i="1"/>
  <c r="BO707" i="1"/>
  <c r="BO1332" i="1"/>
  <c r="BO686" i="1" s="1"/>
  <c r="BO1324" i="1"/>
  <c r="BO1326" i="1"/>
  <c r="BO1329" i="1"/>
  <c r="BO674" i="1" s="1"/>
  <c r="BO1331" i="1"/>
  <c r="BO685" i="1" s="1"/>
  <c r="BO1325" i="1"/>
  <c r="BO1328" i="1"/>
  <c r="BO673" i="1" s="1"/>
  <c r="BO1323" i="1"/>
  <c r="BO612" i="1" s="1"/>
  <c r="BO1330" i="1"/>
  <c r="BO1327" i="1"/>
  <c r="BO1333" i="1"/>
  <c r="BO1322" i="1"/>
  <c r="BO611" i="1" s="1"/>
  <c r="BN666" i="1"/>
  <c r="BN667" i="1" s="1"/>
  <c r="BL716" i="1"/>
  <c r="AS602" i="1"/>
  <c r="AS464" i="1"/>
  <c r="AS30" i="1" s="1"/>
  <c r="AS605" i="1"/>
  <c r="AS599" i="1"/>
  <c r="BB677" i="1"/>
  <c r="BB676" i="1"/>
  <c r="BB679" i="1"/>
  <c r="BB682" i="1"/>
  <c r="J6" i="9"/>
  <c r="J11" i="9" s="1"/>
  <c r="J84" i="9"/>
  <c r="J85" i="9"/>
  <c r="J87" i="9" s="1"/>
  <c r="AS1158" i="1"/>
  <c r="AS1159" i="1" s="1"/>
  <c r="AR1164" i="1"/>
  <c r="BA405" i="1"/>
  <c r="BA669" i="1"/>
  <c r="BI680" i="1"/>
  <c r="BI683" i="1"/>
  <c r="BJ678" i="1"/>
  <c r="BJ681" i="1"/>
  <c r="BJ675" i="1"/>
  <c r="BU2" i="9"/>
  <c r="BU5" i="13"/>
  <c r="BU1354" i="1"/>
  <c r="BT1321" i="1"/>
  <c r="BU5" i="11"/>
  <c r="BT610" i="1"/>
  <c r="BT672" i="1"/>
  <c r="BV5" i="1"/>
  <c r="BU463" i="1"/>
  <c r="BU29" i="1" s="1"/>
  <c r="AY660" i="1"/>
  <c r="AY654" i="1"/>
  <c r="AN1164" i="1"/>
  <c r="BM633" i="1"/>
  <c r="BM630" i="1"/>
  <c r="T1" i="9"/>
  <c r="T1397" i="1"/>
  <c r="T515" i="1"/>
  <c r="U4" i="1"/>
  <c r="T3" i="1"/>
  <c r="T1367" i="1" s="1"/>
  <c r="T4" i="13"/>
  <c r="T4" i="11"/>
  <c r="BP707" i="1"/>
  <c r="BP705" i="1"/>
  <c r="BP704" i="1"/>
  <c r="BP715" i="1"/>
  <c r="BP712" i="1"/>
  <c r="BP713" i="1" s="1"/>
  <c r="BK1328" i="1"/>
  <c r="BK673" i="1" s="1"/>
  <c r="BK1330" i="1"/>
  <c r="BK1322" i="1"/>
  <c r="BK611" i="1" s="1"/>
  <c r="BK1324" i="1"/>
  <c r="BK1331" i="1"/>
  <c r="BK685" i="1" s="1"/>
  <c r="BK1329" i="1"/>
  <c r="BK674" i="1" s="1"/>
  <c r="BK1327" i="1"/>
  <c r="BK1326" i="1"/>
  <c r="BK1325" i="1"/>
  <c r="BK1332" i="1"/>
  <c r="BK686" i="1" s="1"/>
  <c r="BK1333" i="1"/>
  <c r="BK1323" i="1"/>
  <c r="BK612" i="1" s="1"/>
  <c r="BG1332" i="1"/>
  <c r="BG686" i="1" s="1"/>
  <c r="BG1324" i="1"/>
  <c r="BG1326" i="1"/>
  <c r="BG1328" i="1"/>
  <c r="BG673" i="1" s="1"/>
  <c r="BG1323" i="1"/>
  <c r="BG612" i="1" s="1"/>
  <c r="BG1330" i="1"/>
  <c r="BG1327" i="1"/>
  <c r="BG1329" i="1"/>
  <c r="BG674" i="1" s="1"/>
  <c r="BG1325" i="1"/>
  <c r="BG1331" i="1"/>
  <c r="BG685" i="1" s="1"/>
  <c r="BG1333" i="1"/>
  <c r="BG1322" i="1"/>
  <c r="BG611" i="1" s="1"/>
  <c r="BD605" i="1"/>
  <c r="BD464" i="1"/>
  <c r="BD30" i="1" s="1"/>
  <c r="BD599" i="1"/>
  <c r="BJ716" i="1"/>
  <c r="BN664" i="1"/>
  <c r="O798" i="1"/>
  <c r="O762" i="1"/>
  <c r="O764" i="1"/>
  <c r="AS405" i="1"/>
  <c r="AS669" i="1"/>
  <c r="AZ606" i="1"/>
  <c r="AZ600" i="1"/>
  <c r="AZ603" i="1"/>
  <c r="AZ637" i="1"/>
  <c r="AZ638" i="1" s="1"/>
  <c r="BQ712" i="1"/>
  <c r="BQ713" i="1" s="1"/>
  <c r="BQ715" i="1"/>
  <c r="BF681" i="1"/>
  <c r="BF678" i="1"/>
  <c r="BF675" i="1"/>
  <c r="BF677" i="1" s="1"/>
  <c r="AN606" i="1"/>
  <c r="AN603" i="1"/>
  <c r="AN600" i="1"/>
  <c r="BD405" i="1"/>
  <c r="BD669" i="1"/>
  <c r="BN647" i="1"/>
  <c r="BH708" i="1"/>
  <c r="BK705" i="1"/>
  <c r="N58" i="10"/>
  <c r="N47" i="10"/>
  <c r="N39" i="10"/>
  <c r="BU1355" i="1"/>
  <c r="N32" i="10"/>
  <c r="N85" i="10"/>
  <c r="N29" i="10"/>
  <c r="CC1355" i="1"/>
  <c r="N44" i="10"/>
  <c r="N37" i="10"/>
  <c r="N73" i="10"/>
  <c r="N26" i="10"/>
  <c r="N24" i="10"/>
  <c r="N12" i="10"/>
  <c r="N34" i="10"/>
  <c r="N45" i="10"/>
  <c r="N28" i="10"/>
  <c r="N36" i="10"/>
  <c r="N40" i="10"/>
  <c r="N27" i="10"/>
  <c r="N57" i="10"/>
  <c r="BY1355" i="1"/>
  <c r="N25" i="10"/>
  <c r="N31" i="10"/>
  <c r="N60" i="10"/>
  <c r="N71" i="10"/>
  <c r="N83" i="10"/>
  <c r="N11" i="10"/>
  <c r="N84" i="10"/>
  <c r="N70" i="10"/>
  <c r="BN705" i="1" l="1"/>
  <c r="P71" i="10"/>
  <c r="Q71" i="10"/>
  <c r="Q83" i="10"/>
  <c r="P83" i="10"/>
  <c r="Q47" i="10"/>
  <c r="P47" i="10"/>
  <c r="Q32" i="10"/>
  <c r="P32" i="10"/>
  <c r="P24" i="10"/>
  <c r="Q24" i="10"/>
  <c r="Q84" i="10"/>
  <c r="P84" i="10"/>
  <c r="Q58" i="10"/>
  <c r="P58" i="10"/>
  <c r="Q26" i="10"/>
  <c r="P26" i="10"/>
  <c r="Q44" i="10"/>
  <c r="P44" i="10"/>
  <c r="P60" i="10"/>
  <c r="Q60" i="10"/>
  <c r="P40" i="10"/>
  <c r="Q40" i="10"/>
  <c r="Q31" i="10"/>
  <c r="P31" i="10"/>
  <c r="Q27" i="10"/>
  <c r="P27" i="10"/>
  <c r="P73" i="10"/>
  <c r="Q73" i="10"/>
  <c r="Q36" i="10"/>
  <c r="P36" i="10"/>
  <c r="P25" i="10"/>
  <c r="Q25" i="10"/>
  <c r="P11" i="10"/>
  <c r="Q11" i="10"/>
  <c r="Q39" i="10"/>
  <c r="P39" i="10"/>
  <c r="P34" i="10"/>
  <c r="Q34" i="10"/>
  <c r="P37" i="10"/>
  <c r="Q37" i="10"/>
  <c r="P85" i="10"/>
  <c r="Q85" i="10"/>
  <c r="P70" i="10"/>
  <c r="Q70" i="10"/>
  <c r="Q12" i="10"/>
  <c r="P12" i="10"/>
  <c r="P29" i="10"/>
  <c r="Q29" i="10"/>
  <c r="P45" i="10"/>
  <c r="Q45" i="10"/>
  <c r="Q28" i="10"/>
  <c r="P28" i="10"/>
  <c r="P57" i="10"/>
  <c r="Q57" i="10"/>
  <c r="BU1356" i="1"/>
  <c r="BD606" i="1"/>
  <c r="BD600" i="1"/>
  <c r="BK689" i="1"/>
  <c r="BK692" i="1"/>
  <c r="BO616" i="1"/>
  <c r="BO613" i="1"/>
  <c r="BO619" i="1"/>
  <c r="BO682" i="1"/>
  <c r="BO676" i="1"/>
  <c r="BO679" i="1"/>
  <c r="BG663" i="1"/>
  <c r="BG667" i="1" s="1"/>
  <c r="BF691" i="1"/>
  <c r="BF694" i="1"/>
  <c r="BM696" i="1"/>
  <c r="BN651" i="1"/>
  <c r="BM697" i="1"/>
  <c r="BN696" i="1"/>
  <c r="BN697" i="1"/>
  <c r="BZ2" i="9"/>
  <c r="BZ5" i="11"/>
  <c r="BZ1354" i="1"/>
  <c r="BZ5" i="13"/>
  <c r="CA5" i="1"/>
  <c r="BN713" i="1"/>
  <c r="BB405" i="1"/>
  <c r="BB669" i="1"/>
  <c r="BS649" i="1"/>
  <c r="BP708" i="1"/>
  <c r="BN632" i="1"/>
  <c r="BR703" i="1"/>
  <c r="BR706" i="1"/>
  <c r="BJ680" i="1"/>
  <c r="BK647" i="1"/>
  <c r="BK651" i="1" s="1"/>
  <c r="BJ683" i="1"/>
  <c r="AS1164" i="1"/>
  <c r="BB694" i="1"/>
  <c r="BB691" i="1"/>
  <c r="BC663" i="1"/>
  <c r="BC667" i="1" s="1"/>
  <c r="BM691" i="1"/>
  <c r="BN691" i="1" s="1"/>
  <c r="BO663" i="1"/>
  <c r="BO667" i="1" s="1"/>
  <c r="BM694" i="1"/>
  <c r="BN694" i="1" s="1"/>
  <c r="BR675" i="1"/>
  <c r="BR678" i="1"/>
  <c r="BR681" i="1"/>
  <c r="BS681" i="1" s="1"/>
  <c r="BF618" i="1"/>
  <c r="BF621" i="1"/>
  <c r="BG593" i="1"/>
  <c r="BG597" i="1" s="1"/>
  <c r="BL1329" i="1"/>
  <c r="BL674" i="1" s="1"/>
  <c r="BL1331" i="1"/>
  <c r="BL685" i="1" s="1"/>
  <c r="BL1323" i="1"/>
  <c r="BL612" i="1" s="1"/>
  <c r="BL1324" i="1"/>
  <c r="BL1333" i="1"/>
  <c r="BL1322" i="1"/>
  <c r="BL611" i="1" s="1"/>
  <c r="BL1325" i="1"/>
  <c r="BL1328" i="1"/>
  <c r="BL673" i="1" s="1"/>
  <c r="BL1326" i="1"/>
  <c r="BL1332" i="1"/>
  <c r="BL686" i="1" s="1"/>
  <c r="BL1327" i="1"/>
  <c r="BL1330" i="1"/>
  <c r="BS678" i="1"/>
  <c r="BS675" i="1"/>
  <c r="BS703" i="1"/>
  <c r="BS708" i="1" s="1"/>
  <c r="BS706" i="1"/>
  <c r="K999" i="1"/>
  <c r="K1009" i="1"/>
  <c r="K1014" i="1"/>
  <c r="BR5" i="11"/>
  <c r="BR2" i="9"/>
  <c r="BR5" i="13"/>
  <c r="BQ1321" i="1"/>
  <c r="BQ672" i="1"/>
  <c r="BQ610" i="1"/>
  <c r="AU165" i="1"/>
  <c r="AY99" i="1"/>
  <c r="BA657" i="1"/>
  <c r="BA660" i="1"/>
  <c r="BA654" i="1"/>
  <c r="AY166" i="1"/>
  <c r="AY120" i="1"/>
  <c r="BT706" i="1"/>
  <c r="BT703" i="1"/>
  <c r="BI659" i="1"/>
  <c r="BI473" i="1"/>
  <c r="BI653" i="1"/>
  <c r="BG617" i="1"/>
  <c r="BG620" i="1"/>
  <c r="BG614" i="1"/>
  <c r="BK619" i="1"/>
  <c r="BK616" i="1"/>
  <c r="BK613" i="1"/>
  <c r="AS600" i="1"/>
  <c r="AS603" i="1"/>
  <c r="AS606" i="1"/>
  <c r="BJ659" i="1"/>
  <c r="BJ473" i="1"/>
  <c r="BJ656" i="1"/>
  <c r="BJ653" i="1"/>
  <c r="J975" i="1"/>
  <c r="J973" i="1"/>
  <c r="BN618" i="1"/>
  <c r="BN621" i="1"/>
  <c r="BR620" i="1"/>
  <c r="BS620" i="1" s="1"/>
  <c r="BR614" i="1"/>
  <c r="BR617" i="1"/>
  <c r="BJ405" i="1"/>
  <c r="BJ669" i="1"/>
  <c r="BI605" i="1"/>
  <c r="BI464" i="1"/>
  <c r="BI30" i="1" s="1"/>
  <c r="BI599" i="1"/>
  <c r="BS712" i="1"/>
  <c r="BS716" i="1" s="1"/>
  <c r="BS715" i="1"/>
  <c r="K120" i="9"/>
  <c r="K6" i="9"/>
  <c r="K84" i="9"/>
  <c r="K129" i="9" s="1"/>
  <c r="K121" i="9"/>
  <c r="K85" i="9"/>
  <c r="K87" i="9" s="1"/>
  <c r="K122" i="9"/>
  <c r="AT175" i="1"/>
  <c r="AU105" i="1"/>
  <c r="AU106" i="1"/>
  <c r="AY104" i="1"/>
  <c r="AY106" i="1" s="1"/>
  <c r="AV105" i="1"/>
  <c r="BJ644" i="1"/>
  <c r="BK642" i="1"/>
  <c r="BK644" i="1" s="1"/>
  <c r="BQ640" i="1"/>
  <c r="BS596" i="1"/>
  <c r="BQ639" i="1"/>
  <c r="BQ635" i="1"/>
  <c r="BQ643" i="1"/>
  <c r="BT631" i="1"/>
  <c r="BT634" i="1"/>
  <c r="BO716" i="1"/>
  <c r="BS664" i="1"/>
  <c r="AS657" i="1"/>
  <c r="AS654" i="1"/>
  <c r="AS660" i="1"/>
  <c r="BM716" i="1"/>
  <c r="BS663" i="1"/>
  <c r="BM680" i="1"/>
  <c r="BO647" i="1"/>
  <c r="BO651" i="1" s="1"/>
  <c r="BM683" i="1"/>
  <c r="BR634" i="1"/>
  <c r="BR631" i="1"/>
  <c r="BR632" i="1"/>
  <c r="AX405" i="1"/>
  <c r="AX669" i="1"/>
  <c r="BG678" i="1"/>
  <c r="BG681" i="1"/>
  <c r="BG675" i="1"/>
  <c r="BK687" i="1"/>
  <c r="BK690" i="1"/>
  <c r="BK693" i="1"/>
  <c r="BM635" i="1"/>
  <c r="BS593" i="1"/>
  <c r="BO642" i="1"/>
  <c r="BO687" i="1"/>
  <c r="BO688" i="1" s="1"/>
  <c r="BO693" i="1"/>
  <c r="BO690" i="1"/>
  <c r="BM688" i="1"/>
  <c r="BR693" i="1"/>
  <c r="BS693" i="1" s="1"/>
  <c r="BR690" i="1"/>
  <c r="BS690" i="1" s="1"/>
  <c r="BR687" i="1"/>
  <c r="BR688" i="1" s="1"/>
  <c r="BR677" i="1"/>
  <c r="BR682" i="1"/>
  <c r="BS682" i="1" s="1"/>
  <c r="BR679" i="1"/>
  <c r="BR676" i="1"/>
  <c r="BA603" i="1"/>
  <c r="BA606" i="1"/>
  <c r="BA637" i="1"/>
  <c r="BA638" i="1" s="1"/>
  <c r="BA600" i="1"/>
  <c r="BO708" i="1"/>
  <c r="BS648" i="1"/>
  <c r="BS617" i="1"/>
  <c r="BS614" i="1"/>
  <c r="BS707" i="1"/>
  <c r="BS704" i="1"/>
  <c r="BJ694" i="1"/>
  <c r="BJ691" i="1"/>
  <c r="BK663" i="1"/>
  <c r="BK667" i="1" s="1"/>
  <c r="AU57" i="1"/>
  <c r="AY56" i="1"/>
  <c r="AY58" i="1" s="1"/>
  <c r="AU58" i="1"/>
  <c r="AV57" i="1"/>
  <c r="AX602" i="1"/>
  <c r="AX605" i="1"/>
  <c r="AX464" i="1"/>
  <c r="AX30" i="1" s="1"/>
  <c r="AX599" i="1"/>
  <c r="BB683" i="1"/>
  <c r="BB680" i="1"/>
  <c r="BC647" i="1"/>
  <c r="BC651" i="1" s="1"/>
  <c r="BK697" i="1"/>
  <c r="BK696" i="1"/>
  <c r="BN683" i="1"/>
  <c r="BN680" i="1"/>
  <c r="BK675" i="1"/>
  <c r="BK681" i="1"/>
  <c r="BK678" i="1"/>
  <c r="BO615" i="1"/>
  <c r="BO614" i="1"/>
  <c r="BO617" i="1"/>
  <c r="BO620" i="1"/>
  <c r="BJ624" i="1"/>
  <c r="BJ623" i="1"/>
  <c r="AT9" i="1"/>
  <c r="AU183" i="1"/>
  <c r="AT156" i="1"/>
  <c r="AT158" i="1"/>
  <c r="BR616" i="1"/>
  <c r="BR613" i="1"/>
  <c r="BR615" i="1" s="1"/>
  <c r="BR619" i="1"/>
  <c r="BS619" i="1" s="1"/>
  <c r="BB621" i="1"/>
  <c r="BC593" i="1"/>
  <c r="BC597" i="1" s="1"/>
  <c r="BB618" i="1"/>
  <c r="BG642" i="1"/>
  <c r="BG644" i="1" s="1"/>
  <c r="BS633" i="1"/>
  <c r="BS630" i="1"/>
  <c r="BS635" i="1" s="1"/>
  <c r="BO643" i="1"/>
  <c r="BO635" i="1"/>
  <c r="BO640" i="1"/>
  <c r="BS594" i="1"/>
  <c r="BO639" i="1"/>
  <c r="BB659" i="1"/>
  <c r="BB656" i="1"/>
  <c r="BB473" i="1"/>
  <c r="BB653" i="1"/>
  <c r="AU163" i="1"/>
  <c r="AY51" i="1"/>
  <c r="O47" i="9"/>
  <c r="O500" i="1"/>
  <c r="O497" i="1"/>
  <c r="O505" i="1"/>
  <c r="O1260" i="1"/>
  <c r="AW660" i="1"/>
  <c r="AW657" i="1"/>
  <c r="AW654" i="1"/>
  <c r="AY147" i="1"/>
  <c r="AZ78" i="1"/>
  <c r="BD78" i="1"/>
  <c r="AY82" i="1"/>
  <c r="AY24" i="9" s="1"/>
  <c r="BR633" i="1"/>
  <c r="BR630" i="1"/>
  <c r="BR704" i="1"/>
  <c r="BR707" i="1"/>
  <c r="BR705" i="1"/>
  <c r="BP643" i="1"/>
  <c r="BP635" i="1"/>
  <c r="BP639" i="1"/>
  <c r="BP640" i="1"/>
  <c r="BS595" i="1"/>
  <c r="BK620" i="1"/>
  <c r="BK617" i="1"/>
  <c r="BK614" i="1"/>
  <c r="BQ716" i="1"/>
  <c r="BS666" i="1"/>
  <c r="BS667" i="1" s="1"/>
  <c r="BG689" i="1"/>
  <c r="BG692" i="1"/>
  <c r="T3" i="11"/>
  <c r="T3" i="13"/>
  <c r="BU396" i="1"/>
  <c r="BU220" i="1" s="1"/>
  <c r="BT1329" i="1"/>
  <c r="BT674" i="1" s="1"/>
  <c r="BT1331" i="1"/>
  <c r="BT685" i="1" s="1"/>
  <c r="BT1323" i="1"/>
  <c r="BT612" i="1" s="1"/>
  <c r="BT1332" i="1"/>
  <c r="BT686" i="1" s="1"/>
  <c r="BT1328" i="1"/>
  <c r="BT673" i="1" s="1"/>
  <c r="BT1326" i="1"/>
  <c r="BT1330" i="1"/>
  <c r="BT1333" i="1"/>
  <c r="BT1322" i="1"/>
  <c r="BT611" i="1" s="1"/>
  <c r="BT1325" i="1"/>
  <c r="BT1327" i="1"/>
  <c r="BT1324" i="1"/>
  <c r="BO678" i="1"/>
  <c r="BO681" i="1"/>
  <c r="BO675" i="1"/>
  <c r="BM621" i="1"/>
  <c r="BO593" i="1"/>
  <c r="BO597" i="1" s="1"/>
  <c r="BM618" i="1"/>
  <c r="AT155" i="1"/>
  <c r="BB605" i="1"/>
  <c r="BB602" i="1"/>
  <c r="BB464" i="1"/>
  <c r="BB30" i="1" s="1"/>
  <c r="BB599" i="1"/>
  <c r="BL697" i="1"/>
  <c r="BL696" i="1"/>
  <c r="BE606" i="1"/>
  <c r="BE637" i="1"/>
  <c r="BE638" i="1" s="1"/>
  <c r="BE600" i="1"/>
  <c r="BE603" i="1"/>
  <c r="BQ569" i="1"/>
  <c r="BQ564" i="1"/>
  <c r="AW1164" i="1"/>
  <c r="AX1158" i="1"/>
  <c r="AX1159" i="1" s="1"/>
  <c r="BJ677" i="1"/>
  <c r="BS634" i="1"/>
  <c r="BS631" i="1"/>
  <c r="BI1164" i="1"/>
  <c r="BN1158" i="1"/>
  <c r="BN1159" i="1" s="1"/>
  <c r="BJ1158" i="1"/>
  <c r="BJ1159" i="1" s="1"/>
  <c r="BL624" i="1"/>
  <c r="BL623" i="1"/>
  <c r="AW637" i="1"/>
  <c r="AW638" i="1" s="1"/>
  <c r="AW606" i="1"/>
  <c r="AW603" i="1"/>
  <c r="AW600" i="1"/>
  <c r="BM632" i="1"/>
  <c r="BT630" i="1"/>
  <c r="BT632" i="1" s="1"/>
  <c r="BT633" i="1"/>
  <c r="BA1164" i="1"/>
  <c r="BB1158" i="1"/>
  <c r="BB1159" i="1" s="1"/>
  <c r="BF659" i="1"/>
  <c r="BF656" i="1"/>
  <c r="BF473" i="1"/>
  <c r="BF653" i="1"/>
  <c r="BG616" i="1"/>
  <c r="BG613" i="1"/>
  <c r="BG619" i="1"/>
  <c r="BF683" i="1"/>
  <c r="BG647" i="1"/>
  <c r="BG651" i="1" s="1"/>
  <c r="BF680" i="1"/>
  <c r="BG687" i="1"/>
  <c r="BG688" i="1" s="1"/>
  <c r="BG690" i="1"/>
  <c r="BG693" i="1"/>
  <c r="BS665" i="1"/>
  <c r="BP716" i="1"/>
  <c r="U1" i="9"/>
  <c r="U1397" i="1"/>
  <c r="U515" i="1"/>
  <c r="V4" i="1"/>
  <c r="U3" i="1"/>
  <c r="T1181" i="1" s="1"/>
  <c r="U4" i="13"/>
  <c r="U4" i="11"/>
  <c r="X1091" i="1"/>
  <c r="W1092" i="1"/>
  <c r="W1269" i="1" s="1"/>
  <c r="BS650" i="1"/>
  <c r="BQ708" i="1"/>
  <c r="BD660" i="1"/>
  <c r="BD654" i="1"/>
  <c r="BJ618" i="1"/>
  <c r="BK593" i="1"/>
  <c r="BK597" i="1" s="1"/>
  <c r="BJ621" i="1"/>
  <c r="CD2" i="9"/>
  <c r="CD5" i="13"/>
  <c r="CD5" i="11"/>
  <c r="CD1354" i="1"/>
  <c r="CE5" i="1"/>
  <c r="BR569" i="1"/>
  <c r="BR564" i="1"/>
  <c r="BM624" i="1"/>
  <c r="BN623" i="1"/>
  <c r="BN597" i="1"/>
  <c r="BN624" i="1"/>
  <c r="BM623" i="1"/>
  <c r="BS679" i="1"/>
  <c r="BS676" i="1"/>
  <c r="BS677" i="1"/>
  <c r="BS687" i="1"/>
  <c r="BS688" i="1" s="1"/>
  <c r="BP1333" i="1"/>
  <c r="BP1325" i="1"/>
  <c r="BP1327" i="1"/>
  <c r="BP1331" i="1"/>
  <c r="BP685" i="1" s="1"/>
  <c r="BP1326" i="1"/>
  <c r="BP1332" i="1"/>
  <c r="BP686" i="1" s="1"/>
  <c r="BP1330" i="1"/>
  <c r="BP1329" i="1"/>
  <c r="BP674" i="1" s="1"/>
  <c r="BP1323" i="1"/>
  <c r="BP612" i="1" s="1"/>
  <c r="BP1324" i="1"/>
  <c r="BP1322" i="1"/>
  <c r="BP611" i="1" s="1"/>
  <c r="BP1328" i="1"/>
  <c r="BP673" i="1" s="1"/>
  <c r="BK624" i="1"/>
  <c r="BK623" i="1"/>
  <c r="AX656" i="1"/>
  <c r="AX659" i="1"/>
  <c r="AX473" i="1"/>
  <c r="AX653" i="1"/>
  <c r="BM708" i="1"/>
  <c r="BS647" i="1"/>
  <c r="BJ697" i="1"/>
  <c r="BJ696" i="1"/>
  <c r="BG679" i="1"/>
  <c r="BG676" i="1"/>
  <c r="BG682" i="1"/>
  <c r="BG677" i="1"/>
  <c r="BK682" i="1"/>
  <c r="BK676" i="1"/>
  <c r="BK677" i="1"/>
  <c r="BK679" i="1"/>
  <c r="BV2" i="9"/>
  <c r="BV5" i="13"/>
  <c r="BV5" i="11"/>
  <c r="BV1354" i="1"/>
  <c r="BW5" i="1"/>
  <c r="BN405" i="1"/>
  <c r="BN669" i="1"/>
  <c r="BO692" i="1"/>
  <c r="BO689" i="1"/>
  <c r="BJ602" i="1"/>
  <c r="BJ605" i="1"/>
  <c r="BJ464" i="1"/>
  <c r="BJ30" i="1" s="1"/>
  <c r="BJ599" i="1"/>
  <c r="BR692" i="1"/>
  <c r="BS692" i="1" s="1"/>
  <c r="BR689" i="1"/>
  <c r="BS689" i="1" s="1"/>
  <c r="AT157" i="1"/>
  <c r="BF602" i="1"/>
  <c r="BF605" i="1"/>
  <c r="BF464" i="1"/>
  <c r="BF30" i="1" s="1"/>
  <c r="BF599" i="1"/>
  <c r="BE660" i="1"/>
  <c r="BE657" i="1"/>
  <c r="BE654" i="1"/>
  <c r="BM615" i="1"/>
  <c r="BS613" i="1"/>
  <c r="BS616" i="1"/>
  <c r="BE1164" i="1"/>
  <c r="BF1158" i="1"/>
  <c r="BF1159" i="1" s="1"/>
  <c r="BT705" i="1"/>
  <c r="BT707" i="1"/>
  <c r="BT704" i="1"/>
  <c r="BT712" i="1"/>
  <c r="BT715" i="1"/>
  <c r="BN615" i="1"/>
  <c r="BF615" i="1"/>
  <c r="BR715" i="1"/>
  <c r="BR712" i="1"/>
  <c r="BR713" i="1" s="1"/>
  <c r="BF405" i="1"/>
  <c r="BF669" i="1"/>
  <c r="N7" i="10"/>
  <c r="BZ1355" i="1"/>
  <c r="N19" i="10"/>
  <c r="N20" i="10"/>
  <c r="BV1355" i="1"/>
  <c r="N6" i="10"/>
  <c r="CD1355" i="1"/>
  <c r="BV1356" i="1" l="1"/>
  <c r="Q20" i="10"/>
  <c r="P20" i="10"/>
  <c r="Q7" i="10"/>
  <c r="P7" i="10"/>
  <c r="P19" i="10"/>
  <c r="Q19" i="10"/>
  <c r="Q6" i="10"/>
  <c r="P6" i="10"/>
  <c r="BP675" i="1"/>
  <c r="BP681" i="1"/>
  <c r="BP678" i="1"/>
  <c r="BS621" i="1"/>
  <c r="BS618" i="1"/>
  <c r="BX663" i="1"/>
  <c r="BR716" i="1"/>
  <c r="BV463" i="1"/>
  <c r="BV29" i="1" s="1"/>
  <c r="BP679" i="1"/>
  <c r="BP677" i="1"/>
  <c r="BP682" i="1"/>
  <c r="BP676" i="1"/>
  <c r="BR697" i="1"/>
  <c r="BS696" i="1"/>
  <c r="BR696" i="1"/>
  <c r="BS697" i="1"/>
  <c r="BS651" i="1"/>
  <c r="BG656" i="1"/>
  <c r="BG659" i="1"/>
  <c r="BG473" i="1"/>
  <c r="BG653" i="1"/>
  <c r="BN1164" i="1"/>
  <c r="BS1158" i="1"/>
  <c r="BS1159" i="1" s="1"/>
  <c r="BO1158" i="1"/>
  <c r="BO1159" i="1" s="1"/>
  <c r="BT681" i="1"/>
  <c r="BT678" i="1"/>
  <c r="BT675" i="1"/>
  <c r="BT677" i="1" s="1"/>
  <c r="T1182" i="1"/>
  <c r="AY163" i="1"/>
  <c r="AY52" i="1"/>
  <c r="BP696" i="1"/>
  <c r="BP697" i="1"/>
  <c r="BK621" i="1"/>
  <c r="BL593" i="1"/>
  <c r="BL597" i="1" s="1"/>
  <c r="BK618" i="1"/>
  <c r="BO405" i="1"/>
  <c r="BO669" i="1"/>
  <c r="BK473" i="1"/>
  <c r="BK659" i="1"/>
  <c r="BK656" i="1"/>
  <c r="BK653" i="1"/>
  <c r="BP692" i="1"/>
  <c r="BP689" i="1"/>
  <c r="CE1354" i="1"/>
  <c r="CE2" i="9"/>
  <c r="CE5" i="11"/>
  <c r="CE5" i="13"/>
  <c r="CF5" i="1"/>
  <c r="V1" i="9"/>
  <c r="V1397" i="1"/>
  <c r="V515" i="1"/>
  <c r="V3" i="1"/>
  <c r="W4" i="1"/>
  <c r="V4" i="11"/>
  <c r="V4" i="13"/>
  <c r="BO602" i="1"/>
  <c r="BO464" i="1"/>
  <c r="BO30" i="1" s="1"/>
  <c r="BO605" i="1"/>
  <c r="BO599" i="1"/>
  <c r="BT716" i="1"/>
  <c r="BX664" i="1"/>
  <c r="BX667" i="1" s="1"/>
  <c r="BX405" i="1" s="1"/>
  <c r="AX660" i="1"/>
  <c r="AX657" i="1"/>
  <c r="AX654" i="1"/>
  <c r="BT713" i="1"/>
  <c r="BV396" i="1"/>
  <c r="BV220" i="1" s="1"/>
  <c r="BT687" i="1"/>
  <c r="BT690" i="1"/>
  <c r="BT693" i="1"/>
  <c r="AU167" i="1"/>
  <c r="BT593" i="1"/>
  <c r="BT597" i="1" s="1"/>
  <c r="BR621" i="1"/>
  <c r="BR618" i="1"/>
  <c r="BK683" i="1"/>
  <c r="BL647" i="1"/>
  <c r="BL651" i="1" s="1"/>
  <c r="BK680" i="1"/>
  <c r="AX600" i="1"/>
  <c r="AX603" i="1"/>
  <c r="AX606" i="1"/>
  <c r="BK405" i="1"/>
  <c r="BK669" i="1"/>
  <c r="BS705" i="1"/>
  <c r="K11" i="9"/>
  <c r="K130" i="9"/>
  <c r="BJ654" i="1"/>
  <c r="BJ660" i="1"/>
  <c r="BJ657" i="1"/>
  <c r="BS680" i="1"/>
  <c r="BS683" i="1"/>
  <c r="BL616" i="1"/>
  <c r="BL613" i="1"/>
  <c r="BL615" i="1" s="1"/>
  <c r="BL619" i="1"/>
  <c r="BG602" i="1"/>
  <c r="BG605" i="1"/>
  <c r="BG464" i="1"/>
  <c r="BG30" i="1" s="1"/>
  <c r="BG599" i="1"/>
  <c r="BN659" i="1"/>
  <c r="BN473" i="1"/>
  <c r="BN653" i="1"/>
  <c r="BP690" i="1"/>
  <c r="BP687" i="1"/>
  <c r="BP688" i="1" s="1"/>
  <c r="BP693" i="1"/>
  <c r="BN605" i="1"/>
  <c r="BN464" i="1"/>
  <c r="BN30" i="1" s="1"/>
  <c r="BN599" i="1"/>
  <c r="Y1091" i="1"/>
  <c r="X1092" i="1"/>
  <c r="X1269" i="1" s="1"/>
  <c r="BC1158" i="1"/>
  <c r="BC1159" i="1" s="1"/>
  <c r="BB1164" i="1"/>
  <c r="AT159" i="1"/>
  <c r="BT617" i="1"/>
  <c r="BT614" i="1"/>
  <c r="BT620" i="1"/>
  <c r="BQ624" i="1"/>
  <c r="BQ623" i="1"/>
  <c r="BR635" i="1"/>
  <c r="BX593" i="1"/>
  <c r="BT642" i="1"/>
  <c r="BB654" i="1"/>
  <c r="BB660" i="1"/>
  <c r="BB657" i="1"/>
  <c r="BO644" i="1"/>
  <c r="BP642" i="1"/>
  <c r="BP644" i="1" s="1"/>
  <c r="BK691" i="1"/>
  <c r="BK694" i="1"/>
  <c r="BL663" i="1"/>
  <c r="BL667" i="1" s="1"/>
  <c r="BT708" i="1"/>
  <c r="BX648" i="1"/>
  <c r="BC405" i="1"/>
  <c r="BC669" i="1"/>
  <c r="BT692" i="1"/>
  <c r="BT689" i="1"/>
  <c r="BS615" i="1"/>
  <c r="BO694" i="1"/>
  <c r="BP663" i="1"/>
  <c r="BP667" i="1" s="1"/>
  <c r="BO691" i="1"/>
  <c r="BH647" i="1"/>
  <c r="BH651" i="1" s="1"/>
  <c r="BG683" i="1"/>
  <c r="BG680" i="1"/>
  <c r="AY165" i="1"/>
  <c r="AY100" i="1"/>
  <c r="BR708" i="1"/>
  <c r="BX647" i="1"/>
  <c r="BT616" i="1"/>
  <c r="BT619" i="1"/>
  <c r="BT613" i="1"/>
  <c r="BT615" i="1" s="1"/>
  <c r="BT679" i="1"/>
  <c r="BT676" i="1"/>
  <c r="BT682" i="1"/>
  <c r="BS405" i="1"/>
  <c r="BS669" i="1"/>
  <c r="BR694" i="1"/>
  <c r="BS694" i="1" s="1"/>
  <c r="BR691" i="1"/>
  <c r="BS691" i="1" s="1"/>
  <c r="BT663" i="1"/>
  <c r="BT667" i="1" s="1"/>
  <c r="BO659" i="1"/>
  <c r="BO656" i="1"/>
  <c r="BO473" i="1"/>
  <c r="BO653" i="1"/>
  <c r="BR624" i="1"/>
  <c r="BR623" i="1"/>
  <c r="BS597" i="1"/>
  <c r="BS624" i="1"/>
  <c r="BS623" i="1"/>
  <c r="BD118" i="1"/>
  <c r="AZ118" i="1"/>
  <c r="AY122" i="1"/>
  <c r="AY26" i="9" s="1"/>
  <c r="AY149" i="1"/>
  <c r="K1012" i="1"/>
  <c r="K1000" i="1"/>
  <c r="K976" i="1" s="1"/>
  <c r="K1015" i="1"/>
  <c r="BL617" i="1"/>
  <c r="BL614" i="1"/>
  <c r="BL620" i="1"/>
  <c r="BO621" i="1"/>
  <c r="BO618" i="1"/>
  <c r="BP593" i="1"/>
  <c r="BP597" i="1" s="1"/>
  <c r="BP613" i="1"/>
  <c r="BP615" i="1" s="1"/>
  <c r="BP619" i="1"/>
  <c r="BP616" i="1"/>
  <c r="BF660" i="1"/>
  <c r="BF654" i="1"/>
  <c r="BF657" i="1"/>
  <c r="O49" i="9"/>
  <c r="O526" i="1"/>
  <c r="O506" i="1"/>
  <c r="O50" i="9" s="1"/>
  <c r="AY183" i="1"/>
  <c r="AY16" i="1" s="1"/>
  <c r="AY19" i="1" s="1"/>
  <c r="AY31" i="9" s="1"/>
  <c r="AU16" i="1"/>
  <c r="BO623" i="1"/>
  <c r="BO624" i="1"/>
  <c r="BS713" i="1"/>
  <c r="K975" i="1"/>
  <c r="K973" i="1"/>
  <c r="BL688" i="1"/>
  <c r="BL690" i="1"/>
  <c r="BL693" i="1"/>
  <c r="BL687" i="1"/>
  <c r="BL692" i="1"/>
  <c r="BL689" i="1"/>
  <c r="BK605" i="1"/>
  <c r="BK602" i="1"/>
  <c r="BK464" i="1"/>
  <c r="BK30" i="1" s="1"/>
  <c r="BK599" i="1"/>
  <c r="R760" i="1"/>
  <c r="T484" i="1"/>
  <c r="Q760" i="1"/>
  <c r="S760" i="1"/>
  <c r="S1180" i="1"/>
  <c r="R1180" i="1"/>
  <c r="R758" i="1"/>
  <c r="Q1179" i="1"/>
  <c r="Q1180" i="1"/>
  <c r="T1180" i="1"/>
  <c r="T1179" i="1"/>
  <c r="S1179" i="1"/>
  <c r="S758" i="1"/>
  <c r="R1179" i="1"/>
  <c r="Q758" i="1"/>
  <c r="T758" i="1"/>
  <c r="R762" i="1"/>
  <c r="Q762" i="1"/>
  <c r="S762" i="1"/>
  <c r="U3" i="13"/>
  <c r="U3" i="11"/>
  <c r="Q1182" i="1"/>
  <c r="Q1181" i="1"/>
  <c r="R1181" i="1"/>
  <c r="R1182" i="1"/>
  <c r="S1181" i="1"/>
  <c r="S1182" i="1"/>
  <c r="BG621" i="1"/>
  <c r="BG618" i="1"/>
  <c r="BH593" i="1"/>
  <c r="BH597" i="1" s="1"/>
  <c r="AX1164" i="1"/>
  <c r="BF600" i="1"/>
  <c r="BF637" i="1"/>
  <c r="BF638" i="1" s="1"/>
  <c r="BF606" i="1"/>
  <c r="BF603" i="1"/>
  <c r="BJ637" i="1"/>
  <c r="BJ638" i="1" s="1"/>
  <c r="BJ606" i="1"/>
  <c r="BJ603" i="1"/>
  <c r="BJ600" i="1"/>
  <c r="U1367" i="1"/>
  <c r="BH663" i="1"/>
  <c r="BH667" i="1" s="1"/>
  <c r="BG694" i="1"/>
  <c r="BG691" i="1"/>
  <c r="BT640" i="1"/>
  <c r="BT639" i="1"/>
  <c r="BT635" i="1"/>
  <c r="BX594" i="1"/>
  <c r="BT643" i="1"/>
  <c r="BT644" i="1" s="1"/>
  <c r="BB603" i="1"/>
  <c r="BB606" i="1"/>
  <c r="BB637" i="1"/>
  <c r="BB638" i="1" s="1"/>
  <c r="BB600" i="1"/>
  <c r="BP647" i="1"/>
  <c r="BP651" i="1" s="1"/>
  <c r="BO680" i="1"/>
  <c r="BO683" i="1"/>
  <c r="AZ79" i="1"/>
  <c r="AZ84" i="1"/>
  <c r="O56" i="9"/>
  <c r="O507" i="1"/>
  <c r="O57" i="9" s="1"/>
  <c r="O88" i="9" s="1"/>
  <c r="P1276" i="1"/>
  <c r="BC602" i="1"/>
  <c r="BC605" i="1"/>
  <c r="BC464" i="1"/>
  <c r="BC30" i="1" s="1"/>
  <c r="BC599" i="1"/>
  <c r="AT8" i="1"/>
  <c r="AY7" i="1"/>
  <c r="AT11" i="1"/>
  <c r="AT27" i="9" s="1"/>
  <c r="AU7" i="1"/>
  <c r="BC473" i="1"/>
  <c r="BC656" i="1"/>
  <c r="BC659" i="1"/>
  <c r="BC653" i="1"/>
  <c r="BG615" i="1"/>
  <c r="BL679" i="1"/>
  <c r="BL676" i="1"/>
  <c r="BL682" i="1"/>
  <c r="BR683" i="1"/>
  <c r="BR680" i="1"/>
  <c r="BT647" i="1"/>
  <c r="BT651" i="1" s="1"/>
  <c r="BQ696" i="1"/>
  <c r="BQ697" i="1"/>
  <c r="CA2" i="9"/>
  <c r="CA5" i="11"/>
  <c r="CA1354" i="1"/>
  <c r="CA5" i="13"/>
  <c r="CB5" i="1"/>
  <c r="BG405" i="1"/>
  <c r="BG669" i="1"/>
  <c r="BF1164" i="1"/>
  <c r="BG1158" i="1"/>
  <c r="BG1159" i="1" s="1"/>
  <c r="BW2" i="9"/>
  <c r="BW1354" i="1"/>
  <c r="BY463" i="1" s="1"/>
  <c r="BY29" i="1" s="1"/>
  <c r="BW5" i="13"/>
  <c r="BW5" i="11"/>
  <c r="BO697" i="1"/>
  <c r="BO696" i="1"/>
  <c r="BP620" i="1"/>
  <c r="BP617" i="1"/>
  <c r="BP614" i="1"/>
  <c r="BK1158" i="1"/>
  <c r="BK1159" i="1" s="1"/>
  <c r="BJ1164" i="1"/>
  <c r="BS632" i="1"/>
  <c r="BK615" i="1"/>
  <c r="O138" i="9"/>
  <c r="O103" i="9"/>
  <c r="BP624" i="1"/>
  <c r="BP623" i="1"/>
  <c r="BK688" i="1"/>
  <c r="BI600" i="1"/>
  <c r="BI606" i="1"/>
  <c r="BI654" i="1"/>
  <c r="BI660" i="1"/>
  <c r="BL642" i="1"/>
  <c r="BL644" i="1" s="1"/>
  <c r="BQ1326" i="1"/>
  <c r="BQ1328" i="1"/>
  <c r="BQ673" i="1" s="1"/>
  <c r="BQ1325" i="1"/>
  <c r="BQ1323" i="1"/>
  <c r="BQ612" i="1" s="1"/>
  <c r="BQ1332" i="1"/>
  <c r="BQ686" i="1" s="1"/>
  <c r="BQ1330" i="1"/>
  <c r="BQ1329" i="1"/>
  <c r="BQ674" i="1" s="1"/>
  <c r="BQ1327" i="1"/>
  <c r="BQ1333" i="1"/>
  <c r="BQ1331" i="1"/>
  <c r="BQ685" i="1" s="1"/>
  <c r="BQ1324" i="1"/>
  <c r="BQ1322" i="1"/>
  <c r="BQ611" i="1" s="1"/>
  <c r="BL681" i="1"/>
  <c r="BL675" i="1"/>
  <c r="BL678" i="1"/>
  <c r="BZ396" i="1"/>
  <c r="BZ220" i="1" s="1"/>
  <c r="BO677" i="1"/>
  <c r="CE1355" i="1"/>
  <c r="BW1355" i="1"/>
  <c r="N263" i="10"/>
  <c r="CA1355" i="1"/>
  <c r="BQ642" i="1" l="1"/>
  <c r="BQ644" i="1" s="1"/>
  <c r="CA1356" i="1"/>
  <c r="BW1356" i="1"/>
  <c r="BX1356" i="1"/>
  <c r="BY1356" i="1"/>
  <c r="BZ1356" i="1"/>
  <c r="P263" i="10"/>
  <c r="Q263" i="10"/>
  <c r="BQ682" i="1"/>
  <c r="BQ676" i="1"/>
  <c r="BQ679" i="1"/>
  <c r="O104" i="9"/>
  <c r="Q104" i="9"/>
  <c r="R104" i="9"/>
  <c r="S104" i="9"/>
  <c r="O137" i="9"/>
  <c r="O98" i="9"/>
  <c r="AU19" i="1"/>
  <c r="AU31" i="9" s="1"/>
  <c r="AU17" i="1"/>
  <c r="AU29" i="9" s="1"/>
  <c r="AV17" i="1"/>
  <c r="AV29" i="9" s="1"/>
  <c r="BO657" i="1"/>
  <c r="BO660" i="1"/>
  <c r="BO654" i="1"/>
  <c r="BL659" i="1"/>
  <c r="BL656" i="1"/>
  <c r="BL473" i="1"/>
  <c r="BL653" i="1"/>
  <c r="BO600" i="1"/>
  <c r="BO606" i="1"/>
  <c r="BO603" i="1"/>
  <c r="BO637" i="1"/>
  <c r="BO638" i="1" s="1"/>
  <c r="V3" i="13"/>
  <c r="V3" i="11"/>
  <c r="BT1158" i="1"/>
  <c r="BT1159" i="1" s="1"/>
  <c r="BS1164" i="1"/>
  <c r="BX1158" i="1"/>
  <c r="BS473" i="1"/>
  <c r="BS659" i="1"/>
  <c r="BS653" i="1"/>
  <c r="BC654" i="1"/>
  <c r="BC657" i="1"/>
  <c r="BC660" i="1"/>
  <c r="BC600" i="1"/>
  <c r="BC603" i="1"/>
  <c r="BC606" i="1"/>
  <c r="AZ85" i="1"/>
  <c r="BD84" i="1"/>
  <c r="BD86" i="1" s="1"/>
  <c r="BA85" i="1"/>
  <c r="AZ86" i="1"/>
  <c r="BH602" i="1"/>
  <c r="BH605" i="1"/>
  <c r="BH464" i="1"/>
  <c r="BH30" i="1" s="1"/>
  <c r="BH599" i="1"/>
  <c r="BP602" i="1"/>
  <c r="BP605" i="1"/>
  <c r="BP464" i="1"/>
  <c r="BP30" i="1" s="1"/>
  <c r="BP599" i="1"/>
  <c r="AZ124" i="1"/>
  <c r="AZ119" i="1"/>
  <c r="BC1164" i="1"/>
  <c r="BT694" i="1"/>
  <c r="BU663" i="1"/>
  <c r="BU667" i="1" s="1"/>
  <c r="BU405" i="1" s="1"/>
  <c r="BT691" i="1"/>
  <c r="CF2" i="9"/>
  <c r="CF5" i="13"/>
  <c r="CF5" i="11"/>
  <c r="CF1354" i="1"/>
  <c r="B256" i="10"/>
  <c r="B395" i="10"/>
  <c r="M230" i="10"/>
  <c r="B381" i="10"/>
  <c r="M298" i="10"/>
  <c r="B234" i="10"/>
  <c r="B347" i="10"/>
  <c r="B9" i="10"/>
  <c r="B399" i="10"/>
  <c r="M346" i="10"/>
  <c r="M274" i="10"/>
  <c r="M344" i="10"/>
  <c r="B261" i="10"/>
  <c r="M373" i="10"/>
  <c r="M347" i="10"/>
  <c r="B400" i="10"/>
  <c r="M324" i="10"/>
  <c r="M350" i="10"/>
  <c r="M385" i="10"/>
  <c r="M36" i="10"/>
  <c r="B211" i="10"/>
  <c r="M211" i="10"/>
  <c r="B205" i="10"/>
  <c r="B257" i="10"/>
  <c r="M167" i="10"/>
  <c r="B243" i="10"/>
  <c r="M70" i="10"/>
  <c r="B68" i="10"/>
  <c r="B216" i="10"/>
  <c r="M391" i="10"/>
  <c r="B71" i="10"/>
  <c r="M121" i="10"/>
  <c r="M190" i="10"/>
  <c r="M400" i="10"/>
  <c r="B406" i="10"/>
  <c r="M363" i="10"/>
  <c r="M276" i="10"/>
  <c r="M241" i="10"/>
  <c r="M425" i="10"/>
  <c r="M169" i="10"/>
  <c r="M76" i="10"/>
  <c r="M68" i="10"/>
  <c r="M330" i="10"/>
  <c r="M252" i="10"/>
  <c r="B26" i="10"/>
  <c r="B335" i="10"/>
  <c r="B157" i="10"/>
  <c r="M52" i="10"/>
  <c r="B341" i="10"/>
  <c r="M60" i="10"/>
  <c r="B252" i="10"/>
  <c r="B87" i="10"/>
  <c r="B374" i="10"/>
  <c r="M112" i="10"/>
  <c r="B282" i="10"/>
  <c r="M88" i="10"/>
  <c r="B168" i="10"/>
  <c r="M239" i="10"/>
  <c r="B159" i="10"/>
  <c r="B319" i="10"/>
  <c r="B6" i="10"/>
  <c r="M120" i="10"/>
  <c r="M432" i="10"/>
  <c r="B313" i="10"/>
  <c r="B380" i="10"/>
  <c r="B251" i="10"/>
  <c r="M342" i="10"/>
  <c r="M380" i="10"/>
  <c r="M285" i="10"/>
  <c r="B328" i="10"/>
  <c r="B180" i="10"/>
  <c r="M92" i="10"/>
  <c r="M427" i="10"/>
  <c r="M389" i="10"/>
  <c r="B250" i="10"/>
  <c r="M248" i="10"/>
  <c r="M313" i="10"/>
  <c r="B325" i="10"/>
  <c r="M287" i="10"/>
  <c r="M254" i="10"/>
  <c r="B423" i="10"/>
  <c r="M49" i="10"/>
  <c r="M321" i="10"/>
  <c r="M338" i="10"/>
  <c r="B348" i="10"/>
  <c r="B249" i="10"/>
  <c r="B241" i="10"/>
  <c r="M288" i="10"/>
  <c r="M131" i="10"/>
  <c r="B238" i="10"/>
  <c r="M180" i="10"/>
  <c r="B327" i="10"/>
  <c r="B432" i="10"/>
  <c r="M236" i="10"/>
  <c r="M315" i="10"/>
  <c r="B49" i="10"/>
  <c r="B155" i="10"/>
  <c r="B284" i="10"/>
  <c r="B331" i="10"/>
  <c r="B175" i="10"/>
  <c r="M19" i="10"/>
  <c r="B271" i="10"/>
  <c r="M42" i="10"/>
  <c r="M312" i="10"/>
  <c r="M160" i="10"/>
  <c r="B110" i="10"/>
  <c r="B220" i="10"/>
  <c r="B292" i="10"/>
  <c r="M90" i="10"/>
  <c r="B258" i="10"/>
  <c r="B262" i="10"/>
  <c r="B38" i="10"/>
  <c r="M80" i="10"/>
  <c r="M381" i="10"/>
  <c r="M275" i="10"/>
  <c r="B383" i="10"/>
  <c r="M104" i="10"/>
  <c r="B279" i="10"/>
  <c r="M152" i="10"/>
  <c r="B244" i="10"/>
  <c r="B85" i="10"/>
  <c r="B104" i="10"/>
  <c r="M79" i="10"/>
  <c r="M352" i="10"/>
  <c r="B358" i="10"/>
  <c r="M11" i="10"/>
  <c r="M290" i="10"/>
  <c r="B203" i="10"/>
  <c r="M94" i="10"/>
  <c r="B301" i="10"/>
  <c r="B156" i="10"/>
  <c r="M109" i="10"/>
  <c r="M83" i="10"/>
  <c r="M256" i="10"/>
  <c r="B142" i="10"/>
  <c r="B391" i="10"/>
  <c r="M423" i="10"/>
  <c r="B242" i="10"/>
  <c r="B407" i="10"/>
  <c r="M170" i="10"/>
  <c r="B93" i="10"/>
  <c r="B409" i="10"/>
  <c r="B324" i="10"/>
  <c r="B115" i="10"/>
  <c r="M399" i="10"/>
  <c r="B219" i="10"/>
  <c r="M34" i="10"/>
  <c r="M65" i="10"/>
  <c r="B176" i="10"/>
  <c r="M84" i="10"/>
  <c r="M238" i="10"/>
  <c r="B425" i="10"/>
  <c r="M127" i="10"/>
  <c r="M284" i="10"/>
  <c r="B401" i="10"/>
  <c r="M45" i="10"/>
  <c r="B177" i="10"/>
  <c r="B188" i="10"/>
  <c r="B59" i="10"/>
  <c r="M145" i="10"/>
  <c r="M329" i="10"/>
  <c r="B45" i="10"/>
  <c r="M413" i="10"/>
  <c r="B117" i="10"/>
  <c r="B363" i="10"/>
  <c r="M364" i="10"/>
  <c r="B153" i="10"/>
  <c r="B152" i="10"/>
  <c r="M396" i="10"/>
  <c r="B394" i="10"/>
  <c r="M337" i="10"/>
  <c r="B169" i="10"/>
  <c r="M420" i="10"/>
  <c r="M172" i="10"/>
  <c r="M354" i="10"/>
  <c r="B352" i="10"/>
  <c r="M270" i="10"/>
  <c r="M72" i="10"/>
  <c r="M21" i="10"/>
  <c r="M41" i="10"/>
  <c r="M201" i="10"/>
  <c r="M187" i="10"/>
  <c r="B310" i="10"/>
  <c r="B396" i="10"/>
  <c r="B158" i="10"/>
  <c r="B137" i="10"/>
  <c r="M129" i="10"/>
  <c r="B108" i="10"/>
  <c r="M13" i="10"/>
  <c r="B388" i="10"/>
  <c r="M310" i="10"/>
  <c r="M14" i="10"/>
  <c r="B336" i="10"/>
  <c r="M390" i="10"/>
  <c r="M225" i="10"/>
  <c r="B58" i="10"/>
  <c r="B182" i="10"/>
  <c r="M15" i="10"/>
  <c r="B229" i="10"/>
  <c r="M227" i="10"/>
  <c r="B80" i="10"/>
  <c r="M75" i="10"/>
  <c r="B356" i="10"/>
  <c r="M335" i="10"/>
  <c r="M139" i="10"/>
  <c r="M429" i="10"/>
  <c r="M39" i="10"/>
  <c r="B196" i="10"/>
  <c r="M362" i="10"/>
  <c r="B373" i="10"/>
  <c r="B149" i="10"/>
  <c r="B291" i="10"/>
  <c r="B179" i="10"/>
  <c r="B36" i="10"/>
  <c r="B50" i="10"/>
  <c r="B25" i="10"/>
  <c r="M87" i="10"/>
  <c r="M158" i="10"/>
  <c r="M242" i="10"/>
  <c r="M289" i="10"/>
  <c r="M198" i="10"/>
  <c r="B362" i="10"/>
  <c r="M110" i="10"/>
  <c r="B321" i="10"/>
  <c r="M368" i="10"/>
  <c r="B275" i="10"/>
  <c r="M176" i="10"/>
  <c r="M411" i="10"/>
  <c r="M196" i="10"/>
  <c r="B302" i="10"/>
  <c r="M203" i="10"/>
  <c r="M26" i="10"/>
  <c r="B281" i="10"/>
  <c r="B178" i="10"/>
  <c r="M250" i="10"/>
  <c r="M37" i="10"/>
  <c r="M231" i="10"/>
  <c r="B121" i="10"/>
  <c r="M402" i="10"/>
  <c r="B127" i="10"/>
  <c r="B334" i="10"/>
  <c r="M216" i="10"/>
  <c r="M214" i="10"/>
  <c r="B41" i="10"/>
  <c r="B227" i="10"/>
  <c r="B165" i="10"/>
  <c r="B72" i="10"/>
  <c r="B353" i="10"/>
  <c r="M81" i="10"/>
  <c r="B97" i="10"/>
  <c r="M93" i="10"/>
  <c r="M32" i="10"/>
  <c r="B163" i="10"/>
  <c r="M265" i="10"/>
  <c r="M253" i="10"/>
  <c r="B270" i="10"/>
  <c r="M218" i="10"/>
  <c r="M91" i="10"/>
  <c r="M153" i="10"/>
  <c r="B100" i="10"/>
  <c r="B22" i="10"/>
  <c r="M259" i="10"/>
  <c r="M25" i="10"/>
  <c r="M175" i="10"/>
  <c r="B317" i="10"/>
  <c r="B283" i="10"/>
  <c r="B190" i="10"/>
  <c r="B28" i="10"/>
  <c r="B298" i="10"/>
  <c r="B33" i="10"/>
  <c r="M304" i="10"/>
  <c r="M359" i="10"/>
  <c r="B129" i="10"/>
  <c r="M283" i="10"/>
  <c r="M243" i="10"/>
  <c r="B315" i="10"/>
  <c r="B411" i="10"/>
  <c r="M244" i="10"/>
  <c r="B389" i="10"/>
  <c r="B378" i="10"/>
  <c r="M412" i="10"/>
  <c r="M224" i="10"/>
  <c r="M278" i="10"/>
  <c r="B430" i="10"/>
  <c r="B20" i="10"/>
  <c r="M122" i="10"/>
  <c r="B359" i="10"/>
  <c r="B248" i="10"/>
  <c r="M85" i="10"/>
  <c r="M245" i="10"/>
  <c r="B130" i="10"/>
  <c r="M365" i="10"/>
  <c r="M353" i="10"/>
  <c r="M332" i="10"/>
  <c r="B194" i="10"/>
  <c r="M222" i="10"/>
  <c r="M416" i="10"/>
  <c r="B201" i="10"/>
  <c r="B51" i="10"/>
  <c r="B375" i="10"/>
  <c r="B265" i="10"/>
  <c r="M78" i="10"/>
  <c r="B420" i="10"/>
  <c r="B167" i="10"/>
  <c r="M301" i="10"/>
  <c r="B109" i="10"/>
  <c r="M403" i="10"/>
  <c r="M233" i="10"/>
  <c r="M229" i="10"/>
  <c r="M64" i="10"/>
  <c r="M318" i="10"/>
  <c r="B337" i="10"/>
  <c r="M147" i="10"/>
  <c r="B131" i="10"/>
  <c r="M194" i="10"/>
  <c r="M375" i="10"/>
  <c r="B65" i="10"/>
  <c r="B274" i="10"/>
  <c r="B287" i="10"/>
  <c r="M66" i="10"/>
  <c r="B428" i="10"/>
  <c r="B267" i="10"/>
  <c r="B240" i="10"/>
  <c r="B231" i="10"/>
  <c r="B1413" i="1"/>
  <c r="B15" i="10"/>
  <c r="B364" i="10"/>
  <c r="B360" i="10"/>
  <c r="B99" i="10"/>
  <c r="M28" i="10"/>
  <c r="B316" i="10"/>
  <c r="B225" i="10"/>
  <c r="B125" i="10"/>
  <c r="B19" i="10"/>
  <c r="M294" i="10"/>
  <c r="M100" i="10"/>
  <c r="B192" i="10"/>
  <c r="M317" i="10"/>
  <c r="M143" i="10"/>
  <c r="M182" i="10"/>
  <c r="B52" i="10"/>
  <c r="M125" i="10"/>
  <c r="B57" i="10"/>
  <c r="B218" i="10"/>
  <c r="M383" i="10"/>
  <c r="B355" i="10"/>
  <c r="B393" i="10"/>
  <c r="M212" i="10"/>
  <c r="B260" i="10"/>
  <c r="M333" i="10"/>
  <c r="M178" i="10"/>
  <c r="M341" i="10"/>
  <c r="B202" i="10"/>
  <c r="M54" i="10"/>
  <c r="B289" i="10"/>
  <c r="M22" i="10"/>
  <c r="M144" i="10"/>
  <c r="B377" i="10"/>
  <c r="M267" i="10"/>
  <c r="B278" i="10"/>
  <c r="M148" i="10"/>
  <c r="M376" i="10"/>
  <c r="B62" i="10"/>
  <c r="B410" i="10"/>
  <c r="B354" i="10"/>
  <c r="M51" i="10"/>
  <c r="M371" i="10"/>
  <c r="M306" i="10"/>
  <c r="B77" i="10"/>
  <c r="B368" i="10"/>
  <c r="B221" i="10"/>
  <c r="B40" i="10"/>
  <c r="M282" i="10"/>
  <c r="M418" i="10"/>
  <c r="M393" i="10"/>
  <c r="M251" i="10"/>
  <c r="B386" i="10"/>
  <c r="B94" i="10"/>
  <c r="M155" i="10"/>
  <c r="B421" i="10"/>
  <c r="B424" i="10"/>
  <c r="M102" i="10"/>
  <c r="B146" i="10"/>
  <c r="M17" i="10"/>
  <c r="M116" i="10"/>
  <c r="B187" i="10"/>
  <c r="M388" i="10"/>
  <c r="B8" i="10"/>
  <c r="N8" i="10" s="1"/>
  <c r="M142" i="10"/>
  <c r="B113" i="10"/>
  <c r="B107" i="10"/>
  <c r="B269" i="10"/>
  <c r="B42" i="10"/>
  <c r="B245" i="10"/>
  <c r="B230" i="10"/>
  <c r="M219" i="10"/>
  <c r="B123" i="10"/>
  <c r="M316" i="10"/>
  <c r="B345" i="10"/>
  <c r="M291" i="10"/>
  <c r="B236" i="10"/>
  <c r="B118" i="10"/>
  <c r="M156" i="10"/>
  <c r="B403" i="10"/>
  <c r="M12" i="10"/>
  <c r="B254" i="10"/>
  <c r="M209" i="10"/>
  <c r="B376" i="10"/>
  <c r="B14" i="10"/>
  <c r="M47" i="10"/>
  <c r="M292" i="10"/>
  <c r="B106" i="10"/>
  <c r="M249" i="10"/>
  <c r="M234" i="10"/>
  <c r="M137" i="10"/>
  <c r="M53" i="10"/>
  <c r="M319" i="10"/>
  <c r="M8" i="10"/>
  <c r="B186" i="10"/>
  <c r="N296" i="10"/>
  <c r="B408" i="10"/>
  <c r="B306" i="10"/>
  <c r="M360" i="10"/>
  <c r="B232" i="10"/>
  <c r="B67" i="10"/>
  <c r="M57" i="10"/>
  <c r="M263" i="10"/>
  <c r="B147" i="10"/>
  <c r="B135" i="10"/>
  <c r="M357" i="10"/>
  <c r="M311" i="10"/>
  <c r="M320" i="10"/>
  <c r="B404" i="10"/>
  <c r="B387" i="10"/>
  <c r="M200" i="10"/>
  <c r="M46" i="10"/>
  <c r="M162" i="10"/>
  <c r="B173" i="10"/>
  <c r="B314" i="10"/>
  <c r="M430" i="10"/>
  <c r="B357" i="10"/>
  <c r="M119" i="10"/>
  <c r="M27" i="10"/>
  <c r="B312" i="10"/>
  <c r="B296" i="10"/>
  <c r="M367" i="10"/>
  <c r="M117" i="10"/>
  <c r="B27" i="10"/>
  <c r="M300" i="10"/>
  <c r="M331" i="10"/>
  <c r="M177" i="10"/>
  <c r="M378" i="10"/>
  <c r="M273" i="10"/>
  <c r="B116" i="10"/>
  <c r="M140" i="10"/>
  <c r="B311" i="10"/>
  <c r="M355" i="10"/>
  <c r="B46" i="10"/>
  <c r="M149" i="10"/>
  <c r="M33" i="10"/>
  <c r="B235" i="10"/>
  <c r="B372" i="10"/>
  <c r="B53" i="10"/>
  <c r="B223" i="10"/>
  <c r="M401" i="10"/>
  <c r="B21" i="10"/>
  <c r="N21" i="10" s="1"/>
  <c r="M96" i="10"/>
  <c r="M358" i="10"/>
  <c r="B209" i="10"/>
  <c r="B29" i="10"/>
  <c r="B47" i="10"/>
  <c r="B32" i="10"/>
  <c r="B199" i="10"/>
  <c r="M185" i="10"/>
  <c r="B64" i="10"/>
  <c r="B320" i="10"/>
  <c r="M260" i="10"/>
  <c r="B84" i="10"/>
  <c r="B162" i="10"/>
  <c r="M163" i="10"/>
  <c r="B37" i="10"/>
  <c r="B288" i="10"/>
  <c r="M24" i="10"/>
  <c r="B351" i="10"/>
  <c r="M55" i="10"/>
  <c r="B34" i="10"/>
  <c r="B346" i="10"/>
  <c r="M384" i="10"/>
  <c r="B338" i="10"/>
  <c r="M6" i="10"/>
  <c r="B414" i="10"/>
  <c r="M40" i="10"/>
  <c r="B385" i="10"/>
  <c r="M421" i="10"/>
  <c r="B75" i="10"/>
  <c r="B349" i="10"/>
  <c r="M262" i="10"/>
  <c r="B161" i="10"/>
  <c r="M197" i="10"/>
  <c r="M9" i="10"/>
  <c r="B299" i="10"/>
  <c r="B332" i="10"/>
  <c r="M161" i="10"/>
  <c r="B333" i="10"/>
  <c r="B122" i="10"/>
  <c r="M213" i="10"/>
  <c r="M16" i="10"/>
  <c r="B119" i="10"/>
  <c r="M220" i="10"/>
  <c r="M325" i="10"/>
  <c r="M405" i="10"/>
  <c r="M31" i="10"/>
  <c r="B390" i="10"/>
  <c r="M247" i="10"/>
  <c r="B39" i="10"/>
  <c r="M134" i="10"/>
  <c r="M299" i="10"/>
  <c r="B303" i="10"/>
  <c r="B78" i="10"/>
  <c r="B247" i="10"/>
  <c r="M296" i="10"/>
  <c r="B294" i="10"/>
  <c r="M322" i="10"/>
  <c r="M7" i="10"/>
  <c r="B198" i="10"/>
  <c r="B16" i="10"/>
  <c r="B144" i="10"/>
  <c r="M63" i="10"/>
  <c r="M374" i="10"/>
  <c r="M406" i="10"/>
  <c r="B253" i="10"/>
  <c r="B24" i="10"/>
  <c r="B308" i="10"/>
  <c r="M323" i="10"/>
  <c r="B415" i="10"/>
  <c r="B339" i="10"/>
  <c r="M339" i="10"/>
  <c r="B369" i="10"/>
  <c r="M67" i="10"/>
  <c r="B143" i="10"/>
  <c r="B96" i="10"/>
  <c r="B273" i="10"/>
  <c r="M314" i="10"/>
  <c r="M106" i="10"/>
  <c r="M394" i="10"/>
  <c r="M146" i="10"/>
  <c r="M95" i="10"/>
  <c r="B90" i="10"/>
  <c r="B413" i="10"/>
  <c r="B148" i="10"/>
  <c r="M58" i="10"/>
  <c r="B183" i="10"/>
  <c r="B350" i="10"/>
  <c r="B384" i="10"/>
  <c r="M128" i="10"/>
  <c r="M223" i="10"/>
  <c r="M417" i="10"/>
  <c r="M103" i="10"/>
  <c r="M356" i="10"/>
  <c r="B263" i="10"/>
  <c r="M44" i="10"/>
  <c r="M132" i="10"/>
  <c r="B134" i="10"/>
  <c r="M404" i="10"/>
  <c r="B54" i="10"/>
  <c r="B76" i="10"/>
  <c r="M261" i="10"/>
  <c r="M408" i="10"/>
  <c r="B224" i="10"/>
  <c r="B208" i="10"/>
  <c r="M77" i="10"/>
  <c r="B73" i="10"/>
  <c r="M207" i="10"/>
  <c r="M235" i="10"/>
  <c r="B200" i="10"/>
  <c r="B55" i="10"/>
  <c r="B172" i="10"/>
  <c r="M395" i="10"/>
  <c r="B367" i="10"/>
  <c r="M271" i="10"/>
  <c r="B272" i="10"/>
  <c r="M349" i="10"/>
  <c r="B366" i="10"/>
  <c r="M171" i="10"/>
  <c r="M280" i="10"/>
  <c r="M240" i="10"/>
  <c r="M328" i="10"/>
  <c r="B105" i="10"/>
  <c r="B212" i="10"/>
  <c r="M168" i="10"/>
  <c r="B92" i="10"/>
  <c r="B342" i="10"/>
  <c r="B371" i="10"/>
  <c r="M272" i="10"/>
  <c r="B70" i="10"/>
  <c r="M210" i="10"/>
  <c r="M133" i="10"/>
  <c r="B63" i="10"/>
  <c r="M382" i="10"/>
  <c r="M165" i="10"/>
  <c r="M59" i="10"/>
  <c r="M73" i="10"/>
  <c r="M366" i="10"/>
  <c r="B330" i="10"/>
  <c r="M370" i="10"/>
  <c r="B322" i="10"/>
  <c r="B300" i="10"/>
  <c r="B13" i="10"/>
  <c r="N13" i="10" s="1"/>
  <c r="B276" i="10"/>
  <c r="B60" i="10"/>
  <c r="B329" i="10"/>
  <c r="B79" i="10"/>
  <c r="M327" i="10"/>
  <c r="B412" i="10"/>
  <c r="B91" i="10"/>
  <c r="M281" i="10"/>
  <c r="M415" i="10"/>
  <c r="M293" i="10"/>
  <c r="B145" i="10"/>
  <c r="M392" i="10"/>
  <c r="B12" i="10"/>
  <c r="M334" i="10"/>
  <c r="B280" i="10"/>
  <c r="M105" i="10"/>
  <c r="M232" i="10"/>
  <c r="M336" i="10"/>
  <c r="B150" i="10"/>
  <c r="M345" i="10"/>
  <c r="M108" i="10"/>
  <c r="M257" i="10"/>
  <c r="M279" i="10"/>
  <c r="B7" i="10"/>
  <c r="B83" i="10"/>
  <c r="M107" i="10"/>
  <c r="B397" i="10"/>
  <c r="B197" i="10"/>
  <c r="B259" i="10"/>
  <c r="M386" i="10"/>
  <c r="B11" i="10"/>
  <c r="M199" i="10"/>
  <c r="M135" i="10"/>
  <c r="M397" i="10"/>
  <c r="M409" i="10"/>
  <c r="B171" i="10"/>
  <c r="B382" i="10"/>
  <c r="B210" i="10"/>
  <c r="B214" i="10"/>
  <c r="B120" i="10"/>
  <c r="B44" i="10"/>
  <c r="M99" i="10"/>
  <c r="B293" i="10"/>
  <c r="M130" i="10"/>
  <c r="M308" i="10"/>
  <c r="B88" i="10"/>
  <c r="M115" i="10"/>
  <c r="M191" i="10"/>
  <c r="B95" i="10"/>
  <c r="M118" i="10"/>
  <c r="M157" i="10"/>
  <c r="M221" i="10"/>
  <c r="B402" i="10"/>
  <c r="B17" i="10"/>
  <c r="M186" i="10"/>
  <c r="M348" i="10"/>
  <c r="M372" i="10"/>
  <c r="B112" i="10"/>
  <c r="B344" i="10"/>
  <c r="M192" i="10"/>
  <c r="M159" i="10"/>
  <c r="B365" i="10"/>
  <c r="M410" i="10"/>
  <c r="M208" i="10"/>
  <c r="B340" i="10"/>
  <c r="M351" i="10"/>
  <c r="B133" i="10"/>
  <c r="M377" i="10"/>
  <c r="M302" i="10"/>
  <c r="B102" i="10"/>
  <c r="B170" i="10"/>
  <c r="B189" i="10"/>
  <c r="B429" i="10"/>
  <c r="B139" i="10"/>
  <c r="B285" i="10"/>
  <c r="M258" i="10"/>
  <c r="B103" i="10"/>
  <c r="M407" i="10"/>
  <c r="B81" i="10"/>
  <c r="M38" i="10"/>
  <c r="B207" i="10"/>
  <c r="B304" i="10"/>
  <c r="B370" i="10"/>
  <c r="M97" i="10"/>
  <c r="B239" i="10"/>
  <c r="M202" i="10"/>
  <c r="M173" i="10"/>
  <c r="M183" i="10"/>
  <c r="B416" i="10"/>
  <c r="B323" i="10"/>
  <c r="M424" i="10"/>
  <c r="B132" i="10"/>
  <c r="B427" i="10"/>
  <c r="M62" i="10"/>
  <c r="B31" i="10"/>
  <c r="M387" i="10"/>
  <c r="B185" i="10"/>
  <c r="M188" i="10"/>
  <c r="M113" i="10"/>
  <c r="B222" i="10"/>
  <c r="M20" i="10"/>
  <c r="B160" i="10"/>
  <c r="M71" i="10"/>
  <c r="M369" i="10"/>
  <c r="M428" i="10"/>
  <c r="M303" i="10"/>
  <c r="M205" i="10"/>
  <c r="M340" i="10"/>
  <c r="B418" i="10"/>
  <c r="M29" i="10"/>
  <c r="B417" i="10"/>
  <c r="B66" i="10"/>
  <c r="B392" i="10"/>
  <c r="M179" i="10"/>
  <c r="B233" i="10"/>
  <c r="B405" i="10"/>
  <c r="B128" i="10"/>
  <c r="M269" i="10"/>
  <c r="M414" i="10"/>
  <c r="M123" i="10"/>
  <c r="M189" i="10"/>
  <c r="B318" i="10"/>
  <c r="B140" i="10"/>
  <c r="M50" i="10"/>
  <c r="B290" i="10"/>
  <c r="M150" i="10"/>
  <c r="B191" i="10"/>
  <c r="B213" i="10"/>
  <c r="BD50" i="1"/>
  <c r="AY146" i="1"/>
  <c r="AZ50" i="1"/>
  <c r="AY54" i="1"/>
  <c r="AY23" i="9" s="1"/>
  <c r="BL683" i="1"/>
  <c r="BL680" i="1"/>
  <c r="BM647" i="1"/>
  <c r="BM651" i="1" s="1"/>
  <c r="BQ693" i="1"/>
  <c r="BQ687" i="1"/>
  <c r="BQ688" i="1" s="1"/>
  <c r="BQ690" i="1"/>
  <c r="CD396" i="1"/>
  <c r="CD220" i="1" s="1"/>
  <c r="CA463" i="1"/>
  <c r="CA29" i="1" s="1"/>
  <c r="AZ164" i="1"/>
  <c r="BD79" i="1"/>
  <c r="BG600" i="1"/>
  <c r="BG603" i="1"/>
  <c r="BG606" i="1"/>
  <c r="BG637" i="1"/>
  <c r="BG638" i="1" s="1"/>
  <c r="BT688" i="1"/>
  <c r="BK654" i="1"/>
  <c r="BK657" i="1"/>
  <c r="BK660" i="1"/>
  <c r="AY167" i="1"/>
  <c r="AY171" i="1"/>
  <c r="BQ617" i="1"/>
  <c r="BQ620" i="1"/>
  <c r="BQ614" i="1"/>
  <c r="BW396" i="1"/>
  <c r="BW220" i="1" s="1"/>
  <c r="BL677" i="1"/>
  <c r="BX463" i="1"/>
  <c r="BX29" i="1" s="1"/>
  <c r="BU697" i="1"/>
  <c r="BU696" i="1"/>
  <c r="BX651" i="1"/>
  <c r="V1367" i="1"/>
  <c r="BG657" i="1"/>
  <c r="BG654" i="1"/>
  <c r="BG660" i="1"/>
  <c r="BW463" i="1"/>
  <c r="BW29" i="1" s="1"/>
  <c r="CB5" i="11"/>
  <c r="CB5" i="13"/>
  <c r="CB2" i="9"/>
  <c r="CB1354" i="1"/>
  <c r="CF396" i="1" s="1"/>
  <c r="CF220" i="1" s="1"/>
  <c r="CB396" i="1"/>
  <c r="CB220" i="1" s="1"/>
  <c r="BH405" i="1"/>
  <c r="BH669" i="1"/>
  <c r="O527" i="1"/>
  <c r="P526" i="1"/>
  <c r="O529" i="1"/>
  <c r="BT405" i="1"/>
  <c r="BT669" i="1"/>
  <c r="Z1091" i="1"/>
  <c r="Z1092" i="1" s="1"/>
  <c r="Y1092" i="1"/>
  <c r="Y1269" i="1" s="1"/>
  <c r="BP694" i="1"/>
  <c r="BQ663" i="1"/>
  <c r="BQ667" i="1" s="1"/>
  <c r="BP691" i="1"/>
  <c r="BT602" i="1"/>
  <c r="BT605" i="1"/>
  <c r="BT464" i="1"/>
  <c r="BT30" i="1" s="1"/>
  <c r="BT599" i="1"/>
  <c r="BL605" i="1"/>
  <c r="BL602" i="1"/>
  <c r="BL464" i="1"/>
  <c r="BL30" i="1" s="1"/>
  <c r="BL599" i="1"/>
  <c r="BT683" i="1"/>
  <c r="BT680" i="1"/>
  <c r="BU647" i="1"/>
  <c r="BU651" i="1" s="1"/>
  <c r="BQ619" i="1"/>
  <c r="BQ616" i="1"/>
  <c r="BQ613" i="1"/>
  <c r="BQ678" i="1"/>
  <c r="BQ675" i="1"/>
  <c r="BQ677" i="1" s="1"/>
  <c r="BQ681" i="1"/>
  <c r="BG1164" i="1"/>
  <c r="BH1158" i="1"/>
  <c r="BH1159" i="1" s="1"/>
  <c r="CA396" i="1"/>
  <c r="CA220" i="1" s="1"/>
  <c r="BY396" i="1"/>
  <c r="BY220" i="1" s="1"/>
  <c r="AU8" i="1"/>
  <c r="AU12" i="1"/>
  <c r="T759" i="1"/>
  <c r="T40" i="9"/>
  <c r="T42" i="9" s="1"/>
  <c r="T487" i="1"/>
  <c r="BS464" i="1"/>
  <c r="BS30" i="1" s="1"/>
  <c r="BS605" i="1"/>
  <c r="BS599" i="1"/>
  <c r="BT697" i="1"/>
  <c r="BT696" i="1"/>
  <c r="BH656" i="1"/>
  <c r="BH659" i="1"/>
  <c r="BH473" i="1"/>
  <c r="BH653" i="1"/>
  <c r="BL405" i="1"/>
  <c r="BL669" i="1"/>
  <c r="AU172" i="1"/>
  <c r="AU174" i="1"/>
  <c r="BL1158" i="1"/>
  <c r="BL1159" i="1" s="1"/>
  <c r="BK1164" i="1"/>
  <c r="BT656" i="1"/>
  <c r="BT473" i="1"/>
  <c r="BT659" i="1"/>
  <c r="BT653" i="1"/>
  <c r="BU624" i="1"/>
  <c r="BU623" i="1"/>
  <c r="BX597" i="1"/>
  <c r="BX396" i="1"/>
  <c r="BX220" i="1" s="1"/>
  <c r="BL694" i="1"/>
  <c r="BL691" i="1"/>
  <c r="BM663" i="1"/>
  <c r="BM667" i="1" s="1"/>
  <c r="BZ463" i="1"/>
  <c r="BZ29" i="1" s="1"/>
  <c r="AU173" i="1"/>
  <c r="BN600" i="1"/>
  <c r="BN606" i="1"/>
  <c r="BN660" i="1"/>
  <c r="BN654" i="1"/>
  <c r="AU171" i="1"/>
  <c r="AU175" i="1" s="1"/>
  <c r="BQ689" i="1"/>
  <c r="BQ692" i="1"/>
  <c r="BP656" i="1"/>
  <c r="BP659" i="1"/>
  <c r="BP473" i="1"/>
  <c r="BP653" i="1"/>
  <c r="BK637" i="1"/>
  <c r="BK638" i="1" s="1"/>
  <c r="BK603" i="1"/>
  <c r="BK606" i="1"/>
  <c r="BK600" i="1"/>
  <c r="BP621" i="1"/>
  <c r="BP618" i="1"/>
  <c r="BQ593" i="1"/>
  <c r="BQ597" i="1" s="1"/>
  <c r="BT621" i="1"/>
  <c r="BT618" i="1"/>
  <c r="BU593" i="1"/>
  <c r="BU597" i="1" s="1"/>
  <c r="AZ98" i="1"/>
  <c r="AY102" i="1"/>
  <c r="AY25" i="9" s="1"/>
  <c r="BD98" i="1"/>
  <c r="AY148" i="1"/>
  <c r="BP405" i="1"/>
  <c r="BP669" i="1"/>
  <c r="BT624" i="1"/>
  <c r="BT623" i="1"/>
  <c r="BL618" i="1"/>
  <c r="BL621" i="1"/>
  <c r="BM593" i="1"/>
  <c r="BM597" i="1" s="1"/>
  <c r="K128" i="9"/>
  <c r="K131" i="9"/>
  <c r="W1" i="9"/>
  <c r="W1397" i="1"/>
  <c r="W515" i="1"/>
  <c r="W3" i="1"/>
  <c r="W1367" i="1" s="1"/>
  <c r="X4" i="1"/>
  <c r="W4" i="11"/>
  <c r="W4" i="13"/>
  <c r="CE463" i="1"/>
  <c r="CE29" i="1" s="1"/>
  <c r="BO1164" i="1"/>
  <c r="BP1158" i="1"/>
  <c r="BP1159" i="1" s="1"/>
  <c r="BP683" i="1"/>
  <c r="BQ647" i="1"/>
  <c r="BQ651" i="1" s="1"/>
  <c r="BP680" i="1"/>
  <c r="N157" i="10"/>
  <c r="N163" i="10"/>
  <c r="N144" i="10"/>
  <c r="N117" i="10"/>
  <c r="N51" i="10"/>
  <c r="N129" i="10"/>
  <c r="N104" i="10"/>
  <c r="N38" i="10"/>
  <c r="N64" i="10"/>
  <c r="CB1355" i="1"/>
  <c r="N123" i="10"/>
  <c r="N135" i="10"/>
  <c r="N33" i="10"/>
  <c r="CF1355" i="1"/>
  <c r="N72" i="10"/>
  <c r="N150" i="10"/>
  <c r="N77" i="10"/>
  <c r="N92" i="10"/>
  <c r="N59" i="10"/>
  <c r="N46" i="10"/>
  <c r="CC396" i="1" l="1"/>
  <c r="CC220" i="1" s="1"/>
  <c r="CB463" i="1"/>
  <c r="CB29" i="1" s="1"/>
  <c r="P150" i="10"/>
  <c r="Q150" i="10"/>
  <c r="CB1356" i="1"/>
  <c r="CE1356" i="1"/>
  <c r="CD1356" i="1"/>
  <c r="CC1356" i="1"/>
  <c r="Q46" i="10"/>
  <c r="P46" i="10"/>
  <c r="Q104" i="10"/>
  <c r="P104" i="10"/>
  <c r="CF1356" i="1"/>
  <c r="P117" i="10"/>
  <c r="Q117" i="10"/>
  <c r="Q77" i="10"/>
  <c r="P77" i="10"/>
  <c r="Q129" i="10"/>
  <c r="P129" i="10"/>
  <c r="P33" i="10"/>
  <c r="Q33" i="10"/>
  <c r="Q135" i="10"/>
  <c r="P135" i="10"/>
  <c r="P123" i="10"/>
  <c r="Q123" i="10"/>
  <c r="P163" i="10"/>
  <c r="Q163" i="10"/>
  <c r="Q38" i="10"/>
  <c r="P38" i="10"/>
  <c r="P64" i="10"/>
  <c r="Q64" i="10"/>
  <c r="P51" i="10"/>
  <c r="Q51" i="10"/>
  <c r="Q92" i="10"/>
  <c r="P92" i="10"/>
  <c r="Q144" i="10"/>
  <c r="P144" i="10"/>
  <c r="P72" i="10"/>
  <c r="Q72" i="10"/>
  <c r="P59" i="10"/>
  <c r="Q59" i="10"/>
  <c r="P157" i="10"/>
  <c r="Q157" i="10"/>
  <c r="BP1164" i="1"/>
  <c r="BQ1158" i="1"/>
  <c r="BQ1159" i="1" s="1"/>
  <c r="BM405" i="1"/>
  <c r="BM669" i="1"/>
  <c r="BQ618" i="1"/>
  <c r="BR593" i="1"/>
  <c r="BR597" i="1" s="1"/>
  <c r="BQ621" i="1"/>
  <c r="BU1158" i="1"/>
  <c r="BT1164" i="1"/>
  <c r="BU659" i="1"/>
  <c r="BU656" i="1"/>
  <c r="BU473" i="1"/>
  <c r="BH603" i="1"/>
  <c r="BH606" i="1"/>
  <c r="BH600" i="1"/>
  <c r="BQ659" i="1"/>
  <c r="BQ656" i="1"/>
  <c r="BQ473" i="1"/>
  <c r="BQ653" i="1"/>
  <c r="BX605" i="1"/>
  <c r="BX464" i="1"/>
  <c r="BX30" i="1" s="1"/>
  <c r="BX599" i="1"/>
  <c r="T760" i="1"/>
  <c r="T761" i="1"/>
  <c r="BT606" i="1"/>
  <c r="BT637" i="1"/>
  <c r="BT638" i="1" s="1"/>
  <c r="BT600" i="1"/>
  <c r="BT603" i="1"/>
  <c r="AA1091" i="1"/>
  <c r="Z1269" i="1"/>
  <c r="CE396" i="1"/>
  <c r="CE220" i="1" s="1"/>
  <c r="CC463" i="1"/>
  <c r="CC29" i="1" s="1"/>
  <c r="BQ615" i="1"/>
  <c r="AY150" i="1"/>
  <c r="AY155" i="1"/>
  <c r="Q21" i="10"/>
  <c r="P21" i="10"/>
  <c r="BQ405" i="1"/>
  <c r="BQ669" i="1"/>
  <c r="P527" i="1"/>
  <c r="P529" i="1"/>
  <c r="P8" i="10"/>
  <c r="Q8" i="10"/>
  <c r="BP654" i="1"/>
  <c r="BP660" i="1"/>
  <c r="BP657" i="1"/>
  <c r="AU14" i="1"/>
  <c r="AU13" i="1"/>
  <c r="AY12" i="1"/>
  <c r="AY14" i="1" s="1"/>
  <c r="AV13" i="1"/>
  <c r="BQ694" i="1"/>
  <c r="BR663" i="1"/>
  <c r="BR667" i="1" s="1"/>
  <c r="BQ691" i="1"/>
  <c r="BD119" i="1"/>
  <c r="AZ166" i="1"/>
  <c r="AZ104" i="1"/>
  <c r="AZ99" i="1"/>
  <c r="BH654" i="1"/>
  <c r="BH657" i="1"/>
  <c r="BH660" i="1"/>
  <c r="T491" i="1"/>
  <c r="T503" i="1"/>
  <c r="T502" i="1"/>
  <c r="BD164" i="1"/>
  <c r="BD80" i="1"/>
  <c r="AZ56" i="1"/>
  <c r="AZ51" i="1"/>
  <c r="BS654" i="1"/>
  <c r="BS660" i="1"/>
  <c r="X1397" i="1"/>
  <c r="X1" i="9"/>
  <c r="X515" i="1"/>
  <c r="X3" i="1"/>
  <c r="X1367" i="1" s="1"/>
  <c r="Y4" i="1"/>
  <c r="X4" i="13"/>
  <c r="X4" i="11"/>
  <c r="BM605" i="1"/>
  <c r="BM602" i="1"/>
  <c r="BM464" i="1"/>
  <c r="BM30" i="1" s="1"/>
  <c r="BM599" i="1"/>
  <c r="BQ605" i="1"/>
  <c r="BQ602" i="1"/>
  <c r="BQ464" i="1"/>
  <c r="BQ30" i="1" s="1"/>
  <c r="BQ599" i="1"/>
  <c r="BM1158" i="1"/>
  <c r="BM1159" i="1" s="1"/>
  <c r="BL1164" i="1"/>
  <c r="BQ680" i="1"/>
  <c r="BQ683" i="1"/>
  <c r="BR647" i="1"/>
  <c r="BR651" i="1" s="1"/>
  <c r="BL603" i="1"/>
  <c r="BL606" i="1"/>
  <c r="BL600" i="1"/>
  <c r="BL637" i="1"/>
  <c r="BL638" i="1" s="1"/>
  <c r="CD463" i="1"/>
  <c r="CD29" i="1" s="1"/>
  <c r="AY172" i="1"/>
  <c r="AY174" i="1"/>
  <c r="P13" i="10"/>
  <c r="Q13" i="10"/>
  <c r="AZ126" i="1"/>
  <c r="BD124" i="1"/>
  <c r="BD126" i="1" s="1"/>
  <c r="AZ125" i="1"/>
  <c r="BA125" i="1"/>
  <c r="AY173" i="1"/>
  <c r="S107" i="9"/>
  <c r="S111" i="9"/>
  <c r="Q107" i="9"/>
  <c r="Q111" i="9"/>
  <c r="BU605" i="1"/>
  <c r="BU602" i="1"/>
  <c r="BU464" i="1"/>
  <c r="BU30" i="1" s="1"/>
  <c r="BU599" i="1"/>
  <c r="BH1164" i="1"/>
  <c r="O5" i="9"/>
  <c r="O1008" i="1"/>
  <c r="O107" i="9"/>
  <c r="O111" i="9"/>
  <c r="P296" i="10"/>
  <c r="Q296" i="10"/>
  <c r="BL660" i="1"/>
  <c r="BL654" i="1"/>
  <c r="BL657" i="1"/>
  <c r="W3" i="11"/>
  <c r="W3" i="13"/>
  <c r="BT660" i="1"/>
  <c r="BT654" i="1"/>
  <c r="BT657" i="1"/>
  <c r="BS600" i="1"/>
  <c r="BS606" i="1"/>
  <c r="BX659" i="1"/>
  <c r="BX473" i="1"/>
  <c r="BM656" i="1"/>
  <c r="BM659" i="1"/>
  <c r="BM473" i="1"/>
  <c r="BM653" i="1"/>
  <c r="CF463" i="1"/>
  <c r="CF29" i="1" s="1"/>
  <c r="BP600" i="1"/>
  <c r="BP637" i="1"/>
  <c r="BP638" i="1" s="1"/>
  <c r="BP606" i="1"/>
  <c r="BP603" i="1"/>
  <c r="O99" i="9"/>
  <c r="O102" i="9" s="1"/>
  <c r="Q99" i="9"/>
  <c r="Q102" i="9" s="1"/>
  <c r="R99" i="9"/>
  <c r="R102" i="9" s="1"/>
  <c r="S99" i="9"/>
  <c r="S102" i="9" s="1"/>
  <c r="R107" i="9"/>
  <c r="R111" i="9"/>
  <c r="AY175" i="1" l="1"/>
  <c r="O999" i="1"/>
  <c r="O1009" i="1"/>
  <c r="O1000" i="1" s="1"/>
  <c r="O976" i="1" s="1"/>
  <c r="P5" i="9"/>
  <c r="P1008" i="1"/>
  <c r="O6" i="9"/>
  <c r="O11" i="9" s="1"/>
  <c r="O120" i="9"/>
  <c r="O84" i="9"/>
  <c r="O85" i="9"/>
  <c r="O87" i="9" s="1"/>
  <c r="O121" i="9"/>
  <c r="O122" i="9"/>
  <c r="Y1" i="9"/>
  <c r="Y1397" i="1"/>
  <c r="Y515" i="1"/>
  <c r="Y3" i="1"/>
  <c r="Z4" i="1"/>
  <c r="Y4" i="13"/>
  <c r="Y4" i="11"/>
  <c r="AZ163" i="1"/>
  <c r="BD51" i="1"/>
  <c r="BD166" i="1"/>
  <c r="BD120" i="1"/>
  <c r="BM660" i="1"/>
  <c r="BM657" i="1"/>
  <c r="BM654" i="1"/>
  <c r="T495" i="1"/>
  <c r="T1259" i="1"/>
  <c r="T1267" i="1"/>
  <c r="V1267" i="1"/>
  <c r="U1275" i="1"/>
  <c r="S1267" i="1"/>
  <c r="BR659" i="1"/>
  <c r="BR656" i="1"/>
  <c r="BR473" i="1"/>
  <c r="BR653" i="1"/>
  <c r="BQ660" i="1"/>
  <c r="BQ654" i="1"/>
  <c r="BQ657" i="1"/>
  <c r="X3" i="11"/>
  <c r="X3" i="13"/>
  <c r="AZ58" i="1"/>
  <c r="BD56" i="1"/>
  <c r="BD58" i="1" s="1"/>
  <c r="AZ57" i="1"/>
  <c r="BA57" i="1"/>
  <c r="BR1158" i="1"/>
  <c r="BR1159" i="1" s="1"/>
  <c r="BQ1164" i="1"/>
  <c r="AB1091" i="1"/>
  <c r="AA1092" i="1"/>
  <c r="AA1269" i="1" s="1"/>
  <c r="AY9" i="1"/>
  <c r="AZ183" i="1"/>
  <c r="AY156" i="1"/>
  <c r="AY158" i="1"/>
  <c r="BM606" i="1"/>
  <c r="BM603" i="1"/>
  <c r="BM600" i="1"/>
  <c r="BI78" i="1"/>
  <c r="BD147" i="1"/>
  <c r="BD82" i="1"/>
  <c r="BD24" i="9" s="1"/>
  <c r="BE78" i="1"/>
  <c r="BD99" i="1"/>
  <c r="AZ165" i="1"/>
  <c r="BR405" i="1"/>
  <c r="BR669" i="1"/>
  <c r="T762" i="1"/>
  <c r="T798" i="1"/>
  <c r="T764" i="1"/>
  <c r="BQ600" i="1"/>
  <c r="BQ606" i="1"/>
  <c r="BQ603" i="1"/>
  <c r="BQ637" i="1"/>
  <c r="BQ638" i="1" s="1"/>
  <c r="BR602" i="1"/>
  <c r="BR605" i="1"/>
  <c r="BR464" i="1"/>
  <c r="BR30" i="1" s="1"/>
  <c r="BR599" i="1"/>
  <c r="BU606" i="1"/>
  <c r="BU603" i="1"/>
  <c r="BU600" i="1"/>
  <c r="AZ106" i="1"/>
  <c r="AZ105" i="1"/>
  <c r="BD104" i="1"/>
  <c r="BD106" i="1" s="1"/>
  <c r="BA105" i="1"/>
  <c r="BM1164" i="1"/>
  <c r="AY157" i="1"/>
  <c r="BX606" i="1"/>
  <c r="BX600" i="1"/>
  <c r="AY159" i="1" l="1"/>
  <c r="BR606" i="1"/>
  <c r="BR603" i="1"/>
  <c r="BR600" i="1"/>
  <c r="Y3" i="13"/>
  <c r="Y3" i="11"/>
  <c r="AY11" i="1"/>
  <c r="AY27" i="9" s="1"/>
  <c r="AZ7" i="1"/>
  <c r="BD7" i="1"/>
  <c r="AY8" i="1"/>
  <c r="BD163" i="1"/>
  <c r="BD52" i="1"/>
  <c r="Y1367" i="1"/>
  <c r="P999" i="1"/>
  <c r="P1009" i="1"/>
  <c r="P1014" i="1"/>
  <c r="BR1164" i="1"/>
  <c r="Z1" i="9"/>
  <c r="Z1397" i="1"/>
  <c r="Z515" i="1"/>
  <c r="AA4" i="1"/>
  <c r="Z3" i="1"/>
  <c r="Y1182" i="1" s="1"/>
  <c r="Z4" i="11"/>
  <c r="Z4" i="13"/>
  <c r="BD122" i="1"/>
  <c r="BD26" i="9" s="1"/>
  <c r="BE118" i="1"/>
  <c r="BD149" i="1"/>
  <c r="BI118" i="1"/>
  <c r="BR654" i="1"/>
  <c r="BR660" i="1"/>
  <c r="BR657" i="1"/>
  <c r="AZ167" i="1"/>
  <c r="AZ171" i="1" s="1"/>
  <c r="P6" i="9"/>
  <c r="P120" i="9"/>
  <c r="P84" i="9"/>
  <c r="P129" i="9" s="1"/>
  <c r="P121" i="9"/>
  <c r="P85" i="9"/>
  <c r="P87" i="9" s="1"/>
  <c r="P122" i="9"/>
  <c r="BD183" i="1"/>
  <c r="BD16" i="1" s="1"/>
  <c r="BD19" i="1" s="1"/>
  <c r="BD31" i="9" s="1"/>
  <c r="AZ16" i="1"/>
  <c r="AC1091" i="1"/>
  <c r="AB1092" i="1"/>
  <c r="AB1269" i="1" s="1"/>
  <c r="T47" i="9"/>
  <c r="T497" i="1"/>
  <c r="T505" i="1"/>
  <c r="T500" i="1"/>
  <c r="T1260" i="1"/>
  <c r="BD165" i="1"/>
  <c r="BD100" i="1"/>
  <c r="BE84" i="1"/>
  <c r="BE79" i="1"/>
  <c r="O973" i="1"/>
  <c r="O975" i="1"/>
  <c r="N225" i="10"/>
  <c r="AZ173" i="1" l="1"/>
  <c r="Y1181" i="1"/>
  <c r="Z1367" i="1"/>
  <c r="Q225" i="10"/>
  <c r="P225" i="10"/>
  <c r="AZ17" i="1"/>
  <c r="AZ29" i="9" s="1"/>
  <c r="AZ19" i="1"/>
  <c r="AZ31" i="9" s="1"/>
  <c r="BA17" i="1"/>
  <c r="BA29" i="9" s="1"/>
  <c r="P11" i="9"/>
  <c r="P130" i="9"/>
  <c r="T56" i="9"/>
  <c r="T507" i="1"/>
  <c r="T57" i="9" s="1"/>
  <c r="T88" i="9" s="1"/>
  <c r="U1276" i="1"/>
  <c r="BD146" i="1"/>
  <c r="BE50" i="1"/>
  <c r="BD54" i="1"/>
  <c r="BD23" i="9" s="1"/>
  <c r="BI50" i="1"/>
  <c r="BD167" i="1"/>
  <c r="T49" i="9"/>
  <c r="T526" i="1"/>
  <c r="T506" i="1"/>
  <c r="T50" i="9" s="1"/>
  <c r="BE124" i="1"/>
  <c r="BE119" i="1"/>
  <c r="BE164" i="1"/>
  <c r="BI79" i="1"/>
  <c r="T138" i="9"/>
  <c r="T103" i="9"/>
  <c r="P973" i="1"/>
  <c r="P975" i="1"/>
  <c r="BE85" i="1"/>
  <c r="BI84" i="1"/>
  <c r="BI86" i="1" s="1"/>
  <c r="BE86" i="1"/>
  <c r="BF85" i="1"/>
  <c r="Y484" i="1"/>
  <c r="V760" i="1"/>
  <c r="X760" i="1"/>
  <c r="W760" i="1"/>
  <c r="W1180" i="1"/>
  <c r="X1180" i="1"/>
  <c r="V1180" i="1"/>
  <c r="Y758" i="1"/>
  <c r="V758" i="1"/>
  <c r="X1179" i="1"/>
  <c r="W758" i="1"/>
  <c r="Y1180" i="1"/>
  <c r="V1179" i="1"/>
  <c r="W1179" i="1"/>
  <c r="X758" i="1"/>
  <c r="Y1179" i="1"/>
  <c r="V762" i="1"/>
  <c r="X762" i="1"/>
  <c r="W762" i="1"/>
  <c r="Z3" i="13"/>
  <c r="Z3" i="11"/>
  <c r="V1182" i="1"/>
  <c r="V1181" i="1"/>
  <c r="W1182" i="1"/>
  <c r="W1181" i="1"/>
  <c r="X1181" i="1"/>
  <c r="X1182" i="1"/>
  <c r="AZ12" i="1"/>
  <c r="AZ8" i="1"/>
  <c r="AZ172" i="1"/>
  <c r="AZ174" i="1"/>
  <c r="BD148" i="1"/>
  <c r="BD102" i="1"/>
  <c r="BD25" i="9" s="1"/>
  <c r="BI98" i="1"/>
  <c r="BE98" i="1"/>
  <c r="AD1091" i="1"/>
  <c r="AC1092" i="1"/>
  <c r="AC1269" i="1" s="1"/>
  <c r="AA1" i="9"/>
  <c r="AA1397" i="1"/>
  <c r="AA515" i="1"/>
  <c r="AB4" i="1"/>
  <c r="AA3" i="1"/>
  <c r="AA1367" i="1" s="1"/>
  <c r="AA4" i="13"/>
  <c r="AA4" i="11"/>
  <c r="P1012" i="1"/>
  <c r="P1000" i="1"/>
  <c r="P976" i="1" s="1"/>
  <c r="P1015" i="1"/>
  <c r="AZ175" i="1" l="1"/>
  <c r="BI164" i="1"/>
  <c r="BI80" i="1"/>
  <c r="AB1" i="9"/>
  <c r="AB1397" i="1"/>
  <c r="AB515" i="1"/>
  <c r="AC4" i="1"/>
  <c r="AB3" i="1"/>
  <c r="AB4" i="13"/>
  <c r="AB4" i="11"/>
  <c r="BE126" i="1"/>
  <c r="BI124" i="1"/>
  <c r="BI126" i="1" s="1"/>
  <c r="BF125" i="1"/>
  <c r="BE125" i="1"/>
  <c r="AZ13" i="1"/>
  <c r="BD12" i="1"/>
  <c r="BD14" i="1" s="1"/>
  <c r="AZ14" i="1"/>
  <c r="BA13" i="1"/>
  <c r="BE51" i="1"/>
  <c r="BE56" i="1"/>
  <c r="BD172" i="1"/>
  <c r="BD174" i="1"/>
  <c r="AE1091" i="1"/>
  <c r="AE1092" i="1" s="1"/>
  <c r="AD1092" i="1"/>
  <c r="AD1269" i="1" s="1"/>
  <c r="BD173" i="1"/>
  <c r="BD171" i="1"/>
  <c r="BE99" i="1"/>
  <c r="BE104" i="1"/>
  <c r="BI119" i="1"/>
  <c r="BE166" i="1"/>
  <c r="BD150" i="1"/>
  <c r="BD157" i="1" s="1"/>
  <c r="T104" i="9"/>
  <c r="X104" i="9"/>
  <c r="V104" i="9"/>
  <c r="W104" i="9"/>
  <c r="U526" i="1"/>
  <c r="T527" i="1"/>
  <c r="T529" i="1"/>
  <c r="T137" i="9"/>
  <c r="T98" i="9"/>
  <c r="AA3" i="13"/>
  <c r="AA3" i="11"/>
  <c r="P128" i="9"/>
  <c r="P131" i="9"/>
  <c r="Y759" i="1"/>
  <c r="Y40" i="9"/>
  <c r="Y42" i="9" s="1"/>
  <c r="Y487" i="1"/>
  <c r="Y503" i="1" l="1"/>
  <c r="Y491" i="1"/>
  <c r="Y502" i="1"/>
  <c r="W107" i="9"/>
  <c r="W111" i="9"/>
  <c r="BI166" i="1"/>
  <c r="BI120" i="1"/>
  <c r="AB3" i="13"/>
  <c r="AB3" i="11"/>
  <c r="AC1" i="9"/>
  <c r="AC1397" i="1"/>
  <c r="AC515" i="1"/>
  <c r="AD4" i="1"/>
  <c r="AC3" i="1"/>
  <c r="AC1367" i="1" s="1"/>
  <c r="AC4" i="13"/>
  <c r="AC4" i="11"/>
  <c r="T99" i="9"/>
  <c r="T102" i="9" s="1"/>
  <c r="V99" i="9"/>
  <c r="V102" i="9" s="1"/>
  <c r="W99" i="9"/>
  <c r="W102" i="9" s="1"/>
  <c r="X99" i="9"/>
  <c r="X102" i="9" s="1"/>
  <c r="T107" i="9"/>
  <c r="T111" i="9"/>
  <c r="BD175" i="1"/>
  <c r="AB1367" i="1"/>
  <c r="BD155" i="1"/>
  <c r="BE57" i="1"/>
  <c r="BI56" i="1"/>
  <c r="BI58" i="1" s="1"/>
  <c r="BE58" i="1"/>
  <c r="BF57" i="1"/>
  <c r="V107" i="9"/>
  <c r="V111" i="9"/>
  <c r="AF1091" i="1"/>
  <c r="AE1269" i="1"/>
  <c r="X107" i="9"/>
  <c r="X111" i="9"/>
  <c r="T5" i="9"/>
  <c r="T1008" i="1"/>
  <c r="BE163" i="1"/>
  <c r="BI51" i="1"/>
  <c r="BI147" i="1"/>
  <c r="BJ78" i="1"/>
  <c r="BI82" i="1"/>
  <c r="BI24" i="9" s="1"/>
  <c r="BN78" i="1"/>
  <c r="BI104" i="1"/>
  <c r="BI106" i="1" s="1"/>
  <c r="BE105" i="1"/>
  <c r="BE106" i="1"/>
  <c r="BF105" i="1"/>
  <c r="Y760" i="1"/>
  <c r="Y761" i="1"/>
  <c r="BI99" i="1"/>
  <c r="BE165" i="1"/>
  <c r="BD9" i="1"/>
  <c r="BE183" i="1"/>
  <c r="BD156" i="1"/>
  <c r="BD158" i="1"/>
  <c r="U527" i="1"/>
  <c r="U529" i="1"/>
  <c r="T999" i="1" l="1"/>
  <c r="T1009" i="1"/>
  <c r="T1000" i="1" s="1"/>
  <c r="T976" i="1" s="1"/>
  <c r="BN118" i="1"/>
  <c r="BI149" i="1"/>
  <c r="BI122" i="1"/>
  <c r="BI26" i="9" s="1"/>
  <c r="BJ118" i="1"/>
  <c r="BI165" i="1"/>
  <c r="BI100" i="1"/>
  <c r="U5" i="9"/>
  <c r="U1008" i="1"/>
  <c r="Y762" i="1"/>
  <c r="Y798" i="1"/>
  <c r="Y764" i="1"/>
  <c r="BJ84" i="1"/>
  <c r="BJ79" i="1"/>
  <c r="BD159" i="1"/>
  <c r="BE16" i="1"/>
  <c r="BI183" i="1"/>
  <c r="BI16" i="1" s="1"/>
  <c r="BI19" i="1" s="1"/>
  <c r="BI31" i="9" s="1"/>
  <c r="T6" i="9"/>
  <c r="T11" i="9" s="1"/>
  <c r="T120" i="9"/>
  <c r="T84" i="9"/>
  <c r="T121" i="9"/>
  <c r="T85" i="9"/>
  <c r="T87" i="9" s="1"/>
  <c r="T122" i="9"/>
  <c r="AG1091" i="1"/>
  <c r="AF1092" i="1"/>
  <c r="AF1269" i="1" s="1"/>
  <c r="Y495" i="1"/>
  <c r="Y1259" i="1"/>
  <c r="Y1267" i="1"/>
  <c r="AA1267" i="1"/>
  <c r="Z1275" i="1"/>
  <c r="X1267" i="1"/>
  <c r="AD1" i="9"/>
  <c r="AD1397" i="1"/>
  <c r="AD515" i="1"/>
  <c r="AD3" i="1"/>
  <c r="AD1367" i="1" s="1"/>
  <c r="AE4" i="1"/>
  <c r="AD4" i="11"/>
  <c r="AD4" i="13"/>
  <c r="BD8" i="1"/>
  <c r="BI7" i="1"/>
  <c r="BE7" i="1"/>
  <c r="BD11" i="1"/>
  <c r="BD27" i="9" s="1"/>
  <c r="BI163" i="1"/>
  <c r="BI52" i="1"/>
  <c r="BE167" i="1"/>
  <c r="BE171" i="1" s="1"/>
  <c r="AC3" i="11"/>
  <c r="AC3" i="13"/>
  <c r="BE173" i="1" l="1"/>
  <c r="U999" i="1"/>
  <c r="U1009" i="1"/>
  <c r="U1014" i="1"/>
  <c r="BJ119" i="1"/>
  <c r="BJ124" i="1"/>
  <c r="BE19" i="1"/>
  <c r="BE31" i="9" s="1"/>
  <c r="BE17" i="1"/>
  <c r="BE29" i="9" s="1"/>
  <c r="BF17" i="1"/>
  <c r="BF29" i="9" s="1"/>
  <c r="AH1091" i="1"/>
  <c r="AG1092" i="1"/>
  <c r="AG1269" i="1" s="1"/>
  <c r="BN98" i="1"/>
  <c r="BI148" i="1"/>
  <c r="BJ98" i="1"/>
  <c r="BI102" i="1"/>
  <c r="BI25" i="9" s="1"/>
  <c r="BJ85" i="1"/>
  <c r="BJ86" i="1"/>
  <c r="BN84" i="1"/>
  <c r="BN86" i="1" s="1"/>
  <c r="BK85" i="1"/>
  <c r="BE8" i="1"/>
  <c r="BE12" i="1"/>
  <c r="Y47" i="9"/>
  <c r="Y500" i="1"/>
  <c r="Y497" i="1"/>
  <c r="Y505" i="1"/>
  <c r="Y1260" i="1"/>
  <c r="BE172" i="1"/>
  <c r="BE174" i="1"/>
  <c r="U120" i="9"/>
  <c r="U6" i="9"/>
  <c r="U84" i="9"/>
  <c r="U129" i="9" s="1"/>
  <c r="U85" i="9"/>
  <c r="U87" i="9" s="1"/>
  <c r="U121" i="9"/>
  <c r="U122" i="9"/>
  <c r="BN50" i="1"/>
  <c r="BI146" i="1"/>
  <c r="BJ50" i="1"/>
  <c r="BI54" i="1"/>
  <c r="BI23" i="9" s="1"/>
  <c r="AE1" i="9"/>
  <c r="AE1397" i="1"/>
  <c r="AE515" i="1"/>
  <c r="AE3" i="1"/>
  <c r="AE1367" i="1" s="1"/>
  <c r="AF4" i="1"/>
  <c r="AE4" i="13"/>
  <c r="AE4" i="11"/>
  <c r="BI167" i="1"/>
  <c r="BI171" i="1" s="1"/>
  <c r="AD3" i="11"/>
  <c r="AD3" i="13"/>
  <c r="BJ164" i="1"/>
  <c r="BN79" i="1"/>
  <c r="T973" i="1"/>
  <c r="T975" i="1"/>
  <c r="BE175" i="1" l="1"/>
  <c r="BI173" i="1"/>
  <c r="BJ51" i="1"/>
  <c r="BJ56" i="1"/>
  <c r="BN124" i="1"/>
  <c r="BN126" i="1" s="1"/>
  <c r="BJ125" i="1"/>
  <c r="BJ126" i="1"/>
  <c r="BK125" i="1"/>
  <c r="AF1" i="9"/>
  <c r="AF1397" i="1"/>
  <c r="AF515" i="1"/>
  <c r="AF3" i="1"/>
  <c r="AG4" i="1"/>
  <c r="AF4" i="13"/>
  <c r="AF4" i="11"/>
  <c r="BI155" i="1"/>
  <c r="BI150" i="1"/>
  <c r="BI157" i="1"/>
  <c r="AD1181" i="1"/>
  <c r="Y56" i="9"/>
  <c r="Y507" i="1"/>
  <c r="Y57" i="9" s="1"/>
  <c r="Y88" i="9" s="1"/>
  <c r="Z1276" i="1"/>
  <c r="BE14" i="1"/>
  <c r="BI12" i="1"/>
  <c r="BI14" i="1" s="1"/>
  <c r="BE13" i="1"/>
  <c r="BF13" i="1"/>
  <c r="AI1091" i="1"/>
  <c r="AH1092" i="1"/>
  <c r="AH1269" i="1" s="1"/>
  <c r="U1012" i="1"/>
  <c r="U1000" i="1"/>
  <c r="U976" i="1" s="1"/>
  <c r="U1015" i="1"/>
  <c r="BN164" i="1"/>
  <c r="BN80" i="1"/>
  <c r="U11" i="9"/>
  <c r="U130" i="9"/>
  <c r="BJ104" i="1"/>
  <c r="BJ99" i="1"/>
  <c r="BN119" i="1"/>
  <c r="BJ166" i="1"/>
  <c r="AC760" i="1"/>
  <c r="AB760" i="1"/>
  <c r="AD484" i="1"/>
  <c r="AD1180" i="1"/>
  <c r="AA760" i="1"/>
  <c r="AC1180" i="1"/>
  <c r="AA1180" i="1"/>
  <c r="AB1179" i="1"/>
  <c r="AB758" i="1"/>
  <c r="AB1180" i="1"/>
  <c r="AD758" i="1"/>
  <c r="AD1179" i="1"/>
  <c r="AC758" i="1"/>
  <c r="AA758" i="1"/>
  <c r="AC1179" i="1"/>
  <c r="AA1179" i="1"/>
  <c r="AB762" i="1"/>
  <c r="AA762" i="1"/>
  <c r="AC762" i="1"/>
  <c r="AE3" i="13"/>
  <c r="AE3" i="11"/>
  <c r="AA1182" i="1"/>
  <c r="AA1181" i="1"/>
  <c r="AB1182" i="1"/>
  <c r="AB1181" i="1"/>
  <c r="AC1181" i="1"/>
  <c r="AC1182" i="1"/>
  <c r="AD1182" i="1"/>
  <c r="U975" i="1"/>
  <c r="U973" i="1"/>
  <c r="Y138" i="9"/>
  <c r="Y103" i="9"/>
  <c r="BI172" i="1"/>
  <c r="BI175" i="1" s="1"/>
  <c r="BI174" i="1"/>
  <c r="Y49" i="9"/>
  <c r="Y526" i="1"/>
  <c r="Y506" i="1"/>
  <c r="Y50" i="9" s="1"/>
  <c r="U128" i="9" l="1"/>
  <c r="U131" i="9"/>
  <c r="AF3" i="11"/>
  <c r="AF3" i="13"/>
  <c r="BJ106" i="1"/>
  <c r="BJ105" i="1"/>
  <c r="BN104" i="1"/>
  <c r="BN106" i="1" s="1"/>
  <c r="BK105" i="1"/>
  <c r="Y137" i="9"/>
  <c r="Y98" i="9"/>
  <c r="BJ165" i="1"/>
  <c r="BN99" i="1"/>
  <c r="AG1" i="9"/>
  <c r="AG1397" i="1"/>
  <c r="AG515" i="1"/>
  <c r="AG3" i="1"/>
  <c r="AH4" i="1"/>
  <c r="AG4" i="11"/>
  <c r="AG4" i="13"/>
  <c r="BS78" i="1"/>
  <c r="BO78" i="1"/>
  <c r="BN147" i="1"/>
  <c r="BN82" i="1"/>
  <c r="BN24" i="9" s="1"/>
  <c r="BN56" i="1"/>
  <c r="BN58" i="1" s="1"/>
  <c r="BJ57" i="1"/>
  <c r="BJ58" i="1"/>
  <c r="BK57" i="1"/>
  <c r="BN51" i="1"/>
  <c r="BJ163" i="1"/>
  <c r="Y527" i="1"/>
  <c r="Z526" i="1"/>
  <c r="Y529" i="1"/>
  <c r="AD759" i="1"/>
  <c r="AD40" i="9"/>
  <c r="AD42" i="9" s="1"/>
  <c r="AD487" i="1"/>
  <c r="AJ1091" i="1"/>
  <c r="AJ1092" i="1" s="1"/>
  <c r="AI1092" i="1"/>
  <c r="AI1269" i="1" s="1"/>
  <c r="Y104" i="9"/>
  <c r="AC104" i="9"/>
  <c r="AB104" i="9"/>
  <c r="AA104" i="9"/>
  <c r="BN166" i="1"/>
  <c r="BN120" i="1"/>
  <c r="BI9" i="1"/>
  <c r="BJ183" i="1"/>
  <c r="BI156" i="1"/>
  <c r="BI158" i="1"/>
  <c r="AF1367" i="1"/>
  <c r="BI159" i="1" l="1"/>
  <c r="Y5" i="9"/>
  <c r="Y1008" i="1"/>
  <c r="AC111" i="9"/>
  <c r="AC107" i="9"/>
  <c r="Z529" i="1"/>
  <c r="Z527" i="1"/>
  <c r="BI11" i="1"/>
  <c r="BI27" i="9" s="1"/>
  <c r="BJ7" i="1"/>
  <c r="BI8" i="1"/>
  <c r="BN7" i="1"/>
  <c r="AK1091" i="1"/>
  <c r="AJ1269" i="1"/>
  <c r="BJ167" i="1"/>
  <c r="BJ171" i="1"/>
  <c r="Y99" i="9"/>
  <c r="Y102" i="9" s="1"/>
  <c r="AA99" i="9"/>
  <c r="AA102" i="9" s="1"/>
  <c r="AB99" i="9"/>
  <c r="AB102" i="9" s="1"/>
  <c r="AC99" i="9"/>
  <c r="AC102" i="9" s="1"/>
  <c r="AB111" i="9"/>
  <c r="AB107" i="9"/>
  <c r="BN165" i="1"/>
  <c r="BN100" i="1"/>
  <c r="BJ173" i="1"/>
  <c r="AH1397" i="1"/>
  <c r="AH1" i="9"/>
  <c r="AH515" i="1"/>
  <c r="AI4" i="1"/>
  <c r="AH3" i="1"/>
  <c r="AH1367" i="1" s="1"/>
  <c r="AH4" i="11"/>
  <c r="AH4" i="13"/>
  <c r="Y111" i="9"/>
  <c r="Y107" i="9"/>
  <c r="BJ16" i="1"/>
  <c r="BN183" i="1"/>
  <c r="BN16" i="1" s="1"/>
  <c r="BN19" i="1" s="1"/>
  <c r="BN31" i="9" s="1"/>
  <c r="AG3" i="13"/>
  <c r="AG3" i="11"/>
  <c r="BO118" i="1"/>
  <c r="BS118" i="1"/>
  <c r="BN149" i="1"/>
  <c r="BN122" i="1"/>
  <c r="BN26" i="9" s="1"/>
  <c r="BN163" i="1"/>
  <c r="BN52" i="1"/>
  <c r="BO79" i="1"/>
  <c r="BO84" i="1"/>
  <c r="AG1367" i="1"/>
  <c r="AD491" i="1"/>
  <c r="AD502" i="1"/>
  <c r="AD503" i="1"/>
  <c r="AA111" i="9"/>
  <c r="AA107" i="9"/>
  <c r="AD760" i="1"/>
  <c r="AD761" i="1"/>
  <c r="AI1" i="9" l="1"/>
  <c r="AI1397" i="1"/>
  <c r="AI515" i="1"/>
  <c r="AJ4" i="1"/>
  <c r="AI3" i="1"/>
  <c r="AI1367" i="1" s="1"/>
  <c r="AI4" i="11"/>
  <c r="AI4" i="13"/>
  <c r="BN54" i="1"/>
  <c r="BN23" i="9" s="1"/>
  <c r="BS50" i="1"/>
  <c r="BN146" i="1"/>
  <c r="BO50" i="1"/>
  <c r="AH3" i="13"/>
  <c r="AH3" i="11"/>
  <c r="BJ172" i="1"/>
  <c r="BJ174" i="1"/>
  <c r="AD495" i="1"/>
  <c r="AD1267" i="1"/>
  <c r="AD1259" i="1"/>
  <c r="AE1275" i="1"/>
  <c r="AC1267" i="1"/>
  <c r="AF1267" i="1"/>
  <c r="AL1091" i="1"/>
  <c r="AK1092" i="1"/>
  <c r="AK1269" i="1" s="1"/>
  <c r="BN148" i="1"/>
  <c r="BO98" i="1"/>
  <c r="BN102" i="1"/>
  <c r="BN25" i="9" s="1"/>
  <c r="BS98" i="1"/>
  <c r="Y999" i="1"/>
  <c r="Y1009" i="1"/>
  <c r="Y1000" i="1" s="1"/>
  <c r="Y976" i="1" s="1"/>
  <c r="BO164" i="1"/>
  <c r="BS79" i="1"/>
  <c r="BO124" i="1"/>
  <c r="BO119" i="1"/>
  <c r="BJ8" i="1"/>
  <c r="BJ12" i="1"/>
  <c r="Z5" i="9"/>
  <c r="Z1008" i="1"/>
  <c r="BN167" i="1"/>
  <c r="BN173" i="1" s="1"/>
  <c r="BJ17" i="1"/>
  <c r="BJ29" i="9" s="1"/>
  <c r="BJ19" i="1"/>
  <c r="BJ31" i="9" s="1"/>
  <c r="BK17" i="1"/>
  <c r="BK29" i="9" s="1"/>
  <c r="AD798" i="1"/>
  <c r="AD762" i="1"/>
  <c r="AD764" i="1"/>
  <c r="BS84" i="1"/>
  <c r="BO85" i="1"/>
  <c r="BO88" i="1"/>
  <c r="BP85" i="1"/>
  <c r="BO86" i="1"/>
  <c r="Y6" i="9"/>
  <c r="Y11" i="9" s="1"/>
  <c r="Y120" i="9"/>
  <c r="Y84" i="9"/>
  <c r="Y121" i="9"/>
  <c r="Y85" i="9"/>
  <c r="Y87" i="9" s="1"/>
  <c r="Y122" i="9"/>
  <c r="N134" i="10"/>
  <c r="BN171" i="1" l="1"/>
  <c r="BJ175" i="1"/>
  <c r="P134" i="10"/>
  <c r="Q134" i="10"/>
  <c r="BJ14" i="1"/>
  <c r="BJ13" i="1"/>
  <c r="BN12" i="1"/>
  <c r="BN14" i="1" s="1"/>
  <c r="BK13" i="1"/>
  <c r="BO126" i="1"/>
  <c r="BO128" i="1"/>
  <c r="BS124" i="1"/>
  <c r="BO125" i="1"/>
  <c r="BP125" i="1"/>
  <c r="BO99" i="1"/>
  <c r="BO104" i="1"/>
  <c r="AJ1397" i="1"/>
  <c r="AJ1" i="9"/>
  <c r="AJ515" i="1"/>
  <c r="AK4" i="1"/>
  <c r="AJ3" i="1"/>
  <c r="AJ4" i="13"/>
  <c r="AJ4" i="11"/>
  <c r="BS86" i="1"/>
  <c r="BS88" i="1"/>
  <c r="BN172" i="1"/>
  <c r="BN174" i="1"/>
  <c r="BS164" i="1"/>
  <c r="BS80" i="1"/>
  <c r="BN157" i="1"/>
  <c r="AD47" i="9"/>
  <c r="AD500" i="1"/>
  <c r="AD497" i="1"/>
  <c r="AD505" i="1"/>
  <c r="AD1260" i="1"/>
  <c r="BN150" i="1"/>
  <c r="BN155" i="1" s="1"/>
  <c r="BO166" i="1"/>
  <c r="BS119" i="1"/>
  <c r="BN175" i="1"/>
  <c r="BO180" i="1"/>
  <c r="BO91" i="1"/>
  <c r="BO89" i="1"/>
  <c r="BP89" i="1"/>
  <c r="BT91" i="1"/>
  <c r="AI1182" i="1"/>
  <c r="AI1181" i="1"/>
  <c r="AI3" i="11"/>
  <c r="AI3" i="13"/>
  <c r="BO56" i="1"/>
  <c r="BO51" i="1"/>
  <c r="Z999" i="1"/>
  <c r="Z1009" i="1"/>
  <c r="Z1014" i="1"/>
  <c r="AM1091" i="1"/>
  <c r="AL1092" i="1"/>
  <c r="AL1269" i="1" s="1"/>
  <c r="Z6" i="9"/>
  <c r="Z120" i="9"/>
  <c r="Z84" i="9"/>
  <c r="Z129" i="9" s="1"/>
  <c r="Z121" i="9"/>
  <c r="Z85" i="9"/>
  <c r="Z87" i="9" s="1"/>
  <c r="Z122" i="9"/>
  <c r="Y973" i="1"/>
  <c r="Y975" i="1"/>
  <c r="AN1091" i="1" l="1"/>
  <c r="AM1092" i="1"/>
  <c r="AM1269" i="1" s="1"/>
  <c r="AD56" i="9"/>
  <c r="AD507" i="1"/>
  <c r="AD57" i="9" s="1"/>
  <c r="AD88" i="9" s="1"/>
  <c r="AE1276" i="1"/>
  <c r="Z975" i="1"/>
  <c r="Z973" i="1"/>
  <c r="BO165" i="1"/>
  <c r="BS99" i="1"/>
  <c r="BO163" i="1"/>
  <c r="BS51" i="1"/>
  <c r="BN9" i="1"/>
  <c r="BO183" i="1"/>
  <c r="BN156" i="1"/>
  <c r="BN158" i="1"/>
  <c r="BX78" i="1"/>
  <c r="BT78" i="1"/>
  <c r="BS147" i="1"/>
  <c r="BS82" i="1"/>
  <c r="BS24" i="9" s="1"/>
  <c r="AH760" i="1"/>
  <c r="AF760" i="1"/>
  <c r="AI484" i="1"/>
  <c r="AF758" i="1"/>
  <c r="AG760" i="1"/>
  <c r="AH1180" i="1"/>
  <c r="AF1180" i="1"/>
  <c r="AG1180" i="1"/>
  <c r="AI758" i="1"/>
  <c r="AG1179" i="1"/>
  <c r="AH1179" i="1"/>
  <c r="AF1179" i="1"/>
  <c r="AF762" i="1"/>
  <c r="AH758" i="1"/>
  <c r="AI1180" i="1"/>
  <c r="AG758" i="1"/>
  <c r="AI1179" i="1"/>
  <c r="AG762" i="1"/>
  <c r="AH762" i="1"/>
  <c r="AJ3" i="11"/>
  <c r="AJ3" i="13"/>
  <c r="AF1182" i="1"/>
  <c r="AF1181" i="1"/>
  <c r="AG1181" i="1"/>
  <c r="AG1182" i="1"/>
  <c r="AH1181" i="1"/>
  <c r="AH1182" i="1"/>
  <c r="Z1012" i="1"/>
  <c r="Z1000" i="1"/>
  <c r="Z976" i="1" s="1"/>
  <c r="Z1015" i="1"/>
  <c r="AD138" i="9"/>
  <c r="AD103" i="9"/>
  <c r="BO108" i="1"/>
  <c r="BO105" i="1"/>
  <c r="BO106" i="1"/>
  <c r="BS104" i="1"/>
  <c r="BP105" i="1"/>
  <c r="BO57" i="1"/>
  <c r="BO58" i="1"/>
  <c r="BO64" i="1"/>
  <c r="BS56" i="1"/>
  <c r="BP57" i="1"/>
  <c r="BS128" i="1"/>
  <c r="BS126" i="1"/>
  <c r="AD49" i="9"/>
  <c r="AD506" i="1"/>
  <c r="AD50" i="9" s="1"/>
  <c r="AD526" i="1"/>
  <c r="BS91" i="1"/>
  <c r="BS180" i="1"/>
  <c r="BX91" i="1"/>
  <c r="BS166" i="1"/>
  <c r="BS120" i="1"/>
  <c r="AK1" i="9"/>
  <c r="AK1397" i="1"/>
  <c r="AK515" i="1"/>
  <c r="AL4" i="1"/>
  <c r="AK3" i="1"/>
  <c r="AK1367" i="1" s="1"/>
  <c r="AK4" i="13"/>
  <c r="AK4" i="11"/>
  <c r="Z11" i="9"/>
  <c r="Z130" i="9"/>
  <c r="AJ1367" i="1"/>
  <c r="BO129" i="1"/>
  <c r="BO182" i="1"/>
  <c r="BO131" i="1"/>
  <c r="BT131" i="1"/>
  <c r="BP129" i="1"/>
  <c r="BN159" i="1" l="1"/>
  <c r="BO111" i="1"/>
  <c r="BO109" i="1"/>
  <c r="BO181" i="1"/>
  <c r="BT111" i="1"/>
  <c r="BP109" i="1"/>
  <c r="AE526" i="1"/>
  <c r="AD529" i="1"/>
  <c r="AD527" i="1"/>
  <c r="BT67" i="1"/>
  <c r="BO67" i="1"/>
  <c r="BO179" i="1"/>
  <c r="BO65" i="1"/>
  <c r="BP65" i="1"/>
  <c r="AD104" i="9"/>
  <c r="AH104" i="9"/>
  <c r="AG104" i="9"/>
  <c r="AF104" i="9"/>
  <c r="BS163" i="1"/>
  <c r="BS52" i="1"/>
  <c r="BS106" i="1"/>
  <c r="BS108" i="1"/>
  <c r="AI759" i="1"/>
  <c r="AI40" i="9"/>
  <c r="AI42" i="9" s="1"/>
  <c r="AI487" i="1"/>
  <c r="AD137" i="9"/>
  <c r="AD98" i="9"/>
  <c r="AK3" i="13"/>
  <c r="AK3" i="11"/>
  <c r="BS131" i="1"/>
  <c r="BS182" i="1"/>
  <c r="BX131" i="1"/>
  <c r="BS64" i="1"/>
  <c r="BS58" i="1"/>
  <c r="BS7" i="1"/>
  <c r="BS8" i="1" s="1"/>
  <c r="BO7" i="1"/>
  <c r="BN8" i="1"/>
  <c r="BN11" i="1"/>
  <c r="BN27" i="9" s="1"/>
  <c r="BS11" i="1"/>
  <c r="BS27" i="9" s="1"/>
  <c r="Z128" i="9"/>
  <c r="Z131" i="9"/>
  <c r="BO167" i="1"/>
  <c r="BO173" i="1" s="1"/>
  <c r="BT84" i="1"/>
  <c r="BT79" i="1"/>
  <c r="BS165" i="1"/>
  <c r="BS100" i="1"/>
  <c r="AL1" i="9"/>
  <c r="AL1397" i="1"/>
  <c r="AL515" i="1"/>
  <c r="AL3" i="1"/>
  <c r="AM4" i="1"/>
  <c r="AL4" i="13"/>
  <c r="AL4" i="11"/>
  <c r="BS183" i="1"/>
  <c r="BS16" i="1" s="1"/>
  <c r="BS19" i="1" s="1"/>
  <c r="BS31" i="9" s="1"/>
  <c r="BO16" i="1"/>
  <c r="BS149" i="1"/>
  <c r="BS122" i="1"/>
  <c r="BS26" i="9" s="1"/>
  <c r="BT118" i="1"/>
  <c r="BX118" i="1"/>
  <c r="AO1091" i="1"/>
  <c r="AO1092" i="1" s="1"/>
  <c r="AN1092" i="1"/>
  <c r="AN1269" i="1" s="1"/>
  <c r="AL3" i="13" l="1"/>
  <c r="AL3" i="11"/>
  <c r="BX79" i="1"/>
  <c r="BT164" i="1"/>
  <c r="AI491" i="1"/>
  <c r="AI503" i="1"/>
  <c r="AI502" i="1"/>
  <c r="BT86" i="1"/>
  <c r="BT85" i="1"/>
  <c r="BX84" i="1"/>
  <c r="BX86" i="1" s="1"/>
  <c r="BU85" i="1"/>
  <c r="BO8" i="1"/>
  <c r="BO12" i="1"/>
  <c r="AI760" i="1"/>
  <c r="AI761" i="1"/>
  <c r="BO171" i="1"/>
  <c r="BS181" i="1"/>
  <c r="BS111" i="1"/>
  <c r="BX111" i="1"/>
  <c r="BS67" i="1"/>
  <c r="BS179" i="1"/>
  <c r="BX67" i="1"/>
  <c r="BX98" i="1"/>
  <c r="BT98" i="1"/>
  <c r="BS148" i="1"/>
  <c r="BS102" i="1"/>
  <c r="BS25" i="9" s="1"/>
  <c r="BS167" i="1"/>
  <c r="BS171" i="1"/>
  <c r="AG107" i="9"/>
  <c r="AG111" i="9"/>
  <c r="AH111" i="9"/>
  <c r="AH107" i="9"/>
  <c r="AD5" i="9"/>
  <c r="AD1008" i="1"/>
  <c r="AL1367" i="1"/>
  <c r="BO172" i="1"/>
  <c r="BO174" i="1"/>
  <c r="AD111" i="9"/>
  <c r="AD107" i="9"/>
  <c r="AE527" i="1"/>
  <c r="AE529" i="1"/>
  <c r="AP1091" i="1"/>
  <c r="AO1269" i="1"/>
  <c r="BO19" i="1"/>
  <c r="BO31" i="9" s="1"/>
  <c r="BO17" i="1"/>
  <c r="BO29" i="9" s="1"/>
  <c r="BP17" i="1"/>
  <c r="BP29" i="9" s="1"/>
  <c r="AD99" i="9"/>
  <c r="AD102" i="9" s="1"/>
  <c r="AH99" i="9"/>
  <c r="AH102" i="9" s="1"/>
  <c r="AG99" i="9"/>
  <c r="AG102" i="9" s="1"/>
  <c r="AF99" i="9"/>
  <c r="AF102" i="9" s="1"/>
  <c r="BS146" i="1"/>
  <c r="BT50" i="1"/>
  <c r="BS54" i="1"/>
  <c r="BS23" i="9" s="1"/>
  <c r="BX50" i="1"/>
  <c r="BT119" i="1"/>
  <c r="BT124" i="1"/>
  <c r="AM1" i="9"/>
  <c r="AM1397" i="1"/>
  <c r="AM515" i="1"/>
  <c r="AM3" i="1"/>
  <c r="AM1367" i="1" s="1"/>
  <c r="AN4" i="1"/>
  <c r="AM4" i="13"/>
  <c r="AM4" i="11"/>
  <c r="BS173" i="1"/>
  <c r="AF111" i="9"/>
  <c r="AF107" i="9"/>
  <c r="BT51" i="1" l="1"/>
  <c r="BT56" i="1"/>
  <c r="AI495" i="1"/>
  <c r="AI1267" i="1"/>
  <c r="AI1259" i="1"/>
  <c r="AK1267" i="1"/>
  <c r="AH1267" i="1"/>
  <c r="AJ1275" i="1"/>
  <c r="AD999" i="1"/>
  <c r="AD1009" i="1"/>
  <c r="AD1000" i="1" s="1"/>
  <c r="AD976" i="1" s="1"/>
  <c r="BS172" i="1"/>
  <c r="BS174" i="1"/>
  <c r="BS175" i="1" s="1"/>
  <c r="BX164" i="1"/>
  <c r="BX80" i="1"/>
  <c r="BX124" i="1"/>
  <c r="BX126" i="1" s="1"/>
  <c r="BT126" i="1"/>
  <c r="BT125" i="1"/>
  <c r="BU125" i="1"/>
  <c r="AE5" i="9"/>
  <c r="AE1008" i="1"/>
  <c r="AD6" i="9"/>
  <c r="AD11" i="9" s="1"/>
  <c r="AD120" i="9"/>
  <c r="AD84" i="9"/>
  <c r="AD85" i="9"/>
  <c r="AD87" i="9" s="1"/>
  <c r="AD121" i="9"/>
  <c r="AD122" i="9"/>
  <c r="AQ1091" i="1"/>
  <c r="AP1092" i="1"/>
  <c r="AP1269" i="1" s="1"/>
  <c r="BT166" i="1"/>
  <c r="BX119" i="1"/>
  <c r="BT99" i="1"/>
  <c r="BT104" i="1"/>
  <c r="BO175" i="1"/>
  <c r="BO14" i="1"/>
  <c r="BS12" i="1"/>
  <c r="BO13" i="1"/>
  <c r="BT14" i="1"/>
  <c r="BP13" i="1"/>
  <c r="BS150" i="1"/>
  <c r="BS155" i="1" s="1"/>
  <c r="AN1" i="9"/>
  <c r="AN1397" i="1"/>
  <c r="AN515" i="1"/>
  <c r="AN3" i="1"/>
  <c r="AN1367" i="1" s="1"/>
  <c r="AO4" i="1"/>
  <c r="AN4" i="13"/>
  <c r="AN4" i="11"/>
  <c r="AM3" i="11"/>
  <c r="AM3" i="13"/>
  <c r="AI798" i="1"/>
  <c r="AI762" i="1"/>
  <c r="AI764" i="1"/>
  <c r="N382" i="10"/>
  <c r="BS157" i="1" l="1"/>
  <c r="P382" i="10"/>
  <c r="Q382" i="10"/>
  <c r="BX147" i="1"/>
  <c r="BY78" i="1"/>
  <c r="BX82" i="1"/>
  <c r="BX24" i="9" s="1"/>
  <c r="CC78" i="1"/>
  <c r="AR1091" i="1"/>
  <c r="AQ1092" i="1"/>
  <c r="AQ1269" i="1" s="1"/>
  <c r="AE6" i="9"/>
  <c r="AE120" i="9"/>
  <c r="AE121" i="9"/>
  <c r="AE84" i="9"/>
  <c r="AE129" i="9" s="1"/>
  <c r="AE85" i="9"/>
  <c r="AE87" i="9" s="1"/>
  <c r="AE122" i="9"/>
  <c r="BS14" i="1"/>
  <c r="BX14" i="1"/>
  <c r="AE999" i="1"/>
  <c r="AE1009" i="1"/>
  <c r="AE1014" i="1"/>
  <c r="AI47" i="9"/>
  <c r="AI497" i="1"/>
  <c r="AI500" i="1"/>
  <c r="AI505" i="1"/>
  <c r="AI1260" i="1"/>
  <c r="BX166" i="1"/>
  <c r="BX120" i="1"/>
  <c r="BX104" i="1"/>
  <c r="BX106" i="1" s="1"/>
  <c r="BT106" i="1"/>
  <c r="BT105" i="1"/>
  <c r="BU105" i="1"/>
  <c r="AD973" i="1"/>
  <c r="AD975" i="1"/>
  <c r="BX56" i="1"/>
  <c r="BX58" i="1" s="1"/>
  <c r="BT57" i="1"/>
  <c r="BT58" i="1"/>
  <c r="BU57" i="1"/>
  <c r="AN3" i="11"/>
  <c r="AN3" i="13"/>
  <c r="AO1" i="9"/>
  <c r="AO1397" i="1"/>
  <c r="AO515" i="1"/>
  <c r="AO3" i="1"/>
  <c r="AP4" i="1"/>
  <c r="AO4" i="13"/>
  <c r="AO4" i="11"/>
  <c r="BT183" i="1"/>
  <c r="BS156" i="1"/>
  <c r="BS159" i="1" s="1"/>
  <c r="BS158" i="1"/>
  <c r="BX99" i="1"/>
  <c r="BT165" i="1"/>
  <c r="BX51" i="1"/>
  <c r="BT163" i="1"/>
  <c r="AK760" i="1" l="1"/>
  <c r="AN484" i="1"/>
  <c r="AL760" i="1"/>
  <c r="AM760" i="1"/>
  <c r="AK1180" i="1"/>
  <c r="AK1179" i="1"/>
  <c r="AL758" i="1"/>
  <c r="AL1179" i="1"/>
  <c r="AN1180" i="1"/>
  <c r="AK758" i="1"/>
  <c r="AM758" i="1"/>
  <c r="AN758" i="1"/>
  <c r="AN1179" i="1"/>
  <c r="AM1179" i="1"/>
  <c r="AL1180" i="1"/>
  <c r="AK762" i="1"/>
  <c r="AL762" i="1"/>
  <c r="AM1180" i="1"/>
  <c r="AM762" i="1"/>
  <c r="AO3" i="11"/>
  <c r="AO3" i="13"/>
  <c r="AK1181" i="1"/>
  <c r="AK1182" i="1"/>
  <c r="AL1181" i="1"/>
  <c r="AL1182" i="1"/>
  <c r="AM1182" i="1"/>
  <c r="AM1181" i="1"/>
  <c r="BX165" i="1"/>
  <c r="BX100" i="1"/>
  <c r="AI138" i="9"/>
  <c r="AI103" i="9"/>
  <c r="AO1367" i="1"/>
  <c r="CC118" i="1"/>
  <c r="BY118" i="1"/>
  <c r="BX122" i="1"/>
  <c r="BX26" i="9" s="1"/>
  <c r="BX149" i="1"/>
  <c r="AE1012" i="1"/>
  <c r="AE1000" i="1"/>
  <c r="AE976" i="1" s="1"/>
  <c r="AE1015" i="1"/>
  <c r="BY79" i="1"/>
  <c r="BT16" i="1"/>
  <c r="BX183" i="1"/>
  <c r="BX16" i="1" s="1"/>
  <c r="BX19" i="1" s="1"/>
  <c r="BX31" i="9" s="1"/>
  <c r="AE973" i="1"/>
  <c r="AE975" i="1"/>
  <c r="AE11" i="9"/>
  <c r="AE130" i="9"/>
  <c r="AN1181" i="1"/>
  <c r="AI49" i="9"/>
  <c r="AI506" i="1"/>
  <c r="AI526" i="1"/>
  <c r="AS1091" i="1"/>
  <c r="AR1092" i="1"/>
  <c r="AR1269" i="1" s="1"/>
  <c r="BT167" i="1"/>
  <c r="BX163" i="1"/>
  <c r="BX52" i="1"/>
  <c r="AP1" i="9"/>
  <c r="AP1397" i="1"/>
  <c r="AP913" i="1"/>
  <c r="AP904" i="1"/>
  <c r="AP920" i="1"/>
  <c r="AP912" i="1"/>
  <c r="AP903" i="1"/>
  <c r="AP919" i="1"/>
  <c r="AP917" i="1"/>
  <c r="AP916" i="1"/>
  <c r="AP905" i="1"/>
  <c r="AP922" i="1"/>
  <c r="AP909" i="1"/>
  <c r="AP914" i="1"/>
  <c r="AP902" i="1"/>
  <c r="AP515" i="1"/>
  <c r="AP910" i="1"/>
  <c r="AQ4" i="1"/>
  <c r="AP3" i="1"/>
  <c r="AP4" i="11"/>
  <c r="AP4" i="13"/>
  <c r="AN1182" i="1"/>
  <c r="AI56" i="9"/>
  <c r="AI507" i="1"/>
  <c r="AI57" i="9" s="1"/>
  <c r="AI88" i="9" s="1"/>
  <c r="AJ1276" i="1"/>
  <c r="N383" i="10"/>
  <c r="P383" i="10" l="1"/>
  <c r="Q383" i="10"/>
  <c r="AQ1" i="9"/>
  <c r="AQ1397" i="1"/>
  <c r="AQ910" i="1"/>
  <c r="AQ911" i="1" s="1"/>
  <c r="AQ917" i="1"/>
  <c r="AQ918" i="1" s="1"/>
  <c r="AQ909" i="1"/>
  <c r="AQ903" i="1"/>
  <c r="AQ922" i="1"/>
  <c r="AQ877" i="1"/>
  <c r="AQ916" i="1"/>
  <c r="AQ914" i="1"/>
  <c r="AQ915" i="1" s="1"/>
  <c r="AQ905" i="1"/>
  <c r="AQ920" i="1"/>
  <c r="AQ921" i="1" s="1"/>
  <c r="AQ875" i="1"/>
  <c r="AQ876" i="1" s="1"/>
  <c r="AQ912" i="1"/>
  <c r="AQ904" i="1"/>
  <c r="AQ908" i="1"/>
  <c r="AQ913" i="1"/>
  <c r="AQ515" i="1"/>
  <c r="AQ902" i="1"/>
  <c r="AQ919" i="1"/>
  <c r="AQ906" i="1"/>
  <c r="AR4" i="1"/>
  <c r="AQ3" i="1"/>
  <c r="AQ1367" i="1" s="1"/>
  <c r="AQ4" i="13"/>
  <c r="AQ4" i="11"/>
  <c r="AT1091" i="1"/>
  <c r="AT1092" i="1" s="1"/>
  <c r="AS1092" i="1"/>
  <c r="AS1269" i="1" s="1"/>
  <c r="AI104" i="9"/>
  <c r="AM104" i="9"/>
  <c r="AL104" i="9"/>
  <c r="AK104" i="9"/>
  <c r="AI137" i="9"/>
  <c r="AI98" i="9"/>
  <c r="AP3" i="13"/>
  <c r="AP3" i="11"/>
  <c r="AP911" i="1"/>
  <c r="AP918" i="1"/>
  <c r="AJ526" i="1"/>
  <c r="AI529" i="1"/>
  <c r="AI527" i="1"/>
  <c r="AP1367" i="1"/>
  <c r="AI50" i="9"/>
  <c r="BX102" i="1"/>
  <c r="BX25" i="9" s="1"/>
  <c r="BY98" i="1"/>
  <c r="BX148" i="1"/>
  <c r="CC98" i="1"/>
  <c r="CC50" i="1"/>
  <c r="BX54" i="1"/>
  <c r="BX23" i="9" s="1"/>
  <c r="BX146" i="1"/>
  <c r="BY50" i="1"/>
  <c r="BX167" i="1"/>
  <c r="BX173" i="1" s="1"/>
  <c r="BT19" i="1"/>
  <c r="BT31" i="9" s="1"/>
  <c r="BT17" i="1"/>
  <c r="BT29" i="9" s="1"/>
  <c r="BU17" i="1"/>
  <c r="BU29" i="9" s="1"/>
  <c r="BY119" i="1"/>
  <c r="BY120" i="1"/>
  <c r="AP915" i="1"/>
  <c r="AP921" i="1"/>
  <c r="BT172" i="1"/>
  <c r="BT174" i="1"/>
  <c r="BY164" i="1"/>
  <c r="AN759" i="1"/>
  <c r="AN40" i="9"/>
  <c r="AN42" i="9" s="1"/>
  <c r="AN487" i="1"/>
  <c r="BT171" i="1"/>
  <c r="AE128" i="9"/>
  <c r="AE131" i="9"/>
  <c r="BY80" i="1"/>
  <c r="BT173" i="1"/>
  <c r="BY149" i="1" l="1"/>
  <c r="BY124" i="1"/>
  <c r="BY122" i="1"/>
  <c r="BY26" i="9" s="1"/>
  <c r="BZ118" i="1"/>
  <c r="AJ527" i="1"/>
  <c r="AJ529" i="1"/>
  <c r="BX150" i="1"/>
  <c r="BX157" i="1" s="1"/>
  <c r="AK111" i="9"/>
  <c r="AK107" i="9"/>
  <c r="AN491" i="1"/>
  <c r="AN502" i="1"/>
  <c r="AN503" i="1"/>
  <c r="AL111" i="9"/>
  <c r="AL107" i="9"/>
  <c r="AQ3" i="13"/>
  <c r="AQ3" i="11"/>
  <c r="AI5" i="9"/>
  <c r="AI1008" i="1"/>
  <c r="AI99" i="9"/>
  <c r="AI102" i="9" s="1"/>
  <c r="AL99" i="9"/>
  <c r="AL102" i="9" s="1"/>
  <c r="AK99" i="9"/>
  <c r="AK102" i="9" s="1"/>
  <c r="AM99" i="9"/>
  <c r="AM102" i="9" s="1"/>
  <c r="AU1091" i="1"/>
  <c r="AT1269" i="1"/>
  <c r="BY99" i="1"/>
  <c r="BY100" i="1" s="1"/>
  <c r="AM107" i="9"/>
  <c r="AM111" i="9"/>
  <c r="AR1" i="9"/>
  <c r="AR1397" i="1"/>
  <c r="AR902" i="1"/>
  <c r="AR922" i="1"/>
  <c r="AR914" i="1"/>
  <c r="AR905" i="1"/>
  <c r="AR903" i="1"/>
  <c r="AR920" i="1"/>
  <c r="AR919" i="1"/>
  <c r="AR913" i="1"/>
  <c r="AR912" i="1"/>
  <c r="AR906" i="1"/>
  <c r="AR907" i="1" s="1"/>
  <c r="AR904" i="1"/>
  <c r="AR916" i="1"/>
  <c r="AR908" i="1"/>
  <c r="AR917" i="1"/>
  <c r="AR909" i="1"/>
  <c r="AR515" i="1"/>
  <c r="AR910" i="1"/>
  <c r="AR911" i="1" s="1"/>
  <c r="AS4" i="1"/>
  <c r="AR3" i="1"/>
  <c r="AR1367" i="1" s="1"/>
  <c r="AR4" i="11"/>
  <c r="AR4" i="13"/>
  <c r="BT175" i="1"/>
  <c r="BY166" i="1"/>
  <c r="BY51" i="1"/>
  <c r="BY52" i="1" s="1"/>
  <c r="AN760" i="1"/>
  <c r="AN761" i="1"/>
  <c r="BX172" i="1"/>
  <c r="BX174" i="1"/>
  <c r="AI111" i="9"/>
  <c r="AI107" i="9"/>
  <c r="AQ907" i="1"/>
  <c r="BY147" i="1"/>
  <c r="BZ78" i="1"/>
  <c r="BY82" i="1"/>
  <c r="BY24" i="9" s="1"/>
  <c r="BY84" i="1"/>
  <c r="BX171" i="1"/>
  <c r="BX175" i="1" l="1"/>
  <c r="AR921" i="1"/>
  <c r="BX9" i="1"/>
  <c r="BX156" i="1"/>
  <c r="BX158" i="1"/>
  <c r="BX155" i="1"/>
  <c r="BX159" i="1" s="1"/>
  <c r="BY54" i="1"/>
  <c r="BY23" i="9" s="1"/>
  <c r="BZ50" i="1"/>
  <c r="BY146" i="1"/>
  <c r="BY56" i="1"/>
  <c r="BY93" i="1"/>
  <c r="BY85" i="1"/>
  <c r="BY86" i="1"/>
  <c r="BZ79" i="1"/>
  <c r="BZ80" i="1" s="1"/>
  <c r="BY104" i="1"/>
  <c r="BY148" i="1"/>
  <c r="BY102" i="1"/>
  <c r="BY25" i="9" s="1"/>
  <c r="BZ98" i="1"/>
  <c r="AV1091" i="1"/>
  <c r="AU1092" i="1"/>
  <c r="AU1269" i="1" s="1"/>
  <c r="BY133" i="1"/>
  <c r="BY125" i="1"/>
  <c r="BY126" i="1"/>
  <c r="AR915" i="1"/>
  <c r="AJ5" i="9"/>
  <c r="AJ1008" i="1"/>
  <c r="AI6" i="9"/>
  <c r="AI11" i="9" s="1"/>
  <c r="AI120" i="9"/>
  <c r="AI121" i="9"/>
  <c r="AI84" i="9"/>
  <c r="AI85" i="9"/>
  <c r="AI87" i="9" s="1"/>
  <c r="AI122" i="9"/>
  <c r="BZ119" i="1"/>
  <c r="BZ120" i="1" s="1"/>
  <c r="AR918" i="1"/>
  <c r="AN798" i="1"/>
  <c r="AN762" i="1"/>
  <c r="AN764" i="1"/>
  <c r="AR3" i="11"/>
  <c r="AR3" i="13"/>
  <c r="BY163" i="1"/>
  <c r="AS1" i="9"/>
  <c r="AS1397" i="1"/>
  <c r="AS920" i="1"/>
  <c r="AS921" i="1" s="1"/>
  <c r="AS912" i="1"/>
  <c r="AT912" i="1" s="1"/>
  <c r="AS906" i="1"/>
  <c r="AS919" i="1"/>
  <c r="AT919" i="1" s="1"/>
  <c r="AS903" i="1"/>
  <c r="AT903" i="1" s="1"/>
  <c r="AS922" i="1"/>
  <c r="AT922" i="1" s="1"/>
  <c r="AS917" i="1"/>
  <c r="AS918" i="1" s="1"/>
  <c r="AS916" i="1"/>
  <c r="AT916" i="1" s="1"/>
  <c r="AS902" i="1"/>
  <c r="AT902" i="1" s="1"/>
  <c r="AS910" i="1"/>
  <c r="AS911" i="1" s="1"/>
  <c r="AS909" i="1"/>
  <c r="AT909" i="1" s="1"/>
  <c r="AS908" i="1"/>
  <c r="AT908" i="1" s="1"/>
  <c r="AS904" i="1"/>
  <c r="AT904" i="1" s="1"/>
  <c r="AS913" i="1"/>
  <c r="AT913" i="1" s="1"/>
  <c r="AS905" i="1"/>
  <c r="AT905" i="1" s="1"/>
  <c r="AS914" i="1"/>
  <c r="AS915" i="1" s="1"/>
  <c r="AS515" i="1"/>
  <c r="AT4" i="1"/>
  <c r="AS3" i="1"/>
  <c r="AS1367" i="1" s="1"/>
  <c r="AS4" i="11"/>
  <c r="AS4" i="13"/>
  <c r="BY165" i="1"/>
  <c r="AI999" i="1"/>
  <c r="AI1009" i="1"/>
  <c r="AI1000" i="1" s="1"/>
  <c r="AI976" i="1" s="1"/>
  <c r="AN495" i="1"/>
  <c r="AN1267" i="1"/>
  <c r="AN1259" i="1"/>
  <c r="AM1267" i="1"/>
  <c r="AO1275" i="1"/>
  <c r="AP1267" i="1"/>
  <c r="N313" i="10"/>
  <c r="AT917" i="1" l="1"/>
  <c r="AT918" i="1" s="1"/>
  <c r="P313" i="10"/>
  <c r="Q313" i="10"/>
  <c r="AS907" i="1"/>
  <c r="AT906" i="1"/>
  <c r="AT907" i="1" s="1"/>
  <c r="BZ51" i="1"/>
  <c r="BZ52" i="1"/>
  <c r="AI975" i="1"/>
  <c r="AI973" i="1"/>
  <c r="AT1" i="9"/>
  <c r="AT1397" i="1"/>
  <c r="AT515" i="1"/>
  <c r="AT3" i="1"/>
  <c r="AU4" i="1"/>
  <c r="AT4" i="13"/>
  <c r="AT4" i="11"/>
  <c r="BZ99" i="1"/>
  <c r="BZ100" i="1" s="1"/>
  <c r="AT920" i="1"/>
  <c r="AT921" i="1" s="1"/>
  <c r="BY135" i="1"/>
  <c r="BY17" i="9" s="1"/>
  <c r="BY191" i="1"/>
  <c r="BY134" i="1"/>
  <c r="BY106" i="1"/>
  <c r="BY105" i="1"/>
  <c r="BY113" i="1"/>
  <c r="BY189" i="1"/>
  <c r="BY95" i="1"/>
  <c r="BY15" i="9" s="1"/>
  <c r="BY94" i="1"/>
  <c r="BZ149" i="1"/>
  <c r="BZ124" i="1"/>
  <c r="BZ122" i="1"/>
  <c r="BZ26" i="9" s="1"/>
  <c r="CA118" i="1"/>
  <c r="AJ999" i="1"/>
  <c r="AJ1009" i="1"/>
  <c r="AJ1014" i="1"/>
  <c r="AS3" i="11"/>
  <c r="AS3" i="13"/>
  <c r="BZ166" i="1"/>
  <c r="AJ6" i="9"/>
  <c r="AJ120" i="9"/>
  <c r="AJ121" i="9"/>
  <c r="AJ84" i="9"/>
  <c r="AJ129" i="9" s="1"/>
  <c r="AJ85" i="9"/>
  <c r="AJ87" i="9" s="1"/>
  <c r="AJ122" i="9"/>
  <c r="BY57" i="1"/>
  <c r="BY58" i="1"/>
  <c r="BY73" i="1"/>
  <c r="BZ82" i="1"/>
  <c r="BZ24" i="9" s="1"/>
  <c r="BZ84" i="1"/>
  <c r="BZ147" i="1"/>
  <c r="CA78" i="1"/>
  <c r="BX11" i="1"/>
  <c r="BX27" i="9" s="1"/>
  <c r="BY7" i="1"/>
  <c r="CC7" i="1"/>
  <c r="BX8" i="1"/>
  <c r="AT910" i="1"/>
  <c r="AT911" i="1" s="1"/>
  <c r="AN47" i="9"/>
  <c r="AN505" i="1"/>
  <c r="AN500" i="1"/>
  <c r="AN497" i="1"/>
  <c r="AN1260" i="1"/>
  <c r="BY167" i="1"/>
  <c r="BY171" i="1" s="1"/>
  <c r="AT914" i="1"/>
  <c r="AT915" i="1" s="1"/>
  <c r="AW1091" i="1"/>
  <c r="AV1092" i="1"/>
  <c r="AV1269" i="1" s="1"/>
  <c r="BZ164" i="1"/>
  <c r="BY150" i="1"/>
  <c r="BY157" i="1" s="1"/>
  <c r="BY155" i="1" l="1"/>
  <c r="BY173" i="1"/>
  <c r="CA79" i="1"/>
  <c r="CA80" i="1" s="1"/>
  <c r="AJ1000" i="1"/>
  <c r="AJ976" i="1" s="1"/>
  <c r="AJ1012" i="1"/>
  <c r="AJ1015" i="1"/>
  <c r="BZ146" i="1"/>
  <c r="CA50" i="1"/>
  <c r="BZ56" i="1"/>
  <c r="BZ54" i="1"/>
  <c r="BZ23" i="9" s="1"/>
  <c r="AR953" i="1"/>
  <c r="AP885" i="1"/>
  <c r="AQ882" i="1"/>
  <c r="AR879" i="1"/>
  <c r="AR880" i="1" s="1"/>
  <c r="AP877" i="1"/>
  <c r="AQ874" i="1"/>
  <c r="AQ889" i="1"/>
  <c r="AQ890" i="1" s="1"/>
  <c r="AR886" i="1"/>
  <c r="AR887" i="1" s="1"/>
  <c r="AQ881" i="1"/>
  <c r="AR878" i="1"/>
  <c r="AQ873" i="1"/>
  <c r="AP872" i="1"/>
  <c r="AP953" i="1"/>
  <c r="AP954" i="1" s="1"/>
  <c r="AP891" i="1"/>
  <c r="AP889" i="1"/>
  <c r="AQ888" i="1"/>
  <c r="AQ886" i="1"/>
  <c r="AQ887" i="1" s="1"/>
  <c r="AR885" i="1"/>
  <c r="AR883" i="1"/>
  <c r="AR884" i="1" s="1"/>
  <c r="AP871" i="1"/>
  <c r="AP888" i="1"/>
  <c r="AT888" i="1" s="1"/>
  <c r="AP886" i="1"/>
  <c r="AQ885" i="1"/>
  <c r="AQ883" i="1"/>
  <c r="AQ884" i="1" s="1"/>
  <c r="AR882" i="1"/>
  <c r="AR881" i="1"/>
  <c r="AP760" i="1"/>
  <c r="AP883" i="1"/>
  <c r="AP882" i="1"/>
  <c r="AP881" i="1"/>
  <c r="AQ879" i="1"/>
  <c r="AQ880" i="1" s="1"/>
  <c r="AQ878" i="1"/>
  <c r="AR877" i="1"/>
  <c r="AR875" i="1"/>
  <c r="AR876" i="1" s="1"/>
  <c r="AP879" i="1"/>
  <c r="AP878" i="1"/>
  <c r="AT878" i="1" s="1"/>
  <c r="AR874" i="1"/>
  <c r="AR891" i="1"/>
  <c r="AQ891" i="1"/>
  <c r="AP875" i="1"/>
  <c r="AR760" i="1"/>
  <c r="AP874" i="1"/>
  <c r="AR888" i="1"/>
  <c r="AR873" i="1"/>
  <c r="AR872" i="1"/>
  <c r="AR871" i="1"/>
  <c r="AS889" i="1"/>
  <c r="AS890" i="1" s="1"/>
  <c r="AS953" i="1"/>
  <c r="AS954" i="1" s="1"/>
  <c r="AR889" i="1"/>
  <c r="AR890" i="1" s="1"/>
  <c r="AQ871" i="1"/>
  <c r="AQ953" i="1"/>
  <c r="AS484" i="1"/>
  <c r="AS885" i="1"/>
  <c r="AQ872" i="1"/>
  <c r="AP873" i="1"/>
  <c r="AS886" i="1"/>
  <c r="AS887" i="1" s="1"/>
  <c r="AQ760" i="1"/>
  <c r="AS883" i="1"/>
  <c r="AS884" i="1" s="1"/>
  <c r="AS873" i="1"/>
  <c r="AS879" i="1"/>
  <c r="AS880" i="1" s="1"/>
  <c r="AS882" i="1"/>
  <c r="AS891" i="1"/>
  <c r="AS872" i="1"/>
  <c r="AS881" i="1"/>
  <c r="AS878" i="1"/>
  <c r="AS871" i="1"/>
  <c r="AS874" i="1"/>
  <c r="AS1180" i="1"/>
  <c r="AS875" i="1"/>
  <c r="AS876" i="1" s="1"/>
  <c r="AS888" i="1"/>
  <c r="AS877" i="1"/>
  <c r="AR1179" i="1"/>
  <c r="AQ1180" i="1"/>
  <c r="AS1179" i="1"/>
  <c r="AQ758" i="1"/>
  <c r="AS758" i="1"/>
  <c r="AP1179" i="1"/>
  <c r="AP758" i="1"/>
  <c r="AR758" i="1"/>
  <c r="AR1180" i="1"/>
  <c r="AQ1179" i="1"/>
  <c r="AP1180" i="1"/>
  <c r="AP762" i="1"/>
  <c r="AR762" i="1"/>
  <c r="AQ762" i="1"/>
  <c r="AT3" i="11"/>
  <c r="AT3" i="13"/>
  <c r="AP949" i="1"/>
  <c r="AP1181" i="1"/>
  <c r="AP1182" i="1"/>
  <c r="AP868" i="1"/>
  <c r="AP869" i="1"/>
  <c r="AQ949" i="1"/>
  <c r="AQ1182" i="1"/>
  <c r="AQ1181" i="1"/>
  <c r="AQ869" i="1"/>
  <c r="AQ901" i="1" s="1"/>
  <c r="AQ926" i="1" s="1"/>
  <c r="AQ868" i="1"/>
  <c r="AQ900" i="1" s="1"/>
  <c r="AR868" i="1"/>
  <c r="AR900" i="1" s="1"/>
  <c r="AR869" i="1"/>
  <c r="AR901" i="1" s="1"/>
  <c r="AR926" i="1" s="1"/>
  <c r="AR1182" i="1"/>
  <c r="AR949" i="1"/>
  <c r="AR1181" i="1"/>
  <c r="AS1182" i="1"/>
  <c r="AT1367" i="1"/>
  <c r="BY9" i="1"/>
  <c r="BY158" i="1"/>
  <c r="BY156" i="1"/>
  <c r="BY159" i="1" s="1"/>
  <c r="BY172" i="1"/>
  <c r="BY174" i="1"/>
  <c r="AS1181" i="1"/>
  <c r="BZ133" i="1"/>
  <c r="BZ125" i="1"/>
  <c r="BZ126" i="1"/>
  <c r="BY114" i="1"/>
  <c r="BY190" i="1"/>
  <c r="BY115" i="1"/>
  <c r="BY16" i="9" s="1"/>
  <c r="BZ165" i="1"/>
  <c r="AU1" i="9"/>
  <c r="AU1397" i="1"/>
  <c r="AU922" i="1"/>
  <c r="AU914" i="1"/>
  <c r="AU905" i="1"/>
  <c r="AU913" i="1"/>
  <c r="AU904" i="1"/>
  <c r="AU920" i="1"/>
  <c r="AU919" i="1"/>
  <c r="AU902" i="1"/>
  <c r="AY902" i="1" s="1"/>
  <c r="AU917" i="1"/>
  <c r="AU916" i="1"/>
  <c r="AU912" i="1"/>
  <c r="AU910" i="1"/>
  <c r="AU906" i="1"/>
  <c r="AU903" i="1"/>
  <c r="AU908" i="1"/>
  <c r="AU909" i="1"/>
  <c r="AU515" i="1"/>
  <c r="AU3" i="1"/>
  <c r="AU1367" i="1" s="1"/>
  <c r="AV4" i="1"/>
  <c r="AU4" i="11"/>
  <c r="AU4" i="13"/>
  <c r="AX1091" i="1"/>
  <c r="AW1092" i="1"/>
  <c r="AW1269" i="1" s="1"/>
  <c r="BZ163" i="1"/>
  <c r="BZ93" i="1"/>
  <c r="BZ86" i="1"/>
  <c r="BZ85" i="1"/>
  <c r="CA119" i="1"/>
  <c r="CA120" i="1" s="1"/>
  <c r="BY188" i="1"/>
  <c r="BY74" i="1"/>
  <c r="BY75" i="1"/>
  <c r="BY14" i="9" s="1"/>
  <c r="AS868" i="1"/>
  <c r="AS900" i="1" s="1"/>
  <c r="AN138" i="9"/>
  <c r="AN103" i="9"/>
  <c r="AJ975" i="1"/>
  <c r="AJ973" i="1"/>
  <c r="AJ11" i="9"/>
  <c r="AJ130" i="9"/>
  <c r="BZ104" i="1"/>
  <c r="BZ148" i="1"/>
  <c r="BZ102" i="1"/>
  <c r="BZ25" i="9" s="1"/>
  <c r="CA98" i="1"/>
  <c r="AN49" i="9"/>
  <c r="AN526" i="1"/>
  <c r="AN506" i="1"/>
  <c r="AS869" i="1"/>
  <c r="AS901" i="1" s="1"/>
  <c r="AN56" i="9"/>
  <c r="AN507" i="1"/>
  <c r="AN57" i="9" s="1"/>
  <c r="AN88" i="9" s="1"/>
  <c r="AO1276" i="1"/>
  <c r="N314" i="10"/>
  <c r="AT877" i="1" l="1"/>
  <c r="BY175" i="1"/>
  <c r="AT871" i="1"/>
  <c r="AS926" i="1"/>
  <c r="P314" i="10"/>
  <c r="Q314" i="10"/>
  <c r="AQ957" i="1"/>
  <c r="AQ958" i="1" s="1"/>
  <c r="AQ932" i="1" s="1"/>
  <c r="AQ950" i="1"/>
  <c r="AQ942" i="1" s="1"/>
  <c r="AQ943" i="1" s="1"/>
  <c r="AN104" i="9"/>
  <c r="AR104" i="9"/>
  <c r="AQ104" i="9"/>
  <c r="AP104" i="9"/>
  <c r="AU921" i="1"/>
  <c r="AQ954" i="1"/>
  <c r="AT879" i="1"/>
  <c r="AT880" i="1" s="1"/>
  <c r="AP880" i="1"/>
  <c r="AN50" i="9"/>
  <c r="AT874" i="1"/>
  <c r="AT885" i="1"/>
  <c r="AO526" i="1"/>
  <c r="AN527" i="1"/>
  <c r="AN529" i="1"/>
  <c r="AJ128" i="9"/>
  <c r="AJ131" i="9"/>
  <c r="AU911" i="1"/>
  <c r="BZ135" i="1"/>
  <c r="BZ17" i="9" s="1"/>
  <c r="BZ191" i="1"/>
  <c r="BZ134" i="1"/>
  <c r="AR954" i="1"/>
  <c r="CA164" i="1"/>
  <c r="AT869" i="1"/>
  <c r="AT901" i="1" s="1"/>
  <c r="AP901" i="1"/>
  <c r="AS759" i="1"/>
  <c r="AS40" i="9"/>
  <c r="AS42" i="9" s="1"/>
  <c r="AS487" i="1"/>
  <c r="AP884" i="1"/>
  <c r="AT883" i="1"/>
  <c r="AT884" i="1" s="1"/>
  <c r="CA166" i="1"/>
  <c r="AP950" i="1"/>
  <c r="AP942" i="1" s="1"/>
  <c r="AP943" i="1" s="1"/>
  <c r="AP957" i="1"/>
  <c r="AP958" i="1" s="1"/>
  <c r="AP932" i="1" s="1"/>
  <c r="AS949" i="1"/>
  <c r="AP876" i="1"/>
  <c r="AT875" i="1"/>
  <c r="AT876" i="1" s="1"/>
  <c r="CA84" i="1"/>
  <c r="CB78" i="1"/>
  <c r="CA147" i="1"/>
  <c r="CA82" i="1"/>
  <c r="CA24" i="9" s="1"/>
  <c r="BY192" i="1"/>
  <c r="BY195" i="1"/>
  <c r="BZ167" i="1"/>
  <c r="BZ173" i="1" s="1"/>
  <c r="AR957" i="1"/>
  <c r="AR958" i="1" s="1"/>
  <c r="AR932" i="1" s="1"/>
  <c r="AR950" i="1"/>
  <c r="AR942" i="1" s="1"/>
  <c r="AR943" i="1" s="1"/>
  <c r="AT882" i="1"/>
  <c r="BZ150" i="1"/>
  <c r="BZ157" i="1" s="1"/>
  <c r="BZ106" i="1"/>
  <c r="BZ105" i="1"/>
  <c r="BZ113" i="1"/>
  <c r="CA149" i="1"/>
  <c r="CA122" i="1"/>
  <c r="CA26" i="9" s="1"/>
  <c r="CB118" i="1"/>
  <c r="CA124" i="1"/>
  <c r="AY1091" i="1"/>
  <c r="AY1092" i="1" s="1"/>
  <c r="AX1092" i="1"/>
  <c r="AX1269" i="1" s="1"/>
  <c r="BY11" i="1"/>
  <c r="BY27" i="9" s="1"/>
  <c r="BZ7" i="1"/>
  <c r="BY12" i="1"/>
  <c r="BY8" i="1"/>
  <c r="BY10" i="1"/>
  <c r="AU907" i="1"/>
  <c r="AV1" i="9"/>
  <c r="AV1397" i="1"/>
  <c r="AV919" i="1"/>
  <c r="AV910" i="1"/>
  <c r="AV911" i="1" s="1"/>
  <c r="AV922" i="1"/>
  <c r="AV920" i="1"/>
  <c r="AV921" i="1" s="1"/>
  <c r="AV917" i="1"/>
  <c r="AV918" i="1" s="1"/>
  <c r="AV916" i="1"/>
  <c r="AV914" i="1"/>
  <c r="AV915" i="1" s="1"/>
  <c r="AV913" i="1"/>
  <c r="AV912" i="1"/>
  <c r="AV906" i="1"/>
  <c r="AV907" i="1" s="1"/>
  <c r="AV905" i="1"/>
  <c r="AV904" i="1"/>
  <c r="AV909" i="1"/>
  <c r="AV908" i="1"/>
  <c r="AV903" i="1"/>
  <c r="AV515" i="1"/>
  <c r="AV3" i="1"/>
  <c r="AV1367" i="1" s="1"/>
  <c r="AW4" i="1"/>
  <c r="AV4" i="13"/>
  <c r="AV4" i="11"/>
  <c r="CA99" i="1"/>
  <c r="BZ189" i="1"/>
  <c r="BZ95" i="1"/>
  <c r="BZ15" i="9" s="1"/>
  <c r="BZ94" i="1"/>
  <c r="AU3" i="11"/>
  <c r="AU3" i="13"/>
  <c r="AU915" i="1"/>
  <c r="AT873" i="1"/>
  <c r="AQ896" i="1"/>
  <c r="AQ795" i="1" s="1"/>
  <c r="AQ797" i="1" s="1"/>
  <c r="AT889" i="1"/>
  <c r="AT890" i="1" s="1"/>
  <c r="AP890" i="1"/>
  <c r="BZ73" i="1"/>
  <c r="BZ57" i="1"/>
  <c r="BZ58" i="1"/>
  <c r="AN137" i="9"/>
  <c r="AN98" i="9"/>
  <c r="AT872" i="1"/>
  <c r="AP900" i="1"/>
  <c r="AT868" i="1"/>
  <c r="AT900" i="1" s="1"/>
  <c r="AU918" i="1"/>
  <c r="AS896" i="1"/>
  <c r="AS795" i="1" s="1"/>
  <c r="AR896" i="1"/>
  <c r="AR795" i="1" s="1"/>
  <c r="AR797" i="1" s="1"/>
  <c r="AT881" i="1"/>
  <c r="AP887" i="1"/>
  <c r="AP896" i="1" s="1"/>
  <c r="AP795" i="1" s="1"/>
  <c r="AP797" i="1" s="1"/>
  <c r="AT886" i="1"/>
  <c r="AT887" i="1" s="1"/>
  <c r="AT891" i="1"/>
  <c r="CA51" i="1"/>
  <c r="CA52" i="1" s="1"/>
  <c r="AP926" i="1" l="1"/>
  <c r="BZ171" i="1"/>
  <c r="CA146" i="1"/>
  <c r="CB50" i="1"/>
  <c r="CA54" i="1"/>
  <c r="CA23" i="9" s="1"/>
  <c r="CA56" i="1"/>
  <c r="CB79" i="1"/>
  <c r="CB80" i="1" s="1"/>
  <c r="AR111" i="9"/>
  <c r="AR107" i="9"/>
  <c r="AN99" i="9"/>
  <c r="AN102" i="9" s="1"/>
  <c r="AQ99" i="9"/>
  <c r="AQ102" i="9" s="1"/>
  <c r="AR99" i="9"/>
  <c r="AR102" i="9" s="1"/>
  <c r="AP99" i="9"/>
  <c r="AP102" i="9" s="1"/>
  <c r="AN5" i="9"/>
  <c r="AN1008" i="1"/>
  <c r="CA133" i="1"/>
  <c r="CA126" i="1"/>
  <c r="CA125" i="1"/>
  <c r="BZ9" i="1"/>
  <c r="BZ156" i="1"/>
  <c r="BZ158" i="1"/>
  <c r="AT926" i="1"/>
  <c r="AT927" i="1" s="1"/>
  <c r="AQ937" i="1"/>
  <c r="AQ934" i="1"/>
  <c r="AQ938" i="1"/>
  <c r="CB119" i="1"/>
  <c r="CB120" i="1"/>
  <c r="BZ155" i="1"/>
  <c r="BY194" i="1"/>
  <c r="BY204" i="1" s="1"/>
  <c r="BY183" i="1"/>
  <c r="BY21" i="1"/>
  <c r="AS947" i="1"/>
  <c r="AS950" i="1"/>
  <c r="AS942" i="1" s="1"/>
  <c r="AS943" i="1" s="1"/>
  <c r="AS957" i="1"/>
  <c r="AS958" i="1" s="1"/>
  <c r="AS932" i="1" s="1"/>
  <c r="AO527" i="1"/>
  <c r="AO529" i="1"/>
  <c r="BZ190" i="1"/>
  <c r="BZ114" i="1"/>
  <c r="BZ115" i="1"/>
  <c r="BZ16" i="9" s="1"/>
  <c r="BZ174" i="1"/>
  <c r="BZ172" i="1"/>
  <c r="BZ175" i="1" s="1"/>
  <c r="AN111" i="9"/>
  <c r="AN107" i="9"/>
  <c r="CA163" i="1"/>
  <c r="AW1" i="9"/>
  <c r="AW1397" i="1"/>
  <c r="AW916" i="1"/>
  <c r="AW908" i="1"/>
  <c r="AW903" i="1"/>
  <c r="AW919" i="1"/>
  <c r="AW917" i="1"/>
  <c r="AW914" i="1"/>
  <c r="AW915" i="1" s="1"/>
  <c r="AW913" i="1"/>
  <c r="AW912" i="1"/>
  <c r="AW906" i="1"/>
  <c r="AW907" i="1" s="1"/>
  <c r="AW905" i="1"/>
  <c r="AW904" i="1"/>
  <c r="AW910" i="1"/>
  <c r="AW911" i="1" s="1"/>
  <c r="AW909" i="1"/>
  <c r="AW922" i="1"/>
  <c r="AW920" i="1"/>
  <c r="AW921" i="1" s="1"/>
  <c r="AW515" i="1"/>
  <c r="AW3" i="1"/>
  <c r="AW1367" i="1" s="1"/>
  <c r="AX4" i="1"/>
  <c r="AW4" i="13"/>
  <c r="AW4" i="11"/>
  <c r="AP937" i="1"/>
  <c r="AP934" i="1"/>
  <c r="AP938" i="1"/>
  <c r="AZ1091" i="1"/>
  <c r="AY1269" i="1"/>
  <c r="AV3" i="11"/>
  <c r="AV3" i="13"/>
  <c r="BY14" i="1"/>
  <c r="BY13" i="1"/>
  <c r="AP111" i="9"/>
  <c r="AP107" i="9"/>
  <c r="CA165" i="1"/>
  <c r="CA86" i="1"/>
  <c r="CA85" i="1"/>
  <c r="CA93" i="1"/>
  <c r="AS760" i="1"/>
  <c r="AS761" i="1"/>
  <c r="CA100" i="1"/>
  <c r="AT896" i="1"/>
  <c r="AT795" i="1" s="1"/>
  <c r="AT797" i="1" s="1"/>
  <c r="BZ75" i="1"/>
  <c r="BZ14" i="9" s="1"/>
  <c r="BZ188" i="1"/>
  <c r="BZ74" i="1"/>
  <c r="AR937" i="1"/>
  <c r="AR938" i="1"/>
  <c r="AR934" i="1"/>
  <c r="AS491" i="1"/>
  <c r="AS502" i="1"/>
  <c r="AS503" i="1"/>
  <c r="AS804" i="1"/>
  <c r="AQ111" i="9"/>
  <c r="AQ107" i="9"/>
  <c r="BZ159" i="1" l="1"/>
  <c r="AN999" i="1"/>
  <c r="AN1009" i="1"/>
  <c r="AN1000" i="1" s="1"/>
  <c r="AN976" i="1" s="1"/>
  <c r="CB51" i="1"/>
  <c r="AW918" i="1"/>
  <c r="CA167" i="1"/>
  <c r="CA171" i="1"/>
  <c r="AS762" i="1"/>
  <c r="AS798" i="1"/>
  <c r="AS764" i="1"/>
  <c r="BA1091" i="1"/>
  <c r="AZ1092" i="1"/>
  <c r="AZ1269" i="1" s="1"/>
  <c r="CB166" i="1"/>
  <c r="CC119" i="1"/>
  <c r="CB164" i="1"/>
  <c r="CC79" i="1"/>
  <c r="AS495" i="1"/>
  <c r="AS1267" i="1"/>
  <c r="AS1259" i="1"/>
  <c r="AT1275" i="1"/>
  <c r="AR1267" i="1"/>
  <c r="AU1267" i="1"/>
  <c r="BY23" i="1"/>
  <c r="BY18" i="9" s="1"/>
  <c r="BY28" i="1"/>
  <c r="BY22" i="1"/>
  <c r="AQ927" i="1"/>
  <c r="AQ928" i="1" s="1"/>
  <c r="AQ802" i="1" s="1"/>
  <c r="AP927" i="1"/>
  <c r="AP928" i="1" s="1"/>
  <c r="AP802" i="1" s="1"/>
  <c r="AR927" i="1"/>
  <c r="AR928" i="1" s="1"/>
  <c r="AR802" i="1" s="1"/>
  <c r="AS937" i="1"/>
  <c r="AS938" i="1"/>
  <c r="AS934" i="1"/>
  <c r="CB122" i="1"/>
  <c r="CB26" i="9" s="1"/>
  <c r="CB149" i="1"/>
  <c r="CB124" i="1"/>
  <c r="BZ195" i="1"/>
  <c r="BZ192" i="1"/>
  <c r="AX1" i="9"/>
  <c r="AX1397" i="1"/>
  <c r="AX913" i="1"/>
  <c r="AY913" i="1" s="1"/>
  <c r="AX904" i="1"/>
  <c r="AY904" i="1" s="1"/>
  <c r="AX920" i="1"/>
  <c r="AX921" i="1" s="1"/>
  <c r="AX912" i="1"/>
  <c r="AY912" i="1" s="1"/>
  <c r="AX906" i="1"/>
  <c r="AX916" i="1"/>
  <c r="AY916" i="1" s="1"/>
  <c r="AX914" i="1"/>
  <c r="AX915" i="1" s="1"/>
  <c r="AX905" i="1"/>
  <c r="AY905" i="1" s="1"/>
  <c r="AX910" i="1"/>
  <c r="AX909" i="1"/>
  <c r="AY909" i="1" s="1"/>
  <c r="AX908" i="1"/>
  <c r="AY908" i="1" s="1"/>
  <c r="AX917" i="1"/>
  <c r="AX918" i="1" s="1"/>
  <c r="AX922" i="1"/>
  <c r="AY922" i="1" s="1"/>
  <c r="AX919" i="1"/>
  <c r="AY919" i="1" s="1"/>
  <c r="AX903" i="1"/>
  <c r="AY903" i="1" s="1"/>
  <c r="AX515" i="1"/>
  <c r="AY4" i="1"/>
  <c r="AX3" i="1"/>
  <c r="AX1367" i="1" s="1"/>
  <c r="AX4" i="13"/>
  <c r="AX4" i="11"/>
  <c r="BY16" i="1"/>
  <c r="AN6" i="9"/>
  <c r="AN11" i="9" s="1"/>
  <c r="AN120" i="9"/>
  <c r="AN121" i="9"/>
  <c r="AN84" i="9"/>
  <c r="AN85" i="9"/>
  <c r="AN87" i="9" s="1"/>
  <c r="AN122" i="9"/>
  <c r="CB84" i="1"/>
  <c r="CB82" i="1"/>
  <c r="CB24" i="9" s="1"/>
  <c r="CB147" i="1"/>
  <c r="CA189" i="1"/>
  <c r="CA94" i="1"/>
  <c r="CA95" i="1"/>
  <c r="CA15" i="9" s="1"/>
  <c r="BZ12" i="1"/>
  <c r="BZ8" i="1"/>
  <c r="CA7" i="1"/>
  <c r="BZ10" i="1"/>
  <c r="BZ11" i="1"/>
  <c r="BZ27" i="9" s="1"/>
  <c r="CA104" i="1"/>
  <c r="CA148" i="1"/>
  <c r="CA150" i="1" s="1"/>
  <c r="CA155" i="1" s="1"/>
  <c r="CA102" i="1"/>
  <c r="CA25" i="9" s="1"/>
  <c r="CB98" i="1"/>
  <c r="CA173" i="1"/>
  <c r="AW3" i="13"/>
  <c r="AW3" i="11"/>
  <c r="AO5" i="9"/>
  <c r="AO1008" i="1"/>
  <c r="BY209" i="1"/>
  <c r="BY462" i="1"/>
  <c r="BY1264" i="1" s="1"/>
  <c r="BY205" i="1"/>
  <c r="BY206" i="1" s="1"/>
  <c r="BY203" i="1"/>
  <c r="BY201" i="1"/>
  <c r="BY202" i="1"/>
  <c r="BY200" i="1"/>
  <c r="CA135" i="1"/>
  <c r="CA17" i="9" s="1"/>
  <c r="CA191" i="1"/>
  <c r="CA134" i="1"/>
  <c r="CA73" i="1"/>
  <c r="CA57" i="1"/>
  <c r="CA58" i="1"/>
  <c r="N273" i="10"/>
  <c r="AY920" i="1" l="1"/>
  <c r="AY921" i="1" s="1"/>
  <c r="Q273" i="10"/>
  <c r="P273" i="10"/>
  <c r="AX911" i="1"/>
  <c r="AY910" i="1"/>
  <c r="AY911" i="1" s="1"/>
  <c r="CC164" i="1"/>
  <c r="CC80" i="1"/>
  <c r="AS797" i="1"/>
  <c r="CA9" i="1"/>
  <c r="CA158" i="1"/>
  <c r="CA156" i="1"/>
  <c r="CB133" i="1"/>
  <c r="CB125" i="1"/>
  <c r="CB126" i="1"/>
  <c r="CC124" i="1"/>
  <c r="CC126" i="1" s="1"/>
  <c r="AR806" i="1"/>
  <c r="AR807" i="1" s="1"/>
  <c r="AR996" i="1" s="1"/>
  <c r="CC166" i="1"/>
  <c r="CC120" i="1"/>
  <c r="AN973" i="1"/>
  <c r="AN975" i="1"/>
  <c r="AS927" i="1"/>
  <c r="AS928" i="1" s="1"/>
  <c r="AS802" i="1" s="1"/>
  <c r="CA75" i="1"/>
  <c r="CA14" i="9" s="1"/>
  <c r="CA74" i="1"/>
  <c r="CA188" i="1"/>
  <c r="AX907" i="1"/>
  <c r="AY906" i="1"/>
  <c r="AY907" i="1" s="1"/>
  <c r="AY914" i="1"/>
  <c r="AY915" i="1" s="1"/>
  <c r="AP806" i="1"/>
  <c r="AP807" i="1" s="1"/>
  <c r="AP996" i="1" s="1"/>
  <c r="CA172" i="1"/>
  <c r="CA174" i="1"/>
  <c r="CA157" i="1"/>
  <c r="CA159" i="1" s="1"/>
  <c r="BZ194" i="1"/>
  <c r="BZ183" i="1"/>
  <c r="BZ21" i="1"/>
  <c r="AQ806" i="1"/>
  <c r="AQ807" i="1" s="1"/>
  <c r="AQ996" i="1" s="1"/>
  <c r="AY917" i="1"/>
  <c r="AY918" i="1" s="1"/>
  <c r="BY33" i="1"/>
  <c r="BY20" i="9" s="1"/>
  <c r="BY31" i="1"/>
  <c r="CB163" i="1"/>
  <c r="CC51" i="1"/>
  <c r="AO999" i="1"/>
  <c r="AO1009" i="1"/>
  <c r="AO1014" i="1"/>
  <c r="BY17" i="1"/>
  <c r="BY29" i="9" s="1"/>
  <c r="BY19" i="1"/>
  <c r="BY31" i="9" s="1"/>
  <c r="AO6" i="9"/>
  <c r="AO120" i="9"/>
  <c r="AO121" i="9"/>
  <c r="AO84" i="9"/>
  <c r="AO129" i="9" s="1"/>
  <c r="AO85" i="9"/>
  <c r="AO87" i="9" s="1"/>
  <c r="AO122" i="9"/>
  <c r="CB86" i="1"/>
  <c r="CB85" i="1"/>
  <c r="CB93" i="1"/>
  <c r="CC84" i="1"/>
  <c r="CC86" i="1" s="1"/>
  <c r="CB99" i="1"/>
  <c r="CB100" i="1" s="1"/>
  <c r="BZ13" i="1"/>
  <c r="BZ14" i="1"/>
  <c r="BY34" i="9"/>
  <c r="BY1233" i="1"/>
  <c r="BY1119" i="1" s="1"/>
  <c r="BY1227" i="1"/>
  <c r="BY1206" i="1"/>
  <c r="BY737" i="1"/>
  <c r="BY598" i="1"/>
  <c r="CA105" i="1"/>
  <c r="CA106" i="1"/>
  <c r="CA113" i="1"/>
  <c r="BB1091" i="1"/>
  <c r="BA1092" i="1"/>
  <c r="BA1269" i="1" s="1"/>
  <c r="AY1" i="9"/>
  <c r="AY1397" i="1"/>
  <c r="AY515" i="1"/>
  <c r="AZ4" i="1"/>
  <c r="AY3" i="1"/>
  <c r="AY4" i="11"/>
  <c r="AY4" i="13"/>
  <c r="BY212" i="1"/>
  <c r="BY233" i="1"/>
  <c r="BY223" i="1"/>
  <c r="BY228" i="1"/>
  <c r="AX869" i="1"/>
  <c r="AX901" i="1" s="1"/>
  <c r="AX1181" i="1"/>
  <c r="AX3" i="13"/>
  <c r="AX3" i="11"/>
  <c r="AS47" i="9"/>
  <c r="AS497" i="1"/>
  <c r="AS505" i="1"/>
  <c r="AS500" i="1"/>
  <c r="AS1260" i="1"/>
  <c r="CB52" i="1"/>
  <c r="CA175" i="1" l="1"/>
  <c r="CB148" i="1"/>
  <c r="CB102" i="1"/>
  <c r="CB25" i="9" s="1"/>
  <c r="CB104" i="1"/>
  <c r="AO11" i="9"/>
  <c r="AO130" i="9"/>
  <c r="CC147" i="1"/>
  <c r="CD78" i="1"/>
  <c r="CC82" i="1"/>
  <c r="CC24" i="9" s="1"/>
  <c r="AS138" i="9"/>
  <c r="AS103" i="9"/>
  <c r="BY470" i="1"/>
  <c r="BY229" i="1"/>
  <c r="CC122" i="1"/>
  <c r="CC26" i="9" s="1"/>
  <c r="CD118" i="1"/>
  <c r="CC149" i="1"/>
  <c r="BY234" i="1"/>
  <c r="BY471" i="1"/>
  <c r="AV891" i="1"/>
  <c r="AW888" i="1"/>
  <c r="AU886" i="1"/>
  <c r="AV883" i="1"/>
  <c r="AV884" i="1" s="1"/>
  <c r="AU878" i="1"/>
  <c r="AV875" i="1"/>
  <c r="AV876" i="1" s="1"/>
  <c r="AW953" i="1"/>
  <c r="AU885" i="1"/>
  <c r="AV882" i="1"/>
  <c r="AW879" i="1"/>
  <c r="AW880" i="1" s="1"/>
  <c r="AU877" i="1"/>
  <c r="AV874" i="1"/>
  <c r="AU875" i="1"/>
  <c r="AU874" i="1"/>
  <c r="AV873" i="1"/>
  <c r="AU873" i="1"/>
  <c r="AW872" i="1"/>
  <c r="AV953" i="1"/>
  <c r="AW891" i="1"/>
  <c r="AW889" i="1"/>
  <c r="AW890" i="1" s="1"/>
  <c r="AX888" i="1"/>
  <c r="AV888" i="1"/>
  <c r="AU883" i="1"/>
  <c r="AV879" i="1"/>
  <c r="AV880" i="1" s="1"/>
  <c r="AV872" i="1"/>
  <c r="AU888" i="1"/>
  <c r="AU879" i="1"/>
  <c r="AW874" i="1"/>
  <c r="AU872" i="1"/>
  <c r="AU871" i="1"/>
  <c r="AY871" i="1" s="1"/>
  <c r="AV889" i="1"/>
  <c r="AV890" i="1" s="1"/>
  <c r="AW885" i="1"/>
  <c r="AX881" i="1"/>
  <c r="AW873" i="1"/>
  <c r="AU953" i="1"/>
  <c r="AU889" i="1"/>
  <c r="AV885" i="1"/>
  <c r="AW881" i="1"/>
  <c r="AW886" i="1"/>
  <c r="AW887" i="1" s="1"/>
  <c r="AV881" i="1"/>
  <c r="AW877" i="1"/>
  <c r="AV886" i="1"/>
  <c r="AV887" i="1" s="1"/>
  <c r="AX883" i="1"/>
  <c r="AX884" i="1" s="1"/>
  <c r="AV877" i="1"/>
  <c r="AX875" i="1"/>
  <c r="AX876" i="1" s="1"/>
  <c r="AU760" i="1"/>
  <c r="AW883" i="1"/>
  <c r="AW884" i="1" s="1"/>
  <c r="AW875" i="1"/>
  <c r="AW876" i="1" s="1"/>
  <c r="AU881" i="1"/>
  <c r="AW878" i="1"/>
  <c r="AW882" i="1"/>
  <c r="AU891" i="1"/>
  <c r="AU882" i="1"/>
  <c r="AX879" i="1"/>
  <c r="AX880" i="1" s="1"/>
  <c r="AX878" i="1"/>
  <c r="AV878" i="1"/>
  <c r="AX484" i="1"/>
  <c r="AX874" i="1"/>
  <c r="AX872" i="1"/>
  <c r="AV760" i="1"/>
  <c r="AX889" i="1"/>
  <c r="AX890" i="1" s="1"/>
  <c r="AX886" i="1"/>
  <c r="AX887" i="1" s="1"/>
  <c r="AX873" i="1"/>
  <c r="AX885" i="1"/>
  <c r="AV758" i="1"/>
  <c r="AX877" i="1"/>
  <c r="AX882" i="1"/>
  <c r="AX953" i="1"/>
  <c r="AW760" i="1"/>
  <c r="AX891" i="1"/>
  <c r="AX1179" i="1"/>
  <c r="AW1179" i="1"/>
  <c r="AX758" i="1"/>
  <c r="AV762" i="1"/>
  <c r="AV1179" i="1"/>
  <c r="AU758" i="1"/>
  <c r="AU1179" i="1"/>
  <c r="AW1180" i="1"/>
  <c r="AX1180" i="1"/>
  <c r="AW758" i="1"/>
  <c r="AU762" i="1"/>
  <c r="AV1180" i="1"/>
  <c r="AW762" i="1"/>
  <c r="AU1180" i="1"/>
  <c r="AY3" i="13"/>
  <c r="AY3" i="11"/>
  <c r="AU949" i="1"/>
  <c r="AU1181" i="1"/>
  <c r="AU1182" i="1"/>
  <c r="AU869" i="1"/>
  <c r="AU868" i="1"/>
  <c r="AV869" i="1"/>
  <c r="AV901" i="1" s="1"/>
  <c r="AV868" i="1"/>
  <c r="AV900" i="1" s="1"/>
  <c r="AV949" i="1"/>
  <c r="AV1181" i="1"/>
  <c r="AV1182" i="1"/>
  <c r="AW949" i="1"/>
  <c r="AW868" i="1"/>
  <c r="AW900" i="1" s="1"/>
  <c r="AW1181" i="1"/>
  <c r="AW869" i="1"/>
  <c r="AW901" i="1" s="1"/>
  <c r="AW926" i="1" s="1"/>
  <c r="AW1182" i="1"/>
  <c r="BC1091" i="1"/>
  <c r="BB1092" i="1"/>
  <c r="BB1269" i="1" s="1"/>
  <c r="BY478" i="1"/>
  <c r="AO1000" i="1"/>
  <c r="AO976" i="1" s="1"/>
  <c r="AO1012" i="1"/>
  <c r="AO1015" i="1"/>
  <c r="CB146" i="1"/>
  <c r="CB54" i="1"/>
  <c r="CB23" i="9" s="1"/>
  <c r="CB56" i="1"/>
  <c r="AX1182" i="1"/>
  <c r="AZ1" i="9"/>
  <c r="AZ1397" i="1"/>
  <c r="AZ922" i="1"/>
  <c r="AZ914" i="1"/>
  <c r="AZ905" i="1"/>
  <c r="AZ910" i="1"/>
  <c r="AZ909" i="1"/>
  <c r="AZ908" i="1"/>
  <c r="AZ903" i="1"/>
  <c r="BD903" i="1" s="1"/>
  <c r="AZ917" i="1"/>
  <c r="AZ913" i="1"/>
  <c r="AZ919" i="1"/>
  <c r="AZ906" i="1"/>
  <c r="AZ920" i="1"/>
  <c r="AZ515" i="1"/>
  <c r="AZ912" i="1"/>
  <c r="AZ916" i="1"/>
  <c r="AZ904" i="1"/>
  <c r="BA4" i="1"/>
  <c r="AZ3" i="1"/>
  <c r="AZ1367" i="1" s="1"/>
  <c r="AZ4" i="13"/>
  <c r="AZ4" i="11"/>
  <c r="BY1116" i="1"/>
  <c r="AO973" i="1"/>
  <c r="AO975" i="1"/>
  <c r="BZ28" i="1"/>
  <c r="BZ1264" i="1" s="1"/>
  <c r="BZ23" i="1"/>
  <c r="BZ18" i="9" s="1"/>
  <c r="BZ22" i="1"/>
  <c r="CB94" i="1"/>
  <c r="CB189" i="1"/>
  <c r="CB95" i="1"/>
  <c r="CB15" i="9" s="1"/>
  <c r="CC93" i="1"/>
  <c r="BZ209" i="1"/>
  <c r="BZ462" i="1"/>
  <c r="BZ205" i="1"/>
  <c r="BZ201" i="1"/>
  <c r="BZ203" i="1"/>
  <c r="BZ200" i="1"/>
  <c r="BZ202" i="1"/>
  <c r="BY604" i="1"/>
  <c r="BY599" i="1"/>
  <c r="BY607" i="1"/>
  <c r="BY120" i="9"/>
  <c r="AS49" i="9"/>
  <c r="AS506" i="1"/>
  <c r="AS526" i="1"/>
  <c r="CA195" i="1"/>
  <c r="CB135" i="1"/>
  <c r="CB17" i="9" s="1"/>
  <c r="CB134" i="1"/>
  <c r="CB191" i="1"/>
  <c r="CC133" i="1"/>
  <c r="BY469" i="1"/>
  <c r="BY224" i="1"/>
  <c r="CA190" i="1"/>
  <c r="CA192" i="1" s="1"/>
  <c r="CA114" i="1"/>
  <c r="CA115" i="1"/>
  <c r="CA16" i="9" s="1"/>
  <c r="BY1117" i="1"/>
  <c r="CB165" i="1"/>
  <c r="CB167" i="1" s="1"/>
  <c r="CB171" i="1" s="1"/>
  <c r="CC99" i="1"/>
  <c r="CC163" i="1"/>
  <c r="CC52" i="1"/>
  <c r="BZ16" i="1"/>
  <c r="CA12" i="1"/>
  <c r="CA8" i="1"/>
  <c r="CA10" i="1"/>
  <c r="CB7" i="1"/>
  <c r="CA11" i="1"/>
  <c r="CA27" i="9" s="1"/>
  <c r="AS56" i="9"/>
  <c r="AS507" i="1"/>
  <c r="AS57" i="9" s="1"/>
  <c r="AS88" i="9" s="1"/>
  <c r="AT1276" i="1"/>
  <c r="AX868" i="1"/>
  <c r="AX900" i="1" s="1"/>
  <c r="AX926" i="1" s="1"/>
  <c r="AY1367" i="1"/>
  <c r="BZ204" i="1"/>
  <c r="BZ206" i="1" s="1"/>
  <c r="AS806" i="1"/>
  <c r="AS807" i="1" s="1"/>
  <c r="AS996" i="1" s="1"/>
  <c r="AS997" i="1" s="1"/>
  <c r="N274" i="10"/>
  <c r="AY888" i="1" l="1"/>
  <c r="AV926" i="1"/>
  <c r="AY881" i="1"/>
  <c r="P274" i="10"/>
  <c r="Q274" i="10"/>
  <c r="AS968" i="1"/>
  <c r="AS964" i="1"/>
  <c r="CA194" i="1"/>
  <c r="CA183" i="1"/>
  <c r="CA21" i="1"/>
  <c r="AY877" i="1"/>
  <c r="AS50" i="9"/>
  <c r="BZ17" i="1"/>
  <c r="BZ29" i="9" s="1"/>
  <c r="BZ19" i="1"/>
  <c r="BZ31" i="9" s="1"/>
  <c r="BY38" i="9"/>
  <c r="BY63" i="9" s="1"/>
  <c r="BY398" i="1"/>
  <c r="AX954" i="1"/>
  <c r="AX955" i="1"/>
  <c r="AY889" i="1"/>
  <c r="AY890" i="1" s="1"/>
  <c r="AU890" i="1"/>
  <c r="CD79" i="1"/>
  <c r="CD164" i="1" s="1"/>
  <c r="AS529" i="1"/>
  <c r="AT526" i="1"/>
  <c r="AS527" i="1"/>
  <c r="AU900" i="1"/>
  <c r="AY868" i="1"/>
  <c r="AY900" i="1" s="1"/>
  <c r="AW950" i="1"/>
  <c r="AW942" i="1" s="1"/>
  <c r="AW943" i="1" s="1"/>
  <c r="AW957" i="1"/>
  <c r="AW958" i="1" s="1"/>
  <c r="AW932" i="1" s="1"/>
  <c r="AX759" i="1"/>
  <c r="AX40" i="9"/>
  <c r="AX42" i="9" s="1"/>
  <c r="AX487" i="1"/>
  <c r="AV896" i="1"/>
  <c r="AV795" i="1" s="1"/>
  <c r="AV797" i="1" s="1"/>
  <c r="AZ921" i="1"/>
  <c r="CB73" i="1"/>
  <c r="CB58" i="1"/>
  <c r="CB57" i="1"/>
  <c r="CC56" i="1"/>
  <c r="CC58" i="1" s="1"/>
  <c r="AY873" i="1"/>
  <c r="AY885" i="1"/>
  <c r="BY36" i="9"/>
  <c r="BY402" i="1"/>
  <c r="BY61" i="9" s="1"/>
  <c r="CB174" i="1"/>
  <c r="CB172" i="1"/>
  <c r="AZ907" i="1"/>
  <c r="AU950" i="1"/>
  <c r="AU942" i="1" s="1"/>
  <c r="AU943" i="1" s="1"/>
  <c r="AU957" i="1"/>
  <c r="AU958" i="1" s="1"/>
  <c r="AU932" i="1" s="1"/>
  <c r="AX949" i="1"/>
  <c r="AY883" i="1"/>
  <c r="AY884" i="1" s="1"/>
  <c r="AU884" i="1"/>
  <c r="AW955" i="1"/>
  <c r="AW954" i="1"/>
  <c r="BY37" i="9"/>
  <c r="BY403" i="1"/>
  <c r="BY62" i="9" s="1"/>
  <c r="AS104" i="9"/>
  <c r="AU104" i="9"/>
  <c r="AW104" i="9"/>
  <c r="AV104" i="9"/>
  <c r="CB105" i="1"/>
  <c r="CB113" i="1"/>
  <c r="CB106" i="1"/>
  <c r="CC104" i="1"/>
  <c r="CC106" i="1" s="1"/>
  <c r="AZ918" i="1"/>
  <c r="AY891" i="1"/>
  <c r="CA13" i="1"/>
  <c r="CA14" i="1"/>
  <c r="CC189" i="1"/>
  <c r="CC95" i="1"/>
  <c r="CC15" i="9" s="1"/>
  <c r="AU880" i="1"/>
  <c r="AY879" i="1"/>
  <c r="AY880" i="1" s="1"/>
  <c r="CC191" i="1"/>
  <c r="CC135" i="1"/>
  <c r="CC17" i="9" s="1"/>
  <c r="AU901" i="1"/>
  <c r="AU926" i="1" s="1"/>
  <c r="AY869" i="1"/>
  <c r="AY901" i="1" s="1"/>
  <c r="AY926" i="1" s="1"/>
  <c r="AY927" i="1" s="1"/>
  <c r="BY1106" i="1"/>
  <c r="BY410" i="1"/>
  <c r="AS137" i="9"/>
  <c r="AS98" i="9"/>
  <c r="BZ34" i="9"/>
  <c r="BZ1206" i="1"/>
  <c r="BZ1233" i="1"/>
  <c r="BZ1119" i="1" s="1"/>
  <c r="BZ1227" i="1"/>
  <c r="BZ737" i="1"/>
  <c r="BZ598" i="1"/>
  <c r="AZ915" i="1"/>
  <c r="CB150" i="1"/>
  <c r="CB157" i="1" s="1"/>
  <c r="CB155" i="1"/>
  <c r="BD1091" i="1"/>
  <c r="BD1092" i="1" s="1"/>
  <c r="BC1092" i="1"/>
  <c r="BC1269" i="1" s="1"/>
  <c r="AV957" i="1"/>
  <c r="AV958" i="1" s="1"/>
  <c r="AV932" i="1" s="1"/>
  <c r="AV950" i="1"/>
  <c r="AV942" i="1" s="1"/>
  <c r="AV943" i="1" s="1"/>
  <c r="AX896" i="1"/>
  <c r="AX795" i="1" s="1"/>
  <c r="AY874" i="1"/>
  <c r="CD119" i="1"/>
  <c r="CD166" i="1" s="1"/>
  <c r="AU954" i="1"/>
  <c r="AU955" i="1"/>
  <c r="AW896" i="1"/>
  <c r="AW795" i="1" s="1"/>
  <c r="AW797" i="1" s="1"/>
  <c r="AY886" i="1"/>
  <c r="AY887" i="1" s="1"/>
  <c r="AU887" i="1"/>
  <c r="AV955" i="1"/>
  <c r="AV954" i="1"/>
  <c r="AO128" i="9"/>
  <c r="AO131" i="9"/>
  <c r="CD50" i="1"/>
  <c r="CC54" i="1"/>
  <c r="CC23" i="9" s="1"/>
  <c r="CC146" i="1"/>
  <c r="AZ911" i="1"/>
  <c r="CC165" i="1"/>
  <c r="CC100" i="1"/>
  <c r="AZ3" i="13"/>
  <c r="AZ3" i="11"/>
  <c r="CB173" i="1"/>
  <c r="CB175" i="1" s="1"/>
  <c r="BY606" i="1"/>
  <c r="BY603" i="1"/>
  <c r="BY600" i="1"/>
  <c r="BZ212" i="1"/>
  <c r="BZ228" i="1"/>
  <c r="BZ223" i="1"/>
  <c r="BZ233" i="1"/>
  <c r="BZ33" i="1"/>
  <c r="BZ20" i="9" s="1"/>
  <c r="BZ31" i="1"/>
  <c r="BA1" i="9"/>
  <c r="BA1397" i="1"/>
  <c r="BA920" i="1"/>
  <c r="BA921" i="1" s="1"/>
  <c r="BA912" i="1"/>
  <c r="BA906" i="1"/>
  <c r="BA907" i="1" s="1"/>
  <c r="BA919" i="1"/>
  <c r="BA922" i="1"/>
  <c r="BA913" i="1"/>
  <c r="BA905" i="1"/>
  <c r="BA909" i="1"/>
  <c r="BA914" i="1"/>
  <c r="BA915" i="1" s="1"/>
  <c r="BA910" i="1"/>
  <c r="BA911" i="1" s="1"/>
  <c r="BA917" i="1"/>
  <c r="BA918" i="1" s="1"/>
  <c r="BA908" i="1"/>
  <c r="BA515" i="1"/>
  <c r="BA916" i="1"/>
  <c r="BA904" i="1"/>
  <c r="BB4" i="1"/>
  <c r="BA3" i="1"/>
  <c r="BA1367" i="1" s="1"/>
  <c r="BA4" i="13"/>
  <c r="BA4" i="11"/>
  <c r="AY882" i="1"/>
  <c r="AY872" i="1"/>
  <c r="AU876" i="1"/>
  <c r="AU896" i="1" s="1"/>
  <c r="AU795" i="1" s="1"/>
  <c r="AU797" i="1" s="1"/>
  <c r="AY875" i="1"/>
  <c r="AY876" i="1" s="1"/>
  <c r="AY878" i="1"/>
  <c r="AW937" i="1" l="1"/>
  <c r="AW938" i="1"/>
  <c r="AW934" i="1"/>
  <c r="BZ229" i="1"/>
  <c r="BZ470" i="1"/>
  <c r="AS99" i="9"/>
  <c r="AS102" i="9" s="1"/>
  <c r="AU99" i="9"/>
  <c r="AU102" i="9" s="1"/>
  <c r="AW99" i="9"/>
  <c r="AW102" i="9" s="1"/>
  <c r="AV99" i="9"/>
  <c r="AV102" i="9" s="1"/>
  <c r="CB190" i="1"/>
  <c r="CB114" i="1"/>
  <c r="CB115" i="1"/>
  <c r="CB16" i="9" s="1"/>
  <c r="CC113" i="1"/>
  <c r="CB75" i="1"/>
  <c r="CB14" i="9" s="1"/>
  <c r="CB74" i="1"/>
  <c r="CB188" i="1"/>
  <c r="CC73" i="1"/>
  <c r="CD120" i="1"/>
  <c r="BE1091" i="1"/>
  <c r="BD1269" i="1"/>
  <c r="BZ607" i="1"/>
  <c r="BZ599" i="1"/>
  <c r="BZ604" i="1"/>
  <c r="CD80" i="1"/>
  <c r="BZ1116" i="1"/>
  <c r="CA16" i="1"/>
  <c r="BZ234" i="1"/>
  <c r="BZ471" i="1"/>
  <c r="CC148" i="1"/>
  <c r="CC150" i="1" s="1"/>
  <c r="CC155" i="1" s="1"/>
  <c r="CD98" i="1"/>
  <c r="CC102" i="1"/>
  <c r="CC25" i="9" s="1"/>
  <c r="AU937" i="1"/>
  <c r="AU934" i="1"/>
  <c r="AU938" i="1"/>
  <c r="AX760" i="1"/>
  <c r="AX761" i="1"/>
  <c r="AT527" i="1"/>
  <c r="AT529" i="1"/>
  <c r="CA462" i="1"/>
  <c r="CA209" i="1"/>
  <c r="CA205" i="1"/>
  <c r="CA201" i="1"/>
  <c r="CA203" i="1"/>
  <c r="CA200" i="1"/>
  <c r="BA3" i="11"/>
  <c r="BA3" i="13"/>
  <c r="AV937" i="1"/>
  <c r="AV934" i="1"/>
  <c r="AV938" i="1"/>
  <c r="BZ478" i="1"/>
  <c r="AV111" i="9"/>
  <c r="AV107" i="9"/>
  <c r="BY1247" i="1"/>
  <c r="AS111" i="9"/>
  <c r="AS107" i="9"/>
  <c r="BZ469" i="1"/>
  <c r="BZ224" i="1"/>
  <c r="BB1" i="9"/>
  <c r="BB1397" i="1"/>
  <c r="BB917" i="1"/>
  <c r="BB918" i="1" s="1"/>
  <c r="BB909" i="1"/>
  <c r="BB916" i="1"/>
  <c r="BB908" i="1"/>
  <c r="BB922" i="1"/>
  <c r="BB914" i="1"/>
  <c r="BB915" i="1" s="1"/>
  <c r="BB919" i="1"/>
  <c r="BB910" i="1"/>
  <c r="BB911" i="1" s="1"/>
  <c r="BB906" i="1"/>
  <c r="BB907" i="1" s="1"/>
  <c r="BB920" i="1"/>
  <c r="BB921" i="1" s="1"/>
  <c r="BB905" i="1"/>
  <c r="BB515" i="1"/>
  <c r="BB904" i="1"/>
  <c r="BB913" i="1"/>
  <c r="BB912" i="1"/>
  <c r="BB3" i="1"/>
  <c r="BB1367" i="1" s="1"/>
  <c r="BC4" i="1"/>
  <c r="BB4" i="11"/>
  <c r="BB4" i="13"/>
  <c r="CB9" i="1"/>
  <c r="CB158" i="1"/>
  <c r="CB156" i="1"/>
  <c r="BZ1117" i="1"/>
  <c r="AY896" i="1"/>
  <c r="AY795" i="1" s="1"/>
  <c r="AY797" i="1" s="1"/>
  <c r="AW107" i="9"/>
  <c r="AW111" i="9"/>
  <c r="CA202" i="1"/>
  <c r="AX947" i="1"/>
  <c r="AX957" i="1"/>
  <c r="AX958" i="1" s="1"/>
  <c r="AX932" i="1" s="1"/>
  <c r="AX950" i="1"/>
  <c r="AX942" i="1" s="1"/>
  <c r="AX943" i="1" s="1"/>
  <c r="AW927" i="1"/>
  <c r="AW928" i="1" s="1"/>
  <c r="AW802" i="1" s="1"/>
  <c r="AV927" i="1"/>
  <c r="AV928" i="1" s="1"/>
  <c r="AV802" i="1" s="1"/>
  <c r="AU927" i="1"/>
  <c r="AX927" i="1" s="1"/>
  <c r="AX928" i="1" s="1"/>
  <c r="AX802" i="1" s="1"/>
  <c r="AS5" i="9"/>
  <c r="AS1008" i="1"/>
  <c r="CA204" i="1"/>
  <c r="CA206" i="1" s="1"/>
  <c r="CD51" i="1"/>
  <c r="CD163" i="1" s="1"/>
  <c r="AU107" i="9"/>
  <c r="AU111" i="9"/>
  <c r="CC167" i="1"/>
  <c r="CC173" i="1" s="1"/>
  <c r="AX491" i="1"/>
  <c r="AX503" i="1"/>
  <c r="AX502" i="1"/>
  <c r="AX804" i="1"/>
  <c r="CA28" i="1"/>
  <c r="CA23" i="1"/>
  <c r="CA18" i="9" s="1"/>
  <c r="CA22" i="1"/>
  <c r="CA1264" i="1" l="1"/>
  <c r="CB159" i="1"/>
  <c r="CD99" i="1"/>
  <c r="CD165" i="1" s="1"/>
  <c r="CD167" i="1" s="1"/>
  <c r="CD171" i="1" s="1"/>
  <c r="CD100" i="1"/>
  <c r="CD124" i="1"/>
  <c r="CD149" i="1"/>
  <c r="CE118" i="1"/>
  <c r="CC174" i="1"/>
  <c r="CC172" i="1"/>
  <c r="CC171" i="1"/>
  <c r="AW806" i="1"/>
  <c r="AW807" i="1" s="1"/>
  <c r="AW996" i="1" s="1"/>
  <c r="AX762" i="1"/>
  <c r="AX798" i="1"/>
  <c r="AX764" i="1"/>
  <c r="CC157" i="1"/>
  <c r="CD84" i="1"/>
  <c r="CE78" i="1"/>
  <c r="CD147" i="1"/>
  <c r="BZ36" i="9"/>
  <c r="BZ402" i="1"/>
  <c r="BZ61" i="9" s="1"/>
  <c r="CA19" i="1"/>
  <c r="CA31" i="9" s="1"/>
  <c r="CA17" i="1"/>
  <c r="CA29" i="9" s="1"/>
  <c r="AV806" i="1"/>
  <c r="AV807" i="1" s="1"/>
  <c r="AV996" i="1" s="1"/>
  <c r="CC75" i="1"/>
  <c r="CC14" i="9" s="1"/>
  <c r="CC188" i="1"/>
  <c r="AU928" i="1"/>
  <c r="AU802" i="1" s="1"/>
  <c r="CA34" i="9"/>
  <c r="CA1227" i="1"/>
  <c r="CA1206" i="1"/>
  <c r="CA1233" i="1"/>
  <c r="CA1119" i="1" s="1"/>
  <c r="CA737" i="1"/>
  <c r="CA598" i="1"/>
  <c r="AT5" i="9"/>
  <c r="AT1008" i="1"/>
  <c r="BZ38" i="9"/>
  <c r="BZ63" i="9" s="1"/>
  <c r="BZ398" i="1"/>
  <c r="BZ37" i="9"/>
  <c r="BZ403" i="1"/>
  <c r="BZ62" i="9" s="1"/>
  <c r="CB195" i="1"/>
  <c r="CB192" i="1"/>
  <c r="AS120" i="9"/>
  <c r="AS6" i="9"/>
  <c r="AS11" i="9" s="1"/>
  <c r="AS84" i="9"/>
  <c r="AS121" i="9"/>
  <c r="AS85" i="9"/>
  <c r="AS87" i="9" s="1"/>
  <c r="AS122" i="9"/>
  <c r="CB8" i="1"/>
  <c r="CB10" i="1"/>
  <c r="CB11" i="1"/>
  <c r="CB27" i="9" s="1"/>
  <c r="CB12" i="1"/>
  <c r="BB3" i="11"/>
  <c r="BB3" i="13"/>
  <c r="CC190" i="1"/>
  <c r="CC115" i="1"/>
  <c r="CC16" i="9" s="1"/>
  <c r="CD52" i="1"/>
  <c r="BF1091" i="1"/>
  <c r="BE1092" i="1"/>
  <c r="BE1269" i="1" s="1"/>
  <c r="AX495" i="1"/>
  <c r="AX1259" i="1"/>
  <c r="AX1267" i="1"/>
  <c r="AY1275" i="1"/>
  <c r="AW1267" i="1"/>
  <c r="AZ1267" i="1"/>
  <c r="CC9" i="1"/>
  <c r="CC158" i="1"/>
  <c r="CC156" i="1"/>
  <c r="CC159" i="1" s="1"/>
  <c r="AX937" i="1"/>
  <c r="AX938" i="1"/>
  <c r="AX934" i="1"/>
  <c r="CA33" i="1"/>
  <c r="CA20" i="9" s="1"/>
  <c r="CA31" i="1"/>
  <c r="AS999" i="1"/>
  <c r="AS1009" i="1"/>
  <c r="AS1000" i="1" s="1"/>
  <c r="AS976" i="1" s="1"/>
  <c r="BC1" i="9"/>
  <c r="BC1397" i="1"/>
  <c r="BC922" i="1"/>
  <c r="BD922" i="1" s="1"/>
  <c r="BC914" i="1"/>
  <c r="BC905" i="1"/>
  <c r="BD905" i="1" s="1"/>
  <c r="BC913" i="1"/>
  <c r="BD913" i="1" s="1"/>
  <c r="BC904" i="1"/>
  <c r="BD904" i="1" s="1"/>
  <c r="BC850" i="1"/>
  <c r="BC851" i="1" s="1"/>
  <c r="BC866" i="1" s="1"/>
  <c r="BC920" i="1"/>
  <c r="BC919" i="1"/>
  <c r="BD919" i="1" s="1"/>
  <c r="BC909" i="1"/>
  <c r="BD909" i="1" s="1"/>
  <c r="BC910" i="1"/>
  <c r="BC911" i="1" s="1"/>
  <c r="BC906" i="1"/>
  <c r="BC907" i="1" s="1"/>
  <c r="BC916" i="1"/>
  <c r="BD916" i="1" s="1"/>
  <c r="BC917" i="1"/>
  <c r="BC918" i="1" s="1"/>
  <c r="BC908" i="1"/>
  <c r="BD908" i="1" s="1"/>
  <c r="BC912" i="1"/>
  <c r="BD912" i="1" s="1"/>
  <c r="BC515" i="1"/>
  <c r="BC3" i="1"/>
  <c r="BD4" i="1"/>
  <c r="BC4" i="11"/>
  <c r="BC4" i="13"/>
  <c r="BZ1106" i="1"/>
  <c r="BZ1247" i="1" s="1"/>
  <c r="BZ410" i="1"/>
  <c r="CA212" i="1"/>
  <c r="CA233" i="1"/>
  <c r="CA223" i="1"/>
  <c r="CA228" i="1"/>
  <c r="BZ606" i="1"/>
  <c r="BZ603" i="1"/>
  <c r="BZ600" i="1"/>
  <c r="N233" i="10"/>
  <c r="CC175" i="1" l="1"/>
  <c r="Q233" i="10"/>
  <c r="P233" i="10"/>
  <c r="BC915" i="1"/>
  <c r="BD914" i="1"/>
  <c r="BD915" i="1" s="1"/>
  <c r="AT14" i="13"/>
  <c r="AT1781" i="13" s="1"/>
  <c r="AT999" i="1"/>
  <c r="AT1009" i="1"/>
  <c r="AT1014" i="1"/>
  <c r="AT6" i="9"/>
  <c r="AT120" i="9"/>
  <c r="AT84" i="9"/>
  <c r="AT129" i="9" s="1"/>
  <c r="AT121" i="9"/>
  <c r="AT85" i="9"/>
  <c r="AT87" i="9" s="1"/>
  <c r="AT122" i="9"/>
  <c r="CA1116" i="1"/>
  <c r="CE119" i="1"/>
  <c r="CE166" i="1" s="1"/>
  <c r="CA607" i="1"/>
  <c r="CA604" i="1"/>
  <c r="CA599" i="1"/>
  <c r="BC3" i="13"/>
  <c r="BC3" i="11"/>
  <c r="AX797" i="1"/>
  <c r="AX806" i="1"/>
  <c r="AX807" i="1" s="1"/>
  <c r="AX996" i="1" s="1"/>
  <c r="AX47" i="9"/>
  <c r="AX497" i="1"/>
  <c r="AX505" i="1"/>
  <c r="AX500" i="1"/>
  <c r="AX1260" i="1"/>
  <c r="CD126" i="1"/>
  <c r="CD133" i="1"/>
  <c r="CA471" i="1"/>
  <c r="CA234" i="1"/>
  <c r="CE79" i="1"/>
  <c r="CE164" i="1" s="1"/>
  <c r="CE80" i="1"/>
  <c r="BD1397" i="1"/>
  <c r="BD1" i="9"/>
  <c r="BD515" i="1"/>
  <c r="BD3" i="1"/>
  <c r="BE4" i="1"/>
  <c r="BD4" i="11"/>
  <c r="BD4" i="13"/>
  <c r="CB183" i="1"/>
  <c r="CB21" i="1"/>
  <c r="CB194" i="1"/>
  <c r="CD56" i="1"/>
  <c r="CE50" i="1"/>
  <c r="CD146" i="1"/>
  <c r="CD174" i="1"/>
  <c r="CD172" i="1"/>
  <c r="CA229" i="1"/>
  <c r="CA470" i="1"/>
  <c r="BC1367" i="1"/>
  <c r="AU806" i="1"/>
  <c r="AU807" i="1"/>
  <c r="AU996" i="1" s="1"/>
  <c r="AU997" i="1" s="1"/>
  <c r="BD910" i="1"/>
  <c r="BD911" i="1" s="1"/>
  <c r="CD148" i="1"/>
  <c r="CE98" i="1"/>
  <c r="CD104" i="1"/>
  <c r="CA478" i="1"/>
  <c r="BD906" i="1"/>
  <c r="BD907" i="1" s="1"/>
  <c r="CD93" i="1"/>
  <c r="CD86" i="1"/>
  <c r="BC921" i="1"/>
  <c r="BD920" i="1"/>
  <c r="BD921" i="1" s="1"/>
  <c r="CA1117" i="1"/>
  <c r="CA469" i="1"/>
  <c r="CA224" i="1"/>
  <c r="AS975" i="1"/>
  <c r="AS973" i="1"/>
  <c r="CD7" i="1"/>
  <c r="CC11" i="1"/>
  <c r="CC27" i="9" s="1"/>
  <c r="CC8" i="1"/>
  <c r="BG1091" i="1"/>
  <c r="BF1092" i="1"/>
  <c r="BF1269" i="1" s="1"/>
  <c r="BD917" i="1"/>
  <c r="BD918" i="1" s="1"/>
  <c r="CB13" i="1"/>
  <c r="CB14" i="1"/>
  <c r="CC12" i="1"/>
  <c r="CC14" i="1" s="1"/>
  <c r="CC195" i="1"/>
  <c r="CC192" i="1"/>
  <c r="CD173" i="1"/>
  <c r="CD175" i="1" l="1"/>
  <c r="CE99" i="1"/>
  <c r="CE165" i="1" s="1"/>
  <c r="CA36" i="9"/>
  <c r="CA402" i="1"/>
  <c r="CA61" i="9" s="1"/>
  <c r="AZ953" i="1"/>
  <c r="BB889" i="1"/>
  <c r="BB890" i="1" s="1"/>
  <c r="BB881" i="1"/>
  <c r="AZ879" i="1"/>
  <c r="BB873" i="1"/>
  <c r="BA891" i="1"/>
  <c r="BB888" i="1"/>
  <c r="AZ886" i="1"/>
  <c r="BA883" i="1"/>
  <c r="BA884" i="1" s="1"/>
  <c r="AZ878" i="1"/>
  <c r="BA875" i="1"/>
  <c r="BA876" i="1" s="1"/>
  <c r="BA953" i="1"/>
  <c r="AZ891" i="1"/>
  <c r="BA889" i="1"/>
  <c r="BA890" i="1" s="1"/>
  <c r="BA888" i="1"/>
  <c r="BB886" i="1"/>
  <c r="BB887" i="1" s="1"/>
  <c r="BB885" i="1"/>
  <c r="AZ872" i="1"/>
  <c r="BD872" i="1" s="1"/>
  <c r="AZ889" i="1"/>
  <c r="AZ888" i="1"/>
  <c r="BA886" i="1"/>
  <c r="BA887" i="1" s="1"/>
  <c r="BA885" i="1"/>
  <c r="BB883" i="1"/>
  <c r="BB884" i="1" s="1"/>
  <c r="BB882" i="1"/>
  <c r="AZ885" i="1"/>
  <c r="AZ883" i="1"/>
  <c r="BA882" i="1"/>
  <c r="BA881" i="1"/>
  <c r="BB879" i="1"/>
  <c r="BB880" i="1" s="1"/>
  <c r="BB878" i="1"/>
  <c r="BB877" i="1"/>
  <c r="AZ882" i="1"/>
  <c r="AZ881" i="1"/>
  <c r="BA879" i="1"/>
  <c r="BA880" i="1" s="1"/>
  <c r="BA878" i="1"/>
  <c r="BA877" i="1"/>
  <c r="BB953" i="1"/>
  <c r="BB891" i="1"/>
  <c r="BC888" i="1"/>
  <c r="AZ875" i="1"/>
  <c r="BA873" i="1"/>
  <c r="AZ873" i="1"/>
  <c r="BC953" i="1"/>
  <c r="AZ877" i="1"/>
  <c r="BB874" i="1"/>
  <c r="BA874" i="1"/>
  <c r="AZ874" i="1"/>
  <c r="BD874" i="1" s="1"/>
  <c r="BC873" i="1"/>
  <c r="BB875" i="1"/>
  <c r="BB876" i="1" s="1"/>
  <c r="AZ760" i="1"/>
  <c r="BC891" i="1"/>
  <c r="BC484" i="1"/>
  <c r="BC874" i="1"/>
  <c r="BB760" i="1"/>
  <c r="BC886" i="1"/>
  <c r="BC887" i="1" s="1"/>
  <c r="BA760" i="1"/>
  <c r="BC885" i="1"/>
  <c r="BC878" i="1"/>
  <c r="BB1180" i="1"/>
  <c r="BC882" i="1"/>
  <c r="BC889" i="1"/>
  <c r="BC890" i="1" s="1"/>
  <c r="BC879" i="1"/>
  <c r="BC880" i="1" s="1"/>
  <c r="BC881" i="1"/>
  <c r="BC877" i="1"/>
  <c r="BC883" i="1"/>
  <c r="BC884" i="1" s="1"/>
  <c r="BC875" i="1"/>
  <c r="BC876" i="1" s="1"/>
  <c r="BB758" i="1"/>
  <c r="BC1179" i="1"/>
  <c r="AZ1179" i="1"/>
  <c r="BA1179" i="1"/>
  <c r="BC758" i="1"/>
  <c r="BB1179" i="1"/>
  <c r="AZ758" i="1"/>
  <c r="BA758" i="1"/>
  <c r="BB762" i="1"/>
  <c r="BA1180" i="1"/>
  <c r="BC1180" i="1"/>
  <c r="AZ762" i="1"/>
  <c r="AZ1180" i="1"/>
  <c r="BA762" i="1"/>
  <c r="BD3" i="11"/>
  <c r="BD3" i="13"/>
  <c r="AZ869" i="1"/>
  <c r="AZ1181" i="1"/>
  <c r="AZ949" i="1"/>
  <c r="AZ868" i="1"/>
  <c r="AZ1182" i="1"/>
  <c r="BA949" i="1"/>
  <c r="BA869" i="1"/>
  <c r="BA901" i="1" s="1"/>
  <c r="BA1182" i="1"/>
  <c r="BA868" i="1"/>
  <c r="BA900" i="1" s="1"/>
  <c r="BA1181" i="1"/>
  <c r="BB869" i="1"/>
  <c r="BB1181" i="1"/>
  <c r="BB868" i="1"/>
  <c r="BB900" i="1" s="1"/>
  <c r="BB926" i="1" s="1"/>
  <c r="BB928" i="1" s="1"/>
  <c r="BB802" i="1" s="1"/>
  <c r="BB1182" i="1"/>
  <c r="BB949" i="1"/>
  <c r="CB462" i="1"/>
  <c r="CB209" i="1"/>
  <c r="CB205" i="1"/>
  <c r="CB203" i="1"/>
  <c r="CB201" i="1"/>
  <c r="CB200" i="1"/>
  <c r="CB202" i="1"/>
  <c r="AX56" i="9"/>
  <c r="AX507" i="1"/>
  <c r="AX57" i="9" s="1"/>
  <c r="AX88" i="9" s="1"/>
  <c r="AY1276" i="1"/>
  <c r="BC1182" i="1"/>
  <c r="CB204" i="1"/>
  <c r="CA37" i="9"/>
  <c r="CA403" i="1"/>
  <c r="CA62" i="9" s="1"/>
  <c r="BC1181" i="1"/>
  <c r="CE120" i="1"/>
  <c r="AT11" i="9"/>
  <c r="AT130" i="9"/>
  <c r="CD189" i="1"/>
  <c r="CD95" i="1"/>
  <c r="CD15" i="9" s="1"/>
  <c r="AU968" i="1"/>
  <c r="AU964" i="1"/>
  <c r="CB23" i="1"/>
  <c r="CB18" i="9" s="1"/>
  <c r="CB22" i="1"/>
  <c r="CB28" i="1"/>
  <c r="CD191" i="1"/>
  <c r="CD135" i="1"/>
  <c r="CD17" i="9" s="1"/>
  <c r="AX49" i="9"/>
  <c r="AX526" i="1"/>
  <c r="AX506" i="1"/>
  <c r="BC868" i="1"/>
  <c r="BC900" i="1" s="1"/>
  <c r="CC21" i="1"/>
  <c r="CC194" i="1"/>
  <c r="CC204" i="1" s="1"/>
  <c r="BH1091" i="1"/>
  <c r="BG1092" i="1"/>
  <c r="BG1269" i="1" s="1"/>
  <c r="CA38" i="9"/>
  <c r="CA63" i="9" s="1"/>
  <c r="CA398" i="1"/>
  <c r="CB16" i="1"/>
  <c r="CC183" i="1"/>
  <c r="CC16" i="1" s="1"/>
  <c r="CC19" i="1" s="1"/>
  <c r="CC31" i="9" s="1"/>
  <c r="BD1367" i="1"/>
  <c r="AX138" i="9"/>
  <c r="AX103" i="9"/>
  <c r="BC869" i="1"/>
  <c r="BC901" i="1" s="1"/>
  <c r="AW997" i="1"/>
  <c r="CD150" i="1"/>
  <c r="CD155" i="1" s="1"/>
  <c r="AV997" i="1"/>
  <c r="AX997" i="1"/>
  <c r="AT1012" i="1"/>
  <c r="AT1000" i="1"/>
  <c r="AT976" i="1" s="1"/>
  <c r="AT1015" i="1"/>
  <c r="CA1106" i="1"/>
  <c r="CA410" i="1"/>
  <c r="CE51" i="1"/>
  <c r="CE163" i="1" s="1"/>
  <c r="CE147" i="1"/>
  <c r="CF78" i="1"/>
  <c r="CE84" i="1"/>
  <c r="CA606" i="1"/>
  <c r="CA603" i="1"/>
  <c r="CA600" i="1"/>
  <c r="AT975" i="1"/>
  <c r="AT973" i="1"/>
  <c r="CD113" i="1"/>
  <c r="CD106" i="1"/>
  <c r="CD58" i="1"/>
  <c r="CD73" i="1"/>
  <c r="BE1" i="9"/>
  <c r="BE1397" i="1"/>
  <c r="BE916" i="1"/>
  <c r="BE908" i="1"/>
  <c r="BE922" i="1"/>
  <c r="BE920" i="1"/>
  <c r="BE919" i="1"/>
  <c r="BE917" i="1"/>
  <c r="BE914" i="1"/>
  <c r="BE913" i="1"/>
  <c r="BE912" i="1"/>
  <c r="BE906" i="1"/>
  <c r="BE905" i="1"/>
  <c r="BE904" i="1"/>
  <c r="BE910" i="1"/>
  <c r="BE909" i="1"/>
  <c r="BE515" i="1"/>
  <c r="BE3" i="1"/>
  <c r="BF4" i="1"/>
  <c r="BE4" i="11"/>
  <c r="BE4" i="13"/>
  <c r="N234" i="10"/>
  <c r="CB206" i="1" l="1"/>
  <c r="BA926" i="1"/>
  <c r="BA928" i="1" s="1"/>
  <c r="BA802" i="1" s="1"/>
  <c r="BD881" i="1"/>
  <c r="BD882" i="1"/>
  <c r="CE100" i="1"/>
  <c r="BC926" i="1"/>
  <c r="P234" i="10"/>
  <c r="Q234" i="10"/>
  <c r="BB957" i="1"/>
  <c r="BB958" i="1" s="1"/>
  <c r="BB932" i="1" s="1"/>
  <c r="BB950" i="1"/>
  <c r="BB942" i="1" s="1"/>
  <c r="BB943" i="1" s="1"/>
  <c r="BE918" i="1"/>
  <c r="BE911" i="1"/>
  <c r="CB31" i="1"/>
  <c r="CB33" i="1"/>
  <c r="CB20" i="9" s="1"/>
  <c r="BD868" i="1"/>
  <c r="BD900" i="1" s="1"/>
  <c r="AZ900" i="1"/>
  <c r="BB896" i="1"/>
  <c r="BB795" i="1" s="1"/>
  <c r="BB797" i="1" s="1"/>
  <c r="BA896" i="1"/>
  <c r="BA795" i="1" s="1"/>
  <c r="BA797" i="1" s="1"/>
  <c r="BE921" i="1"/>
  <c r="CA1247" i="1"/>
  <c r="AW968" i="1"/>
  <c r="AW964" i="1"/>
  <c r="CE124" i="1"/>
  <c r="CF118" i="1"/>
  <c r="CE149" i="1"/>
  <c r="CB212" i="1"/>
  <c r="CC212" i="1" s="1"/>
  <c r="CB228" i="1"/>
  <c r="CB223" i="1"/>
  <c r="CB233" i="1"/>
  <c r="CC209" i="1"/>
  <c r="AZ957" i="1"/>
  <c r="AZ958" i="1" s="1"/>
  <c r="AZ932" i="1" s="1"/>
  <c r="AZ950" i="1"/>
  <c r="AZ942" i="1" s="1"/>
  <c r="AZ943" i="1" s="1"/>
  <c r="BC949" i="1"/>
  <c r="BB954" i="1"/>
  <c r="BB955" i="1"/>
  <c r="BD891" i="1"/>
  <c r="BE915" i="1"/>
  <c r="CE52" i="1"/>
  <c r="CC23" i="1"/>
  <c r="CC18" i="9" s="1"/>
  <c r="CC28" i="1"/>
  <c r="CC33" i="1" s="1"/>
  <c r="CC20" i="9" s="1"/>
  <c r="BA957" i="1"/>
  <c r="BA958" i="1" s="1"/>
  <c r="BA932" i="1" s="1"/>
  <c r="BA950" i="1"/>
  <c r="BA942" i="1" s="1"/>
  <c r="BA943" i="1" s="1"/>
  <c r="AZ887" i="1"/>
  <c r="BD886" i="1"/>
  <c r="BD887" i="1" s="1"/>
  <c r="BC759" i="1"/>
  <c r="BC40" i="9"/>
  <c r="BC42" i="9" s="1"/>
  <c r="BC487" i="1"/>
  <c r="BD877" i="1"/>
  <c r="BD888" i="1"/>
  <c r="BA955" i="1"/>
  <c r="BA954" i="1"/>
  <c r="BD879" i="1"/>
  <c r="BD880" i="1" s="1"/>
  <c r="AZ880" i="1"/>
  <c r="CF98" i="1"/>
  <c r="CE148" i="1"/>
  <c r="CE104" i="1"/>
  <c r="BE3" i="13"/>
  <c r="BE3" i="11"/>
  <c r="BD885" i="1"/>
  <c r="AZ955" i="1"/>
  <c r="AZ954" i="1"/>
  <c r="CD9" i="1"/>
  <c r="CD158" i="1"/>
  <c r="CD156" i="1"/>
  <c r="CB19" i="1"/>
  <c r="CB31" i="9" s="1"/>
  <c r="CB17" i="1"/>
  <c r="CB29" i="9" s="1"/>
  <c r="AT128" i="9"/>
  <c r="AT131" i="9"/>
  <c r="CE86" i="1"/>
  <c r="CE93" i="1"/>
  <c r="CB34" i="9"/>
  <c r="CB1227" i="1"/>
  <c r="CB1206" i="1"/>
  <c r="CB1233" i="1"/>
  <c r="CB598" i="1"/>
  <c r="CB737" i="1"/>
  <c r="CC462" i="1"/>
  <c r="BE907" i="1"/>
  <c r="CD115" i="1"/>
  <c r="CD16" i="9" s="1"/>
  <c r="CD190" i="1"/>
  <c r="CF79" i="1"/>
  <c r="CF164" i="1" s="1"/>
  <c r="AX104" i="9"/>
  <c r="BA104" i="9"/>
  <c r="AZ104" i="9"/>
  <c r="BB104" i="9"/>
  <c r="AX50" i="9"/>
  <c r="AX137" i="9"/>
  <c r="AX98" i="9"/>
  <c r="CB1264" i="1"/>
  <c r="AZ901" i="1"/>
  <c r="BD869" i="1"/>
  <c r="BD901" i="1" s="1"/>
  <c r="BC896" i="1"/>
  <c r="BC795" i="1" s="1"/>
  <c r="BC955" i="1"/>
  <c r="BC954" i="1"/>
  <c r="AZ890" i="1"/>
  <c r="BD889" i="1"/>
  <c r="BD890" i="1" s="1"/>
  <c r="CE167" i="1"/>
  <c r="CE171" i="1" s="1"/>
  <c r="AX968" i="1"/>
  <c r="AX964" i="1"/>
  <c r="CC205" i="1"/>
  <c r="CC206" i="1" s="1"/>
  <c r="CC201" i="1"/>
  <c r="CC203" i="1"/>
  <c r="CC202" i="1"/>
  <c r="CC200" i="1"/>
  <c r="BA806" i="1"/>
  <c r="BA807" i="1" s="1"/>
  <c r="BA996" i="1" s="1"/>
  <c r="BE1367" i="1"/>
  <c r="AV968" i="1"/>
  <c r="AV964" i="1"/>
  <c r="BD875" i="1"/>
  <c r="BD876" i="1" s="1"/>
  <c r="AZ876" i="1"/>
  <c r="CD188" i="1"/>
  <c r="CD75" i="1"/>
  <c r="CD14" i="9" s="1"/>
  <c r="BF1" i="9"/>
  <c r="BF1397" i="1"/>
  <c r="BF913" i="1"/>
  <c r="BF904" i="1"/>
  <c r="BF920" i="1"/>
  <c r="BF921" i="1" s="1"/>
  <c r="BF912" i="1"/>
  <c r="BF906" i="1"/>
  <c r="BF907" i="1" s="1"/>
  <c r="BF922" i="1"/>
  <c r="BF919" i="1"/>
  <c r="BF917" i="1"/>
  <c r="BF918" i="1" s="1"/>
  <c r="BF916" i="1"/>
  <c r="BF914" i="1"/>
  <c r="BF915" i="1" s="1"/>
  <c r="BF905" i="1"/>
  <c r="BF910" i="1"/>
  <c r="BF911" i="1" s="1"/>
  <c r="BF909" i="1"/>
  <c r="BF908" i="1"/>
  <c r="BF515" i="1"/>
  <c r="BG4" i="1"/>
  <c r="BF3" i="1"/>
  <c r="BF1367" i="1" s="1"/>
  <c r="BF4" i="13"/>
  <c r="BF4" i="11"/>
  <c r="BI1091" i="1"/>
  <c r="BI1092" i="1" s="1"/>
  <c r="BH1092" i="1"/>
  <c r="BH1269" i="1" s="1"/>
  <c r="AX527" i="1"/>
  <c r="AY526" i="1"/>
  <c r="AX529" i="1"/>
  <c r="CD157" i="1"/>
  <c r="BD873" i="1"/>
  <c r="BD883" i="1"/>
  <c r="BD884" i="1" s="1"/>
  <c r="AZ884" i="1"/>
  <c r="AZ896" i="1" s="1"/>
  <c r="AZ795" i="1" s="1"/>
  <c r="AZ797" i="1" s="1"/>
  <c r="BD878" i="1"/>
  <c r="CD159" i="1" l="1"/>
  <c r="AZ926" i="1"/>
  <c r="AZ928" i="1" s="1"/>
  <c r="AZ802" i="1" s="1"/>
  <c r="CF80" i="1"/>
  <c r="CC214" i="1"/>
  <c r="CD214" i="1" s="1"/>
  <c r="CE214" i="1" s="1"/>
  <c r="CF214" i="1" s="1"/>
  <c r="CB1117" i="1"/>
  <c r="CC1117" i="1" s="1"/>
  <c r="CC1227" i="1"/>
  <c r="CF147" i="1"/>
  <c r="CF84" i="1"/>
  <c r="BC760" i="1"/>
  <c r="BC761" i="1"/>
  <c r="AX5" i="9"/>
  <c r="AX1008" i="1"/>
  <c r="CC1264" i="1"/>
  <c r="AX99" i="9"/>
  <c r="AX102" i="9" s="1"/>
  <c r="BB99" i="9"/>
  <c r="BB102" i="9" s="1"/>
  <c r="BA99" i="9"/>
  <c r="BA102" i="9" s="1"/>
  <c r="AZ99" i="9"/>
  <c r="AZ102" i="9" s="1"/>
  <c r="CD8" i="1"/>
  <c r="CD12" i="1"/>
  <c r="CD14" i="1" s="1"/>
  <c r="CD11" i="1"/>
  <c r="CD27" i="9" s="1"/>
  <c r="CE7" i="1"/>
  <c r="CE56" i="1"/>
  <c r="CF50" i="1"/>
  <c r="CE146" i="1"/>
  <c r="BC950" i="1"/>
  <c r="BC942" i="1" s="1"/>
  <c r="BC943" i="1" s="1"/>
  <c r="BC947" i="1"/>
  <c r="BC957" i="1"/>
  <c r="BC958" i="1" s="1"/>
  <c r="BC932" i="1" s="1"/>
  <c r="AZ111" i="9"/>
  <c r="AZ107" i="9"/>
  <c r="CE113" i="1"/>
  <c r="CE106" i="1"/>
  <c r="AX111" i="9"/>
  <c r="AX107" i="9"/>
  <c r="CD192" i="1"/>
  <c r="CD195" i="1"/>
  <c r="CB604" i="1"/>
  <c r="CB599" i="1"/>
  <c r="CB607" i="1"/>
  <c r="BD896" i="1"/>
  <c r="BD795" i="1" s="1"/>
  <c r="BD797" i="1" s="1"/>
  <c r="CC34" i="9"/>
  <c r="CC598" i="1"/>
  <c r="CE189" i="1"/>
  <c r="CE95" i="1"/>
  <c r="CE15" i="9" s="1"/>
  <c r="CB478" i="1"/>
  <c r="CC737" i="1"/>
  <c r="CC738" i="1" s="1"/>
  <c r="AY527" i="1"/>
  <c r="AY529" i="1"/>
  <c r="CC1233" i="1"/>
  <c r="CC1190" i="1" s="1"/>
  <c r="CB1119" i="1"/>
  <c r="CC1119" i="1" s="1"/>
  <c r="AZ937" i="1"/>
  <c r="AZ938" i="1"/>
  <c r="AZ934" i="1"/>
  <c r="CF119" i="1"/>
  <c r="CF166" i="1" s="1"/>
  <c r="CF120" i="1"/>
  <c r="BJ1091" i="1"/>
  <c r="BI1269" i="1"/>
  <c r="AZ806" i="1"/>
  <c r="AZ807" i="1" s="1"/>
  <c r="AZ996" i="1" s="1"/>
  <c r="AZ997" i="1" s="1"/>
  <c r="BA937" i="1"/>
  <c r="BA938" i="1"/>
  <c r="BA934" i="1"/>
  <c r="CB471" i="1"/>
  <c r="CB234" i="1"/>
  <c r="CC233" i="1"/>
  <c r="BA111" i="9"/>
  <c r="BA107" i="9"/>
  <c r="BC491" i="1"/>
  <c r="BC503" i="1"/>
  <c r="BC502" i="1"/>
  <c r="BC804" i="1"/>
  <c r="CB469" i="1"/>
  <c r="CB224" i="1"/>
  <c r="CC223" i="1"/>
  <c r="CF99" i="1"/>
  <c r="CF165" i="1" s="1"/>
  <c r="CB229" i="1"/>
  <c r="CB470" i="1"/>
  <c r="CC228" i="1"/>
  <c r="BB937" i="1"/>
  <c r="BB938" i="1"/>
  <c r="BB934" i="1"/>
  <c r="BF3" i="11"/>
  <c r="BF3" i="13"/>
  <c r="BB806" i="1"/>
  <c r="BB807" i="1" s="1"/>
  <c r="BB996" i="1" s="1"/>
  <c r="BG1" i="9"/>
  <c r="BG1397" i="1"/>
  <c r="BG910" i="1"/>
  <c r="BG911" i="1" s="1"/>
  <c r="BG917" i="1"/>
  <c r="BG918" i="1" s="1"/>
  <c r="BG909" i="1"/>
  <c r="BG920" i="1"/>
  <c r="BG921" i="1" s="1"/>
  <c r="BG919" i="1"/>
  <c r="BG916" i="1"/>
  <c r="BG914" i="1"/>
  <c r="BG915" i="1" s="1"/>
  <c r="BG905" i="1"/>
  <c r="BG913" i="1"/>
  <c r="BG912" i="1"/>
  <c r="BG906" i="1"/>
  <c r="BG904" i="1"/>
  <c r="BG908" i="1"/>
  <c r="BG515" i="1"/>
  <c r="BG922" i="1"/>
  <c r="BH4" i="1"/>
  <c r="BG3" i="1"/>
  <c r="BG4" i="13"/>
  <c r="BG4" i="11"/>
  <c r="CE174" i="1"/>
  <c r="CE172" i="1"/>
  <c r="BD926" i="1"/>
  <c r="BD927" i="1" s="1"/>
  <c r="BC927" i="1" s="1"/>
  <c r="BC928" i="1" s="1"/>
  <c r="BC802" i="1" s="1"/>
  <c r="BB107" i="9"/>
  <c r="BB111" i="9"/>
  <c r="CC1206" i="1"/>
  <c r="CB1116" i="1"/>
  <c r="CE173" i="1"/>
  <c r="CE126" i="1"/>
  <c r="CE133" i="1"/>
  <c r="CC215" i="1" l="1"/>
  <c r="BB997" i="1"/>
  <c r="CE175" i="1"/>
  <c r="CC229" i="1"/>
  <c r="CC230" i="1"/>
  <c r="CC599" i="1"/>
  <c r="CB625" i="1"/>
  <c r="BZ625" i="1"/>
  <c r="BY625" i="1"/>
  <c r="CC607" i="1"/>
  <c r="CC625" i="1"/>
  <c r="CA625" i="1"/>
  <c r="CD21" i="1"/>
  <c r="CD183" i="1"/>
  <c r="CD16" i="1" s="1"/>
  <c r="CD19" i="1" s="1"/>
  <c r="CD31" i="9" s="1"/>
  <c r="CD194" i="1"/>
  <c r="CC1188" i="1"/>
  <c r="BG3" i="13"/>
  <c r="BG3" i="11"/>
  <c r="CB36" i="9"/>
  <c r="CB402" i="1"/>
  <c r="CB61" i="9" s="1"/>
  <c r="CC470" i="1"/>
  <c r="BK1091" i="1"/>
  <c r="BJ1092" i="1"/>
  <c r="BJ1269" i="1" s="1"/>
  <c r="CC1194" i="1"/>
  <c r="CD1190" i="1"/>
  <c r="CE1190" i="1" s="1"/>
  <c r="CF1190" i="1" s="1"/>
  <c r="BC937" i="1"/>
  <c r="BC934" i="1"/>
  <c r="BC938" i="1"/>
  <c r="AX14" i="13"/>
  <c r="AX1781" i="13" s="1"/>
  <c r="AX999" i="1"/>
  <c r="AX1009" i="1"/>
  <c r="AX1000" i="1" s="1"/>
  <c r="AX976" i="1" s="1"/>
  <c r="CB1106" i="1"/>
  <c r="CB410" i="1"/>
  <c r="CC478" i="1"/>
  <c r="CC410" i="1" s="1"/>
  <c r="CF51" i="1"/>
  <c r="CF163" i="1" s="1"/>
  <c r="CF52" i="1"/>
  <c r="BC798" i="1"/>
  <c r="BC762" i="1"/>
  <c r="BC764" i="1"/>
  <c r="BG1367" i="1"/>
  <c r="CB37" i="9"/>
  <c r="CB403" i="1"/>
  <c r="CB62" i="9" s="1"/>
  <c r="CC471" i="1"/>
  <c r="AY5" i="9"/>
  <c r="AY1008" i="1"/>
  <c r="AX6" i="9"/>
  <c r="AX11" i="9" s="1"/>
  <c r="AX120" i="9"/>
  <c r="AX84" i="9"/>
  <c r="AX121" i="9"/>
  <c r="AX85" i="9"/>
  <c r="AX87" i="9" s="1"/>
  <c r="AX122" i="9"/>
  <c r="CC1189" i="1"/>
  <c r="AZ968" i="1"/>
  <c r="AZ964" i="1"/>
  <c r="CE115" i="1"/>
  <c r="CE16" i="9" s="1"/>
  <c r="CE190" i="1"/>
  <c r="CC235" i="1"/>
  <c r="CC234" i="1"/>
  <c r="BH1" i="9"/>
  <c r="BH1397" i="1"/>
  <c r="BH922" i="1"/>
  <c r="BI922" i="1" s="1"/>
  <c r="BH914" i="1"/>
  <c r="BH915" i="1" s="1"/>
  <c r="BH905" i="1"/>
  <c r="BI905" i="1" s="1"/>
  <c r="BH917" i="1"/>
  <c r="BH918" i="1" s="1"/>
  <c r="BH916" i="1"/>
  <c r="BI916" i="1" s="1"/>
  <c r="BH913" i="1"/>
  <c r="BI913" i="1" s="1"/>
  <c r="BH912" i="1"/>
  <c r="BI912" i="1" s="1"/>
  <c r="BH906" i="1"/>
  <c r="BH907" i="1" s="1"/>
  <c r="BH904" i="1"/>
  <c r="BI904" i="1" s="1"/>
  <c r="BH910" i="1"/>
  <c r="BH909" i="1"/>
  <c r="BI909" i="1" s="1"/>
  <c r="BH908" i="1"/>
  <c r="BI908" i="1" s="1"/>
  <c r="BH850" i="1"/>
  <c r="BH851" i="1" s="1"/>
  <c r="BH866" i="1" s="1"/>
  <c r="BH919" i="1"/>
  <c r="BI919" i="1" s="1"/>
  <c r="BH920" i="1"/>
  <c r="BH921" i="1" s="1"/>
  <c r="BH515" i="1"/>
  <c r="BI4" i="1"/>
  <c r="BH3" i="1"/>
  <c r="BH4" i="11"/>
  <c r="BH4" i="13"/>
  <c r="BC495" i="1"/>
  <c r="BC1259" i="1"/>
  <c r="BC1267" i="1"/>
  <c r="BE1267" i="1"/>
  <c r="BD1275" i="1"/>
  <c r="BB1267" i="1"/>
  <c r="CF149" i="1"/>
  <c r="CF124" i="1"/>
  <c r="CB606" i="1"/>
  <c r="CB603" i="1"/>
  <c r="CB600" i="1"/>
  <c r="BA997" i="1"/>
  <c r="BB968" i="1"/>
  <c r="BB964" i="1"/>
  <c r="CC224" i="1"/>
  <c r="CC225" i="1"/>
  <c r="CE58" i="1"/>
  <c r="CE73" i="1"/>
  <c r="BG907" i="1"/>
  <c r="BI906" i="1"/>
  <c r="BI907" i="1" s="1"/>
  <c r="CB38" i="9"/>
  <c r="CB63" i="9" s="1"/>
  <c r="CB398" i="1"/>
  <c r="CC469" i="1"/>
  <c r="CF93" i="1"/>
  <c r="CF86" i="1"/>
  <c r="CC1116" i="1"/>
  <c r="CE191" i="1"/>
  <c r="CE135" i="1"/>
  <c r="CE17" i="9" s="1"/>
  <c r="CF100" i="1"/>
  <c r="CE155" i="1"/>
  <c r="CE150" i="1"/>
  <c r="N189" i="10"/>
  <c r="BI920" i="1" l="1"/>
  <c r="BI921" i="1" s="1"/>
  <c r="BI917" i="1"/>
  <c r="BI918" i="1" s="1"/>
  <c r="Q189" i="10"/>
  <c r="P189" i="10"/>
  <c r="BA968" i="1"/>
  <c r="BA964" i="1"/>
  <c r="BH3" i="11"/>
  <c r="BH3" i="13"/>
  <c r="CF167" i="1"/>
  <c r="CC231" i="1"/>
  <c r="CD230" i="1"/>
  <c r="BI1" i="9"/>
  <c r="BI1397" i="1"/>
  <c r="BI515" i="1"/>
  <c r="BJ4" i="1"/>
  <c r="BI3" i="1"/>
  <c r="BH1181" i="1" s="1"/>
  <c r="BI4" i="13"/>
  <c r="BI4" i="11"/>
  <c r="CF95" i="1"/>
  <c r="CF15" i="9" s="1"/>
  <c r="CF189" i="1"/>
  <c r="BI914" i="1"/>
  <c r="BI915" i="1" s="1"/>
  <c r="CD1188" i="1"/>
  <c r="CE1188" i="1" s="1"/>
  <c r="CF1188" i="1" s="1"/>
  <c r="CC1192" i="1"/>
  <c r="BC47" i="9"/>
  <c r="BC505" i="1"/>
  <c r="BC500" i="1"/>
  <c r="BC497" i="1"/>
  <c r="BC1260" i="1"/>
  <c r="CC1106" i="1"/>
  <c r="CB1247" i="1"/>
  <c r="CC36" i="9"/>
  <c r="CC402" i="1"/>
  <c r="CC61" i="9" s="1"/>
  <c r="CC606" i="1"/>
  <c r="CC600" i="1"/>
  <c r="CD1189" i="1"/>
  <c r="CE1189" i="1" s="1"/>
  <c r="CF1189" i="1" s="1"/>
  <c r="CC1193" i="1"/>
  <c r="CC37" i="9"/>
  <c r="CC403" i="1"/>
  <c r="CC62" i="9" s="1"/>
  <c r="CC38" i="9"/>
  <c r="CC63" i="9" s="1"/>
  <c r="CC398" i="1"/>
  <c r="AX973" i="1"/>
  <c r="AX975" i="1"/>
  <c r="CD205" i="1"/>
  <c r="CD462" i="1"/>
  <c r="CD209" i="1"/>
  <c r="CD203" i="1"/>
  <c r="CD201" i="1"/>
  <c r="CD200" i="1"/>
  <c r="CD202" i="1"/>
  <c r="AY6" i="9"/>
  <c r="AY120" i="9"/>
  <c r="AY84" i="9"/>
  <c r="AY129" i="9" s="1"/>
  <c r="AY121" i="9"/>
  <c r="AY85" i="9"/>
  <c r="AY87" i="9" s="1"/>
  <c r="AY122" i="9"/>
  <c r="CF56" i="1"/>
  <c r="CF146" i="1"/>
  <c r="BH911" i="1"/>
  <c r="BI910" i="1"/>
  <c r="BI911" i="1" s="1"/>
  <c r="CD23" i="1"/>
  <c r="CD18" i="9" s="1"/>
  <c r="CD28" i="1"/>
  <c r="CD33" i="1" s="1"/>
  <c r="CD20" i="9" s="1"/>
  <c r="CF104" i="1"/>
  <c r="CF148" i="1"/>
  <c r="CE75" i="1"/>
  <c r="CE14" i="9" s="1"/>
  <c r="CE188" i="1"/>
  <c r="BH1367" i="1"/>
  <c r="CD225" i="1"/>
  <c r="CC226" i="1"/>
  <c r="CF133" i="1"/>
  <c r="CF126" i="1"/>
  <c r="CE9" i="1"/>
  <c r="CE156" i="1"/>
  <c r="CE159" i="1" s="1"/>
  <c r="CE157" i="1"/>
  <c r="CE158" i="1"/>
  <c r="CC236" i="1"/>
  <c r="CD235" i="1"/>
  <c r="AY14" i="13"/>
  <c r="AY1781" i="13" s="1"/>
  <c r="AY999" i="1"/>
  <c r="AY1009" i="1"/>
  <c r="AY1014" i="1"/>
  <c r="BC797" i="1"/>
  <c r="BC806" i="1"/>
  <c r="BC807" i="1" s="1"/>
  <c r="BC996" i="1" s="1"/>
  <c r="BC997" i="1" s="1"/>
  <c r="BL1091" i="1"/>
  <c r="BK1092" i="1"/>
  <c r="BK1269" i="1" s="1"/>
  <c r="CD204" i="1"/>
  <c r="BH869" i="1" l="1"/>
  <c r="BH901" i="1" s="1"/>
  <c r="CD1264" i="1"/>
  <c r="AY11" i="9"/>
  <c r="AY130" i="9"/>
  <c r="BC138" i="9"/>
  <c r="BC103" i="9"/>
  <c r="BE888" i="1"/>
  <c r="BF885" i="1"/>
  <c r="BG882" i="1"/>
  <c r="BF877" i="1"/>
  <c r="BG874" i="1"/>
  <c r="BE953" i="1"/>
  <c r="BG889" i="1"/>
  <c r="BG890" i="1" s="1"/>
  <c r="BG881" i="1"/>
  <c r="BE879" i="1"/>
  <c r="BG873" i="1"/>
  <c r="BE878" i="1"/>
  <c r="BE877" i="1"/>
  <c r="BF875" i="1"/>
  <c r="BF876" i="1" s="1"/>
  <c r="BF874" i="1"/>
  <c r="BF873" i="1"/>
  <c r="BE875" i="1"/>
  <c r="BE874" i="1"/>
  <c r="BI874" i="1" s="1"/>
  <c r="BE873" i="1"/>
  <c r="BI873" i="1" s="1"/>
  <c r="BF760" i="1"/>
  <c r="BG953" i="1"/>
  <c r="BG891" i="1"/>
  <c r="BE883" i="1"/>
  <c r="BE882" i="1"/>
  <c r="BE881" i="1"/>
  <c r="BF879" i="1"/>
  <c r="BF880" i="1" s="1"/>
  <c r="BF878" i="1"/>
  <c r="BG877" i="1"/>
  <c r="BE889" i="1"/>
  <c r="BG885" i="1"/>
  <c r="BG886" i="1"/>
  <c r="BG887" i="1" s="1"/>
  <c r="BE885" i="1"/>
  <c r="BF881" i="1"/>
  <c r="BH877" i="1"/>
  <c r="BF886" i="1"/>
  <c r="BF887" i="1" s="1"/>
  <c r="BH882" i="1"/>
  <c r="BH875" i="1"/>
  <c r="BH876" i="1" s="1"/>
  <c r="BF891" i="1"/>
  <c r="BE886" i="1"/>
  <c r="BF882" i="1"/>
  <c r="BG878" i="1"/>
  <c r="BG875" i="1"/>
  <c r="BG876" i="1" s="1"/>
  <c r="BE891" i="1"/>
  <c r="BG883" i="1"/>
  <c r="BG884" i="1" s="1"/>
  <c r="BF883" i="1"/>
  <c r="BF884" i="1" s="1"/>
  <c r="BF889" i="1"/>
  <c r="BF890" i="1" s="1"/>
  <c r="BH873" i="1"/>
  <c r="BH484" i="1"/>
  <c r="BG888" i="1"/>
  <c r="BG879" i="1"/>
  <c r="BG880" i="1" s="1"/>
  <c r="BF888" i="1"/>
  <c r="BH885" i="1"/>
  <c r="BF953" i="1"/>
  <c r="BH874" i="1"/>
  <c r="BG1180" i="1"/>
  <c r="BH888" i="1"/>
  <c r="BH878" i="1"/>
  <c r="BH881" i="1"/>
  <c r="BH889" i="1"/>
  <c r="BH890" i="1" s="1"/>
  <c r="BH953" i="1"/>
  <c r="BH879" i="1"/>
  <c r="BH880" i="1" s="1"/>
  <c r="BH886" i="1"/>
  <c r="BH887" i="1" s="1"/>
  <c r="BH891" i="1"/>
  <c r="BE760" i="1"/>
  <c r="BH883" i="1"/>
  <c r="BH884" i="1" s="1"/>
  <c r="BG760" i="1"/>
  <c r="BE1179" i="1"/>
  <c r="BF1180" i="1"/>
  <c r="BH1179" i="1"/>
  <c r="BF758" i="1"/>
  <c r="BG1179" i="1"/>
  <c r="BE1180" i="1"/>
  <c r="BG758" i="1"/>
  <c r="BE758" i="1"/>
  <c r="BH758" i="1"/>
  <c r="BF1179" i="1"/>
  <c r="BG762" i="1"/>
  <c r="BE762" i="1"/>
  <c r="BH1180" i="1"/>
  <c r="BF762" i="1"/>
  <c r="BI3" i="11"/>
  <c r="BI3" i="13"/>
  <c r="BE869" i="1"/>
  <c r="BE868" i="1"/>
  <c r="BE949" i="1"/>
  <c r="BE1182" i="1"/>
  <c r="BE1181" i="1"/>
  <c r="BF868" i="1"/>
  <c r="BF900" i="1" s="1"/>
  <c r="BF949" i="1"/>
  <c r="BF1182" i="1"/>
  <c r="BF869" i="1"/>
  <c r="BF901" i="1" s="1"/>
  <c r="BF926" i="1" s="1"/>
  <c r="BF928" i="1" s="1"/>
  <c r="BF802" i="1" s="1"/>
  <c r="BF1181" i="1"/>
  <c r="BG1182" i="1"/>
  <c r="BG949" i="1"/>
  <c r="BG1181" i="1"/>
  <c r="BG868" i="1"/>
  <c r="BG900" i="1" s="1"/>
  <c r="BG869" i="1"/>
  <c r="BG901" i="1" s="1"/>
  <c r="BG926" i="1" s="1"/>
  <c r="BG928" i="1" s="1"/>
  <c r="BG802" i="1" s="1"/>
  <c r="CF172" i="1"/>
  <c r="CF173" i="1"/>
  <c r="CF174" i="1"/>
  <c r="CE195" i="1"/>
  <c r="CE192" i="1"/>
  <c r="CF150" i="1"/>
  <c r="CF155" i="1" s="1"/>
  <c r="BJ1" i="9"/>
  <c r="BJ1397" i="1"/>
  <c r="BJ917" i="1"/>
  <c r="BJ909" i="1"/>
  <c r="BJ916" i="1"/>
  <c r="BJ908" i="1"/>
  <c r="BJ912" i="1"/>
  <c r="BJ910" i="1"/>
  <c r="BJ906" i="1"/>
  <c r="BJ922" i="1"/>
  <c r="BJ919" i="1"/>
  <c r="BJ920" i="1"/>
  <c r="BJ904" i="1"/>
  <c r="BJ914" i="1"/>
  <c r="BJ515" i="1"/>
  <c r="BJ913" i="1"/>
  <c r="BJ905" i="1"/>
  <c r="BJ3" i="1"/>
  <c r="BK4" i="1"/>
  <c r="BJ4" i="13"/>
  <c r="BJ4" i="11"/>
  <c r="CF171" i="1"/>
  <c r="AY1000" i="1"/>
  <c r="AY976" i="1" s="1"/>
  <c r="AY1012" i="1"/>
  <c r="AY1015" i="1"/>
  <c r="CE11" i="1"/>
  <c r="CE27" i="9" s="1"/>
  <c r="CF7" i="1"/>
  <c r="CE12" i="1"/>
  <c r="CE14" i="1" s="1"/>
  <c r="CE8" i="1"/>
  <c r="CF58" i="1"/>
  <c r="CF73" i="1"/>
  <c r="CC1247" i="1"/>
  <c r="CD34" i="9"/>
  <c r="CD1227" i="1"/>
  <c r="CD1206" i="1"/>
  <c r="CD1233" i="1"/>
  <c r="CD1119" i="1" s="1"/>
  <c r="CD737" i="1"/>
  <c r="CD478" i="1" s="1"/>
  <c r="CD598" i="1"/>
  <c r="BC56" i="9"/>
  <c r="BC507" i="1"/>
  <c r="BC57" i="9" s="1"/>
  <c r="BC88" i="9" s="1"/>
  <c r="BD1276" i="1"/>
  <c r="CE230" i="1"/>
  <c r="CD228" i="1"/>
  <c r="CE225" i="1"/>
  <c r="CD223" i="1"/>
  <c r="BI1367" i="1"/>
  <c r="BH1182" i="1"/>
  <c r="BM1091" i="1"/>
  <c r="BL1092" i="1"/>
  <c r="BL1269" i="1" s="1"/>
  <c r="BC968" i="1"/>
  <c r="BC964" i="1"/>
  <c r="AY973" i="1"/>
  <c r="AY975" i="1"/>
  <c r="CF157" i="1"/>
  <c r="CD206" i="1"/>
  <c r="CF113" i="1"/>
  <c r="CF106" i="1"/>
  <c r="CE235" i="1"/>
  <c r="CD233" i="1"/>
  <c r="CF191" i="1"/>
  <c r="CF135" i="1"/>
  <c r="CF17" i="9" s="1"/>
  <c r="CD212" i="1"/>
  <c r="BC49" i="9"/>
  <c r="BC506" i="1"/>
  <c r="BC526" i="1"/>
  <c r="BH868" i="1"/>
  <c r="BH900" i="1" s="1"/>
  <c r="BH926" i="1" s="1"/>
  <c r="N190" i="10"/>
  <c r="Q190" i="10" l="1"/>
  <c r="P190" i="10"/>
  <c r="BJ907" i="1"/>
  <c r="BE901" i="1"/>
  <c r="BI869" i="1"/>
  <c r="BI901" i="1" s="1"/>
  <c r="BI891" i="1"/>
  <c r="BJ911" i="1"/>
  <c r="BE880" i="1"/>
  <c r="BI879" i="1"/>
  <c r="BI880" i="1" s="1"/>
  <c r="BF950" i="1"/>
  <c r="BF942" i="1" s="1"/>
  <c r="BF943" i="1" s="1"/>
  <c r="BF957" i="1"/>
  <c r="BF958" i="1" s="1"/>
  <c r="BF932" i="1" s="1"/>
  <c r="BI881" i="1"/>
  <c r="BH759" i="1"/>
  <c r="BH40" i="9"/>
  <c r="BH42" i="9" s="1"/>
  <c r="BH487" i="1"/>
  <c r="BI885" i="1"/>
  <c r="BI882" i="1"/>
  <c r="BC529" i="1"/>
  <c r="BC527" i="1"/>
  <c r="BD526" i="1"/>
  <c r="CF235" i="1"/>
  <c r="CD470" i="1"/>
  <c r="CD229" i="1"/>
  <c r="CE183" i="1"/>
  <c r="CE16" i="1" s="1"/>
  <c r="CE19" i="1" s="1"/>
  <c r="CE31" i="9" s="1"/>
  <c r="CE194" i="1"/>
  <c r="CE21" i="1"/>
  <c r="CE204" i="1"/>
  <c r="BH896" i="1"/>
  <c r="BH795" i="1" s="1"/>
  <c r="BE887" i="1"/>
  <c r="BI886" i="1"/>
  <c r="BI887" i="1" s="1"/>
  <c r="BI883" i="1"/>
  <c r="BI884" i="1" s="1"/>
  <c r="BE884" i="1"/>
  <c r="BE955" i="1"/>
  <c r="BE954" i="1"/>
  <c r="BI888" i="1"/>
  <c r="CD224" i="1"/>
  <c r="CD469" i="1"/>
  <c r="CD625" i="1"/>
  <c r="CD607" i="1"/>
  <c r="CD599" i="1"/>
  <c r="CD600" i="1" s="1"/>
  <c r="CF188" i="1"/>
  <c r="CF75" i="1"/>
  <c r="CF14" i="9" s="1"/>
  <c r="CF9" i="1"/>
  <c r="CF156" i="1"/>
  <c r="CF158" i="1"/>
  <c r="BC104" i="9"/>
  <c r="BG104" i="9"/>
  <c r="BF104" i="9"/>
  <c r="BE104" i="9"/>
  <c r="CD471" i="1"/>
  <c r="CD234" i="1"/>
  <c r="CF225" i="1"/>
  <c r="BJ921" i="1"/>
  <c r="BG957" i="1"/>
  <c r="BG958" i="1" s="1"/>
  <c r="BG932" i="1" s="1"/>
  <c r="BG950" i="1"/>
  <c r="BG942" i="1" s="1"/>
  <c r="BG943" i="1" s="1"/>
  <c r="BF896" i="1"/>
  <c r="BF795" i="1" s="1"/>
  <c r="BF797" i="1" s="1"/>
  <c r="BG896" i="1"/>
  <c r="BG795" i="1" s="1"/>
  <c r="BG797" i="1" s="1"/>
  <c r="AY128" i="9"/>
  <c r="AY131" i="9"/>
  <c r="BF806" i="1"/>
  <c r="BF807" i="1" s="1"/>
  <c r="BF996" i="1" s="1"/>
  <c r="BJ915" i="1"/>
  <c r="CF230" i="1"/>
  <c r="CD1116" i="1"/>
  <c r="BN1091" i="1"/>
  <c r="BN1092" i="1" s="1"/>
  <c r="BM1092" i="1"/>
  <c r="BM1269" i="1" s="1"/>
  <c r="CD1117" i="1"/>
  <c r="BK1397" i="1"/>
  <c r="BK1" i="9"/>
  <c r="BK922" i="1"/>
  <c r="BK914" i="1"/>
  <c r="BK915" i="1" s="1"/>
  <c r="BK905" i="1"/>
  <c r="BK913" i="1"/>
  <c r="BK904" i="1"/>
  <c r="BK909" i="1"/>
  <c r="BK908" i="1"/>
  <c r="BK920" i="1"/>
  <c r="BK921" i="1" s="1"/>
  <c r="BK919" i="1"/>
  <c r="BK916" i="1"/>
  <c r="BK912" i="1"/>
  <c r="BK917" i="1"/>
  <c r="BK918" i="1" s="1"/>
  <c r="BK515" i="1"/>
  <c r="BK906" i="1"/>
  <c r="BK907" i="1" s="1"/>
  <c r="BK910" i="1"/>
  <c r="BK911" i="1" s="1"/>
  <c r="BK3" i="1"/>
  <c r="BL4" i="1"/>
  <c r="BK4" i="11"/>
  <c r="BK4" i="13"/>
  <c r="BJ918" i="1"/>
  <c r="BE950" i="1"/>
  <c r="BE942" i="1" s="1"/>
  <c r="BE943" i="1" s="1"/>
  <c r="BE957" i="1"/>
  <c r="BE958" i="1" s="1"/>
  <c r="BE932" i="1" s="1"/>
  <c r="BH949" i="1"/>
  <c r="BF955" i="1"/>
  <c r="BF954" i="1"/>
  <c r="BI889" i="1"/>
  <c r="BI890" i="1" s="1"/>
  <c r="BE890" i="1"/>
  <c r="BG955" i="1"/>
  <c r="BG954" i="1"/>
  <c r="BI877" i="1"/>
  <c r="BC137" i="9"/>
  <c r="BC98" i="9"/>
  <c r="BI875" i="1"/>
  <c r="BI876" i="1" s="1"/>
  <c r="BE876" i="1"/>
  <c r="CD1106" i="1"/>
  <c r="CD1247" i="1" s="1"/>
  <c r="CD410" i="1"/>
  <c r="CF175" i="1"/>
  <c r="BC50" i="9"/>
  <c r="CF190" i="1"/>
  <c r="CF115" i="1"/>
  <c r="CF16" i="9" s="1"/>
  <c r="BJ3" i="11"/>
  <c r="BJ3" i="13"/>
  <c r="BJ1367" i="1"/>
  <c r="BE900" i="1"/>
  <c r="BI868" i="1"/>
  <c r="BI900" i="1" s="1"/>
  <c r="BH955" i="1"/>
  <c r="BH954" i="1"/>
  <c r="BI878" i="1"/>
  <c r="BI926" i="1" l="1"/>
  <c r="BI927" i="1" s="1"/>
  <c r="BH927" i="1" s="1"/>
  <c r="BH928" i="1" s="1"/>
  <c r="BH802" i="1" s="1"/>
  <c r="BE896" i="1"/>
  <c r="BE795" i="1" s="1"/>
  <c r="BE797" i="1" s="1"/>
  <c r="CF159" i="1"/>
  <c r="BE926" i="1"/>
  <c r="BE928" i="1" s="1"/>
  <c r="BE802" i="1" s="1"/>
  <c r="BE806" i="1" s="1"/>
  <c r="BE807" i="1" s="1"/>
  <c r="BE996" i="1" s="1"/>
  <c r="BE997" i="1" s="1"/>
  <c r="BF111" i="9"/>
  <c r="BF107" i="9"/>
  <c r="CE23" i="1"/>
  <c r="CE18" i="9" s="1"/>
  <c r="CE28" i="1"/>
  <c r="CE33" i="1" s="1"/>
  <c r="CE20" i="9" s="1"/>
  <c r="BH760" i="1"/>
  <c r="BH761" i="1"/>
  <c r="BC99" i="9"/>
  <c r="BC102" i="9" s="1"/>
  <c r="BG99" i="9"/>
  <c r="BG102" i="9" s="1"/>
  <c r="BE99" i="9"/>
  <c r="BE102" i="9" s="1"/>
  <c r="BF99" i="9"/>
  <c r="BF102" i="9" s="1"/>
  <c r="CF11" i="1"/>
  <c r="CF27" i="9" s="1"/>
  <c r="CF12" i="1"/>
  <c r="CF14" i="1" s="1"/>
  <c r="CF8" i="1"/>
  <c r="BK3" i="13"/>
  <c r="BK3" i="11"/>
  <c r="BO1091" i="1"/>
  <c r="BN1269" i="1"/>
  <c r="CD36" i="9"/>
  <c r="CD402" i="1"/>
  <c r="CD61" i="9" s="1"/>
  <c r="BG937" i="1"/>
  <c r="BG934" i="1"/>
  <c r="BG938" i="1"/>
  <c r="BE111" i="9"/>
  <c r="BE107" i="9"/>
  <c r="CF192" i="1"/>
  <c r="CF195" i="1"/>
  <c r="BK1367" i="1"/>
  <c r="BG111" i="9"/>
  <c r="BG107" i="9"/>
  <c r="CE462" i="1"/>
  <c r="CE209" i="1"/>
  <c r="CE205" i="1"/>
  <c r="CE206" i="1" s="1"/>
  <c r="CE201" i="1"/>
  <c r="CE203" i="1"/>
  <c r="CE202" i="1"/>
  <c r="CE200" i="1"/>
  <c r="BD527" i="1"/>
  <c r="BD529" i="1"/>
  <c r="BH957" i="1"/>
  <c r="BH958" i="1" s="1"/>
  <c r="BH932" i="1" s="1"/>
  <c r="BH947" i="1"/>
  <c r="BH950" i="1"/>
  <c r="BH942" i="1" s="1"/>
  <c r="BH943" i="1" s="1"/>
  <c r="BG806" i="1"/>
  <c r="BG807" i="1" s="1"/>
  <c r="BG996" i="1" s="1"/>
  <c r="BC111" i="9"/>
  <c r="BC107" i="9"/>
  <c r="BL1" i="9"/>
  <c r="BL919" i="1"/>
  <c r="BL910" i="1"/>
  <c r="BL911" i="1" s="1"/>
  <c r="BL860" i="1"/>
  <c r="BL861" i="1" s="1"/>
  <c r="BL852" i="1"/>
  <c r="BL844" i="1"/>
  <c r="BL857" i="1"/>
  <c r="BL858" i="1" s="1"/>
  <c r="BL849" i="1"/>
  <c r="BL1397" i="1"/>
  <c r="BL917" i="1"/>
  <c r="BL916" i="1"/>
  <c r="BL853" i="1"/>
  <c r="BL848" i="1"/>
  <c r="BL920" i="1"/>
  <c r="BL921" i="1" s="1"/>
  <c r="BL859" i="1"/>
  <c r="BL854" i="1"/>
  <c r="BL855" i="1" s="1"/>
  <c r="BL912" i="1"/>
  <c r="BL904" i="1"/>
  <c r="BL862" i="1"/>
  <c r="BL908" i="1"/>
  <c r="BL846" i="1"/>
  <c r="BL847" i="1" s="1"/>
  <c r="BL913" i="1"/>
  <c r="BL905" i="1"/>
  <c r="BL924" i="1"/>
  <c r="BL909" i="1"/>
  <c r="BL906" i="1"/>
  <c r="BL907" i="1" s="1"/>
  <c r="BL850" i="1"/>
  <c r="BL851" i="1" s="1"/>
  <c r="BL923" i="1"/>
  <c r="BL922" i="1"/>
  <c r="BL914" i="1"/>
  <c r="BL915" i="1" s="1"/>
  <c r="BL856" i="1"/>
  <c r="BL515" i="1"/>
  <c r="BL845" i="1"/>
  <c r="BL3" i="1"/>
  <c r="BL1367" i="1" s="1"/>
  <c r="BM4" i="1"/>
  <c r="BL4" i="11"/>
  <c r="BL4" i="13"/>
  <c r="CD37" i="9"/>
  <c r="CD403" i="1"/>
  <c r="CD62" i="9" s="1"/>
  <c r="BH503" i="1"/>
  <c r="BH491" i="1"/>
  <c r="BH502" i="1"/>
  <c r="BH804" i="1"/>
  <c r="BE938" i="1"/>
  <c r="BE937" i="1"/>
  <c r="BE934" i="1"/>
  <c r="CD38" i="9"/>
  <c r="CD63" i="9" s="1"/>
  <c r="CD398" i="1"/>
  <c r="BC5" i="9"/>
  <c r="BC1008" i="1"/>
  <c r="BF937" i="1"/>
  <c r="BF934" i="1"/>
  <c r="BF938" i="1"/>
  <c r="BI896" i="1"/>
  <c r="BI795" i="1" s="1"/>
  <c r="BI797" i="1" s="1"/>
  <c r="BC6" i="9" l="1"/>
  <c r="BC11" i="9" s="1"/>
  <c r="BC120" i="9"/>
  <c r="BC84" i="9"/>
  <c r="BC85" i="9"/>
  <c r="BC87" i="9" s="1"/>
  <c r="BC121" i="9"/>
  <c r="BC122" i="9"/>
  <c r="BD5" i="9"/>
  <c r="BD1008" i="1"/>
  <c r="CE34" i="9"/>
  <c r="CE1233" i="1"/>
  <c r="CE1119" i="1" s="1"/>
  <c r="CE1206" i="1"/>
  <c r="CE1227" i="1"/>
  <c r="CE737" i="1"/>
  <c r="CE478" i="1" s="1"/>
  <c r="CE598" i="1"/>
  <c r="CF183" i="1"/>
  <c r="CF16" i="1" s="1"/>
  <c r="CF19" i="1" s="1"/>
  <c r="CF31" i="9" s="1"/>
  <c r="CF21" i="1"/>
  <c r="CF194" i="1"/>
  <c r="BH937" i="1"/>
  <c r="BH938" i="1"/>
  <c r="BH934" i="1"/>
  <c r="BM1" i="9"/>
  <c r="BM1397" i="1"/>
  <c r="BM916" i="1"/>
  <c r="BN916" i="1" s="1"/>
  <c r="BM908" i="1"/>
  <c r="BN908" i="1" s="1"/>
  <c r="BM864" i="1"/>
  <c r="BM860" i="1"/>
  <c r="BM861" i="1" s="1"/>
  <c r="BM852" i="1"/>
  <c r="BM844" i="1"/>
  <c r="BM863" i="1"/>
  <c r="BM857" i="1"/>
  <c r="BM858" i="1" s="1"/>
  <c r="BM849" i="1"/>
  <c r="BM862" i="1"/>
  <c r="BM854" i="1"/>
  <c r="BM855" i="1" s="1"/>
  <c r="BM924" i="1"/>
  <c r="BN924" i="1" s="1"/>
  <c r="BM923" i="1"/>
  <c r="BN923" i="1" s="1"/>
  <c r="BM922" i="1"/>
  <c r="BM920" i="1"/>
  <c r="BM914" i="1"/>
  <c r="BM915" i="1" s="1"/>
  <c r="BM913" i="1"/>
  <c r="BN913" i="1" s="1"/>
  <c r="BM912" i="1"/>
  <c r="BN912" i="1" s="1"/>
  <c r="BM906" i="1"/>
  <c r="BM907" i="1" s="1"/>
  <c r="BM905" i="1"/>
  <c r="BN905" i="1" s="1"/>
  <c r="BM904" i="1"/>
  <c r="BN904" i="1" s="1"/>
  <c r="BM850" i="1"/>
  <c r="BM851" i="1" s="1"/>
  <c r="BM859" i="1"/>
  <c r="BM853" i="1"/>
  <c r="BM846" i="1"/>
  <c r="BM847" i="1" s="1"/>
  <c r="BM917" i="1"/>
  <c r="BM918" i="1" s="1"/>
  <c r="BM845" i="1"/>
  <c r="BM909" i="1"/>
  <c r="BN909" i="1" s="1"/>
  <c r="BM848" i="1"/>
  <c r="BM910" i="1"/>
  <c r="BM919" i="1"/>
  <c r="BN919" i="1" s="1"/>
  <c r="BM515" i="1"/>
  <c r="BM856" i="1"/>
  <c r="BM3" i="1"/>
  <c r="BM1367" i="1" s="1"/>
  <c r="BN4" i="1"/>
  <c r="BM4" i="13"/>
  <c r="BM4" i="11"/>
  <c r="CE1264" i="1"/>
  <c r="BE968" i="1"/>
  <c r="BE964" i="1"/>
  <c r="BC14" i="13"/>
  <c r="BC1781" i="13" s="1"/>
  <c r="BC999" i="1"/>
  <c r="BC1009" i="1"/>
  <c r="BC1000" i="1" s="1"/>
  <c r="BC976" i="1" s="1"/>
  <c r="CE212" i="1"/>
  <c r="CE223" i="1"/>
  <c r="CE228" i="1"/>
  <c r="CE233" i="1"/>
  <c r="BH495" i="1"/>
  <c r="BH1267" i="1"/>
  <c r="BH1259" i="1"/>
  <c r="BI1275" i="1"/>
  <c r="BG1267" i="1"/>
  <c r="BJ1267" i="1"/>
  <c r="BL3" i="11"/>
  <c r="BL3" i="13"/>
  <c r="BF997" i="1"/>
  <c r="BL918" i="1"/>
  <c r="BN917" i="1"/>
  <c r="BN918" i="1" s="1"/>
  <c r="BP1091" i="1"/>
  <c r="BO1092" i="1"/>
  <c r="BO1269" i="1" s="1"/>
  <c r="BH798" i="1"/>
  <c r="BH762" i="1"/>
  <c r="BH764" i="1"/>
  <c r="BL866" i="1"/>
  <c r="BG997" i="1"/>
  <c r="BN906" i="1"/>
  <c r="BN907" i="1" s="1"/>
  <c r="N147" i="10"/>
  <c r="Q147" i="10" l="1"/>
  <c r="P147" i="10"/>
  <c r="CE224" i="1"/>
  <c r="CE469" i="1"/>
  <c r="CF23" i="1"/>
  <c r="CF18" i="9" s="1"/>
  <c r="CF28" i="1"/>
  <c r="CF33" i="1" s="1"/>
  <c r="CF20" i="9" s="1"/>
  <c r="BH797" i="1"/>
  <c r="BH806" i="1"/>
  <c r="BH807" i="1" s="1"/>
  <c r="BH996" i="1" s="1"/>
  <c r="BH997" i="1" s="1"/>
  <c r="BG968" i="1"/>
  <c r="BG964" i="1"/>
  <c r="BD6" i="9"/>
  <c r="BD120" i="9"/>
  <c r="BD84" i="9"/>
  <c r="BD129" i="9" s="1"/>
  <c r="BD121" i="9"/>
  <c r="BD85" i="9"/>
  <c r="BD87" i="9" s="1"/>
  <c r="BD122" i="9"/>
  <c r="BQ1091" i="1"/>
  <c r="BP1092" i="1"/>
  <c r="BP1269" i="1" s="1"/>
  <c r="BN922" i="1"/>
  <c r="CE625" i="1"/>
  <c r="CE599" i="1"/>
  <c r="CE600" i="1" s="1"/>
  <c r="CE607" i="1"/>
  <c r="CE1106" i="1"/>
  <c r="CE1247" i="1" s="1"/>
  <c r="CE410" i="1"/>
  <c r="CE470" i="1"/>
  <c r="CE229" i="1"/>
  <c r="BM911" i="1"/>
  <c r="BN910" i="1"/>
  <c r="BN911" i="1" s="1"/>
  <c r="BH47" i="9"/>
  <c r="BH497" i="1"/>
  <c r="BH505" i="1"/>
  <c r="BH500" i="1"/>
  <c r="BH1260" i="1"/>
  <c r="BN1" i="9"/>
  <c r="BN1397" i="1"/>
  <c r="BN515" i="1"/>
  <c r="BO4" i="1"/>
  <c r="BN3" i="1"/>
  <c r="BN1367" i="1" s="1"/>
  <c r="BN4" i="11"/>
  <c r="BN4" i="13"/>
  <c r="CE1117" i="1"/>
  <c r="CF462" i="1"/>
  <c r="CF209" i="1"/>
  <c r="CF205" i="1"/>
  <c r="CF201" i="1"/>
  <c r="CF203" i="1"/>
  <c r="CF202" i="1"/>
  <c r="CF200" i="1"/>
  <c r="BM921" i="1"/>
  <c r="BN920" i="1"/>
  <c r="BN921" i="1" s="1"/>
  <c r="BD14" i="13"/>
  <c r="BD1781" i="13" s="1"/>
  <c r="BD999" i="1"/>
  <c r="BD1009" i="1"/>
  <c r="BD1014" i="1"/>
  <c r="BF968" i="1"/>
  <c r="BF964" i="1"/>
  <c r="BN914" i="1"/>
  <c r="BN915" i="1" s="1"/>
  <c r="CE471" i="1"/>
  <c r="CE234" i="1"/>
  <c r="BC973" i="1"/>
  <c r="BC975" i="1"/>
  <c r="BM869" i="1"/>
  <c r="BM901" i="1" s="1"/>
  <c r="BM868" i="1"/>
  <c r="BM900" i="1" s="1"/>
  <c r="BM1182" i="1"/>
  <c r="BM3" i="13"/>
  <c r="BM3" i="11"/>
  <c r="BM866" i="1"/>
  <c r="CF204" i="1"/>
  <c r="CF206" i="1" s="1"/>
  <c r="CE1116" i="1"/>
  <c r="BM926" i="1" l="1"/>
  <c r="CF34" i="9"/>
  <c r="CF1233" i="1"/>
  <c r="CF1119" i="1" s="1"/>
  <c r="CF1227" i="1"/>
  <c r="CF1206" i="1"/>
  <c r="CF1116" i="1" s="1"/>
  <c r="CF737" i="1"/>
  <c r="CF478" i="1" s="1"/>
  <c r="CF598" i="1"/>
  <c r="CF1264" i="1"/>
  <c r="BH49" i="9"/>
  <c r="BH526" i="1"/>
  <c r="BH506" i="1"/>
  <c r="BD1012" i="1"/>
  <c r="BD1000" i="1"/>
  <c r="BD976" i="1" s="1"/>
  <c r="BD1015" i="1"/>
  <c r="BD973" i="1"/>
  <c r="BD975" i="1"/>
  <c r="BD11" i="9"/>
  <c r="BD130" i="9"/>
  <c r="CE38" i="9"/>
  <c r="CE63" i="9" s="1"/>
  <c r="CE398" i="1"/>
  <c r="CE37" i="9"/>
  <c r="CE403" i="1"/>
  <c r="CE62" i="9" s="1"/>
  <c r="BH968" i="1"/>
  <c r="BH964" i="1"/>
  <c r="CE36" i="9"/>
  <c r="CE402" i="1"/>
  <c r="CE61" i="9" s="1"/>
  <c r="BR1091" i="1"/>
  <c r="BQ1092" i="1"/>
  <c r="BQ1269" i="1" s="1"/>
  <c r="BH138" i="9"/>
  <c r="BH103" i="9"/>
  <c r="BL891" i="1"/>
  <c r="BJ889" i="1"/>
  <c r="BK886" i="1"/>
  <c r="BK887" i="1" s="1"/>
  <c r="BL883" i="1"/>
  <c r="BL884" i="1" s="1"/>
  <c r="BJ881" i="1"/>
  <c r="BK878" i="1"/>
  <c r="BL875" i="1"/>
  <c r="BL876" i="1" s="1"/>
  <c r="BJ873" i="1"/>
  <c r="BJ888" i="1"/>
  <c r="BK885" i="1"/>
  <c r="BL882" i="1"/>
  <c r="BK877" i="1"/>
  <c r="BL874" i="1"/>
  <c r="BK953" i="1"/>
  <c r="BK891" i="1"/>
  <c r="BL889" i="1"/>
  <c r="BL890" i="1" s="1"/>
  <c r="BL888" i="1"/>
  <c r="BJ953" i="1"/>
  <c r="BJ891" i="1"/>
  <c r="BK889" i="1"/>
  <c r="BK890" i="1" s="1"/>
  <c r="BK888" i="1"/>
  <c r="BL886" i="1"/>
  <c r="BL887" i="1" s="1"/>
  <c r="BL885" i="1"/>
  <c r="BJ886" i="1"/>
  <c r="BJ885" i="1"/>
  <c r="BK883" i="1"/>
  <c r="BK884" i="1" s="1"/>
  <c r="BK882" i="1"/>
  <c r="BL881" i="1"/>
  <c r="BL879" i="1"/>
  <c r="BL880" i="1" s="1"/>
  <c r="BJ883" i="1"/>
  <c r="BJ882" i="1"/>
  <c r="BK881" i="1"/>
  <c r="BK879" i="1"/>
  <c r="BK880" i="1" s="1"/>
  <c r="BL878" i="1"/>
  <c r="BL877" i="1"/>
  <c r="BJ874" i="1"/>
  <c r="BK875" i="1"/>
  <c r="BK876" i="1" s="1"/>
  <c r="BJ878" i="1"/>
  <c r="BJ875" i="1"/>
  <c r="BM874" i="1"/>
  <c r="BK874" i="1"/>
  <c r="BM873" i="1"/>
  <c r="BJ879" i="1"/>
  <c r="BL873" i="1"/>
  <c r="BJ877" i="1"/>
  <c r="BM484" i="1"/>
  <c r="BL953" i="1"/>
  <c r="BJ760" i="1"/>
  <c r="BK873" i="1"/>
  <c r="BK760" i="1"/>
  <c r="BM875" i="1"/>
  <c r="BM876" i="1" s="1"/>
  <c r="BM885" i="1"/>
  <c r="BM888" i="1"/>
  <c r="BM877" i="1"/>
  <c r="BL760" i="1"/>
  <c r="BM953" i="1"/>
  <c r="BJ1180" i="1"/>
  <c r="BL1180" i="1"/>
  <c r="BM878" i="1"/>
  <c r="BK1180" i="1"/>
  <c r="BM886" i="1"/>
  <c r="BM887" i="1" s="1"/>
  <c r="BM891" i="1"/>
  <c r="BM881" i="1"/>
  <c r="BM889" i="1"/>
  <c r="BM890" i="1" s="1"/>
  <c r="BM879" i="1"/>
  <c r="BM880" i="1" s="1"/>
  <c r="BM882" i="1"/>
  <c r="BM883" i="1"/>
  <c r="BM884" i="1" s="1"/>
  <c r="BL1179" i="1"/>
  <c r="BJ758" i="1"/>
  <c r="BK1179" i="1"/>
  <c r="BM1179" i="1"/>
  <c r="BJ1179" i="1"/>
  <c r="BM758" i="1"/>
  <c r="BL758" i="1"/>
  <c r="BK758" i="1"/>
  <c r="BM1180" i="1"/>
  <c r="BJ762" i="1"/>
  <c r="BK762" i="1"/>
  <c r="BL762" i="1"/>
  <c r="BN3" i="11"/>
  <c r="BN3" i="13"/>
  <c r="BJ1182" i="1"/>
  <c r="BJ949" i="1"/>
  <c r="BJ1181" i="1"/>
  <c r="BJ868" i="1"/>
  <c r="BJ869" i="1"/>
  <c r="BL892" i="1"/>
  <c r="BK869" i="1"/>
  <c r="BK901" i="1" s="1"/>
  <c r="BM893" i="1"/>
  <c r="BL893" i="1"/>
  <c r="BK868" i="1"/>
  <c r="BK900" i="1" s="1"/>
  <c r="BK1181" i="1"/>
  <c r="BK1182" i="1"/>
  <c r="BK949" i="1"/>
  <c r="BL869" i="1"/>
  <c r="BL901" i="1" s="1"/>
  <c r="BL949" i="1"/>
  <c r="BL1182" i="1"/>
  <c r="BM892" i="1"/>
  <c r="BL868" i="1"/>
  <c r="BL900" i="1" s="1"/>
  <c r="BL1181" i="1"/>
  <c r="BM1181" i="1"/>
  <c r="CF212" i="1"/>
  <c r="CF228" i="1"/>
  <c r="CF223" i="1"/>
  <c r="CF233" i="1"/>
  <c r="BO1" i="9"/>
  <c r="BO1397" i="1"/>
  <c r="BO910" i="1"/>
  <c r="BO917" i="1"/>
  <c r="BO909" i="1"/>
  <c r="BO922" i="1"/>
  <c r="BO924" i="1"/>
  <c r="BO923" i="1"/>
  <c r="BO920" i="1"/>
  <c r="BO919" i="1"/>
  <c r="BO916" i="1"/>
  <c r="BO914" i="1"/>
  <c r="BO905" i="1"/>
  <c r="BO908" i="1"/>
  <c r="BO912" i="1"/>
  <c r="BO904" i="1"/>
  <c r="BO913" i="1"/>
  <c r="BO515" i="1"/>
  <c r="BO906" i="1"/>
  <c r="BP4" i="1"/>
  <c r="BO3" i="1"/>
  <c r="BO1367" i="1" s="1"/>
  <c r="BO4" i="11"/>
  <c r="BO4" i="13"/>
  <c r="BH56" i="9"/>
  <c r="BH507" i="1"/>
  <c r="BH57" i="9" s="1"/>
  <c r="BH88" i="9" s="1"/>
  <c r="BI1276" i="1"/>
  <c r="N148" i="10"/>
  <c r="BN893" i="1" l="1"/>
  <c r="BN877" i="1"/>
  <c r="BN881" i="1"/>
  <c r="Q148" i="10"/>
  <c r="P148" i="10"/>
  <c r="BJ880" i="1"/>
  <c r="BN879" i="1"/>
  <c r="BN880" i="1" s="1"/>
  <c r="BN891" i="1"/>
  <c r="BS1091" i="1"/>
  <c r="BS1092" i="1" s="1"/>
  <c r="BR1092" i="1"/>
  <c r="BR1269" i="1" s="1"/>
  <c r="CF1106" i="1"/>
  <c r="CF1247" i="1" s="1"/>
  <c r="CF410" i="1"/>
  <c r="BO3" i="13"/>
  <c r="BO3" i="11"/>
  <c r="BJ955" i="1"/>
  <c r="BJ954" i="1"/>
  <c r="BJ890" i="1"/>
  <c r="BN889" i="1"/>
  <c r="BN890" i="1" s="1"/>
  <c r="BP1" i="9"/>
  <c r="BP1397" i="1"/>
  <c r="BP922" i="1"/>
  <c r="BP914" i="1"/>
  <c r="BP915" i="1" s="1"/>
  <c r="BP905" i="1"/>
  <c r="BP924" i="1"/>
  <c r="BP923" i="1"/>
  <c r="BP920" i="1"/>
  <c r="BP921" i="1" s="1"/>
  <c r="BP919" i="1"/>
  <c r="BP917" i="1"/>
  <c r="BP918" i="1" s="1"/>
  <c r="BP916" i="1"/>
  <c r="BP913" i="1"/>
  <c r="BP912" i="1"/>
  <c r="BP906" i="1"/>
  <c r="BP907" i="1" s="1"/>
  <c r="BP904" i="1"/>
  <c r="BP908" i="1"/>
  <c r="BP909" i="1"/>
  <c r="BP515" i="1"/>
  <c r="BP910" i="1"/>
  <c r="BP911" i="1" s="1"/>
  <c r="BQ4" i="1"/>
  <c r="BP3" i="1"/>
  <c r="BP1367" i="1" s="1"/>
  <c r="BP4" i="13"/>
  <c r="BP4" i="11"/>
  <c r="CF469" i="1"/>
  <c r="CF224" i="1"/>
  <c r="BN885" i="1"/>
  <c r="BN888" i="1"/>
  <c r="BL896" i="1"/>
  <c r="BL795" i="1" s="1"/>
  <c r="BL797" i="1" s="1"/>
  <c r="BH50" i="9"/>
  <c r="CF1117" i="1"/>
  <c r="BO921" i="1"/>
  <c r="CF607" i="1"/>
  <c r="CF599" i="1"/>
  <c r="CF600" i="1" s="1"/>
  <c r="CF625" i="1"/>
  <c r="CF470" i="1"/>
  <c r="CF229" i="1"/>
  <c r="BL957" i="1"/>
  <c r="BL958" i="1" s="1"/>
  <c r="BL932" i="1" s="1"/>
  <c r="BL950" i="1"/>
  <c r="BL942" i="1" s="1"/>
  <c r="BL943" i="1" s="1"/>
  <c r="BK926" i="1"/>
  <c r="BK928" i="1" s="1"/>
  <c r="BK802" i="1" s="1"/>
  <c r="BM955" i="1"/>
  <c r="BM954" i="1"/>
  <c r="BJ887" i="1"/>
  <c r="BN886" i="1"/>
  <c r="BN887" i="1" s="1"/>
  <c r="BN873" i="1"/>
  <c r="BH104" i="9"/>
  <c r="BL104" i="9"/>
  <c r="BJ104" i="9"/>
  <c r="BK104" i="9"/>
  <c r="BD128" i="9"/>
  <c r="BD131" i="9"/>
  <c r="BI526" i="1"/>
  <c r="BH527" i="1"/>
  <c r="BH529" i="1"/>
  <c r="BH137" i="9"/>
  <c r="BH98" i="9"/>
  <c r="BN868" i="1"/>
  <c r="BN900" i="1" s="1"/>
  <c r="BJ900" i="1"/>
  <c r="BN874" i="1"/>
  <c r="BJ957" i="1"/>
  <c r="BJ958" i="1" s="1"/>
  <c r="BJ932" i="1" s="1"/>
  <c r="BJ950" i="1"/>
  <c r="BJ942" i="1" s="1"/>
  <c r="BJ943" i="1" s="1"/>
  <c r="BM949" i="1"/>
  <c r="CF471" i="1"/>
  <c r="CF234" i="1"/>
  <c r="BO907" i="1"/>
  <c r="BO918" i="1"/>
  <c r="BL926" i="1"/>
  <c r="BL928" i="1" s="1"/>
  <c r="BL802" i="1" s="1"/>
  <c r="BN892" i="1"/>
  <c r="BL954" i="1"/>
  <c r="BL955" i="1"/>
  <c r="BN875" i="1"/>
  <c r="BN876" i="1" s="1"/>
  <c r="BJ876" i="1"/>
  <c r="BN882" i="1"/>
  <c r="BK896" i="1"/>
  <c r="BK795" i="1" s="1"/>
  <c r="BK797" i="1" s="1"/>
  <c r="BO915" i="1"/>
  <c r="BO911" i="1"/>
  <c r="BK950" i="1"/>
  <c r="BK942" i="1" s="1"/>
  <c r="BK943" i="1" s="1"/>
  <c r="BK957" i="1"/>
  <c r="BK958" i="1" s="1"/>
  <c r="BK932" i="1" s="1"/>
  <c r="BN869" i="1"/>
  <c r="BN901" i="1" s="1"/>
  <c r="BN926" i="1" s="1"/>
  <c r="BN927" i="1" s="1"/>
  <c r="BM927" i="1" s="1"/>
  <c r="BM928" i="1" s="1"/>
  <c r="BM802" i="1" s="1"/>
  <c r="BJ901" i="1"/>
  <c r="BM896" i="1"/>
  <c r="BM795" i="1" s="1"/>
  <c r="BM759" i="1"/>
  <c r="BM40" i="9"/>
  <c r="BM42" i="9" s="1"/>
  <c r="BM487" i="1"/>
  <c r="BN878" i="1"/>
  <c r="BN883" i="1"/>
  <c r="BN884" i="1" s="1"/>
  <c r="BJ884" i="1"/>
  <c r="BJ896" i="1" s="1"/>
  <c r="BJ795" i="1" s="1"/>
  <c r="BJ797" i="1" s="1"/>
  <c r="BK955" i="1"/>
  <c r="BK954" i="1"/>
  <c r="BJ926" i="1" l="1"/>
  <c r="BJ928" i="1" s="1"/>
  <c r="BJ802" i="1" s="1"/>
  <c r="BJ937" i="1"/>
  <c r="BJ934" i="1"/>
  <c r="BJ938" i="1"/>
  <c r="BI527" i="1"/>
  <c r="BI529" i="1"/>
  <c r="CF36" i="9"/>
  <c r="CF402" i="1"/>
  <c r="CF61" i="9" s="1"/>
  <c r="BK937" i="1"/>
  <c r="BK934" i="1"/>
  <c r="BK938" i="1"/>
  <c r="CF37" i="9"/>
  <c r="CF403" i="1"/>
  <c r="CF62" i="9" s="1"/>
  <c r="BM760" i="1"/>
  <c r="BM761" i="1"/>
  <c r="BP3" i="11"/>
  <c r="BP3" i="13"/>
  <c r="BN896" i="1"/>
  <c r="BN795" i="1" s="1"/>
  <c r="BN797" i="1" s="1"/>
  <c r="BH111" i="9"/>
  <c r="BH107" i="9"/>
  <c r="BQ1" i="9"/>
  <c r="BQ1397" i="1"/>
  <c r="BQ924" i="1"/>
  <c r="BQ920" i="1"/>
  <c r="BQ912" i="1"/>
  <c r="BQ906" i="1"/>
  <c r="BQ907" i="1" s="1"/>
  <c r="BQ919" i="1"/>
  <c r="BQ923" i="1"/>
  <c r="BQ922" i="1"/>
  <c r="BQ856" i="1"/>
  <c r="BQ917" i="1"/>
  <c r="BQ916" i="1"/>
  <c r="BQ853" i="1"/>
  <c r="BQ846" i="1"/>
  <c r="BQ847" i="1" s="1"/>
  <c r="BQ914" i="1"/>
  <c r="BQ913" i="1"/>
  <c r="BQ905" i="1"/>
  <c r="BQ904" i="1"/>
  <c r="BQ850" i="1"/>
  <c r="BQ851" i="1" s="1"/>
  <c r="BQ845" i="1"/>
  <c r="BQ910" i="1"/>
  <c r="BQ911" i="1" s="1"/>
  <c r="BQ909" i="1"/>
  <c r="BQ908" i="1"/>
  <c r="BQ854" i="1"/>
  <c r="BQ855" i="1" s="1"/>
  <c r="BQ852" i="1"/>
  <c r="BQ849" i="1"/>
  <c r="BQ857" i="1"/>
  <c r="BQ858" i="1" s="1"/>
  <c r="BQ844" i="1"/>
  <c r="BQ860" i="1"/>
  <c r="BQ861" i="1" s="1"/>
  <c r="BQ848" i="1"/>
  <c r="BQ859" i="1"/>
  <c r="BQ862" i="1"/>
  <c r="BQ515" i="1"/>
  <c r="BR4" i="1"/>
  <c r="BQ3" i="1"/>
  <c r="BQ1367" i="1" s="1"/>
  <c r="BQ4" i="11"/>
  <c r="BQ4" i="13"/>
  <c r="BJ806" i="1"/>
  <c r="BJ807" i="1" s="1"/>
  <c r="BJ996" i="1" s="1"/>
  <c r="BJ997" i="1" s="1"/>
  <c r="CF38" i="9"/>
  <c r="CF63" i="9" s="1"/>
  <c r="CF398" i="1"/>
  <c r="BK111" i="9"/>
  <c r="BK107" i="9"/>
  <c r="BL111" i="9"/>
  <c r="BL107" i="9"/>
  <c r="BH5" i="9"/>
  <c r="BH1008" i="1"/>
  <c r="BL937" i="1"/>
  <c r="BL934" i="1"/>
  <c r="BL938" i="1"/>
  <c r="BM491" i="1"/>
  <c r="BM503" i="1"/>
  <c r="BM502" i="1"/>
  <c r="BM804" i="1"/>
  <c r="BH99" i="9"/>
  <c r="BH102" i="9" s="1"/>
  <c r="BL99" i="9"/>
  <c r="BL102" i="9" s="1"/>
  <c r="BK99" i="9"/>
  <c r="BK102" i="9" s="1"/>
  <c r="BJ99" i="9"/>
  <c r="BJ102" i="9" s="1"/>
  <c r="BL806" i="1"/>
  <c r="BL807" i="1" s="1"/>
  <c r="BL996" i="1" s="1"/>
  <c r="BM957" i="1"/>
  <c r="BM958" i="1" s="1"/>
  <c r="BM932" i="1" s="1"/>
  <c r="BM947" i="1"/>
  <c r="BM950" i="1"/>
  <c r="BM942" i="1" s="1"/>
  <c r="BM943" i="1" s="1"/>
  <c r="BJ111" i="9"/>
  <c r="BJ107" i="9"/>
  <c r="BK806" i="1"/>
  <c r="BK807" i="1" s="1"/>
  <c r="BK996" i="1" s="1"/>
  <c r="BT1091" i="1"/>
  <c r="BT1092" i="1" s="1"/>
  <c r="BT1269" i="1" s="1"/>
  <c r="BS1269" i="1"/>
  <c r="BJ968" i="1" l="1"/>
  <c r="BJ964" i="1"/>
  <c r="BK997" i="1"/>
  <c r="BQ921" i="1"/>
  <c r="BH14" i="13"/>
  <c r="BH1781" i="13" s="1"/>
  <c r="BH999" i="1"/>
  <c r="BH1009" i="1"/>
  <c r="BH1000" i="1" s="1"/>
  <c r="BH976" i="1" s="1"/>
  <c r="BQ915" i="1"/>
  <c r="BH6" i="9"/>
  <c r="BH11" i="9" s="1"/>
  <c r="BH120" i="9"/>
  <c r="BH84" i="9"/>
  <c r="BH124" i="9"/>
  <c r="BH85" i="9"/>
  <c r="BH87" i="9" s="1"/>
  <c r="BH121" i="9"/>
  <c r="BH122" i="9"/>
  <c r="BR1" i="9"/>
  <c r="BR1397" i="1"/>
  <c r="BR917" i="1"/>
  <c r="BR918" i="1" s="1"/>
  <c r="BR909" i="1"/>
  <c r="BS909" i="1" s="1"/>
  <c r="BR916" i="1"/>
  <c r="BS916" i="1" s="1"/>
  <c r="BR908" i="1"/>
  <c r="BS908" i="1" s="1"/>
  <c r="BR924" i="1"/>
  <c r="BS924" i="1" s="1"/>
  <c r="BR920" i="1"/>
  <c r="BR921" i="1" s="1"/>
  <c r="BR919" i="1"/>
  <c r="BS919" i="1" s="1"/>
  <c r="BR853" i="1"/>
  <c r="BR846" i="1"/>
  <c r="BR847" i="1" s="1"/>
  <c r="BR914" i="1"/>
  <c r="BR915" i="1" s="1"/>
  <c r="BR913" i="1"/>
  <c r="BS913" i="1" s="1"/>
  <c r="BR905" i="1"/>
  <c r="BS905" i="1" s="1"/>
  <c r="BR904" i="1"/>
  <c r="BS904" i="1" s="1"/>
  <c r="BR850" i="1"/>
  <c r="BR851" i="1" s="1"/>
  <c r="BR845" i="1"/>
  <c r="BR912" i="1"/>
  <c r="BS912" i="1" s="1"/>
  <c r="BR910" i="1"/>
  <c r="BR906" i="1"/>
  <c r="BR864" i="1"/>
  <c r="BR857" i="1"/>
  <c r="BR858" i="1" s="1"/>
  <c r="BR844" i="1"/>
  <c r="BR849" i="1"/>
  <c r="BR860" i="1"/>
  <c r="BR861" i="1" s="1"/>
  <c r="BR856" i="1"/>
  <c r="BR848" i="1"/>
  <c r="BR859" i="1"/>
  <c r="BR922" i="1"/>
  <c r="BS922" i="1" s="1"/>
  <c r="BR854" i="1"/>
  <c r="BR855" i="1" s="1"/>
  <c r="BR852" i="1"/>
  <c r="BR923" i="1"/>
  <c r="BS923" i="1" s="1"/>
  <c r="BR515" i="1"/>
  <c r="BR862" i="1"/>
  <c r="BR863" i="1"/>
  <c r="BR3" i="1"/>
  <c r="BS4" i="1"/>
  <c r="BR4" i="11"/>
  <c r="BR4" i="13"/>
  <c r="BQ866" i="1"/>
  <c r="BM937" i="1"/>
  <c r="BM938" i="1"/>
  <c r="BM934" i="1"/>
  <c r="BQ918" i="1"/>
  <c r="BS917" i="1"/>
  <c r="BS918" i="1" s="1"/>
  <c r="BI5" i="9"/>
  <c r="BI1008" i="1"/>
  <c r="BL997" i="1"/>
  <c r="BM495" i="1"/>
  <c r="BM1259" i="1"/>
  <c r="BM1267" i="1"/>
  <c r="BL1267" i="1"/>
  <c r="BN1275" i="1"/>
  <c r="BO1267" i="1"/>
  <c r="BQ3" i="13"/>
  <c r="BQ3" i="11"/>
  <c r="BM762" i="1"/>
  <c r="BM798" i="1"/>
  <c r="BM764" i="1"/>
  <c r="N95" i="10"/>
  <c r="BS914" i="1" l="1"/>
  <c r="BS915" i="1" s="1"/>
  <c r="P95" i="10"/>
  <c r="Q95" i="10"/>
  <c r="BL968" i="1"/>
  <c r="BL964" i="1"/>
  <c r="BR3" i="13"/>
  <c r="BR3" i="11"/>
  <c r="BR907" i="1"/>
  <c r="BS906" i="1"/>
  <c r="BS907" i="1" s="1"/>
  <c r="BH973" i="1"/>
  <c r="BH975" i="1"/>
  <c r="BM47" i="9"/>
  <c r="BM505" i="1"/>
  <c r="BM500" i="1"/>
  <c r="BM497" i="1"/>
  <c r="BM1260" i="1"/>
  <c r="BK968" i="1"/>
  <c r="BK964" i="1"/>
  <c r="BS1" i="9"/>
  <c r="BS1397" i="1"/>
  <c r="BS515" i="1"/>
  <c r="BS3" i="1"/>
  <c r="BR868" i="1" s="1"/>
  <c r="BR900" i="1" s="1"/>
  <c r="BT4" i="1"/>
  <c r="BS4" i="11"/>
  <c r="BS4" i="13"/>
  <c r="BR911" i="1"/>
  <c r="BS910" i="1"/>
  <c r="BS911" i="1" s="1"/>
  <c r="BI14" i="13"/>
  <c r="BI1781" i="13" s="1"/>
  <c r="BI999" i="1"/>
  <c r="BI1009" i="1"/>
  <c r="BI1014" i="1"/>
  <c r="BR866" i="1"/>
  <c r="BS920" i="1"/>
  <c r="BS921" i="1" s="1"/>
  <c r="BM797" i="1"/>
  <c r="BM806" i="1"/>
  <c r="BM807" i="1" s="1"/>
  <c r="BM996" i="1" s="1"/>
  <c r="BM997" i="1" s="1"/>
  <c r="BI6" i="9"/>
  <c r="BI120" i="9"/>
  <c r="BI84" i="9"/>
  <c r="BI129" i="9" s="1"/>
  <c r="BI121" i="9"/>
  <c r="BI124" i="9"/>
  <c r="BI85" i="9"/>
  <c r="BI87" i="9" s="1"/>
  <c r="BI122" i="9"/>
  <c r="BR1367" i="1"/>
  <c r="BR1181" i="1" l="1"/>
  <c r="BR869" i="1"/>
  <c r="BR901" i="1" s="1"/>
  <c r="BR926" i="1" s="1"/>
  <c r="BT1" i="9"/>
  <c r="BT1397" i="1"/>
  <c r="BT919" i="1"/>
  <c r="BT910" i="1"/>
  <c r="BT914" i="1"/>
  <c r="BT913" i="1"/>
  <c r="BT912" i="1"/>
  <c r="BT906" i="1"/>
  <c r="BT905" i="1"/>
  <c r="BT904" i="1"/>
  <c r="BU788" i="1"/>
  <c r="BT909" i="1"/>
  <c r="BT908" i="1"/>
  <c r="BT916" i="1"/>
  <c r="BT917" i="1"/>
  <c r="BT922" i="1"/>
  <c r="BT923" i="1"/>
  <c r="BT515" i="1"/>
  <c r="BT920" i="1"/>
  <c r="BT3" i="1"/>
  <c r="BT1367" i="1" s="1"/>
  <c r="BT924" i="1"/>
  <c r="BU4" i="1"/>
  <c r="BT4" i="11"/>
  <c r="BT4" i="13"/>
  <c r="BI1012" i="1"/>
  <c r="BI1000" i="1"/>
  <c r="BI976" i="1" s="1"/>
  <c r="BI1015" i="1"/>
  <c r="BP953" i="1"/>
  <c r="BO882" i="1"/>
  <c r="BP879" i="1"/>
  <c r="BP880" i="1" s="1"/>
  <c r="BO874" i="1"/>
  <c r="BQ891" i="1"/>
  <c r="BO889" i="1"/>
  <c r="BP886" i="1"/>
  <c r="BP887" i="1" s="1"/>
  <c r="BQ883" i="1"/>
  <c r="BQ884" i="1" s="1"/>
  <c r="BO881" i="1"/>
  <c r="BP878" i="1"/>
  <c r="BQ875" i="1"/>
  <c r="BQ876" i="1" s="1"/>
  <c r="BO873" i="1"/>
  <c r="BO879" i="1"/>
  <c r="BO878" i="1"/>
  <c r="BP877" i="1"/>
  <c r="BP875" i="1"/>
  <c r="BP876" i="1" s="1"/>
  <c r="BQ874" i="1"/>
  <c r="BQ873" i="1"/>
  <c r="BO877" i="1"/>
  <c r="BO875" i="1"/>
  <c r="BP874" i="1"/>
  <c r="BP873" i="1"/>
  <c r="BR953" i="1"/>
  <c r="BQ953" i="1"/>
  <c r="BO891" i="1"/>
  <c r="BP882" i="1"/>
  <c r="BQ878" i="1"/>
  <c r="BR874" i="1"/>
  <c r="BQ888" i="1"/>
  <c r="BP883" i="1"/>
  <c r="BP884" i="1" s="1"/>
  <c r="BR879" i="1"/>
  <c r="BR880" i="1" s="1"/>
  <c r="BP888" i="1"/>
  <c r="BO883" i="1"/>
  <c r="BQ879" i="1"/>
  <c r="BQ880" i="1" s="1"/>
  <c r="BP760" i="1"/>
  <c r="BO953" i="1"/>
  <c r="BQ889" i="1"/>
  <c r="BQ890" i="1" s="1"/>
  <c r="BO888" i="1"/>
  <c r="BP889" i="1"/>
  <c r="BP890" i="1" s="1"/>
  <c r="BQ885" i="1"/>
  <c r="BO886" i="1"/>
  <c r="BQ881" i="1"/>
  <c r="BP881" i="1"/>
  <c r="BR878" i="1"/>
  <c r="BP885" i="1"/>
  <c r="BR882" i="1"/>
  <c r="BQ886" i="1"/>
  <c r="BQ887" i="1" s="1"/>
  <c r="BQ877" i="1"/>
  <c r="BP891" i="1"/>
  <c r="BO885" i="1"/>
  <c r="BQ882" i="1"/>
  <c r="BR875" i="1"/>
  <c r="BR876" i="1" s="1"/>
  <c r="BR484" i="1"/>
  <c r="BR877" i="1"/>
  <c r="BR886" i="1"/>
  <c r="BR887" i="1" s="1"/>
  <c r="BR885" i="1"/>
  <c r="BR873" i="1"/>
  <c r="BR889" i="1"/>
  <c r="BR890" i="1" s="1"/>
  <c r="BO1180" i="1"/>
  <c r="BQ760" i="1"/>
  <c r="BR883" i="1"/>
  <c r="BR884" i="1" s="1"/>
  <c r="BR891" i="1"/>
  <c r="BP1180" i="1"/>
  <c r="BR888" i="1"/>
  <c r="BR881" i="1"/>
  <c r="BO760" i="1"/>
  <c r="BO1179" i="1"/>
  <c r="BQ758" i="1"/>
  <c r="BQ1180" i="1"/>
  <c r="BQ1179" i="1"/>
  <c r="BP758" i="1"/>
  <c r="BO758" i="1"/>
  <c r="BR758" i="1"/>
  <c r="BP1179" i="1"/>
  <c r="BR1179" i="1"/>
  <c r="BO762" i="1"/>
  <c r="BP762" i="1"/>
  <c r="BQ762" i="1"/>
  <c r="BR1180" i="1"/>
  <c r="BS3" i="13"/>
  <c r="BS3" i="11"/>
  <c r="BO893" i="1"/>
  <c r="BO892" i="1"/>
  <c r="BP892" i="1"/>
  <c r="BP893" i="1"/>
  <c r="BO949" i="1"/>
  <c r="BO869" i="1"/>
  <c r="BO1181" i="1"/>
  <c r="BO868" i="1"/>
  <c r="BO1182" i="1"/>
  <c r="BP949" i="1"/>
  <c r="BP868" i="1"/>
  <c r="BP900" i="1" s="1"/>
  <c r="BP869" i="1"/>
  <c r="BP901" i="1" s="1"/>
  <c r="BP1182" i="1"/>
  <c r="BQ892" i="1"/>
  <c r="BP1181" i="1"/>
  <c r="BQ893" i="1"/>
  <c r="BQ1182" i="1"/>
  <c r="BQ868" i="1"/>
  <c r="BQ900" i="1" s="1"/>
  <c r="BQ869" i="1"/>
  <c r="BQ901" i="1" s="1"/>
  <c r="BQ1181" i="1"/>
  <c r="BR892" i="1"/>
  <c r="BR893" i="1"/>
  <c r="BQ949" i="1"/>
  <c r="BI11" i="9"/>
  <c r="BI130" i="9"/>
  <c r="BI973" i="1"/>
  <c r="BI975" i="1"/>
  <c r="BM138" i="9"/>
  <c r="BM103" i="9"/>
  <c r="BM49" i="9"/>
  <c r="BM506" i="1"/>
  <c r="BM526" i="1"/>
  <c r="BM968" i="1"/>
  <c r="BM964" i="1"/>
  <c r="BM56" i="9"/>
  <c r="BM507" i="1"/>
  <c r="BM57" i="9" s="1"/>
  <c r="BM88" i="9" s="1"/>
  <c r="BN1276" i="1"/>
  <c r="BS1367" i="1"/>
  <c r="BR1182" i="1"/>
  <c r="N96" i="10"/>
  <c r="BP926" i="1" l="1"/>
  <c r="BP928" i="1" s="1"/>
  <c r="BP802" i="1" s="1"/>
  <c r="BS878" i="1"/>
  <c r="BQ926" i="1"/>
  <c r="BQ928" i="1" s="1"/>
  <c r="BQ802" i="1" s="1"/>
  <c r="Q96" i="10"/>
  <c r="P96" i="10"/>
  <c r="BT921" i="1"/>
  <c r="BT911" i="1"/>
  <c r="BR759" i="1"/>
  <c r="BR40" i="9"/>
  <c r="BR42" i="9" s="1"/>
  <c r="BR487" i="1"/>
  <c r="BO880" i="1"/>
  <c r="BS879" i="1"/>
  <c r="BS880" i="1" s="1"/>
  <c r="BQ896" i="1"/>
  <c r="BQ795" i="1" s="1"/>
  <c r="BQ797" i="1" s="1"/>
  <c r="BO954" i="1"/>
  <c r="BO955" i="1"/>
  <c r="BO876" i="1"/>
  <c r="BS875" i="1"/>
  <c r="BS876" i="1" s="1"/>
  <c r="BS873" i="1"/>
  <c r="BS874" i="1"/>
  <c r="BT918" i="1"/>
  <c r="BM50" i="9"/>
  <c r="BT915" i="1"/>
  <c r="BR954" i="1"/>
  <c r="BR955" i="1"/>
  <c r="BU810" i="1"/>
  <c r="BU789" i="1"/>
  <c r="BM137" i="9"/>
  <c r="BM98" i="9"/>
  <c r="BP957" i="1"/>
  <c r="BP958" i="1" s="1"/>
  <c r="BP932" i="1" s="1"/>
  <c r="BP950" i="1"/>
  <c r="BP942" i="1" s="1"/>
  <c r="BP943" i="1" s="1"/>
  <c r="BS892" i="1"/>
  <c r="BS877" i="1"/>
  <c r="BU1" i="9"/>
  <c r="BU1397" i="1"/>
  <c r="BU916" i="1"/>
  <c r="BU908" i="1"/>
  <c r="BU910" i="1"/>
  <c r="BU911" i="1" s="1"/>
  <c r="BU909" i="1"/>
  <c r="BU864" i="1"/>
  <c r="BU860" i="1"/>
  <c r="BU852" i="1"/>
  <c r="BU863" i="1"/>
  <c r="BU857" i="1"/>
  <c r="BU849" i="1"/>
  <c r="BU844" i="1"/>
  <c r="BU862" i="1"/>
  <c r="BU854" i="1"/>
  <c r="BU912" i="1"/>
  <c r="BU904" i="1"/>
  <c r="BU859" i="1"/>
  <c r="BU848" i="1"/>
  <c r="BU917" i="1"/>
  <c r="BU918" i="1" s="1"/>
  <c r="BU922" i="1"/>
  <c r="BU913" i="1"/>
  <c r="BU905" i="1"/>
  <c r="BU923" i="1"/>
  <c r="BU924" i="1"/>
  <c r="BU914" i="1"/>
  <c r="BU915" i="1" s="1"/>
  <c r="BU906" i="1"/>
  <c r="BU907" i="1" s="1"/>
  <c r="BU845" i="1"/>
  <c r="BU853" i="1"/>
  <c r="BU846" i="1"/>
  <c r="BU856" i="1"/>
  <c r="BV788" i="1"/>
  <c r="BU850" i="1"/>
  <c r="BU920" i="1"/>
  <c r="BU921" i="1" s="1"/>
  <c r="BU919" i="1"/>
  <c r="BU3" i="1"/>
  <c r="BU1367" i="1" s="1"/>
  <c r="BV4" i="1"/>
  <c r="BU4" i="11"/>
  <c r="BU4" i="13"/>
  <c r="BT907" i="1"/>
  <c r="BQ957" i="1"/>
  <c r="BQ958" i="1" s="1"/>
  <c r="BQ932" i="1" s="1"/>
  <c r="BQ950" i="1"/>
  <c r="BQ942" i="1" s="1"/>
  <c r="BQ943" i="1" s="1"/>
  <c r="BR896" i="1"/>
  <c r="BR795" i="1" s="1"/>
  <c r="BO890" i="1"/>
  <c r="BS889" i="1"/>
  <c r="BS890" i="1" s="1"/>
  <c r="BQ955" i="1"/>
  <c r="BQ954" i="1"/>
  <c r="BO901" i="1"/>
  <c r="BS869" i="1"/>
  <c r="BS901" i="1" s="1"/>
  <c r="BM104" i="9"/>
  <c r="BP104" i="9"/>
  <c r="BO104" i="9"/>
  <c r="BQ104" i="9"/>
  <c r="BO957" i="1"/>
  <c r="BO958" i="1" s="1"/>
  <c r="BO932" i="1" s="1"/>
  <c r="BO950" i="1"/>
  <c r="BO942" i="1" s="1"/>
  <c r="BO943" i="1" s="1"/>
  <c r="BR949" i="1"/>
  <c r="BS888" i="1"/>
  <c r="BS893" i="1"/>
  <c r="BS885" i="1"/>
  <c r="BS882" i="1"/>
  <c r="BM527" i="1"/>
  <c r="BN526" i="1"/>
  <c r="BM529" i="1"/>
  <c r="BI128" i="9"/>
  <c r="BI131" i="9"/>
  <c r="BO900" i="1"/>
  <c r="BS868" i="1"/>
  <c r="BS900" i="1" s="1"/>
  <c r="BP896" i="1"/>
  <c r="BP795" i="1" s="1"/>
  <c r="BP797" i="1" s="1"/>
  <c r="BS886" i="1"/>
  <c r="BS887" i="1" s="1"/>
  <c r="BO887" i="1"/>
  <c r="BO884" i="1"/>
  <c r="BS883" i="1"/>
  <c r="BS884" i="1" s="1"/>
  <c r="BS891" i="1"/>
  <c r="BS881" i="1"/>
  <c r="BP955" i="1"/>
  <c r="BP954" i="1"/>
  <c r="BT3" i="11"/>
  <c r="BT3" i="13"/>
  <c r="BS926" i="1" l="1"/>
  <c r="BS927" i="1" s="1"/>
  <c r="BR927" i="1" s="1"/>
  <c r="BR928" i="1" s="1"/>
  <c r="BR802" i="1" s="1"/>
  <c r="BP806" i="1"/>
  <c r="BP807" i="1" s="1"/>
  <c r="BP996" i="1" s="1"/>
  <c r="BO896" i="1"/>
  <c r="BO795" i="1" s="1"/>
  <c r="BO797" i="1" s="1"/>
  <c r="BO926" i="1"/>
  <c r="BO928" i="1" s="1"/>
  <c r="BO802" i="1" s="1"/>
  <c r="BU847" i="1"/>
  <c r="BU823" i="1"/>
  <c r="BU855" i="1"/>
  <c r="BU831" i="1"/>
  <c r="BN529" i="1"/>
  <c r="BN527" i="1"/>
  <c r="BU3" i="11"/>
  <c r="BU3" i="13"/>
  <c r="BU834" i="1"/>
  <c r="BV810" i="1"/>
  <c r="BU790" i="1"/>
  <c r="BU818" i="1"/>
  <c r="BO111" i="9"/>
  <c r="BO107" i="9"/>
  <c r="BU858" i="1"/>
  <c r="BU826" i="1"/>
  <c r="BR947" i="1"/>
  <c r="BR950" i="1"/>
  <c r="BR942" i="1" s="1"/>
  <c r="BR943" i="1" s="1"/>
  <c r="BR957" i="1"/>
  <c r="BR958" i="1" s="1"/>
  <c r="BR932" i="1" s="1"/>
  <c r="BU828" i="1"/>
  <c r="BU832" i="1"/>
  <c r="BP938" i="1"/>
  <c r="BP937" i="1"/>
  <c r="BP934" i="1"/>
  <c r="BM99" i="9"/>
  <c r="BM102" i="9" s="1"/>
  <c r="BO99" i="9"/>
  <c r="BO102" i="9" s="1"/>
  <c r="BP99" i="9"/>
  <c r="BP102" i="9" s="1"/>
  <c r="BQ99" i="9"/>
  <c r="BQ102" i="9" s="1"/>
  <c r="BU833" i="1"/>
  <c r="BR760" i="1"/>
  <c r="BR761" i="1"/>
  <c r="BV1" i="9"/>
  <c r="BV1367" i="1"/>
  <c r="BV1397" i="1"/>
  <c r="BV923" i="1"/>
  <c r="BV913" i="1"/>
  <c r="BV904" i="1"/>
  <c r="BV924" i="1"/>
  <c r="BV920" i="1"/>
  <c r="BV921" i="1" s="1"/>
  <c r="BV912" i="1"/>
  <c r="BV906" i="1"/>
  <c r="BV907" i="1" s="1"/>
  <c r="BV908" i="1"/>
  <c r="BV863" i="1"/>
  <c r="BV857" i="1"/>
  <c r="BV858" i="1" s="1"/>
  <c r="BV849" i="1"/>
  <c r="BV844" i="1"/>
  <c r="BV862" i="1"/>
  <c r="BV854" i="1"/>
  <c r="BV855" i="1" s="1"/>
  <c r="BV859" i="1"/>
  <c r="BV853" i="1"/>
  <c r="BV845" i="1"/>
  <c r="BV917" i="1"/>
  <c r="BV922" i="1"/>
  <c r="BV905" i="1"/>
  <c r="BV864" i="1"/>
  <c r="BV909" i="1"/>
  <c r="BV914" i="1"/>
  <c r="BV915" i="1" s="1"/>
  <c r="BV919" i="1"/>
  <c r="BV910" i="1"/>
  <c r="BV860" i="1"/>
  <c r="BV861" i="1" s="1"/>
  <c r="BV850" i="1"/>
  <c r="BV851" i="1" s="1"/>
  <c r="BV916" i="1"/>
  <c r="BW788" i="1"/>
  <c r="BV848" i="1"/>
  <c r="BV856" i="1"/>
  <c r="BV846" i="1"/>
  <c r="BV847" i="1" s="1"/>
  <c r="BV852" i="1"/>
  <c r="BW4" i="1"/>
  <c r="BV3" i="1"/>
  <c r="BV4" i="13"/>
  <c r="BV4" i="11"/>
  <c r="BP111" i="9"/>
  <c r="BP107" i="9"/>
  <c r="BU819" i="1"/>
  <c r="BU851" i="1"/>
  <c r="BM111" i="9"/>
  <c r="BM107" i="9"/>
  <c r="BV789" i="1"/>
  <c r="BU821" i="1"/>
  <c r="BR491" i="1"/>
  <c r="BR503" i="1"/>
  <c r="BR502" i="1"/>
  <c r="BR804" i="1"/>
  <c r="BU791" i="1"/>
  <c r="BM5" i="9"/>
  <c r="BM1008" i="1"/>
  <c r="BO806" i="1"/>
  <c r="BO807" i="1" s="1"/>
  <c r="BO996" i="1" s="1"/>
  <c r="BU822" i="1"/>
  <c r="BO937" i="1"/>
  <c r="BO938" i="1"/>
  <c r="BO934" i="1"/>
  <c r="BQ107" i="9"/>
  <c r="BQ111" i="9"/>
  <c r="BQ937" i="1"/>
  <c r="BQ934" i="1"/>
  <c r="BQ938" i="1"/>
  <c r="BS896" i="1"/>
  <c r="BS795" i="1" s="1"/>
  <c r="BS797" i="1" s="1"/>
  <c r="BU825" i="1"/>
  <c r="BU829" i="1"/>
  <c r="BU861" i="1"/>
  <c r="BQ806" i="1"/>
  <c r="BQ807" i="1" s="1"/>
  <c r="BQ996" i="1" s="1"/>
  <c r="BO997" i="1" l="1"/>
  <c r="BO968" i="1" s="1"/>
  <c r="BP997" i="1"/>
  <c r="BU866" i="1"/>
  <c r="BU771" i="1" s="1"/>
  <c r="BQ997" i="1"/>
  <c r="BV833" i="1"/>
  <c r="BV832" i="1"/>
  <c r="BU773" i="1"/>
  <c r="BU770" i="1"/>
  <c r="BU827" i="1"/>
  <c r="BV826" i="1"/>
  <c r="BW917" i="1" s="1"/>
  <c r="BV818" i="1"/>
  <c r="BV831" i="1"/>
  <c r="BW922" i="1" s="1"/>
  <c r="BX922" i="1" s="1"/>
  <c r="BP968" i="1"/>
  <c r="BP964" i="1"/>
  <c r="BW789" i="1"/>
  <c r="BX788" i="1"/>
  <c r="BX789" i="1" s="1"/>
  <c r="BV834" i="1"/>
  <c r="BV822" i="1"/>
  <c r="BV3" i="11"/>
  <c r="BV3" i="13"/>
  <c r="BV828" i="1"/>
  <c r="BV825" i="1"/>
  <c r="BW810" i="1"/>
  <c r="BV790" i="1"/>
  <c r="BV791" i="1" s="1"/>
  <c r="BV918" i="1"/>
  <c r="BR798" i="1"/>
  <c r="BR762" i="1"/>
  <c r="BR764" i="1"/>
  <c r="BR937" i="1"/>
  <c r="BR934" i="1"/>
  <c r="BR938" i="1"/>
  <c r="BU824" i="1"/>
  <c r="BV823" i="1"/>
  <c r="BW914" i="1" s="1"/>
  <c r="BW915" i="1" s="1"/>
  <c r="BQ968" i="1"/>
  <c r="BQ964" i="1"/>
  <c r="BV866" i="1"/>
  <c r="BV771" i="1" s="1"/>
  <c r="BO964" i="1"/>
  <c r="BW1" i="9"/>
  <c r="BW1397" i="1"/>
  <c r="BW862" i="1"/>
  <c r="BX862" i="1" s="1"/>
  <c r="BW854" i="1"/>
  <c r="BW855" i="1" s="1"/>
  <c r="BW859" i="1"/>
  <c r="BX859" i="1" s="1"/>
  <c r="BW856" i="1"/>
  <c r="BX856" i="1" s="1"/>
  <c r="BW848" i="1"/>
  <c r="BX848" i="1" s="1"/>
  <c r="BW860" i="1"/>
  <c r="BW861" i="1" s="1"/>
  <c r="BW850" i="1"/>
  <c r="BW908" i="1"/>
  <c r="BX908" i="1" s="1"/>
  <c r="BW905" i="1"/>
  <c r="BX905" i="1" s="1"/>
  <c r="BW864" i="1"/>
  <c r="BX864" i="1" s="1"/>
  <c r="BW923" i="1"/>
  <c r="BX923" i="1" s="1"/>
  <c r="BW863" i="1"/>
  <c r="BX863" i="1" s="1"/>
  <c r="BW924" i="1"/>
  <c r="BX924" i="1" s="1"/>
  <c r="BW919" i="1"/>
  <c r="BX919" i="1" s="1"/>
  <c r="BW906" i="1"/>
  <c r="BW907" i="1" s="1"/>
  <c r="BW853" i="1"/>
  <c r="BX853" i="1" s="1"/>
  <c r="BW852" i="1"/>
  <c r="BX852" i="1" s="1"/>
  <c r="BW846" i="1"/>
  <c r="BW845" i="1"/>
  <c r="BX845" i="1" s="1"/>
  <c r="BW857" i="1"/>
  <c r="BW844" i="1"/>
  <c r="BX844" i="1" s="1"/>
  <c r="BW916" i="1"/>
  <c r="BX916" i="1" s="1"/>
  <c r="BW904" i="1"/>
  <c r="BX904" i="1" s="1"/>
  <c r="BX4" i="1"/>
  <c r="BW3" i="1"/>
  <c r="BW4" i="13"/>
  <c r="BW4" i="11"/>
  <c r="BV911" i="1"/>
  <c r="BN5" i="9"/>
  <c r="BN1008" i="1"/>
  <c r="BM6" i="9"/>
  <c r="BM11" i="9" s="1"/>
  <c r="BM120" i="9"/>
  <c r="BM84" i="9"/>
  <c r="BM124" i="9"/>
  <c r="BM121" i="9"/>
  <c r="BM85" i="9"/>
  <c r="BM87" i="9" s="1"/>
  <c r="BM122" i="9"/>
  <c r="BV821" i="1"/>
  <c r="BW912" i="1" s="1"/>
  <c r="BX912" i="1" s="1"/>
  <c r="BV829" i="1"/>
  <c r="BW920" i="1" s="1"/>
  <c r="BU830" i="1"/>
  <c r="BR495" i="1"/>
  <c r="BR1259" i="1"/>
  <c r="BR1267" i="1"/>
  <c r="BQ1267" i="1"/>
  <c r="BS1275" i="1"/>
  <c r="BM14" i="13"/>
  <c r="BM1781" i="13" s="1"/>
  <c r="BM999" i="1"/>
  <c r="BM1009" i="1"/>
  <c r="BM1000" i="1" s="1"/>
  <c r="BM976" i="1" s="1"/>
  <c r="BU820" i="1"/>
  <c r="BV819" i="1"/>
  <c r="N41" i="10"/>
  <c r="BW833" i="1" l="1"/>
  <c r="BX833" i="1" s="1"/>
  <c r="BU779" i="1"/>
  <c r="BU780" i="1" s="1"/>
  <c r="BU782" i="1" s="1"/>
  <c r="BU835" i="1"/>
  <c r="BU774" i="1" s="1"/>
  <c r="BU753" i="1" s="1"/>
  <c r="Q41" i="10"/>
  <c r="P41" i="10"/>
  <c r="BW918" i="1"/>
  <c r="BX917" i="1"/>
  <c r="BX918" i="1" s="1"/>
  <c r="BU837" i="1"/>
  <c r="BW829" i="1"/>
  <c r="BV830" i="1"/>
  <c r="BW858" i="1"/>
  <c r="BX857" i="1"/>
  <c r="BX858" i="1" s="1"/>
  <c r="BW790" i="1"/>
  <c r="BW791" i="1" s="1"/>
  <c r="BX810" i="1"/>
  <c r="BX1" i="9"/>
  <c r="BX1397" i="1"/>
  <c r="BY788" i="1"/>
  <c r="BY4" i="1"/>
  <c r="BX3" i="1"/>
  <c r="BV889" i="1" s="1"/>
  <c r="BV890" i="1" s="1"/>
  <c r="BX4" i="13"/>
  <c r="BX4" i="11"/>
  <c r="BX914" i="1"/>
  <c r="BX915" i="1" s="1"/>
  <c r="BX860" i="1"/>
  <c r="BX861" i="1" s="1"/>
  <c r="BU733" i="1"/>
  <c r="BR47" i="9"/>
  <c r="BR505" i="1"/>
  <c r="BR500" i="1"/>
  <c r="BR497" i="1"/>
  <c r="BR1260" i="1"/>
  <c r="BW3" i="13"/>
  <c r="BW3" i="11"/>
  <c r="BV770" i="1"/>
  <c r="BV773" i="1"/>
  <c r="BV733" i="1" s="1"/>
  <c r="BV879" i="1"/>
  <c r="BV880" i="1" s="1"/>
  <c r="BW819" i="1"/>
  <c r="BV820" i="1"/>
  <c r="BW821" i="1"/>
  <c r="BW910" i="1"/>
  <c r="BW832" i="1"/>
  <c r="BX832" i="1" s="1"/>
  <c r="BW851" i="1"/>
  <c r="BX850" i="1"/>
  <c r="BX851" i="1" s="1"/>
  <c r="BW828" i="1"/>
  <c r="BN14" i="13"/>
  <c r="BN1781" i="13" s="1"/>
  <c r="BN999" i="1"/>
  <c r="BN1009" i="1"/>
  <c r="BN1014" i="1"/>
  <c r="BW921" i="1"/>
  <c r="BX920" i="1"/>
  <c r="BX921" i="1" s="1"/>
  <c r="BM973" i="1"/>
  <c r="BM975" i="1"/>
  <c r="BX854" i="1"/>
  <c r="BX855" i="1" s="1"/>
  <c r="BX906" i="1"/>
  <c r="BX907" i="1" s="1"/>
  <c r="BV882" i="1"/>
  <c r="BW822" i="1"/>
  <c r="BW909" i="1"/>
  <c r="BX909" i="1" s="1"/>
  <c r="BW826" i="1"/>
  <c r="BV827" i="1"/>
  <c r="BW847" i="1"/>
  <c r="BX846" i="1"/>
  <c r="BX847" i="1" s="1"/>
  <c r="BN6" i="9"/>
  <c r="BN120" i="9"/>
  <c r="BN84" i="9"/>
  <c r="BN129" i="9" s="1"/>
  <c r="BN85" i="9"/>
  <c r="BN87" i="9" s="1"/>
  <c r="BN121" i="9"/>
  <c r="BN124" i="9"/>
  <c r="BN122" i="9"/>
  <c r="BW913" i="1"/>
  <c r="BX913" i="1" s="1"/>
  <c r="BW1367" i="1"/>
  <c r="BV824" i="1"/>
  <c r="BV883" i="1"/>
  <c r="BV884" i="1" s="1"/>
  <c r="BW823" i="1"/>
  <c r="BR797" i="1"/>
  <c r="BR806" i="1"/>
  <c r="BR807" i="1" s="1"/>
  <c r="BR996" i="1" s="1"/>
  <c r="BR997" i="1" s="1"/>
  <c r="BW849" i="1"/>
  <c r="BV885" i="1"/>
  <c r="BW825" i="1"/>
  <c r="BV891" i="1"/>
  <c r="BW831" i="1"/>
  <c r="BV779" i="1" l="1"/>
  <c r="BV780" i="1" s="1"/>
  <c r="BV782" i="1" s="1"/>
  <c r="BX510" i="1"/>
  <c r="BV835" i="1"/>
  <c r="BV888" i="1"/>
  <c r="BV881" i="1"/>
  <c r="BX1367" i="1"/>
  <c r="BV886" i="1"/>
  <c r="BV887" i="1" s="1"/>
  <c r="BV878" i="1"/>
  <c r="BW869" i="1"/>
  <c r="BW901" i="1" s="1"/>
  <c r="BV837" i="1"/>
  <c r="BV774" i="1"/>
  <c r="BV1110" i="1" s="1"/>
  <c r="BN1000" i="1"/>
  <c r="BN976" i="1" s="1"/>
  <c r="BN1012" i="1"/>
  <c r="BN1015" i="1"/>
  <c r="BW879" i="1"/>
  <c r="BW880" i="1" s="1"/>
  <c r="BX819" i="1"/>
  <c r="BW820" i="1"/>
  <c r="BU80" i="9"/>
  <c r="BU1140" i="1"/>
  <c r="BY789" i="1"/>
  <c r="BW883" i="1"/>
  <c r="BW884" i="1" s="1"/>
  <c r="BX823" i="1"/>
  <c r="BW824" i="1"/>
  <c r="BN973" i="1"/>
  <c r="BN975" i="1"/>
  <c r="BX831" i="1"/>
  <c r="BW891" i="1"/>
  <c r="BV80" i="9"/>
  <c r="BV1140" i="1"/>
  <c r="BV1153" i="1" s="1"/>
  <c r="BR49" i="9"/>
  <c r="BR506" i="1"/>
  <c r="BR526" i="1"/>
  <c r="BW882" i="1"/>
  <c r="BX822" i="1"/>
  <c r="BW888" i="1"/>
  <c r="BX828" i="1"/>
  <c r="BR56" i="9"/>
  <c r="BR507" i="1"/>
  <c r="BR57" i="9" s="1"/>
  <c r="BR88" i="9" s="1"/>
  <c r="BS1276" i="1"/>
  <c r="BW889" i="1"/>
  <c r="BW890" i="1" s="1"/>
  <c r="BX829" i="1"/>
  <c r="BW830" i="1"/>
  <c r="BR968" i="1"/>
  <c r="BR964" i="1"/>
  <c r="BU8" i="9"/>
  <c r="BU1263" i="1"/>
  <c r="BU1262" i="1"/>
  <c r="BV753" i="1"/>
  <c r="BW885" i="1"/>
  <c r="BX825" i="1"/>
  <c r="BW911" i="1"/>
  <c r="BX910" i="1"/>
  <c r="BX911" i="1" s="1"/>
  <c r="BW886" i="1"/>
  <c r="BW887" i="1" s="1"/>
  <c r="BX826" i="1"/>
  <c r="BW827" i="1"/>
  <c r="BN11" i="9"/>
  <c r="BN130" i="9"/>
  <c r="BR138" i="9"/>
  <c r="BR103" i="9"/>
  <c r="BT891" i="1"/>
  <c r="BT883" i="1"/>
  <c r="BV877" i="1"/>
  <c r="BT875" i="1"/>
  <c r="BW874" i="1"/>
  <c r="BT882" i="1"/>
  <c r="BT874" i="1"/>
  <c r="BW873" i="1"/>
  <c r="BT953" i="1"/>
  <c r="BT889" i="1"/>
  <c r="BT888" i="1"/>
  <c r="BT886" i="1"/>
  <c r="BT885" i="1"/>
  <c r="BW877" i="1"/>
  <c r="BT873" i="1"/>
  <c r="BU873" i="1"/>
  <c r="BT881" i="1"/>
  <c r="BU877" i="1"/>
  <c r="BW875" i="1"/>
  <c r="BW876" i="1" s="1"/>
  <c r="BT877" i="1"/>
  <c r="BT878" i="1"/>
  <c r="BT760" i="1"/>
  <c r="BT879" i="1"/>
  <c r="BU875" i="1"/>
  <c r="BU876" i="1" s="1"/>
  <c r="BV874" i="1"/>
  <c r="BU874" i="1"/>
  <c r="BV875" i="1"/>
  <c r="BV876" i="1" s="1"/>
  <c r="BV873" i="1"/>
  <c r="BU932" i="1"/>
  <c r="BT758" i="1"/>
  <c r="BT1179" i="1"/>
  <c r="BX1179" i="1" s="1"/>
  <c r="BT762" i="1"/>
  <c r="BT1180" i="1"/>
  <c r="BX1180" i="1" s="1"/>
  <c r="BX3" i="11"/>
  <c r="BX3" i="13"/>
  <c r="BT893" i="1"/>
  <c r="BU893" i="1"/>
  <c r="BU892" i="1"/>
  <c r="BT892" i="1"/>
  <c r="BU838" i="1"/>
  <c r="BU751" i="1" s="1"/>
  <c r="BU752" i="1" s="1"/>
  <c r="BT868" i="1"/>
  <c r="BT949" i="1"/>
  <c r="BT1181" i="1"/>
  <c r="BT1182" i="1"/>
  <c r="BT869" i="1"/>
  <c r="BU868" i="1"/>
  <c r="BU900" i="1" s="1"/>
  <c r="BV892" i="1"/>
  <c r="BU1174" i="1"/>
  <c r="BV893" i="1"/>
  <c r="BU949" i="1"/>
  <c r="BU957" i="1" s="1"/>
  <c r="BU1168" i="1"/>
  <c r="BU894" i="1"/>
  <c r="BU869" i="1"/>
  <c r="BU901" i="1" s="1"/>
  <c r="BV868" i="1"/>
  <c r="BV900" i="1" s="1"/>
  <c r="BU759" i="1"/>
  <c r="BW893" i="1"/>
  <c r="BV838" i="1"/>
  <c r="BV751" i="1" s="1"/>
  <c r="BU883" i="1"/>
  <c r="BU884" i="1" s="1"/>
  <c r="BU879" i="1"/>
  <c r="BU880" i="1" s="1"/>
  <c r="BU889" i="1"/>
  <c r="BU890" i="1" s="1"/>
  <c r="BU885" i="1"/>
  <c r="BW892" i="1"/>
  <c r="BU882" i="1"/>
  <c r="BU891" i="1"/>
  <c r="BU886" i="1"/>
  <c r="BU887" i="1" s="1"/>
  <c r="BU888" i="1"/>
  <c r="BU881" i="1"/>
  <c r="BU878" i="1"/>
  <c r="BV894" i="1"/>
  <c r="BV869" i="1"/>
  <c r="BV901" i="1" s="1"/>
  <c r="BW868" i="1"/>
  <c r="BW900" i="1" s="1"/>
  <c r="BW865" i="1"/>
  <c r="BX849" i="1"/>
  <c r="BW818" i="1"/>
  <c r="BW881" i="1"/>
  <c r="BX821" i="1"/>
  <c r="BY1" i="9"/>
  <c r="BY1397" i="1"/>
  <c r="BY924" i="1"/>
  <c r="BY920" i="1"/>
  <c r="BY912" i="1"/>
  <c r="BY906" i="1"/>
  <c r="BY919" i="1"/>
  <c r="BY856" i="1"/>
  <c r="BY848" i="1"/>
  <c r="BY853" i="1"/>
  <c r="BY923" i="1"/>
  <c r="BY922" i="1"/>
  <c r="BY850" i="1"/>
  <c r="BY846" i="1"/>
  <c r="BY917" i="1"/>
  <c r="BY916" i="1"/>
  <c r="BY862" i="1"/>
  <c r="BY844" i="1"/>
  <c r="BY909" i="1"/>
  <c r="BY863" i="1"/>
  <c r="BY914" i="1"/>
  <c r="BY854" i="1"/>
  <c r="BY852" i="1"/>
  <c r="BY910" i="1"/>
  <c r="BZ788" i="1"/>
  <c r="BY857" i="1"/>
  <c r="BY845" i="1"/>
  <c r="BY860" i="1"/>
  <c r="BY904" i="1"/>
  <c r="BY849" i="1"/>
  <c r="BY908" i="1"/>
  <c r="BY905" i="1"/>
  <c r="BY864" i="1"/>
  <c r="BZ4" i="1"/>
  <c r="BY859" i="1"/>
  <c r="BY913" i="1"/>
  <c r="BY3" i="1"/>
  <c r="BY1367" i="1" s="1"/>
  <c r="BY4" i="11"/>
  <c r="BY4" i="13"/>
  <c r="BX790" i="1"/>
  <c r="BX791" i="1" s="1"/>
  <c r="BY810" i="1"/>
  <c r="BU1110" i="1"/>
  <c r="N42" i="10"/>
  <c r="BY822" i="1" l="1"/>
  <c r="BY821" i="1"/>
  <c r="BY828" i="1"/>
  <c r="BU839" i="1"/>
  <c r="BX882" i="1"/>
  <c r="BY831" i="1"/>
  <c r="P42" i="10"/>
  <c r="Q42" i="10"/>
  <c r="BU958" i="1"/>
  <c r="BU1113" i="1" s="1"/>
  <c r="BU938" i="1"/>
  <c r="BU935" i="1"/>
  <c r="BX885" i="1"/>
  <c r="BX893" i="1"/>
  <c r="BX875" i="1"/>
  <c r="BX876" i="1" s="1"/>
  <c r="BT876" i="1"/>
  <c r="BX818" i="1"/>
  <c r="BY818" i="1" s="1"/>
  <c r="BW878" i="1"/>
  <c r="BX878" i="1" s="1"/>
  <c r="BT957" i="1"/>
  <c r="BT950" i="1"/>
  <c r="BT890" i="1"/>
  <c r="BX889" i="1"/>
  <c r="BX890" i="1" s="1"/>
  <c r="BX883" i="1"/>
  <c r="BX884" i="1" s="1"/>
  <c r="BT884" i="1"/>
  <c r="BR527" i="1"/>
  <c r="BR529" i="1"/>
  <c r="BS526" i="1"/>
  <c r="BY847" i="1"/>
  <c r="BY861" i="1"/>
  <c r="BY851" i="1"/>
  <c r="BX877" i="1"/>
  <c r="BU1238" i="1"/>
  <c r="BU983" i="1"/>
  <c r="BY921" i="1"/>
  <c r="BX888" i="1"/>
  <c r="BX827" i="1"/>
  <c r="BY826" i="1"/>
  <c r="BZ789" i="1"/>
  <c r="BY911" i="1"/>
  <c r="BV1232" i="1"/>
  <c r="BV982" i="1"/>
  <c r="BX868" i="1"/>
  <c r="BX900" i="1" s="1"/>
  <c r="BT900" i="1"/>
  <c r="BX881" i="1"/>
  <c r="BU953" i="1"/>
  <c r="BT955" i="1"/>
  <c r="BT954" i="1"/>
  <c r="BX891" i="1"/>
  <c r="BR50" i="9"/>
  <c r="BY855" i="1"/>
  <c r="BY907" i="1"/>
  <c r="BN128" i="9"/>
  <c r="BN131" i="9"/>
  <c r="BZ1" i="9"/>
  <c r="BZ1397" i="1"/>
  <c r="BZ909" i="1"/>
  <c r="BZ908" i="1"/>
  <c r="BZ853" i="1"/>
  <c r="BZ822" i="1" s="1"/>
  <c r="BZ923" i="1"/>
  <c r="BZ922" i="1"/>
  <c r="BZ846" i="1"/>
  <c r="BZ847" i="1" s="1"/>
  <c r="BZ924" i="1"/>
  <c r="BZ919" i="1"/>
  <c r="BZ845" i="1"/>
  <c r="CA788" i="1"/>
  <c r="BZ914" i="1"/>
  <c r="BZ915" i="1" s="1"/>
  <c r="BZ913" i="1"/>
  <c r="BZ905" i="1"/>
  <c r="BZ904" i="1"/>
  <c r="BZ857" i="1"/>
  <c r="BZ858" i="1" s="1"/>
  <c r="BZ852" i="1"/>
  <c r="BZ821" i="1" s="1"/>
  <c r="BZ854" i="1"/>
  <c r="BZ855" i="1" s="1"/>
  <c r="BZ906" i="1"/>
  <c r="BZ907" i="1" s="1"/>
  <c r="BZ862" i="1"/>
  <c r="BZ849" i="1"/>
  <c r="BZ848" i="1"/>
  <c r="BZ844" i="1"/>
  <c r="BZ864" i="1"/>
  <c r="BZ863" i="1"/>
  <c r="BZ859" i="1"/>
  <c r="BZ828" i="1" s="1"/>
  <c r="BZ912" i="1"/>
  <c r="BZ860" i="1"/>
  <c r="BZ861" i="1" s="1"/>
  <c r="BZ856" i="1"/>
  <c r="CA4" i="1"/>
  <c r="BZ3" i="1"/>
  <c r="BZ1367" i="1" s="1"/>
  <c r="BZ4" i="13"/>
  <c r="BZ4" i="11"/>
  <c r="BU1181" i="1"/>
  <c r="BU477" i="1"/>
  <c r="BU1217" i="1"/>
  <c r="BX865" i="1"/>
  <c r="BX866" i="1" s="1"/>
  <c r="BW769" i="1"/>
  <c r="BW866" i="1"/>
  <c r="BW771" i="1" s="1"/>
  <c r="BW834" i="1"/>
  <c r="BU1216" i="1"/>
  <c r="BU246" i="1"/>
  <c r="BU1182" i="1"/>
  <c r="BU1232" i="1"/>
  <c r="BU982" i="1"/>
  <c r="BR104" i="9"/>
  <c r="BT104" i="9"/>
  <c r="BR137" i="9"/>
  <c r="BR98" i="9"/>
  <c r="BY823" i="1"/>
  <c r="BX824" i="1"/>
  <c r="BX820" i="1"/>
  <c r="BY819" i="1"/>
  <c r="BZ910" i="1" s="1"/>
  <c r="BZ911" i="1" s="1"/>
  <c r="BV839" i="1"/>
  <c r="BY915" i="1"/>
  <c r="BV896" i="1"/>
  <c r="BV795" i="1" s="1"/>
  <c r="BV798" i="1" s="1"/>
  <c r="BV757" i="1" s="1"/>
  <c r="BV925" i="1"/>
  <c r="BV926" i="1" s="1"/>
  <c r="BV928" i="1" s="1"/>
  <c r="BV802" i="1" s="1"/>
  <c r="BT901" i="1"/>
  <c r="BX869" i="1"/>
  <c r="BV8" i="9"/>
  <c r="BV1263" i="1"/>
  <c r="BV1262" i="1"/>
  <c r="BV752" i="1"/>
  <c r="BU925" i="1"/>
  <c r="BU896" i="1"/>
  <c r="BU795" i="1" s="1"/>
  <c r="BU798" i="1" s="1"/>
  <c r="BU757" i="1" s="1"/>
  <c r="BX886" i="1"/>
  <c r="BX887" i="1" s="1"/>
  <c r="BT887" i="1"/>
  <c r="BY829" i="1"/>
  <c r="BZ920" i="1" s="1"/>
  <c r="BZ921" i="1" s="1"/>
  <c r="BX830" i="1"/>
  <c r="BZ810" i="1"/>
  <c r="BY790" i="1"/>
  <c r="BY791" i="1" s="1"/>
  <c r="BY833" i="1"/>
  <c r="BZ833" i="1" s="1"/>
  <c r="BY858" i="1"/>
  <c r="BY866" i="1" s="1"/>
  <c r="BY771" i="1" s="1"/>
  <c r="BU1153" i="1"/>
  <c r="BY3" i="11"/>
  <c r="BY3" i="13"/>
  <c r="BY918" i="1"/>
  <c r="BU484" i="1"/>
  <c r="BX892" i="1"/>
  <c r="BX879" i="1"/>
  <c r="BX880" i="1" s="1"/>
  <c r="BT880" i="1"/>
  <c r="BX873" i="1"/>
  <c r="BX874" i="1"/>
  <c r="BY825" i="1"/>
  <c r="BZ916" i="1" s="1"/>
  <c r="BY832" i="1"/>
  <c r="BZ850" i="1" l="1"/>
  <c r="BZ851" i="1" s="1"/>
  <c r="BZ831" i="1"/>
  <c r="BT896" i="1"/>
  <c r="BT795" i="1" s="1"/>
  <c r="BT797" i="1" s="1"/>
  <c r="BX797" i="1" s="1"/>
  <c r="BU1220" i="1"/>
  <c r="BV931" i="1"/>
  <c r="BZ832" i="1"/>
  <c r="CA810" i="1"/>
  <c r="BZ790" i="1"/>
  <c r="BZ791" i="1" s="1"/>
  <c r="BU926" i="1"/>
  <c r="BU928" i="1" s="1"/>
  <c r="BU802" i="1" s="1"/>
  <c r="BU1177" i="1"/>
  <c r="CA1" i="9"/>
  <c r="CA1397" i="1"/>
  <c r="CA922" i="1"/>
  <c r="CA914" i="1"/>
  <c r="CA905" i="1"/>
  <c r="CA913" i="1"/>
  <c r="CA904" i="1"/>
  <c r="CA850" i="1"/>
  <c r="CA851" i="1" s="1"/>
  <c r="CA846" i="1"/>
  <c r="CA924" i="1"/>
  <c r="CA920" i="1"/>
  <c r="CA921" i="1" s="1"/>
  <c r="CA919" i="1"/>
  <c r="CA845" i="1"/>
  <c r="CB788" i="1"/>
  <c r="CA917" i="1"/>
  <c r="CA918" i="1" s="1"/>
  <c r="CA916" i="1"/>
  <c r="CA864" i="1"/>
  <c r="CA860" i="1"/>
  <c r="CA861" i="1" s="1"/>
  <c r="CA852" i="1"/>
  <c r="CA821" i="1" s="1"/>
  <c r="CA912" i="1"/>
  <c r="CA910" i="1"/>
  <c r="CA911" i="1" s="1"/>
  <c r="CA906" i="1"/>
  <c r="CA907" i="1" s="1"/>
  <c r="CA859" i="1"/>
  <c r="CA828" i="1" s="1"/>
  <c r="CA849" i="1"/>
  <c r="CA862" i="1"/>
  <c r="CA831" i="1" s="1"/>
  <c r="CA857" i="1"/>
  <c r="CA858" i="1" s="1"/>
  <c r="CA853" i="1"/>
  <c r="CA844" i="1"/>
  <c r="CA909" i="1"/>
  <c r="CA848" i="1"/>
  <c r="CA908" i="1"/>
  <c r="CA856" i="1"/>
  <c r="CA863" i="1"/>
  <c r="CA854" i="1"/>
  <c r="CB4" i="1"/>
  <c r="CA3" i="1"/>
  <c r="CA4" i="13"/>
  <c r="CA4" i="11"/>
  <c r="BZ826" i="1"/>
  <c r="BY827" i="1"/>
  <c r="BZ825" i="1"/>
  <c r="BY820" i="1"/>
  <c r="BZ819" i="1"/>
  <c r="BT111" i="9"/>
  <c r="BT107" i="9"/>
  <c r="BW835" i="1"/>
  <c r="BX834" i="1"/>
  <c r="BW779" i="1"/>
  <c r="BW780" i="1" s="1"/>
  <c r="BW782" i="1" s="1"/>
  <c r="BW894" i="1"/>
  <c r="BU1171" i="1"/>
  <c r="BT942" i="1"/>
  <c r="BU761" i="1"/>
  <c r="BU758" i="1"/>
  <c r="BU483" i="1"/>
  <c r="BZ818" i="1"/>
  <c r="BY773" i="1"/>
  <c r="BY770" i="1"/>
  <c r="BR99" i="9"/>
  <c r="BR102" i="9" s="1"/>
  <c r="BT99" i="9"/>
  <c r="BT102" i="9" s="1"/>
  <c r="BU1102" i="1"/>
  <c r="BU1184" i="1" s="1"/>
  <c r="BU256" i="1"/>
  <c r="BU211" i="1"/>
  <c r="BU248" i="1"/>
  <c r="CA789" i="1"/>
  <c r="BU955" i="1"/>
  <c r="BV953" i="1"/>
  <c r="BU951" i="1"/>
  <c r="BU950" i="1" s="1"/>
  <c r="BU942" i="1" s="1"/>
  <c r="BR5" i="9"/>
  <c r="BR1008" i="1"/>
  <c r="BT958" i="1"/>
  <c r="BZ3" i="13"/>
  <c r="BZ3" i="11"/>
  <c r="BX901" i="1"/>
  <c r="BT926" i="1"/>
  <c r="BT928" i="1" s="1"/>
  <c r="BT802" i="1" s="1"/>
  <c r="BR111" i="9"/>
  <c r="BR107" i="9"/>
  <c r="BW770" i="1"/>
  <c r="BW773" i="1"/>
  <c r="BX771" i="1"/>
  <c r="BU1104" i="1"/>
  <c r="BU409" i="1"/>
  <c r="BU975" i="1"/>
  <c r="BU973" i="1"/>
  <c r="BS529" i="1"/>
  <c r="BS527" i="1"/>
  <c r="BZ829" i="1"/>
  <c r="BY830" i="1"/>
  <c r="BV1238" i="1"/>
  <c r="BV983" i="1"/>
  <c r="BV984" i="1" s="1"/>
  <c r="BU984" i="1"/>
  <c r="BV758" i="1"/>
  <c r="BV483" i="1"/>
  <c r="BY824" i="1"/>
  <c r="BZ823" i="1"/>
  <c r="BZ866" i="1"/>
  <c r="BZ771" i="1" s="1"/>
  <c r="BZ917" i="1"/>
  <c r="BU959" i="1"/>
  <c r="BU801" i="1" s="1"/>
  <c r="CA832" i="1" l="1"/>
  <c r="BW837" i="1"/>
  <c r="BW774" i="1"/>
  <c r="BW753" i="1" s="1"/>
  <c r="BT943" i="1"/>
  <c r="CA825" i="1"/>
  <c r="BU1176" i="1"/>
  <c r="BV1173" i="1"/>
  <c r="CA915" i="1"/>
  <c r="BU762" i="1"/>
  <c r="BX835" i="1"/>
  <c r="BX779" i="1"/>
  <c r="BX780" i="1" s="1"/>
  <c r="BX782" i="1" s="1"/>
  <c r="BY834" i="1"/>
  <c r="CA3" i="11"/>
  <c r="CA3" i="13"/>
  <c r="BR14" i="13"/>
  <c r="BR1781" i="13" s="1"/>
  <c r="BR999" i="1"/>
  <c r="BR1009" i="1"/>
  <c r="BR1000" i="1" s="1"/>
  <c r="BR976" i="1" s="1"/>
  <c r="CB1" i="9"/>
  <c r="CB919" i="1"/>
  <c r="CC919" i="1" s="1"/>
  <c r="CB910" i="1"/>
  <c r="CB911" i="1" s="1"/>
  <c r="CB1397" i="1"/>
  <c r="CB924" i="1"/>
  <c r="CC924" i="1" s="1"/>
  <c r="CB923" i="1"/>
  <c r="CB922" i="1"/>
  <c r="CC922" i="1" s="1"/>
  <c r="CB845" i="1"/>
  <c r="CC845" i="1" s="1"/>
  <c r="CB916" i="1"/>
  <c r="CC916" i="1" s="1"/>
  <c r="CB864" i="1"/>
  <c r="CC864" i="1" s="1"/>
  <c r="CB860" i="1"/>
  <c r="CB852" i="1"/>
  <c r="CC852" i="1" s="1"/>
  <c r="CB912" i="1"/>
  <c r="CC912" i="1" s="1"/>
  <c r="CB906" i="1"/>
  <c r="CB907" i="1" s="1"/>
  <c r="CB905" i="1"/>
  <c r="CC905" i="1" s="1"/>
  <c r="CB904" i="1"/>
  <c r="CB863" i="1"/>
  <c r="CC863" i="1" s="1"/>
  <c r="CB857" i="1"/>
  <c r="CB858" i="1" s="1"/>
  <c r="CB849" i="1"/>
  <c r="CB865" i="1" s="1"/>
  <c r="CB844" i="1"/>
  <c r="CC844" i="1" s="1"/>
  <c r="CB909" i="1"/>
  <c r="CC909" i="1" s="1"/>
  <c r="CB908" i="1"/>
  <c r="CC908" i="1" s="1"/>
  <c r="CB854" i="1"/>
  <c r="CB855" i="1" s="1"/>
  <c r="CB853" i="1"/>
  <c r="CC853" i="1" s="1"/>
  <c r="CB846" i="1"/>
  <c r="CB847" i="1" s="1"/>
  <c r="CB856" i="1"/>
  <c r="CB850" i="1"/>
  <c r="CB848" i="1"/>
  <c r="CC848" i="1" s="1"/>
  <c r="CB862" i="1"/>
  <c r="CC862" i="1" s="1"/>
  <c r="CB859" i="1"/>
  <c r="CB828" i="1" s="1"/>
  <c r="CB3" i="1"/>
  <c r="CB1367" i="1" s="1"/>
  <c r="CC4" i="1"/>
  <c r="CB4" i="11"/>
  <c r="CB4" i="13"/>
  <c r="BR6" i="9"/>
  <c r="BR11" i="9" s="1"/>
  <c r="BR120" i="9"/>
  <c r="BR121" i="9"/>
  <c r="BR84" i="9"/>
  <c r="BR124" i="9"/>
  <c r="BR85" i="9"/>
  <c r="BR87" i="9" s="1"/>
  <c r="BR122" i="9"/>
  <c r="CA855" i="1"/>
  <c r="BU1120" i="1"/>
  <c r="BU944" i="1"/>
  <c r="BY733" i="1"/>
  <c r="CB831" i="1"/>
  <c r="BZ820" i="1"/>
  <c r="CA819" i="1"/>
  <c r="CA826" i="1"/>
  <c r="CB917" i="1" s="1"/>
  <c r="BZ827" i="1"/>
  <c r="BS5" i="9"/>
  <c r="BS1008" i="1"/>
  <c r="BV955" i="1"/>
  <c r="BV951" i="1"/>
  <c r="BW953" i="1"/>
  <c r="CC856" i="1"/>
  <c r="CA847" i="1"/>
  <c r="CA833" i="1"/>
  <c r="CA822" i="1"/>
  <c r="CB913" i="1" s="1"/>
  <c r="CC913" i="1" s="1"/>
  <c r="CC904" i="1"/>
  <c r="BV990" i="1"/>
  <c r="CA923" i="1"/>
  <c r="BV932" i="1"/>
  <c r="BV958" i="1" s="1"/>
  <c r="BV1113" i="1" s="1"/>
  <c r="BZ918" i="1"/>
  <c r="BU40" i="9"/>
  <c r="BU990" i="1"/>
  <c r="BU991" i="1" s="1"/>
  <c r="BW925" i="1"/>
  <c r="BW896" i="1"/>
  <c r="BW795" i="1" s="1"/>
  <c r="BX894" i="1"/>
  <c r="BX896" i="1" s="1"/>
  <c r="CA1367" i="1"/>
  <c r="BT806" i="1"/>
  <c r="BT807" i="1" s="1"/>
  <c r="BT996" i="1" s="1"/>
  <c r="BT997" i="1" s="1"/>
  <c r="CC788" i="1"/>
  <c r="CC789" i="1" s="1"/>
  <c r="CB789" i="1"/>
  <c r="BU250" i="1"/>
  <c r="BV244" i="1"/>
  <c r="BZ830" i="1"/>
  <c r="CA829" i="1"/>
  <c r="CB920" i="1" s="1"/>
  <c r="CB921" i="1" s="1"/>
  <c r="BW733" i="1"/>
  <c r="BX773" i="1"/>
  <c r="BU213" i="1"/>
  <c r="BU217" i="1" s="1"/>
  <c r="BU1170" i="1"/>
  <c r="BV1167" i="1"/>
  <c r="BZ773" i="1"/>
  <c r="BZ733" i="1" s="1"/>
  <c r="BZ770" i="1"/>
  <c r="BZ824" i="1"/>
  <c r="CA823" i="1"/>
  <c r="CB914" i="1" s="1"/>
  <c r="BV975" i="1"/>
  <c r="BV973" i="1"/>
  <c r="BT932" i="1"/>
  <c r="CA818" i="1"/>
  <c r="CB810" i="1"/>
  <c r="CA790" i="1"/>
  <c r="CA791" i="1" s="1"/>
  <c r="CC859" i="1" l="1"/>
  <c r="CA866" i="1"/>
  <c r="CA771" i="1" s="1"/>
  <c r="CB915" i="1"/>
  <c r="CC914" i="1"/>
  <c r="CC915" i="1" s="1"/>
  <c r="CC910" i="1"/>
  <c r="CC911" i="1" s="1"/>
  <c r="BV935" i="1"/>
  <c r="CB821" i="1"/>
  <c r="CB832" i="1"/>
  <c r="CC832" i="1" s="1"/>
  <c r="BV938" i="1"/>
  <c r="CB833" i="1"/>
  <c r="CC833" i="1" s="1"/>
  <c r="BV991" i="1"/>
  <c r="BT968" i="1"/>
  <c r="BT964" i="1"/>
  <c r="BW8" i="9"/>
  <c r="BW1262" i="1"/>
  <c r="BW1263" i="1"/>
  <c r="CB918" i="1"/>
  <c r="CC917" i="1"/>
  <c r="CC918" i="1" s="1"/>
  <c r="CC828" i="1"/>
  <c r="BW798" i="1"/>
  <c r="BW757" i="1" s="1"/>
  <c r="BX795" i="1"/>
  <c r="BX798" i="1" s="1"/>
  <c r="CB790" i="1"/>
  <c r="CC810" i="1"/>
  <c r="CC906" i="1"/>
  <c r="CC907" i="1" s="1"/>
  <c r="CB819" i="1"/>
  <c r="CA820" i="1"/>
  <c r="CB3" i="11"/>
  <c r="CB3" i="13"/>
  <c r="BR975" i="1"/>
  <c r="BR973" i="1"/>
  <c r="BX837" i="1"/>
  <c r="CA773" i="1"/>
  <c r="CA770" i="1"/>
  <c r="CB769" i="1"/>
  <c r="CC769" i="1" s="1"/>
  <c r="CC865" i="1"/>
  <c r="BV1174" i="1"/>
  <c r="BV1182" i="1" s="1"/>
  <c r="CC1397" i="1"/>
  <c r="CC1" i="9"/>
  <c r="CD788" i="1"/>
  <c r="CC3" i="1"/>
  <c r="CA878" i="1" s="1"/>
  <c r="CD4" i="1"/>
  <c r="CC4" i="11"/>
  <c r="CC4" i="13"/>
  <c r="CB861" i="1"/>
  <c r="CC860" i="1"/>
  <c r="CC861" i="1" s="1"/>
  <c r="BT937" i="1"/>
  <c r="BT934" i="1"/>
  <c r="BT938" i="1"/>
  <c r="BZ80" i="9"/>
  <c r="BZ1140" i="1"/>
  <c r="BZ1153" i="1" s="1"/>
  <c r="BW80" i="9"/>
  <c r="BW1140" i="1"/>
  <c r="BV1220" i="1"/>
  <c r="BW931" i="1"/>
  <c r="BS14" i="13"/>
  <c r="BS1781" i="13" s="1"/>
  <c r="BS999" i="1"/>
  <c r="BS1009" i="1"/>
  <c r="BS1014" i="1"/>
  <c r="CC920" i="1"/>
  <c r="CC921" i="1" s="1"/>
  <c r="CB851" i="1"/>
  <c r="CC850" i="1"/>
  <c r="CC851" i="1" s="1"/>
  <c r="CC821" i="1"/>
  <c r="BU467" i="1"/>
  <c r="BU238" i="1"/>
  <c r="BU218" i="1"/>
  <c r="BU219" i="1"/>
  <c r="BU221" i="1" s="1"/>
  <c r="BW951" i="1"/>
  <c r="BY953" i="1"/>
  <c r="BW955" i="1"/>
  <c r="BY80" i="9"/>
  <c r="BY1140" i="1"/>
  <c r="BZ834" i="1"/>
  <c r="BY835" i="1"/>
  <c r="BY774" i="1" s="1"/>
  <c r="BY779" i="1"/>
  <c r="BY780" i="1" s="1"/>
  <c r="BY782" i="1" s="1"/>
  <c r="BW926" i="1"/>
  <c r="BW928" i="1" s="1"/>
  <c r="BW802" i="1" s="1"/>
  <c r="BX802" i="1" s="1"/>
  <c r="BX925" i="1"/>
  <c r="BX926" i="1" s="1"/>
  <c r="BX928" i="1" s="1"/>
  <c r="BU1228" i="1"/>
  <c r="BU1240" i="1" s="1"/>
  <c r="BV940" i="1"/>
  <c r="CC846" i="1"/>
  <c r="CC847" i="1" s="1"/>
  <c r="BS6" i="9"/>
  <c r="BS120" i="9"/>
  <c r="BS84" i="9"/>
  <c r="BS129" i="9" s="1"/>
  <c r="BS121" i="9"/>
  <c r="BS85" i="9"/>
  <c r="BS87" i="9" s="1"/>
  <c r="BS124" i="9"/>
  <c r="BS122" i="9"/>
  <c r="CB825" i="1"/>
  <c r="CB818" i="1"/>
  <c r="CA830" i="1"/>
  <c r="CB829" i="1"/>
  <c r="CC831" i="1"/>
  <c r="BW1110" i="1"/>
  <c r="BX1110" i="1" s="1"/>
  <c r="BX774" i="1"/>
  <c r="CB822" i="1"/>
  <c r="CA827" i="1"/>
  <c r="CB826" i="1"/>
  <c r="CC857" i="1"/>
  <c r="CC858" i="1" s="1"/>
  <c r="CA824" i="1"/>
  <c r="CB823" i="1"/>
  <c r="CA883" i="1"/>
  <c r="CA884" i="1" s="1"/>
  <c r="BV1168" i="1"/>
  <c r="BV1181" i="1" s="1"/>
  <c r="CB791" i="1"/>
  <c r="CC849" i="1"/>
  <c r="CC923" i="1"/>
  <c r="CC854" i="1"/>
  <c r="CC855" i="1" s="1"/>
  <c r="CA889" i="1" l="1"/>
  <c r="CA890" i="1" s="1"/>
  <c r="CB866" i="1"/>
  <c r="CB771" i="1" s="1"/>
  <c r="CC771" i="1" s="1"/>
  <c r="CB881" i="1"/>
  <c r="CC1367" i="1"/>
  <c r="CA882" i="1"/>
  <c r="CC866" i="1"/>
  <c r="CB773" i="1"/>
  <c r="CB733" i="1" s="1"/>
  <c r="CB770" i="1"/>
  <c r="CC770" i="1" s="1"/>
  <c r="BY1110" i="1"/>
  <c r="BU754" i="1"/>
  <c r="BU1242" i="1"/>
  <c r="BU1243" i="1" s="1"/>
  <c r="CB882" i="1"/>
  <c r="CC822" i="1"/>
  <c r="CD853" i="1" s="1"/>
  <c r="CD1" i="9"/>
  <c r="CD1397" i="1"/>
  <c r="CD863" i="1"/>
  <c r="CD832" i="1" s="1"/>
  <c r="CD857" i="1"/>
  <c r="CD858" i="1" s="1"/>
  <c r="CD849" i="1"/>
  <c r="CD844" i="1"/>
  <c r="CD862" i="1"/>
  <c r="CD831" i="1" s="1"/>
  <c r="CD922" i="1" s="1"/>
  <c r="CD854" i="1"/>
  <c r="CD855" i="1" s="1"/>
  <c r="CD908" i="1"/>
  <c r="CD859" i="1"/>
  <c r="CD864" i="1"/>
  <c r="CD833" i="1" s="1"/>
  <c r="CD856" i="1"/>
  <c r="CD852" i="1"/>
  <c r="CE788" i="1"/>
  <c r="CD850" i="1"/>
  <c r="CD851" i="1" s="1"/>
  <c r="CD865" i="1" s="1"/>
  <c r="CD845" i="1"/>
  <c r="CD848" i="1"/>
  <c r="CD860" i="1"/>
  <c r="CD861" i="1" s="1"/>
  <c r="CD846" i="1"/>
  <c r="CD847" i="1" s="1"/>
  <c r="CD3" i="1"/>
  <c r="CD1367" i="1" s="1"/>
  <c r="CE4" i="1"/>
  <c r="CD4" i="11"/>
  <c r="CD4" i="13"/>
  <c r="CB883" i="1"/>
  <c r="CB884" i="1" s="1"/>
  <c r="CB824" i="1"/>
  <c r="CC823" i="1"/>
  <c r="CB878" i="1"/>
  <c r="CC818" i="1"/>
  <c r="CD924" i="1"/>
  <c r="CC825" i="1"/>
  <c r="CB885" i="1"/>
  <c r="BS11" i="9"/>
  <c r="BS130" i="9"/>
  <c r="CA733" i="1"/>
  <c r="CB869" i="1"/>
  <c r="CB901" i="1" s="1"/>
  <c r="CB888" i="1"/>
  <c r="BS1012" i="1"/>
  <c r="BS1000" i="1"/>
  <c r="BS976" i="1" s="1"/>
  <c r="BS1015" i="1"/>
  <c r="CD873" i="1"/>
  <c r="CA885" i="1"/>
  <c r="BW1153" i="1"/>
  <c r="BX1140" i="1"/>
  <c r="CD789" i="1"/>
  <c r="CD828" i="1"/>
  <c r="CB827" i="1"/>
  <c r="CC826" i="1"/>
  <c r="CB886" i="1"/>
  <c r="CB887" i="1" s="1"/>
  <c r="BV949" i="1"/>
  <c r="CA834" i="1"/>
  <c r="BZ779" i="1"/>
  <c r="BZ780" i="1" s="1"/>
  <c r="BZ782" i="1" s="1"/>
  <c r="BZ835" i="1"/>
  <c r="BZ774" i="1" s="1"/>
  <c r="BU239" i="1"/>
  <c r="BU240" i="1"/>
  <c r="BU241" i="1" s="1"/>
  <c r="CD875" i="1"/>
  <c r="CD876" i="1" s="1"/>
  <c r="BV246" i="1"/>
  <c r="BV1216" i="1"/>
  <c r="CC790" i="1"/>
  <c r="CC791" i="1" s="1"/>
  <c r="CD810" i="1"/>
  <c r="CC819" i="1"/>
  <c r="CB820" i="1"/>
  <c r="CB879" i="1"/>
  <c r="CB880" i="1" s="1"/>
  <c r="BS973" i="1"/>
  <c r="BS975" i="1"/>
  <c r="CD877" i="1"/>
  <c r="BY951" i="1"/>
  <c r="BY955" i="1"/>
  <c r="BZ953" i="1"/>
  <c r="CB875" i="1"/>
  <c r="CB876" i="1" s="1"/>
  <c r="BZ873" i="1"/>
  <c r="CA877" i="1"/>
  <c r="BY875" i="1"/>
  <c r="CB874" i="1"/>
  <c r="BZ877" i="1"/>
  <c r="CA875" i="1"/>
  <c r="CA876" i="1" s="1"/>
  <c r="CA874" i="1"/>
  <c r="CB873" i="1"/>
  <c r="BY877" i="1"/>
  <c r="BZ875" i="1"/>
  <c r="BZ876" i="1" s="1"/>
  <c r="BZ874" i="1"/>
  <c r="CA873" i="1"/>
  <c r="BY874" i="1"/>
  <c r="BY873" i="1"/>
  <c r="CB877" i="1"/>
  <c r="CC3" i="13"/>
  <c r="CC3" i="11"/>
  <c r="BW838" i="1"/>
  <c r="BY892" i="1"/>
  <c r="BY893" i="1"/>
  <c r="BY868" i="1"/>
  <c r="BZ893" i="1"/>
  <c r="BY838" i="1"/>
  <c r="BY751" i="1" s="1"/>
  <c r="CA892" i="1"/>
  <c r="BY894" i="1"/>
  <c r="CA893" i="1"/>
  <c r="BZ838" i="1"/>
  <c r="BZ751" i="1" s="1"/>
  <c r="BZ868" i="1"/>
  <c r="BZ900" i="1" s="1"/>
  <c r="BZ892" i="1"/>
  <c r="BY882" i="1"/>
  <c r="BY869" i="1"/>
  <c r="BY881" i="1"/>
  <c r="BY891" i="1"/>
  <c r="BY888" i="1"/>
  <c r="BZ869" i="1"/>
  <c r="BZ901" i="1" s="1"/>
  <c r="BZ891" i="1"/>
  <c r="BY883" i="1"/>
  <c r="BY878" i="1"/>
  <c r="BY879" i="1"/>
  <c r="BZ894" i="1"/>
  <c r="BY889" i="1"/>
  <c r="BZ888" i="1"/>
  <c r="CA838" i="1"/>
  <c r="CA751" i="1" s="1"/>
  <c r="BY886" i="1"/>
  <c r="BZ881" i="1"/>
  <c r="BZ882" i="1"/>
  <c r="BY885" i="1"/>
  <c r="CA891" i="1"/>
  <c r="CA868" i="1"/>
  <c r="CA900" i="1" s="1"/>
  <c r="CA888" i="1"/>
  <c r="BZ878" i="1"/>
  <c r="CC510" i="1"/>
  <c r="CB893" i="1"/>
  <c r="BZ879" i="1"/>
  <c r="BZ880" i="1" s="1"/>
  <c r="BZ886" i="1"/>
  <c r="BZ887" i="1" s="1"/>
  <c r="BZ889" i="1"/>
  <c r="BZ890" i="1" s="1"/>
  <c r="BZ885" i="1"/>
  <c r="CB892" i="1"/>
  <c r="CA881" i="1"/>
  <c r="CA869" i="1"/>
  <c r="CA901" i="1" s="1"/>
  <c r="CA894" i="1"/>
  <c r="BZ883" i="1"/>
  <c r="BZ884" i="1" s="1"/>
  <c r="CB868" i="1"/>
  <c r="CB900" i="1" s="1"/>
  <c r="CD821" i="1"/>
  <c r="BW932" i="1"/>
  <c r="BW758" i="1"/>
  <c r="BW483" i="1"/>
  <c r="BX757" i="1"/>
  <c r="BX758" i="1" s="1"/>
  <c r="BY837" i="1"/>
  <c r="CB891" i="1"/>
  <c r="BV477" i="1"/>
  <c r="BV1217" i="1"/>
  <c r="CA886" i="1"/>
  <c r="CA887" i="1" s="1"/>
  <c r="CB830" i="1"/>
  <c r="CC829" i="1"/>
  <c r="CB889" i="1"/>
  <c r="CB890" i="1" s="1"/>
  <c r="BY1153" i="1"/>
  <c r="BU472" i="1"/>
  <c r="BU1265" i="1" s="1"/>
  <c r="BU395" i="1"/>
  <c r="BU466" i="1"/>
  <c r="CD892" i="1"/>
  <c r="CA879" i="1"/>
  <c r="CA880" i="1" s="1"/>
  <c r="N14" i="10"/>
  <c r="CC873" i="1" l="1"/>
  <c r="CC878" i="1"/>
  <c r="CD874" i="1"/>
  <c r="CD904" i="1"/>
  <c r="CC773" i="1"/>
  <c r="CC885" i="1"/>
  <c r="Q14" i="10"/>
  <c r="P14" i="10"/>
  <c r="BZ1110" i="1"/>
  <c r="CC869" i="1"/>
  <c r="BY901" i="1"/>
  <c r="CC901" i="1" s="1"/>
  <c r="BZ955" i="1"/>
  <c r="BZ951" i="1"/>
  <c r="CA953" i="1"/>
  <c r="CD910" i="1"/>
  <c r="CD911" i="1" s="1"/>
  <c r="CC820" i="1"/>
  <c r="CD819" i="1"/>
  <c r="CD825" i="1"/>
  <c r="BW958" i="1"/>
  <c r="BX932" i="1"/>
  <c r="CC893" i="1"/>
  <c r="BV1177" i="1"/>
  <c r="BX1280" i="1"/>
  <c r="BU35" i="9"/>
  <c r="BU39" i="9" s="1"/>
  <c r="BU394" i="1"/>
  <c r="CA1232" i="1"/>
  <c r="CA982" i="1"/>
  <c r="BZ1232" i="1"/>
  <c r="BZ982" i="1"/>
  <c r="CC892" i="1"/>
  <c r="BY876" i="1"/>
  <c r="CC875" i="1"/>
  <c r="CC876" i="1" s="1"/>
  <c r="CA80" i="9"/>
  <c r="CA1140" i="1"/>
  <c r="CD866" i="1"/>
  <c r="CD771" i="1" s="1"/>
  <c r="CD769" i="1"/>
  <c r="CD905" i="1"/>
  <c r="CC879" i="1"/>
  <c r="CC880" i="1" s="1"/>
  <c r="BY880" i="1"/>
  <c r="CC882" i="1"/>
  <c r="CD869" i="1"/>
  <c r="CD901" i="1" s="1"/>
  <c r="CE810" i="1"/>
  <c r="CD790" i="1"/>
  <c r="CD791" i="1" s="1"/>
  <c r="CD868" i="1"/>
  <c r="CD900" i="1" s="1"/>
  <c r="CD829" i="1"/>
  <c r="CC830" i="1"/>
  <c r="CC827" i="1"/>
  <c r="CD826" i="1"/>
  <c r="CD917" i="1" s="1"/>
  <c r="CD918" i="1" s="1"/>
  <c r="CC888" i="1"/>
  <c r="BV1102" i="1"/>
  <c r="BV1184" i="1" s="1"/>
  <c r="BV256" i="1"/>
  <c r="BV211" i="1"/>
  <c r="BV248" i="1"/>
  <c r="CB834" i="1"/>
  <c r="CA779" i="1"/>
  <c r="CA780" i="1" s="1"/>
  <c r="CA782" i="1" s="1"/>
  <c r="CA835" i="1"/>
  <c r="CD888" i="1"/>
  <c r="CE1397" i="1"/>
  <c r="CE1" i="9"/>
  <c r="CE862" i="1"/>
  <c r="CE859" i="1"/>
  <c r="CE828" i="1" s="1"/>
  <c r="CE856" i="1"/>
  <c r="CE848" i="1"/>
  <c r="CE846" i="1"/>
  <c r="CE847" i="1" s="1"/>
  <c r="CE850" i="1"/>
  <c r="CE851" i="1" s="1"/>
  <c r="CE845" i="1"/>
  <c r="CE860" i="1"/>
  <c r="CE861" i="1" s="1"/>
  <c r="CE849" i="1"/>
  <c r="CE844" i="1"/>
  <c r="CE853" i="1"/>
  <c r="CE863" i="1"/>
  <c r="CE832" i="1" s="1"/>
  <c r="CF788" i="1"/>
  <c r="CE852" i="1"/>
  <c r="CE864" i="1"/>
  <c r="CE833" i="1" s="1"/>
  <c r="CE893" i="1" s="1"/>
  <c r="CF4" i="1"/>
  <c r="CE3" i="1"/>
  <c r="CE1367" i="1" s="1"/>
  <c r="CE4" i="13"/>
  <c r="CE4" i="11"/>
  <c r="BV1104" i="1"/>
  <c r="BV409" i="1"/>
  <c r="BS128" i="9"/>
  <c r="BS131" i="9"/>
  <c r="CD891" i="1"/>
  <c r="CE831" i="1"/>
  <c r="BU9" i="9"/>
  <c r="BU785" i="1"/>
  <c r="CA925" i="1"/>
  <c r="CA926" i="1" s="1"/>
  <c r="CA928" i="1" s="1"/>
  <c r="CA802" i="1" s="1"/>
  <c r="CA896" i="1"/>
  <c r="CA795" i="1" s="1"/>
  <c r="CA798" i="1" s="1"/>
  <c r="CA757" i="1" s="1"/>
  <c r="BY900" i="1"/>
  <c r="CC868" i="1"/>
  <c r="CC900" i="1" s="1"/>
  <c r="BX838" i="1"/>
  <c r="BX839" i="1" s="1"/>
  <c r="BW751" i="1"/>
  <c r="BW839" i="1"/>
  <c r="CE821" i="1"/>
  <c r="CD881" i="1"/>
  <c r="CC889" i="1"/>
  <c r="CC890" i="1" s="1"/>
  <c r="BY890" i="1"/>
  <c r="CC891" i="1"/>
  <c r="BY925" i="1"/>
  <c r="CC877" i="1"/>
  <c r="BV957" i="1"/>
  <c r="BV950" i="1"/>
  <c r="CD919" i="1"/>
  <c r="CD818" i="1"/>
  <c r="CD909" i="1" s="1"/>
  <c r="CD3" i="11"/>
  <c r="CD3" i="13"/>
  <c r="CB838" i="1"/>
  <c r="CD923" i="1"/>
  <c r="CD893" i="1"/>
  <c r="CE868" i="1"/>
  <c r="CE900" i="1" s="1"/>
  <c r="CE789" i="1"/>
  <c r="CD822" i="1"/>
  <c r="CD913" i="1" s="1"/>
  <c r="BY982" i="1"/>
  <c r="BY1232" i="1"/>
  <c r="CC824" i="1"/>
  <c r="CD823" i="1"/>
  <c r="BY884" i="1"/>
  <c r="CC883" i="1"/>
  <c r="CC884" i="1" s="1"/>
  <c r="CC874" i="1"/>
  <c r="BX733" i="1"/>
  <c r="BX80" i="9" s="1"/>
  <c r="BX1153" i="1"/>
  <c r="BY887" i="1"/>
  <c r="CC886" i="1"/>
  <c r="CC887" i="1" s="1"/>
  <c r="BZ837" i="1"/>
  <c r="BZ839" i="1" s="1"/>
  <c r="BW938" i="1"/>
  <c r="BY839" i="1"/>
  <c r="BW935" i="1"/>
  <c r="BW1220" i="1" s="1"/>
  <c r="BX1220" i="1" s="1"/>
  <c r="BX935" i="1" s="1"/>
  <c r="BU112" i="9"/>
  <c r="BU113" i="9" s="1"/>
  <c r="BU652" i="1"/>
  <c r="BU479" i="1"/>
  <c r="BU474" i="1"/>
  <c r="BU404" i="1"/>
  <c r="BU487" i="1"/>
  <c r="BV1171" i="1"/>
  <c r="BW990" i="1"/>
  <c r="BW991" i="1" s="1"/>
  <c r="BX483" i="1"/>
  <c r="CD912" i="1"/>
  <c r="BZ896" i="1"/>
  <c r="BZ795" i="1" s="1"/>
  <c r="BZ798" i="1" s="1"/>
  <c r="BZ757" i="1" s="1"/>
  <c r="BZ925" i="1"/>
  <c r="BZ926" i="1" s="1"/>
  <c r="BZ928" i="1" s="1"/>
  <c r="BZ802" i="1" s="1"/>
  <c r="CC881" i="1"/>
  <c r="CD906" i="1"/>
  <c r="CD907" i="1" s="1"/>
  <c r="CB80" i="9"/>
  <c r="CB1140" i="1"/>
  <c r="CB1153" i="1" s="1"/>
  <c r="N15" i="10"/>
  <c r="CE857" i="1" l="1"/>
  <c r="CE858" i="1" s="1"/>
  <c r="CE923" i="1"/>
  <c r="CE908" i="1"/>
  <c r="CE873" i="1"/>
  <c r="CE905" i="1"/>
  <c r="CE904" i="1"/>
  <c r="CE877" i="1"/>
  <c r="CE906" i="1"/>
  <c r="CE907" i="1" s="1"/>
  <c r="BY896" i="1"/>
  <c r="BY795" i="1" s="1"/>
  <c r="BY798" i="1" s="1"/>
  <c r="BY757" i="1" s="1"/>
  <c r="P15" i="10"/>
  <c r="Q15" i="10"/>
  <c r="CE888" i="1"/>
  <c r="CE919" i="1"/>
  <c r="BU803" i="1"/>
  <c r="BU490" i="1"/>
  <c r="BU489" i="1"/>
  <c r="CA837" i="1"/>
  <c r="CA839" i="1" s="1"/>
  <c r="BW1113" i="1"/>
  <c r="BX1113" i="1" s="1"/>
  <c r="BX958" i="1"/>
  <c r="BV959" i="1"/>
  <c r="BV801" i="1" s="1"/>
  <c r="CD885" i="1"/>
  <c r="CE825" i="1"/>
  <c r="CB779" i="1"/>
  <c r="CB780" i="1" s="1"/>
  <c r="CB782" i="1" s="1"/>
  <c r="CC834" i="1"/>
  <c r="CB835" i="1"/>
  <c r="CB837" i="1" s="1"/>
  <c r="CB839" i="1" s="1"/>
  <c r="CB894" i="1"/>
  <c r="CD916" i="1"/>
  <c r="BU411" i="1"/>
  <c r="BU66" i="9" s="1"/>
  <c r="BU480" i="1"/>
  <c r="CA774" i="1"/>
  <c r="BV250" i="1"/>
  <c r="BW244" i="1"/>
  <c r="CE869" i="1"/>
  <c r="CE901" i="1" s="1"/>
  <c r="CF810" i="1"/>
  <c r="CE790" i="1"/>
  <c r="CD770" i="1"/>
  <c r="CD773" i="1"/>
  <c r="CD733" i="1" s="1"/>
  <c r="BV1176" i="1"/>
  <c r="BW1173" i="1"/>
  <c r="BU658" i="1"/>
  <c r="BU661" i="1"/>
  <c r="BU653" i="1"/>
  <c r="CE818" i="1"/>
  <c r="CE909" i="1" s="1"/>
  <c r="CD878" i="1"/>
  <c r="CE3" i="13"/>
  <c r="CE3" i="11"/>
  <c r="CE874" i="1"/>
  <c r="CE892" i="1"/>
  <c r="CE875" i="1"/>
  <c r="CE876" i="1" s="1"/>
  <c r="CA1153" i="1"/>
  <c r="CC1140" i="1"/>
  <c r="CD879" i="1"/>
  <c r="CD880" i="1" s="1"/>
  <c r="CD820" i="1"/>
  <c r="CE819" i="1"/>
  <c r="CE910" i="1" s="1"/>
  <c r="CE911" i="1" s="1"/>
  <c r="BU135" i="9"/>
  <c r="BU42" i="9"/>
  <c r="BU64" i="9"/>
  <c r="BU668" i="1"/>
  <c r="BU669" i="1" s="1"/>
  <c r="CF789" i="1"/>
  <c r="CE881" i="1"/>
  <c r="CE826" i="1"/>
  <c r="CE917" i="1" s="1"/>
  <c r="CE918" i="1" s="1"/>
  <c r="CD886" i="1"/>
  <c r="CD887" i="1" s="1"/>
  <c r="CD827" i="1"/>
  <c r="BY926" i="1"/>
  <c r="BY928" i="1" s="1"/>
  <c r="BY802" i="1" s="1"/>
  <c r="CD824" i="1"/>
  <c r="CD883" i="1"/>
  <c r="CD884" i="1" s="1"/>
  <c r="CE791" i="1"/>
  <c r="BW1232" i="1"/>
  <c r="BX1232" i="1" s="1"/>
  <c r="BX751" i="1" s="1"/>
  <c r="BX982" i="1" s="1"/>
  <c r="BW982" i="1"/>
  <c r="BW752" i="1"/>
  <c r="BV213" i="1"/>
  <c r="BV217" i="1" s="1"/>
  <c r="CE829" i="1"/>
  <c r="CF860" i="1" s="1"/>
  <c r="CF861" i="1" s="1"/>
  <c r="CD889" i="1"/>
  <c r="CD890" i="1" s="1"/>
  <c r="CD830" i="1"/>
  <c r="CE891" i="1"/>
  <c r="BZ483" i="1"/>
  <c r="BW1167" i="1"/>
  <c r="BV1170" i="1"/>
  <c r="BU60" i="9"/>
  <c r="BU1273" i="1"/>
  <c r="BX990" i="1"/>
  <c r="BX991" i="1" s="1"/>
  <c r="CB751" i="1"/>
  <c r="CC838" i="1"/>
  <c r="BU55" i="9"/>
  <c r="BU136" i="9" s="1"/>
  <c r="BU406" i="1"/>
  <c r="BU65" i="9" s="1"/>
  <c r="CD882" i="1"/>
  <c r="CE822" i="1"/>
  <c r="CE913" i="1" s="1"/>
  <c r="CA483" i="1"/>
  <c r="CE912" i="1"/>
  <c r="CF1" i="9"/>
  <c r="CF1397" i="1"/>
  <c r="CF859" i="1"/>
  <c r="CF828" i="1" s="1"/>
  <c r="CF856" i="1"/>
  <c r="CF848" i="1"/>
  <c r="CF853" i="1"/>
  <c r="CF857" i="1"/>
  <c r="CF858" i="1" s="1"/>
  <c r="CF849" i="1"/>
  <c r="CF844" i="1"/>
  <c r="CF864" i="1"/>
  <c r="CF833" i="1" s="1"/>
  <c r="CF862" i="1"/>
  <c r="CF831" i="1" s="1"/>
  <c r="CF850" i="1"/>
  <c r="CF851" i="1" s="1"/>
  <c r="CF863" i="1"/>
  <c r="CF832" i="1" s="1"/>
  <c r="CF854" i="1"/>
  <c r="CF855" i="1" s="1"/>
  <c r="CF846" i="1"/>
  <c r="CF847" i="1" s="1"/>
  <c r="CF852" i="1"/>
  <c r="CF821" i="1" s="1"/>
  <c r="CF845" i="1"/>
  <c r="CF3" i="1"/>
  <c r="CF923" i="1" s="1"/>
  <c r="CF4" i="13"/>
  <c r="CF4" i="11"/>
  <c r="BX934" i="1"/>
  <c r="CC931" i="1"/>
  <c r="BY931" i="1"/>
  <c r="CE854" i="1"/>
  <c r="CE855" i="1" s="1"/>
  <c r="CD920" i="1"/>
  <c r="CD921" i="1" s="1"/>
  <c r="CD914" i="1"/>
  <c r="CD915" i="1" s="1"/>
  <c r="BV942" i="1"/>
  <c r="CE922" i="1"/>
  <c r="CE865" i="1"/>
  <c r="CE924" i="1"/>
  <c r="BX937" i="1"/>
  <c r="BX938" i="1"/>
  <c r="CB953" i="1"/>
  <c r="CA955" i="1"/>
  <c r="CA951" i="1"/>
  <c r="BU491" i="1" l="1"/>
  <c r="CB774" i="1"/>
  <c r="CB1110" i="1" s="1"/>
  <c r="CD838" i="1"/>
  <c r="CD751" i="1" s="1"/>
  <c r="CF881" i="1"/>
  <c r="CF912" i="1"/>
  <c r="CD1232" i="1"/>
  <c r="CD982" i="1"/>
  <c r="CF891" i="1"/>
  <c r="CF922" i="1"/>
  <c r="CE885" i="1"/>
  <c r="CF825" i="1"/>
  <c r="CF885" i="1" s="1"/>
  <c r="BW1174" i="1"/>
  <c r="CF919" i="1"/>
  <c r="CF924" i="1"/>
  <c r="CF892" i="1"/>
  <c r="CB896" i="1"/>
  <c r="CB795" i="1" s="1"/>
  <c r="CB925" i="1"/>
  <c r="CC894" i="1"/>
  <c r="CC896" i="1" s="1"/>
  <c r="BU1099" i="1"/>
  <c r="BU495" i="1"/>
  <c r="BT1267" i="1"/>
  <c r="CF888" i="1"/>
  <c r="CA990" i="1"/>
  <c r="BW1168" i="1"/>
  <c r="BW1181" i="1" s="1"/>
  <c r="BX1181" i="1" s="1"/>
  <c r="BV219" i="1"/>
  <c r="BV221" i="1" s="1"/>
  <c r="BV238" i="1"/>
  <c r="BV467" i="1"/>
  <c r="BV218" i="1"/>
  <c r="CE823" i="1"/>
  <c r="CC1280" i="1"/>
  <c r="CD80" i="9"/>
  <c r="CD1140" i="1"/>
  <c r="CD1153" i="1" s="1"/>
  <c r="CF875" i="1"/>
  <c r="CF876" i="1" s="1"/>
  <c r="BU43" i="9"/>
  <c r="CE866" i="1"/>
  <c r="CE771" i="1" s="1"/>
  <c r="CE769" i="1"/>
  <c r="BY932" i="1"/>
  <c r="BY938" i="1" s="1"/>
  <c r="CB1232" i="1"/>
  <c r="CC1232" i="1" s="1"/>
  <c r="CC751" i="1" s="1"/>
  <c r="CC982" i="1" s="1"/>
  <c r="CB982" i="1"/>
  <c r="BZ990" i="1"/>
  <c r="CF873" i="1"/>
  <c r="CF893" i="1"/>
  <c r="CF818" i="1"/>
  <c r="CF878" i="1" s="1"/>
  <c r="CE878" i="1"/>
  <c r="CA1110" i="1"/>
  <c r="CC1110" i="1" s="1"/>
  <c r="CC774" i="1"/>
  <c r="CC835" i="1"/>
  <c r="CC779" i="1"/>
  <c r="CC780" i="1" s="1"/>
  <c r="CC782" i="1" s="1"/>
  <c r="CD834" i="1"/>
  <c r="BU1111" i="1"/>
  <c r="CC733" i="1"/>
  <c r="CC80" i="9" s="1"/>
  <c r="CC1153" i="1"/>
  <c r="CF865" i="1"/>
  <c r="CF908" i="1"/>
  <c r="BW1238" i="1"/>
  <c r="BW983" i="1"/>
  <c r="BW984" i="1" s="1"/>
  <c r="CE879" i="1"/>
  <c r="CE880" i="1" s="1"/>
  <c r="CE820" i="1"/>
  <c r="CF819" i="1"/>
  <c r="CF910" i="1" s="1"/>
  <c r="CF911" i="1" s="1"/>
  <c r="BU1229" i="1"/>
  <c r="CF877" i="1"/>
  <c r="CF904" i="1"/>
  <c r="CE889" i="1"/>
  <c r="CE890" i="1" s="1"/>
  <c r="CF829" i="1"/>
  <c r="CF920" i="1" s="1"/>
  <c r="CF921" i="1" s="1"/>
  <c r="CE830" i="1"/>
  <c r="CF826" i="1"/>
  <c r="CE886" i="1"/>
  <c r="CE887" i="1" s="1"/>
  <c r="CE827" i="1"/>
  <c r="CF917" i="1"/>
  <c r="CF918" i="1" s="1"/>
  <c r="CE916" i="1"/>
  <c r="BU660" i="1"/>
  <c r="BU657" i="1"/>
  <c r="BU654" i="1"/>
  <c r="CF869" i="1"/>
  <c r="CF901" i="1" s="1"/>
  <c r="CF790" i="1"/>
  <c r="CF791" i="1" s="1"/>
  <c r="BU54" i="9"/>
  <c r="BU988" i="1"/>
  <c r="BU989" i="1" s="1"/>
  <c r="BU800" i="1"/>
  <c r="BU764" i="1"/>
  <c r="BU412" i="1"/>
  <c r="BY483" i="1"/>
  <c r="CF3" i="11"/>
  <c r="CF3" i="13"/>
  <c r="CF874" i="1"/>
  <c r="CF905" i="1"/>
  <c r="CE882" i="1"/>
  <c r="CF822" i="1"/>
  <c r="CF882" i="1" s="1"/>
  <c r="CB951" i="1"/>
  <c r="CB955" i="1"/>
  <c r="BV1120" i="1"/>
  <c r="BV944" i="1"/>
  <c r="CF906" i="1"/>
  <c r="CF907" i="1" s="1"/>
  <c r="CF1367" i="1"/>
  <c r="CE920" i="1"/>
  <c r="CE921" i="1" s="1"/>
  <c r="CF868" i="1"/>
  <c r="CF900" i="1" s="1"/>
  <c r="N16" i="10"/>
  <c r="CF913" i="1" l="1"/>
  <c r="P16" i="10"/>
  <c r="Q16" i="10"/>
  <c r="BV1228" i="1"/>
  <c r="BV1240" i="1"/>
  <c r="BW940" i="1"/>
  <c r="BY935" i="1"/>
  <c r="BU47" i="9"/>
  <c r="BU505" i="1"/>
  <c r="BU497" i="1"/>
  <c r="BW246" i="1"/>
  <c r="BX1174" i="1"/>
  <c r="BW1216" i="1"/>
  <c r="BW975" i="1"/>
  <c r="BW973" i="1"/>
  <c r="BU1218" i="1"/>
  <c r="CF909" i="1"/>
  <c r="BW477" i="1"/>
  <c r="BX1168" i="1"/>
  <c r="BW1217" i="1"/>
  <c r="BU1114" i="1"/>
  <c r="BU1251" i="1"/>
  <c r="BW1182" i="1"/>
  <c r="BX1182" i="1" s="1"/>
  <c r="BY990" i="1"/>
  <c r="BY991" i="1" s="1"/>
  <c r="CF889" i="1"/>
  <c r="CF890" i="1" s="1"/>
  <c r="CF830" i="1"/>
  <c r="BU1118" i="1"/>
  <c r="BU1230" i="1"/>
  <c r="BU1234" i="1" s="1"/>
  <c r="CD894" i="1"/>
  <c r="CD835" i="1"/>
  <c r="CD774" i="1" s="1"/>
  <c r="CD1110" i="1" s="1"/>
  <c r="CD779" i="1"/>
  <c r="CD780" i="1" s="1"/>
  <c r="CD782" i="1" s="1"/>
  <c r="CE834" i="1"/>
  <c r="BU134" i="9"/>
  <c r="BU94" i="9"/>
  <c r="BU67" i="9"/>
  <c r="BU121" i="9"/>
  <c r="BV472" i="1"/>
  <c r="BV1265" i="1" s="1"/>
  <c r="BV395" i="1"/>
  <c r="BV466" i="1"/>
  <c r="CF886" i="1"/>
  <c r="CF887" i="1" s="1"/>
  <c r="CF827" i="1"/>
  <c r="CB926" i="1"/>
  <c r="CB928" i="1" s="1"/>
  <c r="CB802" i="1" s="1"/>
  <c r="CC802" i="1" s="1"/>
  <c r="CC925" i="1"/>
  <c r="CC926" i="1" s="1"/>
  <c r="CC928" i="1" s="1"/>
  <c r="CF916" i="1"/>
  <c r="BU970" i="1"/>
  <c r="BU966" i="1"/>
  <c r="BU967" i="1"/>
  <c r="BU969" i="1"/>
  <c r="CF879" i="1"/>
  <c r="CF880" i="1" s="1"/>
  <c r="CF820" i="1"/>
  <c r="BV240" i="1"/>
  <c r="BV241" i="1" s="1"/>
  <c r="BV239" i="1"/>
  <c r="BX1238" i="1"/>
  <c r="BY958" i="1"/>
  <c r="CF769" i="1"/>
  <c r="CF866" i="1"/>
  <c r="CF771" i="1" s="1"/>
  <c r="CC837" i="1"/>
  <c r="CC839" i="1" s="1"/>
  <c r="CE770" i="1"/>
  <c r="CE773" i="1"/>
  <c r="CE733" i="1" s="1"/>
  <c r="CF823" i="1"/>
  <c r="CF914" i="1" s="1"/>
  <c r="CF915" i="1" s="1"/>
  <c r="CE883" i="1"/>
  <c r="CE884" i="1" s="1"/>
  <c r="CE824" i="1"/>
  <c r="CE838" i="1" s="1"/>
  <c r="CE751" i="1" s="1"/>
  <c r="CE914" i="1"/>
  <c r="CE915" i="1" s="1"/>
  <c r="CB798" i="1"/>
  <c r="CB757" i="1" s="1"/>
  <c r="CC795" i="1"/>
  <c r="CC798" i="1" s="1"/>
  <c r="BZ991" i="1" l="1"/>
  <c r="CA991" i="1"/>
  <c r="CE1232" i="1"/>
  <c r="CE982" i="1"/>
  <c r="BY1220" i="1"/>
  <c r="BZ931" i="1"/>
  <c r="CD896" i="1"/>
  <c r="CD795" i="1" s="1"/>
  <c r="CD798" i="1" s="1"/>
  <c r="CD757" i="1" s="1"/>
  <c r="CD925" i="1"/>
  <c r="CD926" i="1" s="1"/>
  <c r="CD928" i="1" s="1"/>
  <c r="CD802" i="1" s="1"/>
  <c r="CF770" i="1"/>
  <c r="CF773" i="1"/>
  <c r="CF733" i="1" s="1"/>
  <c r="BU114" i="9"/>
  <c r="BU115" i="9" s="1"/>
  <c r="BU1004" i="1"/>
  <c r="BU1244" i="1"/>
  <c r="BW1171" i="1"/>
  <c r="BW1170" i="1" s="1"/>
  <c r="BX1217" i="1"/>
  <c r="BW1102" i="1"/>
  <c r="BX1102" i="1" s="1"/>
  <c r="BW256" i="1"/>
  <c r="BW211" i="1"/>
  <c r="BX246" i="1"/>
  <c r="BW248" i="1"/>
  <c r="BW250" i="1" s="1"/>
  <c r="CF883" i="1"/>
  <c r="CF884" i="1" s="1"/>
  <c r="CF824" i="1"/>
  <c r="CF838" i="1" s="1"/>
  <c r="CF751" i="1" s="1"/>
  <c r="BU49" i="9"/>
  <c r="BU500" i="1"/>
  <c r="BU511" i="1"/>
  <c r="BU506" i="1" s="1"/>
  <c r="CB483" i="1"/>
  <c r="CC757" i="1"/>
  <c r="BY1113" i="1"/>
  <c r="CE774" i="1"/>
  <c r="CE1110" i="1" s="1"/>
  <c r="CD837" i="1"/>
  <c r="CD839" i="1" s="1"/>
  <c r="BW1104" i="1"/>
  <c r="BX1104" i="1" s="1"/>
  <c r="BW409" i="1"/>
  <c r="BX477" i="1"/>
  <c r="BU1252" i="1"/>
  <c r="BX1216" i="1"/>
  <c r="BW1177" i="1"/>
  <c r="BW1176" i="1" s="1"/>
  <c r="BV754" i="1"/>
  <c r="BV1242" i="1"/>
  <c r="BV1243" i="1" s="1"/>
  <c r="BV35" i="9"/>
  <c r="BV39" i="9" s="1"/>
  <c r="BV394" i="1"/>
  <c r="CE80" i="9"/>
  <c r="CE1140" i="1"/>
  <c r="CE1153" i="1" s="1"/>
  <c r="BU1222" i="1"/>
  <c r="BW949" i="1"/>
  <c r="BX753" i="1"/>
  <c r="BX752" i="1"/>
  <c r="BX983" i="1" s="1"/>
  <c r="BU1121" i="1"/>
  <c r="BU720" i="1"/>
  <c r="BU71" i="9"/>
  <c r="BU138" i="9"/>
  <c r="BU103" i="9"/>
  <c r="BU104" i="9" s="1"/>
  <c r="BV112" i="9"/>
  <c r="BV113" i="9" s="1"/>
  <c r="BV652" i="1"/>
  <c r="BV479" i="1"/>
  <c r="BV404" i="1"/>
  <c r="BV474" i="1"/>
  <c r="CE835" i="1"/>
  <c r="CE894" i="1"/>
  <c r="CF834" i="1"/>
  <c r="CE779" i="1"/>
  <c r="CE780" i="1" s="1"/>
  <c r="CE782" i="1" s="1"/>
  <c r="N17" i="10"/>
  <c r="Q17" i="10" l="1"/>
  <c r="P17" i="10"/>
  <c r="BU50" i="9"/>
  <c r="BX8" i="9"/>
  <c r="BX1262" i="1"/>
  <c r="BX1263" i="1"/>
  <c r="BY753" i="1"/>
  <c r="CF80" i="9"/>
  <c r="CF1140" i="1"/>
  <c r="CF1153" i="1" s="1"/>
  <c r="BV64" i="9"/>
  <c r="BV668" i="1"/>
  <c r="BV669" i="1" s="1"/>
  <c r="BX1184" i="1"/>
  <c r="BX409" i="1"/>
  <c r="BX1171" i="1"/>
  <c r="CD483" i="1"/>
  <c r="BV411" i="1"/>
  <c r="BV66" i="9" s="1"/>
  <c r="BV480" i="1"/>
  <c r="BU70" i="9"/>
  <c r="BU72" i="9" s="1"/>
  <c r="BU740" i="1"/>
  <c r="BU741" i="1" s="1"/>
  <c r="BU742" i="1" s="1"/>
  <c r="BU743" i="1" s="1"/>
  <c r="BU723" i="1"/>
  <c r="BV9" i="9"/>
  <c r="BV785" i="1"/>
  <c r="BZ932" i="1"/>
  <c r="BZ938" i="1" s="1"/>
  <c r="BV60" i="9"/>
  <c r="BU56" i="9"/>
  <c r="BU512" i="1"/>
  <c r="BU51" i="9" s="1"/>
  <c r="BZ120" i="9" s="1"/>
  <c r="BV55" i="9"/>
  <c r="BV136" i="9" s="1"/>
  <c r="BV406" i="1"/>
  <c r="BV65" i="9" s="1"/>
  <c r="BW957" i="1"/>
  <c r="BW950" i="1"/>
  <c r="BX949" i="1"/>
  <c r="CF982" i="1"/>
  <c r="CF1232" i="1"/>
  <c r="CB990" i="1"/>
  <c r="CB991" i="1" s="1"/>
  <c r="CC483" i="1"/>
  <c r="BU100" i="9"/>
  <c r="BU101" i="9" s="1"/>
  <c r="BU1254" i="1"/>
  <c r="BU998" i="1"/>
  <c r="BW213" i="1"/>
  <c r="BW217" i="1" s="1"/>
  <c r="BX211" i="1"/>
  <c r="BX213" i="1" s="1"/>
  <c r="BX217" i="1" s="1"/>
  <c r="BV135" i="9"/>
  <c r="CF894" i="1"/>
  <c r="CF835" i="1"/>
  <c r="CF837" i="1" s="1"/>
  <c r="CF839" i="1" s="1"/>
  <c r="CF779" i="1"/>
  <c r="CF780" i="1" s="1"/>
  <c r="CF782" i="1" s="1"/>
  <c r="BV653" i="1"/>
  <c r="BV661" i="1"/>
  <c r="BV658" i="1"/>
  <c r="BU806" i="1"/>
  <c r="BU807" i="1" s="1"/>
  <c r="BU996" i="1" s="1"/>
  <c r="BU997" i="1" s="1"/>
  <c r="BU968" i="1" s="1"/>
  <c r="BU994" i="1"/>
  <c r="BU995" i="1" s="1"/>
  <c r="BU971" i="1" s="1"/>
  <c r="BU722" i="1"/>
  <c r="BU1156" i="1"/>
  <c r="CE925" i="1"/>
  <c r="CE926" i="1" s="1"/>
  <c r="CE928" i="1" s="1"/>
  <c r="CE802" i="1" s="1"/>
  <c r="CE896" i="1"/>
  <c r="CE795" i="1" s="1"/>
  <c r="CE798" i="1" s="1"/>
  <c r="CE757" i="1" s="1"/>
  <c r="BW1184" i="1"/>
  <c r="CE837" i="1"/>
  <c r="CE839" i="1" s="1"/>
  <c r="BX975" i="1"/>
  <c r="BX973" i="1"/>
  <c r="BX984" i="1"/>
  <c r="BX1177" i="1"/>
  <c r="BX256" i="1"/>
  <c r="BX248" i="1"/>
  <c r="BU507" i="1" l="1"/>
  <c r="BU57" i="9" s="1"/>
  <c r="BU88" i="9" s="1"/>
  <c r="BZ935" i="1"/>
  <c r="BZ1220" i="1" s="1"/>
  <c r="BX218" i="1"/>
  <c r="BX219" i="1"/>
  <c r="BX221" i="1" s="1"/>
  <c r="CA931" i="1"/>
  <c r="BW467" i="1"/>
  <c r="BW238" i="1"/>
  <c r="BW218" i="1"/>
  <c r="BW219" i="1"/>
  <c r="BW221" i="1" s="1"/>
  <c r="BU974" i="1"/>
  <c r="BU972" i="1"/>
  <c r="BX947" i="1"/>
  <c r="BU137" i="9"/>
  <c r="BU98" i="9"/>
  <c r="BU99" i="9" s="1"/>
  <c r="BU102" i="9" s="1"/>
  <c r="BU122" i="9"/>
  <c r="CD990" i="1"/>
  <c r="CD991" i="1" s="1"/>
  <c r="BU744" i="1"/>
  <c r="BU745" i="1" s="1"/>
  <c r="BU746" i="1" s="1"/>
  <c r="BU747" i="1" s="1"/>
  <c r="BU721" i="1"/>
  <c r="BU724" i="1"/>
  <c r="CF925" i="1"/>
  <c r="CF926" i="1" s="1"/>
  <c r="CF928" i="1" s="1"/>
  <c r="CF802" i="1" s="1"/>
  <c r="CF896" i="1"/>
  <c r="CF795" i="1" s="1"/>
  <c r="CF798" i="1" s="1"/>
  <c r="CF757" i="1" s="1"/>
  <c r="BW942" i="1"/>
  <c r="BX950" i="1"/>
  <c r="BX951" i="1" s="1"/>
  <c r="BX953" i="1" s="1"/>
  <c r="BX955" i="1" s="1"/>
  <c r="BV1273" i="1"/>
  <c r="BV657" i="1"/>
  <c r="BV660" i="1"/>
  <c r="BV654" i="1"/>
  <c r="BY1262" i="1"/>
  <c r="BY8" i="9"/>
  <c r="BY1263" i="1"/>
  <c r="BY752" i="1"/>
  <c r="BZ753" i="1"/>
  <c r="BZ758" i="1" s="1"/>
  <c r="CC1173" i="1"/>
  <c r="BX1176" i="1"/>
  <c r="BY1173" i="1"/>
  <c r="BV54" i="9"/>
  <c r="BV988" i="1"/>
  <c r="BV989" i="1" s="1"/>
  <c r="BV800" i="1"/>
  <c r="BV412" i="1"/>
  <c r="BU1198" i="1"/>
  <c r="BT1266" i="1"/>
  <c r="BU1159" i="1"/>
  <c r="CF774" i="1"/>
  <c r="CF1110" i="1" s="1"/>
  <c r="CC990" i="1"/>
  <c r="CC991" i="1" s="1"/>
  <c r="CE483" i="1"/>
  <c r="BW959" i="1"/>
  <c r="BW801" i="1" s="1"/>
  <c r="BX957" i="1"/>
  <c r="BX959" i="1" s="1"/>
  <c r="CC244" i="1"/>
  <c r="BX250" i="1"/>
  <c r="BY244" i="1"/>
  <c r="BU74" i="9"/>
  <c r="BU84" i="9"/>
  <c r="BU95" i="9"/>
  <c r="BU123" i="9"/>
  <c r="BZ958" i="1"/>
  <c r="CC1167" i="1"/>
  <c r="BX1170" i="1"/>
  <c r="BY1167" i="1"/>
  <c r="BY758" i="1"/>
  <c r="BX801" i="1" l="1"/>
  <c r="CE990" i="1"/>
  <c r="CE991" i="1" s="1"/>
  <c r="BU1164" i="1"/>
  <c r="BV1158" i="1"/>
  <c r="BV134" i="9"/>
  <c r="BV94" i="9"/>
  <c r="BV67" i="9"/>
  <c r="BV121" i="9"/>
  <c r="BY1238" i="1"/>
  <c r="BY983" i="1"/>
  <c r="CA932" i="1"/>
  <c r="CA938" i="1" s="1"/>
  <c r="BW1120" i="1"/>
  <c r="BX1120" i="1" s="1"/>
  <c r="BX942" i="1"/>
  <c r="BW944" i="1"/>
  <c r="BZ1113" i="1"/>
  <c r="BZ1262" i="1"/>
  <c r="BZ1263" i="1"/>
  <c r="BZ8" i="9"/>
  <c r="BZ752" i="1"/>
  <c r="CA753" i="1"/>
  <c r="CA758" i="1" s="1"/>
  <c r="BV970" i="1"/>
  <c r="BV966" i="1"/>
  <c r="BV967" i="1"/>
  <c r="BV969" i="1"/>
  <c r="BY1168" i="1"/>
  <c r="BU1207" i="1"/>
  <c r="BU750" i="1"/>
  <c r="BU1002" i="1"/>
  <c r="BU979" i="1" s="1"/>
  <c r="BW1265" i="1"/>
  <c r="BW240" i="1"/>
  <c r="BW241" i="1" s="1"/>
  <c r="BW239" i="1"/>
  <c r="BX238" i="1"/>
  <c r="BW395" i="1"/>
  <c r="BW472" i="1"/>
  <c r="BW466" i="1"/>
  <c r="BU76" i="9"/>
  <c r="BU82" i="9" s="1"/>
  <c r="BU139" i="9" s="1"/>
  <c r="BU85" i="9"/>
  <c r="BU87" i="9" s="1"/>
  <c r="BU124" i="9"/>
  <c r="BY1174" i="1"/>
  <c r="BY1182" i="1" s="1"/>
  <c r="CF483" i="1"/>
  <c r="CA935" i="1" l="1"/>
  <c r="CF990" i="1"/>
  <c r="CF991" i="1" s="1"/>
  <c r="BW112" i="9"/>
  <c r="BW113" i="9" s="1"/>
  <c r="BW652" i="1"/>
  <c r="BW474" i="1"/>
  <c r="BW404" i="1"/>
  <c r="BW479" i="1"/>
  <c r="CA958" i="1"/>
  <c r="BY246" i="1"/>
  <c r="BY1216" i="1"/>
  <c r="BU1223" i="1"/>
  <c r="BU1003" i="1"/>
  <c r="BU978" i="1" s="1"/>
  <c r="BY973" i="1"/>
  <c r="BY975" i="1"/>
  <c r="BY984" i="1"/>
  <c r="BY477" i="1"/>
  <c r="BY1217" i="1"/>
  <c r="BW35" i="9"/>
  <c r="BW39" i="9" s="1"/>
  <c r="BW394" i="1"/>
  <c r="BX466" i="1"/>
  <c r="CA1220" i="1"/>
  <c r="CB931" i="1"/>
  <c r="BU7" i="9"/>
  <c r="BU11" i="9" s="1"/>
  <c r="BU1261" i="1"/>
  <c r="BU985" i="1"/>
  <c r="BU783" i="1"/>
  <c r="BV759" i="1"/>
  <c r="BU755" i="1"/>
  <c r="BX240" i="1"/>
  <c r="BX241" i="1" s="1"/>
  <c r="BX239" i="1"/>
  <c r="CA8" i="9"/>
  <c r="CA1263" i="1"/>
  <c r="CA1262" i="1"/>
  <c r="CA752" i="1"/>
  <c r="CB753" i="1"/>
  <c r="CB758" i="1" s="1"/>
  <c r="BW1228" i="1"/>
  <c r="BW1240" i="1" s="1"/>
  <c r="BY1181" i="1"/>
  <c r="BZ1238" i="1"/>
  <c r="BZ983" i="1"/>
  <c r="CC758" i="1" l="1"/>
  <c r="BU980" i="1"/>
  <c r="BU986" i="1"/>
  <c r="BW480" i="1"/>
  <c r="BW411" i="1"/>
  <c r="BW66" i="9" s="1"/>
  <c r="BX1228" i="1"/>
  <c r="BY1171" i="1"/>
  <c r="BY1184" i="1"/>
  <c r="BY1104" i="1"/>
  <c r="BY409" i="1"/>
  <c r="CB8" i="9"/>
  <c r="CB1263" i="1"/>
  <c r="CB1262" i="1"/>
  <c r="CB752" i="1"/>
  <c r="CB932" i="1"/>
  <c r="CB935" i="1" s="1"/>
  <c r="CB1220" i="1" s="1"/>
  <c r="CC1220" i="1" s="1"/>
  <c r="CC935" i="1" s="1"/>
  <c r="CB938" i="1"/>
  <c r="BW55" i="9"/>
  <c r="BW136" i="9" s="1"/>
  <c r="BW406" i="1"/>
  <c r="BW65" i="9" s="1"/>
  <c r="BW658" i="1"/>
  <c r="BW661" i="1"/>
  <c r="BW653" i="1"/>
  <c r="BY1177" i="1"/>
  <c r="BY1102" i="1"/>
  <c r="BY256" i="1"/>
  <c r="BY211" i="1"/>
  <c r="BY248" i="1"/>
  <c r="BW64" i="9"/>
  <c r="BW668" i="1"/>
  <c r="BW669" i="1" s="1"/>
  <c r="BZ975" i="1"/>
  <c r="BZ973" i="1"/>
  <c r="BZ984" i="1"/>
  <c r="CA1238" i="1"/>
  <c r="CA983" i="1"/>
  <c r="BU91" i="9"/>
  <c r="BU108" i="9"/>
  <c r="BU109" i="9" s="1"/>
  <c r="BU110" i="9" s="1"/>
  <c r="BU111" i="9" s="1"/>
  <c r="BU93" i="9"/>
  <c r="BU92" i="9"/>
  <c r="BU1009" i="1"/>
  <c r="BU1000" i="1" s="1"/>
  <c r="BU976" i="1" s="1"/>
  <c r="BX35" i="9"/>
  <c r="BX39" i="9" s="1"/>
  <c r="BX394" i="1"/>
  <c r="BX467" i="1"/>
  <c r="BX472" i="1" s="1"/>
  <c r="CA1113" i="1"/>
  <c r="BV484" i="1"/>
  <c r="BV761" i="1"/>
  <c r="BW60" i="9"/>
  <c r="BW1273" i="1"/>
  <c r="BX1240" i="1"/>
  <c r="BW754" i="1"/>
  <c r="BW1242" i="1"/>
  <c r="BU792" i="1"/>
  <c r="BU793" i="1" s="1"/>
  <c r="BU784" i="1"/>
  <c r="BU786" i="1" s="1"/>
  <c r="BW135" i="9"/>
  <c r="BU105" i="9"/>
  <c r="BU106" i="9" s="1"/>
  <c r="BU1256" i="1"/>
  <c r="BU1001" i="1"/>
  <c r="BU977" i="1" s="1"/>
  <c r="BT1268" i="1"/>
  <c r="CD931" i="1" l="1"/>
  <c r="BX944" i="1"/>
  <c r="BX754" i="1"/>
  <c r="CA975" i="1"/>
  <c r="CA973" i="1"/>
  <c r="CA984" i="1"/>
  <c r="BX135" i="9"/>
  <c r="BY1176" i="1"/>
  <c r="BZ1173" i="1"/>
  <c r="BV40" i="9"/>
  <c r="BV42" i="9" s="1"/>
  <c r="BV487" i="1"/>
  <c r="BV762" i="1"/>
  <c r="BV764" i="1"/>
  <c r="BX1242" i="1"/>
  <c r="BX1243" i="1" s="1"/>
  <c r="BW1243" i="1"/>
  <c r="BZ244" i="1"/>
  <c r="BY250" i="1"/>
  <c r="BW657" i="1"/>
  <c r="BW654" i="1"/>
  <c r="BW660" i="1"/>
  <c r="BW54" i="9"/>
  <c r="BW988" i="1"/>
  <c r="BW989" i="1" s="1"/>
  <c r="BW800" i="1"/>
  <c r="BW412" i="1"/>
  <c r="BX480" i="1"/>
  <c r="CB1238" i="1"/>
  <c r="CB983" i="1"/>
  <c r="BX112" i="9"/>
  <c r="BX113" i="9" s="1"/>
  <c r="BX474" i="1"/>
  <c r="BX652" i="1"/>
  <c r="BX404" i="1"/>
  <c r="BX479" i="1"/>
  <c r="BX411" i="1" s="1"/>
  <c r="BX66" i="9" s="1"/>
  <c r="BX1265" i="1"/>
  <c r="BY1170" i="1"/>
  <c r="BZ1167" i="1"/>
  <c r="BX60" i="9"/>
  <c r="BX395" i="1"/>
  <c r="BW9" i="9"/>
  <c r="BW785" i="1"/>
  <c r="BY213" i="1"/>
  <c r="BY217" i="1" s="1"/>
  <c r="CB958" i="1"/>
  <c r="CC932" i="1"/>
  <c r="BU964" i="1"/>
  <c r="BU963" i="1"/>
  <c r="BU962" i="1"/>
  <c r="BU965" i="1"/>
  <c r="BU116" i="9"/>
  <c r="BU117" i="9" s="1"/>
  <c r="BU107" i="9"/>
  <c r="N22" i="10"/>
  <c r="N9" i="10"/>
  <c r="Q9" i="10" l="1"/>
  <c r="P9" i="10"/>
  <c r="Q22" i="10"/>
  <c r="P22" i="10"/>
  <c r="BX64" i="9"/>
  <c r="BX668" i="1"/>
  <c r="BX669" i="1" s="1"/>
  <c r="CB1113" i="1"/>
  <c r="CC1113" i="1" s="1"/>
  <c r="CC958" i="1"/>
  <c r="BX698" i="1"/>
  <c r="BX653" i="1"/>
  <c r="BV698" i="1"/>
  <c r="BX661" i="1"/>
  <c r="BU698" i="1"/>
  <c r="BT698" i="1"/>
  <c r="BW698" i="1"/>
  <c r="BX1273" i="1"/>
  <c r="BX55" i="9"/>
  <c r="BX136" i="9" s="1"/>
  <c r="BX406" i="1"/>
  <c r="BX65" i="9" s="1"/>
  <c r="BW970" i="1"/>
  <c r="BW966" i="1"/>
  <c r="BW967" i="1"/>
  <c r="BW969" i="1"/>
  <c r="BX9" i="9"/>
  <c r="BX785" i="1"/>
  <c r="BW134" i="9"/>
  <c r="BW94" i="9"/>
  <c r="BW67" i="9"/>
  <c r="BW121" i="9"/>
  <c r="BX943" i="1"/>
  <c r="CC940" i="1"/>
  <c r="BY940" i="1"/>
  <c r="BX54" i="9"/>
  <c r="BX988" i="1"/>
  <c r="BX989" i="1" s="1"/>
  <c r="BX800" i="1"/>
  <c r="BX412" i="1"/>
  <c r="CB975" i="1"/>
  <c r="CB973" i="1"/>
  <c r="CB984" i="1"/>
  <c r="CC937" i="1"/>
  <c r="CC938" i="1"/>
  <c r="BY219" i="1"/>
  <c r="BY221" i="1" s="1"/>
  <c r="BY218" i="1"/>
  <c r="BY238" i="1"/>
  <c r="BY467" i="1"/>
  <c r="BV803" i="1"/>
  <c r="BV489" i="1"/>
  <c r="BV490" i="1"/>
  <c r="BV491" i="1" s="1"/>
  <c r="BZ1168" i="1"/>
  <c r="BZ1181" i="1" s="1"/>
  <c r="BX945" i="1"/>
  <c r="CC1238" i="1"/>
  <c r="BZ1174" i="1"/>
  <c r="BZ1182" i="1" s="1"/>
  <c r="CD932" i="1"/>
  <c r="CD958" i="1" s="1"/>
  <c r="CD1113" i="1" s="1"/>
  <c r="BV1099" i="1" l="1"/>
  <c r="BV495" i="1"/>
  <c r="BZ477" i="1"/>
  <c r="BZ1217" i="1"/>
  <c r="CD938" i="1"/>
  <c r="BV43" i="9"/>
  <c r="BX966" i="1"/>
  <c r="BX970" i="1"/>
  <c r="BX967" i="1"/>
  <c r="BX969" i="1"/>
  <c r="BV1111" i="1"/>
  <c r="BZ246" i="1"/>
  <c r="BZ1216" i="1"/>
  <c r="CD935" i="1"/>
  <c r="BX134" i="9"/>
  <c r="BX94" i="9"/>
  <c r="BX67" i="9"/>
  <c r="BX121" i="9"/>
  <c r="BY949" i="1"/>
  <c r="BV1229" i="1"/>
  <c r="BX654" i="1"/>
  <c r="BX660" i="1"/>
  <c r="CC752" i="1"/>
  <c r="CC983" i="1" s="1"/>
  <c r="CC753" i="1"/>
  <c r="BY472" i="1"/>
  <c r="BY395" i="1"/>
  <c r="BY466" i="1"/>
  <c r="BY239" i="1"/>
  <c r="BY240" i="1"/>
  <c r="BY241" i="1" s="1"/>
  <c r="BZ1171" i="1" l="1"/>
  <c r="BV1118" i="1"/>
  <c r="BV1230" i="1"/>
  <c r="BV1234" i="1" s="1"/>
  <c r="CC8" i="9"/>
  <c r="CC1263" i="1"/>
  <c r="CC1262" i="1"/>
  <c r="CD753" i="1"/>
  <c r="CD758" i="1"/>
  <c r="CD1220" i="1"/>
  <c r="CE931" i="1"/>
  <c r="BZ1104" i="1"/>
  <c r="BZ409" i="1"/>
  <c r="BZ1177" i="1"/>
  <c r="BY35" i="9"/>
  <c r="BY39" i="9" s="1"/>
  <c r="BY394" i="1"/>
  <c r="BV1218" i="1"/>
  <c r="CC975" i="1"/>
  <c r="CC973" i="1"/>
  <c r="CC984" i="1"/>
  <c r="BY957" i="1"/>
  <c r="BY950" i="1"/>
  <c r="BV47" i="9"/>
  <c r="BV505" i="1"/>
  <c r="BV497" i="1"/>
  <c r="BY112" i="9"/>
  <c r="BY113" i="9" s="1"/>
  <c r="BY479" i="1"/>
  <c r="BY474" i="1"/>
  <c r="BY652" i="1"/>
  <c r="BY404" i="1"/>
  <c r="BY1265" i="1"/>
  <c r="BZ1102" i="1"/>
  <c r="BZ211" i="1"/>
  <c r="BZ256" i="1"/>
  <c r="BZ248" i="1"/>
  <c r="BV1114" i="1"/>
  <c r="BV1251" i="1"/>
  <c r="BV49" i="9" l="1"/>
  <c r="BV511" i="1"/>
  <c r="BV506" i="1" s="1"/>
  <c r="BV50" i="9" s="1"/>
  <c r="BV500" i="1"/>
  <c r="BV1252" i="1"/>
  <c r="BY653" i="1"/>
  <c r="BY658" i="1"/>
  <c r="BY661" i="1"/>
  <c r="BY135" i="9"/>
  <c r="CE932" i="1"/>
  <c r="CE958" i="1" s="1"/>
  <c r="CE1113" i="1" s="1"/>
  <c r="BV114" i="9"/>
  <c r="BV115" i="9" s="1"/>
  <c r="BV1244" i="1"/>
  <c r="BV1004" i="1"/>
  <c r="CA244" i="1"/>
  <c r="BZ250" i="1"/>
  <c r="BY55" i="9"/>
  <c r="BY136" i="9" s="1"/>
  <c r="BY406" i="1"/>
  <c r="BY65" i="9" s="1"/>
  <c r="BY959" i="1"/>
  <c r="BY801" i="1" s="1"/>
  <c r="BY480" i="1"/>
  <c r="BY411" i="1"/>
  <c r="BY66" i="9" s="1"/>
  <c r="BV71" i="9"/>
  <c r="CA1173" i="1"/>
  <c r="BZ1176" i="1"/>
  <c r="CD8" i="9"/>
  <c r="CD1263" i="1"/>
  <c r="CD1262" i="1"/>
  <c r="CE753" i="1"/>
  <c r="CE758" i="1" s="1"/>
  <c r="CD752" i="1"/>
  <c r="BZ1170" i="1"/>
  <c r="CA1167" i="1"/>
  <c r="BY64" i="9"/>
  <c r="BY668" i="1"/>
  <c r="BY669" i="1" s="1"/>
  <c r="BV138" i="9"/>
  <c r="BV103" i="9"/>
  <c r="BV104" i="9" s="1"/>
  <c r="BY60" i="9"/>
  <c r="BY1273" i="1"/>
  <c r="BZ1184" i="1"/>
  <c r="BV720" i="1"/>
  <c r="BV1121" i="1"/>
  <c r="BY942" i="1"/>
  <c r="BZ213" i="1"/>
  <c r="BZ217" i="1" s="1"/>
  <c r="BV1222" i="1"/>
  <c r="CE935" i="1" l="1"/>
  <c r="BV56" i="9"/>
  <c r="BV512" i="1"/>
  <c r="BV51" i="9" s="1"/>
  <c r="CA120" i="9" s="1"/>
  <c r="BY54" i="9"/>
  <c r="BY988" i="1"/>
  <c r="BY989" i="1" s="1"/>
  <c r="BY412" i="1"/>
  <c r="BY800" i="1"/>
  <c r="CA1168" i="1"/>
  <c r="CA1181" i="1" s="1"/>
  <c r="BZ467" i="1"/>
  <c r="BZ238" i="1"/>
  <c r="BZ218" i="1"/>
  <c r="BZ219" i="1"/>
  <c r="BZ221" i="1" s="1"/>
  <c r="BY657" i="1"/>
  <c r="BY654" i="1"/>
  <c r="BY660" i="1"/>
  <c r="CA1174" i="1"/>
  <c r="CA1182" i="1" s="1"/>
  <c r="BV100" i="9"/>
  <c r="BV101" i="9" s="1"/>
  <c r="BV998" i="1"/>
  <c r="BV1254" i="1"/>
  <c r="BY1120" i="1"/>
  <c r="BY944" i="1"/>
  <c r="CD1238" i="1"/>
  <c r="CD983" i="1"/>
  <c r="CE938" i="1"/>
  <c r="BV994" i="1"/>
  <c r="BV995" i="1" s="1"/>
  <c r="BV971" i="1" s="1"/>
  <c r="BV722" i="1"/>
  <c r="BV806" i="1"/>
  <c r="BV807" i="1" s="1"/>
  <c r="BV996" i="1" s="1"/>
  <c r="BV997" i="1" s="1"/>
  <c r="BV968" i="1" s="1"/>
  <c r="BV1156" i="1"/>
  <c r="CE8" i="9"/>
  <c r="CE1262" i="1"/>
  <c r="CE1263" i="1"/>
  <c r="CF753" i="1"/>
  <c r="CE752" i="1"/>
  <c r="BV70" i="9"/>
  <c r="BV72" i="9" s="1"/>
  <c r="BV740" i="1"/>
  <c r="BV741" i="1" s="1"/>
  <c r="BV742" i="1" s="1"/>
  <c r="BV743" i="1" s="1"/>
  <c r="BV723" i="1"/>
  <c r="BV507" i="1" l="1"/>
  <c r="BV57" i="9" s="1"/>
  <c r="BV88" i="9" s="1"/>
  <c r="CD973" i="1"/>
  <c r="CD975" i="1"/>
  <c r="CD984" i="1"/>
  <c r="BY134" i="9"/>
  <c r="BY94" i="9"/>
  <c r="BY67" i="9"/>
  <c r="BY121" i="9"/>
  <c r="BV84" i="9"/>
  <c r="BV95" i="9"/>
  <c r="BV74" i="9"/>
  <c r="BV123" i="9"/>
  <c r="BY1228" i="1"/>
  <c r="BY1240" i="1"/>
  <c r="BZ940" i="1"/>
  <c r="CF8" i="9"/>
  <c r="CF1263" i="1"/>
  <c r="CF1262" i="1"/>
  <c r="CF752" i="1"/>
  <c r="BZ472" i="1"/>
  <c r="BZ395" i="1"/>
  <c r="BZ466" i="1"/>
  <c r="BY970" i="1"/>
  <c r="BY966" i="1"/>
  <c r="BY967" i="1"/>
  <c r="BY969" i="1"/>
  <c r="CF758" i="1"/>
  <c r="BV1198" i="1"/>
  <c r="BV1159" i="1"/>
  <c r="CE1238" i="1"/>
  <c r="CE983" i="1"/>
  <c r="BV972" i="1"/>
  <c r="BV974" i="1"/>
  <c r="BZ239" i="1"/>
  <c r="BZ240" i="1"/>
  <c r="BZ241" i="1" s="1"/>
  <c r="CA246" i="1"/>
  <c r="CA1216" i="1"/>
  <c r="CA477" i="1"/>
  <c r="CA1217" i="1"/>
  <c r="BV137" i="9"/>
  <c r="BV98" i="9"/>
  <c r="BV99" i="9" s="1"/>
  <c r="BV102" i="9" s="1"/>
  <c r="BV122" i="9"/>
  <c r="BV744" i="1"/>
  <c r="BV745" i="1" s="1"/>
  <c r="BV746" i="1" s="1"/>
  <c r="BV747" i="1" s="1"/>
  <c r="BV724" i="1"/>
  <c r="BV721" i="1"/>
  <c r="CE1220" i="1"/>
  <c r="CF931" i="1"/>
  <c r="BV1164" i="1" l="1"/>
  <c r="BW1158" i="1"/>
  <c r="BY754" i="1"/>
  <c r="BY1242" i="1"/>
  <c r="BY1243" i="1" s="1"/>
  <c r="CA1104" i="1"/>
  <c r="CA409" i="1"/>
  <c r="BV76" i="9"/>
  <c r="BV82" i="9" s="1"/>
  <c r="BV139" i="9" s="1"/>
  <c r="BV85" i="9"/>
  <c r="BV87" i="9" s="1"/>
  <c r="BV124" i="9"/>
  <c r="BZ949" i="1"/>
  <c r="BV1207" i="1"/>
  <c r="BV750" i="1"/>
  <c r="BV1002" i="1"/>
  <c r="BV979" i="1" s="1"/>
  <c r="CE975" i="1"/>
  <c r="CE973" i="1"/>
  <c r="CE984" i="1"/>
  <c r="BZ35" i="9"/>
  <c r="BZ39" i="9" s="1"/>
  <c r="BZ394" i="1"/>
  <c r="CA1171" i="1"/>
  <c r="BZ112" i="9"/>
  <c r="BZ113" i="9" s="1"/>
  <c r="BZ474" i="1"/>
  <c r="BZ479" i="1"/>
  <c r="BZ652" i="1"/>
  <c r="BZ404" i="1"/>
  <c r="BZ1265" i="1"/>
  <c r="CF1238" i="1"/>
  <c r="CF983" i="1"/>
  <c r="CA1177" i="1"/>
  <c r="CF932" i="1"/>
  <c r="CF958" i="1" s="1"/>
  <c r="CF1113" i="1" s="1"/>
  <c r="CA1102" i="1"/>
  <c r="CA1184" i="1" s="1"/>
  <c r="CA211" i="1"/>
  <c r="CA256" i="1"/>
  <c r="CA248" i="1"/>
  <c r="BZ661" i="1" l="1"/>
  <c r="BZ658" i="1"/>
  <c r="BZ653" i="1"/>
  <c r="BZ480" i="1"/>
  <c r="BZ411" i="1"/>
  <c r="BZ66" i="9" s="1"/>
  <c r="CA213" i="1"/>
  <c r="CA217" i="1" s="1"/>
  <c r="CF973" i="1"/>
  <c r="CF975" i="1"/>
  <c r="CF984" i="1"/>
  <c r="BV7" i="9"/>
  <c r="BV11" i="9" s="1"/>
  <c r="BV1261" i="1"/>
  <c r="BV783" i="1"/>
  <c r="BW759" i="1"/>
  <c r="BV985" i="1"/>
  <c r="BV755" i="1"/>
  <c r="BZ60" i="9"/>
  <c r="BZ135" i="9"/>
  <c r="CF935" i="1"/>
  <c r="CF1220" i="1" s="1"/>
  <c r="BZ957" i="1"/>
  <c r="BZ950" i="1"/>
  <c r="CB244" i="1"/>
  <c r="CA250" i="1"/>
  <c r="CA1176" i="1"/>
  <c r="CB1173" i="1"/>
  <c r="BZ55" i="9"/>
  <c r="BZ136" i="9" s="1"/>
  <c r="BZ406" i="1"/>
  <c r="BZ65" i="9" s="1"/>
  <c r="BY9" i="9"/>
  <c r="BY785" i="1"/>
  <c r="CB1167" i="1"/>
  <c r="CA1170" i="1"/>
  <c r="BV1003" i="1"/>
  <c r="BV978" i="1" s="1"/>
  <c r="BV1223" i="1"/>
  <c r="CF938" i="1"/>
  <c r="BZ64" i="9"/>
  <c r="BZ668" i="1"/>
  <c r="BZ669" i="1" s="1"/>
  <c r="BZ1273" i="1" l="1"/>
  <c r="BW484" i="1"/>
  <c r="BW761" i="1"/>
  <c r="BX759" i="1"/>
  <c r="BZ54" i="9"/>
  <c r="BZ988" i="1"/>
  <c r="BZ989" i="1" s="1"/>
  <c r="BZ800" i="1"/>
  <c r="BZ412" i="1"/>
  <c r="BV105" i="9"/>
  <c r="BV106" i="9" s="1"/>
  <c r="BV1256" i="1"/>
  <c r="BV1001" i="1"/>
  <c r="BV977" i="1" s="1"/>
  <c r="BZ942" i="1"/>
  <c r="BV108" i="9"/>
  <c r="BV109" i="9" s="1"/>
  <c r="BV110" i="9" s="1"/>
  <c r="BV111" i="9" s="1"/>
  <c r="BV92" i="9"/>
  <c r="BV91" i="9"/>
  <c r="BV93" i="9"/>
  <c r="BV1009" i="1"/>
  <c r="BV1000" i="1" s="1"/>
  <c r="BV976" i="1" s="1"/>
  <c r="CA218" i="1"/>
  <c r="CA238" i="1"/>
  <c r="CA219" i="1"/>
  <c r="CA221" i="1" s="1"/>
  <c r="CA467" i="1"/>
  <c r="CB1168" i="1"/>
  <c r="BV980" i="1"/>
  <c r="BV986" i="1"/>
  <c r="BV792" i="1"/>
  <c r="BV793" i="1" s="1"/>
  <c r="BV784" i="1"/>
  <c r="BV786" i="1" s="1"/>
  <c r="BZ654" i="1"/>
  <c r="BZ660" i="1"/>
  <c r="BZ657" i="1"/>
  <c r="BZ959" i="1"/>
  <c r="BZ801" i="1" s="1"/>
  <c r="CB1174" i="1"/>
  <c r="CB1182" i="1"/>
  <c r="CC1182" i="1" s="1"/>
  <c r="CB477" i="1" l="1"/>
  <c r="CC1168" i="1"/>
  <c r="CB1217" i="1"/>
  <c r="CA472" i="1"/>
  <c r="CA1265" i="1" s="1"/>
  <c r="CA395" i="1"/>
  <c r="CA466" i="1"/>
  <c r="CB246" i="1"/>
  <c r="CC1174" i="1"/>
  <c r="CB1216" i="1"/>
  <c r="BZ970" i="1"/>
  <c r="BZ966" i="1"/>
  <c r="BZ967" i="1"/>
  <c r="BZ969" i="1"/>
  <c r="CA240" i="1"/>
  <c r="CA241" i="1" s="1"/>
  <c r="CA239" i="1"/>
  <c r="BZ1120" i="1"/>
  <c r="BZ944" i="1"/>
  <c r="BZ134" i="9"/>
  <c r="BZ94" i="9"/>
  <c r="BZ67" i="9"/>
  <c r="BZ121" i="9"/>
  <c r="BV964" i="1"/>
  <c r="BV962" i="1"/>
  <c r="BV963" i="1"/>
  <c r="BV965" i="1"/>
  <c r="BV107" i="9"/>
  <c r="BV116" i="9"/>
  <c r="BV117" i="9" s="1"/>
  <c r="BW762" i="1"/>
  <c r="BX761" i="1"/>
  <c r="BW764" i="1"/>
  <c r="CB1181" i="1"/>
  <c r="CC1181" i="1" s="1"/>
  <c r="BW40" i="9"/>
  <c r="BW42" i="9" s="1"/>
  <c r="BW487" i="1"/>
  <c r="BX484" i="1"/>
  <c r="CB1102" i="1" l="1"/>
  <c r="CC1102" i="1" s="1"/>
  <c r="CB211" i="1"/>
  <c r="CB256" i="1"/>
  <c r="CC246" i="1"/>
  <c r="CB248" i="1"/>
  <c r="CB250" i="1" s="1"/>
  <c r="BX40" i="9"/>
  <c r="BX42" i="9" s="1"/>
  <c r="BX487" i="1"/>
  <c r="BW803" i="1"/>
  <c r="BW489" i="1"/>
  <c r="BW491" i="1" s="1"/>
  <c r="BW490" i="1"/>
  <c r="CA35" i="9"/>
  <c r="CA39" i="9" s="1"/>
  <c r="CA394" i="1"/>
  <c r="BZ1228" i="1"/>
  <c r="BZ1240" i="1"/>
  <c r="CA940" i="1"/>
  <c r="CA112" i="9"/>
  <c r="CA113" i="9" s="1"/>
  <c r="CA652" i="1"/>
  <c r="CA479" i="1"/>
  <c r="CA404" i="1"/>
  <c r="CA474" i="1"/>
  <c r="CC1217" i="1"/>
  <c r="CB1171" i="1"/>
  <c r="CB1170" i="1" s="1"/>
  <c r="BX762" i="1"/>
  <c r="BX764" i="1"/>
  <c r="CB1177" i="1"/>
  <c r="CB1176" i="1" s="1"/>
  <c r="CC1216" i="1"/>
  <c r="CB1104" i="1"/>
  <c r="CC1104" i="1" s="1"/>
  <c r="CB409" i="1"/>
  <c r="CC477" i="1"/>
  <c r="CB1184" i="1" l="1"/>
  <c r="BZ754" i="1"/>
  <c r="BZ1242" i="1"/>
  <c r="BZ1243" i="1" s="1"/>
  <c r="BX803" i="1"/>
  <c r="BW1229" i="1"/>
  <c r="CC1177" i="1"/>
  <c r="CA55" i="9"/>
  <c r="CA136" i="9" s="1"/>
  <c r="CA406" i="1"/>
  <c r="CA65" i="9" s="1"/>
  <c r="CA64" i="9"/>
  <c r="CA668" i="1"/>
  <c r="CA669" i="1" s="1"/>
  <c r="CA480" i="1"/>
  <c r="CA411" i="1"/>
  <c r="CA66" i="9" s="1"/>
  <c r="CA60" i="9"/>
  <c r="CA135" i="9"/>
  <c r="CC256" i="1"/>
  <c r="CC248" i="1"/>
  <c r="CC1184" i="1"/>
  <c r="CC409" i="1"/>
  <c r="CA661" i="1"/>
  <c r="CA658" i="1"/>
  <c r="CA653" i="1"/>
  <c r="BW1099" i="1"/>
  <c r="BW495" i="1"/>
  <c r="BW1111" i="1"/>
  <c r="BX490" i="1"/>
  <c r="BX503" i="1" s="1"/>
  <c r="CB213" i="1"/>
  <c r="CB217" i="1" s="1"/>
  <c r="CC211" i="1"/>
  <c r="CC213" i="1" s="1"/>
  <c r="CC217" i="1" s="1"/>
  <c r="CC1171" i="1"/>
  <c r="CA949" i="1"/>
  <c r="BW43" i="9"/>
  <c r="BX489" i="1"/>
  <c r="CB218" i="1" l="1"/>
  <c r="CB238" i="1"/>
  <c r="CB219" i="1"/>
  <c r="CB221" i="1" s="1"/>
  <c r="CB467" i="1"/>
  <c r="CC1176" i="1"/>
  <c r="CD1173" i="1"/>
  <c r="BX43" i="9"/>
  <c r="BX502" i="1"/>
  <c r="CA54" i="9"/>
  <c r="CA988" i="1"/>
  <c r="CA989" i="1" s="1"/>
  <c r="CA800" i="1"/>
  <c r="CA412" i="1"/>
  <c r="BX1111" i="1"/>
  <c r="BW1218" i="1"/>
  <c r="CD244" i="1"/>
  <c r="CC250" i="1"/>
  <c r="BW47" i="9"/>
  <c r="BW505" i="1"/>
  <c r="BW497" i="1"/>
  <c r="BX1229" i="1"/>
  <c r="BW1118" i="1"/>
  <c r="BW1230" i="1"/>
  <c r="CA957" i="1"/>
  <c r="CA950" i="1"/>
  <c r="BW1114" i="1"/>
  <c r="BX1099" i="1"/>
  <c r="BW1251" i="1"/>
  <c r="BX491" i="1"/>
  <c r="BX804" i="1"/>
  <c r="CA654" i="1"/>
  <c r="CA660" i="1"/>
  <c r="CA657" i="1"/>
  <c r="CD1167" i="1"/>
  <c r="CC1170" i="1"/>
  <c r="CA1273" i="1"/>
  <c r="CC219" i="1"/>
  <c r="CC221" i="1" s="1"/>
  <c r="CC218" i="1"/>
  <c r="BZ9" i="9"/>
  <c r="BZ785" i="1"/>
  <c r="BX1230" i="1" l="1"/>
  <c r="BX1234" i="1" s="1"/>
  <c r="BW1234" i="1"/>
  <c r="BX1218" i="1"/>
  <c r="BW1222" i="1"/>
  <c r="BX1275" i="1"/>
  <c r="BX495" i="1"/>
  <c r="BW71" i="9"/>
  <c r="BX1118" i="1"/>
  <c r="BX71" i="9" s="1"/>
  <c r="BX1251" i="1"/>
  <c r="BW1252" i="1"/>
  <c r="CD1174" i="1"/>
  <c r="CD1182" i="1" s="1"/>
  <c r="CD1168" i="1"/>
  <c r="BX1114" i="1"/>
  <c r="BW49" i="9"/>
  <c r="BW511" i="1"/>
  <c r="BW506" i="1" s="1"/>
  <c r="BW50" i="9" s="1"/>
  <c r="BW500" i="1"/>
  <c r="BW1121" i="1"/>
  <c r="BW720" i="1"/>
  <c r="BX1277" i="1"/>
  <c r="CB395" i="1"/>
  <c r="CB472" i="1"/>
  <c r="CB466" i="1"/>
  <c r="BW138" i="9"/>
  <c r="BW103" i="9"/>
  <c r="BW104" i="9" s="1"/>
  <c r="CA942" i="1"/>
  <c r="CA966" i="1"/>
  <c r="CA970" i="1"/>
  <c r="CA967" i="1"/>
  <c r="CA969" i="1"/>
  <c r="CB1265" i="1"/>
  <c r="CB240" i="1"/>
  <c r="CB241" i="1" s="1"/>
  <c r="CB239" i="1"/>
  <c r="CC238" i="1"/>
  <c r="CA959" i="1"/>
  <c r="CA801" i="1" s="1"/>
  <c r="CA134" i="9"/>
  <c r="CA67" i="9"/>
  <c r="CA94" i="9"/>
  <c r="CA121" i="9"/>
  <c r="BX1121" i="1" l="1"/>
  <c r="BX720" i="1"/>
  <c r="CC239" i="1"/>
  <c r="CC240" i="1"/>
  <c r="CC241" i="1" s="1"/>
  <c r="CD477" i="1"/>
  <c r="CD1217" i="1"/>
  <c r="CA1120" i="1"/>
  <c r="CA944" i="1"/>
  <c r="BW70" i="9"/>
  <c r="BW72" i="9" s="1"/>
  <c r="BW740" i="1"/>
  <c r="BW741" i="1" s="1"/>
  <c r="BW742" i="1" s="1"/>
  <c r="BW743" i="1" s="1"/>
  <c r="BW723" i="1"/>
  <c r="CD1181" i="1"/>
  <c r="BX47" i="9"/>
  <c r="BX497" i="1"/>
  <c r="BX505" i="1"/>
  <c r="BW994" i="1"/>
  <c r="BW995" i="1" s="1"/>
  <c r="BW971" i="1" s="1"/>
  <c r="BW722" i="1"/>
  <c r="BW806" i="1"/>
  <c r="BW807" i="1" s="1"/>
  <c r="BW996" i="1" s="1"/>
  <c r="BW997" i="1" s="1"/>
  <c r="BW968" i="1" s="1"/>
  <c r="BW1156" i="1"/>
  <c r="BX1278" i="1"/>
  <c r="BW56" i="9"/>
  <c r="BW512" i="1"/>
  <c r="BW51" i="9" s="1"/>
  <c r="CB120" i="9" s="1"/>
  <c r="CD246" i="1"/>
  <c r="CD1216" i="1"/>
  <c r="CB35" i="9"/>
  <c r="CB39" i="9" s="1"/>
  <c r="CB394" i="1"/>
  <c r="CC466" i="1"/>
  <c r="BX1222" i="1"/>
  <c r="CB112" i="9"/>
  <c r="CB113" i="9" s="1"/>
  <c r="CB652" i="1"/>
  <c r="CB474" i="1"/>
  <c r="CB404" i="1"/>
  <c r="CB479" i="1"/>
  <c r="BW100" i="9"/>
  <c r="BW101" i="9" s="1"/>
  <c r="BW998" i="1"/>
  <c r="BW114" i="9"/>
  <c r="BW115" i="9" s="1"/>
  <c r="BW1244" i="1"/>
  <c r="BW1254" i="1" s="1"/>
  <c r="BW1004" i="1"/>
  <c r="BX1252" i="1"/>
  <c r="BX114" i="9"/>
  <c r="BX115" i="9" s="1"/>
  <c r="BX1244" i="1"/>
  <c r="BX1004" i="1"/>
  <c r="CB135" i="9" l="1"/>
  <c r="CB658" i="1"/>
  <c r="CB661" i="1"/>
  <c r="CB653" i="1"/>
  <c r="CD1102" i="1"/>
  <c r="CD1184" i="1" s="1"/>
  <c r="CD256" i="1"/>
  <c r="CD211" i="1"/>
  <c r="CD213" i="1" s="1"/>
  <c r="CD217" i="1" s="1"/>
  <c r="CD248" i="1"/>
  <c r="BW744" i="1"/>
  <c r="BW745" i="1" s="1"/>
  <c r="BW746" i="1" s="1"/>
  <c r="BW747" i="1" s="1"/>
  <c r="BW724" i="1"/>
  <c r="BW721" i="1"/>
  <c r="BW95" i="9"/>
  <c r="BW84" i="9"/>
  <c r="BW74" i="9"/>
  <c r="BW123" i="9"/>
  <c r="CB64" i="9"/>
  <c r="CB668" i="1"/>
  <c r="CB669" i="1" s="1"/>
  <c r="BW1198" i="1"/>
  <c r="BW1159" i="1"/>
  <c r="CB55" i="9"/>
  <c r="CB136" i="9" s="1"/>
  <c r="CB406" i="1"/>
  <c r="CB65" i="9" s="1"/>
  <c r="CD1177" i="1"/>
  <c r="BW974" i="1"/>
  <c r="BW972" i="1"/>
  <c r="CA1228" i="1"/>
  <c r="CA1240" i="1" s="1"/>
  <c r="CB940" i="1"/>
  <c r="BX70" i="9"/>
  <c r="BX72" i="9" s="1"/>
  <c r="BX740" i="1"/>
  <c r="BX741" i="1" s="1"/>
  <c r="BX742" i="1" s="1"/>
  <c r="BX743" i="1" s="1"/>
  <c r="BX100" i="9"/>
  <c r="BX101" i="9" s="1"/>
  <c r="BX1254" i="1"/>
  <c r="BX998" i="1"/>
  <c r="CC35" i="9"/>
  <c r="CC39" i="9" s="1"/>
  <c r="CC394" i="1"/>
  <c r="CC467" i="1"/>
  <c r="CC472" i="1" s="1"/>
  <c r="BX138" i="9"/>
  <c r="BX103" i="9"/>
  <c r="BX104" i="9" s="1"/>
  <c r="BX994" i="1"/>
  <c r="BX995" i="1" s="1"/>
  <c r="BX971" i="1" s="1"/>
  <c r="BX806" i="1"/>
  <c r="BX807" i="1" s="1"/>
  <c r="BX996" i="1" s="1"/>
  <c r="BX997" i="1" s="1"/>
  <c r="BX968" i="1" s="1"/>
  <c r="BX722" i="1"/>
  <c r="BX1156" i="1"/>
  <c r="BX1159" i="1" s="1"/>
  <c r="CB480" i="1"/>
  <c r="CB411" i="1"/>
  <c r="CB66" i="9" s="1"/>
  <c r="BW137" i="9"/>
  <c r="BW98" i="9"/>
  <c r="BW99" i="9" s="1"/>
  <c r="BW102" i="9" s="1"/>
  <c r="BW122" i="9"/>
  <c r="CD1171" i="1"/>
  <c r="CB60" i="9"/>
  <c r="CB1273" i="1"/>
  <c r="CD1104" i="1"/>
  <c r="CD409" i="1"/>
  <c r="BW507" i="1"/>
  <c r="BW57" i="9" s="1"/>
  <c r="BW88" i="9" s="1"/>
  <c r="BX49" i="9"/>
  <c r="BX500" i="1"/>
  <c r="BX511" i="1"/>
  <c r="BX723" i="1" s="1"/>
  <c r="BX506" i="1" l="1"/>
  <c r="BX50" i="9" s="1"/>
  <c r="BW1164" i="1"/>
  <c r="CA754" i="1"/>
  <c r="CA1242" i="1"/>
  <c r="CA1243" i="1" s="1"/>
  <c r="CC112" i="9"/>
  <c r="CC113" i="9" s="1"/>
  <c r="CC479" i="1"/>
  <c r="CC411" i="1" s="1"/>
  <c r="CC66" i="9" s="1"/>
  <c r="CC652" i="1"/>
  <c r="CC404" i="1"/>
  <c r="CC474" i="1"/>
  <c r="CC1265" i="1"/>
  <c r="BW85" i="9"/>
  <c r="BW87" i="9" s="1"/>
  <c r="BW76" i="9"/>
  <c r="BW82" i="9" s="1"/>
  <c r="BW139" i="9" s="1"/>
  <c r="BW124" i="9"/>
  <c r="CC135" i="9"/>
  <c r="CD1170" i="1"/>
  <c r="CE1167" i="1"/>
  <c r="CB660" i="1"/>
  <c r="CB654" i="1"/>
  <c r="CB657" i="1"/>
  <c r="BW1207" i="1"/>
  <c r="BX1198" i="1"/>
  <c r="BW1002" i="1"/>
  <c r="BW979" i="1" s="1"/>
  <c r="BW750" i="1"/>
  <c r="CB949" i="1"/>
  <c r="BX724" i="1"/>
  <c r="BX1013" i="1" s="1"/>
  <c r="BX744" i="1"/>
  <c r="BX721" i="1"/>
  <c r="BX972" i="1"/>
  <c r="BX974" i="1"/>
  <c r="CD219" i="1"/>
  <c r="CD221" i="1" s="1"/>
  <c r="CD467" i="1"/>
  <c r="CD238" i="1"/>
  <c r="CD218" i="1"/>
  <c r="CB54" i="9"/>
  <c r="CB800" i="1"/>
  <c r="CB988" i="1"/>
  <c r="CB989" i="1" s="1"/>
  <c r="CB412" i="1"/>
  <c r="CC480" i="1"/>
  <c r="CC1158" i="1"/>
  <c r="BY1158" i="1"/>
  <c r="BX56" i="9"/>
  <c r="BX512" i="1"/>
  <c r="BX51" i="9" s="1"/>
  <c r="CC120" i="9" s="1"/>
  <c r="BX1276" i="1"/>
  <c r="BX95" i="9"/>
  <c r="BX84" i="9"/>
  <c r="BX129" i="9" s="1"/>
  <c r="BX74" i="9"/>
  <c r="BX123" i="9"/>
  <c r="CC60" i="9"/>
  <c r="CC395" i="1"/>
  <c r="CD1176" i="1"/>
  <c r="CE1173" i="1"/>
  <c r="CD250" i="1"/>
  <c r="CE244" i="1"/>
  <c r="BX507" i="1" l="1"/>
  <c r="CC55" i="9"/>
  <c r="CC136" i="9" s="1"/>
  <c r="CC406" i="1"/>
  <c r="CC65" i="9" s="1"/>
  <c r="BX1207" i="1"/>
  <c r="BX1002" i="1"/>
  <c r="BX979" i="1" s="1"/>
  <c r="BX750" i="1"/>
  <c r="BW1223" i="1"/>
  <c r="BW1003" i="1"/>
  <c r="BW978" i="1" s="1"/>
  <c r="BY698" i="1"/>
  <c r="BZ698" i="1"/>
  <c r="CC653" i="1"/>
  <c r="CC698" i="1"/>
  <c r="CC661" i="1"/>
  <c r="CA698" i="1"/>
  <c r="CB698" i="1"/>
  <c r="CE1174" i="1"/>
  <c r="BX1164" i="1"/>
  <c r="CB134" i="9"/>
  <c r="CB94" i="9"/>
  <c r="CB67" i="9"/>
  <c r="CB121" i="9"/>
  <c r="BX745" i="1"/>
  <c r="BX746" i="1" s="1"/>
  <c r="BX747" i="1" s="1"/>
  <c r="BX1014" i="1"/>
  <c r="BX57" i="9"/>
  <c r="BX1011" i="1"/>
  <c r="CB970" i="1"/>
  <c r="CB966" i="1"/>
  <c r="CB967" i="1"/>
  <c r="CB969" i="1"/>
  <c r="CC64" i="9"/>
  <c r="CC668" i="1"/>
  <c r="CC669" i="1" s="1"/>
  <c r="BX130" i="9"/>
  <c r="BX85" i="9"/>
  <c r="BX87" i="9" s="1"/>
  <c r="BX76" i="9"/>
  <c r="BX82" i="9" s="1"/>
  <c r="BX139" i="9" s="1"/>
  <c r="BX124" i="9"/>
  <c r="CD240" i="1"/>
  <c r="CD241" i="1" s="1"/>
  <c r="CD239" i="1"/>
  <c r="BW7" i="9"/>
  <c r="BW11" i="9" s="1"/>
  <c r="BW1261" i="1"/>
  <c r="BW985" i="1"/>
  <c r="BW783" i="1"/>
  <c r="BW755" i="1"/>
  <c r="BX760" i="1"/>
  <c r="BX137" i="9"/>
  <c r="BX98" i="9"/>
  <c r="BX99" i="9" s="1"/>
  <c r="BX102" i="9" s="1"/>
  <c r="BX122" i="9"/>
  <c r="CB957" i="1"/>
  <c r="CB950" i="1"/>
  <c r="CC949" i="1"/>
  <c r="CC1273" i="1"/>
  <c r="CC54" i="9"/>
  <c r="CC800" i="1"/>
  <c r="CC988" i="1"/>
  <c r="CC989" i="1" s="1"/>
  <c r="CC412" i="1"/>
  <c r="CD395" i="1"/>
  <c r="CD472" i="1"/>
  <c r="CD466" i="1"/>
  <c r="CE1168" i="1"/>
  <c r="CA9" i="9"/>
  <c r="CA785" i="1"/>
  <c r="BW792" i="1" l="1"/>
  <c r="BW793" i="1" s="1"/>
  <c r="BW784" i="1"/>
  <c r="BW786" i="1" s="1"/>
  <c r="CD35" i="9"/>
  <c r="CD39" i="9" s="1"/>
  <c r="CD394" i="1"/>
  <c r="CC660" i="1"/>
  <c r="CC654" i="1"/>
  <c r="BX1223" i="1"/>
  <c r="BX1003" i="1"/>
  <c r="BX978" i="1" s="1"/>
  <c r="CE477" i="1"/>
  <c r="CE1217" i="1"/>
  <c r="CE1181" i="1"/>
  <c r="BX88" i="9"/>
  <c r="BX127" i="9"/>
  <c r="BW105" i="9"/>
  <c r="BW106" i="9" s="1"/>
  <c r="BW1256" i="1"/>
  <c r="BW1001" i="1"/>
  <c r="BW977" i="1" s="1"/>
  <c r="CC966" i="1"/>
  <c r="CC970" i="1"/>
  <c r="CC967" i="1"/>
  <c r="CC969" i="1"/>
  <c r="BW980" i="1"/>
  <c r="BW986" i="1"/>
  <c r="CC134" i="9"/>
  <c r="CC94" i="9"/>
  <c r="CC67" i="9"/>
  <c r="CC121" i="9"/>
  <c r="BX7" i="9"/>
  <c r="BX11" i="9" s="1"/>
  <c r="BX1261" i="1"/>
  <c r="BX985" i="1"/>
  <c r="BY759" i="1"/>
  <c r="BX783" i="1"/>
  <c r="BX755" i="1"/>
  <c r="CD112" i="9"/>
  <c r="CD113" i="9" s="1"/>
  <c r="CD652" i="1"/>
  <c r="CD479" i="1"/>
  <c r="CD474" i="1"/>
  <c r="CD404" i="1"/>
  <c r="CC947" i="1"/>
  <c r="CB942" i="1"/>
  <c r="CC950" i="1"/>
  <c r="CC951" i="1" s="1"/>
  <c r="CC953" i="1" s="1"/>
  <c r="CD1265" i="1"/>
  <c r="CE246" i="1"/>
  <c r="CE1216" i="1"/>
  <c r="CB959" i="1"/>
  <c r="CB801" i="1" s="1"/>
  <c r="CC957" i="1"/>
  <c r="CC959" i="1" s="1"/>
  <c r="BW108" i="9"/>
  <c r="BW109" i="9" s="1"/>
  <c r="BW110" i="9" s="1"/>
  <c r="BW111" i="9" s="1"/>
  <c r="BW91" i="9"/>
  <c r="BW92" i="9"/>
  <c r="BW93" i="9"/>
  <c r="BW1009" i="1"/>
  <c r="BW1000" i="1" s="1"/>
  <c r="BW976" i="1" s="1"/>
  <c r="CE1182" i="1"/>
  <c r="CC955" i="1" l="1"/>
  <c r="CD953" i="1"/>
  <c r="CD55" i="9"/>
  <c r="CD136" i="9" s="1"/>
  <c r="CD406" i="1"/>
  <c r="CD65" i="9" s="1"/>
  <c r="CD653" i="1"/>
  <c r="CD654" i="1" s="1"/>
  <c r="CD661" i="1"/>
  <c r="CD698" i="1"/>
  <c r="BX128" i="9"/>
  <c r="BX131" i="9"/>
  <c r="CD60" i="9"/>
  <c r="CE1177" i="1"/>
  <c r="CE1102" i="1"/>
  <c r="CE1184" i="1" s="1"/>
  <c r="CE256" i="1"/>
  <c r="CE211" i="1"/>
  <c r="CE213" i="1" s="1"/>
  <c r="CE217" i="1" s="1"/>
  <c r="CE248" i="1"/>
  <c r="BX980" i="1"/>
  <c r="BX986" i="1"/>
  <c r="BW965" i="1"/>
  <c r="BW964" i="1"/>
  <c r="BW963" i="1"/>
  <c r="BW962" i="1"/>
  <c r="CD135" i="9"/>
  <c r="CD64" i="9"/>
  <c r="CD668" i="1"/>
  <c r="BY484" i="1"/>
  <c r="BY761" i="1"/>
  <c r="BW107" i="9"/>
  <c r="BW116" i="9"/>
  <c r="BW117" i="9" s="1"/>
  <c r="BX792" i="1"/>
  <c r="BX793" i="1" s="1"/>
  <c r="BX784" i="1"/>
  <c r="BX786" i="1" s="1"/>
  <c r="BX105" i="9"/>
  <c r="BX106" i="9" s="1"/>
  <c r="BX1256" i="1"/>
  <c r="BX1001" i="1"/>
  <c r="BX977" i="1" s="1"/>
  <c r="CD480" i="1"/>
  <c r="CD411" i="1"/>
  <c r="CD66" i="9" s="1"/>
  <c r="CB1120" i="1"/>
  <c r="CC1120" i="1" s="1"/>
  <c r="CC942" i="1"/>
  <c r="CB944" i="1"/>
  <c r="CE1171" i="1"/>
  <c r="CC801" i="1"/>
  <c r="BX108" i="9"/>
  <c r="BX109" i="9" s="1"/>
  <c r="BX110" i="9" s="1"/>
  <c r="BX111" i="9" s="1"/>
  <c r="BX92" i="9"/>
  <c r="BX93" i="9"/>
  <c r="BX91" i="9"/>
  <c r="BX1009" i="1"/>
  <c r="BX765" i="1"/>
  <c r="BX766" i="1"/>
  <c r="CE1104" i="1"/>
  <c r="CE409" i="1"/>
  <c r="CD1273" i="1" l="1"/>
  <c r="BY762" i="1"/>
  <c r="BY764" i="1"/>
  <c r="BY40" i="9"/>
  <c r="BY42" i="9" s="1"/>
  <c r="BY487" i="1"/>
  <c r="CE1170" i="1"/>
  <c r="CF1167" i="1"/>
  <c r="BX116" i="9"/>
  <c r="BX117" i="9" s="1"/>
  <c r="BX107" i="9"/>
  <c r="BX962" i="1"/>
  <c r="BX965" i="1"/>
  <c r="BX964" i="1"/>
  <c r="BX963" i="1"/>
  <c r="BX1000" i="1"/>
  <c r="BX976" i="1" s="1"/>
  <c r="BX1012" i="1"/>
  <c r="BX1015" i="1"/>
  <c r="CB1228" i="1"/>
  <c r="CE250" i="1"/>
  <c r="CF244" i="1"/>
  <c r="CD54" i="9"/>
  <c r="CD800" i="1"/>
  <c r="CD988" i="1"/>
  <c r="CD989" i="1" s="1"/>
  <c r="CD412" i="1"/>
  <c r="CE467" i="1"/>
  <c r="CE238" i="1"/>
  <c r="CE219" i="1"/>
  <c r="CE221" i="1" s="1"/>
  <c r="CE218" i="1"/>
  <c r="CE953" i="1"/>
  <c r="CD951" i="1"/>
  <c r="CE1176" i="1"/>
  <c r="CF1173" i="1"/>
  <c r="CE395" i="1" l="1"/>
  <c r="CE472" i="1"/>
  <c r="CE1265" i="1" s="1"/>
  <c r="CE466" i="1"/>
  <c r="CD134" i="9"/>
  <c r="CD94" i="9"/>
  <c r="CD67" i="9"/>
  <c r="BY803" i="1"/>
  <c r="BY490" i="1"/>
  <c r="BY489" i="1"/>
  <c r="CF953" i="1"/>
  <c r="CF951" i="1" s="1"/>
  <c r="CE951" i="1"/>
  <c r="CF1168" i="1"/>
  <c r="CE239" i="1"/>
  <c r="CE240" i="1"/>
  <c r="CE241" i="1" s="1"/>
  <c r="CF1174" i="1"/>
  <c r="CC1228" i="1"/>
  <c r="CB1240" i="1"/>
  <c r="CD970" i="1"/>
  <c r="CD966" i="1"/>
  <c r="CD967" i="1"/>
  <c r="CD969" i="1"/>
  <c r="BY491" i="1" l="1"/>
  <c r="BY1099" i="1" s="1"/>
  <c r="CF477" i="1"/>
  <c r="CF1217" i="1"/>
  <c r="CF1171" i="1" s="1"/>
  <c r="CF1170" i="1" s="1"/>
  <c r="CF246" i="1"/>
  <c r="CF1216" i="1"/>
  <c r="CF1182" i="1"/>
  <c r="BY43" i="9"/>
  <c r="BY1229" i="1"/>
  <c r="CE35" i="9"/>
  <c r="CE39" i="9" s="1"/>
  <c r="CE394" i="1"/>
  <c r="CF1181" i="1"/>
  <c r="CC1240" i="1"/>
  <c r="CB754" i="1"/>
  <c r="CB1242" i="1"/>
  <c r="BY1111" i="1"/>
  <c r="CE112" i="9"/>
  <c r="CE113" i="9" s="1"/>
  <c r="CE652" i="1"/>
  <c r="CE474" i="1"/>
  <c r="CE404" i="1"/>
  <c r="CE479" i="1"/>
  <c r="BY495" i="1" l="1"/>
  <c r="CF1177" i="1"/>
  <c r="CF1176" i="1" s="1"/>
  <c r="BY1218" i="1"/>
  <c r="CF1102" i="1"/>
  <c r="CF1184" i="1" s="1"/>
  <c r="CF211" i="1"/>
  <c r="CF213" i="1" s="1"/>
  <c r="CF217" i="1" s="1"/>
  <c r="CF256" i="1"/>
  <c r="CF248" i="1"/>
  <c r="CF250" i="1" s="1"/>
  <c r="CE64" i="9"/>
  <c r="CE668" i="1"/>
  <c r="CC944" i="1"/>
  <c r="CC754" i="1"/>
  <c r="CE135" i="9"/>
  <c r="BY1118" i="1"/>
  <c r="BY1230" i="1"/>
  <c r="BY1234" i="1" s="1"/>
  <c r="CE480" i="1"/>
  <c r="CE411" i="1"/>
  <c r="CE66" i="9" s="1"/>
  <c r="CC1242" i="1"/>
  <c r="CC1243" i="1" s="1"/>
  <c r="CB1243" i="1"/>
  <c r="CB9" i="9"/>
  <c r="CB785" i="1"/>
  <c r="CF1104" i="1"/>
  <c r="CF409" i="1"/>
  <c r="CE55" i="9"/>
  <c r="CE136" i="9" s="1"/>
  <c r="CE406" i="1"/>
  <c r="CE65" i="9" s="1"/>
  <c r="BY47" i="9"/>
  <c r="BY497" i="1"/>
  <c r="BY505" i="1"/>
  <c r="CE698" i="1"/>
  <c r="CE661" i="1"/>
  <c r="CE653" i="1"/>
  <c r="CE654" i="1" s="1"/>
  <c r="CE60" i="9"/>
  <c r="CE1273" i="1"/>
  <c r="BY1114" i="1"/>
  <c r="BY1251" i="1"/>
  <c r="BY1121" i="1" l="1"/>
  <c r="BY720" i="1"/>
  <c r="CF218" i="1"/>
  <c r="CF467" i="1"/>
  <c r="CF219" i="1"/>
  <c r="CF221" i="1" s="1"/>
  <c r="CF238" i="1"/>
  <c r="CC9" i="9"/>
  <c r="CC785" i="1"/>
  <c r="BY1222" i="1"/>
  <c r="BY71" i="9"/>
  <c r="BY1252" i="1"/>
  <c r="BY49" i="9"/>
  <c r="BY500" i="1"/>
  <c r="BY511" i="1"/>
  <c r="BY506" i="1" s="1"/>
  <c r="BY50" i="9" s="1"/>
  <c r="BY138" i="9"/>
  <c r="BY103" i="9"/>
  <c r="BY104" i="9" s="1"/>
  <c r="CC943" i="1"/>
  <c r="CD940" i="1"/>
  <c r="CC945" i="1"/>
  <c r="CE54" i="9"/>
  <c r="CE988" i="1"/>
  <c r="CE989" i="1" s="1"/>
  <c r="CE800" i="1"/>
  <c r="CE412" i="1"/>
  <c r="BY114" i="9"/>
  <c r="BY115" i="9" s="1"/>
  <c r="BY1244" i="1"/>
  <c r="BY1004" i="1"/>
  <c r="BY100" i="9" l="1"/>
  <c r="BY101" i="9" s="1"/>
  <c r="BY1254" i="1"/>
  <c r="BY998" i="1"/>
  <c r="CE970" i="1"/>
  <c r="CE966" i="1"/>
  <c r="CE967" i="1"/>
  <c r="CE969" i="1"/>
  <c r="BY70" i="9"/>
  <c r="BY72" i="9" s="1"/>
  <c r="BY723" i="1"/>
  <c r="BY740" i="1"/>
  <c r="BY741" i="1" s="1"/>
  <c r="BY742" i="1" s="1"/>
  <c r="BY743" i="1" s="1"/>
  <c r="CE134" i="9"/>
  <c r="CE94" i="9"/>
  <c r="CE67" i="9"/>
  <c r="CD949" i="1"/>
  <c r="CF240" i="1"/>
  <c r="CF241" i="1" s="1"/>
  <c r="CF239" i="1"/>
  <c r="CF472" i="1"/>
  <c r="CF395" i="1"/>
  <c r="CF466" i="1"/>
  <c r="BY56" i="9"/>
  <c r="BY512" i="1"/>
  <c r="BY51" i="9" s="1"/>
  <c r="BY806" i="1"/>
  <c r="BY807" i="1" s="1"/>
  <c r="BY996" i="1" s="1"/>
  <c r="BY997" i="1" s="1"/>
  <c r="BY968" i="1" s="1"/>
  <c r="BY994" i="1"/>
  <c r="BY995" i="1" s="1"/>
  <c r="BY971" i="1" s="1"/>
  <c r="BY722" i="1"/>
  <c r="BY1156" i="1"/>
  <c r="BY744" i="1" l="1"/>
  <c r="BY745" i="1" s="1"/>
  <c r="BY746" i="1" s="1"/>
  <c r="BY747" i="1" s="1"/>
  <c r="BY721" i="1"/>
  <c r="BY724" i="1"/>
  <c r="BY507" i="1"/>
  <c r="BY57" i="9" s="1"/>
  <c r="BY88" i="9" s="1"/>
  <c r="CF35" i="9"/>
  <c r="CF39" i="9" s="1"/>
  <c r="CF394" i="1"/>
  <c r="CF112" i="9"/>
  <c r="CF113" i="9" s="1"/>
  <c r="CF474" i="1"/>
  <c r="A474" i="1" s="1"/>
  <c r="CF652" i="1"/>
  <c r="CF479" i="1"/>
  <c r="CF404" i="1"/>
  <c r="CF1265" i="1"/>
  <c r="BY974" i="1"/>
  <c r="BY972" i="1"/>
  <c r="CD957" i="1"/>
  <c r="CD959" i="1" s="1"/>
  <c r="CD801" i="1" s="1"/>
  <c r="CD950" i="1"/>
  <c r="CD942" i="1" s="1"/>
  <c r="BY1159" i="1"/>
  <c r="BY1198" i="1"/>
  <c r="BY137" i="9"/>
  <c r="BY98" i="9"/>
  <c r="BY99" i="9" s="1"/>
  <c r="BY102" i="9" s="1"/>
  <c r="BY122" i="9"/>
  <c r="BY95" i="9"/>
  <c r="BY84" i="9"/>
  <c r="BY74" i="9"/>
  <c r="BY123" i="9"/>
  <c r="A55" i="9" l="1"/>
  <c r="A1301" i="1"/>
  <c r="CF135" i="9"/>
  <c r="BY1207" i="1"/>
  <c r="BY1002" i="1"/>
  <c r="BY979" i="1" s="1"/>
  <c r="BY750" i="1"/>
  <c r="CF64" i="9"/>
  <c r="CF668" i="1"/>
  <c r="CF55" i="9"/>
  <c r="CF136" i="9" s="1"/>
  <c r="CF406" i="1"/>
  <c r="CF65" i="9" s="1"/>
  <c r="BY1164" i="1"/>
  <c r="BZ1158" i="1"/>
  <c r="CF411" i="1"/>
  <c r="CF66" i="9" s="1"/>
  <c r="CF480" i="1"/>
  <c r="BY85" i="9"/>
  <c r="BY87" i="9" s="1"/>
  <c r="BY76" i="9"/>
  <c r="BY82" i="9" s="1"/>
  <c r="BY139" i="9" s="1"/>
  <c r="BY124" i="9"/>
  <c r="CD1120" i="1"/>
  <c r="CD944" i="1"/>
  <c r="CF653" i="1"/>
  <c r="CF654" i="1" s="1"/>
  <c r="CF661" i="1"/>
  <c r="CF698" i="1"/>
  <c r="CF60" i="9"/>
  <c r="CD1228" i="1" l="1"/>
  <c r="CE940" i="1"/>
  <c r="CF54" i="9"/>
  <c r="CF988" i="1"/>
  <c r="CF989" i="1" s="1"/>
  <c r="CF800" i="1"/>
  <c r="CF412" i="1"/>
  <c r="BY1223" i="1"/>
  <c r="BY1003" i="1"/>
  <c r="BY978" i="1" s="1"/>
  <c r="CF1273" i="1"/>
  <c r="BY7" i="9"/>
  <c r="BY11" i="9" s="1"/>
  <c r="BY1261" i="1"/>
  <c r="BY985" i="1"/>
  <c r="BZ759" i="1"/>
  <c r="BY783" i="1"/>
  <c r="BY755" i="1"/>
  <c r="A480" i="1"/>
  <c r="CF970" i="1" l="1"/>
  <c r="CF966" i="1"/>
  <c r="CF967" i="1"/>
  <c r="CF969" i="1"/>
  <c r="CF134" i="9"/>
  <c r="CF67" i="9"/>
  <c r="CF94" i="9"/>
  <c r="A54" i="9"/>
  <c r="A1300" i="1"/>
  <c r="A481" i="1"/>
  <c r="BZ484" i="1"/>
  <c r="BZ761" i="1"/>
  <c r="BY792" i="1"/>
  <c r="BY793" i="1" s="1"/>
  <c r="BY784" i="1"/>
  <c r="BY786" i="1" s="1"/>
  <c r="BY980" i="1"/>
  <c r="BY986" i="1"/>
  <c r="CE949" i="1"/>
  <c r="BY93" i="9"/>
  <c r="BY108" i="9"/>
  <c r="BY109" i="9" s="1"/>
  <c r="BY110" i="9" s="1"/>
  <c r="BY111" i="9" s="1"/>
  <c r="BY92" i="9"/>
  <c r="BY91" i="9"/>
  <c r="BY1009" i="1"/>
  <c r="BY105" i="9"/>
  <c r="BY106" i="9" s="1"/>
  <c r="BY1256" i="1"/>
  <c r="BY1001" i="1"/>
  <c r="BY977" i="1" s="1"/>
  <c r="CD1240" i="1"/>
  <c r="A1359" i="1" l="1"/>
  <c r="CD481" i="1"/>
  <c r="CD413" i="1" s="1"/>
  <c r="BV481" i="1"/>
  <c r="BV413" i="1" s="1"/>
  <c r="CC481" i="1"/>
  <c r="CC413" i="1" s="1"/>
  <c r="BU481" i="1"/>
  <c r="BU413" i="1" s="1"/>
  <c r="BY481" i="1"/>
  <c r="BY413" i="1" s="1"/>
  <c r="CF481" i="1"/>
  <c r="CF413" i="1" s="1"/>
  <c r="CE481" i="1"/>
  <c r="CE413" i="1" s="1"/>
  <c r="CB481" i="1"/>
  <c r="CB413" i="1" s="1"/>
  <c r="CA481" i="1"/>
  <c r="CA413" i="1" s="1"/>
  <c r="BZ481" i="1"/>
  <c r="BZ413" i="1" s="1"/>
  <c r="BX481" i="1"/>
  <c r="BX413" i="1" s="1"/>
  <c r="BW481" i="1"/>
  <c r="BW413" i="1" s="1"/>
  <c r="BY116" i="9"/>
  <c r="BY117" i="9" s="1"/>
  <c r="BY107" i="9"/>
  <c r="CD754" i="1"/>
  <c r="CD1242" i="1"/>
  <c r="CD1243" i="1" s="1"/>
  <c r="BZ762" i="1"/>
  <c r="BZ764" i="1"/>
  <c r="CC933" i="1"/>
  <c r="CC934" i="1" s="1"/>
  <c r="BY1000" i="1"/>
  <c r="BY976" i="1" s="1"/>
  <c r="CE957" i="1"/>
  <c r="CE959" i="1" s="1"/>
  <c r="CE801" i="1" s="1"/>
  <c r="CE950" i="1"/>
  <c r="CE942" i="1" s="1"/>
  <c r="BZ40" i="9"/>
  <c r="BZ42" i="9" s="1"/>
  <c r="BZ487" i="1"/>
  <c r="BY963" i="1"/>
  <c r="BY962" i="1"/>
  <c r="BY965" i="1"/>
  <c r="BY964" i="1"/>
  <c r="CE1120" i="1" l="1"/>
  <c r="CE944" i="1"/>
  <c r="CD9" i="9"/>
  <c r="CD785" i="1"/>
  <c r="BZ803" i="1"/>
  <c r="BZ490" i="1"/>
  <c r="BZ489" i="1"/>
  <c r="BU508" i="1"/>
  <c r="BU727" i="1"/>
  <c r="BU725" i="1"/>
  <c r="BV475" i="1"/>
  <c r="BV407" i="1" s="1"/>
  <c r="BU475" i="1"/>
  <c r="BU407" i="1" s="1"/>
  <c r="BV725" i="1"/>
  <c r="BV508" i="1"/>
  <c r="BW727" i="1"/>
  <c r="BV727" i="1"/>
  <c r="BZ725" i="1"/>
  <c r="BY475" i="1"/>
  <c r="BY407" i="1" s="1"/>
  <c r="CA727" i="1"/>
  <c r="BZ475" i="1"/>
  <c r="BZ407" i="1" s="1"/>
  <c r="BY508" i="1"/>
  <c r="BX475" i="1"/>
  <c r="BX407" i="1" s="1"/>
  <c r="BX725" i="1"/>
  <c r="CB508" i="1"/>
  <c r="CE727" i="1"/>
  <c r="BX508" i="1"/>
  <c r="CA475" i="1"/>
  <c r="CA407" i="1" s="1"/>
  <c r="BX727" i="1"/>
  <c r="CB725" i="1"/>
  <c r="CA725" i="1"/>
  <c r="CF508" i="1"/>
  <c r="CD725" i="1"/>
  <c r="CA508" i="1"/>
  <c r="CD475" i="1"/>
  <c r="CD407" i="1" s="1"/>
  <c r="CD727" i="1"/>
  <c r="CC475" i="1"/>
  <c r="CC407" i="1" s="1"/>
  <c r="CC508" i="1"/>
  <c r="CD508" i="1"/>
  <c r="BZ727" i="1"/>
  <c r="CB475" i="1"/>
  <c r="CB407" i="1" s="1"/>
  <c r="CE725" i="1"/>
  <c r="BY727" i="1"/>
  <c r="CB727" i="1"/>
  <c r="BZ508" i="1"/>
  <c r="BW475" i="1"/>
  <c r="BW407" i="1" s="1"/>
  <c r="BW508" i="1"/>
  <c r="CC727" i="1"/>
  <c r="CF725" i="1"/>
  <c r="CE508" i="1"/>
  <c r="BW725" i="1"/>
  <c r="BY725" i="1"/>
  <c r="CF475" i="1"/>
  <c r="CF407" i="1" s="1"/>
  <c r="CC725" i="1"/>
  <c r="CF727" i="1"/>
  <c r="CE475" i="1"/>
  <c r="CE407" i="1" s="1"/>
  <c r="BZ1111" i="1" l="1"/>
  <c r="BZ491" i="1"/>
  <c r="BZ1229" i="1"/>
  <c r="CE1228" i="1"/>
  <c r="CE1240" i="1" s="1"/>
  <c r="CF940" i="1"/>
  <c r="BZ43" i="9"/>
  <c r="CE754" i="1" l="1"/>
  <c r="CE1242" i="1"/>
  <c r="CE1243" i="1" s="1"/>
  <c r="BZ1118" i="1"/>
  <c r="BZ1230" i="1"/>
  <c r="BZ1234" i="1" s="1"/>
  <c r="BZ1099" i="1"/>
  <c r="BZ495" i="1"/>
  <c r="CF949" i="1"/>
  <c r="BZ1218" i="1"/>
  <c r="BZ1222" i="1" l="1"/>
  <c r="BZ114" i="9"/>
  <c r="BZ115" i="9" s="1"/>
  <c r="BZ1244" i="1"/>
  <c r="BZ1004" i="1"/>
  <c r="BZ71" i="9"/>
  <c r="CF957" i="1"/>
  <c r="CF959" i="1" s="1"/>
  <c r="CF801" i="1" s="1"/>
  <c r="CF950" i="1"/>
  <c r="CF942" i="1" s="1"/>
  <c r="BZ47" i="9"/>
  <c r="BZ497" i="1"/>
  <c r="BZ505" i="1"/>
  <c r="BZ1114" i="1"/>
  <c r="BZ1251" i="1"/>
  <c r="CE9" i="9"/>
  <c r="CE785" i="1"/>
  <c r="BZ138" i="9" l="1"/>
  <c r="BZ103" i="9"/>
  <c r="BZ104" i="9" s="1"/>
  <c r="BZ1252" i="1"/>
  <c r="BZ1121" i="1"/>
  <c r="BZ720" i="1"/>
  <c r="BZ49" i="9"/>
  <c r="BZ500" i="1"/>
  <c r="BZ511" i="1"/>
  <c r="BZ506" i="1" s="1"/>
  <c r="BZ50" i="9" s="1"/>
  <c r="CF1120" i="1"/>
  <c r="CF944" i="1"/>
  <c r="CF1228" i="1" l="1"/>
  <c r="CF1240" i="1" s="1"/>
  <c r="BZ70" i="9"/>
  <c r="BZ72" i="9" s="1"/>
  <c r="BZ740" i="1"/>
  <c r="BZ741" i="1" s="1"/>
  <c r="BZ742" i="1" s="1"/>
  <c r="BZ743" i="1" s="1"/>
  <c r="BZ723" i="1"/>
  <c r="BZ994" i="1"/>
  <c r="BZ995" i="1" s="1"/>
  <c r="BZ971" i="1" s="1"/>
  <c r="BZ806" i="1"/>
  <c r="BZ807" i="1" s="1"/>
  <c r="BZ996" i="1" s="1"/>
  <c r="BZ997" i="1" s="1"/>
  <c r="BZ968" i="1" s="1"/>
  <c r="BZ722" i="1"/>
  <c r="BZ1156" i="1"/>
  <c r="BZ100" i="9"/>
  <c r="BZ101" i="9" s="1"/>
  <c r="BZ1254" i="1"/>
  <c r="BZ998" i="1"/>
  <c r="BZ56" i="9"/>
  <c r="BZ512" i="1"/>
  <c r="BZ51" i="9" s="1"/>
  <c r="BZ507" i="1"/>
  <c r="BZ57" i="9" s="1"/>
  <c r="BZ88" i="9" s="1"/>
  <c r="CF754" i="1" l="1"/>
  <c r="CF1242" i="1"/>
  <c r="CF1243" i="1" s="1"/>
  <c r="BZ974" i="1"/>
  <c r="BZ972" i="1"/>
  <c r="BZ744" i="1"/>
  <c r="BZ745" i="1" s="1"/>
  <c r="BZ746" i="1" s="1"/>
  <c r="BZ747" i="1" s="1"/>
  <c r="BZ721" i="1"/>
  <c r="BZ724" i="1"/>
  <c r="BZ137" i="9"/>
  <c r="BZ98" i="9"/>
  <c r="BZ99" i="9" s="1"/>
  <c r="BZ102" i="9" s="1"/>
  <c r="BZ122" i="9"/>
  <c r="BZ84" i="9"/>
  <c r="BZ95" i="9"/>
  <c r="BZ74" i="9"/>
  <c r="BZ123" i="9"/>
  <c r="BZ1198" i="1"/>
  <c r="BZ1159" i="1"/>
  <c r="BZ85" i="9" l="1"/>
  <c r="BZ87" i="9" s="1"/>
  <c r="BZ76" i="9"/>
  <c r="BZ82" i="9" s="1"/>
  <c r="BZ139" i="9" s="1"/>
  <c r="BZ124" i="9"/>
  <c r="BZ1207" i="1"/>
  <c r="BZ1002" i="1"/>
  <c r="BZ979" i="1" s="1"/>
  <c r="BZ750" i="1"/>
  <c r="CA1158" i="1"/>
  <c r="BZ1164" i="1"/>
  <c r="CF9" i="9"/>
  <c r="CF785" i="1"/>
  <c r="BZ1003" i="1" l="1"/>
  <c r="BZ978" i="1" s="1"/>
  <c r="BZ1223" i="1"/>
  <c r="BZ7" i="9"/>
  <c r="BZ11" i="9" s="1"/>
  <c r="BZ1261" i="1"/>
  <c r="BZ985" i="1"/>
  <c r="CA759" i="1"/>
  <c r="BZ783" i="1"/>
  <c r="BZ755" i="1"/>
  <c r="BZ792" i="1" l="1"/>
  <c r="BZ793" i="1" s="1"/>
  <c r="BZ784" i="1"/>
  <c r="BZ786" i="1" s="1"/>
  <c r="CA484" i="1"/>
  <c r="CA761" i="1"/>
  <c r="BZ980" i="1"/>
  <c r="BZ986" i="1"/>
  <c r="BZ105" i="9"/>
  <c r="BZ106" i="9" s="1"/>
  <c r="BZ1256" i="1"/>
  <c r="BZ1001" i="1"/>
  <c r="BZ977" i="1" s="1"/>
  <c r="BZ93" i="9"/>
  <c r="BZ108" i="9"/>
  <c r="BZ109" i="9" s="1"/>
  <c r="BZ110" i="9" s="1"/>
  <c r="BZ111" i="9" s="1"/>
  <c r="BZ91" i="9"/>
  <c r="BZ92" i="9"/>
  <c r="BZ1009" i="1"/>
  <c r="BZ1000" i="1" s="1"/>
  <c r="BZ976" i="1" s="1"/>
  <c r="BZ963" i="1" l="1"/>
  <c r="BZ964" i="1"/>
  <c r="BZ965" i="1"/>
  <c r="BZ962" i="1"/>
  <c r="CA762" i="1"/>
  <c r="CA764" i="1"/>
  <c r="BZ107" i="9"/>
  <c r="BZ116" i="9"/>
  <c r="BZ117" i="9" s="1"/>
  <c r="CA40" i="9"/>
  <c r="CA42" i="9" s="1"/>
  <c r="CA487" i="1"/>
  <c r="CA803" i="1" l="1"/>
  <c r="CA489" i="1"/>
  <c r="CA490" i="1"/>
  <c r="CA1111" i="1" l="1"/>
  <c r="CA43" i="9"/>
  <c r="CA491" i="1"/>
  <c r="CA1229" i="1"/>
  <c r="CA1118" i="1" l="1"/>
  <c r="CA1230" i="1"/>
  <c r="CA1234" i="1" s="1"/>
  <c r="CA1099" i="1"/>
  <c r="CA495" i="1"/>
  <c r="CA1218" i="1"/>
  <c r="CA1222" i="1" l="1"/>
  <c r="CA114" i="9"/>
  <c r="CA115" i="9" s="1"/>
  <c r="CA1244" i="1"/>
  <c r="CA1004" i="1"/>
  <c r="CA71" i="9"/>
  <c r="CA47" i="9"/>
  <c r="CA505" i="1"/>
  <c r="CA497" i="1"/>
  <c r="CA1114" i="1"/>
  <c r="CA1251" i="1"/>
  <c r="CA1252" i="1" l="1"/>
  <c r="CA1121" i="1"/>
  <c r="CA720" i="1"/>
  <c r="CA49" i="9"/>
  <c r="CA511" i="1"/>
  <c r="CA506" i="1" s="1"/>
  <c r="CA50" i="9" s="1"/>
  <c r="CA500" i="1"/>
  <c r="CA138" i="9"/>
  <c r="CA103" i="9"/>
  <c r="CA104" i="9" s="1"/>
  <c r="CA70" i="9" l="1"/>
  <c r="CA72" i="9" s="1"/>
  <c r="CA723" i="1"/>
  <c r="CA740" i="1"/>
  <c r="CA741" i="1" s="1"/>
  <c r="CA742" i="1" s="1"/>
  <c r="CA743" i="1" s="1"/>
  <c r="CA806" i="1"/>
  <c r="CA807" i="1" s="1"/>
  <c r="CA996" i="1" s="1"/>
  <c r="CA997" i="1" s="1"/>
  <c r="CA968" i="1" s="1"/>
  <c r="CA722" i="1"/>
  <c r="CA994" i="1"/>
  <c r="CA995" i="1" s="1"/>
  <c r="CA971" i="1" s="1"/>
  <c r="CA1156" i="1"/>
  <c r="CA100" i="9"/>
  <c r="CA101" i="9" s="1"/>
  <c r="CA1254" i="1"/>
  <c r="CA998" i="1"/>
  <c r="CA56" i="9"/>
  <c r="CA512" i="1"/>
  <c r="CA51" i="9" s="1"/>
  <c r="CA507" i="1" l="1"/>
  <c r="CA57" i="9" s="1"/>
  <c r="CA88" i="9" s="1"/>
  <c r="CA137" i="9"/>
  <c r="CA98" i="9"/>
  <c r="CA99" i="9" s="1"/>
  <c r="CA122" i="9"/>
  <c r="CA721" i="1"/>
  <c r="CA724" i="1"/>
  <c r="CA744" i="1"/>
  <c r="CA745" i="1" s="1"/>
  <c r="CA746" i="1" s="1"/>
  <c r="CA747" i="1" s="1"/>
  <c r="CA972" i="1"/>
  <c r="CA974" i="1"/>
  <c r="CA1198" i="1"/>
  <c r="CA1159" i="1"/>
  <c r="CA102" i="9"/>
  <c r="CA95" i="9"/>
  <c r="CA84" i="9"/>
  <c r="CA74" i="9"/>
  <c r="CA123" i="9"/>
  <c r="CA85" i="9" l="1"/>
  <c r="CA87" i="9" s="1"/>
  <c r="CA76" i="9"/>
  <c r="CA82" i="9" s="1"/>
  <c r="CA139" i="9" s="1"/>
  <c r="CA124" i="9"/>
  <c r="CB1158" i="1"/>
  <c r="CA1164" i="1"/>
  <c r="CA1002" i="1"/>
  <c r="CA979" i="1" s="1"/>
  <c r="CA1207" i="1"/>
  <c r="CA750" i="1"/>
  <c r="CA1223" i="1" l="1"/>
  <c r="CA1003" i="1"/>
  <c r="CA978" i="1" s="1"/>
  <c r="CA7" i="9"/>
  <c r="CA11" i="9" s="1"/>
  <c r="CA1261" i="1"/>
  <c r="CA985" i="1"/>
  <c r="CB759" i="1"/>
  <c r="CA783" i="1"/>
  <c r="CA755" i="1"/>
  <c r="CB484" i="1" l="1"/>
  <c r="CB761" i="1"/>
  <c r="CC759" i="1"/>
  <c r="CA980" i="1"/>
  <c r="CA986" i="1"/>
  <c r="CA792" i="1"/>
  <c r="CA793" i="1" s="1"/>
  <c r="CA784" i="1"/>
  <c r="CA786" i="1" s="1"/>
  <c r="CA93" i="9"/>
  <c r="CA108" i="9"/>
  <c r="CA109" i="9" s="1"/>
  <c r="CA110" i="9" s="1"/>
  <c r="CA111" i="9" s="1"/>
  <c r="CA92" i="9"/>
  <c r="CA91" i="9"/>
  <c r="CA1009" i="1"/>
  <c r="CA1000" i="1" s="1"/>
  <c r="CA976" i="1" s="1"/>
  <c r="CA105" i="9"/>
  <c r="CA106" i="9" s="1"/>
  <c r="CA1256" i="1"/>
  <c r="CA1001" i="1"/>
  <c r="CA977" i="1" s="1"/>
  <c r="CA963" i="1" l="1"/>
  <c r="CA965" i="1"/>
  <c r="CA962" i="1"/>
  <c r="CA964" i="1"/>
  <c r="CA116" i="9"/>
  <c r="CA117" i="9" s="1"/>
  <c r="CA107" i="9"/>
  <c r="CB762" i="1"/>
  <c r="CB764" i="1"/>
  <c r="CC761" i="1"/>
  <c r="CB40" i="9"/>
  <c r="CB42" i="9" s="1"/>
  <c r="CB487" i="1"/>
  <c r="CC484" i="1"/>
  <c r="CC40" i="9" l="1"/>
  <c r="CC42" i="9" s="1"/>
  <c r="CC487" i="1"/>
  <c r="CC762" i="1"/>
  <c r="CC764" i="1"/>
  <c r="CB490" i="1"/>
  <c r="CB803" i="1"/>
  <c r="CB489" i="1"/>
  <c r="CB491" i="1" s="1"/>
  <c r="CB43" i="9" l="1"/>
  <c r="CC489" i="1"/>
  <c r="CB1099" i="1"/>
  <c r="CB495" i="1"/>
  <c r="CC803" i="1"/>
  <c r="CB1229" i="1"/>
  <c r="CB1111" i="1"/>
  <c r="CC490" i="1"/>
  <c r="CC503" i="1" s="1"/>
  <c r="CC804" i="1" l="1"/>
  <c r="CB1114" i="1"/>
  <c r="CC1099" i="1"/>
  <c r="CB1251" i="1"/>
  <c r="CC1229" i="1"/>
  <c r="CB1118" i="1"/>
  <c r="CB1230" i="1"/>
  <c r="CC1111" i="1"/>
  <c r="CB1218" i="1"/>
  <c r="CC43" i="9"/>
  <c r="CC502" i="1"/>
  <c r="CB47" i="9"/>
  <c r="CB505" i="1"/>
  <c r="CB497" i="1"/>
  <c r="CC491" i="1"/>
  <c r="CC1218" i="1" l="1"/>
  <c r="CB1222" i="1"/>
  <c r="CB49" i="9"/>
  <c r="CB500" i="1"/>
  <c r="CB511" i="1"/>
  <c r="CB506" i="1"/>
  <c r="CB50" i="9" s="1"/>
  <c r="CC1251" i="1"/>
  <c r="CB1252" i="1"/>
  <c r="CC1114" i="1"/>
  <c r="CB138" i="9"/>
  <c r="CB103" i="9"/>
  <c r="CB104" i="9" s="1"/>
  <c r="CC1230" i="1"/>
  <c r="CC1234" i="1" s="1"/>
  <c r="CB1234" i="1"/>
  <c r="CB1121" i="1"/>
  <c r="CB720" i="1"/>
  <c r="CC1277" i="1"/>
  <c r="CB71" i="9"/>
  <c r="CC1118" i="1"/>
  <c r="CC71" i="9" s="1"/>
  <c r="CC1275" i="1"/>
  <c r="CC495" i="1"/>
  <c r="CC47" i="9" l="1"/>
  <c r="CC505" i="1"/>
  <c r="CC497" i="1"/>
  <c r="CB56" i="9"/>
  <c r="CB512" i="1"/>
  <c r="CB51" i="9" s="1"/>
  <c r="CB507" i="1"/>
  <c r="CB57" i="9" s="1"/>
  <c r="CB88" i="9" s="1"/>
  <c r="CB114" i="9"/>
  <c r="CB115" i="9" s="1"/>
  <c r="CB1244" i="1"/>
  <c r="CB1254" i="1" s="1"/>
  <c r="CB1004" i="1"/>
  <c r="CC114" i="9"/>
  <c r="CC115" i="9" s="1"/>
  <c r="CC1244" i="1"/>
  <c r="CC1004" i="1"/>
  <c r="CC1121" i="1"/>
  <c r="CC720" i="1"/>
  <c r="CB70" i="9"/>
  <c r="CB72" i="9" s="1"/>
  <c r="CB723" i="1"/>
  <c r="CB740" i="1"/>
  <c r="CB741" i="1" s="1"/>
  <c r="CB742" i="1" s="1"/>
  <c r="CB743" i="1" s="1"/>
  <c r="CB100" i="9"/>
  <c r="CB101" i="9" s="1"/>
  <c r="CB998" i="1"/>
  <c r="CC1222" i="1"/>
  <c r="CB806" i="1"/>
  <c r="CB807" i="1" s="1"/>
  <c r="CB996" i="1" s="1"/>
  <c r="CB997" i="1" s="1"/>
  <c r="CB968" i="1" s="1"/>
  <c r="CB994" i="1"/>
  <c r="CB995" i="1" s="1"/>
  <c r="CB971" i="1" s="1"/>
  <c r="CB722" i="1"/>
  <c r="CB1156" i="1"/>
  <c r="CC1278" i="1"/>
  <c r="CC1252" i="1"/>
  <c r="CB74" i="9" l="1"/>
  <c r="CB95" i="9"/>
  <c r="CB84" i="9"/>
  <c r="CB123" i="9"/>
  <c r="CB1198" i="1"/>
  <c r="CB1159" i="1"/>
  <c r="CB1164" i="1" s="1"/>
  <c r="CB137" i="9"/>
  <c r="CB98" i="9"/>
  <c r="CB99" i="9" s="1"/>
  <c r="CB102" i="9" s="1"/>
  <c r="CB122" i="9"/>
  <c r="CC100" i="9"/>
  <c r="CC101" i="9" s="1"/>
  <c r="CC1254" i="1"/>
  <c r="CC998" i="1"/>
  <c r="CB744" i="1"/>
  <c r="CB745" i="1" s="1"/>
  <c r="CB746" i="1" s="1"/>
  <c r="CB747" i="1" s="1"/>
  <c r="CB721" i="1"/>
  <c r="CB724" i="1"/>
  <c r="CC49" i="9"/>
  <c r="CC500" i="1"/>
  <c r="CC511" i="1"/>
  <c r="CC506" i="1" s="1"/>
  <c r="CC50" i="9" s="1"/>
  <c r="CC70" i="9"/>
  <c r="CC72" i="9" s="1"/>
  <c r="CC740" i="1"/>
  <c r="CC741" i="1" s="1"/>
  <c r="CC742" i="1" s="1"/>
  <c r="CC743" i="1" s="1"/>
  <c r="CC723" i="1"/>
  <c r="CC806" i="1"/>
  <c r="CC807" i="1" s="1"/>
  <c r="CC996" i="1" s="1"/>
  <c r="CC997" i="1" s="1"/>
  <c r="CC968" i="1" s="1"/>
  <c r="CC994" i="1"/>
  <c r="CC995" i="1" s="1"/>
  <c r="CC971" i="1" s="1"/>
  <c r="CC722" i="1"/>
  <c r="CC1156" i="1"/>
  <c r="CC1159" i="1" s="1"/>
  <c r="CB974" i="1"/>
  <c r="CB972" i="1"/>
  <c r="CC138" i="9"/>
  <c r="CC103" i="9"/>
  <c r="CC104" i="9" s="1"/>
  <c r="CD1158" i="1" l="1"/>
  <c r="CC974" i="1"/>
  <c r="CC972" i="1"/>
  <c r="CC74" i="9"/>
  <c r="CC95" i="9"/>
  <c r="CC84" i="9"/>
  <c r="CC129" i="9" s="1"/>
  <c r="CC1198" i="1"/>
  <c r="CB1002" i="1"/>
  <c r="CB979" i="1" s="1"/>
  <c r="CB1207" i="1"/>
  <c r="CB750" i="1"/>
  <c r="CC744" i="1"/>
  <c r="CC721" i="1"/>
  <c r="CC724" i="1"/>
  <c r="CC1013" i="1" s="1"/>
  <c r="CC56" i="9"/>
  <c r="CC512" i="1"/>
  <c r="CC51" i="9" s="1"/>
  <c r="CC1276" i="1"/>
  <c r="CB85" i="9"/>
  <c r="CB87" i="9" s="1"/>
  <c r="CB76" i="9"/>
  <c r="CB82" i="9" s="1"/>
  <c r="CB139" i="9" s="1"/>
  <c r="CB124" i="9"/>
  <c r="CB1223" i="1" l="1"/>
  <c r="CB1003" i="1"/>
  <c r="CB978" i="1" s="1"/>
  <c r="CB7" i="9"/>
  <c r="CB11" i="9" s="1"/>
  <c r="CB1261" i="1"/>
  <c r="CB783" i="1"/>
  <c r="CB985" i="1"/>
  <c r="CB755" i="1"/>
  <c r="CC760" i="1"/>
  <c r="CC507" i="1"/>
  <c r="CC745" i="1"/>
  <c r="CC746" i="1" s="1"/>
  <c r="CC747" i="1" s="1"/>
  <c r="CC1014" i="1"/>
  <c r="CD120" i="9"/>
  <c r="CD121" i="9"/>
  <c r="CC750" i="1"/>
  <c r="CC1207" i="1"/>
  <c r="CC1002" i="1"/>
  <c r="CC979" i="1" s="1"/>
  <c r="CC130" i="9"/>
  <c r="CC76" i="9"/>
  <c r="CC82" i="9" s="1"/>
  <c r="CC139" i="9" s="1"/>
  <c r="CC85" i="9"/>
  <c r="CC87" i="9" s="1"/>
  <c r="CC124" i="9"/>
  <c r="CC137" i="9"/>
  <c r="CC98" i="9"/>
  <c r="CC99" i="9" s="1"/>
  <c r="CC102" i="9" s="1"/>
  <c r="CC122" i="9"/>
  <c r="CC123" i="9"/>
  <c r="CC1164" i="1"/>
  <c r="CB108" i="9" l="1"/>
  <c r="CB109" i="9" s="1"/>
  <c r="CB110" i="9" s="1"/>
  <c r="CB111" i="9" s="1"/>
  <c r="CB93" i="9"/>
  <c r="CB91" i="9"/>
  <c r="CB92" i="9"/>
  <c r="CB1009" i="1"/>
  <c r="CB1000" i="1" s="1"/>
  <c r="CB976" i="1" s="1"/>
  <c r="CB980" i="1"/>
  <c r="CB986" i="1"/>
  <c r="CB792" i="1"/>
  <c r="CB793" i="1" s="1"/>
  <c r="CB784" i="1"/>
  <c r="CB786" i="1" s="1"/>
  <c r="CC7" i="9"/>
  <c r="CC11" i="9" s="1"/>
  <c r="CC1261" i="1"/>
  <c r="CC783" i="1"/>
  <c r="CD759" i="1"/>
  <c r="CC985" i="1"/>
  <c r="CC755" i="1"/>
  <c r="CC57" i="9"/>
  <c r="CC1011" i="1"/>
  <c r="CB105" i="9"/>
  <c r="CB106" i="9" s="1"/>
  <c r="CB1256" i="1"/>
  <c r="CB1001" i="1"/>
  <c r="CB977" i="1" s="1"/>
  <c r="CC1223" i="1"/>
  <c r="CC1003" i="1"/>
  <c r="CC978" i="1" s="1"/>
  <c r="CC108" i="9" l="1"/>
  <c r="CC109" i="9" s="1"/>
  <c r="CC110" i="9" s="1"/>
  <c r="CC111" i="9" s="1"/>
  <c r="CC91" i="9"/>
  <c r="CC92" i="9"/>
  <c r="CC93" i="9"/>
  <c r="CC765" i="1"/>
  <c r="CC1009" i="1"/>
  <c r="CC766" i="1"/>
  <c r="CB962" i="1"/>
  <c r="CB965" i="1"/>
  <c r="CB963" i="1"/>
  <c r="CB964" i="1"/>
  <c r="CC105" i="9"/>
  <c r="CC106" i="9" s="1"/>
  <c r="CC1256" i="1"/>
  <c r="CC1001" i="1"/>
  <c r="CC977" i="1" s="1"/>
  <c r="CC980" i="1"/>
  <c r="CC986" i="1"/>
  <c r="CD484" i="1"/>
  <c r="CD761" i="1"/>
  <c r="CC792" i="1"/>
  <c r="CC793" i="1" s="1"/>
  <c r="CC784" i="1"/>
  <c r="CC786" i="1" s="1"/>
  <c r="CB116" i="9"/>
  <c r="CB117" i="9" s="1"/>
  <c r="CB107" i="9"/>
  <c r="CC128" i="9"/>
  <c r="CC131" i="9"/>
  <c r="CC88" i="9"/>
  <c r="CC127" i="9"/>
  <c r="CC116" i="9" l="1"/>
  <c r="CC117" i="9" s="1"/>
  <c r="CC107" i="9"/>
  <c r="CD762" i="1"/>
  <c r="CD764" i="1"/>
  <c r="CC964" i="1"/>
  <c r="CC965" i="1"/>
  <c r="CC962" i="1"/>
  <c r="CC963" i="1"/>
  <c r="CC1012" i="1"/>
  <c r="CC1000" i="1"/>
  <c r="CC976" i="1" s="1"/>
  <c r="CC1015" i="1"/>
  <c r="CD40" i="9"/>
  <c r="CD42" i="9" s="1"/>
  <c r="CD487" i="1"/>
  <c r="CD803" i="1" l="1"/>
  <c r="CD489" i="1"/>
  <c r="CD43" i="9" s="1"/>
  <c r="CD490" i="1"/>
  <c r="CD1111" i="1" s="1"/>
  <c r="CD1218" i="1" s="1"/>
  <c r="CD491" i="1" l="1"/>
  <c r="CD1222" i="1"/>
  <c r="CD1229" i="1"/>
  <c r="CD1118" i="1" l="1"/>
  <c r="CD71" i="9" s="1"/>
  <c r="CD1230" i="1"/>
  <c r="CD1234" i="1" s="1"/>
  <c r="CD1099" i="1"/>
  <c r="CD495" i="1"/>
  <c r="CD47" i="9" l="1"/>
  <c r="CD505" i="1"/>
  <c r="CD497" i="1"/>
  <c r="CD1114" i="1"/>
  <c r="CD1251" i="1"/>
  <c r="CD114" i="9"/>
  <c r="CD115" i="9" s="1"/>
  <c r="CD1004" i="1"/>
  <c r="CD1244" i="1"/>
  <c r="CD1252" i="1" l="1"/>
  <c r="CD1121" i="1"/>
  <c r="CD720" i="1"/>
  <c r="CD49" i="9"/>
  <c r="CD511" i="1"/>
  <c r="CD506" i="1" s="1"/>
  <c r="CD50" i="9" s="1"/>
  <c r="CD500" i="1"/>
  <c r="CD138" i="9"/>
  <c r="CD103" i="9"/>
  <c r="CD104" i="9" s="1"/>
  <c r="CD70" i="9" l="1"/>
  <c r="CD72" i="9" s="1"/>
  <c r="CD740" i="1"/>
  <c r="CD741" i="1" s="1"/>
  <c r="CD742" i="1" s="1"/>
  <c r="CD743" i="1" s="1"/>
  <c r="CD723" i="1"/>
  <c r="CD994" i="1"/>
  <c r="CD995" i="1" s="1"/>
  <c r="CD971" i="1" s="1"/>
  <c r="CD806" i="1"/>
  <c r="CD807" i="1" s="1"/>
  <c r="CD996" i="1" s="1"/>
  <c r="CD997" i="1" s="1"/>
  <c r="CD968" i="1" s="1"/>
  <c r="CD722" i="1"/>
  <c r="CD1156" i="1"/>
  <c r="CD56" i="9"/>
  <c r="CD512" i="1"/>
  <c r="CD51" i="9" s="1"/>
  <c r="CD100" i="9"/>
  <c r="CD101" i="9" s="1"/>
  <c r="CD1254" i="1"/>
  <c r="CD998" i="1"/>
  <c r="CD507" i="1" l="1"/>
  <c r="CD1198" i="1"/>
  <c r="CD1159" i="1"/>
  <c r="CD744" i="1"/>
  <c r="CD721" i="1"/>
  <c r="CD724" i="1"/>
  <c r="CD1013" i="1" s="1"/>
  <c r="CD972" i="1"/>
  <c r="CD974" i="1"/>
  <c r="CD57" i="9"/>
  <c r="CD1011" i="1"/>
  <c r="CD137" i="9"/>
  <c r="CD98" i="9"/>
  <c r="CD99" i="9" s="1"/>
  <c r="CD102" i="9" s="1"/>
  <c r="CD122" i="9"/>
  <c r="CE120" i="9"/>
  <c r="CE121" i="9"/>
  <c r="CD84" i="9"/>
  <c r="CD129" i="9" s="1"/>
  <c r="CD74" i="9"/>
  <c r="CD95" i="9"/>
  <c r="CD123" i="9"/>
  <c r="CD130" i="9" l="1"/>
  <c r="CD76" i="9"/>
  <c r="CD82" i="9" s="1"/>
  <c r="CD139" i="9" s="1"/>
  <c r="CD85" i="9"/>
  <c r="CD87" i="9" s="1"/>
  <c r="CD124" i="9"/>
  <c r="CD1014" i="1"/>
  <c r="CD745" i="1"/>
  <c r="CD746" i="1" s="1"/>
  <c r="CD747" i="1" s="1"/>
  <c r="CD1164" i="1"/>
  <c r="CE1158" i="1"/>
  <c r="CD88" i="9"/>
  <c r="CD127" i="9"/>
  <c r="CD1207" i="1"/>
  <c r="CD750" i="1"/>
  <c r="CD1002" i="1"/>
  <c r="CD979" i="1" s="1"/>
  <c r="CD1223" i="1" l="1"/>
  <c r="CD1003" i="1"/>
  <c r="CD978" i="1" s="1"/>
  <c r="CD7" i="9"/>
  <c r="CD11" i="9" s="1"/>
  <c r="CD1261" i="1"/>
  <c r="CD985" i="1"/>
  <c r="CD783" i="1"/>
  <c r="CE759" i="1"/>
  <c r="CD755" i="1"/>
  <c r="CD108" i="9" l="1"/>
  <c r="CD109" i="9" s="1"/>
  <c r="CD110" i="9" s="1"/>
  <c r="CD111" i="9" s="1"/>
  <c r="CD91" i="9"/>
  <c r="CD92" i="9"/>
  <c r="CD93" i="9"/>
  <c r="CD1009" i="1"/>
  <c r="CD765" i="1"/>
  <c r="CD766" i="1"/>
  <c r="CD128" i="9"/>
  <c r="CD131" i="9"/>
  <c r="CE484" i="1"/>
  <c r="CE761" i="1"/>
  <c r="CD792" i="1"/>
  <c r="CD793" i="1" s="1"/>
  <c r="CD784" i="1"/>
  <c r="CD786" i="1" s="1"/>
  <c r="CD980" i="1"/>
  <c r="CD986" i="1"/>
  <c r="CD105" i="9"/>
  <c r="CD106" i="9" s="1"/>
  <c r="CD1001" i="1"/>
  <c r="CD977" i="1" s="1"/>
  <c r="CD1256" i="1"/>
  <c r="CD1000" i="1" l="1"/>
  <c r="CD976" i="1" s="1"/>
  <c r="CD1012" i="1"/>
  <c r="CD1015" i="1"/>
  <c r="CD116" i="9"/>
  <c r="CD117" i="9" s="1"/>
  <c r="CD107" i="9"/>
  <c r="CE762" i="1"/>
  <c r="CE764" i="1"/>
  <c r="CE40" i="9"/>
  <c r="CE42" i="9" s="1"/>
  <c r="CE487" i="1"/>
  <c r="CD964" i="1"/>
  <c r="CD965" i="1"/>
  <c r="CD962" i="1"/>
  <c r="CD963" i="1"/>
  <c r="CE803" i="1" l="1"/>
  <c r="CE489" i="1"/>
  <c r="CE490" i="1"/>
  <c r="CE1111" i="1" s="1"/>
  <c r="CE1218" i="1" s="1"/>
  <c r="CE491" i="1" l="1"/>
  <c r="CE495" i="1" s="1"/>
  <c r="CE43" i="9"/>
  <c r="CE1222" i="1"/>
  <c r="CE1229" i="1"/>
  <c r="CE1099" i="1" l="1"/>
  <c r="CE1118" i="1"/>
  <c r="CE71" i="9" s="1"/>
  <c r="CE1230" i="1"/>
  <c r="CE1234" i="1" s="1"/>
  <c r="CE47" i="9"/>
  <c r="CE505" i="1"/>
  <c r="CE497" i="1"/>
  <c r="CE1114" i="1"/>
  <c r="CE1251" i="1"/>
  <c r="CE49" i="9" l="1"/>
  <c r="CE511" i="1"/>
  <c r="CE506" i="1" s="1"/>
  <c r="CE50" i="9" s="1"/>
  <c r="CE500" i="1"/>
  <c r="CE138" i="9"/>
  <c r="CE103" i="9"/>
  <c r="CE104" i="9" s="1"/>
  <c r="CE1121" i="1"/>
  <c r="CE720" i="1"/>
  <c r="CE1252" i="1"/>
  <c r="CE114" i="9"/>
  <c r="CE115" i="9" s="1"/>
  <c r="CE1244" i="1"/>
  <c r="CE1004" i="1"/>
  <c r="CE56" i="9" l="1"/>
  <c r="CE512" i="1"/>
  <c r="CE51" i="9" s="1"/>
  <c r="CE100" i="9"/>
  <c r="CE101" i="9" s="1"/>
  <c r="CE1254" i="1"/>
  <c r="CE998" i="1"/>
  <c r="CE70" i="9"/>
  <c r="CE72" i="9" s="1"/>
  <c r="CE740" i="1"/>
  <c r="CE741" i="1" s="1"/>
  <c r="CE742" i="1" s="1"/>
  <c r="CE743" i="1" s="1"/>
  <c r="CE723" i="1"/>
  <c r="CE994" i="1"/>
  <c r="CE995" i="1" s="1"/>
  <c r="CE971" i="1" s="1"/>
  <c r="CE722" i="1"/>
  <c r="CE806" i="1"/>
  <c r="CE807" i="1" s="1"/>
  <c r="CE996" i="1" s="1"/>
  <c r="CE997" i="1" s="1"/>
  <c r="CE968" i="1" s="1"/>
  <c r="CE1156" i="1"/>
  <c r="CF120" i="9" l="1"/>
  <c r="CF121" i="9"/>
  <c r="CE974" i="1"/>
  <c r="CE972" i="1"/>
  <c r="CE507" i="1"/>
  <c r="CE95" i="9"/>
  <c r="CE74" i="9"/>
  <c r="CE84" i="9"/>
  <c r="CE129" i="9" s="1"/>
  <c r="CE123" i="9"/>
  <c r="CE1198" i="1"/>
  <c r="CE1159" i="1"/>
  <c r="CE744" i="1"/>
  <c r="CE724" i="1"/>
  <c r="CE1013" i="1" s="1"/>
  <c r="CE721" i="1"/>
  <c r="CE137" i="9"/>
  <c r="CE98" i="9"/>
  <c r="CE99" i="9" s="1"/>
  <c r="CE102" i="9" s="1"/>
  <c r="CE122" i="9"/>
  <c r="CE1014" i="1" l="1"/>
  <c r="CE745" i="1"/>
  <c r="CE746" i="1" s="1"/>
  <c r="CE747" i="1" s="1"/>
  <c r="CE57" i="9"/>
  <c r="CE1011" i="1"/>
  <c r="CF1158" i="1"/>
  <c r="CE1164" i="1"/>
  <c r="CE1207" i="1"/>
  <c r="CE750" i="1"/>
  <c r="CE1002" i="1"/>
  <c r="CE979" i="1" s="1"/>
  <c r="CE130" i="9"/>
  <c r="CE85" i="9"/>
  <c r="CE87" i="9" s="1"/>
  <c r="CE76" i="9"/>
  <c r="CE82" i="9" s="1"/>
  <c r="CE139" i="9" s="1"/>
  <c r="CE124" i="9"/>
  <c r="CE1223" i="1" l="1"/>
  <c r="CE1003" i="1"/>
  <c r="CE978" i="1" s="1"/>
  <c r="CE88" i="9"/>
  <c r="CE127" i="9"/>
  <c r="CE7" i="9"/>
  <c r="CE11" i="9" s="1"/>
  <c r="CE1261" i="1"/>
  <c r="CF759" i="1"/>
  <c r="CE783" i="1"/>
  <c r="CE985" i="1"/>
  <c r="CE755" i="1"/>
  <c r="CE128" i="9" l="1"/>
  <c r="CE131" i="9"/>
  <c r="CE792" i="1"/>
  <c r="CE793" i="1" s="1"/>
  <c r="CE784" i="1"/>
  <c r="CE786" i="1" s="1"/>
  <c r="CF484" i="1"/>
  <c r="CF761" i="1"/>
  <c r="CE108" i="9"/>
  <c r="CE109" i="9" s="1"/>
  <c r="CE110" i="9" s="1"/>
  <c r="CE111" i="9" s="1"/>
  <c r="CE91" i="9"/>
  <c r="CE92" i="9"/>
  <c r="CE93" i="9"/>
  <c r="CE1009" i="1"/>
  <c r="CE766" i="1"/>
  <c r="CE765" i="1"/>
  <c r="CE980" i="1"/>
  <c r="CE986" i="1"/>
  <c r="CE105" i="9"/>
  <c r="CE106" i="9" s="1"/>
  <c r="CE1256" i="1"/>
  <c r="CE1001" i="1"/>
  <c r="CE977" i="1" s="1"/>
  <c r="CE107" i="9" l="1"/>
  <c r="CE116" i="9"/>
  <c r="CE117" i="9" s="1"/>
  <c r="CE965" i="1"/>
  <c r="CE962" i="1"/>
  <c r="CE963" i="1"/>
  <c r="CE964" i="1"/>
  <c r="CF762" i="1"/>
  <c r="CF764" i="1"/>
  <c r="CF40" i="9"/>
  <c r="CF42" i="9" s="1"/>
  <c r="CF487" i="1"/>
  <c r="CE1012" i="1"/>
  <c r="CE1000" i="1"/>
  <c r="CE976" i="1" s="1"/>
  <c r="CE1015" i="1"/>
  <c r="CF803" i="1" l="1"/>
  <c r="CF489" i="1"/>
  <c r="CF43" i="9" s="1"/>
  <c r="CF490" i="1"/>
  <c r="CF1111" i="1" s="1"/>
  <c r="CF1218" i="1" s="1"/>
  <c r="CF1222" i="1" s="1"/>
  <c r="CF491" i="1" l="1"/>
  <c r="CF1229" i="1"/>
  <c r="CF1118" i="1" l="1"/>
  <c r="CF71" i="9" s="1"/>
  <c r="CF1230" i="1"/>
  <c r="CF1234" i="1" s="1"/>
  <c r="CF1099" i="1"/>
  <c r="CF495" i="1"/>
  <c r="CF47" i="9" l="1"/>
  <c r="CF497" i="1"/>
  <c r="CF505" i="1"/>
  <c r="CF1114" i="1"/>
  <c r="CF1251" i="1"/>
  <c r="CF1252" i="1" s="1"/>
  <c r="CF114" i="9"/>
  <c r="CF115" i="9" s="1"/>
  <c r="CF1004" i="1"/>
  <c r="CF1244" i="1"/>
  <c r="CF100" i="9" l="1"/>
  <c r="CF101" i="9" s="1"/>
  <c r="CF1254" i="1"/>
  <c r="CF998" i="1"/>
  <c r="CF1121" i="1"/>
  <c r="CF720" i="1"/>
  <c r="CF49" i="9"/>
  <c r="CF506" i="1"/>
  <c r="CF50" i="9" s="1"/>
  <c r="CF500" i="1"/>
  <c r="CF511" i="1"/>
  <c r="CF138" i="9"/>
  <c r="CF103" i="9"/>
  <c r="CF104" i="9" s="1"/>
  <c r="CF994" i="1" l="1"/>
  <c r="CF995" i="1" s="1"/>
  <c r="CF971" i="1" s="1"/>
  <c r="CF722" i="1"/>
  <c r="CF806" i="1"/>
  <c r="CF807" i="1" s="1"/>
  <c r="CF996" i="1" s="1"/>
  <c r="CF997" i="1" s="1"/>
  <c r="CF968" i="1" s="1"/>
  <c r="CF1156" i="1"/>
  <c r="CF972" i="1"/>
  <c r="CF974" i="1"/>
  <c r="CF70" i="9"/>
  <c r="CF72" i="9" s="1"/>
  <c r="CF723" i="1"/>
  <c r="CF740" i="1"/>
  <c r="CF741" i="1" s="1"/>
  <c r="CF742" i="1" s="1"/>
  <c r="CF743" i="1" s="1"/>
  <c r="CF56" i="9"/>
  <c r="CF512" i="1"/>
  <c r="CF51" i="9" s="1"/>
  <c r="CF507" i="1" l="1"/>
  <c r="CF1198" i="1"/>
  <c r="CF1159" i="1"/>
  <c r="CF95" i="9"/>
  <c r="CF74" i="9"/>
  <c r="CF84" i="9"/>
  <c r="CF129" i="9" s="1"/>
  <c r="CF123" i="9"/>
  <c r="CF57" i="9"/>
  <c r="CF1011" i="1"/>
  <c r="CF137" i="9"/>
  <c r="CF98" i="9"/>
  <c r="CF99" i="9" s="1"/>
  <c r="CF102" i="9" s="1"/>
  <c r="CF122" i="9"/>
  <c r="CF744" i="1"/>
  <c r="CF721" i="1"/>
  <c r="CF724" i="1"/>
  <c r="CF1013" i="1" s="1"/>
  <c r="CF1164" i="1" l="1"/>
  <c r="CF88" i="9"/>
  <c r="CF127" i="9"/>
  <c r="CF1014" i="1"/>
  <c r="CF745" i="1"/>
  <c r="CF746" i="1" s="1"/>
  <c r="CF747" i="1" s="1"/>
  <c r="CF130" i="9"/>
  <c r="CF76" i="9"/>
  <c r="CF82" i="9" s="1"/>
  <c r="CF139" i="9" s="1"/>
  <c r="CF85" i="9"/>
  <c r="CF87" i="9" s="1"/>
  <c r="CF124" i="9"/>
  <c r="CF1207" i="1"/>
  <c r="CF1002" i="1"/>
  <c r="CF979" i="1" s="1"/>
  <c r="CF750" i="1"/>
  <c r="CF7" i="9" l="1"/>
  <c r="CF11" i="9" s="1"/>
  <c r="CF1261" i="1"/>
  <c r="CF783" i="1"/>
  <c r="CF985" i="1"/>
  <c r="CF755" i="1"/>
  <c r="CF1223" i="1"/>
  <c r="CF1003" i="1"/>
  <c r="CF978" i="1" s="1"/>
  <c r="CF105" i="9" l="1"/>
  <c r="CF106" i="9" s="1"/>
  <c r="CF1256" i="1"/>
  <c r="CF1001" i="1"/>
  <c r="CF977" i="1" s="1"/>
  <c r="CF108" i="9"/>
  <c r="CF109" i="9" s="1"/>
  <c r="CF110" i="9" s="1"/>
  <c r="CF111" i="9" s="1"/>
  <c r="CF92" i="9"/>
  <c r="CF91" i="9"/>
  <c r="CF93" i="9"/>
  <c r="CF766" i="1"/>
  <c r="CF1009" i="1"/>
  <c r="CF765" i="1"/>
  <c r="CF980" i="1"/>
  <c r="CF986" i="1"/>
  <c r="CF792" i="1"/>
  <c r="CF793" i="1" s="1"/>
  <c r="CF784" i="1"/>
  <c r="CF786" i="1" s="1"/>
  <c r="CF128" i="9"/>
  <c r="CF131" i="9"/>
  <c r="CF962" i="1" l="1"/>
  <c r="CF964" i="1"/>
  <c r="CF965" i="1"/>
  <c r="CF963" i="1"/>
  <c r="CF1000" i="1"/>
  <c r="CF976" i="1" s="1"/>
  <c r="CF1012" i="1"/>
  <c r="CF1015" i="1"/>
  <c r="CF107" i="9"/>
  <c r="CF116" i="9"/>
  <c r="CF11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V2" authorId="0" shapeId="0" xr:uid="{00000000-0006-0000-0100-000001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W2" authorId="0" shapeId="0" xr:uid="{00000000-0006-0000-0100-000002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X2" authorId="0" shapeId="0" xr:uid="{00000000-0006-0000-0100-000003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Y2" authorId="0" shapeId="0" xr:uid="{00000000-0006-0000-0100-000004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Z2" authorId="0" shapeId="0" xr:uid="{00000000-0006-0000-0100-000005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A2" authorId="0" shapeId="0" xr:uid="{00000000-0006-0000-0100-000006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B2" authorId="0" shapeId="0" xr:uid="{00000000-0006-0000-0100-000007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C2" authorId="0" shapeId="0" xr:uid="{00000000-0006-0000-0100-000008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D2" authorId="0" shapeId="0" xr:uid="{00000000-0006-0000-0100-000009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E2" authorId="0" shapeId="0" xr:uid="{00000000-0006-0000-0100-00000A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F2" authorId="0" shapeId="0" xr:uid="{00000000-0006-0000-0100-00000B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G2" authorId="0" shapeId="0" xr:uid="{00000000-0006-0000-0100-00000C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H2" authorId="0" shapeId="0" xr:uid="{00000000-0006-0000-0100-00000D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I2" authorId="0" shapeId="0" xr:uid="{00000000-0006-0000-0100-00000E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BO8" authorId="0" shapeId="0" xr:uid="{00000000-0006-0000-0100-000011000000}">
      <text>
        <r>
          <rPr>
            <b/>
            <sz val="9"/>
            <rFont val="Tahoma"/>
            <family val="2"/>
          </rPr>
          <t xml:space="preserve">Author1:
Source Estimates </t>
        </r>
      </text>
    </comment>
    <comment ref="BP8" authorId="0" shapeId="0" xr:uid="{00000000-0006-0000-0100-000012000000}">
      <text>
        <r>
          <rPr>
            <b/>
            <sz val="9"/>
            <rFont val="Tahoma"/>
            <family val="2"/>
          </rPr>
          <t xml:space="preserve">Author1:
Source Estimates </t>
        </r>
      </text>
    </comment>
    <comment ref="BQ8" authorId="0" shapeId="0" xr:uid="{00000000-0006-0000-0100-000013000000}">
      <text>
        <r>
          <rPr>
            <b/>
            <sz val="9"/>
            <rFont val="Tahoma"/>
            <family val="2"/>
          </rPr>
          <t xml:space="preserve">Author1:
Source Estimates </t>
        </r>
      </text>
    </comment>
    <comment ref="BT8" authorId="0" shapeId="0" xr:uid="{00000000-0006-0000-0100-000014000000}">
      <text>
        <r>
          <rPr>
            <b/>
            <sz val="9"/>
            <rFont val="Tahoma"/>
            <family val="2"/>
          </rPr>
          <t xml:space="preserve">Author1:
Source Estimates </t>
        </r>
      </text>
    </comment>
    <comment ref="BO9" authorId="0" shapeId="0" xr:uid="{00000000-0006-0000-0100-000015000000}">
      <text>
        <r>
          <rPr>
            <b/>
            <sz val="9"/>
            <rFont val="Tahoma"/>
            <family val="2"/>
          </rPr>
          <t xml:space="preserve">Author1:
Source Estimates </t>
        </r>
      </text>
    </comment>
    <comment ref="BP9" authorId="0" shapeId="0" xr:uid="{00000000-0006-0000-0100-000016000000}">
      <text>
        <r>
          <rPr>
            <b/>
            <sz val="9"/>
            <rFont val="Tahoma"/>
            <family val="2"/>
          </rPr>
          <t xml:space="preserve">Author1:
Source Estimates </t>
        </r>
      </text>
    </comment>
    <comment ref="BQ9" authorId="0" shapeId="0" xr:uid="{00000000-0006-0000-0100-000017000000}">
      <text>
        <r>
          <rPr>
            <b/>
            <sz val="9"/>
            <rFont val="Tahoma"/>
            <family val="2"/>
          </rPr>
          <t xml:space="preserve">Author1:
Source Estimates </t>
        </r>
      </text>
    </comment>
    <comment ref="BR9" authorId="0" shapeId="0" xr:uid="{00000000-0006-0000-0100-000018000000}">
      <text>
        <r>
          <rPr>
            <b/>
            <sz val="9"/>
            <rFont val="Tahoma"/>
            <family val="2"/>
          </rPr>
          <t>Author1:</t>
        </r>
        <r>
          <rPr>
            <sz val="9"/>
            <rFont val="Tahoma"/>
            <family val="2"/>
          </rPr>
          <t xml:space="preserve">
From PR.
"In Q4, revenue increased 18% year over year, and we crossed the 325M paid memberships milestone during the quarter. Operating income rose 30% year over year."</t>
        </r>
      </text>
    </comment>
    <comment ref="BT9" authorId="0" shapeId="0" xr:uid="{00000000-0006-0000-0100-000019000000}">
      <text>
        <r>
          <rPr>
            <b/>
            <sz val="9"/>
            <rFont val="Tahoma"/>
            <family val="2"/>
          </rPr>
          <t xml:space="preserve">Author1:
Source Estimates </t>
        </r>
      </text>
    </comment>
    <comment ref="BO12" authorId="0" shapeId="0" xr:uid="{00000000-0006-0000-0100-00001A000000}">
      <text>
        <r>
          <rPr>
            <b/>
            <sz val="9"/>
            <rFont val="Tahoma"/>
            <family val="2"/>
          </rPr>
          <t xml:space="preserve">Author1:
Source Estimates </t>
        </r>
      </text>
    </comment>
    <comment ref="BP12" authorId="0" shapeId="0" xr:uid="{00000000-0006-0000-0100-00001B000000}">
      <text>
        <r>
          <rPr>
            <b/>
            <sz val="9"/>
            <rFont val="Tahoma"/>
            <family val="2"/>
          </rPr>
          <t xml:space="preserve">Author1:
Source Estimates </t>
        </r>
      </text>
    </comment>
    <comment ref="BQ12" authorId="0" shapeId="0" xr:uid="{00000000-0006-0000-0100-00001C000000}">
      <text>
        <r>
          <rPr>
            <b/>
            <sz val="9"/>
            <rFont val="Tahoma"/>
            <family val="2"/>
          </rPr>
          <t xml:space="preserve">Author1:
Source Estimates </t>
        </r>
      </text>
    </comment>
    <comment ref="BO16" authorId="0" shapeId="0" xr:uid="{00000000-0006-0000-0100-00001D000000}">
      <text>
        <r>
          <rPr>
            <b/>
            <sz val="9"/>
            <rFont val="Tahoma"/>
            <family val="2"/>
          </rPr>
          <t xml:space="preserve">Author1:
Source Estimates </t>
        </r>
      </text>
    </comment>
    <comment ref="BP16" authorId="0" shapeId="0" xr:uid="{00000000-0006-0000-0100-00001E000000}">
      <text>
        <r>
          <rPr>
            <b/>
            <sz val="9"/>
            <rFont val="Tahoma"/>
            <family val="2"/>
          </rPr>
          <t xml:space="preserve">Author1:
Source Estimates </t>
        </r>
      </text>
    </comment>
    <comment ref="BQ16" authorId="0" shapeId="0" xr:uid="{00000000-0006-0000-0100-00001F000000}">
      <text>
        <r>
          <rPr>
            <b/>
            <sz val="9"/>
            <rFont val="Tahoma"/>
            <family val="2"/>
          </rPr>
          <t xml:space="preserve">Author1:
Source Estimates </t>
        </r>
      </text>
    </comment>
    <comment ref="AZ18" authorId="0" shapeId="0" xr:uid="{00000000-0006-0000-0100-000020000000}">
      <text>
        <r>
          <rPr>
            <b/>
            <sz val="9"/>
            <rFont val="Tahoma"/>
            <family val="2"/>
          </rPr>
          <t>Author1:
Excluding a F/X impact of -$280 million, year over year ARM growth was +6%</t>
        </r>
      </text>
    </comment>
    <comment ref="BA18" authorId="0" shapeId="0" xr:uid="{00000000-0006-0000-0100-000021000000}">
      <text>
        <r>
          <rPr>
            <b/>
            <sz val="9"/>
            <rFont val="Tahoma"/>
            <family val="2"/>
          </rPr>
          <t>Author1:
Excluding the impact of foreign exchange (F/X), ARM rose 7% year over year</t>
        </r>
      </text>
    </comment>
    <comment ref="BB18" authorId="0" shapeId="0" xr:uid="{00000000-0006-0000-0100-000022000000}">
      <text>
        <r>
          <rPr>
            <b/>
            <sz val="9"/>
            <rFont val="Tahoma"/>
            <family val="2"/>
          </rPr>
          <t>Author1:
Excluding the impact of foreign exchange (F/X), ARM rose 8% year over year</t>
        </r>
      </text>
    </comment>
    <comment ref="BC18" authorId="0" shapeId="0" xr:uid="{00000000-0006-0000-0100-000023000000}">
      <text>
        <r>
          <rPr>
            <b/>
            <sz val="9"/>
            <rFont val="Tahoma"/>
            <family val="2"/>
          </rPr>
          <t>Author1:
Excluding the impact of foreign exchange (F/X)</t>
        </r>
      </text>
    </comment>
    <comment ref="BH18" authorId="0" shapeId="0" xr:uid="{00000000-0006-0000-0100-000024000000}">
      <text>
        <r>
          <rPr>
            <b/>
            <sz val="9"/>
            <rFont val="Tahoma"/>
            <family val="2"/>
          </rPr>
          <t>Author1:
Excluding the impact of foreign exchange (F/X)</t>
        </r>
      </text>
    </comment>
    <comment ref="BO18" authorId="0" shapeId="0" xr:uid="{00000000-0006-0000-0100-000025000000}">
      <text>
        <r>
          <rPr>
            <b/>
            <sz val="9"/>
            <rFont val="Tahoma"/>
            <family val="2"/>
            <charset val="1"/>
          </rPr>
          <t>Author1:</t>
        </r>
        <r>
          <rPr>
            <sz val="9"/>
            <rFont val="Tahoma"/>
            <family val="2"/>
            <charset val="1"/>
          </rPr>
          <t xml:space="preserve">
No longer reported</t>
        </r>
      </text>
    </comment>
    <comment ref="BP18" authorId="0" shapeId="0" xr:uid="{00000000-0006-0000-0100-000026000000}">
      <text>
        <r>
          <rPr>
            <b/>
            <sz val="9"/>
            <rFont val="Tahoma"/>
            <family val="2"/>
            <charset val="1"/>
          </rPr>
          <t>Author1:</t>
        </r>
        <r>
          <rPr>
            <sz val="9"/>
            <rFont val="Tahoma"/>
            <family val="2"/>
            <charset val="1"/>
          </rPr>
          <t xml:space="preserve">
No longer reported</t>
        </r>
      </text>
    </comment>
    <comment ref="BQ18" authorId="0" shapeId="0" xr:uid="{00000000-0006-0000-0100-000027000000}">
      <text>
        <r>
          <rPr>
            <b/>
            <sz val="9"/>
            <rFont val="Tahoma"/>
            <family val="2"/>
          </rPr>
          <t>Author1:</t>
        </r>
        <r>
          <rPr>
            <sz val="9"/>
            <rFont val="Tahoma"/>
            <family val="2"/>
          </rPr>
          <t xml:space="preserve">
No longer reported</t>
        </r>
      </text>
    </comment>
    <comment ref="BH24" authorId="0" shapeId="0" xr:uid="{00000000-0006-0000-0100-000028000000}">
      <text>
        <r>
          <rPr>
            <b/>
            <sz val="9"/>
            <rFont val="Tahoma"/>
            <family val="2"/>
          </rPr>
          <t>Author1: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BJ24" authorId="0" shapeId="0" xr:uid="{00000000-0006-0000-0100-000029000000}">
      <text>
        <r>
          <rPr>
            <b/>
            <sz val="9"/>
            <rFont val="Tahoma"/>
            <family val="2"/>
          </rPr>
          <t>Author1: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AS36" authorId="0" shapeId="0" xr:uid="{00000000-0006-0000-0100-00002A000000}">
      <text>
        <r>
          <rPr>
            <b/>
            <sz val="9"/>
            <rFont val="Tahoma"/>
            <family val="2"/>
          </rPr>
          <t>Author1:
backed out, reported as flat</t>
        </r>
      </text>
    </comment>
    <comment ref="AX36" authorId="0" shapeId="0" xr:uid="{00000000-0006-0000-0100-00002B000000}">
      <text>
        <r>
          <rPr>
            <b/>
            <sz val="9"/>
            <rFont val="Tahoma"/>
            <family val="2"/>
          </rPr>
          <t>Author1:
Backed out</t>
        </r>
      </text>
    </comment>
    <comment ref="AY36" authorId="0" shapeId="0" xr:uid="{00000000-0006-0000-0100-00002C000000}">
      <text>
        <r>
          <rPr>
            <b/>
            <sz val="9"/>
            <rFont val="Tahoma"/>
            <family val="2"/>
          </rPr>
          <t>Author1:
For the year ended December 31, 2021, our revenues would have been approximately $443 million lower had foreign currency exchange rates remained constant with those for the year ended December 31, 2020.</t>
        </r>
      </text>
    </comment>
    <comment ref="AZ36" authorId="0" shapeId="0" xr:uid="{00000000-0006-0000-0100-00002D000000}">
      <text>
        <r>
          <rPr>
            <b/>
            <sz val="9"/>
            <rFont val="Tahoma"/>
            <family val="2"/>
          </rPr>
          <t>Author1:
Excluding a F/X impact of -$280 million, year over year revenue growth was +14%</t>
        </r>
      </text>
    </comment>
    <comment ref="BA36" authorId="0" shapeId="0" xr:uid="{00000000-0006-0000-0100-00002E000000}">
      <text>
        <r>
          <rPr>
            <b/>
            <sz val="9"/>
            <rFont val="Tahoma"/>
            <family val="2"/>
          </rPr>
          <t>Author1:
13% excluding a -$339 million foreign currency impact</t>
        </r>
      </text>
    </comment>
    <comment ref="BI36" authorId="0" shapeId="0" xr:uid="{00000000-0006-0000-0100-00002F000000}">
      <text>
        <r>
          <rPr>
            <b/>
            <sz val="9"/>
            <rFont val="Tahoma"/>
            <family val="2"/>
          </rPr>
          <t>Author1:
For the year ended December 31, 2023, our revenues would have been approximately $597 million higher had foreign currency exchange rates remained constant with those for the year ended December 31, 2022.</t>
        </r>
      </text>
    </comment>
    <comment ref="AP41" authorId="0" shapeId="0" xr:uid="{00000000-0006-0000-0100-000031000000}">
      <text>
        <r>
          <rPr>
            <b/>
            <sz val="9"/>
            <rFont val="Tahoma"/>
            <family val="2"/>
          </rPr>
          <t>Author1:
Company no longer reports United States members and revenues separately. Rather, they report amalgamated metrics comprising of US and Canada subscribers (Company2794)</t>
        </r>
      </text>
    </comment>
    <comment ref="AP44" authorId="0" shapeId="0" xr:uid="{00000000-0006-0000-0100-000032000000}">
      <text>
        <r>
          <rPr>
            <b/>
            <sz val="9"/>
            <rFont val="Tahoma"/>
            <family val="2"/>
          </rPr>
          <t>Author1:
Company no longer reports United States members and revenues separately. Rather, they report amalgamated metrics comprising of US and Canada subscribers (Company2794)</t>
        </r>
      </text>
    </comment>
    <comment ref="A45" authorId="0" shapeId="0" xr:uid="{00000000-0006-0000-0100-000033000000}">
      <text>
        <r>
          <rPr>
            <b/>
            <sz val="9"/>
            <rFont val="Tahoma"/>
            <family val="2"/>
          </rPr>
          <t>Author1:
Canada stats are not explicitly reported. They are calculated by subtracting US stats from US &amp; Canada combined stats.</t>
        </r>
      </text>
    </comment>
    <comment ref="AP45" authorId="0" shapeId="0" xr:uid="{00000000-0006-0000-0100-000034000000}">
      <text>
        <r>
          <rPr>
            <b/>
            <sz val="9"/>
            <rFont val="Tahoma"/>
            <family val="2"/>
          </rPr>
          <t>Author1:
Company no longer reports United States members and revenues separately. Rather, they report amalgamated metrics comprising of US and Canada subscribers (Company2794)</t>
        </r>
      </text>
    </comment>
    <comment ref="A47" authorId="0" shapeId="0" xr:uid="{00000000-0006-0000-0100-000035000000}">
      <text>
        <r>
          <rPr>
            <b/>
            <sz val="9"/>
            <rFont val="Tahoma"/>
            <family val="2"/>
          </rPr>
          <t>Author1:
Canada stats are not explicitly reported. They are calculated by subtracting US stats from US &amp; Canada combined stats.</t>
        </r>
      </text>
    </comment>
    <comment ref="AP48" authorId="0" shapeId="0" xr:uid="{00000000-0006-0000-0100-000036000000}">
      <text>
        <r>
          <rPr>
            <b/>
            <sz val="9"/>
            <rFont val="Tahoma"/>
            <family val="2"/>
          </rPr>
          <t>Author1:
Company no longer reports United States members and revenues separately. Rather, they report amalgamated metrics comprising of US and Canada subscribers (Company2794)</t>
        </r>
      </text>
    </comment>
    <comment ref="AA50" authorId="0" shapeId="0" xr:uid="{00000000-0006-0000-0100-000037000000}">
      <text>
        <r>
          <rPr>
            <b/>
            <sz val="9"/>
            <rFont val="Tahoma"/>
            <family val="2"/>
          </rPr>
          <t>Author1:
backed out</t>
        </r>
      </text>
    </comment>
    <comment ref="BO51" authorId="0" shapeId="0" xr:uid="{00000000-0006-0000-0100-000038000000}">
      <text>
        <r>
          <rPr>
            <b/>
            <sz val="9"/>
            <rFont val="Tahoma"/>
            <family val="2"/>
          </rPr>
          <t xml:space="preserve">Author1:
Source Estimates </t>
        </r>
      </text>
    </comment>
    <comment ref="BP51" authorId="0" shapeId="0" xr:uid="{00000000-0006-0000-0100-000039000000}">
      <text>
        <r>
          <rPr>
            <b/>
            <sz val="9"/>
            <rFont val="Tahoma"/>
            <family val="2"/>
          </rPr>
          <t xml:space="preserve">Author1:
Source Estimates </t>
        </r>
      </text>
    </comment>
    <comment ref="BQ51" authorId="0" shapeId="0" xr:uid="{00000000-0006-0000-0100-00003A000000}">
      <text>
        <r>
          <rPr>
            <b/>
            <sz val="9"/>
            <rFont val="Tahoma"/>
            <family val="2"/>
          </rPr>
          <t xml:space="preserve">Author1:
Source Estimates </t>
        </r>
      </text>
    </comment>
    <comment ref="BO52" authorId="0" shapeId="0" xr:uid="{00000000-0006-0000-0100-00003B000000}">
      <text>
        <r>
          <rPr>
            <b/>
            <sz val="9"/>
            <rFont val="Tahoma"/>
            <family val="2"/>
          </rPr>
          <t xml:space="preserve">Author1:
Source Estimates </t>
        </r>
      </text>
    </comment>
    <comment ref="BP52" authorId="0" shapeId="0" xr:uid="{00000000-0006-0000-0100-00003C000000}">
      <text>
        <r>
          <rPr>
            <b/>
            <sz val="9"/>
            <rFont val="Tahoma"/>
            <family val="2"/>
          </rPr>
          <t xml:space="preserve">Author1:
Source Estimates </t>
        </r>
      </text>
    </comment>
    <comment ref="BQ52" authorId="0" shapeId="0" xr:uid="{00000000-0006-0000-0100-00003D000000}">
      <text>
        <r>
          <rPr>
            <b/>
            <sz val="9"/>
            <rFont val="Tahoma"/>
            <family val="2"/>
          </rPr>
          <t xml:space="preserve">Author1:
Source Estimates </t>
        </r>
      </text>
    </comment>
    <comment ref="BR52" authorId="0" shapeId="0" xr:uid="{00000000-0006-0000-0100-00003E000000}">
      <text>
        <r>
          <rPr>
            <b/>
            <sz val="9"/>
            <rFont val="Tahoma"/>
            <family val="2"/>
          </rPr>
          <t>Author1:
Estimated</t>
        </r>
      </text>
    </comment>
    <comment ref="BT52" authorId="0" shapeId="0" xr:uid="{00000000-0006-0000-0100-00003F000000}">
      <text>
        <r>
          <rPr>
            <b/>
            <sz val="9"/>
            <rFont val="Tahoma"/>
            <family val="2"/>
          </rPr>
          <t>Author1:</t>
        </r>
        <r>
          <rPr>
            <sz val="9"/>
            <rFont val="Tahoma"/>
            <family val="2"/>
          </rPr>
          <t xml:space="preserve">
No longer reported. Estimated</t>
        </r>
      </text>
    </comment>
    <comment ref="AA56" authorId="0" shapeId="0" xr:uid="{00000000-0006-0000-0100-000040000000}">
      <text>
        <r>
          <rPr>
            <b/>
            <sz val="9"/>
            <rFont val="Tahoma"/>
            <family val="2"/>
          </rPr>
          <t>Author1:
as reported</t>
        </r>
      </text>
    </comment>
    <comment ref="BO56" authorId="0" shapeId="0" xr:uid="{00000000-0006-0000-0100-000041000000}">
      <text>
        <r>
          <rPr>
            <b/>
            <sz val="9"/>
            <rFont val="Tahoma"/>
            <family val="2"/>
          </rPr>
          <t xml:space="preserve">Author1:
Source Estimates </t>
        </r>
      </text>
    </comment>
    <comment ref="BP56" authorId="0" shapeId="0" xr:uid="{00000000-0006-0000-0100-000042000000}">
      <text>
        <r>
          <rPr>
            <b/>
            <sz val="9"/>
            <rFont val="Tahoma"/>
            <family val="2"/>
          </rPr>
          <t xml:space="preserve">Author1:
Source Estimates </t>
        </r>
      </text>
    </comment>
    <comment ref="BQ56" authorId="0" shapeId="0" xr:uid="{00000000-0006-0000-0100-000043000000}">
      <text>
        <r>
          <rPr>
            <b/>
            <sz val="9"/>
            <rFont val="Tahoma"/>
            <family val="2"/>
          </rPr>
          <t xml:space="preserve">Author1:
Source Estimates </t>
        </r>
      </text>
    </comment>
    <comment ref="A62" authorId="0" shapeId="0" xr:uid="{00000000-0006-0000-0100-000044000000}">
      <text>
        <r>
          <rPr>
            <b/>
            <sz val="9"/>
            <rFont val="Tahoma"/>
            <family val="2"/>
          </rPr>
          <t>Author1:
Canada stats are not explicitly reported. They are calculated by subtracting US stats from US &amp; Canada combined stats.</t>
        </r>
      </text>
    </comment>
    <comment ref="A63" authorId="0" shapeId="0" xr:uid="{00000000-0006-0000-0100-000045000000}">
      <text>
        <r>
          <rPr>
            <b/>
            <sz val="9"/>
            <rFont val="Tahoma"/>
            <family val="2"/>
          </rPr>
          <t>Author1:
Canada stats are not explicitly reported. They are calculated by subtracting US stats from US &amp; Canada combined stats.</t>
        </r>
      </text>
    </comment>
    <comment ref="BO64" authorId="0" shapeId="0" xr:uid="{00000000-0006-0000-0100-000046000000}">
      <text>
        <r>
          <rPr>
            <b/>
            <sz val="9"/>
            <rFont val="Tahoma"/>
            <family val="2"/>
          </rPr>
          <t xml:space="preserve">Author1:
Source Estimates </t>
        </r>
      </text>
    </comment>
    <comment ref="BP64" authorId="0" shapeId="0" xr:uid="{00000000-0006-0000-0100-000047000000}">
      <text>
        <r>
          <rPr>
            <b/>
            <sz val="9"/>
            <rFont val="Tahoma"/>
            <family val="2"/>
          </rPr>
          <t xml:space="preserve">Author1:
Source Estimates </t>
        </r>
      </text>
    </comment>
    <comment ref="BQ64" authorId="0" shapeId="0" xr:uid="{00000000-0006-0000-0100-000048000000}">
      <text>
        <r>
          <rPr>
            <b/>
            <sz val="9"/>
            <rFont val="Tahoma"/>
            <family val="2"/>
          </rPr>
          <t xml:space="preserve">Author1:
Source Estimates </t>
        </r>
      </text>
    </comment>
    <comment ref="BR64" authorId="0" shapeId="0" xr:uid="{00000000-0006-0000-0100-000049000000}">
      <text>
        <r>
          <rPr>
            <b/>
            <sz val="9"/>
            <rFont val="Tahoma"/>
            <family val="2"/>
          </rPr>
          <t>Author1:
Estimated</t>
        </r>
      </text>
    </comment>
    <comment ref="BS64" authorId="0" shapeId="0" xr:uid="{00000000-0006-0000-0100-00004A000000}">
      <text>
        <r>
          <rPr>
            <b/>
            <sz val="9"/>
            <rFont val="Tahoma"/>
            <family val="2"/>
          </rPr>
          <t>Author1:
Estimated</t>
        </r>
      </text>
    </comment>
    <comment ref="BT64" authorId="0" shapeId="0" xr:uid="{00000000-0006-0000-0100-00004B000000}">
      <text>
        <r>
          <rPr>
            <b/>
            <sz val="9"/>
            <rFont val="Tahoma"/>
            <family val="2"/>
          </rPr>
          <t>Author1:</t>
        </r>
        <r>
          <rPr>
            <sz val="9"/>
            <rFont val="Tahoma"/>
            <family val="2"/>
          </rPr>
          <t xml:space="preserve">
Based on estimates</t>
        </r>
      </text>
    </comment>
    <comment ref="BO66" authorId="0" shapeId="0" xr:uid="{00000000-0006-0000-0100-00004C000000}">
      <text>
        <r>
          <rPr>
            <b/>
            <sz val="9"/>
            <rFont val="Tahoma"/>
            <family val="2"/>
            <charset val="1"/>
          </rPr>
          <t>Author1:</t>
        </r>
        <r>
          <rPr>
            <sz val="9"/>
            <rFont val="Tahoma"/>
            <family val="2"/>
            <charset val="1"/>
          </rPr>
          <t xml:space="preserve">
No longer reported</t>
        </r>
      </text>
    </comment>
    <comment ref="BP66" authorId="0" shapeId="0" xr:uid="{00000000-0006-0000-0100-00004D000000}">
      <text>
        <r>
          <rPr>
            <b/>
            <sz val="9"/>
            <rFont val="Tahoma"/>
            <family val="2"/>
            <charset val="1"/>
          </rPr>
          <t>Author1:</t>
        </r>
        <r>
          <rPr>
            <sz val="9"/>
            <rFont val="Tahoma"/>
            <family val="2"/>
            <charset val="1"/>
          </rPr>
          <t xml:space="preserve">
No longer reported</t>
        </r>
      </text>
    </comment>
    <comment ref="BQ66" authorId="0" shapeId="0" xr:uid="{00000000-0006-0000-0100-00004E000000}">
      <text>
        <r>
          <rPr>
            <b/>
            <sz val="9"/>
            <rFont val="Tahoma"/>
            <family val="2"/>
          </rPr>
          <t>Author1:</t>
        </r>
        <r>
          <rPr>
            <sz val="9"/>
            <rFont val="Tahoma"/>
            <family val="2"/>
          </rPr>
          <t xml:space="preserve">
No longer reported</t>
        </r>
      </text>
    </comment>
    <comment ref="AP69" authorId="0" shapeId="0" xr:uid="{00000000-0006-0000-0100-00004F000000}">
      <text>
        <r>
          <rPr>
            <b/>
            <sz val="9"/>
            <rFont val="Tahoma"/>
            <family val="2"/>
          </rPr>
          <t>Author1:
Company no longer reports United States members and revenues separately. Rather, they report amalgamated metrics comprising of US and Canada subscribers (Company2794)</t>
        </r>
      </text>
    </comment>
    <comment ref="A71" authorId="0" shapeId="0" xr:uid="{00000000-0006-0000-0100-000050000000}">
      <text>
        <r>
          <rPr>
            <b/>
            <sz val="9"/>
            <rFont val="Tahoma"/>
            <family val="2"/>
          </rPr>
          <t>Author1:
Canada stats are not explicitly reported. They are calculated by subtracting US stats from US &amp; Canada combined stats.</t>
        </r>
      </text>
    </comment>
    <comment ref="AP71" authorId="0" shapeId="0" xr:uid="{00000000-0006-0000-0100-000051000000}">
      <text>
        <r>
          <rPr>
            <b/>
            <sz val="9"/>
            <rFont val="Tahoma"/>
            <family val="2"/>
          </rPr>
          <t>Author1:
Company no longer reports United States members and revenues separately. Rather, they report amalgamated metrics comprising of US and Canada subscribers (Company2794)</t>
        </r>
      </text>
    </comment>
    <comment ref="A72" authorId="0" shapeId="0" xr:uid="{00000000-0006-0000-0100-000052000000}">
      <text>
        <r>
          <rPr>
            <b/>
            <sz val="9"/>
            <rFont val="Tahoma"/>
            <family val="2"/>
          </rPr>
          <t>Author1:
Canada stats are not explicitly reported. They are calculated by subtracting US stats from US &amp; Canada combined stats.</t>
        </r>
      </text>
    </comment>
    <comment ref="AA78" authorId="0" shapeId="0" xr:uid="{00000000-0006-0000-0100-000054000000}">
      <text>
        <r>
          <rPr>
            <b/>
            <sz val="9"/>
            <rFont val="Tahoma"/>
            <family val="2"/>
          </rPr>
          <t>Author1:
backed out</t>
        </r>
      </text>
    </comment>
    <comment ref="BO79" authorId="0" shapeId="0" xr:uid="{00000000-0006-0000-0100-000055000000}">
      <text>
        <r>
          <rPr>
            <b/>
            <sz val="9"/>
            <rFont val="Tahoma"/>
            <family val="2"/>
          </rPr>
          <t xml:space="preserve">Author1:
Source Estimates </t>
        </r>
      </text>
    </comment>
    <comment ref="BP79" authorId="0" shapeId="0" xr:uid="{00000000-0006-0000-0100-000056000000}">
      <text>
        <r>
          <rPr>
            <b/>
            <sz val="9"/>
            <rFont val="Tahoma"/>
            <family val="2"/>
          </rPr>
          <t xml:space="preserve">Author1:
Source Estimates </t>
        </r>
      </text>
    </comment>
    <comment ref="BQ79" authorId="0" shapeId="0" xr:uid="{00000000-0006-0000-0100-000057000000}">
      <text>
        <r>
          <rPr>
            <b/>
            <sz val="9"/>
            <rFont val="Tahoma"/>
            <family val="2"/>
          </rPr>
          <t xml:space="preserve">Author1:
Source Estimates </t>
        </r>
      </text>
    </comment>
    <comment ref="BO80" authorId="0" shapeId="0" xr:uid="{00000000-0006-0000-0100-000058000000}">
      <text>
        <r>
          <rPr>
            <b/>
            <sz val="9"/>
            <rFont val="Tahoma"/>
            <family val="2"/>
          </rPr>
          <t xml:space="preserve">Author1:
Source Estimates </t>
        </r>
      </text>
    </comment>
    <comment ref="BP80" authorId="0" shapeId="0" xr:uid="{00000000-0006-0000-0100-000059000000}">
      <text>
        <r>
          <rPr>
            <b/>
            <sz val="9"/>
            <rFont val="Tahoma"/>
            <family val="2"/>
          </rPr>
          <t xml:space="preserve">Author1:
Source Estimates </t>
        </r>
      </text>
    </comment>
    <comment ref="BQ80" authorId="0" shapeId="0" xr:uid="{00000000-0006-0000-0100-00005A000000}">
      <text>
        <r>
          <rPr>
            <b/>
            <sz val="9"/>
            <rFont val="Tahoma"/>
            <family val="2"/>
          </rPr>
          <t xml:space="preserve">Author1:
Source Estimates </t>
        </r>
      </text>
    </comment>
    <comment ref="BR80" authorId="0" shapeId="0" xr:uid="{00000000-0006-0000-0100-00005B000000}">
      <text>
        <r>
          <rPr>
            <b/>
            <sz val="9"/>
            <rFont val="Tahoma"/>
            <family val="2"/>
          </rPr>
          <t>Author1:
Estimated</t>
        </r>
      </text>
    </comment>
    <comment ref="BT80" authorId="0" shapeId="0" xr:uid="{00000000-0006-0000-0100-00005C000000}">
      <text>
        <r>
          <rPr>
            <b/>
            <sz val="9"/>
            <rFont val="Tahoma"/>
            <family val="2"/>
          </rPr>
          <t>Author1:</t>
        </r>
        <r>
          <rPr>
            <sz val="9"/>
            <rFont val="Tahoma"/>
            <family val="2"/>
          </rPr>
          <t xml:space="preserve">
No longer reported. Estimated</t>
        </r>
      </text>
    </comment>
    <comment ref="AA84" authorId="0" shapeId="0" xr:uid="{00000000-0006-0000-0100-00005D000000}">
      <text>
        <r>
          <rPr>
            <b/>
            <sz val="9"/>
            <rFont val="Tahoma"/>
            <family val="2"/>
          </rPr>
          <t>Author1:
as reported</t>
        </r>
      </text>
    </comment>
    <comment ref="BO84" authorId="0" shapeId="0" xr:uid="{00000000-0006-0000-0100-00005E000000}">
      <text>
        <r>
          <rPr>
            <b/>
            <sz val="9"/>
            <rFont val="Tahoma"/>
            <family val="2"/>
          </rPr>
          <t xml:space="preserve">Author1:
Source Estimates </t>
        </r>
      </text>
    </comment>
    <comment ref="BP84" authorId="0" shapeId="0" xr:uid="{00000000-0006-0000-0100-00005F000000}">
      <text>
        <r>
          <rPr>
            <b/>
            <sz val="9"/>
            <rFont val="Tahoma"/>
            <family val="2"/>
          </rPr>
          <t xml:space="preserve">Author1:
Source Estimates </t>
        </r>
      </text>
    </comment>
    <comment ref="BQ84" authorId="0" shapeId="0" xr:uid="{00000000-0006-0000-0100-000060000000}">
      <text>
        <r>
          <rPr>
            <b/>
            <sz val="9"/>
            <rFont val="Tahoma"/>
            <family val="2"/>
          </rPr>
          <t xml:space="preserve">Author1:
Source Estimates </t>
        </r>
      </text>
    </comment>
    <comment ref="BO88" authorId="0" shapeId="0" xr:uid="{00000000-0006-0000-0100-000061000000}">
      <text>
        <r>
          <rPr>
            <b/>
            <sz val="9"/>
            <rFont val="Tahoma"/>
            <family val="2"/>
          </rPr>
          <t xml:space="preserve">Author1:
Source Estimates </t>
        </r>
      </text>
    </comment>
    <comment ref="BP88" authorId="0" shapeId="0" xr:uid="{00000000-0006-0000-0100-000062000000}">
      <text>
        <r>
          <rPr>
            <b/>
            <sz val="9"/>
            <rFont val="Tahoma"/>
            <family val="2"/>
          </rPr>
          <t xml:space="preserve">Author1:
Source Estimates </t>
        </r>
      </text>
    </comment>
    <comment ref="BQ88" authorId="0" shapeId="0" xr:uid="{00000000-0006-0000-0100-000063000000}">
      <text>
        <r>
          <rPr>
            <b/>
            <sz val="9"/>
            <rFont val="Tahoma"/>
            <family val="2"/>
          </rPr>
          <t xml:space="preserve">Author1:
Source Estimates </t>
        </r>
      </text>
    </comment>
    <comment ref="BR88" authorId="0" shapeId="0" xr:uid="{00000000-0006-0000-0100-000064000000}">
      <text>
        <r>
          <rPr>
            <b/>
            <sz val="9"/>
            <rFont val="Tahoma"/>
            <family val="2"/>
          </rPr>
          <t>Author1:
Estimated</t>
        </r>
      </text>
    </comment>
    <comment ref="BS88" authorId="0" shapeId="0" xr:uid="{00000000-0006-0000-0100-000065000000}">
      <text>
        <r>
          <rPr>
            <b/>
            <sz val="9"/>
            <rFont val="Tahoma"/>
            <family val="2"/>
          </rPr>
          <t>Author1:
Estimated</t>
        </r>
      </text>
    </comment>
    <comment ref="BT88" authorId="0" shapeId="0" xr:uid="{00000000-0006-0000-0100-000066000000}">
      <text>
        <r>
          <rPr>
            <b/>
            <sz val="9"/>
            <rFont val="Tahoma"/>
            <family val="2"/>
          </rPr>
          <t>Author1:</t>
        </r>
        <r>
          <rPr>
            <sz val="9"/>
            <rFont val="Tahoma"/>
            <family val="2"/>
          </rPr>
          <t xml:space="preserve">
Based on estimates</t>
        </r>
      </text>
    </comment>
    <comment ref="BO90" authorId="0" shapeId="0" xr:uid="{00000000-0006-0000-0100-000067000000}">
      <text>
        <r>
          <rPr>
            <b/>
            <sz val="9"/>
            <rFont val="Tahoma"/>
            <family val="2"/>
            <charset val="1"/>
          </rPr>
          <t>Author1:</t>
        </r>
        <r>
          <rPr>
            <sz val="9"/>
            <rFont val="Tahoma"/>
            <family val="2"/>
            <charset val="1"/>
          </rPr>
          <t xml:space="preserve">
No longer reported</t>
        </r>
      </text>
    </comment>
    <comment ref="BP90" authorId="0" shapeId="0" xr:uid="{00000000-0006-0000-0100-000068000000}">
      <text>
        <r>
          <rPr>
            <b/>
            <sz val="9"/>
            <rFont val="Tahoma"/>
            <family val="2"/>
            <charset val="1"/>
          </rPr>
          <t>Author1:</t>
        </r>
        <r>
          <rPr>
            <sz val="9"/>
            <rFont val="Tahoma"/>
            <family val="2"/>
            <charset val="1"/>
          </rPr>
          <t xml:space="preserve">
No longer reported</t>
        </r>
      </text>
    </comment>
    <comment ref="BQ90" authorId="0" shapeId="0" xr:uid="{00000000-0006-0000-0100-000069000000}">
      <text>
        <r>
          <rPr>
            <b/>
            <sz val="9"/>
            <rFont val="Tahoma"/>
            <family val="2"/>
          </rPr>
          <t>Author1:</t>
        </r>
        <r>
          <rPr>
            <sz val="9"/>
            <rFont val="Tahoma"/>
            <family val="2"/>
          </rPr>
          <t xml:space="preserve">
No longer reported</t>
        </r>
      </text>
    </comment>
    <comment ref="AA98" authorId="0" shapeId="0" xr:uid="{00000000-0006-0000-0100-00006B000000}">
      <text>
        <r>
          <rPr>
            <b/>
            <sz val="9"/>
            <rFont val="Tahoma"/>
            <family val="2"/>
          </rPr>
          <t>Author1:
backed out</t>
        </r>
      </text>
    </comment>
    <comment ref="BO99" authorId="0" shapeId="0" xr:uid="{00000000-0006-0000-0100-00006C000000}">
      <text>
        <r>
          <rPr>
            <b/>
            <sz val="9"/>
            <rFont val="Tahoma"/>
            <family val="2"/>
          </rPr>
          <t xml:space="preserve">Author1:
Source Estimates </t>
        </r>
      </text>
    </comment>
    <comment ref="BP99" authorId="0" shapeId="0" xr:uid="{00000000-0006-0000-0100-00006D000000}">
      <text>
        <r>
          <rPr>
            <b/>
            <sz val="9"/>
            <rFont val="Tahoma"/>
            <family val="2"/>
          </rPr>
          <t xml:space="preserve">Author1:
Source Estimates </t>
        </r>
      </text>
    </comment>
    <comment ref="BQ99" authorId="0" shapeId="0" xr:uid="{00000000-0006-0000-0100-00006E000000}">
      <text>
        <r>
          <rPr>
            <b/>
            <sz val="9"/>
            <rFont val="Tahoma"/>
            <family val="2"/>
          </rPr>
          <t xml:space="preserve">Author1:
Source Estimates </t>
        </r>
      </text>
    </comment>
    <comment ref="BO100" authorId="0" shapeId="0" xr:uid="{00000000-0006-0000-0100-00006F000000}">
      <text>
        <r>
          <rPr>
            <b/>
            <sz val="9"/>
            <rFont val="Tahoma"/>
            <family val="2"/>
          </rPr>
          <t xml:space="preserve">Author1:
Source Estimates </t>
        </r>
      </text>
    </comment>
    <comment ref="BP100" authorId="0" shapeId="0" xr:uid="{00000000-0006-0000-0100-000070000000}">
      <text>
        <r>
          <rPr>
            <b/>
            <sz val="9"/>
            <rFont val="Tahoma"/>
            <family val="2"/>
          </rPr>
          <t xml:space="preserve">Author1:
Source Estimates </t>
        </r>
      </text>
    </comment>
    <comment ref="BQ100" authorId="0" shapeId="0" xr:uid="{00000000-0006-0000-0100-000071000000}">
      <text>
        <r>
          <rPr>
            <b/>
            <sz val="9"/>
            <rFont val="Tahoma"/>
            <family val="2"/>
          </rPr>
          <t xml:space="preserve">Author1:
Source Estimates </t>
        </r>
      </text>
    </comment>
    <comment ref="BR100" authorId="0" shapeId="0" xr:uid="{00000000-0006-0000-0100-000072000000}">
      <text>
        <r>
          <rPr>
            <b/>
            <sz val="9"/>
            <rFont val="Tahoma"/>
            <family val="2"/>
          </rPr>
          <t>Author1:
Estimated</t>
        </r>
      </text>
    </comment>
    <comment ref="BT100" authorId="0" shapeId="0" xr:uid="{00000000-0006-0000-0100-000073000000}">
      <text>
        <r>
          <rPr>
            <b/>
            <sz val="9"/>
            <rFont val="Tahoma"/>
            <family val="2"/>
          </rPr>
          <t>Author1:</t>
        </r>
        <r>
          <rPr>
            <sz val="9"/>
            <rFont val="Tahoma"/>
            <family val="2"/>
          </rPr>
          <t xml:space="preserve">
No longer reported. Estimated</t>
        </r>
      </text>
    </comment>
    <comment ref="AA104" authorId="0" shapeId="0" xr:uid="{00000000-0006-0000-0100-000074000000}">
      <text>
        <r>
          <rPr>
            <b/>
            <sz val="9"/>
            <rFont val="Tahoma"/>
            <family val="2"/>
          </rPr>
          <t>Author1:
as reported</t>
        </r>
      </text>
    </comment>
    <comment ref="BO104" authorId="0" shapeId="0" xr:uid="{00000000-0006-0000-0100-000075000000}">
      <text>
        <r>
          <rPr>
            <b/>
            <sz val="9"/>
            <rFont val="Tahoma"/>
            <family val="2"/>
          </rPr>
          <t xml:space="preserve">Author1:
Source Estimates </t>
        </r>
      </text>
    </comment>
    <comment ref="BP104" authorId="0" shapeId="0" xr:uid="{00000000-0006-0000-0100-000076000000}">
      <text>
        <r>
          <rPr>
            <b/>
            <sz val="9"/>
            <rFont val="Tahoma"/>
            <family val="2"/>
          </rPr>
          <t xml:space="preserve">Author1:
Source Estimates </t>
        </r>
      </text>
    </comment>
    <comment ref="BQ104" authorId="0" shapeId="0" xr:uid="{00000000-0006-0000-0100-000077000000}">
      <text>
        <r>
          <rPr>
            <b/>
            <sz val="9"/>
            <rFont val="Tahoma"/>
            <family val="2"/>
          </rPr>
          <t xml:space="preserve">Author1:
Source Estimates </t>
        </r>
      </text>
    </comment>
    <comment ref="BO108" authorId="0" shapeId="0" xr:uid="{00000000-0006-0000-0100-000078000000}">
      <text>
        <r>
          <rPr>
            <b/>
            <sz val="9"/>
            <rFont val="Tahoma"/>
            <family val="2"/>
          </rPr>
          <t xml:space="preserve">Author1:
Source Estimates </t>
        </r>
      </text>
    </comment>
    <comment ref="BP108" authorId="0" shapeId="0" xr:uid="{00000000-0006-0000-0100-000079000000}">
      <text>
        <r>
          <rPr>
            <b/>
            <sz val="9"/>
            <rFont val="Tahoma"/>
            <family val="2"/>
          </rPr>
          <t xml:space="preserve">Author1:
Source Estimates </t>
        </r>
      </text>
    </comment>
    <comment ref="BQ108" authorId="0" shapeId="0" xr:uid="{00000000-0006-0000-0100-00007A000000}">
      <text>
        <r>
          <rPr>
            <b/>
            <sz val="9"/>
            <rFont val="Tahoma"/>
            <family val="2"/>
          </rPr>
          <t xml:space="preserve">Author1:
Source Estimates </t>
        </r>
      </text>
    </comment>
    <comment ref="BR108" authorId="0" shapeId="0" xr:uid="{00000000-0006-0000-0100-00007B000000}">
      <text>
        <r>
          <rPr>
            <b/>
            <sz val="9"/>
            <rFont val="Tahoma"/>
            <family val="2"/>
          </rPr>
          <t>Author1:
Estimated</t>
        </r>
      </text>
    </comment>
    <comment ref="BS108" authorId="0" shapeId="0" xr:uid="{00000000-0006-0000-0100-00007C000000}">
      <text>
        <r>
          <rPr>
            <b/>
            <sz val="9"/>
            <rFont val="Tahoma"/>
            <family val="2"/>
          </rPr>
          <t>Author1:
Estimated</t>
        </r>
      </text>
    </comment>
    <comment ref="BT108" authorId="0" shapeId="0" xr:uid="{00000000-0006-0000-0100-00007D000000}">
      <text>
        <r>
          <rPr>
            <b/>
            <sz val="9"/>
            <rFont val="Tahoma"/>
            <family val="2"/>
          </rPr>
          <t>Author1:</t>
        </r>
        <r>
          <rPr>
            <sz val="9"/>
            <rFont val="Tahoma"/>
            <family val="2"/>
          </rPr>
          <t xml:space="preserve">
Based on estimates</t>
        </r>
      </text>
    </comment>
    <comment ref="BO110" authorId="0" shapeId="0" xr:uid="{00000000-0006-0000-0100-00007E000000}">
      <text>
        <r>
          <rPr>
            <b/>
            <sz val="9"/>
            <rFont val="Tahoma"/>
            <family val="2"/>
            <charset val="1"/>
          </rPr>
          <t>Author1:</t>
        </r>
        <r>
          <rPr>
            <sz val="9"/>
            <rFont val="Tahoma"/>
            <family val="2"/>
            <charset val="1"/>
          </rPr>
          <t xml:space="preserve">
No longer reported</t>
        </r>
      </text>
    </comment>
    <comment ref="BP110" authorId="0" shapeId="0" xr:uid="{00000000-0006-0000-0100-00007F000000}">
      <text>
        <r>
          <rPr>
            <b/>
            <sz val="9"/>
            <rFont val="Tahoma"/>
            <family val="2"/>
            <charset val="1"/>
          </rPr>
          <t>Author1:</t>
        </r>
        <r>
          <rPr>
            <sz val="9"/>
            <rFont val="Tahoma"/>
            <family val="2"/>
            <charset val="1"/>
          </rPr>
          <t xml:space="preserve">
No longer reported</t>
        </r>
      </text>
    </comment>
    <comment ref="BQ110" authorId="0" shapeId="0" xr:uid="{00000000-0006-0000-0100-000080000000}">
      <text>
        <r>
          <rPr>
            <b/>
            <sz val="9"/>
            <rFont val="Tahoma"/>
            <family val="2"/>
          </rPr>
          <t>Author1:</t>
        </r>
        <r>
          <rPr>
            <sz val="9"/>
            <rFont val="Tahoma"/>
            <family val="2"/>
          </rPr>
          <t xml:space="preserve">
No longer reported</t>
        </r>
      </text>
    </comment>
    <comment ref="AA118" authorId="0" shapeId="0" xr:uid="{00000000-0006-0000-0100-000082000000}">
      <text>
        <r>
          <rPr>
            <b/>
            <sz val="9"/>
            <rFont val="Tahoma"/>
            <family val="2"/>
          </rPr>
          <t>Author1:
backed out</t>
        </r>
      </text>
    </comment>
    <comment ref="BO119" authorId="0" shapeId="0" xr:uid="{00000000-0006-0000-0100-000083000000}">
      <text>
        <r>
          <rPr>
            <b/>
            <sz val="9"/>
            <rFont val="Tahoma"/>
            <family val="2"/>
          </rPr>
          <t xml:space="preserve">Author1:
Source Estimates </t>
        </r>
      </text>
    </comment>
    <comment ref="BP119" authorId="0" shapeId="0" xr:uid="{00000000-0006-0000-0100-000084000000}">
      <text>
        <r>
          <rPr>
            <b/>
            <sz val="9"/>
            <rFont val="Tahoma"/>
            <family val="2"/>
          </rPr>
          <t xml:space="preserve">Author1:
Source Estimates </t>
        </r>
      </text>
    </comment>
    <comment ref="BQ119" authorId="0" shapeId="0" xr:uid="{00000000-0006-0000-0100-000085000000}">
      <text>
        <r>
          <rPr>
            <b/>
            <sz val="9"/>
            <rFont val="Tahoma"/>
            <family val="2"/>
          </rPr>
          <t xml:space="preserve">Author1:
Source Estimates </t>
        </r>
      </text>
    </comment>
    <comment ref="BO120" authorId="0" shapeId="0" xr:uid="{00000000-0006-0000-0100-000086000000}">
      <text>
        <r>
          <rPr>
            <b/>
            <sz val="9"/>
            <rFont val="Tahoma"/>
            <family val="2"/>
          </rPr>
          <t xml:space="preserve">Author1:
Source Estimates </t>
        </r>
      </text>
    </comment>
    <comment ref="BP120" authorId="0" shapeId="0" xr:uid="{00000000-0006-0000-0100-000087000000}">
      <text>
        <r>
          <rPr>
            <b/>
            <sz val="9"/>
            <rFont val="Tahoma"/>
            <family val="2"/>
          </rPr>
          <t xml:space="preserve">Author1:
Source Estimates </t>
        </r>
      </text>
    </comment>
    <comment ref="BQ120" authorId="0" shapeId="0" xr:uid="{00000000-0006-0000-0100-000088000000}">
      <text>
        <r>
          <rPr>
            <b/>
            <sz val="9"/>
            <rFont val="Tahoma"/>
            <family val="2"/>
          </rPr>
          <t xml:space="preserve">Author1:
Source Estimates </t>
        </r>
      </text>
    </comment>
    <comment ref="BR120" authorId="0" shapeId="0" xr:uid="{00000000-0006-0000-0100-000089000000}">
      <text>
        <r>
          <rPr>
            <b/>
            <sz val="9"/>
            <rFont val="Tahoma"/>
            <family val="2"/>
          </rPr>
          <t>Author1:
Backout.</t>
        </r>
      </text>
    </comment>
    <comment ref="BT120" authorId="0" shapeId="0" xr:uid="{00000000-0006-0000-0100-00008A000000}">
      <text>
        <r>
          <rPr>
            <b/>
            <sz val="9"/>
            <rFont val="Tahoma"/>
            <family val="2"/>
          </rPr>
          <t>Author1:</t>
        </r>
        <r>
          <rPr>
            <sz val="9"/>
            <rFont val="Tahoma"/>
            <family val="2"/>
          </rPr>
          <t xml:space="preserve">
No longer reported. Estimated</t>
        </r>
      </text>
    </comment>
    <comment ref="AA124" authorId="0" shapeId="0" xr:uid="{00000000-0006-0000-0100-00008B000000}">
      <text>
        <r>
          <rPr>
            <b/>
            <sz val="9"/>
            <rFont val="Tahoma"/>
            <family val="2"/>
          </rPr>
          <t>Author1:
as reported</t>
        </r>
      </text>
    </comment>
    <comment ref="BO124" authorId="0" shapeId="0" xr:uid="{00000000-0006-0000-0100-00008C000000}">
      <text>
        <r>
          <rPr>
            <b/>
            <sz val="9"/>
            <rFont val="Tahoma"/>
            <family val="2"/>
          </rPr>
          <t xml:space="preserve">Author1:
Source Estimates </t>
        </r>
      </text>
    </comment>
    <comment ref="BP124" authorId="0" shapeId="0" xr:uid="{00000000-0006-0000-0100-00008D000000}">
      <text>
        <r>
          <rPr>
            <b/>
            <sz val="9"/>
            <rFont val="Tahoma"/>
            <family val="2"/>
          </rPr>
          <t xml:space="preserve">Author1:
Source Estimates </t>
        </r>
      </text>
    </comment>
    <comment ref="BQ124" authorId="0" shapeId="0" xr:uid="{00000000-0006-0000-0100-00008E000000}">
      <text>
        <r>
          <rPr>
            <b/>
            <sz val="9"/>
            <rFont val="Tahoma"/>
            <family val="2"/>
          </rPr>
          <t xml:space="preserve">Author1:
Source Estimates </t>
        </r>
      </text>
    </comment>
    <comment ref="BO128" authorId="0" shapeId="0" xr:uid="{00000000-0006-0000-0100-00008F000000}">
      <text>
        <r>
          <rPr>
            <b/>
            <sz val="9"/>
            <rFont val="Tahoma"/>
            <family val="2"/>
          </rPr>
          <t xml:space="preserve">Author1:
Source Estimates </t>
        </r>
      </text>
    </comment>
    <comment ref="BP128" authorId="0" shapeId="0" xr:uid="{00000000-0006-0000-0100-000090000000}">
      <text>
        <r>
          <rPr>
            <b/>
            <sz val="9"/>
            <rFont val="Tahoma"/>
            <family val="2"/>
          </rPr>
          <t xml:space="preserve">Author1:
Source Estimates </t>
        </r>
      </text>
    </comment>
    <comment ref="BQ128" authorId="0" shapeId="0" xr:uid="{00000000-0006-0000-0100-000091000000}">
      <text>
        <r>
          <rPr>
            <b/>
            <sz val="9"/>
            <rFont val="Tahoma"/>
            <family val="2"/>
          </rPr>
          <t xml:space="preserve">Author1:
Source Estimates </t>
        </r>
      </text>
    </comment>
    <comment ref="BR128" authorId="0" shapeId="0" xr:uid="{00000000-0006-0000-0100-000092000000}">
      <text>
        <r>
          <rPr>
            <b/>
            <sz val="9"/>
            <rFont val="Tahoma"/>
            <family val="2"/>
          </rPr>
          <t>Author1:
Estimated</t>
        </r>
      </text>
    </comment>
    <comment ref="BS128" authorId="0" shapeId="0" xr:uid="{00000000-0006-0000-0100-000093000000}">
      <text>
        <r>
          <rPr>
            <b/>
            <sz val="9"/>
            <rFont val="Tahoma"/>
            <family val="2"/>
          </rPr>
          <t>Author1:
Estimated</t>
        </r>
      </text>
    </comment>
    <comment ref="BT128" authorId="0" shapeId="0" xr:uid="{00000000-0006-0000-0100-000094000000}">
      <text>
        <r>
          <rPr>
            <b/>
            <sz val="9"/>
            <rFont val="Tahoma"/>
            <family val="2"/>
          </rPr>
          <t>Author1:</t>
        </r>
        <r>
          <rPr>
            <sz val="9"/>
            <rFont val="Tahoma"/>
            <family val="2"/>
          </rPr>
          <t xml:space="preserve">
Based on estimates</t>
        </r>
      </text>
    </comment>
    <comment ref="BO130" authorId="0" shapeId="0" xr:uid="{00000000-0006-0000-0100-000095000000}">
      <text>
        <r>
          <rPr>
            <b/>
            <sz val="9"/>
            <rFont val="Tahoma"/>
            <family val="2"/>
            <charset val="1"/>
          </rPr>
          <t>Author1:</t>
        </r>
        <r>
          <rPr>
            <sz val="9"/>
            <rFont val="Tahoma"/>
            <family val="2"/>
            <charset val="1"/>
          </rPr>
          <t xml:space="preserve">
No longer reported</t>
        </r>
      </text>
    </comment>
    <comment ref="BP130" authorId="0" shapeId="0" xr:uid="{00000000-0006-0000-0100-000096000000}">
      <text>
        <r>
          <rPr>
            <b/>
            <sz val="9"/>
            <rFont val="Tahoma"/>
            <family val="2"/>
            <charset val="1"/>
          </rPr>
          <t>Author1:</t>
        </r>
        <r>
          <rPr>
            <sz val="9"/>
            <rFont val="Tahoma"/>
            <family val="2"/>
            <charset val="1"/>
          </rPr>
          <t xml:space="preserve">
No longer reported</t>
        </r>
      </text>
    </comment>
    <comment ref="BQ130" authorId="0" shapeId="0" xr:uid="{00000000-0006-0000-0100-000097000000}">
      <text>
        <r>
          <rPr>
            <b/>
            <sz val="9"/>
            <rFont val="Tahoma"/>
            <family val="2"/>
          </rPr>
          <t>Author1:</t>
        </r>
        <r>
          <rPr>
            <sz val="9"/>
            <rFont val="Tahoma"/>
            <family val="2"/>
          </rPr>
          <t xml:space="preserve">
No longer reported</t>
        </r>
      </text>
    </comment>
    <comment ref="BJ137" authorId="0" shapeId="0" xr:uid="{00000000-0006-0000-0100-000098000000}">
      <text>
        <r>
          <rPr>
            <b/>
            <sz val="9"/>
            <rFont val="Tahoma"/>
            <family val="2"/>
          </rPr>
          <t>Author1:
Not reported due to segment discontinuation</t>
        </r>
      </text>
    </comment>
    <comment ref="BH138" authorId="0" shapeId="0" xr:uid="{00000000-0006-0000-0100-000099000000}">
      <text>
        <r>
          <rPr>
            <b/>
            <sz val="9"/>
            <rFont val="Tahoma"/>
            <family val="2"/>
          </rPr>
          <t>Author1: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BO146" authorId="0" shapeId="0" xr:uid="{00000000-0006-0000-0100-00009A000000}">
      <text>
        <r>
          <rPr>
            <b/>
            <sz val="9"/>
            <rFont val="Tahoma"/>
            <family val="2"/>
          </rPr>
          <t xml:space="preserve">Author1:
Source Estimates </t>
        </r>
      </text>
    </comment>
    <comment ref="BP146" authorId="0" shapeId="0" xr:uid="{00000000-0006-0000-0100-00009B000000}">
      <text>
        <r>
          <rPr>
            <b/>
            <sz val="9"/>
            <rFont val="Tahoma"/>
            <family val="2"/>
          </rPr>
          <t xml:space="preserve">Author1:
Source Estimates </t>
        </r>
      </text>
    </comment>
    <comment ref="BQ146" authorId="0" shapeId="0" xr:uid="{00000000-0006-0000-0100-00009C000000}">
      <text>
        <r>
          <rPr>
            <b/>
            <sz val="9"/>
            <rFont val="Tahoma"/>
            <family val="2"/>
          </rPr>
          <t xml:space="preserve">Author1:
Source Estimates </t>
        </r>
      </text>
    </comment>
    <comment ref="BR146" authorId="0" shapeId="0" xr:uid="{00000000-0006-0000-0100-00009D000000}">
      <text>
        <r>
          <rPr>
            <b/>
            <sz val="9"/>
            <rFont val="Tahoma"/>
            <family val="2"/>
          </rPr>
          <t>Author1:
Estimated</t>
        </r>
      </text>
    </comment>
    <comment ref="BS146" authorId="0" shapeId="0" xr:uid="{00000000-0006-0000-0100-00009E000000}">
      <text>
        <r>
          <rPr>
            <b/>
            <sz val="9"/>
            <rFont val="Tahoma"/>
            <family val="2"/>
          </rPr>
          <t>Author1:
Estimated</t>
        </r>
      </text>
    </comment>
    <comment ref="BT146" authorId="0" shapeId="0" xr:uid="{00000000-0006-0000-0100-00009F000000}">
      <text>
        <r>
          <rPr>
            <b/>
            <sz val="9"/>
            <rFont val="Tahoma"/>
            <family val="2"/>
          </rPr>
          <t>Author1:
Estimated</t>
        </r>
      </text>
    </comment>
    <comment ref="BO147" authorId="0" shapeId="0" xr:uid="{00000000-0006-0000-0100-0000A0000000}">
      <text>
        <r>
          <rPr>
            <b/>
            <sz val="9"/>
            <rFont val="Tahoma"/>
            <family val="2"/>
          </rPr>
          <t xml:space="preserve">Author1:
Source Estimates </t>
        </r>
      </text>
    </comment>
    <comment ref="BP147" authorId="0" shapeId="0" xr:uid="{00000000-0006-0000-0100-0000A1000000}">
      <text>
        <r>
          <rPr>
            <b/>
            <sz val="9"/>
            <rFont val="Tahoma"/>
            <family val="2"/>
          </rPr>
          <t xml:space="preserve">Author1:
Source Estimates </t>
        </r>
      </text>
    </comment>
    <comment ref="BQ147" authorId="0" shapeId="0" xr:uid="{00000000-0006-0000-0100-0000A2000000}">
      <text>
        <r>
          <rPr>
            <b/>
            <sz val="9"/>
            <rFont val="Tahoma"/>
            <family val="2"/>
          </rPr>
          <t xml:space="preserve">Author1:
Source Estimates </t>
        </r>
      </text>
    </comment>
    <comment ref="BR147" authorId="0" shapeId="0" xr:uid="{00000000-0006-0000-0100-0000A3000000}">
      <text>
        <r>
          <rPr>
            <b/>
            <sz val="9"/>
            <rFont val="Tahoma"/>
            <family val="2"/>
          </rPr>
          <t>Author1:
Estimated</t>
        </r>
      </text>
    </comment>
    <comment ref="BS147" authorId="0" shapeId="0" xr:uid="{00000000-0006-0000-0100-0000A4000000}">
      <text>
        <r>
          <rPr>
            <b/>
            <sz val="9"/>
            <rFont val="Tahoma"/>
            <family val="2"/>
          </rPr>
          <t>Author1:
Estimated</t>
        </r>
      </text>
    </comment>
    <comment ref="BT147" authorId="0" shapeId="0" xr:uid="{00000000-0006-0000-0100-0000A5000000}">
      <text>
        <r>
          <rPr>
            <b/>
            <sz val="9"/>
            <rFont val="Tahoma"/>
            <family val="2"/>
          </rPr>
          <t>Author1:
Estimated</t>
        </r>
      </text>
    </comment>
    <comment ref="BO148" authorId="0" shapeId="0" xr:uid="{00000000-0006-0000-0100-0000A6000000}">
      <text>
        <r>
          <rPr>
            <b/>
            <sz val="9"/>
            <rFont val="Tahoma"/>
            <family val="2"/>
          </rPr>
          <t xml:space="preserve">Author1:
Source Estimates </t>
        </r>
      </text>
    </comment>
    <comment ref="BP148" authorId="0" shapeId="0" xr:uid="{00000000-0006-0000-0100-0000A7000000}">
      <text>
        <r>
          <rPr>
            <b/>
            <sz val="9"/>
            <rFont val="Tahoma"/>
            <family val="2"/>
          </rPr>
          <t xml:space="preserve">Author1:
Source Estimates </t>
        </r>
      </text>
    </comment>
    <comment ref="BQ148" authorId="0" shapeId="0" xr:uid="{00000000-0006-0000-0100-0000A8000000}">
      <text>
        <r>
          <rPr>
            <b/>
            <sz val="9"/>
            <rFont val="Tahoma"/>
            <family val="2"/>
          </rPr>
          <t xml:space="preserve">Author1:
Source Estimates </t>
        </r>
      </text>
    </comment>
    <comment ref="BR148" authorId="0" shapeId="0" xr:uid="{00000000-0006-0000-0100-0000A9000000}">
      <text>
        <r>
          <rPr>
            <b/>
            <sz val="9"/>
            <rFont val="Tahoma"/>
            <family val="2"/>
          </rPr>
          <t>Author1:
Estimated</t>
        </r>
      </text>
    </comment>
    <comment ref="BS148" authorId="0" shapeId="0" xr:uid="{00000000-0006-0000-0100-0000AA000000}">
      <text>
        <r>
          <rPr>
            <b/>
            <sz val="9"/>
            <rFont val="Tahoma"/>
            <family val="2"/>
          </rPr>
          <t>Author1:
Estimated</t>
        </r>
      </text>
    </comment>
    <comment ref="BT148" authorId="0" shapeId="0" xr:uid="{00000000-0006-0000-0100-0000AB000000}">
      <text>
        <r>
          <rPr>
            <b/>
            <sz val="9"/>
            <rFont val="Tahoma"/>
            <family val="2"/>
          </rPr>
          <t>Author1:
Estimated</t>
        </r>
      </text>
    </comment>
    <comment ref="BO149" authorId="0" shapeId="0" xr:uid="{00000000-0006-0000-0100-0000AC000000}">
      <text>
        <r>
          <rPr>
            <b/>
            <sz val="9"/>
            <rFont val="Tahoma"/>
            <family val="2"/>
          </rPr>
          <t xml:space="preserve">Author1:
Source Estimates </t>
        </r>
      </text>
    </comment>
    <comment ref="BP149" authorId="0" shapeId="0" xr:uid="{00000000-0006-0000-0100-0000AD000000}">
      <text>
        <r>
          <rPr>
            <b/>
            <sz val="9"/>
            <rFont val="Tahoma"/>
            <family val="2"/>
          </rPr>
          <t xml:space="preserve">Author1:
Source Estimates </t>
        </r>
      </text>
    </comment>
    <comment ref="BQ149" authorId="0" shapeId="0" xr:uid="{00000000-0006-0000-0100-0000AE000000}">
      <text>
        <r>
          <rPr>
            <b/>
            <sz val="9"/>
            <rFont val="Tahoma"/>
            <family val="2"/>
          </rPr>
          <t xml:space="preserve">Author1:
Source Estimates </t>
        </r>
      </text>
    </comment>
    <comment ref="BR149" authorId="0" shapeId="0" xr:uid="{00000000-0006-0000-0100-0000AF000000}">
      <text>
        <r>
          <rPr>
            <b/>
            <sz val="9"/>
            <rFont val="Tahoma"/>
            <family val="2"/>
          </rPr>
          <t>Author1:
Estimated</t>
        </r>
      </text>
    </comment>
    <comment ref="BS149" authorId="0" shapeId="0" xr:uid="{00000000-0006-0000-0100-0000B0000000}">
      <text>
        <r>
          <rPr>
            <b/>
            <sz val="9"/>
            <rFont val="Tahoma"/>
            <family val="2"/>
          </rPr>
          <t>Author1:
Estimated</t>
        </r>
      </text>
    </comment>
    <comment ref="BT149" authorId="0" shapeId="0" xr:uid="{00000000-0006-0000-0100-0000B1000000}">
      <text>
        <r>
          <rPr>
            <b/>
            <sz val="9"/>
            <rFont val="Tahoma"/>
            <family val="2"/>
          </rPr>
          <t>Author1:
Estimated</t>
        </r>
      </text>
    </comment>
    <comment ref="BO150" authorId="0" shapeId="0" xr:uid="{00000000-0006-0000-0100-0000B2000000}">
      <text>
        <r>
          <rPr>
            <b/>
            <sz val="9"/>
            <rFont val="Tahoma"/>
            <family val="2"/>
          </rPr>
          <t xml:space="preserve">Author1:
Source Estimates </t>
        </r>
      </text>
    </comment>
    <comment ref="BP150" authorId="0" shapeId="0" xr:uid="{00000000-0006-0000-0100-0000B3000000}">
      <text>
        <r>
          <rPr>
            <b/>
            <sz val="9"/>
            <rFont val="Tahoma"/>
            <family val="2"/>
          </rPr>
          <t xml:space="preserve">Author1:
Source Estimates </t>
        </r>
      </text>
    </comment>
    <comment ref="BQ150" authorId="0" shapeId="0" xr:uid="{00000000-0006-0000-0100-0000B4000000}">
      <text>
        <r>
          <rPr>
            <b/>
            <sz val="9"/>
            <rFont val="Tahoma"/>
            <family val="2"/>
          </rPr>
          <t xml:space="preserve">Author1:
Source Estimates </t>
        </r>
      </text>
    </comment>
    <comment ref="BO163" authorId="0" shapeId="0" xr:uid="{00000000-0006-0000-0100-0000B5000000}">
      <text>
        <r>
          <rPr>
            <b/>
            <sz val="9"/>
            <rFont val="Tahoma"/>
            <family val="2"/>
          </rPr>
          <t xml:space="preserve">Author1:
Source Estimates </t>
        </r>
      </text>
    </comment>
    <comment ref="BP163" authorId="0" shapeId="0" xr:uid="{00000000-0006-0000-0100-0000B6000000}">
      <text>
        <r>
          <rPr>
            <b/>
            <sz val="9"/>
            <rFont val="Tahoma"/>
            <family val="2"/>
          </rPr>
          <t xml:space="preserve">Author1:
Source Estimates </t>
        </r>
      </text>
    </comment>
    <comment ref="BQ163" authorId="0" shapeId="0" xr:uid="{00000000-0006-0000-0100-0000B7000000}">
      <text>
        <r>
          <rPr>
            <b/>
            <sz val="9"/>
            <rFont val="Tahoma"/>
            <family val="2"/>
          </rPr>
          <t xml:space="preserve">Author1:
Source Estimates </t>
        </r>
      </text>
    </comment>
    <comment ref="BR163" authorId="0" shapeId="0" xr:uid="{00000000-0006-0000-0100-0000B8000000}">
      <text>
        <r>
          <rPr>
            <b/>
            <sz val="9"/>
            <rFont val="Tahoma"/>
            <family val="2"/>
          </rPr>
          <t>Author1:
Estimated</t>
        </r>
      </text>
    </comment>
    <comment ref="BS163" authorId="0" shapeId="0" xr:uid="{00000000-0006-0000-0100-0000B9000000}">
      <text>
        <r>
          <rPr>
            <b/>
            <sz val="9"/>
            <rFont val="Tahoma"/>
            <family val="2"/>
          </rPr>
          <t>Author1:
Estimated</t>
        </r>
      </text>
    </comment>
    <comment ref="BT163" authorId="0" shapeId="0" xr:uid="{00000000-0006-0000-0100-0000BA000000}">
      <text>
        <r>
          <rPr>
            <b/>
            <sz val="9"/>
            <rFont val="Tahoma"/>
            <family val="2"/>
          </rPr>
          <t>Author1:
Estimated</t>
        </r>
      </text>
    </comment>
    <comment ref="BO164" authorId="0" shapeId="0" xr:uid="{00000000-0006-0000-0100-0000BB000000}">
      <text>
        <r>
          <rPr>
            <b/>
            <sz val="9"/>
            <rFont val="Tahoma"/>
            <family val="2"/>
          </rPr>
          <t xml:space="preserve">Author1:
Source Estimates </t>
        </r>
      </text>
    </comment>
    <comment ref="BP164" authorId="0" shapeId="0" xr:uid="{00000000-0006-0000-0100-0000BC000000}">
      <text>
        <r>
          <rPr>
            <b/>
            <sz val="9"/>
            <rFont val="Tahoma"/>
            <family val="2"/>
          </rPr>
          <t xml:space="preserve">Author1:
Source Estimates </t>
        </r>
      </text>
    </comment>
    <comment ref="BQ164" authorId="0" shapeId="0" xr:uid="{00000000-0006-0000-0100-0000BD000000}">
      <text>
        <r>
          <rPr>
            <b/>
            <sz val="9"/>
            <rFont val="Tahoma"/>
            <family val="2"/>
          </rPr>
          <t xml:space="preserve">Author1:
Source Estimates </t>
        </r>
      </text>
    </comment>
    <comment ref="BR164" authorId="0" shapeId="0" xr:uid="{00000000-0006-0000-0100-0000BE000000}">
      <text>
        <r>
          <rPr>
            <b/>
            <sz val="9"/>
            <rFont val="Tahoma"/>
            <family val="2"/>
          </rPr>
          <t>Author1:
Estimated</t>
        </r>
      </text>
    </comment>
    <comment ref="BS164" authorId="0" shapeId="0" xr:uid="{00000000-0006-0000-0100-0000BF000000}">
      <text>
        <r>
          <rPr>
            <b/>
            <sz val="9"/>
            <rFont val="Tahoma"/>
            <family val="2"/>
          </rPr>
          <t>Author1:
Estimated</t>
        </r>
      </text>
    </comment>
    <comment ref="BT164" authorId="0" shapeId="0" xr:uid="{00000000-0006-0000-0100-0000C0000000}">
      <text>
        <r>
          <rPr>
            <b/>
            <sz val="9"/>
            <rFont val="Tahoma"/>
            <family val="2"/>
          </rPr>
          <t>Author1:
Estimated</t>
        </r>
      </text>
    </comment>
    <comment ref="BO165" authorId="0" shapeId="0" xr:uid="{00000000-0006-0000-0100-0000C1000000}">
      <text>
        <r>
          <rPr>
            <b/>
            <sz val="9"/>
            <rFont val="Tahoma"/>
            <family val="2"/>
          </rPr>
          <t xml:space="preserve">Author1:
Source Estimates </t>
        </r>
      </text>
    </comment>
    <comment ref="BP165" authorId="0" shapeId="0" xr:uid="{00000000-0006-0000-0100-0000C2000000}">
      <text>
        <r>
          <rPr>
            <b/>
            <sz val="9"/>
            <rFont val="Tahoma"/>
            <family val="2"/>
          </rPr>
          <t xml:space="preserve">Author1:
Source Estimates </t>
        </r>
      </text>
    </comment>
    <comment ref="BQ165" authorId="0" shapeId="0" xr:uid="{00000000-0006-0000-0100-0000C3000000}">
      <text>
        <r>
          <rPr>
            <b/>
            <sz val="9"/>
            <rFont val="Tahoma"/>
            <family val="2"/>
          </rPr>
          <t xml:space="preserve">Author1:
Source Estimates </t>
        </r>
      </text>
    </comment>
    <comment ref="BR165" authorId="0" shapeId="0" xr:uid="{00000000-0006-0000-0100-0000C4000000}">
      <text>
        <r>
          <rPr>
            <b/>
            <sz val="9"/>
            <rFont val="Tahoma"/>
            <family val="2"/>
          </rPr>
          <t>Author1:
Estimated</t>
        </r>
      </text>
    </comment>
    <comment ref="BS165" authorId="0" shapeId="0" xr:uid="{00000000-0006-0000-0100-0000C5000000}">
      <text>
        <r>
          <rPr>
            <b/>
            <sz val="9"/>
            <rFont val="Tahoma"/>
            <family val="2"/>
          </rPr>
          <t>Author1:
Estimated</t>
        </r>
      </text>
    </comment>
    <comment ref="BT165" authorId="0" shapeId="0" xr:uid="{00000000-0006-0000-0100-0000C6000000}">
      <text>
        <r>
          <rPr>
            <b/>
            <sz val="9"/>
            <rFont val="Tahoma"/>
            <family val="2"/>
          </rPr>
          <t>Author1:
Estimated</t>
        </r>
      </text>
    </comment>
    <comment ref="BO166" authorId="0" shapeId="0" xr:uid="{00000000-0006-0000-0100-0000C7000000}">
      <text>
        <r>
          <rPr>
            <b/>
            <sz val="9"/>
            <rFont val="Tahoma"/>
            <family val="2"/>
          </rPr>
          <t xml:space="preserve">Author1:
Source Estimates </t>
        </r>
      </text>
    </comment>
    <comment ref="BP166" authorId="0" shapeId="0" xr:uid="{00000000-0006-0000-0100-0000C8000000}">
      <text>
        <r>
          <rPr>
            <b/>
            <sz val="9"/>
            <rFont val="Tahoma"/>
            <family val="2"/>
          </rPr>
          <t xml:space="preserve">Author1:
Source Estimates </t>
        </r>
      </text>
    </comment>
    <comment ref="BQ166" authorId="0" shapeId="0" xr:uid="{00000000-0006-0000-0100-0000C9000000}">
      <text>
        <r>
          <rPr>
            <b/>
            <sz val="9"/>
            <rFont val="Tahoma"/>
            <family val="2"/>
          </rPr>
          <t xml:space="preserve">Author1:
Source Estimates </t>
        </r>
      </text>
    </comment>
    <comment ref="BR166" authorId="0" shapeId="0" xr:uid="{00000000-0006-0000-0100-0000CA000000}">
      <text>
        <r>
          <rPr>
            <b/>
            <sz val="9"/>
            <rFont val="Tahoma"/>
            <family val="2"/>
          </rPr>
          <t>Author1:
Estimated</t>
        </r>
      </text>
    </comment>
    <comment ref="BS166" authorId="0" shapeId="0" xr:uid="{00000000-0006-0000-0100-0000CB000000}">
      <text>
        <r>
          <rPr>
            <b/>
            <sz val="9"/>
            <rFont val="Tahoma"/>
            <family val="2"/>
          </rPr>
          <t>Author1:
Estimated</t>
        </r>
      </text>
    </comment>
    <comment ref="BT166" authorId="0" shapeId="0" xr:uid="{00000000-0006-0000-0100-0000CC000000}">
      <text>
        <r>
          <rPr>
            <b/>
            <sz val="9"/>
            <rFont val="Tahoma"/>
            <family val="2"/>
          </rPr>
          <t>Author1:
Estimated</t>
        </r>
      </text>
    </comment>
    <comment ref="BO167" authorId="0" shapeId="0" xr:uid="{00000000-0006-0000-0100-0000CD000000}">
      <text>
        <r>
          <rPr>
            <b/>
            <sz val="9"/>
            <rFont val="Tahoma"/>
            <family val="2"/>
          </rPr>
          <t xml:space="preserve">Author1:
Source Estimates </t>
        </r>
      </text>
    </comment>
    <comment ref="BP167" authorId="0" shapeId="0" xr:uid="{00000000-0006-0000-0100-0000CE000000}">
      <text>
        <r>
          <rPr>
            <b/>
            <sz val="9"/>
            <rFont val="Tahoma"/>
            <family val="2"/>
          </rPr>
          <t xml:space="preserve">Author1:
Source Estimates </t>
        </r>
      </text>
    </comment>
    <comment ref="BQ167" authorId="0" shapeId="0" xr:uid="{00000000-0006-0000-0100-0000CF000000}">
      <text>
        <r>
          <rPr>
            <b/>
            <sz val="9"/>
            <rFont val="Tahoma"/>
            <family val="2"/>
          </rPr>
          <t xml:space="preserve">Author1:
Source Estimates </t>
        </r>
      </text>
    </comment>
    <comment ref="BO179" authorId="0" shapeId="0" xr:uid="{00000000-0006-0000-0100-0000D0000000}">
      <text>
        <r>
          <rPr>
            <b/>
            <sz val="9"/>
            <rFont val="Tahoma"/>
            <family val="2"/>
          </rPr>
          <t xml:space="preserve">Author1:
Source Estimates </t>
        </r>
      </text>
    </comment>
    <comment ref="BP179" authorId="0" shapeId="0" xr:uid="{00000000-0006-0000-0100-0000D1000000}">
      <text>
        <r>
          <rPr>
            <b/>
            <sz val="9"/>
            <rFont val="Tahoma"/>
            <family val="2"/>
          </rPr>
          <t xml:space="preserve">Author1:
Source Estimates </t>
        </r>
      </text>
    </comment>
    <comment ref="BQ179" authorId="0" shapeId="0" xr:uid="{00000000-0006-0000-0100-0000D2000000}">
      <text>
        <r>
          <rPr>
            <b/>
            <sz val="9"/>
            <rFont val="Tahoma"/>
            <family val="2"/>
          </rPr>
          <t xml:space="preserve">Author1:
Source Estimates </t>
        </r>
      </text>
    </comment>
    <comment ref="BR179" authorId="0" shapeId="0" xr:uid="{00000000-0006-0000-0100-0000D3000000}">
      <text>
        <r>
          <rPr>
            <b/>
            <sz val="9"/>
            <rFont val="Tahoma"/>
            <family val="2"/>
          </rPr>
          <t>Author1:
Estimated</t>
        </r>
      </text>
    </comment>
    <comment ref="BS179" authorId="0" shapeId="0" xr:uid="{00000000-0006-0000-0100-0000D4000000}">
      <text>
        <r>
          <rPr>
            <b/>
            <sz val="9"/>
            <rFont val="Tahoma"/>
            <family val="2"/>
          </rPr>
          <t>Author1:
Estimated</t>
        </r>
      </text>
    </comment>
    <comment ref="BT179" authorId="0" shapeId="0" xr:uid="{00000000-0006-0000-0100-0000D5000000}">
      <text>
        <r>
          <rPr>
            <b/>
            <sz val="9"/>
            <rFont val="Tahoma"/>
            <family val="2"/>
          </rPr>
          <t>Author1:
Estimated</t>
        </r>
      </text>
    </comment>
    <comment ref="BO180" authorId="0" shapeId="0" xr:uid="{00000000-0006-0000-0100-0000D6000000}">
      <text>
        <r>
          <rPr>
            <b/>
            <sz val="9"/>
            <rFont val="Tahoma"/>
            <family val="2"/>
          </rPr>
          <t xml:space="preserve">Author1:
Source Estimates </t>
        </r>
      </text>
    </comment>
    <comment ref="BP180" authorId="0" shapeId="0" xr:uid="{00000000-0006-0000-0100-0000D7000000}">
      <text>
        <r>
          <rPr>
            <b/>
            <sz val="9"/>
            <rFont val="Tahoma"/>
            <family val="2"/>
          </rPr>
          <t xml:space="preserve">Author1:
Source Estimates </t>
        </r>
      </text>
    </comment>
    <comment ref="BQ180" authorId="0" shapeId="0" xr:uid="{00000000-0006-0000-0100-0000D8000000}">
      <text>
        <r>
          <rPr>
            <b/>
            <sz val="9"/>
            <rFont val="Tahoma"/>
            <family val="2"/>
          </rPr>
          <t xml:space="preserve">Author1:
Source Estimates </t>
        </r>
      </text>
    </comment>
    <comment ref="BR180" authorId="0" shapeId="0" xr:uid="{00000000-0006-0000-0100-0000D9000000}">
      <text>
        <r>
          <rPr>
            <b/>
            <sz val="9"/>
            <rFont val="Tahoma"/>
            <family val="2"/>
          </rPr>
          <t>Author1:
Estimated</t>
        </r>
      </text>
    </comment>
    <comment ref="BS180" authorId="0" shapeId="0" xr:uid="{00000000-0006-0000-0100-0000DA000000}">
      <text>
        <r>
          <rPr>
            <b/>
            <sz val="9"/>
            <rFont val="Tahoma"/>
            <family val="2"/>
          </rPr>
          <t>Author1:
Estimated</t>
        </r>
      </text>
    </comment>
    <comment ref="BT180" authorId="0" shapeId="0" xr:uid="{00000000-0006-0000-0100-0000DB000000}">
      <text>
        <r>
          <rPr>
            <b/>
            <sz val="9"/>
            <rFont val="Tahoma"/>
            <family val="2"/>
          </rPr>
          <t>Author1:
Estimated</t>
        </r>
      </text>
    </comment>
    <comment ref="BO181" authorId="0" shapeId="0" xr:uid="{00000000-0006-0000-0100-0000DC000000}">
      <text>
        <r>
          <rPr>
            <b/>
            <sz val="9"/>
            <rFont val="Tahoma"/>
            <family val="2"/>
          </rPr>
          <t xml:space="preserve">Author1:
Source Estimates </t>
        </r>
      </text>
    </comment>
    <comment ref="BP181" authorId="0" shapeId="0" xr:uid="{00000000-0006-0000-0100-0000DD000000}">
      <text>
        <r>
          <rPr>
            <b/>
            <sz val="9"/>
            <rFont val="Tahoma"/>
            <family val="2"/>
          </rPr>
          <t xml:space="preserve">Author1:
Source Estimates </t>
        </r>
      </text>
    </comment>
    <comment ref="BQ181" authorId="0" shapeId="0" xr:uid="{00000000-0006-0000-0100-0000DE000000}">
      <text>
        <r>
          <rPr>
            <b/>
            <sz val="9"/>
            <rFont val="Tahoma"/>
            <family val="2"/>
          </rPr>
          <t xml:space="preserve">Author1:
Source Estimates </t>
        </r>
      </text>
    </comment>
    <comment ref="BR181" authorId="0" shapeId="0" xr:uid="{00000000-0006-0000-0100-0000DF000000}">
      <text>
        <r>
          <rPr>
            <b/>
            <sz val="9"/>
            <rFont val="Tahoma"/>
            <family val="2"/>
          </rPr>
          <t>Author1:
Estimated</t>
        </r>
      </text>
    </comment>
    <comment ref="BS181" authorId="0" shapeId="0" xr:uid="{00000000-0006-0000-0100-0000E0000000}">
      <text>
        <r>
          <rPr>
            <b/>
            <sz val="9"/>
            <rFont val="Tahoma"/>
            <family val="2"/>
          </rPr>
          <t>Author1:
Estimated</t>
        </r>
      </text>
    </comment>
    <comment ref="BT181" authorId="0" shapeId="0" xr:uid="{00000000-0006-0000-0100-0000E1000000}">
      <text>
        <r>
          <rPr>
            <b/>
            <sz val="9"/>
            <rFont val="Tahoma"/>
            <family val="2"/>
          </rPr>
          <t>Author1:
Estimated</t>
        </r>
      </text>
    </comment>
    <comment ref="BO182" authorId="0" shapeId="0" xr:uid="{00000000-0006-0000-0100-0000E2000000}">
      <text>
        <r>
          <rPr>
            <b/>
            <sz val="9"/>
            <rFont val="Tahoma"/>
            <family val="2"/>
          </rPr>
          <t xml:space="preserve">Author1:
Source Estimates </t>
        </r>
      </text>
    </comment>
    <comment ref="BP182" authorId="0" shapeId="0" xr:uid="{00000000-0006-0000-0100-0000E3000000}">
      <text>
        <r>
          <rPr>
            <b/>
            <sz val="9"/>
            <rFont val="Tahoma"/>
            <family val="2"/>
          </rPr>
          <t xml:space="preserve">Author1:
Source Estimates </t>
        </r>
      </text>
    </comment>
    <comment ref="BQ182" authorId="0" shapeId="0" xr:uid="{00000000-0006-0000-0100-0000E4000000}">
      <text>
        <r>
          <rPr>
            <b/>
            <sz val="9"/>
            <rFont val="Tahoma"/>
            <family val="2"/>
          </rPr>
          <t xml:space="preserve">Author1:
Source Estimates </t>
        </r>
      </text>
    </comment>
    <comment ref="BR182" authorId="0" shapeId="0" xr:uid="{00000000-0006-0000-0100-0000E5000000}">
      <text>
        <r>
          <rPr>
            <b/>
            <sz val="9"/>
            <rFont val="Tahoma"/>
            <family val="2"/>
          </rPr>
          <t>Author1:
Estimated</t>
        </r>
      </text>
    </comment>
    <comment ref="BS182" authorId="0" shapeId="0" xr:uid="{00000000-0006-0000-0100-0000E6000000}">
      <text>
        <r>
          <rPr>
            <b/>
            <sz val="9"/>
            <rFont val="Tahoma"/>
            <family val="2"/>
          </rPr>
          <t>Author1:
Estimated</t>
        </r>
      </text>
    </comment>
    <comment ref="BT182" authorId="0" shapeId="0" xr:uid="{00000000-0006-0000-0100-0000E7000000}">
      <text>
        <r>
          <rPr>
            <b/>
            <sz val="9"/>
            <rFont val="Tahoma"/>
            <family val="2"/>
          </rPr>
          <t>Author1:
Estimated</t>
        </r>
      </text>
    </comment>
    <comment ref="BO183" authorId="0" shapeId="0" xr:uid="{00000000-0006-0000-0100-0000E8000000}">
      <text>
        <r>
          <rPr>
            <b/>
            <sz val="9"/>
            <rFont val="Tahoma"/>
            <family val="2"/>
          </rPr>
          <t xml:space="preserve">Author1:
Source Estimates </t>
        </r>
      </text>
    </comment>
    <comment ref="BP183" authorId="0" shapeId="0" xr:uid="{00000000-0006-0000-0100-0000E9000000}">
      <text>
        <r>
          <rPr>
            <b/>
            <sz val="9"/>
            <rFont val="Tahoma"/>
            <family val="2"/>
          </rPr>
          <t xml:space="preserve">Author1:
Source Estimates </t>
        </r>
      </text>
    </comment>
    <comment ref="BQ183" authorId="0" shapeId="0" xr:uid="{00000000-0006-0000-0100-0000EA000000}">
      <text>
        <r>
          <rPr>
            <b/>
            <sz val="9"/>
            <rFont val="Tahoma"/>
            <family val="2"/>
          </rPr>
          <t xml:space="preserve">Author1:
Source Estimates </t>
        </r>
      </text>
    </comment>
    <comment ref="AK243" authorId="0" shapeId="0" xr:uid="{00000000-0006-0000-0100-0000EB000000}">
      <text>
        <r>
          <rPr>
            <b/>
            <sz val="9"/>
            <rFont val="Tahoma"/>
            <family val="2"/>
          </rPr>
          <t>Author1: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L243" authorId="0" shapeId="0" xr:uid="{00000000-0006-0000-0100-0000EC000000}">
      <text>
        <r>
          <rPr>
            <b/>
            <sz val="9"/>
            <rFont val="Tahoma"/>
            <family val="2"/>
          </rPr>
          <t>Author1: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M243" authorId="0" shapeId="0" xr:uid="{00000000-0006-0000-0100-0000ED000000}">
      <text>
        <r>
          <rPr>
            <b/>
            <sz val="9"/>
            <rFont val="Tahoma"/>
            <family val="2"/>
          </rPr>
          <t>Author1: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247" authorId="0" shapeId="0" xr:uid="{00000000-0006-0000-0100-0000EF000000}">
      <text>
        <r>
          <rPr>
            <b/>
            <sz val="9"/>
            <rFont val="Tahoma"/>
            <family val="2"/>
          </rPr>
          <t>Author1:
Reconciliation of other charges/additions to content library base.</t>
        </r>
      </text>
    </comment>
    <comment ref="AJ253" authorId="0" shapeId="0" xr:uid="{00000000-0006-0000-0100-0000F1000000}">
      <text>
        <r>
          <rPr>
            <b/>
            <sz val="9"/>
            <rFont val="Tahoma"/>
            <family val="2"/>
          </rPr>
          <t>Author1:
assume DVD amortization is combined into produced content amortization in FY2019's 10-K report</t>
        </r>
      </text>
    </comment>
    <comment ref="AT258" authorId="0" shapeId="0" xr:uid="{00000000-0006-0000-0100-0000F3000000}">
      <text>
        <r>
          <rPr>
            <b/>
            <sz val="9"/>
            <rFont val="Tahoma"/>
            <family val="2"/>
          </rPr>
          <t>Author1:</t>
        </r>
        <r>
          <rPr>
            <sz val="9"/>
            <rFont val="Tahoma"/>
            <family val="2"/>
          </rPr>
          <t xml:space="preserve">
Backfilled using FY2022 PR. Not reported in original filings.</t>
        </r>
      </text>
    </comment>
    <comment ref="AY258" authorId="0" shapeId="0" xr:uid="{00000000-0006-0000-0100-0000F4000000}">
      <text>
        <r>
          <rPr>
            <b/>
            <sz val="9"/>
            <rFont val="Tahoma"/>
            <family val="2"/>
          </rPr>
          <t>Author1:</t>
        </r>
        <r>
          <rPr>
            <sz val="9"/>
            <rFont val="Tahoma"/>
            <family val="2"/>
          </rPr>
          <t xml:space="preserve">
Backfilled using FY2022 PR. Not reported in original filings.</t>
        </r>
      </text>
    </comment>
    <comment ref="BB316" authorId="0" shapeId="0" xr:uid="{00000000-0006-0000-0100-0000F6000000}">
      <text>
        <r>
          <rPr>
            <b/>
            <sz val="9"/>
            <rFont val="Tahoma"/>
            <family val="2"/>
            <charset val="1"/>
          </rPr>
          <t>Author1:
Reported as 24,214</t>
        </r>
      </text>
    </comment>
    <comment ref="BG316" authorId="0" shapeId="0" xr:uid="{00000000-0006-0000-0100-0000F7000000}">
      <text>
        <r>
          <rPr>
            <b/>
            <sz val="9"/>
            <rFont val="Tahoma"/>
            <family val="2"/>
            <charset val="1"/>
          </rPr>
          <t>Author1:
Reported as 24,823</t>
        </r>
      </text>
    </comment>
    <comment ref="BB320" authorId="0" shapeId="0" xr:uid="{00000000-0006-0000-0100-0000F9000000}">
      <text>
        <r>
          <rPr>
            <b/>
            <sz val="9"/>
            <rFont val="Tahoma"/>
            <family val="2"/>
            <charset val="1"/>
          </rPr>
          <t>Author1:
Reported as 18,773</t>
        </r>
      </text>
    </comment>
    <comment ref="BD320" authorId="0" shapeId="0" xr:uid="{00000000-0006-0000-0100-0000FA000000}">
      <text>
        <r>
          <rPr>
            <b/>
            <sz val="9"/>
            <rFont val="Tahoma"/>
            <family val="2"/>
            <charset val="1"/>
          </rPr>
          <t>Author1:
Reported as 26,196</t>
        </r>
      </text>
    </comment>
    <comment ref="BF320" authorId="0" shapeId="0" xr:uid="{00000000-0006-0000-0100-0000FB000000}">
      <text>
        <r>
          <rPr>
            <b/>
            <sz val="9"/>
            <rFont val="Tahoma"/>
            <family val="2"/>
            <charset val="1"/>
          </rPr>
          <t>Author1:
Reported as 12,796</t>
        </r>
      </text>
    </comment>
    <comment ref="BI320" authorId="0" shapeId="0" xr:uid="{00000000-0006-0000-0100-0000FC000000}">
      <text>
        <r>
          <rPr>
            <b/>
            <sz val="9"/>
            <rFont val="Tahoma"/>
            <family val="2"/>
          </rPr>
          <t>Author1:</t>
        </r>
        <r>
          <rPr>
            <sz val="9"/>
            <rFont val="Tahoma"/>
            <family val="2"/>
          </rPr>
          <t xml:space="preserve">
Reported as 26,768</t>
        </r>
      </text>
    </comment>
    <comment ref="BA322" authorId="0" shapeId="0" xr:uid="{00000000-0006-0000-0100-0000FD000000}">
      <text>
        <r>
          <rPr>
            <b/>
            <sz val="9"/>
            <rFont val="Tahoma"/>
            <family val="2"/>
          </rPr>
          <t>Author1:</t>
        </r>
        <r>
          <rPr>
            <sz val="9"/>
            <rFont val="Tahoma"/>
            <family val="2"/>
          </rPr>
          <t xml:space="preserve">
Reported as 3,636</t>
        </r>
      </text>
    </comment>
    <comment ref="BB322" authorId="0" shapeId="0" xr:uid="{00000000-0006-0000-0100-0000FE000000}">
      <text>
        <r>
          <rPr>
            <b/>
            <sz val="9"/>
            <rFont val="Tahoma"/>
            <family val="2"/>
          </rPr>
          <t>Author1:</t>
        </r>
        <r>
          <rPr>
            <sz val="9"/>
            <rFont val="Tahoma"/>
            <family val="2"/>
          </rPr>
          <t xml:space="preserve">
Reported as 5,441</t>
        </r>
      </text>
    </comment>
    <comment ref="BE322" authorId="0" shapeId="0" xr:uid="{00000000-0006-0000-0100-0000FF000000}">
      <text>
        <r>
          <rPr>
            <b/>
            <sz val="9"/>
            <rFont val="Tahoma"/>
            <family val="2"/>
          </rPr>
          <t>Author1:</t>
        </r>
        <r>
          <rPr>
            <sz val="9"/>
            <rFont val="Tahoma"/>
            <family val="2"/>
          </rPr>
          <t xml:space="preserve">
Reported as 1,704</t>
        </r>
      </text>
    </comment>
    <comment ref="BF322" authorId="0" shapeId="0" xr:uid="{00000000-0006-0000-0100-000000010000}">
      <text>
        <r>
          <rPr>
            <b/>
            <sz val="9"/>
            <rFont val="Tahoma"/>
            <family val="2"/>
          </rPr>
          <t>Author1:</t>
        </r>
        <r>
          <rPr>
            <sz val="9"/>
            <rFont val="Tahoma"/>
            <family val="2"/>
          </rPr>
          <t xml:space="preserve">
Reported as 3,517</t>
        </r>
      </text>
    </comment>
    <comment ref="BJ322" authorId="0" shapeId="0" xr:uid="{00000000-0006-0000-0100-000001010000}">
      <text>
        <r>
          <rPr>
            <b/>
            <sz val="9"/>
            <rFont val="Tahoma"/>
            <family val="2"/>
          </rPr>
          <t>Author1:</t>
        </r>
        <r>
          <rPr>
            <sz val="9"/>
            <rFont val="Tahoma"/>
            <family val="2"/>
          </rPr>
          <t xml:space="preserve">
Reported as 2,652.</t>
        </r>
      </text>
    </comment>
    <comment ref="BE324" authorId="0" shapeId="0" xr:uid="{00000000-0006-0000-0100-000003010000}">
      <text>
        <r>
          <rPr>
            <b/>
            <sz val="9"/>
            <rFont val="Tahoma"/>
            <family val="2"/>
          </rPr>
          <t>Author1:</t>
        </r>
        <r>
          <rPr>
            <sz val="9"/>
            <rFont val="Tahoma"/>
            <family val="2"/>
          </rPr>
          <t xml:space="preserve">
Reported as 3,517</t>
        </r>
      </text>
    </comment>
    <comment ref="BF324" authorId="0" shapeId="0" xr:uid="{00000000-0006-0000-0100-000004010000}">
      <text>
        <r>
          <rPr>
            <b/>
            <sz val="9"/>
            <rFont val="Tahoma"/>
            <family val="2"/>
          </rPr>
          <t>Author1:</t>
        </r>
        <r>
          <rPr>
            <sz val="9"/>
            <rFont val="Tahoma"/>
            <family val="2"/>
          </rPr>
          <t xml:space="preserve">
Reported as 3,517</t>
        </r>
      </text>
    </comment>
    <comment ref="BJ324" authorId="0" shapeId="0" xr:uid="{00000000-0006-0000-0100-000005010000}">
      <text>
        <r>
          <rPr>
            <b/>
            <sz val="9"/>
            <rFont val="Tahoma"/>
            <family val="2"/>
          </rPr>
          <t>Author1:</t>
        </r>
        <r>
          <rPr>
            <sz val="9"/>
            <rFont val="Tahoma"/>
            <family val="2"/>
          </rPr>
          <t xml:space="preserve">
Reported as 2,652.</t>
        </r>
      </text>
    </comment>
    <comment ref="BL324" authorId="0" shapeId="0" xr:uid="{00000000-0006-0000-0100-000006010000}">
      <text>
        <r>
          <rPr>
            <b/>
            <sz val="10"/>
            <rFont val="Tahoma"/>
            <family val="2"/>
          </rPr>
          <t>Author1:</t>
        </r>
        <r>
          <rPr>
            <sz val="10"/>
            <rFont val="Tahoma"/>
            <family val="2"/>
          </rPr>
          <t xml:space="preserve">
reported as 8,396</t>
        </r>
      </text>
    </comment>
    <comment ref="BN324" authorId="0" shapeId="0" xr:uid="{00000000-0006-0000-0100-000007010000}">
      <text>
        <r>
          <rPr>
            <b/>
            <sz val="9"/>
            <rFont val="Tahoma"/>
            <family val="2"/>
          </rPr>
          <t>Author1:</t>
        </r>
        <r>
          <rPr>
            <sz val="9"/>
            <rFont val="Tahoma"/>
            <family val="2"/>
          </rPr>
          <t xml:space="preserve">
Reported as 10,836</t>
        </r>
      </text>
    </comment>
    <comment ref="AX327" authorId="0" shapeId="0" xr:uid="{00000000-0006-0000-0100-000008010000}">
      <text>
        <r>
          <rPr>
            <b/>
            <sz val="9"/>
            <rFont val="Tahoma"/>
            <family val="2"/>
          </rPr>
          <t>Author1:
Stop reporting</t>
        </r>
      </text>
    </comment>
    <comment ref="AY327" authorId="0" shapeId="0" xr:uid="{00000000-0006-0000-0100-000009010000}">
      <text>
        <r>
          <rPr>
            <b/>
            <sz val="9"/>
            <rFont val="Tahoma"/>
            <family val="2"/>
          </rPr>
          <t>Author1:
Stop reporting</t>
        </r>
      </text>
    </comment>
    <comment ref="BL327" authorId="0" shapeId="0" xr:uid="{00000000-0006-0000-0100-00000A010000}">
      <text>
        <r>
          <rPr>
            <b/>
            <sz val="9"/>
            <rFont val="Tahoma"/>
            <family val="2"/>
          </rPr>
          <t>Author1:</t>
        </r>
        <r>
          <rPr>
            <sz val="9"/>
            <rFont val="Tahoma"/>
            <family val="2"/>
          </rPr>
          <t xml:space="preserve">
Not reported in shareholder letter</t>
        </r>
      </text>
    </comment>
    <comment ref="BH330" authorId="0" shapeId="0" xr:uid="{00000000-0006-0000-0100-00000B010000}">
      <text>
        <r>
          <rPr>
            <b/>
            <sz val="9"/>
            <rFont val="Tahoma"/>
            <family val="2"/>
          </rPr>
          <t>Author1:
Company0804/Product0189</t>
        </r>
      </text>
    </comment>
    <comment ref="BE332" authorId="0" shapeId="0" xr:uid="{00000000-0006-0000-0100-00000C010000}">
      <text>
        <r>
          <rPr>
            <b/>
            <sz val="9"/>
            <rFont val="Tahoma"/>
            <family val="2"/>
          </rPr>
          <t>Author1:
Company0804/Product0189</t>
        </r>
      </text>
    </comment>
    <comment ref="BG339" authorId="0" shapeId="0" xr:uid="{00000000-0006-0000-0100-00000D010000}">
      <text>
        <r>
          <rPr>
            <b/>
            <sz val="9"/>
            <rFont val="Tahoma"/>
            <family val="2"/>
          </rPr>
          <t>Author1:
Adjusted for rounding</t>
        </r>
      </text>
    </comment>
    <comment ref="BK339" authorId="0" shapeId="0" xr:uid="{00000000-0006-0000-0100-00000E010000}">
      <text>
        <r>
          <rPr>
            <b/>
            <sz val="9"/>
            <rFont val="Tahoma"/>
            <family val="2"/>
            <charset val="1"/>
          </rPr>
          <t>Author1:</t>
        </r>
        <r>
          <rPr>
            <sz val="9"/>
            <rFont val="Tahoma"/>
            <family val="2"/>
            <charset val="1"/>
          </rPr>
          <t xml:space="preserve">
reported as 6%, adjusted for rounding issue</t>
        </r>
      </text>
    </comment>
    <comment ref="AU340" authorId="0" shapeId="0" xr:uid="{00000000-0006-0000-0100-00000F010000}">
      <text>
        <r>
          <rPr>
            <b/>
            <sz val="9"/>
            <rFont val="Tahoma"/>
            <family val="2"/>
          </rPr>
          <t>Author1:
As of May 2021. Restated from Q1 2022 PR</t>
        </r>
      </text>
    </comment>
    <comment ref="AV340" authorId="0" shapeId="0" xr:uid="{00000000-0006-0000-0100-000010010000}">
      <text>
        <r>
          <rPr>
            <b/>
            <sz val="9"/>
            <rFont val="Tahoma"/>
            <family val="2"/>
          </rPr>
          <t>Author1:
reported as 27%</t>
        </r>
      </text>
    </comment>
    <comment ref="AZ340" authorId="0" shapeId="0" xr:uid="{00000000-0006-0000-0100-000011010000}">
      <text>
        <r>
          <rPr>
            <b/>
            <sz val="9"/>
            <rFont val="Tahoma"/>
            <family val="2"/>
          </rPr>
          <t>Author1:
As of Feb 2022</t>
        </r>
      </text>
    </comment>
    <comment ref="BG343" authorId="0" shapeId="0" xr:uid="{00000000-0006-0000-0100-000012010000}">
      <text>
        <r>
          <rPr>
            <b/>
            <sz val="9"/>
            <rFont val="Tahoma"/>
            <family val="2"/>
          </rPr>
          <t>Author1:
Adjusted for rounding</t>
        </r>
      </text>
    </comment>
    <comment ref="AI346" authorId="0" shapeId="0" xr:uid="{00000000-0006-0000-0100-000013010000}">
      <text>
        <r>
          <rPr>
            <b/>
            <sz val="9"/>
            <rFont val="Tahoma"/>
            <family val="2"/>
          </rPr>
          <t>Author1:
Not reported in PR - to be updated upon release of the 10-Q</t>
        </r>
      </text>
    </comment>
    <comment ref="BA349" authorId="0" shapeId="0" xr:uid="{00000000-0006-0000-0100-000015010000}">
      <text>
        <r>
          <rPr>
            <b/>
            <sz val="9"/>
            <rFont val="Tahoma"/>
            <family val="2"/>
          </rPr>
          <t>Author1:
Due to growth in average headcount and an increase in employee compensation</t>
        </r>
      </text>
    </comment>
    <comment ref="AV353" authorId="0" shapeId="0" xr:uid="{00000000-0006-0000-0100-000016010000}">
      <text>
        <r>
          <rPr>
            <b/>
            <sz val="9"/>
            <rFont val="Tahoma"/>
            <family val="2"/>
          </rPr>
          <t>Author1:
primarily due to expenses related to the COVID-19 pandemic and continued growth in our content production activities, coupled with an increase in payment processing fees</t>
        </r>
      </text>
    </comment>
    <comment ref="AW353" authorId="0" shapeId="0" xr:uid="{00000000-0006-0000-0100-000017010000}">
      <text>
        <r>
          <rPr>
            <b/>
            <sz val="9"/>
            <rFont val="Tahoma"/>
            <family val="2"/>
          </rPr>
          <t>Author1:
"Other costs of revenues increased $110 million primarily due to continued growth in our content production activities, coupled with an increase in payment processing fees driven by our growing member base. The decrease in cost of revenues as a percentage of revenues from 60% to 56% is primarily due to delays in content releases due to the COVID-19 pandemic, resulting in content amortization growing at a slower rate as compared to the growth in revenue."</t>
        </r>
      </text>
    </comment>
    <comment ref="AY353" authorId="0" shapeId="0" xr:uid="{00000000-0006-0000-0100-000018010000}">
      <text>
        <r>
          <rPr>
            <b/>
            <sz val="9"/>
            <rFont val="Tahoma"/>
            <family val="2"/>
          </rPr>
          <t>Author1:
Other costs of revenues increased $633 million, primarily due to the continued growth in our content production activities, coupled with an increase in expenses associated with streaming delivery costs and payment processing fees driven by our growing member base. T</t>
        </r>
      </text>
    </comment>
    <comment ref="BE353" authorId="0" shapeId="0" xr:uid="{00000000-0006-0000-0100-000019010000}">
      <text>
        <r>
          <rPr>
            <b/>
            <sz val="9"/>
            <rFont val="Tahoma"/>
            <family val="2"/>
          </rPr>
          <t>Author1:
Other content expenses</t>
        </r>
      </text>
    </comment>
    <comment ref="BG353" authorId="0" shapeId="0" xr:uid="{00000000-0006-0000-0100-00001A010000}">
      <text>
        <r>
          <rPr>
            <b/>
            <sz val="9"/>
            <rFont val="Tahoma"/>
            <family val="2"/>
          </rPr>
          <t>Author1:
Other content expenses</t>
        </r>
      </text>
    </comment>
    <comment ref="BQ353" authorId="0" shapeId="0" xr:uid="{00000000-0006-0000-0100-00001B010000}">
      <text>
        <r>
          <rPr>
            <b/>
            <sz val="9"/>
            <rFont val="Tahoma"/>
            <family val="2"/>
          </rPr>
          <t>Author1:</t>
        </r>
        <r>
          <rPr>
            <sz val="9"/>
            <rFont val="Tahoma"/>
            <family val="2"/>
          </rPr>
          <t xml:space="preserve">
the accrual of a loss of $619 million related to non-income tax assessments in Brazil</t>
        </r>
      </text>
    </comment>
    <comment ref="AZ354" authorId="0" shapeId="0" xr:uid="{00000000-0006-0000-0100-00001C010000}">
      <text>
        <r>
          <rPr>
            <b/>
            <sz val="9"/>
            <rFont val="Tahoma"/>
            <family val="2"/>
          </rPr>
          <t>Author1:
offset by a decrease in other costs of revenues</t>
        </r>
      </text>
    </comment>
    <comment ref="BF354" authorId="0" shapeId="0" xr:uid="{00000000-0006-0000-0100-00001D010000}">
      <text>
        <r>
          <rPr>
            <b/>
            <sz val="9"/>
            <rFont val="Tahoma"/>
            <family val="2"/>
          </rPr>
          <t>Author1:
remained relatively flat</t>
        </r>
      </text>
    </comment>
    <comment ref="BA358" authorId="0" shapeId="0" xr:uid="{00000000-0006-0000-0100-00001E010000}">
      <text>
        <r>
          <rPr>
            <b/>
            <sz val="9"/>
            <rFont val="Tahoma"/>
            <family val="2"/>
          </rPr>
          <t>Author1:
Due to growth in average headcount and an increase in employee compensation</t>
        </r>
      </text>
    </comment>
    <comment ref="BQ359" authorId="0" shapeId="0" xr:uid="{00000000-0006-0000-0100-00001F010000}">
      <text>
        <r>
          <rPr>
            <b/>
            <sz val="9"/>
            <rFont val="Tahoma"/>
            <family val="2"/>
          </rPr>
          <t>Author1:</t>
        </r>
        <r>
          <rPr>
            <sz val="9"/>
            <rFont val="Tahoma"/>
            <family val="2"/>
          </rPr>
          <t xml:space="preserve">
marketing expense</t>
        </r>
      </text>
    </comment>
    <comment ref="AO360" authorId="0" shapeId="0" xr:uid="{00000000-0006-0000-0100-000020010000}">
      <text>
        <r>
          <rPr>
            <b/>
            <sz val="9"/>
            <rFont val="Tahoma"/>
            <family val="2"/>
          </rPr>
          <t>Author1:
Not reported, estimated by text saying remaining value due to increased advertising expenses to partners</t>
        </r>
      </text>
    </comment>
    <comment ref="BF360" authorId="0" shapeId="0" xr:uid="{00000000-0006-0000-0100-000021010000}">
      <text>
        <r>
          <rPr>
            <b/>
            <sz val="9"/>
            <rFont val="Tahoma"/>
            <family val="2"/>
          </rPr>
          <t>Author1:
$88 million increase in advertising expenses $11 million decrease in payments to our marketing partners.</t>
        </r>
      </text>
    </comment>
    <comment ref="BG360" authorId="0" shapeId="0" xr:uid="{00000000-0006-0000-0100-000022010000}">
      <text>
        <r>
          <rPr>
            <b/>
            <sz val="9"/>
            <rFont val="Tahoma"/>
            <family val="2"/>
          </rPr>
          <t>Author1:
Due to a $37 million decrease in advertising expenses and an $8 million decrease in payments to our marketing partners.</t>
        </r>
      </text>
    </comment>
    <comment ref="BI360" authorId="0" shapeId="0" xr:uid="{00000000-0006-0000-0100-000023010000}">
      <text>
        <r>
          <rPr>
            <b/>
            <sz val="9"/>
            <rFont val="Tahoma"/>
            <family val="2"/>
          </rPr>
          <t>Author1:
primarily due to a $146 million increase in advertising expenses partially offset by a $39 million decrease in payments to our marketing partners.</t>
        </r>
      </text>
    </comment>
    <comment ref="BJ360" authorId="0" shapeId="0" xr:uid="{00000000-0006-0000-0100-000024010000}">
      <text>
        <r>
          <rPr>
            <b/>
            <sz val="9"/>
            <rFont val="Tahoma"/>
            <family val="2"/>
          </rPr>
          <t>Author1:
Only advertising expenses</t>
        </r>
      </text>
    </comment>
    <comment ref="BL360" authorId="0" shapeId="0" xr:uid="{00000000-0006-0000-0100-000025010000}">
      <text>
        <r>
          <rPr>
            <b/>
            <sz val="9"/>
            <rFont val="Tahoma"/>
            <family val="2"/>
          </rPr>
          <t>Author1:</t>
        </r>
        <r>
          <rPr>
            <sz val="9"/>
            <rFont val="Tahoma"/>
            <family val="2"/>
          </rPr>
          <t xml:space="preserve">
Only advertising expenses</t>
        </r>
      </text>
    </comment>
    <comment ref="BN360" authorId="0" shapeId="0" xr:uid="{00000000-0006-0000-0100-000026010000}">
      <text>
        <r>
          <rPr>
            <b/>
            <sz val="9"/>
            <rFont val="Tahoma"/>
            <family val="2"/>
            <charset val="1"/>
          </rPr>
          <t>Author1:</t>
        </r>
        <r>
          <rPr>
            <sz val="9"/>
            <rFont val="Tahoma"/>
            <family val="2"/>
            <charset val="1"/>
          </rPr>
          <t xml:space="preserve">
marketing expenses due to the timing of marketing spend on our content slate, coupled with an increase in expenses incurred in connection with our advertising offering, including increased payments to advertising sales partners and other advertising distribution expenses.</t>
        </r>
      </text>
    </comment>
    <comment ref="BS360" authorId="0" shapeId="0" xr:uid="{00000000-0006-0000-0100-000027010000}">
      <text>
        <r>
          <rPr>
            <b/>
            <sz val="9"/>
            <rFont val="Tahoma"/>
            <family val="2"/>
          </rPr>
          <t>Author1:</t>
        </r>
        <r>
          <rPr>
            <sz val="9"/>
            <rFont val="Tahoma"/>
            <family val="2"/>
          </rPr>
          <t xml:space="preserve">
marketing expenses</t>
        </r>
      </text>
    </comment>
    <comment ref="BA366" authorId="0" shapeId="0" xr:uid="{00000000-0006-0000-0100-000028010000}">
      <text>
        <r>
          <rPr>
            <b/>
            <sz val="9"/>
            <rFont val="Tahoma"/>
            <family val="2"/>
          </rPr>
          <t>Author1:
Primarily due to an increase in employee compensation coupled with growth in average headcount</t>
        </r>
      </text>
    </comment>
    <comment ref="BG368" authorId="0" shapeId="0" xr:uid="{00000000-0006-0000-0100-000029010000}">
      <text>
        <r>
          <rPr>
            <b/>
            <sz val="9"/>
            <rFont val="Tahoma"/>
            <family val="2"/>
          </rPr>
          <t>Author1:
Remained relatively flat</t>
        </r>
      </text>
    </comment>
    <comment ref="BI368" authorId="0" shapeId="0" xr:uid="{00000000-0006-0000-0100-00002A010000}">
      <text>
        <r>
          <rPr>
            <b/>
            <sz val="9"/>
            <rFont val="Tahoma"/>
            <family val="2"/>
          </rPr>
          <t>Author1:
Technology and development expenses for the year ended December 31, 2023 as compared to the year ended December 31, 2022 remained relatively flat</t>
        </r>
      </text>
    </comment>
    <comment ref="BJ368" authorId="0" shapeId="0" xr:uid="{00000000-0006-0000-0100-00002B010000}">
      <text>
        <r>
          <rPr>
            <b/>
            <sz val="9"/>
            <rFont val="Tahoma"/>
            <family val="2"/>
          </rPr>
          <t>Author1:
"Remained relatively flat"</t>
        </r>
      </text>
    </comment>
    <comment ref="BK368" authorId="0" shapeId="0" xr:uid="{00000000-0006-0000-0100-00002C010000}">
      <text>
        <r>
          <rPr>
            <b/>
            <sz val="9"/>
            <rFont val="Tahoma"/>
            <family val="2"/>
            <charset val="1"/>
          </rPr>
          <t>Author1:</t>
        </r>
        <r>
          <rPr>
            <sz val="9"/>
            <rFont val="Tahoma"/>
            <family val="2"/>
            <charset val="1"/>
          </rPr>
          <t xml:space="preserve">
coupled with an increase in infrastructure and general use computer hardware expenses.</t>
        </r>
      </text>
    </comment>
    <comment ref="BA372" authorId="0" shapeId="0" xr:uid="{00000000-0006-0000-0100-00002D010000}">
      <text>
        <r>
          <rPr>
            <b/>
            <sz val="9"/>
            <rFont val="Tahoma"/>
            <family val="2"/>
          </rPr>
          <t>Author1:
Due to growth in average headcount and an increase in employee compensation</t>
        </r>
      </text>
    </comment>
    <comment ref="BJ374" authorId="0" shapeId="0" xr:uid="{00000000-0006-0000-0100-00002E010000}">
      <text>
        <r>
          <rPr>
            <b/>
            <sz val="9"/>
            <rFont val="Tahoma"/>
            <family val="2"/>
          </rPr>
          <t>Author1:
"Remained relatively flat"</t>
        </r>
      </text>
    </comment>
    <comment ref="BK374" authorId="0" shapeId="0" xr:uid="{00000000-0006-0000-0100-00002F010000}">
      <text>
        <r>
          <rPr>
            <b/>
            <sz val="9"/>
            <rFont val="Tahoma"/>
            <family val="2"/>
            <charset val="1"/>
          </rPr>
          <t>Author1:</t>
        </r>
        <r>
          <rPr>
            <sz val="9"/>
            <rFont val="Tahoma"/>
            <family val="2"/>
            <charset val="1"/>
          </rPr>
          <t xml:space="preserve">
increased spend on other corporate expenses.</t>
        </r>
      </text>
    </comment>
    <comment ref="BN374" authorId="0" shapeId="0" xr:uid="{00000000-0006-0000-0100-000030010000}">
      <text>
        <r>
          <rPr>
            <b/>
            <sz val="9"/>
            <rFont val="Tahoma"/>
            <family val="2"/>
          </rPr>
          <t>Author1:
"Remained relatively flat"</t>
        </r>
      </text>
    </comment>
    <comment ref="AE380" authorId="0" shapeId="0" xr:uid="{00000000-0006-0000-0100-000031010000}">
      <text>
        <r>
          <rPr>
            <b/>
            <sz val="9"/>
            <rFont val="Tahoma"/>
            <family val="2"/>
          </rPr>
          <t>Author1:
from 2018's 10-K, post recategorize data</t>
        </r>
      </text>
    </comment>
    <comment ref="AJ380" authorId="0" shapeId="0" xr:uid="{00000000-0006-0000-0100-000032010000}">
      <text>
        <r>
          <rPr>
            <b/>
            <sz val="9"/>
            <rFont val="Tahoma"/>
            <family val="2"/>
          </rPr>
          <t>Author1:
from 2018's 10-K, post recategorize data</t>
        </r>
      </text>
    </comment>
    <comment ref="Z381" authorId="0" shapeId="0" xr:uid="{00000000-0006-0000-0100-000033010000}">
      <text>
        <r>
          <rPr>
            <b/>
            <sz val="9"/>
            <rFont val="Tahoma"/>
            <family val="2"/>
          </rPr>
          <t>Author1:
discrepancy is large for this period because segment data is updated with recategorize reported in 2018 10-K while COGS change data is from reports prior 2018 10-K</t>
        </r>
      </text>
    </comment>
    <comment ref="AA381" authorId="0" shapeId="0" xr:uid="{00000000-0006-0000-0100-000034010000}">
      <text>
        <r>
          <rPr>
            <b/>
            <sz val="9"/>
            <rFont val="Tahoma"/>
            <family val="2"/>
          </rPr>
          <t>Author1:
discrepancy is large for this period because segment data is updated with recategorize reported in 2018 10-K while COGS change data is from reports prior 2018 10-K</t>
        </r>
      </text>
    </comment>
    <comment ref="AB381" authorId="0" shapeId="0" xr:uid="{00000000-0006-0000-0100-000035010000}">
      <text>
        <r>
          <rPr>
            <b/>
            <sz val="9"/>
            <rFont val="Tahoma"/>
            <family val="2"/>
          </rPr>
          <t>Author1:
discrepancy is large for this period because segment data is updated with recategorize reported in 2018 10-K while COGS change data is from reports prior 2018 10-K</t>
        </r>
      </text>
    </comment>
    <comment ref="AC381" authorId="0" shapeId="0" xr:uid="{00000000-0006-0000-0100-000036010000}">
      <text>
        <r>
          <rPr>
            <b/>
            <sz val="9"/>
            <rFont val="Tahoma"/>
            <family val="2"/>
          </rPr>
          <t>Author1:
discrepancy is large for this period because segment data is updated with recategorize reported in 2018 10-K while COGS change data is from reports prior 2018 10-K</t>
        </r>
      </text>
    </comment>
    <comment ref="AD381" authorId="0" shapeId="0" xr:uid="{00000000-0006-0000-0100-000037010000}">
      <text>
        <r>
          <rPr>
            <b/>
            <sz val="9"/>
            <rFont val="Tahoma"/>
            <family val="2"/>
          </rPr>
          <t>Author1:
discrepancy is large for this period because segment data is updated with recategorize reported in 2018 10-K while COGS change data is from reports prior 2018 10-K</t>
        </r>
      </text>
    </comment>
    <comment ref="AF381" authorId="0" shapeId="0" xr:uid="{00000000-0006-0000-0100-000038010000}">
      <text>
        <r>
          <rPr>
            <b/>
            <sz val="9"/>
            <rFont val="Tahoma"/>
            <family val="2"/>
          </rPr>
          <t>Author1:
discrepancy is large for this period because segment data is updated with recategorize reported in 2018 10-K while COGS change data is from reports prior 2018 10-K</t>
        </r>
      </text>
    </comment>
    <comment ref="AG381" authorId="0" shapeId="0" xr:uid="{00000000-0006-0000-0100-000039010000}">
      <text>
        <r>
          <rPr>
            <b/>
            <sz val="9"/>
            <rFont val="Tahoma"/>
            <family val="2"/>
          </rPr>
          <t>Author1:
discrepancy is large for this period because segment data is updated with recategorize reported in 2018 10-K while COGS change data is from reports prior 2018 10-K</t>
        </r>
      </text>
    </comment>
    <comment ref="AH381" authorId="0" shapeId="0" xr:uid="{00000000-0006-0000-0100-00003A010000}">
      <text>
        <r>
          <rPr>
            <b/>
            <sz val="9"/>
            <rFont val="Tahoma"/>
            <family val="2"/>
          </rPr>
          <t>Author1:
discrepancy is large for this period because segment data is updated with recategorize reported in 2018 10-K while COGS change data is from reports prior 2018 10-K</t>
        </r>
      </text>
    </comment>
    <comment ref="AI381" authorId="0" shapeId="0" xr:uid="{00000000-0006-0000-0100-00003B010000}">
      <text>
        <r>
          <rPr>
            <b/>
            <sz val="9"/>
            <rFont val="Tahoma"/>
            <family val="2"/>
          </rPr>
          <t>Author1:
discrepancy is large for this period because segment data is updated with recategorize reported in 2018 10-K while COGS change data is from reports prior 2018 10-K</t>
        </r>
      </text>
    </comment>
    <comment ref="P386" authorId="0" shapeId="0" xr:uid="{00000000-0006-0000-0100-00003C010000}">
      <text>
        <r>
          <rPr>
            <b/>
            <sz val="9"/>
            <rFont val="Tahoma"/>
            <family val="2"/>
          </rPr>
          <t>Author1:
primarily streaming delivery</t>
        </r>
      </text>
    </comment>
    <comment ref="U386" authorId="0" shapeId="0" xr:uid="{00000000-0006-0000-0100-00003D010000}">
      <text>
        <r>
          <rPr>
            <b/>
            <sz val="9"/>
            <rFont val="Tahoma"/>
            <family val="2"/>
          </rPr>
          <t>Author1:
primarily streaming delivery</t>
        </r>
      </text>
    </comment>
    <comment ref="AE386" authorId="0" shapeId="0" xr:uid="{00000000-0006-0000-0100-00003E010000}">
      <text>
        <r>
          <rPr>
            <b/>
            <sz val="9"/>
            <rFont val="Tahoma"/>
            <family val="2"/>
          </rPr>
          <t>Author1:
from 2018's 10-K, post recategorize data</t>
        </r>
      </text>
    </comment>
    <comment ref="AJ386" authorId="0" shapeId="0" xr:uid="{00000000-0006-0000-0100-00003F010000}">
      <text>
        <r>
          <rPr>
            <b/>
            <sz val="9"/>
            <rFont val="Tahoma"/>
            <family val="2"/>
          </rPr>
          <t>Author1:
from 2018's 10-K, post recategorize data</t>
        </r>
      </text>
    </comment>
    <comment ref="AA387" authorId="0" shapeId="0" xr:uid="{00000000-0006-0000-0100-000040010000}">
      <text>
        <r>
          <rPr>
            <b/>
            <sz val="9"/>
            <rFont val="Tahoma"/>
            <family val="2"/>
          </rPr>
          <t>Author1:
discrepancy is large for this period because segment data is updated with recategorize reported in 2018 10-K while COGS change data is from reports prior 2018 10-K</t>
        </r>
      </text>
    </comment>
    <comment ref="AB387" authorId="0" shapeId="0" xr:uid="{00000000-0006-0000-0100-000041010000}">
      <text>
        <r>
          <rPr>
            <b/>
            <sz val="9"/>
            <rFont val="Tahoma"/>
            <family val="2"/>
          </rPr>
          <t>Author1:
discrepancy is large for this period because segment data is updated with recategorize reported in 2018 10-K while COGS change data is from reports prior 2018 10-K</t>
        </r>
      </text>
    </comment>
    <comment ref="AC387" authorId="0" shapeId="0" xr:uid="{00000000-0006-0000-0100-000042010000}">
      <text>
        <r>
          <rPr>
            <b/>
            <sz val="9"/>
            <rFont val="Tahoma"/>
            <family val="2"/>
          </rPr>
          <t>Author1:
discrepancy is large for this period because segment data is updated with recategorize reported in 2018 10-K while COGS change data is from reports prior 2018 10-K</t>
        </r>
      </text>
    </comment>
    <comment ref="AD387" authorId="0" shapeId="0" xr:uid="{00000000-0006-0000-0100-000043010000}">
      <text>
        <r>
          <rPr>
            <b/>
            <sz val="9"/>
            <rFont val="Tahoma"/>
            <family val="2"/>
          </rPr>
          <t>Author1:
discrepancy is large for this period because segment data is updated with recategorize reported in 2018 10-K while COGS change data is from reports prior 2018 10-K</t>
        </r>
      </text>
    </comment>
    <comment ref="AF387" authorId="0" shapeId="0" xr:uid="{00000000-0006-0000-0100-000044010000}">
      <text>
        <r>
          <rPr>
            <b/>
            <sz val="9"/>
            <rFont val="Tahoma"/>
            <family val="2"/>
          </rPr>
          <t>Author1:
discrepancy is large for this period because segment data is updated with recategorize reported in 2018 10-K while COGS change data is from reports prior 2018 10-K</t>
        </r>
      </text>
    </comment>
    <comment ref="AG387" authorId="0" shapeId="0" xr:uid="{00000000-0006-0000-0100-000045010000}">
      <text>
        <r>
          <rPr>
            <b/>
            <sz val="9"/>
            <rFont val="Tahoma"/>
            <family val="2"/>
          </rPr>
          <t>Author1:
discrepancy is large for this period because segment data is updated with recategorize reported in 2018 10-K while COGS change data is from reports prior 2018 10-K</t>
        </r>
      </text>
    </comment>
    <comment ref="AH387" authorId="0" shapeId="0" xr:uid="{00000000-0006-0000-0100-000046010000}">
      <text>
        <r>
          <rPr>
            <b/>
            <sz val="9"/>
            <rFont val="Tahoma"/>
            <family val="2"/>
          </rPr>
          <t>Author1:
discrepancy is large for this period because segment data is updated with recategorize reported in 2018 10-K while COGS change data is from reports prior 2018 10-Kdiscrepancy is large for this period because segment data is updated with recategorize reported in 2018 10-K while COGS change data is from reports prior 2018 10-K</t>
        </r>
      </text>
    </comment>
    <comment ref="AI387" authorId="0" shapeId="0" xr:uid="{00000000-0006-0000-0100-000047010000}">
      <text>
        <r>
          <rPr>
            <b/>
            <sz val="9"/>
            <rFont val="Tahoma"/>
            <family val="2"/>
          </rPr>
          <t>Author1:
discrepancy is large for this period because segment data is updated with recategorize reported in 2018 10-K while COGS change data is from reports prior 2018 10-K</t>
        </r>
      </text>
    </comment>
    <comment ref="AS437" authorId="0" shapeId="0" xr:uid="{00000000-0006-0000-0100-000048010000}">
      <text>
        <r>
          <rPr>
            <b/>
            <sz val="9"/>
            <rFont val="Tahoma"/>
            <family val="2"/>
          </rPr>
          <t>Author1:
Company did not reported Adjusted EBITDA for this period. Assume it use same walkthrough as historically used.</t>
        </r>
      </text>
    </comment>
    <comment ref="AU437" authorId="0" shapeId="0" xr:uid="{00000000-0006-0000-0100-000049010000}">
      <text>
        <r>
          <rPr>
            <b/>
            <sz val="9"/>
            <rFont val="Tahoma"/>
            <family val="2"/>
          </rPr>
          <t>Author1:
Company did not reported Adjusted EBITDA for this period. Assume it use same walkthrough as historically used.</t>
        </r>
      </text>
    </comment>
    <comment ref="AS438" authorId="0" shapeId="0" xr:uid="{00000000-0006-0000-0100-00004A010000}">
      <text>
        <r>
          <rPr>
            <b/>
            <sz val="9"/>
            <rFont val="Tahoma"/>
            <family val="2"/>
          </rPr>
          <t>Author1:
Company did not reported Adjusted EBITDA for this period. Assume it use same walkthrough as historically used.</t>
        </r>
      </text>
    </comment>
    <comment ref="AU438" authorId="0" shapeId="0" xr:uid="{00000000-0006-0000-0100-00004B010000}">
      <text>
        <r>
          <rPr>
            <b/>
            <sz val="9"/>
            <rFont val="Tahoma"/>
            <family val="2"/>
          </rPr>
          <t>Author1:
Company did not reported Adjusted EBITDA for this period. Assume it use same walkthrough as historically used.</t>
        </r>
      </text>
    </comment>
    <comment ref="AS439" authorId="0" shapeId="0" xr:uid="{00000000-0006-0000-0100-00004C010000}">
      <text>
        <r>
          <rPr>
            <b/>
            <sz val="9"/>
            <rFont val="Tahoma"/>
            <family val="2"/>
          </rPr>
          <t>Author1:
Company did not reported Adjusted EBITDA for this period. Assume it use same walkthrough as historically used.</t>
        </r>
      </text>
    </comment>
    <comment ref="AU439" authorId="0" shapeId="0" xr:uid="{00000000-0006-0000-0100-00004D010000}">
      <text>
        <r>
          <rPr>
            <b/>
            <sz val="9"/>
            <rFont val="Tahoma"/>
            <family val="2"/>
          </rPr>
          <t>Author1:
Company did not reported Adjusted EBITDA for this period. Assume it use same walkthrough as historically used.</t>
        </r>
      </text>
    </comment>
    <comment ref="AS440" authorId="0" shapeId="0" xr:uid="{00000000-0006-0000-0100-00004E010000}">
      <text>
        <r>
          <rPr>
            <b/>
            <sz val="9"/>
            <rFont val="Tahoma"/>
            <family val="2"/>
          </rPr>
          <t>Author1:
Company did not reported Adjusted EBITDA for this period. Assume it use same walkthrough as historically used.</t>
        </r>
      </text>
    </comment>
    <comment ref="AU440" authorId="0" shapeId="0" xr:uid="{00000000-0006-0000-0100-00004F010000}">
      <text>
        <r>
          <rPr>
            <b/>
            <sz val="9"/>
            <rFont val="Tahoma"/>
            <family val="2"/>
          </rPr>
          <t>Author1:
Company did not reported Adjusted EBITDA for this period. Assume it use same walkthrough as historically used.</t>
        </r>
      </text>
    </comment>
    <comment ref="C442" authorId="0" shapeId="0" xr:uid="{00000000-0006-0000-0100-000050010000}">
      <text>
        <r>
          <rPr>
            <b/>
            <sz val="9"/>
            <rFont val="Tahoma"/>
            <family val="2"/>
          </rPr>
          <t>Author1:
Estimated</t>
        </r>
      </text>
    </comment>
    <comment ref="D442" authorId="0" shapeId="0" xr:uid="{00000000-0006-0000-0100-000051010000}">
      <text>
        <r>
          <rPr>
            <b/>
            <sz val="9"/>
            <rFont val="Tahoma"/>
            <family val="2"/>
          </rPr>
          <t>Author1:
Estimated</t>
        </r>
      </text>
    </comment>
    <comment ref="E442" authorId="0" shapeId="0" xr:uid="{00000000-0006-0000-0100-000052010000}">
      <text>
        <r>
          <rPr>
            <b/>
            <sz val="9"/>
            <rFont val="Tahoma"/>
            <family val="2"/>
          </rPr>
          <t>Author1:
Estimated</t>
        </r>
      </text>
    </comment>
    <comment ref="F442" authorId="0" shapeId="0" xr:uid="{00000000-0006-0000-0100-000053010000}">
      <text>
        <r>
          <rPr>
            <b/>
            <sz val="9"/>
            <rFont val="Tahoma"/>
            <family val="2"/>
          </rPr>
          <t>Author1:
Estimated</t>
        </r>
      </text>
    </comment>
    <comment ref="G442" authorId="0" shapeId="0" xr:uid="{00000000-0006-0000-0100-000054010000}">
      <text>
        <r>
          <rPr>
            <b/>
            <sz val="9"/>
            <rFont val="Tahoma"/>
            <family val="2"/>
          </rPr>
          <t>Author1:
Estimated</t>
        </r>
      </text>
    </comment>
    <comment ref="H442" authorId="0" shapeId="0" xr:uid="{00000000-0006-0000-0100-000055010000}">
      <text>
        <r>
          <rPr>
            <b/>
            <sz val="9"/>
            <rFont val="Tahoma"/>
            <family val="2"/>
          </rPr>
          <t>Author1:
Estimated</t>
        </r>
      </text>
    </comment>
    <comment ref="I442" authorId="0" shapeId="0" xr:uid="{00000000-0006-0000-0100-000056010000}">
      <text>
        <r>
          <rPr>
            <b/>
            <sz val="9"/>
            <rFont val="Tahoma"/>
            <family val="2"/>
          </rPr>
          <t>Author1:
Estimated</t>
        </r>
      </text>
    </comment>
    <comment ref="J442" authorId="0" shapeId="0" xr:uid="{00000000-0006-0000-0100-000057010000}">
      <text>
        <r>
          <rPr>
            <b/>
            <sz val="9"/>
            <rFont val="Tahoma"/>
            <family val="2"/>
          </rPr>
          <t>Author1:
Estimated</t>
        </r>
      </text>
    </comment>
    <comment ref="K442" authorId="0" shapeId="0" xr:uid="{00000000-0006-0000-0100-000058010000}">
      <text>
        <r>
          <rPr>
            <b/>
            <sz val="9"/>
            <rFont val="Tahoma"/>
            <family val="2"/>
          </rPr>
          <t>Author1:
Estimated</t>
        </r>
      </text>
    </comment>
    <comment ref="L442" authorId="0" shapeId="0" xr:uid="{00000000-0006-0000-0100-000059010000}">
      <text>
        <r>
          <rPr>
            <b/>
            <sz val="9"/>
            <rFont val="Tahoma"/>
            <family val="2"/>
          </rPr>
          <t>Author1:
Estimated</t>
        </r>
      </text>
    </comment>
    <comment ref="R514" authorId="0" shapeId="0" xr:uid="{00000000-0006-0000-0100-00005A010000}">
      <text>
        <r>
          <rPr>
            <b/>
            <sz val="9"/>
            <rFont val="Tahoma"/>
            <family val="2"/>
          </rPr>
          <t>Author1:
All shares have been retroactively restated for all previous periods to reflect the seven-for-one stock split on July 14, 2015.</t>
        </r>
      </text>
    </comment>
    <comment ref="A526" authorId="0" shapeId="0" xr:uid="{00000000-0006-0000-0100-00005D010000}">
      <text>
        <r>
          <rPr>
            <b/>
            <sz val="9"/>
            <rFont val="Tahoma"/>
            <family val="2"/>
          </rPr>
          <t>Author1:
In periods where EPS is negative, this amount is calculated using the closest prior period where EPS was positive.</t>
        </r>
      </text>
    </comment>
    <comment ref="AX571" authorId="0" shapeId="0" xr:uid="{00000000-0006-0000-0100-00005E010000}">
      <text>
        <r>
          <rPr>
            <b/>
            <sz val="9"/>
            <rFont val="Tahoma"/>
            <family val="2"/>
          </rPr>
          <t>Author1:
No repurchases in this period</t>
        </r>
      </text>
    </comment>
    <comment ref="A769" authorId="0" shapeId="0" xr:uid="{00000000-0006-0000-0100-000060010000}">
      <text>
        <r>
          <rPr>
            <b/>
            <sz val="9"/>
            <rFont val="Tahoma"/>
            <family val="2"/>
          </rPr>
          <t>Author1:
Revolving credit facilities are expected to be paid back at maturity. Individual revolver repayments/drawdowns can be forecasted in the net repayment section but will entirely show up in this row (may show an issuance in this line of repayments)</t>
        </r>
      </text>
    </comment>
    <comment ref="A771" authorId="0" shapeId="0" xr:uid="{00000000-0006-0000-0100-000061010000}">
      <text>
        <r>
          <rPr>
            <b/>
            <sz val="9"/>
            <rFont val="Tahoma"/>
            <family val="2"/>
          </rPr>
          <t>Author1:
For forecasting, current notes and revolvers are forecasted to be repaid on their maturity dates. Individual revolver drawdowns can be forecasted in the net repayment section but will show up in this row</t>
        </r>
      </text>
    </comment>
    <comment ref="A772" authorId="0" shapeId="0" xr:uid="{00000000-0006-0000-0100-000062010000}">
      <text>
        <r>
          <rPr>
            <b/>
            <sz val="9"/>
            <rFont val="Tahoma"/>
            <family val="2"/>
          </rPr>
          <t>Author1:
Any issuances will flow into the revolving credit facilities in the order listed below. Any debt raised beyond this point will flow into "Additional credit facility required". If issuances are manually added in the net repayment section it will be added to the "debt repayment" line</t>
        </r>
      </text>
    </comment>
    <comment ref="AV788" authorId="0" shapeId="0" xr:uid="{00000000-0006-0000-0100-000063010000}">
      <text>
        <r>
          <rPr>
            <b/>
            <sz val="9"/>
            <rFont val="Tahoma"/>
            <family val="2"/>
          </rPr>
          <t>Author1:
On June 17, 2021, the Company amended its unsecured revolving credit facility ("Revolving Credit Agreement") to, among other things, extend the maturity date from March 29, 2024 to June 17, 2026 and to increase the size of the facility from $750 million to $1 billion.</t>
        </r>
      </text>
    </comment>
    <comment ref="BK788" authorId="0" shapeId="0" xr:uid="{00000000-0006-0000-0100-000064010000}">
      <text>
        <r>
          <rPr>
            <b/>
            <sz val="9"/>
            <rFont val="Tahoma"/>
            <family val="2"/>
          </rPr>
          <t>Author1:</t>
        </r>
        <r>
          <rPr>
            <sz val="9"/>
            <rFont val="Tahoma"/>
            <family val="2"/>
          </rPr>
          <t xml:space="preserve">
On April 12, 2024, the Company entered into a five-year, $3 billion unsecured revolving credit facility that matures on April 12, 2029 (the “Revolving Credit Agreement”), to replace its previous $1 billion unsecured revolving credit facility. As of June 30, 2024, no amounts have been borrowed under the Revolving Credit Agreement.</t>
        </r>
      </text>
    </comment>
    <comment ref="BN788" authorId="0" shapeId="0" xr:uid="{00000000-0006-0000-0100-000065010000}">
      <text>
        <r>
          <rPr>
            <b/>
            <sz val="9"/>
            <rFont val="Tahoma"/>
            <family val="2"/>
          </rPr>
          <t>Author1:</t>
        </r>
        <r>
          <rPr>
            <sz val="9"/>
            <rFont val="Tahoma"/>
            <family val="2"/>
          </rPr>
          <t xml:space="preserve">
In addition, the company has entered into a revolving credit agreement that provides for a $3 billion unsecured revolving credit facility. As of December 31, 2024, the company has not borrowed any amount under this revolving credit facility.</t>
        </r>
      </text>
    </comment>
    <comment ref="BO788" authorId="0" shapeId="0" xr:uid="{00000000-0006-0000-0100-000066010000}">
      <text>
        <r>
          <rPr>
            <b/>
            <sz val="9"/>
            <rFont val="Tahoma"/>
            <family val="2"/>
          </rPr>
          <t>Author1:</t>
        </r>
        <r>
          <rPr>
            <sz val="9"/>
            <rFont val="Tahoma"/>
            <family val="2"/>
          </rPr>
          <t xml:space="preserve">
As of March 31, 2025, no amounts had been borrowed under the $3 billion Revolving Credit Agreement. </t>
        </r>
      </text>
    </comment>
    <comment ref="BP788" authorId="0" shapeId="0" xr:uid="{00000000-0006-0000-0100-000067010000}">
      <text>
        <r>
          <rPr>
            <b/>
            <sz val="9"/>
            <rFont val="Tahoma"/>
            <family val="2"/>
            <charset val="1"/>
          </rPr>
          <t>Author1:</t>
        </r>
        <r>
          <rPr>
            <sz val="9"/>
            <rFont val="Tahoma"/>
            <family val="2"/>
            <charset val="1"/>
          </rPr>
          <t xml:space="preserve">
As of June 30, 2025, no amounts have been borrowed under the Revolving Credit Agreement</t>
        </r>
      </text>
    </comment>
    <comment ref="BQ788" authorId="0" shapeId="0" xr:uid="{00000000-0006-0000-0100-000068010000}">
      <text>
        <r>
          <rPr>
            <b/>
            <sz val="9"/>
            <rFont val="Tahoma"/>
            <family val="2"/>
          </rPr>
          <t>Author1:</t>
        </r>
        <r>
          <rPr>
            <sz val="9"/>
            <rFont val="Tahoma"/>
            <family val="2"/>
          </rPr>
          <t xml:space="preserve">
As of September 30, 2025, no amounts have been borrowed under the Revolving Credit Agreement</t>
        </r>
      </text>
    </comment>
    <comment ref="BS788" authorId="0" shapeId="0" xr:uid="{00000000-0006-0000-0100-000069010000}">
      <text>
        <r>
          <rPr>
            <b/>
            <sz val="9"/>
            <rFont val="Tahoma"/>
            <family val="2"/>
          </rPr>
          <t>Author1:</t>
        </r>
        <r>
          <rPr>
            <sz val="9"/>
            <rFont val="Tahoma"/>
            <family val="2"/>
          </rPr>
          <t xml:space="preserve">
As of December 31, 2025, no amounts have been borrowed under the Revolving Credit Agreement, Commercial Paper Program, Bridge Facility Commitments, or the Transaction Credit Facilities.</t>
        </r>
      </text>
    </comment>
    <comment ref="BT788" authorId="0" shapeId="0" xr:uid="{2B22FD94-0118-44AA-81C1-E1C8C0C60781}">
      <text>
        <r>
          <rPr>
            <b/>
            <sz val="9"/>
            <rFont val="Tahoma"/>
            <family val="2"/>
            <charset val="1"/>
          </rPr>
          <t>Author1:</t>
        </r>
        <r>
          <rPr>
            <sz val="9"/>
            <rFont val="Tahoma"/>
            <family val="2"/>
            <charset val="1"/>
          </rPr>
          <t xml:space="preserve">
As of March 31, 2026, no amounts have been borrowed under the Revolving Credit Agreement or the Commercial Paper Program.</t>
        </r>
      </text>
    </comment>
    <comment ref="AP802" authorId="0" shapeId="0" xr:uid="{00000000-0006-0000-0100-00006B010000}">
      <text>
        <r>
          <rPr>
            <b/>
            <sz val="9"/>
            <rFont val="Tahoma"/>
            <family val="2"/>
          </rPr>
          <t>Author1:
Based on estimates</t>
        </r>
      </text>
    </comment>
    <comment ref="AQ802" authorId="0" shapeId="0" xr:uid="{00000000-0006-0000-0100-00006C010000}">
      <text>
        <r>
          <rPr>
            <b/>
            <sz val="9"/>
            <rFont val="Tahoma"/>
            <family val="2"/>
          </rPr>
          <t>Author1:
Based on estimates</t>
        </r>
      </text>
    </comment>
    <comment ref="AR802" authorId="0" shapeId="0" xr:uid="{00000000-0006-0000-0100-00006D010000}">
      <text>
        <r>
          <rPr>
            <b/>
            <sz val="9"/>
            <rFont val="Tahoma"/>
            <family val="2"/>
          </rPr>
          <t>Author1:
Based on estimates</t>
        </r>
      </text>
    </comment>
    <comment ref="AS802" authorId="0" shapeId="0" xr:uid="{00000000-0006-0000-0100-00006E010000}">
      <text>
        <r>
          <rPr>
            <b/>
            <sz val="9"/>
            <rFont val="Tahoma"/>
            <family val="2"/>
          </rPr>
          <t>Author1:
Based on estimates</t>
        </r>
      </text>
    </comment>
    <comment ref="AU802" authorId="0" shapeId="0" xr:uid="{00000000-0006-0000-0100-00006F010000}">
      <text>
        <r>
          <rPr>
            <b/>
            <sz val="9"/>
            <rFont val="Tahoma"/>
            <family val="2"/>
          </rPr>
          <t>Author1:
Based on estimates</t>
        </r>
      </text>
    </comment>
    <comment ref="AV802" authorId="0" shapeId="0" xr:uid="{00000000-0006-0000-0100-000070010000}">
      <text>
        <r>
          <rPr>
            <b/>
            <sz val="9"/>
            <rFont val="Tahoma"/>
            <family val="2"/>
          </rPr>
          <t>Author1:
Based on estimates</t>
        </r>
      </text>
    </comment>
    <comment ref="AW802" authorId="0" shapeId="0" xr:uid="{00000000-0006-0000-0100-000071010000}">
      <text>
        <r>
          <rPr>
            <b/>
            <sz val="9"/>
            <rFont val="Tahoma"/>
            <family val="2"/>
          </rPr>
          <t>Author1:
Based on estimates</t>
        </r>
      </text>
    </comment>
    <comment ref="AX802" authorId="0" shapeId="0" xr:uid="{00000000-0006-0000-0100-000072010000}">
      <text>
        <r>
          <rPr>
            <b/>
            <sz val="9"/>
            <rFont val="Tahoma"/>
            <family val="2"/>
          </rPr>
          <t>Author1:
Based on estimates</t>
        </r>
      </text>
    </comment>
    <comment ref="AZ802" authorId="0" shapeId="0" xr:uid="{00000000-0006-0000-0100-000073010000}">
      <text>
        <r>
          <rPr>
            <b/>
            <sz val="9"/>
            <rFont val="Tahoma"/>
            <family val="2"/>
          </rPr>
          <t>Author1:
Based on estimates</t>
        </r>
      </text>
    </comment>
    <comment ref="BA802" authorId="0" shapeId="0" xr:uid="{00000000-0006-0000-0100-000074010000}">
      <text>
        <r>
          <rPr>
            <b/>
            <sz val="9"/>
            <rFont val="Tahoma"/>
            <family val="2"/>
          </rPr>
          <t>Author1:
Based on estimates</t>
        </r>
      </text>
    </comment>
    <comment ref="BB802" authorId="0" shapeId="0" xr:uid="{00000000-0006-0000-0100-000075010000}">
      <text>
        <r>
          <rPr>
            <b/>
            <sz val="9"/>
            <rFont val="Tahoma"/>
            <family val="2"/>
          </rPr>
          <t>Author1:
Based on estimates</t>
        </r>
      </text>
    </comment>
    <comment ref="BC802" authorId="0" shapeId="0" xr:uid="{00000000-0006-0000-0100-000076010000}">
      <text>
        <r>
          <rPr>
            <b/>
            <sz val="9"/>
            <rFont val="Tahoma"/>
            <family val="2"/>
          </rPr>
          <t>Author1:
Based on estimates</t>
        </r>
      </text>
    </comment>
    <comment ref="BE802" authorId="0" shapeId="0" xr:uid="{00000000-0006-0000-0100-000077010000}">
      <text>
        <r>
          <rPr>
            <b/>
            <sz val="9"/>
            <rFont val="Tahoma"/>
            <family val="2"/>
          </rPr>
          <t>Author1:
Based on estimates</t>
        </r>
      </text>
    </comment>
    <comment ref="BF802" authorId="0" shapeId="0" xr:uid="{00000000-0006-0000-0100-000078010000}">
      <text>
        <r>
          <rPr>
            <b/>
            <sz val="9"/>
            <rFont val="Tahoma"/>
            <family val="2"/>
          </rPr>
          <t>Author1:
Based on estimates</t>
        </r>
      </text>
    </comment>
    <comment ref="BG802" authorId="0" shapeId="0" xr:uid="{00000000-0006-0000-0100-000079010000}">
      <text>
        <r>
          <rPr>
            <b/>
            <sz val="9"/>
            <rFont val="Tahoma"/>
            <family val="2"/>
          </rPr>
          <t>Author1:
Based on estimates</t>
        </r>
      </text>
    </comment>
    <comment ref="BH802" authorId="0" shapeId="0" xr:uid="{00000000-0006-0000-0100-00007A010000}">
      <text>
        <r>
          <rPr>
            <b/>
            <sz val="9"/>
            <rFont val="Tahoma"/>
            <family val="2"/>
          </rPr>
          <t>Author1:
Based on estimates</t>
        </r>
      </text>
    </comment>
    <comment ref="BJ802" authorId="0" shapeId="0" xr:uid="{00000000-0006-0000-0100-00007B010000}">
      <text>
        <r>
          <rPr>
            <b/>
            <sz val="9"/>
            <rFont val="Tahoma"/>
            <family val="2"/>
          </rPr>
          <t>Author1:
Based on estimates</t>
        </r>
      </text>
    </comment>
    <comment ref="BK802" authorId="0" shapeId="0" xr:uid="{00000000-0006-0000-0100-00007C010000}">
      <text>
        <r>
          <rPr>
            <b/>
            <sz val="9"/>
            <rFont val="Tahoma"/>
            <family val="2"/>
          </rPr>
          <t>Author1:
Based on estimates</t>
        </r>
      </text>
    </comment>
    <comment ref="BL802" authorId="0" shapeId="0" xr:uid="{00000000-0006-0000-0100-00007D010000}">
      <text>
        <r>
          <rPr>
            <b/>
            <sz val="9"/>
            <rFont val="Tahoma"/>
            <family val="2"/>
          </rPr>
          <t>Author1:
Based on estimates</t>
        </r>
      </text>
    </comment>
    <comment ref="BM802" authorId="0" shapeId="0" xr:uid="{00000000-0006-0000-0100-00007E010000}">
      <text>
        <r>
          <rPr>
            <b/>
            <sz val="9"/>
            <rFont val="Tahoma"/>
            <family val="2"/>
          </rPr>
          <t>Author1:
Based on estimates</t>
        </r>
      </text>
    </comment>
    <comment ref="AP803" authorId="0" shapeId="0" xr:uid="{00000000-0006-0000-0100-00007F010000}">
      <text>
        <r>
          <rPr>
            <b/>
            <sz val="9"/>
            <rFont val="Tahoma"/>
            <family val="2"/>
          </rPr>
          <t>Author1:
Estimated; not reported</t>
        </r>
      </text>
    </comment>
    <comment ref="AQ803" authorId="0" shapeId="0" xr:uid="{00000000-0006-0000-0100-000080010000}">
      <text>
        <r>
          <rPr>
            <b/>
            <sz val="9"/>
            <rFont val="Tahoma"/>
            <family val="2"/>
          </rPr>
          <t>Author1:
Estimated; not reported</t>
        </r>
      </text>
    </comment>
    <comment ref="AR803" authorId="0" shapeId="0" xr:uid="{00000000-0006-0000-0100-000081010000}">
      <text>
        <r>
          <rPr>
            <b/>
            <sz val="9"/>
            <rFont val="Tahoma"/>
            <family val="2"/>
          </rPr>
          <t>Author1:
Estimated; not reported</t>
        </r>
      </text>
    </comment>
    <comment ref="AS803" authorId="0" shapeId="0" xr:uid="{00000000-0006-0000-0100-000082010000}">
      <text>
        <r>
          <rPr>
            <b/>
            <sz val="9"/>
            <rFont val="Tahoma"/>
            <family val="2"/>
          </rPr>
          <t>Author1:
Estimated; not reported</t>
        </r>
      </text>
    </comment>
    <comment ref="AU803" authorId="0" shapeId="0" xr:uid="{00000000-0006-0000-0100-000083010000}">
      <text>
        <r>
          <rPr>
            <b/>
            <sz val="9"/>
            <rFont val="Tahoma"/>
            <family val="2"/>
          </rPr>
          <t>Author1:
Estimated; not reported</t>
        </r>
      </text>
    </comment>
    <comment ref="AV803" authorId="0" shapeId="0" xr:uid="{00000000-0006-0000-0100-000084010000}">
      <text>
        <r>
          <rPr>
            <b/>
            <sz val="9"/>
            <rFont val="Tahoma"/>
            <family val="2"/>
          </rPr>
          <t>Author1:
Estimated; not reported</t>
        </r>
      </text>
    </comment>
    <comment ref="AW803" authorId="0" shapeId="0" xr:uid="{00000000-0006-0000-0100-000085010000}">
      <text>
        <r>
          <rPr>
            <b/>
            <sz val="9"/>
            <rFont val="Tahoma"/>
            <family val="2"/>
          </rPr>
          <t>Author1:
Estimated; not reported</t>
        </r>
      </text>
    </comment>
    <comment ref="AX803" authorId="0" shapeId="0" xr:uid="{00000000-0006-0000-0100-000086010000}">
      <text>
        <r>
          <rPr>
            <b/>
            <sz val="9"/>
            <rFont val="Tahoma"/>
            <family val="2"/>
          </rPr>
          <t>Author1:
Estimated; not reported</t>
        </r>
      </text>
    </comment>
    <comment ref="AZ803" authorId="0" shapeId="0" xr:uid="{00000000-0006-0000-0100-000087010000}">
      <text>
        <r>
          <rPr>
            <b/>
            <sz val="9"/>
            <rFont val="Tahoma"/>
            <family val="2"/>
          </rPr>
          <t>Author1:
Estimated; not reported</t>
        </r>
      </text>
    </comment>
    <comment ref="BA803" authorId="0" shapeId="0" xr:uid="{00000000-0006-0000-0100-000088010000}">
      <text>
        <r>
          <rPr>
            <b/>
            <sz val="9"/>
            <rFont val="Tahoma"/>
            <family val="2"/>
          </rPr>
          <t>Author1:
Estimated; not reported</t>
        </r>
      </text>
    </comment>
    <comment ref="BB803" authorId="0" shapeId="0" xr:uid="{00000000-0006-0000-0100-000089010000}">
      <text>
        <r>
          <rPr>
            <b/>
            <sz val="9"/>
            <rFont val="Tahoma"/>
            <family val="2"/>
          </rPr>
          <t>Author1:
Estimated; not reported</t>
        </r>
      </text>
    </comment>
    <comment ref="BC803" authorId="0" shapeId="0" xr:uid="{00000000-0006-0000-0100-00008A010000}">
      <text>
        <r>
          <rPr>
            <b/>
            <sz val="9"/>
            <rFont val="Tahoma"/>
            <family val="2"/>
          </rPr>
          <t>Author1:
Estimated; not reported</t>
        </r>
      </text>
    </comment>
    <comment ref="BE803" authorId="0" shapeId="0" xr:uid="{00000000-0006-0000-0100-00008B010000}">
      <text>
        <r>
          <rPr>
            <b/>
            <sz val="9"/>
            <rFont val="Tahoma"/>
            <family val="2"/>
          </rPr>
          <t>Author1:
Estimated; not reported</t>
        </r>
      </text>
    </comment>
    <comment ref="BF803" authorId="0" shapeId="0" xr:uid="{00000000-0006-0000-0100-00008C010000}">
      <text>
        <r>
          <rPr>
            <b/>
            <sz val="9"/>
            <rFont val="Tahoma"/>
            <family val="2"/>
          </rPr>
          <t>Author1:
Estimated; not reported</t>
        </r>
      </text>
    </comment>
    <comment ref="BG803" authorId="0" shapeId="0" xr:uid="{00000000-0006-0000-0100-00008D010000}">
      <text>
        <r>
          <rPr>
            <b/>
            <sz val="9"/>
            <rFont val="Tahoma"/>
            <family val="2"/>
          </rPr>
          <t>Author1:
Estimated; not reported</t>
        </r>
      </text>
    </comment>
    <comment ref="BH803" authorId="0" shapeId="0" xr:uid="{00000000-0006-0000-0100-00008E010000}">
      <text>
        <r>
          <rPr>
            <b/>
            <sz val="9"/>
            <rFont val="Tahoma"/>
            <family val="2"/>
          </rPr>
          <t>Author1:
Estimated; not reported</t>
        </r>
      </text>
    </comment>
    <comment ref="BJ803" authorId="0" shapeId="0" xr:uid="{00000000-0006-0000-0100-00008F010000}">
      <text>
        <r>
          <rPr>
            <b/>
            <sz val="9"/>
            <rFont val="Tahoma"/>
            <family val="2"/>
          </rPr>
          <t>Author1:
Estimated; not reported</t>
        </r>
      </text>
    </comment>
    <comment ref="BL803" authorId="0" shapeId="0" xr:uid="{00000000-0006-0000-0100-000090010000}">
      <text>
        <r>
          <rPr>
            <b/>
            <sz val="10"/>
            <rFont val="Tahoma"/>
            <family val="2"/>
          </rPr>
          <t>Author1:</t>
        </r>
        <r>
          <rPr>
            <sz val="10"/>
            <rFont val="Tahoma"/>
            <family val="2"/>
          </rPr>
          <t xml:space="preserve">
Estimated</t>
        </r>
      </text>
    </comment>
    <comment ref="BM803" authorId="0" shapeId="0" xr:uid="{00000000-0006-0000-0100-000091010000}">
      <text>
        <r>
          <rPr>
            <b/>
            <sz val="9"/>
            <rFont val="Tahoma"/>
            <family val="2"/>
          </rPr>
          <t>Author1:
Based on estimates</t>
        </r>
      </text>
    </comment>
    <comment ref="AP804" authorId="0" shapeId="0" xr:uid="{00000000-0006-0000-0100-000092010000}">
      <text>
        <r>
          <rPr>
            <b/>
            <sz val="9"/>
            <rFont val="Tahoma"/>
            <family val="2"/>
          </rPr>
          <t>Author1:
Estimated to match FY</t>
        </r>
      </text>
    </comment>
    <comment ref="AQ804" authorId="0" shapeId="0" xr:uid="{00000000-0006-0000-0100-000093010000}">
      <text>
        <r>
          <rPr>
            <b/>
            <sz val="9"/>
            <rFont val="Tahoma"/>
            <family val="2"/>
          </rPr>
          <t>Author1:
Estimated to match FY</t>
        </r>
      </text>
    </comment>
    <comment ref="AR804" authorId="0" shapeId="0" xr:uid="{00000000-0006-0000-0100-000094010000}">
      <text>
        <r>
          <rPr>
            <b/>
            <sz val="9"/>
            <rFont val="Tahoma"/>
            <family val="2"/>
          </rPr>
          <t>Author1:
Estimated to match FY</t>
        </r>
      </text>
    </comment>
    <comment ref="AU804" authorId="0" shapeId="0" xr:uid="{00000000-0006-0000-0100-000095010000}">
      <text>
        <r>
          <rPr>
            <b/>
            <sz val="9"/>
            <rFont val="Tahoma"/>
            <family val="2"/>
          </rPr>
          <t>Author1:
Estimated to match FY</t>
        </r>
      </text>
    </comment>
    <comment ref="AV804" authorId="0" shapeId="0" xr:uid="{00000000-0006-0000-0100-000096010000}">
      <text>
        <r>
          <rPr>
            <b/>
            <sz val="9"/>
            <rFont val="Tahoma"/>
            <family val="2"/>
          </rPr>
          <t>Author1:
Estimated to match FY</t>
        </r>
      </text>
    </comment>
    <comment ref="AW804" authorId="0" shapeId="0" xr:uid="{00000000-0006-0000-0100-000097010000}">
      <text>
        <r>
          <rPr>
            <b/>
            <sz val="9"/>
            <rFont val="Tahoma"/>
            <family val="2"/>
          </rPr>
          <t>Author1:
Estimated to match FY</t>
        </r>
      </text>
    </comment>
    <comment ref="AZ804" authorId="0" shapeId="0" xr:uid="{00000000-0006-0000-0100-000098010000}">
      <text>
        <r>
          <rPr>
            <b/>
            <sz val="9"/>
            <rFont val="Tahoma"/>
            <family val="2"/>
          </rPr>
          <t>Author1:
Estimated; not reported</t>
        </r>
      </text>
    </comment>
    <comment ref="BA804" authorId="0" shapeId="0" xr:uid="{00000000-0006-0000-0100-000099010000}">
      <text>
        <r>
          <rPr>
            <b/>
            <sz val="9"/>
            <rFont val="Tahoma"/>
            <family val="2"/>
          </rPr>
          <t>Author1:
Estimated; not reported</t>
        </r>
      </text>
    </comment>
    <comment ref="BB804" authorId="0" shapeId="0" xr:uid="{00000000-0006-0000-0100-00009A010000}">
      <text>
        <r>
          <rPr>
            <b/>
            <sz val="9"/>
            <rFont val="Tahoma"/>
            <family val="2"/>
          </rPr>
          <t>Author1:
Estimated; not reported</t>
        </r>
      </text>
    </comment>
    <comment ref="BE804" authorId="0" shapeId="0" xr:uid="{00000000-0006-0000-0100-00009B010000}">
      <text>
        <r>
          <rPr>
            <b/>
            <sz val="9"/>
            <rFont val="Tahoma"/>
            <family val="2"/>
          </rPr>
          <t>Author1:
Estimated</t>
        </r>
      </text>
    </comment>
    <comment ref="BF804" authorId="0" shapeId="0" xr:uid="{00000000-0006-0000-0100-00009C010000}">
      <text>
        <r>
          <rPr>
            <b/>
            <sz val="9"/>
            <rFont val="Tahoma"/>
            <family val="2"/>
          </rPr>
          <t>Author1:
Estimated</t>
        </r>
      </text>
    </comment>
    <comment ref="BG804" authorId="0" shapeId="0" xr:uid="{00000000-0006-0000-0100-00009D010000}">
      <text>
        <r>
          <rPr>
            <b/>
            <sz val="9"/>
            <rFont val="Tahoma"/>
            <family val="2"/>
          </rPr>
          <t>Author1:
Estimated</t>
        </r>
      </text>
    </comment>
    <comment ref="BJ804" authorId="0" shapeId="0" xr:uid="{00000000-0006-0000-0100-00009E010000}">
      <text>
        <r>
          <rPr>
            <b/>
            <sz val="9"/>
            <rFont val="Tahoma"/>
            <family val="2"/>
          </rPr>
          <t>Author1:
Estimated</t>
        </r>
      </text>
    </comment>
    <comment ref="BK804" authorId="0" shapeId="0" xr:uid="{00000000-0006-0000-0100-00009F010000}">
      <text>
        <r>
          <rPr>
            <b/>
            <sz val="9"/>
            <rFont val="Tahoma"/>
            <family val="2"/>
          </rPr>
          <t>Author1:</t>
        </r>
        <r>
          <rPr>
            <sz val="9"/>
            <rFont val="Tahoma"/>
            <family val="2"/>
          </rPr>
          <t xml:space="preserve">
estimated</t>
        </r>
      </text>
    </comment>
    <comment ref="BL804" authorId="0" shapeId="0" xr:uid="{00000000-0006-0000-0100-0000A0010000}">
      <text>
        <r>
          <rPr>
            <b/>
            <sz val="10"/>
            <rFont val="Tahoma"/>
            <family val="2"/>
          </rPr>
          <t>Author1:</t>
        </r>
        <r>
          <rPr>
            <sz val="10"/>
            <rFont val="Tahoma"/>
            <family val="2"/>
          </rPr>
          <t xml:space="preserve">
Estimated</t>
        </r>
      </text>
    </comment>
    <comment ref="BO804" authorId="0" shapeId="0" xr:uid="{00000000-0006-0000-0100-0000A1010000}">
      <text>
        <r>
          <rPr>
            <b/>
            <sz val="10"/>
            <rFont val="Tahoma"/>
            <family val="2"/>
          </rPr>
          <t>Author1:</t>
        </r>
        <r>
          <rPr>
            <sz val="10"/>
            <rFont val="Tahoma"/>
            <family val="2"/>
          </rPr>
          <t xml:space="preserve">
Estimated</t>
        </r>
      </text>
    </comment>
    <comment ref="BP804" authorId="0" shapeId="0" xr:uid="{00000000-0006-0000-0100-0000A2010000}">
      <text>
        <r>
          <rPr>
            <b/>
            <sz val="9"/>
            <rFont val="Tahoma"/>
            <family val="2"/>
          </rPr>
          <t>Author1:</t>
        </r>
        <r>
          <rPr>
            <sz val="9"/>
            <rFont val="Tahoma"/>
            <family val="2"/>
          </rPr>
          <t xml:space="preserve">
Estimated</t>
        </r>
      </text>
    </comment>
    <comment ref="BQ804" authorId="0" shapeId="0" xr:uid="{00000000-0006-0000-0100-0000A3010000}">
      <text>
        <r>
          <rPr>
            <b/>
            <sz val="9"/>
            <rFont val="Tahoma"/>
            <family val="2"/>
          </rPr>
          <t>Author1:</t>
        </r>
        <r>
          <rPr>
            <sz val="9"/>
            <rFont val="Tahoma"/>
            <family val="2"/>
          </rPr>
          <t xml:space="preserve">
Estimated</t>
        </r>
      </text>
    </comment>
    <comment ref="BT804" authorId="0" shapeId="0" xr:uid="{00000000-0006-0000-0100-0000A4010000}">
      <text>
        <r>
          <rPr>
            <b/>
            <sz val="9"/>
            <rFont val="Tahoma"/>
            <family val="2"/>
          </rPr>
          <t>Author1:</t>
        </r>
        <r>
          <rPr>
            <sz val="9"/>
            <rFont val="Tahoma"/>
            <family val="2"/>
          </rPr>
          <t xml:space="preserve">
Estimated</t>
        </r>
      </text>
    </comment>
    <comment ref="A806" authorId="0" shapeId="0" xr:uid="{00000000-0006-0000-0100-0000A5010000}">
      <text>
        <r>
          <rPr>
            <b/>
            <sz val="9"/>
            <rFont val="Tahoma"/>
            <family val="2"/>
          </rPr>
          <t>Author1:
Calculates the change in WC adjusted for items already accounted for above</t>
        </r>
      </text>
    </comment>
    <comment ref="A807" authorId="0" shapeId="0" xr:uid="{00000000-0006-0000-0100-0000A6010000}">
      <text>
        <r>
          <rPr>
            <b/>
            <sz val="9"/>
            <rFont val="Tahoma"/>
            <family val="2"/>
          </rPr>
          <t xml:space="preserve">Author1:
An adjusted Free Cash Flow has been calculated for credit purposes. </t>
        </r>
      </text>
    </comment>
    <comment ref="B810" authorId="0" shapeId="0" xr:uid="{00000000-0006-0000-0100-0000A8010000}">
      <text>
        <r>
          <rPr>
            <b/>
            <sz val="9"/>
            <rFont val="Tahoma"/>
            <family val="2"/>
          </rPr>
          <t>Author1:
On April 12, 2024, the Company entered into a five-year, $3 billion unsecured revolving credit facility that matures on April 12, 2029 (the “Revolving Credit Agreement”), to replace its previous $1 billion unsecured revolving credit facility.
On June 17, 2021, the Company amended its unsecured revolving credit facility ("Revolving Credit Agreement") to, among other things, extend the maturity date from March 29, 2024 to June 17, 2026 and to increase the size of the facility from $750 million to $1 billion.</t>
        </r>
      </text>
    </comment>
    <comment ref="BE810" authorId="0" shapeId="0" xr:uid="{00000000-0006-0000-0100-0000A9010000}">
      <text>
        <r>
          <rPr>
            <b/>
            <sz val="9"/>
            <rFont val="Tahoma"/>
            <family val="2"/>
          </rPr>
          <t>Author1:
As of March 31, 2023, no amounts have been borrowed under the Revolving Credit Agreement.</t>
        </r>
      </text>
    </comment>
    <comment ref="A834" authorId="0" shapeId="0" xr:uid="{00000000-0006-0000-0100-0000AA010000}">
      <text>
        <r>
          <rPr>
            <b/>
            <sz val="9"/>
            <rFont val="Tahoma"/>
            <family val="2"/>
          </rPr>
          <t>Author1:
Fictitious credit facility to be used for modelled issuance beyond existing facility capacity</t>
        </r>
      </text>
    </comment>
    <comment ref="BL836" authorId="0" shapeId="0" xr:uid="{00000000-0006-0000-0100-0000AB010000}">
      <text>
        <r>
          <rPr>
            <b/>
            <sz val="9"/>
            <rFont val="Tahoma"/>
            <family val="2"/>
          </rPr>
          <t>Author1:</t>
        </r>
        <r>
          <rPr>
            <sz val="9"/>
            <rFont val="Tahoma"/>
            <family val="2"/>
          </rPr>
          <t xml:space="preserve">
"$68 million of issuance costs and $6 million of discounts"</t>
        </r>
      </text>
    </comment>
    <comment ref="BN836" authorId="0" shapeId="0" xr:uid="{00000000-0006-0000-0100-0000AC010000}">
      <text>
        <r>
          <rPr>
            <b/>
            <sz val="9"/>
            <rFont val="Tahoma"/>
            <family val="2"/>
          </rPr>
          <t>Author1:</t>
        </r>
        <r>
          <rPr>
            <sz val="9"/>
            <rFont val="Tahoma"/>
            <family val="2"/>
          </rPr>
          <t xml:space="preserve">
As of December 31, 2024, the Company had aggregate outstanding notes of $15,583 million, net of $70 million of issuance costs and discounts, with varying maturities (the "Notes").</t>
        </r>
      </text>
    </comment>
    <comment ref="BO836" authorId="0" shapeId="0" xr:uid="{00000000-0006-0000-0100-0000AD010000}">
      <text>
        <r>
          <rPr>
            <b/>
            <sz val="9"/>
            <rFont val="Tahoma"/>
            <family val="2"/>
          </rPr>
          <t>Author1:</t>
        </r>
        <r>
          <rPr>
            <sz val="9"/>
            <rFont val="Tahoma"/>
            <family val="2"/>
          </rPr>
          <t xml:space="preserve">
As of March 31, 2025, the Company had aggregate outstanding notes of $15,017 million, net of $67 million of issuance costs and discounts, with varying maturities.</t>
        </r>
      </text>
    </comment>
    <comment ref="BQ836" authorId="0" shapeId="0" xr:uid="{00000000-0006-0000-0100-0000AE010000}">
      <text>
        <r>
          <rPr>
            <b/>
            <sz val="9"/>
            <rFont val="Tahoma"/>
            <family val="2"/>
            <charset val="1"/>
          </rPr>
          <t>Author1:</t>
        </r>
        <r>
          <rPr>
            <sz val="9"/>
            <rFont val="Tahoma"/>
            <family val="2"/>
            <charset val="1"/>
          </rPr>
          <t xml:space="preserve">
"As of September 30, 2025, the Company had aggregate outstanding long-term notes of $14,463 million, net of $59 million of issuance costs and discounts, with varying maturities " Adjusted 1mm for rounding. </t>
        </r>
      </text>
    </comment>
    <comment ref="A838" authorId="0" shapeId="0" xr:uid="{00000000-0006-0000-0100-0000B0010000}">
      <text>
        <r>
          <rPr>
            <b/>
            <sz val="9"/>
            <rFont val="Tahoma"/>
            <family val="2"/>
          </rPr>
          <t>Author1:
The final forecasted quarters of the model only include observable schedule repayments</t>
        </r>
      </text>
    </comment>
    <comment ref="A865" authorId="0" shapeId="0" xr:uid="{00000000-0006-0000-0100-0000B1010000}">
      <text>
        <r>
          <rPr>
            <b/>
            <sz val="9"/>
            <rFont val="Tahoma"/>
            <family val="2"/>
          </rPr>
          <t>Author1:
Fictitious credit facility to be used for modelled issuance beyond existing facility capacity</t>
        </r>
      </text>
    </comment>
    <comment ref="BW865" authorId="0" shapeId="0" xr:uid="{00000000-0006-0000-0100-0000B2010000}">
      <text>
        <r>
          <rPr>
            <b/>
            <sz val="9"/>
            <rFont val="Tahoma"/>
            <family val="2"/>
          </rPr>
          <t>Author1:
Assumes maturing debt roll over into additional credit facility</t>
        </r>
      </text>
    </comment>
    <comment ref="BX865" authorId="0" shapeId="0" xr:uid="{00000000-0006-0000-0100-0000B3010000}">
      <text>
        <r>
          <rPr>
            <b/>
            <sz val="9"/>
            <rFont val="Tahoma"/>
            <family val="2"/>
          </rPr>
          <t>Author1:
Assumes maturing debt roll over into additional credit facility</t>
        </r>
      </text>
    </comment>
    <comment ref="CC865" authorId="0" shapeId="0" xr:uid="{00000000-0006-0000-0100-0000B4010000}">
      <text>
        <r>
          <rPr>
            <b/>
            <sz val="9"/>
            <rFont val="Tahoma"/>
            <family val="2"/>
          </rPr>
          <t>Author1:
Assumes maturing debt roll over into additional credit facility</t>
        </r>
      </text>
    </comment>
    <comment ref="CD865" authorId="0" shapeId="0" xr:uid="{00000000-0006-0000-0100-0000B5010000}">
      <text>
        <r>
          <rPr>
            <b/>
            <sz val="9"/>
            <rFont val="Tahoma"/>
            <family val="2"/>
          </rPr>
          <t>Author1:
Assumes maturing debt roll over into additional credit facility</t>
        </r>
      </text>
    </comment>
    <comment ref="CE865" authorId="0" shapeId="0" xr:uid="{00000000-0006-0000-0100-0000B6010000}">
      <text>
        <r>
          <rPr>
            <b/>
            <sz val="9"/>
            <rFont val="Tahoma"/>
            <family val="2"/>
          </rPr>
          <t>Author1:
Assumes maturing debt roll over into additional credit facility</t>
        </r>
      </text>
    </comment>
    <comment ref="A866" authorId="0" shapeId="0" xr:uid="{00000000-0006-0000-0100-0000B7010000}">
      <text>
        <r>
          <rPr>
            <b/>
            <sz val="9"/>
            <rFont val="Tahoma"/>
            <family val="2"/>
          </rPr>
          <t>Author1:
In the forward periods, only repayments are forecasted. An issuance on an individual revolver basis can also be forecasted here</t>
        </r>
      </text>
    </comment>
    <comment ref="B868" authorId="0" shapeId="0" xr:uid="{00000000-0006-0000-0100-0000B8010000}">
      <text>
        <r>
          <rPr>
            <b/>
            <sz val="9"/>
            <rFont val="Tahoma"/>
            <family val="2"/>
          </rPr>
          <t xml:space="preserve">Author1:
Revolving Credit Agreement, dated as of April 12, 2024 not available. Assuming the same commitment fee as before
The borrowings under the Revolving Credit Agreement bear interest, at the Company’s option, of either (i) a floating rate equal to a base rate (the “Alternate Base Rate”) or (ii) a rate equal to an adjusted London interbank offered rate (the “Adjusted LIBO Rate”), plus a margin of 0.75%. The Alternate Base Rate is defined as the greatest of (A) the rate of interest published by the Wall Street Journal, from time to time, as the prime rate, (B) the federal funds rate, plus 0.500% and (C) the Adjusted LIBO Rate for a one-month interest period, plus 1.00%. The Company is also obligated to pay a commitment fee on the undrawn amounts of the Revolving Credit Agreement at an annual rate of 0.10%. </t>
        </r>
      </text>
    </comment>
    <comment ref="A870" authorId="0" shapeId="0" xr:uid="{00000000-0006-0000-0100-0000B9010000}">
      <text>
        <r>
          <rPr>
            <b/>
            <sz val="9"/>
            <rFont val="Tahoma"/>
            <family val="2"/>
          </rPr>
          <t xml:space="preserve">Author1:
Dated as of April 12, 2024,The borrowings under the Revolving Credit Agreement bear interest, at the Company’s option, of either (i) a floating rate per annum equal to a base rate (the “Alternate Base Rate”) plus an applicable margin or (ii) a per annum rate equal to an adjusted term SOFR rate (the “Adjusted Term SOFR Rate”) plus an applicable margin. The applicable margin for Alternate Base Rate loans will range from 0.00% to 0.25%, and the applicable margin for Adjusted Term SOFR Rate loans will range from 0.75% to 1.25%, each based on the Company’s credit ratings </t>
        </r>
      </text>
    </comment>
    <comment ref="AQ875" authorId="0" shapeId="0" xr:uid="{00000000-0006-0000-0100-0000BA010000}">
      <text>
        <r>
          <rPr>
            <b/>
            <sz val="9"/>
            <rFont val="Tahoma"/>
            <family val="2"/>
          </rPr>
          <t>Author1:
Adjusted for timing on issuance on Apr-28</t>
        </r>
      </text>
    </comment>
    <comment ref="AQ876" authorId="0" shapeId="0" xr:uid="{00000000-0006-0000-0100-0000BB010000}">
      <text>
        <r>
          <rPr>
            <b/>
            <sz val="9"/>
            <rFont val="Tahoma"/>
            <family val="2"/>
          </rPr>
          <t>Author1:
Adjusted for timing on issuance on Apr-28</t>
        </r>
      </text>
    </comment>
    <comment ref="AQ877" authorId="0" shapeId="0" xr:uid="{00000000-0006-0000-0100-0000BC010000}">
      <text>
        <r>
          <rPr>
            <b/>
            <sz val="9"/>
            <rFont val="Tahoma"/>
            <family val="2"/>
          </rPr>
          <t>Author1:
Adjusted for timing on issuance on Apr-28</t>
        </r>
      </text>
    </comment>
    <comment ref="A894" authorId="0" shapeId="0" xr:uid="{00000000-0006-0000-0100-0000BD010000}">
      <text>
        <r>
          <rPr>
            <b/>
            <sz val="9"/>
            <rFont val="Tahoma"/>
            <family val="2"/>
          </rPr>
          <t>Author1:
Fictitious credit facility to be used for modelled issuance beyond existing facility capacity</t>
        </r>
      </text>
    </comment>
    <comment ref="A895" authorId="0" shapeId="0" xr:uid="{00000000-0006-0000-0100-0000BE010000}">
      <text>
        <r>
          <rPr>
            <b/>
            <sz val="9"/>
            <rFont val="Tahoma"/>
            <family val="2"/>
          </rPr>
          <t>Author1:
Interest rate for created facility - solely to be used for issuances beyond existing facilities</t>
        </r>
      </text>
    </comment>
    <comment ref="A898" authorId="0" shapeId="0" xr:uid="{00000000-0006-0000-0100-0000BF010000}">
      <text>
        <r>
          <rPr>
            <b/>
            <sz val="9"/>
            <rFont val="Tahoma"/>
            <family val="2"/>
          </rPr>
          <t>Author1:
Rate per annum equal to the greatest of (i) the Prime Rate in effect on such day, (ii) the Federal Funds Effective Rate in effect on such day plus ½ of 1% and (iii) the sum of (a) the Adjusted LIBO Rate that would be payable on such day for a Eurodollar Borrowing with a one-month interest period plus (b) 1.00%. If the Administrative Agent shall have determined (which determination shall be conclusive absent manifest error) that it is unable to ascertain the Federal Funds Effective Rate for any reason, including the inability or failure of the Administrative Agent to obtain sufficient quotations in accordance with the terms of the definition thereof, the Alternate Base Rate shall be determined without regard to clause (ii) of the preceding sentence until the circumstances giving rise to such inability no longer exist. Any change in the Alternate Base Rate due to a change in the Prime Rate, the Federal Funds Effective Rate or the Adjusted LIBO Rate shall be effective on the effective day of such change in the Prime Rate, the Federal Funds Effective Rate or the Adjusted LIBO Rate, respectively.</t>
        </r>
      </text>
    </comment>
    <comment ref="AS906" authorId="0" shapeId="0" xr:uid="{00000000-0006-0000-0100-0000C0010000}">
      <text>
        <r>
          <rPr>
            <b/>
            <sz val="9"/>
            <rFont val="Tahoma"/>
            <family val="2"/>
          </rPr>
          <t>Author1:
Adjusted to include accrued interest from Apr-28 to Jun-15</t>
        </r>
      </text>
    </comment>
    <comment ref="AS907" authorId="0" shapeId="0" xr:uid="{00000000-0006-0000-0100-0000C1010000}">
      <text>
        <r>
          <rPr>
            <b/>
            <sz val="9"/>
            <rFont val="Tahoma"/>
            <family val="2"/>
          </rPr>
          <t>Author1:
Adjusted to include accrued interest from Apr-28 to Jun-15</t>
        </r>
      </text>
    </comment>
    <comment ref="AS908" authorId="0" shapeId="0" xr:uid="{00000000-0006-0000-0100-0000C2010000}">
      <text>
        <r>
          <rPr>
            <b/>
            <sz val="9"/>
            <rFont val="Tahoma"/>
            <family val="2"/>
          </rPr>
          <t>Author1:
Adjusted to include accrued interest from Apr-28 to Jun-15</t>
        </r>
      </text>
    </comment>
    <comment ref="A925" authorId="0" shapeId="0" xr:uid="{00000000-0006-0000-0100-0000C3010000}">
      <text>
        <r>
          <rPr>
            <b/>
            <sz val="9"/>
            <rFont val="Tahoma"/>
            <family val="2"/>
          </rPr>
          <t>Author1:
Fictitious credit facility to be used for modelled issuance beyond existing facility capacity</t>
        </r>
      </text>
    </comment>
    <comment ref="AP927" authorId="0" shapeId="0" xr:uid="{00000000-0006-0000-0100-0000C4010000}">
      <text>
        <r>
          <rPr>
            <b/>
            <sz val="9"/>
            <rFont val="Tahoma"/>
            <family val="2"/>
          </rPr>
          <t>Author1:
Estimated to be spread evenly across quarters</t>
        </r>
      </text>
    </comment>
    <comment ref="AQ927" authorId="0" shapeId="0" xr:uid="{00000000-0006-0000-0100-0000C5010000}">
      <text>
        <r>
          <rPr>
            <b/>
            <sz val="9"/>
            <rFont val="Tahoma"/>
            <family val="2"/>
          </rPr>
          <t>Author1:
Estimated to be spread evenly across quarters</t>
        </r>
      </text>
    </comment>
    <comment ref="AR927" authorId="0" shapeId="0" xr:uid="{00000000-0006-0000-0100-0000C6010000}">
      <text>
        <r>
          <rPr>
            <b/>
            <sz val="9"/>
            <rFont val="Tahoma"/>
            <family val="2"/>
          </rPr>
          <t>Author1:
Estimated to be spread evenly across quarters</t>
        </r>
      </text>
    </comment>
    <comment ref="AS927" authorId="0" shapeId="0" xr:uid="{00000000-0006-0000-0100-0000C7010000}">
      <text>
        <r>
          <rPr>
            <b/>
            <sz val="9"/>
            <rFont val="Tahoma"/>
            <family val="2"/>
          </rPr>
          <t>Author1:
Backed out</t>
        </r>
      </text>
    </comment>
    <comment ref="AU927" authorId="0" shapeId="0" xr:uid="{00000000-0006-0000-0100-0000C8010000}">
      <text>
        <r>
          <rPr>
            <b/>
            <sz val="9"/>
            <rFont val="Tahoma"/>
            <family val="2"/>
          </rPr>
          <t>Author1:
Estimated to be spread evenly across quarters</t>
        </r>
      </text>
    </comment>
    <comment ref="AV927" authorId="0" shapeId="0" xr:uid="{00000000-0006-0000-0100-0000C9010000}">
      <text>
        <r>
          <rPr>
            <b/>
            <sz val="9"/>
            <rFont val="Tahoma"/>
            <family val="2"/>
          </rPr>
          <t>Author1:
Estimated to be spread evenly across quarters</t>
        </r>
      </text>
    </comment>
    <comment ref="AW927" authorId="0" shapeId="0" xr:uid="{00000000-0006-0000-0100-0000CA010000}">
      <text>
        <r>
          <rPr>
            <b/>
            <sz val="9"/>
            <rFont val="Tahoma"/>
            <family val="2"/>
          </rPr>
          <t>Author1:
Estimated to be spread evenly across quarters</t>
        </r>
      </text>
    </comment>
    <comment ref="AX927" authorId="0" shapeId="0" xr:uid="{00000000-0006-0000-0100-0000CB010000}">
      <text>
        <r>
          <rPr>
            <b/>
            <sz val="9"/>
            <rFont val="Tahoma"/>
            <family val="2"/>
          </rPr>
          <t>Author1:
Backed out</t>
        </r>
      </text>
    </comment>
    <comment ref="AZ927" authorId="0" shapeId="0" xr:uid="{00000000-0006-0000-0100-0000CC010000}">
      <text>
        <r>
          <rPr>
            <b/>
            <sz val="9"/>
            <rFont val="Tahoma"/>
            <family val="2"/>
          </rPr>
          <t>Author1:
Estimated; not reported</t>
        </r>
      </text>
    </comment>
    <comment ref="BA927" authorId="0" shapeId="0" xr:uid="{00000000-0006-0000-0100-0000CD010000}">
      <text>
        <r>
          <rPr>
            <b/>
            <sz val="9"/>
            <rFont val="Tahoma"/>
            <family val="2"/>
          </rPr>
          <t>Author1:
Estimated; not reported</t>
        </r>
      </text>
    </comment>
    <comment ref="BB927" authorId="0" shapeId="0" xr:uid="{00000000-0006-0000-0100-0000CE010000}">
      <text>
        <r>
          <rPr>
            <b/>
            <sz val="9"/>
            <rFont val="Tahoma"/>
            <family val="2"/>
          </rPr>
          <t>Author1:
Estimated; not reported</t>
        </r>
      </text>
    </comment>
    <comment ref="BC927" authorId="0" shapeId="0" xr:uid="{00000000-0006-0000-0100-0000CF010000}">
      <text>
        <r>
          <rPr>
            <b/>
            <sz val="9"/>
            <rFont val="Tahoma"/>
            <family val="2"/>
          </rPr>
          <t>Author1:
Backed out</t>
        </r>
      </text>
    </comment>
    <comment ref="BE927" authorId="0" shapeId="0" xr:uid="{00000000-0006-0000-0100-0000D0010000}">
      <text>
        <r>
          <rPr>
            <b/>
            <sz val="9"/>
            <rFont val="Tahoma"/>
            <family val="2"/>
          </rPr>
          <t>Author1:
Estimated; not reported</t>
        </r>
      </text>
    </comment>
    <comment ref="BF927" authorId="0" shapeId="0" xr:uid="{00000000-0006-0000-0100-0000D1010000}">
      <text>
        <r>
          <rPr>
            <b/>
            <sz val="9"/>
            <rFont val="Tahoma"/>
            <family val="2"/>
          </rPr>
          <t>Author1:
Estimated; not reported</t>
        </r>
      </text>
    </comment>
    <comment ref="BG927" authorId="0" shapeId="0" xr:uid="{00000000-0006-0000-0100-0000D2010000}">
      <text>
        <r>
          <rPr>
            <b/>
            <sz val="9"/>
            <rFont val="Tahoma"/>
            <family val="2"/>
          </rPr>
          <t>Author1:
Estimated; not reported</t>
        </r>
      </text>
    </comment>
    <comment ref="BH927" authorId="0" shapeId="0" xr:uid="{00000000-0006-0000-0100-0000D3010000}">
      <text>
        <r>
          <rPr>
            <b/>
            <sz val="9"/>
            <rFont val="Tahoma"/>
            <family val="2"/>
          </rPr>
          <t>Author1:
Backed out</t>
        </r>
      </text>
    </comment>
    <comment ref="BJ927" authorId="0" shapeId="0" xr:uid="{00000000-0006-0000-0100-0000D4010000}">
      <text>
        <r>
          <rPr>
            <b/>
            <sz val="9"/>
            <rFont val="Tahoma"/>
            <family val="2"/>
          </rPr>
          <t>Author1:
Estimated</t>
        </r>
      </text>
    </comment>
    <comment ref="BK927" authorId="0" shapeId="0" xr:uid="{00000000-0006-0000-0100-0000D5010000}">
      <text>
        <r>
          <rPr>
            <b/>
            <sz val="9"/>
            <rFont val="Tahoma"/>
            <family val="2"/>
          </rPr>
          <t>Author1:</t>
        </r>
        <r>
          <rPr>
            <sz val="9"/>
            <rFont val="Tahoma"/>
            <family val="2"/>
          </rPr>
          <t xml:space="preserve">
estimated</t>
        </r>
      </text>
    </comment>
    <comment ref="BL927" authorId="0" shapeId="0" xr:uid="{00000000-0006-0000-0100-0000D6010000}">
      <text>
        <r>
          <rPr>
            <b/>
            <sz val="10"/>
            <rFont val="Tahoma"/>
            <family val="2"/>
          </rPr>
          <t>Author1:</t>
        </r>
        <r>
          <rPr>
            <sz val="10"/>
            <rFont val="Tahoma"/>
            <family val="2"/>
          </rPr>
          <t xml:space="preserve">
Estimated</t>
        </r>
      </text>
    </comment>
    <comment ref="BM927" authorId="0" shapeId="0" xr:uid="{00000000-0006-0000-0100-0000D7010000}">
      <text>
        <r>
          <rPr>
            <b/>
            <sz val="9"/>
            <rFont val="Tahoma"/>
            <family val="2"/>
          </rPr>
          <t>Author1:
Backed out</t>
        </r>
      </text>
    </comment>
    <comment ref="BO927" authorId="0" shapeId="0" xr:uid="{00000000-0006-0000-0100-0000D8010000}">
      <text>
        <r>
          <rPr>
            <b/>
            <sz val="10"/>
            <rFont val="Tahoma"/>
            <family val="2"/>
          </rPr>
          <t>Author1:</t>
        </r>
        <r>
          <rPr>
            <sz val="10"/>
            <rFont val="Tahoma"/>
            <family val="2"/>
          </rPr>
          <t xml:space="preserve">
Estimated</t>
        </r>
      </text>
    </comment>
    <comment ref="BP927" authorId="0" shapeId="0" xr:uid="{00000000-0006-0000-0100-0000D9010000}">
      <text>
        <r>
          <rPr>
            <b/>
            <sz val="9"/>
            <rFont val="Tahoma"/>
            <family val="2"/>
          </rPr>
          <t>Author1:</t>
        </r>
        <r>
          <rPr>
            <sz val="9"/>
            <rFont val="Tahoma"/>
            <family val="2"/>
          </rPr>
          <t xml:space="preserve">
Estimated</t>
        </r>
      </text>
    </comment>
    <comment ref="BQ927" authorId="0" shapeId="0" xr:uid="{00000000-0006-0000-0100-0000DA010000}">
      <text>
        <r>
          <rPr>
            <b/>
            <sz val="9"/>
            <rFont val="Tahoma"/>
            <family val="2"/>
          </rPr>
          <t>Author1:
Estimated</t>
        </r>
      </text>
    </comment>
    <comment ref="BT927" authorId="0" shapeId="0" xr:uid="{00000000-0006-0000-0100-0000DB010000}">
      <text>
        <r>
          <rPr>
            <b/>
            <sz val="9"/>
            <rFont val="Tahoma"/>
            <family val="2"/>
          </rPr>
          <t>Author1:</t>
        </r>
        <r>
          <rPr>
            <sz val="9"/>
            <rFont val="Tahoma"/>
            <family val="2"/>
          </rPr>
          <t xml:space="preserve">
Estimated</t>
        </r>
      </text>
    </comment>
    <comment ref="AP928" authorId="0" shapeId="0" xr:uid="{00000000-0006-0000-0100-0000DC010000}">
      <text>
        <r>
          <rPr>
            <b/>
            <sz val="9"/>
            <rFont val="Tahoma"/>
            <family val="2"/>
          </rPr>
          <t>Author1:
Formula adjusted as not reported quarterly</t>
        </r>
      </text>
    </comment>
    <comment ref="AQ928" authorId="0" shapeId="0" xr:uid="{00000000-0006-0000-0100-0000DD010000}">
      <text>
        <r>
          <rPr>
            <b/>
            <sz val="9"/>
            <rFont val="Tahoma"/>
            <family val="2"/>
          </rPr>
          <t>Author1:
Formula adjusted as not reported quarterly</t>
        </r>
      </text>
    </comment>
    <comment ref="AR928" authorId="0" shapeId="0" xr:uid="{00000000-0006-0000-0100-0000DE010000}">
      <text>
        <r>
          <rPr>
            <b/>
            <sz val="9"/>
            <rFont val="Tahoma"/>
            <family val="2"/>
          </rPr>
          <t>Author1:
Formula adjusted as not reported quarterly</t>
        </r>
      </text>
    </comment>
    <comment ref="AS928" authorId="0" shapeId="0" xr:uid="{00000000-0006-0000-0100-0000DF010000}">
      <text>
        <r>
          <rPr>
            <b/>
            <sz val="9"/>
            <rFont val="Tahoma"/>
            <family val="2"/>
          </rPr>
          <t>Author1:
Formula adjusted as not reported quarterly</t>
        </r>
      </text>
    </comment>
    <comment ref="AU928" authorId="0" shapeId="0" xr:uid="{00000000-0006-0000-0100-0000E0010000}">
      <text>
        <r>
          <rPr>
            <b/>
            <sz val="9"/>
            <rFont val="Tahoma"/>
            <family val="2"/>
          </rPr>
          <t>Author1:
Formula adjusted as not reported quarterly</t>
        </r>
      </text>
    </comment>
    <comment ref="AV928" authorId="0" shapeId="0" xr:uid="{00000000-0006-0000-0100-0000E1010000}">
      <text>
        <r>
          <rPr>
            <b/>
            <sz val="9"/>
            <rFont val="Tahoma"/>
            <family val="2"/>
          </rPr>
          <t>Author1:
Formula adjusted as not reported quarterly</t>
        </r>
      </text>
    </comment>
    <comment ref="AW928" authorId="0" shapeId="0" xr:uid="{00000000-0006-0000-0100-0000E2010000}">
      <text>
        <r>
          <rPr>
            <b/>
            <sz val="9"/>
            <rFont val="Tahoma"/>
            <family val="2"/>
          </rPr>
          <t>Author1:
Formula adjusted as not reported quarterly</t>
        </r>
      </text>
    </comment>
    <comment ref="AX928" authorId="0" shapeId="0" xr:uid="{00000000-0006-0000-0100-0000E3010000}">
      <text>
        <r>
          <rPr>
            <b/>
            <sz val="9"/>
            <rFont val="Tahoma"/>
            <family val="2"/>
          </rPr>
          <t>Author1:
Formula adjusted as not reported quarterly</t>
        </r>
      </text>
    </comment>
    <comment ref="AZ928" authorId="0" shapeId="0" xr:uid="{00000000-0006-0000-0100-0000E4010000}">
      <text>
        <r>
          <rPr>
            <b/>
            <sz val="9"/>
            <rFont val="Tahoma"/>
            <family val="2"/>
          </rPr>
          <t>Author1:
Estimated; not reported</t>
        </r>
      </text>
    </comment>
    <comment ref="BA928" authorId="0" shapeId="0" xr:uid="{00000000-0006-0000-0100-0000E5010000}">
      <text>
        <r>
          <rPr>
            <b/>
            <sz val="9"/>
            <rFont val="Tahoma"/>
            <family val="2"/>
          </rPr>
          <t>Author1:
Estimated; not reported</t>
        </r>
      </text>
    </comment>
    <comment ref="BB928" authorId="0" shapeId="0" xr:uid="{00000000-0006-0000-0100-0000E6010000}">
      <text>
        <r>
          <rPr>
            <b/>
            <sz val="9"/>
            <rFont val="Tahoma"/>
            <family val="2"/>
          </rPr>
          <t>Author1:
Estimated; not reported</t>
        </r>
      </text>
    </comment>
    <comment ref="BE928" authorId="0" shapeId="0" xr:uid="{00000000-0006-0000-0100-0000E7010000}">
      <text>
        <r>
          <rPr>
            <b/>
            <sz val="9"/>
            <rFont val="Tahoma"/>
            <family val="2"/>
          </rPr>
          <t>Author1:
Estimated; not reported</t>
        </r>
      </text>
    </comment>
    <comment ref="BF928" authorId="0" shapeId="0" xr:uid="{00000000-0006-0000-0100-0000E8010000}">
      <text>
        <r>
          <rPr>
            <b/>
            <sz val="9"/>
            <rFont val="Tahoma"/>
            <family val="2"/>
          </rPr>
          <t>Author1:
Estimated; not reported</t>
        </r>
      </text>
    </comment>
    <comment ref="BG928" authorId="0" shapeId="0" xr:uid="{00000000-0006-0000-0100-0000E9010000}">
      <text>
        <r>
          <rPr>
            <b/>
            <sz val="9"/>
            <rFont val="Tahoma"/>
            <family val="2"/>
          </rPr>
          <t>Author1:
Estimated; not reported</t>
        </r>
      </text>
    </comment>
    <comment ref="BJ928" authorId="0" shapeId="0" xr:uid="{00000000-0006-0000-0100-0000EA010000}">
      <text>
        <r>
          <rPr>
            <b/>
            <sz val="9"/>
            <rFont val="Tahoma"/>
            <family val="2"/>
          </rPr>
          <t>Author1:
Estimated; not reported</t>
        </r>
      </text>
    </comment>
    <comment ref="BK928" authorId="0" shapeId="0" xr:uid="{00000000-0006-0000-0100-0000EB010000}">
      <text>
        <r>
          <rPr>
            <b/>
            <sz val="9"/>
            <rFont val="Tahoma"/>
            <family val="2"/>
          </rPr>
          <t>Author1:</t>
        </r>
        <r>
          <rPr>
            <sz val="9"/>
            <rFont val="Tahoma"/>
            <family val="2"/>
          </rPr>
          <t xml:space="preserve">
estimated</t>
        </r>
      </text>
    </comment>
    <comment ref="BL928" authorId="0" shapeId="0" xr:uid="{00000000-0006-0000-0100-0000EC010000}">
      <text>
        <r>
          <rPr>
            <b/>
            <sz val="10"/>
            <rFont val="Tahoma"/>
            <family val="2"/>
          </rPr>
          <t>Author1:</t>
        </r>
        <r>
          <rPr>
            <sz val="10"/>
            <rFont val="Tahoma"/>
            <family val="2"/>
          </rPr>
          <t xml:space="preserve">
Estimated</t>
        </r>
      </text>
    </comment>
    <comment ref="BO928" authorId="0" shapeId="0" xr:uid="{00000000-0006-0000-0100-0000ED010000}">
      <text>
        <r>
          <rPr>
            <b/>
            <sz val="10"/>
            <rFont val="Tahoma"/>
            <family val="2"/>
          </rPr>
          <t>Author1:</t>
        </r>
        <r>
          <rPr>
            <sz val="10"/>
            <rFont val="Tahoma"/>
            <family val="2"/>
          </rPr>
          <t xml:space="preserve">
Estimated</t>
        </r>
      </text>
    </comment>
    <comment ref="BP928" authorId="0" shapeId="0" xr:uid="{00000000-0006-0000-0100-0000EE010000}">
      <text>
        <r>
          <rPr>
            <b/>
            <sz val="10"/>
            <rFont val="Tahoma"/>
            <family val="2"/>
          </rPr>
          <t>Author1:</t>
        </r>
        <r>
          <rPr>
            <sz val="10"/>
            <rFont val="Tahoma"/>
            <family val="2"/>
          </rPr>
          <t xml:space="preserve">
Estimated</t>
        </r>
      </text>
    </comment>
    <comment ref="AO933" authorId="0" shapeId="0" xr:uid="{00000000-0006-0000-0100-0000F0010000}">
      <text>
        <r>
          <rPr>
            <b/>
            <sz val="9"/>
            <rFont val="Tahoma"/>
            <family val="2"/>
          </rPr>
          <t>Author1:
"Balance as of December 31, 2019 includes $743 million for operating leases existing on January 1, 2019." - per 10-K FY2021</t>
        </r>
      </text>
    </comment>
    <comment ref="AO947" authorId="0" shapeId="0" xr:uid="{00000000-0006-0000-0100-0000F2010000}">
      <text>
        <r>
          <rPr>
            <b/>
            <sz val="9"/>
            <rFont val="Tahoma"/>
            <family val="2"/>
          </rPr>
          <t>Author1:
Hardcoded as reported</t>
        </r>
      </text>
    </comment>
    <comment ref="AP947" authorId="0" shapeId="0" xr:uid="{00000000-0006-0000-0100-0000F3010000}">
      <text>
        <r>
          <rPr>
            <b/>
            <sz val="9"/>
            <rFont val="Tahoma"/>
            <family val="2"/>
          </rPr>
          <t>Author1:
Estimated to be equal to FY</t>
        </r>
      </text>
    </comment>
    <comment ref="AQ947" authorId="0" shapeId="0" xr:uid="{00000000-0006-0000-0100-0000F4010000}">
      <text>
        <r>
          <rPr>
            <b/>
            <sz val="9"/>
            <rFont val="Tahoma"/>
            <family val="2"/>
          </rPr>
          <t>Author1:
Estimated to be equal to FY</t>
        </r>
      </text>
    </comment>
    <comment ref="AR947" authorId="0" shapeId="0" xr:uid="{00000000-0006-0000-0100-0000F5010000}">
      <text>
        <r>
          <rPr>
            <b/>
            <sz val="9"/>
            <rFont val="Tahoma"/>
            <family val="2"/>
          </rPr>
          <t>Author1:
Estimated to be equal to FY</t>
        </r>
      </text>
    </comment>
    <comment ref="AT947" authorId="0" shapeId="0" xr:uid="{00000000-0006-0000-0100-0000F6010000}">
      <text>
        <r>
          <rPr>
            <b/>
            <sz val="9"/>
            <rFont val="Tahoma"/>
            <family val="2"/>
          </rPr>
          <t>Author1:
Hardcoded as reported</t>
        </r>
      </text>
    </comment>
    <comment ref="AU947" authorId="0" shapeId="0" xr:uid="{00000000-0006-0000-0100-0000F7010000}">
      <text>
        <r>
          <rPr>
            <b/>
            <sz val="9"/>
            <rFont val="Tahoma"/>
            <family val="2"/>
          </rPr>
          <t>Author1:
Estimated to be equal to FY</t>
        </r>
      </text>
    </comment>
    <comment ref="AV947" authorId="0" shapeId="0" xr:uid="{00000000-0006-0000-0100-0000F8010000}">
      <text>
        <r>
          <rPr>
            <b/>
            <sz val="9"/>
            <rFont val="Tahoma"/>
            <family val="2"/>
          </rPr>
          <t>Author1:
Estimated to be equal to FY</t>
        </r>
      </text>
    </comment>
    <comment ref="AW947" authorId="0" shapeId="0" xr:uid="{00000000-0006-0000-0100-0000F9010000}">
      <text>
        <r>
          <rPr>
            <b/>
            <sz val="9"/>
            <rFont val="Tahoma"/>
            <family val="2"/>
          </rPr>
          <t>Author1:
Estimated to be equal to FY</t>
        </r>
      </text>
    </comment>
    <comment ref="AY947" authorId="0" shapeId="0" xr:uid="{00000000-0006-0000-0100-0000FA010000}">
      <text>
        <r>
          <rPr>
            <b/>
            <sz val="9"/>
            <rFont val="Tahoma"/>
            <family val="2"/>
          </rPr>
          <t>Author1:
Hardcoded as reported</t>
        </r>
      </text>
    </comment>
    <comment ref="AZ947" authorId="0" shapeId="0" xr:uid="{00000000-0006-0000-0100-0000FB010000}">
      <text>
        <r>
          <rPr>
            <b/>
            <sz val="9"/>
            <rFont val="Tahoma"/>
            <family val="2"/>
          </rPr>
          <t>Author1:
Estimated; not reported</t>
        </r>
      </text>
    </comment>
    <comment ref="BA947" authorId="0" shapeId="0" xr:uid="{00000000-0006-0000-0100-0000FC010000}">
      <text>
        <r>
          <rPr>
            <b/>
            <sz val="9"/>
            <rFont val="Tahoma"/>
            <family val="2"/>
          </rPr>
          <t>Author1:
Estimated; not reported</t>
        </r>
      </text>
    </comment>
    <comment ref="BB947" authorId="0" shapeId="0" xr:uid="{00000000-0006-0000-0100-0000FD010000}">
      <text>
        <r>
          <rPr>
            <b/>
            <sz val="9"/>
            <rFont val="Tahoma"/>
            <family val="2"/>
          </rPr>
          <t>Author1:
Estimated; not reported</t>
        </r>
      </text>
    </comment>
    <comment ref="BC947" authorId="0" shapeId="0" xr:uid="{00000000-0006-0000-0100-0000FE010000}">
      <text>
        <r>
          <rPr>
            <b/>
            <sz val="9"/>
            <rFont val="Tahoma"/>
            <family val="2"/>
          </rPr>
          <t>Author1:
Estimated; not reported</t>
        </r>
      </text>
    </comment>
    <comment ref="BD947" authorId="0" shapeId="0" xr:uid="{00000000-0006-0000-0100-0000FF010000}">
      <text>
        <r>
          <rPr>
            <b/>
            <sz val="9"/>
            <rFont val="Tahoma"/>
            <family val="2"/>
          </rPr>
          <t>Author1:
Hardcoded as reported</t>
        </r>
      </text>
    </comment>
    <comment ref="BE947" authorId="0" shapeId="0" xr:uid="{00000000-0006-0000-0100-000000020000}">
      <text>
        <r>
          <rPr>
            <b/>
            <sz val="9"/>
            <rFont val="Tahoma"/>
            <family val="2"/>
          </rPr>
          <t>Author1:
Estimated; not reported</t>
        </r>
      </text>
    </comment>
    <comment ref="BF947" authorId="0" shapeId="0" xr:uid="{00000000-0006-0000-0100-000001020000}">
      <text>
        <r>
          <rPr>
            <b/>
            <sz val="9"/>
            <rFont val="Tahoma"/>
            <family val="2"/>
          </rPr>
          <t>Author1:
Estimated; not reported</t>
        </r>
      </text>
    </comment>
    <comment ref="BG947" authorId="0" shapeId="0" xr:uid="{00000000-0006-0000-0100-000002020000}">
      <text>
        <r>
          <rPr>
            <b/>
            <sz val="9"/>
            <rFont val="Tahoma"/>
            <family val="2"/>
          </rPr>
          <t>Author1:
Estimated; not reported</t>
        </r>
      </text>
    </comment>
    <comment ref="BH947" authorId="0" shapeId="0" xr:uid="{00000000-0006-0000-0100-000003020000}">
      <text>
        <r>
          <rPr>
            <b/>
            <sz val="9"/>
            <rFont val="Tahoma"/>
            <family val="2"/>
          </rPr>
          <t>Author1:
Estimated; not reported</t>
        </r>
      </text>
    </comment>
    <comment ref="BI947" authorId="0" shapeId="0" xr:uid="{00000000-0006-0000-0100-000004020000}">
      <text>
        <r>
          <rPr>
            <b/>
            <sz val="9"/>
            <rFont val="Tahoma"/>
            <family val="2"/>
          </rPr>
          <t>Author1:
Hardcoded as reported</t>
        </r>
      </text>
    </comment>
    <comment ref="BJ947" authorId="0" shapeId="0" xr:uid="{00000000-0006-0000-0100-000005020000}">
      <text>
        <r>
          <rPr>
            <b/>
            <sz val="9"/>
            <rFont val="Tahoma"/>
            <family val="2"/>
          </rPr>
          <t>Author1:
Estimated</t>
        </r>
      </text>
    </comment>
    <comment ref="BK947" authorId="0" shapeId="0" xr:uid="{00000000-0006-0000-0100-000006020000}">
      <text>
        <r>
          <rPr>
            <b/>
            <sz val="9"/>
            <rFont val="Tahoma"/>
            <family val="2"/>
          </rPr>
          <t>Author1:</t>
        </r>
        <r>
          <rPr>
            <sz val="9"/>
            <rFont val="Tahoma"/>
            <family val="2"/>
          </rPr>
          <t xml:space="preserve">
estimated</t>
        </r>
      </text>
    </comment>
    <comment ref="BL947" authorId="0" shapeId="0" xr:uid="{00000000-0006-0000-0100-000007020000}">
      <text>
        <r>
          <rPr>
            <b/>
            <sz val="10"/>
            <rFont val="Tahoma"/>
            <family val="2"/>
          </rPr>
          <t>Author1:</t>
        </r>
        <r>
          <rPr>
            <sz val="10"/>
            <rFont val="Tahoma"/>
            <family val="2"/>
          </rPr>
          <t xml:space="preserve">
Estimated</t>
        </r>
      </text>
    </comment>
    <comment ref="BM947" authorId="0" shapeId="0" xr:uid="{00000000-0006-0000-0100-000008020000}">
      <text>
        <r>
          <rPr>
            <b/>
            <sz val="9"/>
            <rFont val="Tahoma"/>
            <family val="2"/>
          </rPr>
          <t>Author1:
Estimated; not reported</t>
        </r>
      </text>
    </comment>
    <comment ref="BN947" authorId="0" shapeId="0" xr:uid="{00000000-0006-0000-0100-000009020000}">
      <text>
        <r>
          <rPr>
            <b/>
            <sz val="9"/>
            <rFont val="Tahoma"/>
            <family val="2"/>
          </rPr>
          <t>Author1:
Hardcoded as reported</t>
        </r>
      </text>
    </comment>
    <comment ref="BO947" authorId="0" shapeId="0" xr:uid="{00000000-0006-0000-0100-00000A020000}">
      <text>
        <r>
          <rPr>
            <b/>
            <sz val="10"/>
            <rFont val="Tahoma"/>
            <family val="2"/>
          </rPr>
          <t>Author1:</t>
        </r>
        <r>
          <rPr>
            <sz val="10"/>
            <rFont val="Tahoma"/>
            <family val="2"/>
          </rPr>
          <t xml:space="preserve">
Estimated</t>
        </r>
      </text>
    </comment>
    <comment ref="BP947" authorId="0" shapeId="0" xr:uid="{00000000-0006-0000-0100-00000B020000}">
      <text>
        <r>
          <rPr>
            <b/>
            <sz val="9"/>
            <rFont val="Tahoma"/>
            <family val="2"/>
          </rPr>
          <t>Author1:</t>
        </r>
        <r>
          <rPr>
            <sz val="9"/>
            <rFont val="Tahoma"/>
            <family val="2"/>
          </rPr>
          <t xml:space="preserve">
Estimated</t>
        </r>
      </text>
    </comment>
    <comment ref="BQ947" authorId="0" shapeId="0" xr:uid="{00000000-0006-0000-0100-00000C020000}">
      <text>
        <r>
          <rPr>
            <b/>
            <sz val="9"/>
            <rFont val="Tahoma"/>
            <family val="2"/>
          </rPr>
          <t>Author1:</t>
        </r>
        <r>
          <rPr>
            <sz val="9"/>
            <rFont val="Tahoma"/>
            <family val="2"/>
          </rPr>
          <t xml:space="preserve">
Estimated</t>
        </r>
      </text>
    </comment>
    <comment ref="BT947" authorId="0" shapeId="0" xr:uid="{00000000-0006-0000-0100-00000D020000}">
      <text>
        <r>
          <rPr>
            <b/>
            <sz val="9"/>
            <rFont val="Tahoma"/>
            <family val="2"/>
          </rPr>
          <t>Author1:</t>
        </r>
        <r>
          <rPr>
            <sz val="9"/>
            <rFont val="Tahoma"/>
            <family val="2"/>
          </rPr>
          <t xml:space="preserve">
Estimated</t>
        </r>
      </text>
    </comment>
    <comment ref="AP959" authorId="0" shapeId="0" xr:uid="{00000000-0006-0000-0100-00000F020000}">
      <text>
        <r>
          <rPr>
            <b/>
            <sz val="9"/>
            <rFont val="Tahoma"/>
            <family val="2"/>
          </rPr>
          <t>Author1:
Estimated to have FY value evenly spread across Qs</t>
        </r>
      </text>
    </comment>
    <comment ref="AQ959" authorId="0" shapeId="0" xr:uid="{00000000-0006-0000-0100-000010020000}">
      <text>
        <r>
          <rPr>
            <b/>
            <sz val="9"/>
            <rFont val="Tahoma"/>
            <family val="2"/>
          </rPr>
          <t>Author1:
Estimated to have FY value evenly spread across Qs</t>
        </r>
      </text>
    </comment>
    <comment ref="AR959" authorId="0" shapeId="0" xr:uid="{00000000-0006-0000-0100-000011020000}">
      <text>
        <r>
          <rPr>
            <b/>
            <sz val="9"/>
            <rFont val="Tahoma"/>
            <family val="2"/>
          </rPr>
          <t>Author1:
Estimated to have FY value evenly spread across Qs</t>
        </r>
      </text>
    </comment>
    <comment ref="AS959" authorId="0" shapeId="0" xr:uid="{00000000-0006-0000-0100-000012020000}">
      <text>
        <r>
          <rPr>
            <b/>
            <sz val="9"/>
            <rFont val="Tahoma"/>
            <family val="2"/>
          </rPr>
          <t>Author1:
Estimated to have FY value evenly spread across Qs</t>
        </r>
      </text>
    </comment>
    <comment ref="AU959" authorId="0" shapeId="0" xr:uid="{00000000-0006-0000-0100-000013020000}">
      <text>
        <r>
          <rPr>
            <b/>
            <sz val="9"/>
            <rFont val="Tahoma"/>
            <family val="2"/>
          </rPr>
          <t>Author1:
Estimated to have FY value evenly spread across Qs</t>
        </r>
      </text>
    </comment>
    <comment ref="AV959" authorId="0" shapeId="0" xr:uid="{00000000-0006-0000-0100-000014020000}">
      <text>
        <r>
          <rPr>
            <b/>
            <sz val="9"/>
            <rFont val="Tahoma"/>
            <family val="2"/>
          </rPr>
          <t>Author1:
Estimated to have FY value evenly spread across Qs</t>
        </r>
      </text>
    </comment>
    <comment ref="AW959" authorId="0" shapeId="0" xr:uid="{00000000-0006-0000-0100-000015020000}">
      <text>
        <r>
          <rPr>
            <b/>
            <sz val="9"/>
            <rFont val="Tahoma"/>
            <family val="2"/>
          </rPr>
          <t>Author1:
Estimated to have FY value evenly spread across Qs</t>
        </r>
      </text>
    </comment>
    <comment ref="AX959" authorId="0" shapeId="0" xr:uid="{00000000-0006-0000-0100-000016020000}">
      <text>
        <r>
          <rPr>
            <b/>
            <sz val="9"/>
            <rFont val="Tahoma"/>
            <family val="2"/>
          </rPr>
          <t>Author1:
Estimated to have FY value evenly spread across Qs</t>
        </r>
      </text>
    </comment>
    <comment ref="AZ959" authorId="0" shapeId="0" xr:uid="{00000000-0006-0000-0100-000017020000}">
      <text>
        <r>
          <rPr>
            <b/>
            <sz val="9"/>
            <rFont val="Tahoma"/>
            <family val="2"/>
          </rPr>
          <t>Author1:
Based on estimate</t>
        </r>
      </text>
    </comment>
    <comment ref="BA959" authorId="0" shapeId="0" xr:uid="{00000000-0006-0000-0100-000018020000}">
      <text>
        <r>
          <rPr>
            <b/>
            <sz val="9"/>
            <rFont val="Tahoma"/>
            <family val="2"/>
          </rPr>
          <t>Author1:
Based on estimate</t>
        </r>
      </text>
    </comment>
    <comment ref="BB959" authorId="0" shapeId="0" xr:uid="{00000000-0006-0000-0100-000019020000}">
      <text>
        <r>
          <rPr>
            <b/>
            <sz val="9"/>
            <rFont val="Tahoma"/>
            <family val="2"/>
          </rPr>
          <t>Author1:
Based on estimate</t>
        </r>
      </text>
    </comment>
    <comment ref="BC959" authorId="0" shapeId="0" xr:uid="{00000000-0006-0000-0100-00001A020000}">
      <text>
        <r>
          <rPr>
            <b/>
            <sz val="9"/>
            <rFont val="Tahoma"/>
            <family val="2"/>
          </rPr>
          <t>Author1:
Based on estimate</t>
        </r>
      </text>
    </comment>
    <comment ref="BE959" authorId="0" shapeId="0" xr:uid="{00000000-0006-0000-0100-00001B020000}">
      <text>
        <r>
          <rPr>
            <b/>
            <sz val="9"/>
            <rFont val="Tahoma"/>
            <family val="2"/>
          </rPr>
          <t>Author1:
Estimated, not reported.</t>
        </r>
      </text>
    </comment>
    <comment ref="BF959" authorId="0" shapeId="0" xr:uid="{00000000-0006-0000-0100-00001C020000}">
      <text>
        <r>
          <rPr>
            <b/>
            <sz val="9"/>
            <rFont val="Tahoma"/>
            <family val="2"/>
          </rPr>
          <t>Author1:
Estimated, not reported.</t>
        </r>
      </text>
    </comment>
    <comment ref="BG959" authorId="0" shapeId="0" xr:uid="{00000000-0006-0000-0100-00001D020000}">
      <text>
        <r>
          <rPr>
            <b/>
            <sz val="9"/>
            <rFont val="Tahoma"/>
            <family val="2"/>
          </rPr>
          <t>Author1:
Estimated, not reported.</t>
        </r>
      </text>
    </comment>
    <comment ref="BH959" authorId="0" shapeId="0" xr:uid="{00000000-0006-0000-0100-00001E020000}">
      <text>
        <r>
          <rPr>
            <b/>
            <sz val="9"/>
            <rFont val="Tahoma"/>
            <family val="2"/>
          </rPr>
          <t>Author1:
Estimated, not reported.</t>
        </r>
      </text>
    </comment>
    <comment ref="BJ959" authorId="0" shapeId="0" xr:uid="{00000000-0006-0000-0100-00001F020000}">
      <text>
        <r>
          <rPr>
            <b/>
            <sz val="9"/>
            <rFont val="Tahoma"/>
            <family val="2"/>
          </rPr>
          <t>Author1:
Estimated</t>
        </r>
      </text>
    </comment>
    <comment ref="BK959" authorId="0" shapeId="0" xr:uid="{00000000-0006-0000-0100-000020020000}">
      <text>
        <r>
          <rPr>
            <b/>
            <sz val="9"/>
            <rFont val="Tahoma"/>
            <family val="2"/>
          </rPr>
          <t>Author1:</t>
        </r>
        <r>
          <rPr>
            <sz val="9"/>
            <rFont val="Tahoma"/>
            <family val="2"/>
          </rPr>
          <t xml:space="preserve">
estimated</t>
        </r>
      </text>
    </comment>
    <comment ref="BL959" authorId="0" shapeId="0" xr:uid="{00000000-0006-0000-0100-000021020000}">
      <text>
        <r>
          <rPr>
            <b/>
            <sz val="9"/>
            <rFont val="Tahoma"/>
            <family val="2"/>
          </rPr>
          <t>Author1:</t>
        </r>
        <r>
          <rPr>
            <sz val="9"/>
            <rFont val="Tahoma"/>
            <family val="2"/>
          </rPr>
          <t xml:space="preserve">
Estimated</t>
        </r>
      </text>
    </comment>
    <comment ref="BM959" authorId="0" shapeId="0" xr:uid="{00000000-0006-0000-0100-000022020000}">
      <text>
        <r>
          <rPr>
            <b/>
            <sz val="9"/>
            <rFont val="Tahoma"/>
            <family val="2"/>
          </rPr>
          <t>Author1:
Estimated, not reported.</t>
        </r>
      </text>
    </comment>
    <comment ref="BO959" authorId="0" shapeId="0" xr:uid="{00000000-0006-0000-0100-000023020000}">
      <text>
        <r>
          <rPr>
            <b/>
            <sz val="9"/>
            <rFont val="Tahoma"/>
            <family val="2"/>
          </rPr>
          <t>Author1:</t>
        </r>
        <r>
          <rPr>
            <sz val="9"/>
            <rFont val="Tahoma"/>
            <family val="2"/>
          </rPr>
          <t xml:space="preserve">
Estimated</t>
        </r>
      </text>
    </comment>
    <comment ref="BP959" authorId="0" shapeId="0" xr:uid="{00000000-0006-0000-0100-000024020000}">
      <text>
        <r>
          <rPr>
            <b/>
            <sz val="9"/>
            <rFont val="Tahoma"/>
            <family val="2"/>
          </rPr>
          <t>Author1:</t>
        </r>
        <r>
          <rPr>
            <sz val="9"/>
            <rFont val="Tahoma"/>
            <family val="2"/>
          </rPr>
          <t xml:space="preserve">
Estimated</t>
        </r>
      </text>
    </comment>
    <comment ref="BQ959" authorId="0" shapeId="0" xr:uid="{00000000-0006-0000-0100-000025020000}">
      <text>
        <r>
          <rPr>
            <b/>
            <sz val="9"/>
            <rFont val="Tahoma"/>
            <family val="2"/>
          </rPr>
          <t>Author1:</t>
        </r>
        <r>
          <rPr>
            <sz val="9"/>
            <rFont val="Tahoma"/>
            <family val="2"/>
          </rPr>
          <t xml:space="preserve">
Estimatecd</t>
        </r>
      </text>
    </comment>
    <comment ref="BR959" authorId="0" shapeId="0" xr:uid="{00000000-0006-0000-0100-000026020000}">
      <text>
        <r>
          <rPr>
            <b/>
            <sz val="9"/>
            <rFont val="Tahoma"/>
            <family val="2"/>
          </rPr>
          <t>Author1:</t>
        </r>
        <r>
          <rPr>
            <sz val="9"/>
            <rFont val="Tahoma"/>
            <family val="2"/>
          </rPr>
          <t xml:space="preserve">
Estimatecd</t>
        </r>
      </text>
    </comment>
    <comment ref="BT959" authorId="0" shapeId="0" xr:uid="{00000000-0006-0000-0100-000027020000}">
      <text>
        <r>
          <rPr>
            <b/>
            <sz val="9"/>
            <rFont val="Tahoma"/>
            <family val="2"/>
          </rPr>
          <t>Author1:</t>
        </r>
        <r>
          <rPr>
            <sz val="9"/>
            <rFont val="Tahoma"/>
            <family val="2"/>
          </rPr>
          <t xml:space="preserve">
Estimatecd</t>
        </r>
      </text>
    </comment>
    <comment ref="A996" authorId="0" shapeId="0" xr:uid="{00000000-0006-0000-0100-000028020000}">
      <text>
        <r>
          <rPr>
            <b/>
            <sz val="9"/>
            <rFont val="Tahoma"/>
            <family val="2"/>
          </rPr>
          <t>Author1:
Linked to the free cash flow calculated in the Credit Summary Section</t>
        </r>
      </text>
    </comment>
    <comment ref="AK1041" authorId="0" shapeId="0" xr:uid="{00000000-0006-0000-0100-000029020000}">
      <text>
        <r>
          <rPr>
            <b/>
            <sz val="9"/>
            <rFont val="Tahoma"/>
            <family val="2"/>
          </rPr>
          <t>Author1:
restated, included Amortization of DVD content library due to the amortization of DVD content assets has been reclassified into "Other non-cash items" within "Cash flows from operating activities" in Q4 2019</t>
        </r>
      </text>
    </comment>
    <comment ref="AL1041" authorId="0" shapeId="0" xr:uid="{00000000-0006-0000-0100-00002A020000}">
      <text>
        <r>
          <rPr>
            <b/>
            <sz val="9"/>
            <rFont val="Tahoma"/>
            <family val="2"/>
          </rPr>
          <t>Author1:
restated, included Amortization of DVD content library due to the amortization of DVD content assets has been reclassified into "Other non-cash items" within "Cash flows from operating activities" in Q4 2019</t>
        </r>
      </text>
    </comment>
    <comment ref="AM1041" authorId="0" shapeId="0" xr:uid="{00000000-0006-0000-0100-00002B020000}">
      <text>
        <r>
          <rPr>
            <b/>
            <sz val="9"/>
            <rFont val="Tahoma"/>
            <family val="2"/>
          </rPr>
          <t>Author1:
restated, included Amortization of DVD content library due to the amortization of DVD content assets has been reclassified into "Other non-cash items" within "Cash flows from operating activities" in Q4 2019</t>
        </r>
      </text>
    </comment>
    <comment ref="AK1103" authorId="0" shapeId="0" xr:uid="{00000000-0006-0000-0100-00002C020000}">
      <text>
        <r>
          <rPr>
            <b/>
            <sz val="9"/>
            <rFont val="Tahoma"/>
            <family val="2"/>
          </rPr>
          <t>Author1:
restated, the amortization of DVD content assets has been reclassified into "Other non-cash items" in Q4 2019</t>
        </r>
      </text>
    </comment>
    <comment ref="AL1103" authorId="0" shapeId="0" xr:uid="{00000000-0006-0000-0100-00002D020000}">
      <text>
        <r>
          <rPr>
            <b/>
            <sz val="9"/>
            <rFont val="Tahoma"/>
            <family val="2"/>
          </rPr>
          <t>Author1:
restated, the amortization of DVD content assets has been reclassified into "Other non-cash items" in Q4 2019</t>
        </r>
      </text>
    </comment>
    <comment ref="AM1103" authorId="0" shapeId="0" xr:uid="{00000000-0006-0000-0100-00002E020000}">
      <text>
        <r>
          <rPr>
            <b/>
            <sz val="9"/>
            <rFont val="Tahoma"/>
            <family val="2"/>
          </rPr>
          <t>Author1:
restated, the amortization of DVD content assets has been reclassified into "Other non-cash items" in Q4 2019</t>
        </r>
      </text>
    </comment>
    <comment ref="AN1103" authorId="0" shapeId="0" xr:uid="{00000000-0006-0000-0100-00002F020000}">
      <text>
        <r>
          <rPr>
            <b/>
            <sz val="9"/>
            <rFont val="Tahoma"/>
            <family val="2"/>
          </rPr>
          <t>Author1:
restated, the amortization of DVD content assets has been reclassified into "Other non-cash items" in Q4 2019</t>
        </r>
      </text>
    </comment>
    <comment ref="AO1103" authorId="0" shapeId="0" xr:uid="{00000000-0006-0000-0100-000030020000}">
      <text>
        <r>
          <rPr>
            <b/>
            <sz val="9"/>
            <rFont val="Tahoma"/>
            <family val="2"/>
          </rPr>
          <t>Author1:
restated, the amortization of DVD content assets has been reclassified into "Other non-cash items" in Q4 2019</t>
        </r>
      </text>
    </comment>
    <comment ref="AO1124" authorId="0" shapeId="0" xr:uid="{00000000-0006-0000-0100-000031020000}">
      <text>
        <r>
          <rPr>
            <b/>
            <sz val="9"/>
            <rFont val="Tahoma"/>
            <family val="2"/>
          </rPr>
          <t>Author1:
combined to purchase of other assets</t>
        </r>
      </text>
    </comment>
    <comment ref="A1185" authorId="0" shapeId="0" xr:uid="{00000000-0006-0000-0100-000032020000}">
      <text>
        <r>
          <rPr>
            <b/>
            <sz val="9"/>
            <rFont val="Tahoma"/>
            <family val="2"/>
          </rPr>
          <t>Author1:
Does not include addition to content library as company report is a part of operating cash flow adjustment</t>
        </r>
      </text>
    </comment>
    <comment ref="AK1202" authorId="0" shapeId="0" xr:uid="{00000000-0006-0000-0100-000034020000}">
      <text>
        <r>
          <rPr>
            <b/>
            <sz val="9"/>
            <rFont val="Tahoma"/>
            <family val="2"/>
          </rPr>
          <t>Author1:
From Q1 2019, Company1933 has categorized all current content assets into non-current content assets.</t>
        </r>
      </text>
    </comment>
    <comment ref="AN1206" authorId="0" shapeId="0" xr:uid="{00000000-0006-0000-0100-000036020000}">
      <text>
        <r>
          <rPr>
            <b/>
            <sz val="9"/>
            <rFont val="Tahoma"/>
            <family val="2"/>
          </rPr>
          <t>Author1:
Adjusted for restricted cash</t>
        </r>
      </text>
    </comment>
    <comment ref="AO1206" authorId="0" shapeId="0" xr:uid="{00000000-0006-0000-0100-000037020000}">
      <text>
        <r>
          <rPr>
            <b/>
            <sz val="9"/>
            <rFont val="Tahoma"/>
            <family val="2"/>
          </rPr>
          <t>Author1:
Adjusted for restricted cash</t>
        </r>
      </text>
    </comment>
    <comment ref="AP1206" authorId="0" shapeId="0" xr:uid="{00000000-0006-0000-0100-000038020000}">
      <text>
        <r>
          <rPr>
            <b/>
            <sz val="9"/>
            <rFont val="Tahoma"/>
            <family val="2"/>
          </rPr>
          <t>Author1:
Adjusted for restricted cash</t>
        </r>
      </text>
    </comment>
    <comment ref="AQ1206" authorId="0" shapeId="0" xr:uid="{00000000-0006-0000-0100-000039020000}">
      <text>
        <r>
          <rPr>
            <b/>
            <sz val="9"/>
            <rFont val="Tahoma"/>
            <family val="2"/>
          </rPr>
          <t>Author1:
Adjusted for restricted cash</t>
        </r>
      </text>
    </comment>
    <comment ref="AR1206" authorId="0" shapeId="0" xr:uid="{00000000-0006-0000-0100-00003A020000}">
      <text>
        <r>
          <rPr>
            <b/>
            <sz val="9"/>
            <rFont val="Tahoma"/>
            <family val="2"/>
          </rPr>
          <t>Author1:
Adjusted for restricted cash</t>
        </r>
      </text>
    </comment>
    <comment ref="AS1206" authorId="0" shapeId="0" xr:uid="{00000000-0006-0000-0100-00003B020000}">
      <text>
        <r>
          <rPr>
            <b/>
            <sz val="9"/>
            <rFont val="Tahoma"/>
            <family val="2"/>
          </rPr>
          <t>Author1:
Adjusted for restricted cash</t>
        </r>
      </text>
    </comment>
    <comment ref="AT1206" authorId="0" shapeId="0" xr:uid="{00000000-0006-0000-0100-00003C020000}">
      <text>
        <r>
          <rPr>
            <b/>
            <sz val="9"/>
            <rFont val="Tahoma"/>
            <family val="2"/>
          </rPr>
          <t>Author1:
Adjusted for restricted cash</t>
        </r>
      </text>
    </comment>
    <comment ref="AU1206" authorId="0" shapeId="0" xr:uid="{00000000-0006-0000-0100-00003D020000}">
      <text>
        <r>
          <rPr>
            <b/>
            <sz val="9"/>
            <rFont val="Tahoma"/>
            <family val="2"/>
          </rPr>
          <t>Author1:
Adjusted for restricted cash</t>
        </r>
      </text>
    </comment>
    <comment ref="AV1206" authorId="0" shapeId="0" xr:uid="{00000000-0006-0000-0100-00003E020000}">
      <text>
        <r>
          <rPr>
            <b/>
            <sz val="9"/>
            <rFont val="Tahoma"/>
            <family val="2"/>
          </rPr>
          <t>Author1:
Adjusted for restricted cash</t>
        </r>
      </text>
    </comment>
    <comment ref="AW1206" authorId="0" shapeId="0" xr:uid="{00000000-0006-0000-0100-00003F020000}">
      <text>
        <r>
          <rPr>
            <b/>
            <sz val="9"/>
            <rFont val="Tahoma"/>
            <family val="2"/>
          </rPr>
          <t>Author1:
Adjusted for restricted cash</t>
        </r>
      </text>
    </comment>
    <comment ref="AX1206" authorId="0" shapeId="0" xr:uid="{00000000-0006-0000-0100-000040020000}">
      <text>
        <r>
          <rPr>
            <b/>
            <sz val="9"/>
            <rFont val="Tahoma"/>
            <family val="2"/>
          </rPr>
          <t>Author1:
Adjusted for restricted cash</t>
        </r>
      </text>
    </comment>
    <comment ref="AY1206" authorId="0" shapeId="0" xr:uid="{00000000-0006-0000-0100-000041020000}">
      <text>
        <r>
          <rPr>
            <b/>
            <sz val="9"/>
            <rFont val="Tahoma"/>
            <family val="2"/>
          </rPr>
          <t>Author1:
Adjusted for restricted cash</t>
        </r>
      </text>
    </comment>
    <comment ref="AZ1206" authorId="0" shapeId="0" xr:uid="{00000000-0006-0000-0100-000042020000}">
      <text>
        <r>
          <rPr>
            <b/>
            <sz val="9"/>
            <rFont val="Tahoma"/>
            <family val="2"/>
          </rPr>
          <t>Author1:
Adjusted for restricted cash</t>
        </r>
      </text>
    </comment>
    <comment ref="BA1206" authorId="0" shapeId="0" xr:uid="{00000000-0006-0000-0100-000043020000}">
      <text>
        <r>
          <rPr>
            <b/>
            <sz val="9"/>
            <rFont val="Tahoma"/>
            <family val="2"/>
          </rPr>
          <t>Author1:
Adjusted for restricted cash</t>
        </r>
      </text>
    </comment>
    <comment ref="BB1206" authorId="0" shapeId="0" xr:uid="{00000000-0006-0000-0100-000044020000}">
      <text>
        <r>
          <rPr>
            <b/>
            <sz val="9"/>
            <rFont val="Tahoma"/>
            <family val="2"/>
          </rPr>
          <t>Author1:
Adjusted for restricted cash</t>
        </r>
      </text>
    </comment>
    <comment ref="BC1206" authorId="0" shapeId="0" xr:uid="{00000000-0006-0000-0100-000045020000}">
      <text>
        <r>
          <rPr>
            <b/>
            <sz val="9"/>
            <rFont val="Tahoma"/>
            <family val="2"/>
          </rPr>
          <t>Author1:
Adjusted for restricted cash</t>
        </r>
      </text>
    </comment>
    <comment ref="BD1206" authorId="0" shapeId="0" xr:uid="{00000000-0006-0000-0100-000046020000}">
      <text>
        <r>
          <rPr>
            <b/>
            <sz val="9"/>
            <rFont val="Tahoma"/>
            <family val="2"/>
          </rPr>
          <t>Author1:
Adjusted for restricted cash</t>
        </r>
      </text>
    </comment>
    <comment ref="BE1206" authorId="0" shapeId="0" xr:uid="{00000000-0006-0000-0100-000047020000}">
      <text>
        <r>
          <rPr>
            <b/>
            <sz val="9"/>
            <rFont val="Tahoma"/>
            <family val="2"/>
          </rPr>
          <t>Author1:
Adjusted for restricted cash</t>
        </r>
      </text>
    </comment>
    <comment ref="BF1206" authorId="0" shapeId="0" xr:uid="{00000000-0006-0000-0100-000048020000}">
      <text>
        <r>
          <rPr>
            <b/>
            <sz val="9"/>
            <rFont val="Tahoma"/>
            <family val="2"/>
          </rPr>
          <t>Author1:
Adjusted for restricted cash</t>
        </r>
      </text>
    </comment>
    <comment ref="BG1206" authorId="0" shapeId="0" xr:uid="{00000000-0006-0000-0100-000049020000}">
      <text>
        <r>
          <rPr>
            <b/>
            <sz val="9"/>
            <rFont val="Tahoma"/>
            <family val="2"/>
          </rPr>
          <t>Author1:
Adjusted for restricted cash</t>
        </r>
      </text>
    </comment>
    <comment ref="BH1206" authorId="0" shapeId="0" xr:uid="{00000000-0006-0000-0100-00004A020000}">
      <text>
        <r>
          <rPr>
            <b/>
            <sz val="9"/>
            <rFont val="Tahoma"/>
            <family val="2"/>
          </rPr>
          <t>Author1:
Adjusted for restricted cash</t>
        </r>
      </text>
    </comment>
    <comment ref="BI1206" authorId="0" shapeId="0" xr:uid="{00000000-0006-0000-0100-00004B020000}">
      <text>
        <r>
          <rPr>
            <b/>
            <sz val="9"/>
            <rFont val="Tahoma"/>
            <family val="2"/>
          </rPr>
          <t>Author1:
Adjusted for restricted cash</t>
        </r>
      </text>
    </comment>
    <comment ref="BJ1206" authorId="0" shapeId="0" xr:uid="{00000000-0006-0000-0100-00004C020000}">
      <text>
        <r>
          <rPr>
            <b/>
            <sz val="9"/>
            <rFont val="Tahoma"/>
            <family val="2"/>
          </rPr>
          <t>Author1:
Adjusted for restricted cash</t>
        </r>
      </text>
    </comment>
    <comment ref="BK1206" authorId="0" shapeId="0" xr:uid="{00000000-0006-0000-0100-00004D020000}">
      <text>
        <r>
          <rPr>
            <b/>
            <sz val="9"/>
            <rFont val="Tahoma"/>
            <family val="2"/>
          </rPr>
          <t>Author1:
Adjusted for restricted cash</t>
        </r>
      </text>
    </comment>
    <comment ref="BL1206" authorId="0" shapeId="0" xr:uid="{00000000-0006-0000-0100-00004E020000}">
      <text>
        <r>
          <rPr>
            <b/>
            <sz val="9"/>
            <rFont val="Tahoma"/>
            <family val="2"/>
          </rPr>
          <t>Author1:
Adjusted for restricted cash</t>
        </r>
      </text>
    </comment>
    <comment ref="BM1206" authorId="0" shapeId="0" xr:uid="{00000000-0006-0000-0100-00004F020000}">
      <text>
        <r>
          <rPr>
            <b/>
            <sz val="9"/>
            <rFont val="Tahoma"/>
            <family val="2"/>
          </rPr>
          <t>Author1:
Adjusted for restricted cash</t>
        </r>
      </text>
    </comment>
    <comment ref="BN1206" authorId="0" shapeId="0" xr:uid="{00000000-0006-0000-0100-000050020000}">
      <text>
        <r>
          <rPr>
            <b/>
            <sz val="9"/>
            <rFont val="Tahoma"/>
            <family val="2"/>
          </rPr>
          <t>Author1:
Adjusted for restricted cash</t>
        </r>
      </text>
    </comment>
    <comment ref="BO1206" authorId="0" shapeId="0" xr:uid="{00000000-0006-0000-0100-000051020000}">
      <text>
        <r>
          <rPr>
            <b/>
            <sz val="9"/>
            <rFont val="Tahoma"/>
            <family val="2"/>
          </rPr>
          <t>Author1:
Adjusted for restricted cash</t>
        </r>
      </text>
    </comment>
    <comment ref="BP1206" authorId="0" shapeId="0" xr:uid="{00000000-0006-0000-0100-000052020000}">
      <text>
        <r>
          <rPr>
            <b/>
            <sz val="9"/>
            <rFont val="Tahoma"/>
            <family val="2"/>
          </rPr>
          <t>Author1:
Adjusted for restricted cash</t>
        </r>
      </text>
    </comment>
    <comment ref="BQ1206" authorId="0" shapeId="0" xr:uid="{00000000-0006-0000-0100-000053020000}">
      <text>
        <r>
          <rPr>
            <b/>
            <sz val="9"/>
            <rFont val="Tahoma"/>
            <family val="2"/>
          </rPr>
          <t>Author1:
Adjusted for restricted cash</t>
        </r>
      </text>
    </comment>
    <comment ref="BT1206" authorId="0" shapeId="0" xr:uid="{00000000-0006-0000-0100-000054020000}">
      <text>
        <r>
          <rPr>
            <b/>
            <sz val="9"/>
            <rFont val="Tahoma"/>
            <family val="2"/>
          </rPr>
          <t>Author1:</t>
        </r>
        <r>
          <rPr>
            <sz val="9"/>
            <rFont val="Tahoma"/>
            <family val="2"/>
          </rPr>
          <t xml:space="preserve">
Adjusted for restricted cash</t>
        </r>
      </text>
    </comment>
    <comment ref="AJ1210" authorId="0" shapeId="0" xr:uid="{00000000-0006-0000-0100-000055020000}">
      <text>
        <r>
          <rPr>
            <b/>
            <sz val="9"/>
            <rFont val="Tahoma"/>
            <family val="2"/>
          </rPr>
          <t>Author1:
The break-down of content assets can be found in the key metrics section for periods prior to Q1 2019. However, that breakdown includes current as well as non-current content assets. From Q1 2019, Company1933 has categorized all current content assets into non-current content assets .</t>
        </r>
      </text>
    </comment>
    <comment ref="AN1215" authorId="0" shapeId="0" xr:uid="{00000000-0006-0000-0100-000056020000}">
      <text>
        <r>
          <rPr>
            <b/>
            <sz val="9"/>
            <rFont val="Tahoma"/>
            <family val="2"/>
          </rPr>
          <t xml:space="preserve">Author1:
DVD content assets have been reclassified from "Non-current content assets, net" to "Other non-current assets" </t>
        </r>
      </text>
    </comment>
    <comment ref="AO1215" authorId="0" shapeId="0" xr:uid="{00000000-0006-0000-0100-000057020000}">
      <text>
        <r>
          <rPr>
            <b/>
            <sz val="9"/>
            <rFont val="Tahoma"/>
            <family val="2"/>
          </rPr>
          <t xml:space="preserve">Author1:
DVD content assets have been reclassified from "Non-current content assets, net" to "Other non-current assets" </t>
        </r>
      </text>
    </comment>
    <comment ref="AK1216" authorId="0" shapeId="0" xr:uid="{00000000-0006-0000-0100-000058020000}">
      <text>
        <r>
          <rPr>
            <b/>
            <sz val="9"/>
            <rFont val="Tahoma"/>
            <family val="2"/>
          </rPr>
          <t>Author1:
From Q1 2019, Company1933 has categorized all current content assets into non-current content assets.</t>
        </r>
      </text>
    </comment>
    <comment ref="AE1219" authorId="0" shapeId="0" xr:uid="{00000000-0006-0000-0100-000059020000}">
      <text>
        <r>
          <rPr>
            <b/>
            <sz val="9"/>
            <rFont val="Tahoma"/>
            <family val="2"/>
          </rPr>
          <t>Author1:
Reported as 4.4mm in restricted cash embedded in other non-current assets.</t>
        </r>
      </text>
    </comment>
    <comment ref="AO1221" authorId="0" shapeId="0" xr:uid="{00000000-0006-0000-0100-00005C020000}">
      <text>
        <r>
          <rPr>
            <b/>
            <sz val="9"/>
            <rFont val="Tahoma"/>
            <family val="2"/>
          </rPr>
          <t>Author1:
Adjusted for restricted cash</t>
        </r>
      </text>
    </comment>
    <comment ref="AP1221" authorId="0" shapeId="0" xr:uid="{00000000-0006-0000-0100-00005D020000}">
      <text>
        <r>
          <rPr>
            <b/>
            <sz val="9"/>
            <rFont val="Tahoma"/>
            <family val="2"/>
          </rPr>
          <t>Author1:
Adjusted for restricted cash</t>
        </r>
      </text>
    </comment>
    <comment ref="AQ1221" authorId="0" shapeId="0" xr:uid="{00000000-0006-0000-0100-00005E020000}">
      <text>
        <r>
          <rPr>
            <b/>
            <sz val="9"/>
            <rFont val="Tahoma"/>
            <family val="2"/>
          </rPr>
          <t>Author1:
Adjusted for restricted cash</t>
        </r>
      </text>
    </comment>
    <comment ref="AR1221" authorId="0" shapeId="0" xr:uid="{00000000-0006-0000-0100-00005F020000}">
      <text>
        <r>
          <rPr>
            <b/>
            <sz val="9"/>
            <rFont val="Tahoma"/>
            <family val="2"/>
          </rPr>
          <t>Author1:
Adjusted for restricted cash</t>
        </r>
      </text>
    </comment>
    <comment ref="AS1221" authorId="0" shapeId="0" xr:uid="{00000000-0006-0000-0100-000060020000}">
      <text>
        <r>
          <rPr>
            <b/>
            <sz val="9"/>
            <rFont val="Tahoma"/>
            <family val="2"/>
          </rPr>
          <t>Author1:
Adjusted for restricted cash and ROU assets</t>
        </r>
      </text>
    </comment>
    <comment ref="AT1221" authorId="0" shapeId="0" xr:uid="{00000000-0006-0000-0100-000061020000}">
      <text>
        <r>
          <rPr>
            <b/>
            <sz val="9"/>
            <rFont val="Tahoma"/>
            <family val="2"/>
          </rPr>
          <t>Author1:
Adjusted for restricted cash and ROU assets</t>
        </r>
      </text>
    </comment>
    <comment ref="AU1221" authorId="0" shapeId="0" xr:uid="{00000000-0006-0000-0100-000062020000}">
      <text>
        <r>
          <rPr>
            <b/>
            <sz val="9"/>
            <rFont val="Tahoma"/>
            <family val="2"/>
          </rPr>
          <t>Author1:
Adjusted for restricted cash and ROU assets</t>
        </r>
      </text>
    </comment>
    <comment ref="AV1221" authorId="0" shapeId="0" xr:uid="{00000000-0006-0000-0100-000063020000}">
      <text>
        <r>
          <rPr>
            <b/>
            <sz val="9"/>
            <rFont val="Tahoma"/>
            <family val="2"/>
          </rPr>
          <t>Author1:
Adjusted for restricted cash and ROU assets</t>
        </r>
      </text>
    </comment>
    <comment ref="AW1221" authorId="0" shapeId="0" xr:uid="{00000000-0006-0000-0100-000064020000}">
      <text>
        <r>
          <rPr>
            <b/>
            <sz val="9"/>
            <rFont val="Tahoma"/>
            <family val="2"/>
          </rPr>
          <t>Author1:
Adjusted for restricted cash and ROU assets</t>
        </r>
      </text>
    </comment>
    <comment ref="AX1221" authorId="0" shapeId="0" xr:uid="{00000000-0006-0000-0100-000065020000}">
      <text>
        <r>
          <rPr>
            <b/>
            <sz val="9"/>
            <rFont val="Tahoma"/>
            <family val="2"/>
          </rPr>
          <t>Author1:
Adjusted for restricted cash and ROU assets</t>
        </r>
      </text>
    </comment>
    <comment ref="AY1221" authorId="0" shapeId="0" xr:uid="{00000000-0006-0000-0100-000066020000}">
      <text>
        <r>
          <rPr>
            <b/>
            <sz val="9"/>
            <rFont val="Tahoma"/>
            <family val="2"/>
          </rPr>
          <t>Author1:
Adjusted for restricted cash and ROU assets</t>
        </r>
      </text>
    </comment>
    <comment ref="AZ1221" authorId="0" shapeId="0" xr:uid="{00000000-0006-0000-0100-000067020000}">
      <text>
        <r>
          <rPr>
            <b/>
            <sz val="9"/>
            <rFont val="Tahoma"/>
            <family val="2"/>
          </rPr>
          <t>Author1:
Adjusted for restricted cash and ROU assets</t>
        </r>
      </text>
    </comment>
    <comment ref="BA1221" authorId="0" shapeId="0" xr:uid="{00000000-0006-0000-0100-000068020000}">
      <text>
        <r>
          <rPr>
            <b/>
            <sz val="9"/>
            <rFont val="Tahoma"/>
            <family val="2"/>
          </rPr>
          <t>Author1:
Adjusted for restricted cash and ROU assets</t>
        </r>
      </text>
    </comment>
    <comment ref="BB1221" authorId="0" shapeId="0" xr:uid="{00000000-0006-0000-0100-000069020000}">
      <text>
        <r>
          <rPr>
            <b/>
            <sz val="9"/>
            <rFont val="Tahoma"/>
            <family val="2"/>
          </rPr>
          <t>Author1:
Adjusted for restricted cash</t>
        </r>
      </text>
    </comment>
    <comment ref="BC1221" authorId="0" shapeId="0" xr:uid="{00000000-0006-0000-0100-00006A020000}">
      <text>
        <r>
          <rPr>
            <b/>
            <sz val="9"/>
            <rFont val="Tahoma"/>
            <family val="2"/>
          </rPr>
          <t>Author1:
Adjusted for restricted cash</t>
        </r>
      </text>
    </comment>
    <comment ref="BD1221" authorId="0" shapeId="0" xr:uid="{00000000-0006-0000-0100-00006B020000}">
      <text>
        <r>
          <rPr>
            <b/>
            <sz val="9"/>
            <rFont val="Tahoma"/>
            <family val="2"/>
          </rPr>
          <t>Author1:
Adjusted for restricted cash</t>
        </r>
      </text>
    </comment>
    <comment ref="BE1221" authorId="0" shapeId="0" xr:uid="{00000000-0006-0000-0100-00006C020000}">
      <text>
        <r>
          <rPr>
            <b/>
            <sz val="9"/>
            <rFont val="Tahoma"/>
            <family val="2"/>
          </rPr>
          <t>Author1:
Adjusted for restricted cash and ROU assets</t>
        </r>
      </text>
    </comment>
    <comment ref="BF1221" authorId="0" shapeId="0" xr:uid="{00000000-0006-0000-0100-00006D020000}">
      <text>
        <r>
          <rPr>
            <b/>
            <sz val="9"/>
            <rFont val="Tahoma"/>
            <family val="2"/>
          </rPr>
          <t>Author1:
Adjusted for restricted cash and ROU assets</t>
        </r>
      </text>
    </comment>
    <comment ref="BG1221" authorId="0" shapeId="0" xr:uid="{00000000-0006-0000-0100-00006E020000}">
      <text>
        <r>
          <rPr>
            <b/>
            <sz val="9"/>
            <rFont val="Tahoma"/>
            <family val="2"/>
          </rPr>
          <t>Author1:
Adjusted for restricted cash and ROU assets</t>
        </r>
      </text>
    </comment>
    <comment ref="BH1221" authorId="0" shapeId="0" xr:uid="{00000000-0006-0000-0100-00006F020000}">
      <text>
        <r>
          <rPr>
            <b/>
            <sz val="9"/>
            <rFont val="Tahoma"/>
            <family val="2"/>
          </rPr>
          <t>Author1:
Adjusted for restricted cash and ROU assets</t>
        </r>
      </text>
    </comment>
    <comment ref="BI1221" authorId="0" shapeId="0" xr:uid="{00000000-0006-0000-0100-000070020000}">
      <text>
        <r>
          <rPr>
            <b/>
            <sz val="9"/>
            <rFont val="Tahoma"/>
            <family val="2"/>
          </rPr>
          <t>Author1:
Adjusted for restricted cash and ROU assets</t>
        </r>
      </text>
    </comment>
    <comment ref="BJ1221" authorId="0" shapeId="0" xr:uid="{00000000-0006-0000-0100-000071020000}">
      <text>
        <r>
          <rPr>
            <b/>
            <sz val="9"/>
            <rFont val="Tahoma"/>
            <family val="2"/>
          </rPr>
          <t>Author1:
Adjusted for restricted cash and ROU assets</t>
        </r>
      </text>
    </comment>
    <comment ref="BK1221" authorId="0" shapeId="0" xr:uid="{00000000-0006-0000-0100-000072020000}">
      <text>
        <r>
          <rPr>
            <b/>
            <sz val="9"/>
            <rFont val="Tahoma"/>
            <family val="2"/>
          </rPr>
          <t>Author1:
Adjusted for restricted cash and ROU assets</t>
        </r>
      </text>
    </comment>
    <comment ref="BL1221" authorId="0" shapeId="0" xr:uid="{00000000-0006-0000-0100-000073020000}">
      <text>
        <r>
          <rPr>
            <b/>
            <sz val="9"/>
            <rFont val="Tahoma"/>
            <family val="2"/>
          </rPr>
          <t>Author1:
Adjusted for restricted cash and ROU assets</t>
        </r>
      </text>
    </comment>
    <comment ref="BM1221" authorId="0" shapeId="0" xr:uid="{00000000-0006-0000-0100-000074020000}">
      <text>
        <r>
          <rPr>
            <b/>
            <sz val="9"/>
            <rFont val="Tahoma"/>
            <family val="2"/>
          </rPr>
          <t>Author1:
Adjusted for restricted cash and ROU assets</t>
        </r>
      </text>
    </comment>
    <comment ref="BN1221" authorId="0" shapeId="0" xr:uid="{00000000-0006-0000-0100-000075020000}">
      <text>
        <r>
          <rPr>
            <b/>
            <sz val="9"/>
            <rFont val="Tahoma"/>
            <family val="2"/>
          </rPr>
          <t>Author1:
Adjusted for restricted cash and ROU assets</t>
        </r>
      </text>
    </comment>
    <comment ref="BO1221" authorId="0" shapeId="0" xr:uid="{00000000-0006-0000-0100-000076020000}">
      <text>
        <r>
          <rPr>
            <b/>
            <sz val="9"/>
            <rFont val="Tahoma"/>
            <family val="2"/>
          </rPr>
          <t>Author1:
Adjusted for restricted cash and ROU assets</t>
        </r>
      </text>
    </comment>
    <comment ref="BP1221" authorId="0" shapeId="0" xr:uid="{00000000-0006-0000-0100-000077020000}">
      <text>
        <r>
          <rPr>
            <b/>
            <sz val="9"/>
            <rFont val="Tahoma"/>
            <family val="2"/>
          </rPr>
          <t>Author1:
Adjusted for restricted cash and ROU assets</t>
        </r>
      </text>
    </comment>
    <comment ref="BQ1221" authorId="0" shapeId="0" xr:uid="{00000000-0006-0000-0100-000078020000}">
      <text>
        <r>
          <rPr>
            <b/>
            <sz val="9"/>
            <rFont val="Tahoma"/>
            <family val="2"/>
          </rPr>
          <t>Author1:
Adjusted for restricted cash and ROU assets</t>
        </r>
      </text>
    </comment>
    <comment ref="BT1221" authorId="0" shapeId="0" xr:uid="{00000000-0006-0000-0100-000079020000}">
      <text>
        <r>
          <rPr>
            <b/>
            <sz val="9"/>
            <rFont val="Tahoma"/>
            <family val="2"/>
          </rPr>
          <t>Author1:</t>
        </r>
        <r>
          <rPr>
            <sz val="9"/>
            <rFont val="Tahoma"/>
            <family val="2"/>
          </rPr>
          <t xml:space="preserve">
Adjusted for restricted cash and ROU assets</t>
        </r>
      </text>
    </comment>
    <comment ref="BR1229" authorId="0" shapeId="0" xr:uid="{00000000-0006-0000-0100-00007B020000}">
      <text>
        <r>
          <rPr>
            <b/>
            <sz val="9"/>
            <rFont val="Tahoma"/>
            <family val="2"/>
          </rPr>
          <t>Author1:
Forecasting period for this line item only forecasts accrued interest and taxes</t>
        </r>
      </text>
    </comment>
    <comment ref="BU1229" authorId="0" shapeId="0" xr:uid="{00000000-0006-0000-0100-00007C020000}">
      <text>
        <r>
          <rPr>
            <b/>
            <sz val="9"/>
            <rFont val="Tahoma"/>
            <family val="2"/>
          </rPr>
          <t>Author1:
Forecasting period for this line item only forecasts accrued interest and taxes</t>
        </r>
      </text>
    </comment>
    <comment ref="BV1229" authorId="0" shapeId="0" xr:uid="{00000000-0006-0000-0100-00007D020000}">
      <text>
        <r>
          <rPr>
            <b/>
            <sz val="9"/>
            <rFont val="Tahoma"/>
            <family val="2"/>
          </rPr>
          <t>Author1:
Forecasting period for this line item only forecasts accrued interest and taxes</t>
        </r>
      </text>
    </comment>
    <comment ref="BW1229" authorId="0" shapeId="0" xr:uid="{00000000-0006-0000-0100-00007E020000}">
      <text>
        <r>
          <rPr>
            <b/>
            <sz val="9"/>
            <rFont val="Tahoma"/>
            <family val="2"/>
          </rPr>
          <t>Author1:
Forecasting period for this line item only forecasts accrued interest and taxes</t>
        </r>
      </text>
    </comment>
    <comment ref="BX1229" authorId="0" shapeId="0" xr:uid="{00000000-0006-0000-0100-00007F020000}">
      <text>
        <r>
          <rPr>
            <b/>
            <sz val="9"/>
            <rFont val="Tahoma"/>
            <family val="2"/>
          </rPr>
          <t>Author1:
Forecasting period for this line item only forecasts accrued interest and taxes</t>
        </r>
      </text>
    </comment>
    <comment ref="BY1229" authorId="0" shapeId="0" xr:uid="{C39FB293-28E8-4A9D-93BD-A9393BA8C05C}">
      <text>
        <r>
          <rPr>
            <b/>
            <sz val="9"/>
            <rFont val="Tahoma"/>
            <family val="2"/>
          </rPr>
          <t>Author1:
Forecasting period for this line item only forecasts accrued interest and taxes</t>
        </r>
      </text>
    </comment>
    <comment ref="BZ1229" authorId="0" shapeId="0" xr:uid="{F1ADF693-B9CE-46E0-BF57-2EA350D0D404}">
      <text>
        <r>
          <rPr>
            <b/>
            <sz val="9"/>
            <rFont val="Tahoma"/>
            <family val="2"/>
          </rPr>
          <t>Author1:
Forecasting period for this line item only forecasts accrued interest and taxes</t>
        </r>
      </text>
    </comment>
    <comment ref="CA1229" authorId="0" shapeId="0" xr:uid="{22CA527D-B2FE-45DE-B524-DC4E8BE3E17C}">
      <text>
        <r>
          <rPr>
            <b/>
            <sz val="9"/>
            <rFont val="Tahoma"/>
            <family val="2"/>
          </rPr>
          <t>Author1:
Forecasting period for this line item only forecasts accrued interest and taxes</t>
        </r>
      </text>
    </comment>
    <comment ref="CB1229" authorId="0" shapeId="0" xr:uid="{B9ACCBF4-3470-4219-B49E-73CE8A8A14CA}">
      <text>
        <r>
          <rPr>
            <b/>
            <sz val="9"/>
            <rFont val="Tahoma"/>
            <family val="2"/>
          </rPr>
          <t>Author1:
Forecasting period for this line item only forecasts accrued interest and taxes</t>
        </r>
      </text>
    </comment>
    <comment ref="CC1229" authorId="0" shapeId="0" xr:uid="{5C1CF048-030A-42F3-9A2C-9DFD8709D6E5}">
      <text>
        <r>
          <rPr>
            <b/>
            <sz val="9"/>
            <rFont val="Tahoma"/>
            <family val="2"/>
          </rPr>
          <t>Author1:
Forecasting period for this line item only forecasts accrued interest and taxes</t>
        </r>
      </text>
    </comment>
    <comment ref="CD1229" authorId="0" shapeId="0" xr:uid="{704C7DED-7671-4E38-8412-DC783B30E930}">
      <text>
        <r>
          <rPr>
            <b/>
            <sz val="9"/>
            <rFont val="Tahoma"/>
            <family val="2"/>
          </rPr>
          <t>Author1:
Forecasting period for this line item only forecasts accrued interest and taxes</t>
        </r>
      </text>
    </comment>
    <comment ref="CE1229" authorId="0" shapeId="0" xr:uid="{4A3E9AEF-7D7A-48A1-A8EB-24135A32294A}">
      <text>
        <r>
          <rPr>
            <b/>
            <sz val="9"/>
            <rFont val="Tahoma"/>
            <family val="2"/>
          </rPr>
          <t>Author1:
Forecasting period for this line item only forecasts accrued interest and taxes</t>
        </r>
      </text>
    </comment>
    <comment ref="CF1229" authorId="0" shapeId="0" xr:uid="{39A1A372-2F5B-425F-A6A2-59FBA82386B0}">
      <text>
        <r>
          <rPr>
            <b/>
            <sz val="9"/>
            <rFont val="Tahoma"/>
            <family val="2"/>
          </rPr>
          <t>Author1:
Forecasting period for this line item only forecasts accrued interest and taxes</t>
        </r>
      </text>
    </comment>
    <comment ref="AK1234" authorId="0" shapeId="0" xr:uid="{00000000-0006-0000-0100-000083020000}">
      <text>
        <r>
          <rPr>
            <b/>
            <sz val="9"/>
            <rFont val="Tahoma"/>
            <family val="2"/>
          </rPr>
          <t>Author1:
contains 122.498 current operating lease liabilities</t>
        </r>
      </text>
    </comment>
    <comment ref="AL1234" authorId="0" shapeId="0" xr:uid="{00000000-0006-0000-0100-000084020000}">
      <text>
        <r>
          <rPr>
            <b/>
            <sz val="9"/>
            <rFont val="Tahoma"/>
            <family val="2"/>
          </rPr>
          <t>Author1:
contains 137.662 current operating lease liabilities</t>
        </r>
      </text>
    </comment>
    <comment ref="AM1234" authorId="0" shapeId="0" xr:uid="{00000000-0006-0000-0100-000085020000}">
      <text>
        <r>
          <rPr>
            <b/>
            <sz val="9"/>
            <rFont val="Tahoma"/>
            <family val="2"/>
          </rPr>
          <t>Author1:
contains 160.941 current operating lease liabilities</t>
        </r>
      </text>
    </comment>
    <comment ref="AN1234" authorId="0" shapeId="0" xr:uid="{00000000-0006-0000-0100-000086020000}">
      <text>
        <r>
          <rPr>
            <b/>
            <sz val="9"/>
            <rFont val="Tahoma"/>
            <family val="2"/>
          </rPr>
          <t>Author1:
contains 190.622 current operating lease liabilities</t>
        </r>
      </text>
    </comment>
    <comment ref="AO1234" authorId="0" shapeId="0" xr:uid="{00000000-0006-0000-0100-000087020000}">
      <text>
        <r>
          <rPr>
            <b/>
            <sz val="9"/>
            <rFont val="Tahoma"/>
            <family val="2"/>
          </rPr>
          <t>Author1:
contains 190.622 current operating lease liabilities</t>
        </r>
      </text>
    </comment>
    <comment ref="AK1243" authorId="0" shapeId="0" xr:uid="{00000000-0006-0000-0100-000089020000}">
      <text>
        <r>
          <rPr>
            <b/>
            <sz val="9"/>
            <rFont val="Tahoma"/>
            <family val="2"/>
          </rPr>
          <t>Author1:
contains 765.024 non-current lease liabilities</t>
        </r>
      </text>
    </comment>
    <comment ref="AL1243" authorId="0" shapeId="0" xr:uid="{00000000-0006-0000-0100-00008A020000}">
      <text>
        <r>
          <rPr>
            <b/>
            <sz val="9"/>
            <rFont val="Tahoma"/>
            <family val="2"/>
          </rPr>
          <t>Author1:
contains 946.320 non-current operating lease liabilities</t>
        </r>
      </text>
    </comment>
    <comment ref="AM1243" authorId="0" shapeId="0" xr:uid="{00000000-0006-0000-0100-00008B020000}">
      <text>
        <r>
          <rPr>
            <b/>
            <sz val="9"/>
            <rFont val="Tahoma"/>
            <family val="2"/>
          </rPr>
          <t>Author1:
contains 952.678 non-current operating lease liabilities</t>
        </r>
      </text>
    </comment>
    <comment ref="AN1243" authorId="0" shapeId="0" xr:uid="{00000000-0006-0000-0100-00008C020000}">
      <text>
        <r>
          <rPr>
            <b/>
            <sz val="9"/>
            <rFont val="Tahoma"/>
            <family val="2"/>
          </rPr>
          <t>Author1:
contains 1422.612 non-current operating lease liabilities</t>
        </r>
      </text>
    </comment>
    <comment ref="AO1243" authorId="0" shapeId="0" xr:uid="{00000000-0006-0000-0100-00008D020000}">
      <text>
        <r>
          <rPr>
            <b/>
            <sz val="9"/>
            <rFont val="Tahoma"/>
            <family val="2"/>
          </rPr>
          <t>Author1:
contains 1422.612 non-current operating lease liabilities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BS6" authorId="0" shapeId="0" xr:uid="{00000000-0006-0000-0200-000001000000}">
      <text>
        <r>
          <rPr>
            <b/>
            <sz val="9"/>
            <rFont val="Tahoma"/>
            <family val="2"/>
          </rPr>
          <t>Author1:</t>
        </r>
        <r>
          <rPr>
            <sz val="9"/>
            <rFont val="Tahoma"/>
            <family val="2"/>
          </rPr>
          <t xml:space="preserve">
To be updated with release of proxy filing.</t>
        </r>
      </text>
    </comment>
    <comment ref="BI463" authorId="0" shapeId="0" xr:uid="{00000000-0006-0000-0200-000002000000}">
      <text>
        <r>
          <rPr>
            <b/>
            <sz val="9"/>
            <rFont val="Tahoma"/>
            <family val="2"/>
          </rPr>
          <t>Author1:
Only Co-CEO</t>
        </r>
      </text>
    </comment>
    <comment ref="BI725" authorId="0" shapeId="0" xr:uid="{00000000-0006-0000-0200-000003000000}">
      <text>
        <r>
          <rPr>
            <b/>
            <sz val="9"/>
            <rFont val="Tahoma"/>
            <family val="2"/>
          </rPr>
          <t>Author1:
No one holding this position in FY23</t>
        </r>
      </text>
    </comment>
    <comment ref="BI1739" authorId="0" shapeId="0" xr:uid="{00000000-0006-0000-0200-000004000000}">
      <text>
        <r>
          <rPr>
            <b/>
            <sz val="9"/>
            <rFont val="Tahoma"/>
            <family val="2"/>
          </rPr>
          <t>Author1:
1 female African American and 1 male African American</t>
        </r>
      </text>
    </comment>
    <comment ref="BN1739" authorId="0" shapeId="0" xr:uid="{00000000-0006-0000-0200-000005000000}">
      <text>
        <r>
          <rPr>
            <b/>
            <sz val="9"/>
            <rFont val="Tahoma"/>
            <family val="2"/>
            <charset val="1"/>
          </rPr>
          <t>Author1:</t>
        </r>
        <r>
          <rPr>
            <sz val="9"/>
            <rFont val="Tahoma"/>
            <family val="2"/>
            <charset val="1"/>
          </rPr>
          <t xml:space="preserve">
Self-identified characteristics of our directors include race/ethnicity (2 directors) and/or gender (4 directors).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AJ23" authorId="0" shapeId="0" xr:uid="{00000000-0006-0000-0300-000002000000}">
      <text>
        <r>
          <rPr>
            <b/>
            <sz val="9"/>
            <rFont val="Tahoma"/>
            <family val="2"/>
          </rPr>
          <t>Author1:
of which approximately 6,900 supported streaming segments</t>
        </r>
      </text>
    </comment>
    <comment ref="BN23" authorId="0" shapeId="0" xr:uid="{00000000-0006-0000-0300-000003000000}">
      <text>
        <r>
          <rPr>
            <b/>
            <sz val="9"/>
            <rFont val="Tahoma"/>
            <family val="2"/>
          </rPr>
          <t>Author1:</t>
        </r>
        <r>
          <rPr>
            <sz val="9"/>
            <rFont val="Tahoma"/>
            <family val="2"/>
          </rPr>
          <t xml:space="preserve">
As of December 31, 2024, the company had approximately 14,000 full-time employees. Of these, approximately 9,600 (69%) were located in the United States and Canada, 2,200 (16%) in Europe, Middle East, and Africa, 600 (4%) in Latin America and 1,600 (11%) in Asia-Pacific. </t>
        </r>
      </text>
    </comment>
    <comment ref="A38" authorId="0" shapeId="0" xr:uid="{00000000-0006-0000-0300-000004000000}">
      <text>
        <r>
          <rPr>
            <b/>
            <sz val="9"/>
            <rFont val="Tahoma"/>
            <family val="2"/>
          </rPr>
          <t>Author1:
Reported COGS includes amortization charges.</t>
        </r>
      </text>
    </comment>
    <comment ref="F66" authorId="0" shapeId="0" xr:uid="{00000000-0006-0000-0300-000005000000}">
      <text>
        <r>
          <rPr>
            <b/>
            <sz val="9"/>
            <rFont val="Tahoma"/>
            <family val="2"/>
          </rPr>
          <t>Author1:
Calculation based on EOP membership instead of average membership in period.</t>
        </r>
      </text>
    </comment>
    <comment ref="V82" authorId="0" shapeId="0" xr:uid="{00000000-0006-0000-0300-000006000000}">
      <text>
        <r>
          <rPr>
            <b/>
            <sz val="9"/>
            <rFont val="Tahoma"/>
            <family val="2"/>
          </rPr>
          <t>Author1:
Not reported prior to this period</t>
        </r>
      </text>
    </comment>
    <comment ref="AK82" authorId="0" shapeId="0" xr:uid="{00000000-0006-0000-0300-000007000000}">
      <text>
        <r>
          <rPr>
            <b/>
            <sz val="9"/>
            <rFont val="Tahoma"/>
            <family val="2"/>
          </rPr>
          <t>Author1:
From Q1 2019, Company1933 has categorized all current content assets into non-current content assets. The break-down of content assets can be found in the balance sheet starting Q1 2019</t>
        </r>
      </text>
    </comment>
    <comment ref="A89" authorId="0" shapeId="0" xr:uid="{00000000-0006-0000-0300-000008000000}">
      <text>
        <r>
          <rPr>
            <b/>
            <sz val="9"/>
            <rFont val="Tahoma"/>
            <family val="2"/>
          </rPr>
          <t>Author1:
Includes current and non-current content assets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A4" authorId="0" shapeId="0" xr:uid="{00000000-0006-0000-0400-000001000000}">
      <text>
        <r>
          <rPr>
            <b/>
            <sz val="9"/>
            <rFont val="Tahoma"/>
            <family val="2"/>
          </rPr>
          <t>Author1:
Sort Largest to Smallest to return to default.</t>
        </r>
      </text>
    </comment>
    <comment ref="N8" authorId="0" shapeId="0" xr:uid="{00000000-0006-0000-0400-000002000000}">
      <text>
        <r>
          <rPr>
            <b/>
            <sz val="9"/>
            <rFont val="Tahoma"/>
            <family val="2"/>
          </rPr>
          <t>Author1:
Not currently forecasted</t>
        </r>
      </text>
    </comment>
    <comment ref="K9" authorId="0" shapeId="0" xr:uid="{00000000-0006-0000-0400-000003000000}">
      <text>
        <r>
          <rPr>
            <b/>
            <sz val="9"/>
            <rFont val="Tahoma"/>
            <family val="2"/>
          </rPr>
          <t>Author1:</t>
        </r>
        <r>
          <rPr>
            <sz val="9"/>
            <rFont val="Tahoma"/>
            <family val="2"/>
          </rPr>
          <t xml:space="preserve">
based on 1/1/26 F/X rates</t>
        </r>
      </text>
    </comment>
    <comment ref="N13" authorId="0" shapeId="0" xr:uid="{00000000-0006-0000-0400-000004000000}">
      <text>
        <r>
          <rPr>
            <b/>
            <sz val="9"/>
            <rFont val="Tahoma"/>
            <family val="2"/>
          </rPr>
          <t>Author1:
Not currently forecasted</t>
        </r>
      </text>
    </comment>
    <comment ref="N21" authorId="0" shapeId="0" xr:uid="{00000000-0006-0000-0400-000005000000}">
      <text>
        <r>
          <rPr>
            <b/>
            <sz val="9"/>
            <rFont val="Tahoma"/>
            <family val="2"/>
          </rPr>
          <t>Author1:
Not currently forecasted</t>
        </r>
      </text>
    </comment>
    <comment ref="K22" authorId="0" shapeId="0" xr:uid="{00000000-0006-0000-0400-000006000000}">
      <text>
        <r>
          <rPr>
            <b/>
            <sz val="9"/>
            <rFont val="Tahoma"/>
            <family val="2"/>
          </rPr>
          <t>Author1:</t>
        </r>
        <r>
          <rPr>
            <sz val="9"/>
            <rFont val="Tahoma"/>
            <family val="2"/>
          </rPr>
          <t xml:space="preserve">
based on 1/1/26 F/X rates</t>
        </r>
      </text>
    </comment>
    <comment ref="N33" authorId="0" shapeId="0" xr:uid="{00000000-0006-0000-0400-000007000000}">
      <text>
        <r>
          <rPr>
            <b/>
            <sz val="9"/>
            <rFont val="Tahoma"/>
            <family val="2"/>
          </rPr>
          <t>Author1:
Not currently forecasted</t>
        </r>
      </text>
    </comment>
    <comment ref="K34" authorId="0" shapeId="0" xr:uid="{00000000-0006-0000-0400-000008000000}">
      <text>
        <r>
          <rPr>
            <b/>
            <sz val="9"/>
            <rFont val="Tahoma"/>
            <family val="2"/>
          </rPr>
          <t>Author1:</t>
        </r>
        <r>
          <rPr>
            <sz val="9"/>
            <rFont val="Tahoma"/>
            <family val="2"/>
          </rPr>
          <t xml:space="preserve">
both reported and based on F/X rates as of
1/1/25</t>
        </r>
      </text>
    </comment>
    <comment ref="N38" authorId="0" shapeId="0" xr:uid="{00000000-0006-0000-0400-000009000000}">
      <text>
        <r>
          <rPr>
            <b/>
            <sz val="9"/>
            <rFont val="Tahoma"/>
            <family val="2"/>
          </rPr>
          <t>Author1:
Not currently forecasted</t>
        </r>
      </text>
    </comment>
    <comment ref="K44" authorId="0" shapeId="0" xr:uid="{00000000-0006-0000-0400-00000A000000}">
      <text>
        <r>
          <rPr>
            <b/>
            <sz val="10"/>
            <rFont val="Tahoma"/>
            <family val="2"/>
          </rPr>
          <t>Author1:
Based on January 1, 2025 F/X rates</t>
        </r>
      </text>
    </comment>
    <comment ref="N46" authorId="0" shapeId="0" xr:uid="{00000000-0006-0000-0400-00000B000000}">
      <text>
        <r>
          <rPr>
            <b/>
            <sz val="9"/>
            <rFont val="Tahoma"/>
            <family val="2"/>
          </rPr>
          <t>Author1:
Not currently forecasted</t>
        </r>
      </text>
    </comment>
    <comment ref="K47" authorId="0" shapeId="0" xr:uid="{00000000-0006-0000-0400-00000C000000}">
      <text>
        <r>
          <rPr>
            <b/>
            <sz val="10"/>
            <rFont val="Tahoma"/>
            <family val="2"/>
          </rPr>
          <t xml:space="preserve">Author1:
Based on January 1, 2025 F/X rates.
At current F/X rates, this would equate to roughly a 30%
operating margin for 2025 on a reported basis.
</t>
        </r>
      </text>
    </comment>
    <comment ref="K51" authorId="0" shapeId="0" xr:uid="{00000000-0006-0000-0400-00000D000000}">
      <text>
        <r>
          <rPr>
            <b/>
            <sz val="9"/>
            <rFont val="Tahoma"/>
            <family val="2"/>
          </rPr>
          <t>Author1:</t>
        </r>
        <r>
          <rPr>
            <sz val="9"/>
            <rFont val="Tahoma"/>
            <family val="2"/>
          </rPr>
          <t xml:space="preserve">
In Q3’25, we expect revenue growth of 17% (on both a reported and F/X neutral basis) driven by growth
in members, pricing and advertising revenue. </t>
        </r>
      </text>
    </comment>
    <comment ref="N51" authorId="0" shapeId="0" xr:uid="{00000000-0006-0000-0400-00000E000000}">
      <text>
        <r>
          <rPr>
            <b/>
            <sz val="9"/>
            <rFont val="Tahoma"/>
            <family val="2"/>
          </rPr>
          <t>Author1:
Not currently forecasted</t>
        </r>
      </text>
    </comment>
    <comment ref="K57" authorId="0" shapeId="0" xr:uid="{00000000-0006-0000-0400-00000F000000}">
      <text>
        <r>
          <rPr>
            <b/>
            <sz val="10"/>
            <rFont val="Tahoma"/>
            <family val="2"/>
          </rPr>
          <t>Author1:
Based on January 1, 2025 F/X rates</t>
        </r>
      </text>
    </comment>
    <comment ref="K58" authorId="0" shapeId="0" xr:uid="{00000000-0006-0000-0400-000010000000}">
      <text>
        <r>
          <rPr>
            <b/>
            <sz val="9"/>
            <rFont val="Tahoma"/>
            <family val="2"/>
          </rPr>
          <t>Author1:</t>
        </r>
        <r>
          <rPr>
            <sz val="9"/>
            <rFont val="Tahoma"/>
            <family val="2"/>
          </rPr>
          <t xml:space="preserve">
No material change since last guidance</t>
        </r>
      </text>
    </comment>
    <comment ref="K59" authorId="0" shapeId="0" xr:uid="{00000000-0006-0000-0400-000011000000}">
      <text>
        <r>
          <rPr>
            <b/>
            <sz val="9"/>
            <rFont val="Tahoma"/>
            <family val="2"/>
          </rPr>
          <t>Author1:</t>
        </r>
        <r>
          <rPr>
            <sz val="9"/>
            <rFont val="Tahoma"/>
            <family val="2"/>
          </rPr>
          <t xml:space="preserve">
No material change since last guidance</t>
        </r>
      </text>
    </comment>
    <comment ref="N59" authorId="0" shapeId="0" xr:uid="{00000000-0006-0000-0400-000012000000}">
      <text>
        <r>
          <rPr>
            <b/>
            <sz val="9"/>
            <rFont val="Tahoma"/>
            <family val="2"/>
          </rPr>
          <t>Author1:
Not currently forecasted</t>
        </r>
      </text>
    </comment>
    <comment ref="K60" authorId="0" shapeId="0" xr:uid="{00000000-0006-0000-0400-000013000000}">
      <text>
        <r>
          <rPr>
            <b/>
            <sz val="10"/>
            <rFont val="Tahoma"/>
            <family val="2"/>
          </rPr>
          <t>Author1:
Based on January 1, 2025 F/X rates</t>
        </r>
      </text>
    </comment>
    <comment ref="N64" authorId="0" shapeId="0" xr:uid="{00000000-0006-0000-0400-000014000000}">
      <text>
        <r>
          <rPr>
            <b/>
            <sz val="9"/>
            <rFont val="Tahoma"/>
            <family val="2"/>
          </rPr>
          <t>Author1:
Not currently forecasted</t>
        </r>
      </text>
    </comment>
    <comment ref="K70" authorId="0" shapeId="0" xr:uid="{00000000-0006-0000-0400-000015000000}">
      <text>
        <r>
          <rPr>
            <b/>
            <sz val="10"/>
            <rFont val="Tahoma"/>
            <family val="2"/>
          </rPr>
          <t>Author1:
Based on January 1, 2025 F/X rates</t>
        </r>
      </text>
    </comment>
    <comment ref="N72" authorId="0" shapeId="0" xr:uid="{00000000-0006-0000-0400-000016000000}">
      <text>
        <r>
          <rPr>
            <b/>
            <sz val="9"/>
            <rFont val="Tahoma"/>
            <family val="2"/>
          </rPr>
          <t>Author1:
Not currently forecasted</t>
        </r>
      </text>
    </comment>
    <comment ref="K73" authorId="0" shapeId="0" xr:uid="{00000000-0006-0000-0400-000017000000}">
      <text>
        <r>
          <rPr>
            <b/>
            <sz val="10"/>
            <rFont val="Tahoma"/>
            <family val="2"/>
          </rPr>
          <t>Author1:
Based on January 1, 2025 F/X rates</t>
        </r>
      </text>
    </comment>
    <comment ref="N77" authorId="0" shapeId="0" xr:uid="{00000000-0006-0000-0400-000018000000}">
      <text>
        <r>
          <rPr>
            <b/>
            <sz val="9"/>
            <rFont val="Tahoma"/>
            <family val="2"/>
          </rPr>
          <t>Author1:
Not currently forecasted</t>
        </r>
      </text>
    </comment>
    <comment ref="K83" authorId="0" shapeId="0" xr:uid="{00000000-0006-0000-0400-000019000000}">
      <text>
        <r>
          <rPr>
            <b/>
            <sz val="10"/>
            <rFont val="Tahoma"/>
            <family val="2"/>
          </rPr>
          <t>Author1:</t>
        </r>
        <r>
          <rPr>
            <sz val="10"/>
            <rFont val="Tahoma"/>
            <family val="2"/>
          </rPr>
          <t xml:space="preserve">
based on F/X rates as of 9/30/24</t>
        </r>
      </text>
    </comment>
    <comment ref="K85" authorId="0" shapeId="0" xr:uid="{00000000-0006-0000-0400-00001A000000}">
      <text>
        <r>
          <rPr>
            <b/>
            <sz val="10"/>
            <rFont val="Tahoma"/>
            <family val="2"/>
          </rPr>
          <t>Author1:</t>
        </r>
        <r>
          <rPr>
            <sz val="10"/>
            <rFont val="Tahoma"/>
            <family val="2"/>
          </rPr>
          <t xml:space="preserve">
based on F/X rates as of 9/30/24</t>
        </r>
      </text>
    </comment>
    <comment ref="K88" authorId="0" shapeId="0" xr:uid="{00000000-0006-0000-0400-00001B000000}">
      <text>
        <r>
          <rPr>
            <b/>
            <sz val="10"/>
            <rFont val="Tahoma"/>
            <family val="2"/>
          </rPr>
          <t>Author1:</t>
        </r>
        <r>
          <rPr>
            <sz val="10"/>
            <rFont val="Tahoma"/>
            <family val="2"/>
          </rPr>
          <t xml:space="preserve">
based on F/X rates as of 1/1/24</t>
        </r>
      </text>
    </comment>
    <comment ref="N92" authorId="0" shapeId="0" xr:uid="{00000000-0006-0000-0400-00001C000000}">
      <text>
        <r>
          <rPr>
            <b/>
            <sz val="9"/>
            <rFont val="Tahoma"/>
            <family val="2"/>
          </rPr>
          <t>Author1:
Not currently forecasted</t>
        </r>
      </text>
    </comment>
    <comment ref="K97" authorId="0" shapeId="0" xr:uid="{00000000-0006-0000-0400-00001D000000}">
      <text>
        <r>
          <rPr>
            <b/>
            <sz val="10"/>
            <rFont val="Tahoma"/>
            <family val="2"/>
          </rPr>
          <t>Author1:</t>
        </r>
        <r>
          <rPr>
            <sz val="10"/>
            <rFont val="Tahoma"/>
            <family val="2"/>
          </rPr>
          <t xml:space="preserve">
expect paid net additions
to be higher in Q4 than in Q3’24 due to normal seasonality and a strong content slate</t>
        </r>
      </text>
    </comment>
    <comment ref="K99" authorId="0" shapeId="0" xr:uid="{00000000-0006-0000-0400-00001E000000}">
      <text>
        <r>
          <rPr>
            <b/>
            <sz val="9"/>
            <rFont val="Tahoma"/>
            <family val="2"/>
          </rPr>
          <t>Author1:
based on F/X rates at the end of Q1’24</t>
        </r>
      </text>
    </comment>
    <comment ref="K100" authorId="0" shapeId="0" xr:uid="{00000000-0006-0000-0400-00001F000000}">
      <text>
        <r>
          <rPr>
            <b/>
            <sz val="9"/>
            <rFont val="Tahoma"/>
            <family val="2"/>
          </rPr>
          <t>Author1:
based on F/X rates as of January 1, 2024</t>
        </r>
      </text>
    </comment>
    <comment ref="N104" authorId="0" shapeId="0" xr:uid="{00000000-0006-0000-0400-000020000000}">
      <text>
        <r>
          <rPr>
            <b/>
            <sz val="9"/>
            <rFont val="Tahoma"/>
            <family val="2"/>
          </rPr>
          <t>Author1:
Not currently forecasted</t>
        </r>
      </text>
    </comment>
    <comment ref="K109" authorId="0" shapeId="0" xr:uid="{00000000-0006-0000-0400-000021000000}">
      <text>
        <r>
          <rPr>
            <b/>
            <sz val="9"/>
            <rFont val="Tahoma"/>
            <family val="2"/>
          </rPr>
          <t>Author1:</t>
        </r>
        <r>
          <rPr>
            <sz val="9"/>
            <rFont val="Tahoma"/>
            <family val="2"/>
          </rPr>
          <t xml:space="preserve">
We expect paid net additions to be lower than Q3’23, which had the first full quarter impact from paid sharing</t>
        </r>
      </text>
    </comment>
    <comment ref="K110" authorId="0" shapeId="0" xr:uid="{00000000-0006-0000-0400-000022000000}">
      <text>
        <r>
          <rPr>
            <b/>
            <sz val="9"/>
            <rFont val="Tahoma"/>
            <family val="2"/>
          </rPr>
          <t>Author1:
we forecast global ARM on a reported basis to be roughly flat year over year in Q3 due to ongoing F/X headwinds and plan and country mix</t>
        </r>
      </text>
    </comment>
    <comment ref="K112" authorId="0" shapeId="0" xr:uid="{00000000-0006-0000-0400-000023000000}">
      <text>
        <r>
          <rPr>
            <b/>
            <sz val="9"/>
            <rFont val="Tahoma"/>
            <family val="2"/>
          </rPr>
          <t>Author1:
based on F/X rates at the end of Q1’24</t>
        </r>
      </text>
    </comment>
    <comment ref="K113" authorId="0" shapeId="0" xr:uid="{00000000-0006-0000-0400-000024000000}">
      <text>
        <r>
          <rPr>
            <b/>
            <sz val="9"/>
            <rFont val="Tahoma"/>
            <family val="2"/>
          </rPr>
          <t>Author1:
based on F/X rates as of January 1, 2024</t>
        </r>
      </text>
    </comment>
    <comment ref="N117" authorId="0" shapeId="0" xr:uid="{00000000-0006-0000-0400-000025000000}">
      <text>
        <r>
          <rPr>
            <b/>
            <sz val="9"/>
            <rFont val="Tahoma"/>
            <family val="2"/>
          </rPr>
          <t>Author1:
Not currently forecasted</t>
        </r>
      </text>
    </comment>
    <comment ref="K122" authorId="0" shapeId="0" xr:uid="{00000000-0006-0000-0400-000026000000}">
      <text>
        <r>
          <rPr>
            <b/>
            <sz val="9"/>
            <rFont val="Tahoma"/>
            <family val="2"/>
          </rPr>
          <t>Author1:
expect paid net additions to be lower in Q2’24 vs. Q1’24 due to typical seasonality</t>
        </r>
      </text>
    </comment>
    <comment ref="K123" authorId="0" shapeId="0" xr:uid="{00000000-0006-0000-0400-000027000000}">
      <text>
        <r>
          <rPr>
            <b/>
            <sz val="9"/>
            <rFont val="Tahoma"/>
            <family val="2"/>
          </rPr>
          <t>Author1:
forecast global ARM to be up year-over-year on a F/X neutral basis in Q2</t>
        </r>
      </text>
    </comment>
    <comment ref="N123" authorId="0" shapeId="0" xr:uid="{00000000-0006-0000-0400-000028000000}">
      <text>
        <r>
          <rPr>
            <b/>
            <sz val="9"/>
            <rFont val="Tahoma"/>
            <family val="2"/>
          </rPr>
          <t>Author1:
Not forecasted</t>
        </r>
      </text>
    </comment>
    <comment ref="N129" authorId="0" shapeId="0" xr:uid="{00000000-0006-0000-0400-000029000000}">
      <text>
        <r>
          <rPr>
            <b/>
            <sz val="9"/>
            <rFont val="Tahoma"/>
            <family val="2"/>
          </rPr>
          <t>Author1:
Not currently forecasted</t>
        </r>
      </text>
    </comment>
    <comment ref="K134" authorId="0" shapeId="0" xr:uid="{00000000-0006-0000-0400-00002A000000}">
      <text>
        <r>
          <rPr>
            <b/>
            <sz val="9"/>
            <rFont val="Tahoma"/>
            <family val="2"/>
          </rPr>
          <t>Author1:
Q1’24 paid net adds will be down sequentially from Q4’23 (reflecting typical seasonality as well as some likely pull forward from our strong Q4’23 performance) but to be up versus Q1’23 paid net adds of 1.8M.</t>
        </r>
      </text>
    </comment>
    <comment ref="K135" authorId="0" shapeId="0" xr:uid="{00000000-0006-0000-0400-00002B000000}">
      <text>
        <r>
          <rPr>
            <b/>
            <sz val="9"/>
            <rFont val="Tahoma"/>
            <family val="2"/>
          </rPr>
          <t xml:space="preserve">Author1:
We expect global ARM to be up year over year on a F/X neutral basis in Q1. </t>
        </r>
      </text>
    </comment>
    <comment ref="N135" authorId="0" shapeId="0" xr:uid="{00000000-0006-0000-0400-00002C000000}">
      <text>
        <r>
          <rPr>
            <b/>
            <sz val="9"/>
            <rFont val="Tahoma"/>
            <family val="2"/>
          </rPr>
          <t>Author1:
Not forecasted</t>
        </r>
      </text>
    </comment>
    <comment ref="K140" authorId="0" shapeId="0" xr:uid="{00000000-0006-0000-0400-00002D000000}">
      <text>
        <r>
          <rPr>
            <b/>
            <sz val="9"/>
            <rFont val="Tahoma"/>
            <family val="2"/>
          </rPr>
          <t>Author1:
approximately $6.5B</t>
        </r>
      </text>
    </comment>
    <comment ref="N144" authorId="0" shapeId="0" xr:uid="{00000000-0006-0000-0400-00002E000000}">
      <text>
        <r>
          <rPr>
            <b/>
            <sz val="9"/>
            <rFont val="Tahoma"/>
            <family val="2"/>
          </rPr>
          <t>Author1:
Not currently forecasted</t>
        </r>
      </text>
    </comment>
    <comment ref="K149" authorId="0" shapeId="0" xr:uid="{00000000-0006-0000-0400-00002F000000}">
      <text>
        <r>
          <rPr>
            <b/>
            <sz val="9"/>
            <rFont val="Tahoma"/>
            <family val="2"/>
          </rPr>
          <t>Author1:
Q4’23 paid net adds will be similar to Q3’23 paid net additions with +/- a few million</t>
        </r>
      </text>
    </comment>
    <comment ref="K150" authorId="0" shapeId="0" xr:uid="{00000000-0006-0000-0400-000030000000}">
      <text>
        <r>
          <rPr>
            <b/>
            <sz val="9"/>
            <rFont val="Tahoma"/>
            <family val="2"/>
          </rPr>
          <t>Author1:
Global ARM in Q4 is expected to be roughly flat year-over-year, primarily due to limited price increases over the last eighteen months.</t>
        </r>
      </text>
    </comment>
    <comment ref="N150" authorId="0" shapeId="0" xr:uid="{00000000-0006-0000-0400-000031000000}">
      <text>
        <r>
          <rPr>
            <b/>
            <sz val="9"/>
            <rFont val="Tahoma"/>
            <family val="2"/>
          </rPr>
          <t>Author1:
Not forecasted</t>
        </r>
      </text>
    </comment>
    <comment ref="K152" authorId="0" shapeId="0" xr:uid="{00000000-0006-0000-0400-000032000000}">
      <text>
        <r>
          <rPr>
            <b/>
            <sz val="9"/>
            <rFont val="Tahoma"/>
            <family val="2"/>
          </rPr>
          <t>Author1:
Based on FX rates as of January 1, 2023.</t>
        </r>
      </text>
    </comment>
    <comment ref="K153" authorId="0" shapeId="0" xr:uid="{00000000-0006-0000-0400-000033000000}">
      <text>
        <r>
          <rPr>
            <b/>
            <sz val="9"/>
            <rFont val="Tahoma"/>
            <family val="2"/>
          </rPr>
          <t>Author1:
At least 5 bn</t>
        </r>
      </text>
    </comment>
    <comment ref="N157" authorId="0" shapeId="0" xr:uid="{00000000-0006-0000-0400-000034000000}">
      <text>
        <r>
          <rPr>
            <b/>
            <sz val="9"/>
            <rFont val="Tahoma"/>
            <family val="2"/>
          </rPr>
          <t>Author1:
Not currently forecasted</t>
        </r>
      </text>
    </comment>
    <comment ref="K162" authorId="0" shapeId="0" xr:uid="{00000000-0006-0000-0400-000035000000}">
      <text>
        <r>
          <rPr>
            <b/>
            <sz val="9"/>
            <rFont val="Tahoma"/>
            <family val="2"/>
          </rPr>
          <t>Author1:
Q3’23 paid net adds will be similar to Q2’23 paid net additions</t>
        </r>
      </text>
    </comment>
    <comment ref="K163" authorId="0" shapeId="0" xr:uid="{00000000-0006-0000-0400-000036000000}">
      <text>
        <r>
          <rPr>
            <b/>
            <sz val="9"/>
            <rFont val="Tahoma"/>
            <family val="2"/>
          </rPr>
          <t>Author1:
We expect F/X neutral ARM to be flat to slightly down year over year</t>
        </r>
      </text>
    </comment>
    <comment ref="N163" authorId="0" shapeId="0" xr:uid="{00000000-0006-0000-0400-000037000000}">
      <text>
        <r>
          <rPr>
            <b/>
            <sz val="9"/>
            <rFont val="Tahoma"/>
            <family val="2"/>
          </rPr>
          <t>Author1:
Not forecasted</t>
        </r>
      </text>
    </comment>
    <comment ref="K165" authorId="0" shapeId="0" xr:uid="{00000000-0006-0000-0400-000038000000}">
      <text>
        <r>
          <rPr>
            <b/>
            <sz val="9"/>
            <rFont val="Tahoma"/>
            <family val="2"/>
          </rPr>
          <t>Author1:
Based on FX rates as of January 1, 2023.</t>
        </r>
      </text>
    </comment>
    <comment ref="N169" authorId="0" shapeId="0" xr:uid="{00000000-0006-0000-0400-000039000000}">
      <text>
        <r>
          <rPr>
            <b/>
            <sz val="9"/>
            <rFont val="Tahoma"/>
            <family val="2"/>
          </rPr>
          <t>Author1:
Not currently forecasted</t>
        </r>
      </text>
    </comment>
    <comment ref="I182" authorId="0" shapeId="0" xr:uid="{00000000-0006-0000-0400-00003A000000}">
      <text>
        <r>
          <rPr>
            <b/>
            <sz val="9"/>
            <rFont val="Tahoma"/>
            <family val="2"/>
          </rPr>
          <t>Author1: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J182" authorId="0" shapeId="0" xr:uid="{00000000-0006-0000-0400-00003B000000}">
      <text>
        <r>
          <rPr>
            <b/>
            <sz val="9"/>
            <rFont val="Tahoma"/>
            <family val="2"/>
          </rPr>
          <t>Author1: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I183" authorId="0" shapeId="0" xr:uid="{00000000-0006-0000-0400-00003C000000}">
      <text>
        <r>
          <rPr>
            <b/>
            <sz val="9"/>
            <rFont val="Tahoma"/>
            <family val="2"/>
          </rPr>
          <t>Author1: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J183" authorId="0" shapeId="0" xr:uid="{00000000-0006-0000-0400-00003D000000}">
      <text>
        <r>
          <rPr>
            <b/>
            <sz val="9"/>
            <rFont val="Tahoma"/>
            <family val="2"/>
          </rPr>
          <t>Author1: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I194" authorId="0" shapeId="0" xr:uid="{00000000-0006-0000-0400-00003E000000}">
      <text>
        <r>
          <rPr>
            <b/>
            <sz val="9"/>
            <rFont val="Tahoma"/>
            <family val="2"/>
          </rPr>
          <t>Author1:
excluding the unanticipated $150m of restructuring costs in Q2 2 noted above and the material movement in F/X from January 2022, as our guidance was set based on F/X at that time (</t>
        </r>
      </text>
    </comment>
    <comment ref="J194" authorId="0" shapeId="0" xr:uid="{00000000-0006-0000-0400-00003F000000}">
      <text>
        <r>
          <rPr>
            <b/>
            <sz val="9"/>
            <rFont val="Tahoma"/>
            <family val="2"/>
          </rPr>
          <t>Author1:
excluding the unanticipated $150m of restructuring costs in Q2 2 noted above and the material movement in F/X from January 2022, as our guidance was set based on F/X at that time (</t>
        </r>
      </text>
    </comment>
    <comment ref="I205" authorId="0" shapeId="0" xr:uid="{00000000-0006-0000-0400-000040000000}">
      <text>
        <r>
          <rPr>
            <b/>
            <sz val="9"/>
            <rFont val="Tahoma"/>
            <family val="2"/>
          </rPr>
          <t>Author1:
Assuming no material swings in F/X rates</t>
        </r>
      </text>
    </comment>
    <comment ref="J205" authorId="0" shapeId="0" xr:uid="{00000000-0006-0000-0400-000041000000}">
      <text>
        <r>
          <rPr>
            <b/>
            <sz val="9"/>
            <rFont val="Tahoma"/>
            <family val="2"/>
          </rPr>
          <t>Author1:
Assuming no material swings in F/X rates</t>
        </r>
      </text>
    </comment>
    <comment ref="I227" authorId="0" shapeId="0" xr:uid="{00000000-0006-0000-0400-000042000000}">
      <text>
        <r>
          <rPr>
            <b/>
            <sz val="9"/>
            <rFont val="Tahoma"/>
            <family val="2"/>
          </rPr>
          <t>Author1:
20% or slightly better</t>
        </r>
      </text>
    </comment>
    <comment ref="J227" authorId="0" shapeId="0" xr:uid="{00000000-0006-0000-0400-000043000000}">
      <text>
        <r>
          <rPr>
            <b/>
            <sz val="9"/>
            <rFont val="Tahoma"/>
            <family val="2"/>
          </rPr>
          <t>Author1:
20% or slightly better</t>
        </r>
      </text>
    </comment>
    <comment ref="K432" authorId="0" shapeId="0" xr:uid="{00000000-0006-0000-0400-000044000000}">
      <text>
        <r>
          <rPr>
            <b/>
            <sz val="9"/>
            <rFont val="Tahoma"/>
            <family val="2"/>
          </rPr>
          <t>Author1:
1.45 mm from the US and 4.9mm internationally.</t>
        </r>
      </text>
    </comment>
  </commentList>
</comments>
</file>

<file path=xl/sharedStrings.xml><?xml version="1.0" encoding="utf-8"?>
<sst xmlns="http://schemas.openxmlformats.org/spreadsheetml/2006/main" count="5035" uniqueCount="2447">
  <si>
    <t>Bloomberg</t>
  </si>
  <si>
    <t>Company1933, Inc.</t>
  </si>
  <si>
    <t>USD</t>
  </si>
  <si>
    <t>FY2009</t>
  </si>
  <si>
    <t>Domestic Streaming Revenue, mm</t>
  </si>
  <si>
    <t>International Streaming Revenue, mm</t>
  </si>
  <si>
    <t>Domestic DVD Revenue, mm</t>
  </si>
  <si>
    <t>Total Revenue, mm</t>
  </si>
  <si>
    <t>International Streaming Monthly ARPU, $/Member</t>
  </si>
  <si>
    <t>Domestic Streaming COGS, mm</t>
  </si>
  <si>
    <t>International Streaming COGS, mm</t>
  </si>
  <si>
    <t>Domestic DVD COGS, mm</t>
  </si>
  <si>
    <t>Total COGS, mm</t>
  </si>
  <si>
    <t>Domestic Streaming Marketing Expense, mm</t>
  </si>
  <si>
    <t>International Streaming Marketing Expense, mm</t>
  </si>
  <si>
    <t>Domestic DVD Marketing Expense, mm</t>
  </si>
  <si>
    <t>Total Marketing Expense, mm</t>
  </si>
  <si>
    <t>Domestic Streaming Net Contribution, mm</t>
  </si>
  <si>
    <t>International Streaming Net Contribution, mm</t>
  </si>
  <si>
    <t>Domestic DVD Net Contribution, mm</t>
  </si>
  <si>
    <t>Total Net Contribution, mm</t>
  </si>
  <si>
    <t>Additions to content library, mm</t>
  </si>
  <si>
    <t>Amortization of content library, mm</t>
  </si>
  <si>
    <t>Other additions/subtractions, mm</t>
  </si>
  <si>
    <t>Expected content library life, years</t>
  </si>
  <si>
    <t>Margin Analysis</t>
  </si>
  <si>
    <t>Domestic Streaming COGS, %</t>
  </si>
  <si>
    <t>International Streaming COGS, %</t>
  </si>
  <si>
    <t>Domestic DVD COGS, %</t>
  </si>
  <si>
    <t>COGS Margin, %</t>
  </si>
  <si>
    <t>Gross Margin, %</t>
  </si>
  <si>
    <t>Consensus Estimates - Gross Margin, %</t>
  </si>
  <si>
    <t>R&amp;D Margin, %</t>
  </si>
  <si>
    <t>Domestic Streaming Marketing, %</t>
  </si>
  <si>
    <t>International Streaming Marketing, %</t>
  </si>
  <si>
    <t>Domestic DVD Marketing, %</t>
  </si>
  <si>
    <t>S&amp;M Margin, %</t>
  </si>
  <si>
    <t>G&amp;A Margin, %</t>
  </si>
  <si>
    <t>EBITDA Margin, %</t>
  </si>
  <si>
    <t>Consensus Estimates - Adjusted EBITDA Margin, %</t>
  </si>
  <si>
    <t>Income Statement - As Reported</t>
  </si>
  <si>
    <t>Revenues</t>
  </si>
  <si>
    <t>Subscription</t>
  </si>
  <si>
    <t>Fulfillment expenses</t>
  </si>
  <si>
    <t>Cost of revenues</t>
  </si>
  <si>
    <t>Gross profit</t>
  </si>
  <si>
    <t>Marketing</t>
  </si>
  <si>
    <t>Technology and development</t>
  </si>
  <si>
    <t>General and administrative</t>
  </si>
  <si>
    <t>Total operating expenses</t>
  </si>
  <si>
    <t>Operating income</t>
  </si>
  <si>
    <t>Interest expense</t>
  </si>
  <si>
    <t>Interest and other income (expense)</t>
  </si>
  <si>
    <t>Loss on extinguishment of debt</t>
  </si>
  <si>
    <t>Income before income taxes</t>
  </si>
  <si>
    <t>Provision for income taxes</t>
  </si>
  <si>
    <t>Net income</t>
  </si>
  <si>
    <t>IS Check</t>
  </si>
  <si>
    <t>Adjusted Numbers - As Reported</t>
  </si>
  <si>
    <t>GAAP net income</t>
  </si>
  <si>
    <t>Interest and other (income) expense</t>
  </si>
  <si>
    <t>Provision (benefit) for income taxes</t>
  </si>
  <si>
    <t>D&amp;A</t>
  </si>
  <si>
    <t>SBC</t>
  </si>
  <si>
    <t>Adjusted EBITDA</t>
  </si>
  <si>
    <t>Release of tax accrual</t>
  </si>
  <si>
    <t>Foreign exchange impact</t>
  </si>
  <si>
    <t>Income tax effect</t>
  </si>
  <si>
    <t>Non-GAAP net income</t>
  </si>
  <si>
    <t>Senior Convertible Notes interest expense, net of tax</t>
  </si>
  <si>
    <t>Numerator for diluted earnings per share</t>
  </si>
  <si>
    <t>Revised Income Statement</t>
  </si>
  <si>
    <t>Net Revenue</t>
  </si>
  <si>
    <t>Gross Profit</t>
  </si>
  <si>
    <t>R&amp;D</t>
  </si>
  <si>
    <t>S&amp;M</t>
  </si>
  <si>
    <t>G&amp;A</t>
  </si>
  <si>
    <t>EBITDA</t>
  </si>
  <si>
    <t>EBIT</t>
  </si>
  <si>
    <t>Other items</t>
  </si>
  <si>
    <t>One-time item</t>
  </si>
  <si>
    <t>EBT</t>
  </si>
  <si>
    <t>Current tax</t>
  </si>
  <si>
    <t>Deferred tax</t>
  </si>
  <si>
    <t>Net Income from Continued Operation</t>
  </si>
  <si>
    <t>Discontinued Operations</t>
  </si>
  <si>
    <t>Net Income to NCI</t>
  </si>
  <si>
    <t>Earnings to Preferred and Other Securities</t>
  </si>
  <si>
    <t>Net Income to Common Shareholders</t>
  </si>
  <si>
    <t>Adjustments for Convertible Securities</t>
  </si>
  <si>
    <t>Diluted Net Income to Common Shareholders</t>
  </si>
  <si>
    <t>Non-GAAP Adjustments</t>
  </si>
  <si>
    <t>Non-GAAP Adjustments for Dilutive Securities</t>
  </si>
  <si>
    <t>Adjusted Net Income</t>
  </si>
  <si>
    <t>Current tax rate</t>
  </si>
  <si>
    <t>Deferred tax rate</t>
  </si>
  <si>
    <t>Earnings Per Share - Company2917</t>
  </si>
  <si>
    <t>Earnings Per Share - WAD</t>
  </si>
  <si>
    <t>Adjusted Earnings Per Share - WAD</t>
  </si>
  <si>
    <t>Shares Outstanding - Company2917</t>
  </si>
  <si>
    <t>Shares Outstanding - WAD</t>
  </si>
  <si>
    <t>Adjusted Shares Outstanding - WAD</t>
  </si>
  <si>
    <t>Cash Flow Summary</t>
  </si>
  <si>
    <t>Operating Cash Flow before WC</t>
  </si>
  <si>
    <t>Cash Flow Per Diluted Share before WC</t>
  </si>
  <si>
    <t>Capex</t>
  </si>
  <si>
    <t>Acquisitions</t>
  </si>
  <si>
    <t>Divestiture</t>
  </si>
  <si>
    <t>Dividend Paid</t>
  </si>
  <si>
    <t>Dividend Per Share</t>
  </si>
  <si>
    <t>FCF (before WC), Pre Div</t>
  </si>
  <si>
    <t>FCF (before WC), Post Div, Pre A/D</t>
  </si>
  <si>
    <t>FCF (before WC), Post Div, Post A/D</t>
  </si>
  <si>
    <t>Balance Sheet Summary</t>
  </si>
  <si>
    <t>Cash</t>
  </si>
  <si>
    <t>Debt</t>
  </si>
  <si>
    <t>Net Debt</t>
  </si>
  <si>
    <t>Net Debt / EBITDA</t>
  </si>
  <si>
    <t>Net Debt / Cash Flow</t>
  </si>
  <si>
    <t>Valuation</t>
  </si>
  <si>
    <t>Avg</t>
  </si>
  <si>
    <t>Enterprise Value Components</t>
  </si>
  <si>
    <t>Noncontrolling Interest</t>
  </si>
  <si>
    <t>Preferred Shares</t>
  </si>
  <si>
    <t>Other EV Components</t>
  </si>
  <si>
    <t>Cumulative Cash Flow Statement</t>
  </si>
  <si>
    <t>CFO</t>
  </si>
  <si>
    <t>Additions to streaming content library</t>
  </si>
  <si>
    <t>Change in streaming content liabilities</t>
  </si>
  <si>
    <t>Amortization of streaming content library</t>
  </si>
  <si>
    <t>Amortization of DVD content library</t>
  </si>
  <si>
    <t>Depreciation and amortization of property, equipment and intangibles</t>
  </si>
  <si>
    <t>Stock-based compensation expense</t>
  </si>
  <si>
    <t>Excess tax benefits from stock-based compensation</t>
  </si>
  <si>
    <t>Other non-cash items</t>
  </si>
  <si>
    <t>Foreign currency remeasurement loss on long-term debt</t>
  </si>
  <si>
    <t>Deferred taxes</t>
  </si>
  <si>
    <t>Gain on sale of business</t>
  </si>
  <si>
    <t>CFO before WC</t>
  </si>
  <si>
    <t>Prepaid content</t>
  </si>
  <si>
    <t>Other current assets</t>
  </si>
  <si>
    <t>Accounts payable</t>
  </si>
  <si>
    <t>Accrued expenses</t>
  </si>
  <si>
    <t>Deferred revenue</t>
  </si>
  <si>
    <t>Other non-current assets and liabilities</t>
  </si>
  <si>
    <t>Net CFO</t>
  </si>
  <si>
    <t>CFI</t>
  </si>
  <si>
    <t>Acquisition of DVD content library</t>
  </si>
  <si>
    <t>Purchases of property and equipment</t>
  </si>
  <si>
    <t>Proceeds from sale of DVDs</t>
  </si>
  <si>
    <t>Acquisitions of intangible assets</t>
  </si>
  <si>
    <t>Proceeds from sale of business</t>
  </si>
  <si>
    <t>Other assets</t>
  </si>
  <si>
    <t>Cash paid in business acquisition</t>
  </si>
  <si>
    <t>Purchases of short-term investments</t>
  </si>
  <si>
    <t>Proceeds from sale of short-term investments</t>
  </si>
  <si>
    <t>Proceeds from maturities of short-term investments</t>
  </si>
  <si>
    <t>Net CFI</t>
  </si>
  <si>
    <t>CFF</t>
  </si>
  <si>
    <t>Proceeds from issuance of common stock</t>
  </si>
  <si>
    <t>Proceeds from public offering of common stock, net of issuance costs</t>
  </si>
  <si>
    <t>Proceeds from issuance of debt</t>
  </si>
  <si>
    <t>Issuance costs</t>
  </si>
  <si>
    <t>Debt issuance costs</t>
  </si>
  <si>
    <t>Redemption of debt</t>
  </si>
  <si>
    <t>Borrowings on line of credit, net of issuance costs</t>
  </si>
  <si>
    <t>Payments on line of credit</t>
  </si>
  <si>
    <t>Proceeds from issuance of common stock upon exercise of options</t>
  </si>
  <si>
    <t>Dividend paid to common shareholders</t>
  </si>
  <si>
    <t>Principal payments of lease financing obligations</t>
  </si>
  <si>
    <t>Other financing activities</t>
  </si>
  <si>
    <t>Net CFF</t>
  </si>
  <si>
    <t>FX</t>
  </si>
  <si>
    <t>Net Change in Cash Balance</t>
  </si>
  <si>
    <t>Beginning Cash Balance</t>
  </si>
  <si>
    <t>Ending Cash Balance</t>
  </si>
  <si>
    <t>Cash Flow Statement</t>
  </si>
  <si>
    <t>CF Check</t>
  </si>
  <si>
    <t>Working Capital Forecasting</t>
  </si>
  <si>
    <t>Other current assets, % of LTM Sales</t>
  </si>
  <si>
    <t>Accounts payable, % of LTM Sales</t>
  </si>
  <si>
    <t>Deferred revenue, % of LTM Sales</t>
  </si>
  <si>
    <t>Other current assets, Y/Y Change, %</t>
  </si>
  <si>
    <t>Accounts payable, Y/Y Change, %</t>
  </si>
  <si>
    <t>Deferred revenue, Y/Y Change, %</t>
  </si>
  <si>
    <t>Current Assets</t>
  </si>
  <si>
    <t>Cash and cash equivalents</t>
  </si>
  <si>
    <t>Short-term investments</t>
  </si>
  <si>
    <t>Prepaid expenses</t>
  </si>
  <si>
    <t>Prepaid revenue sharing expenses</t>
  </si>
  <si>
    <t>Current content library, net</t>
  </si>
  <si>
    <t>Deferred tax assets</t>
  </si>
  <si>
    <t>Total Current Assets</t>
  </si>
  <si>
    <t>Non-Current Assets</t>
  </si>
  <si>
    <t>Non-current content library, net</t>
  </si>
  <si>
    <t>Property and equipment, net</t>
  </si>
  <si>
    <t>Other non-current assets</t>
  </si>
  <si>
    <t>Total Non-Current Assets</t>
  </si>
  <si>
    <t>Total Assets</t>
  </si>
  <si>
    <t>Current Liabilities</t>
  </si>
  <si>
    <t>Current content liabilities</t>
  </si>
  <si>
    <t>Current portion of lease financing obligations</t>
  </si>
  <si>
    <t>Total Current Liabilities</t>
  </si>
  <si>
    <t>Non-Current Liabilities</t>
  </si>
  <si>
    <t>Non-current content liabilities</t>
  </si>
  <si>
    <t>Long-term debt</t>
  </si>
  <si>
    <t>Long-term debt due to related party</t>
  </si>
  <si>
    <t>Other non-current liabilities</t>
  </si>
  <si>
    <t>Total Non-Current liabilities</t>
  </si>
  <si>
    <t>Total Liabilities</t>
  </si>
  <si>
    <t>Shareholders' Equity</t>
  </si>
  <si>
    <t>Additional paid-in capital</t>
  </si>
  <si>
    <t>Accumulated other comprehensive loss</t>
  </si>
  <si>
    <t>Retained earnings</t>
  </si>
  <si>
    <t>Total SE</t>
  </si>
  <si>
    <t>NCI</t>
  </si>
  <si>
    <t>Total Liabilities &amp; SE</t>
  </si>
  <si>
    <t>BS Check</t>
  </si>
  <si>
    <t>Model Checks</t>
  </si>
  <si>
    <t>Net Income on Revised IS = NI on CF statement</t>
  </si>
  <si>
    <t>Net Income on Reported IS = NI on Revised</t>
  </si>
  <si>
    <t>Segmented Revenue = Revenue</t>
  </si>
  <si>
    <t>Cash Flow is not Repeated</t>
  </si>
  <si>
    <t>Income Statement is not Repeated</t>
  </si>
  <si>
    <t>Balance Sheet is not Repeated</t>
  </si>
  <si>
    <t>Ending CF = Ending Cumulative CF</t>
  </si>
  <si>
    <t>Capex is Updated</t>
  </si>
  <si>
    <t>Margin is Updated</t>
  </si>
  <si>
    <t>Adjusted Numbers FY = Sum of Qs</t>
  </si>
  <si>
    <t>*Cash Flow Summary Signs are Correct</t>
  </si>
  <si>
    <t>*RIS NI FY = Sum of Qs</t>
  </si>
  <si>
    <t>*RIS Adjusted NI FY = Sum of Qs</t>
  </si>
  <si>
    <t>*CFO Before WC subtotal FY = Sum of Qs</t>
  </si>
  <si>
    <t>*CFO subtotal FY = Sum of Qs</t>
  </si>
  <si>
    <t>*CFI subtotal FY = Sum of Qs</t>
  </si>
  <si>
    <t>*CFF subtotal FY = Sum of Qs</t>
  </si>
  <si>
    <t>*CF Summary FY = Sum of Qs</t>
  </si>
  <si>
    <t>Other Tables</t>
  </si>
  <si>
    <t>Ticker Symbol</t>
  </si>
  <si>
    <t>Ticker0026 US</t>
  </si>
  <si>
    <t>NASDAQ:Ticker0026</t>
  </si>
  <si>
    <t>Company1870</t>
  </si>
  <si>
    <t>Company1871</t>
  </si>
  <si>
    <t>Valuation Toggle Table</t>
  </si>
  <si>
    <t>High</t>
  </si>
  <si>
    <t>Low</t>
  </si>
  <si>
    <t>Consensus Estimate Table</t>
  </si>
  <si>
    <t>FY or FQ</t>
  </si>
  <si>
    <t>Period</t>
  </si>
  <si>
    <t>Stock Price Table</t>
  </si>
  <si>
    <t>Fiscal Period Start Date</t>
  </si>
  <si>
    <t>Real-Time Off Source</t>
  </si>
  <si>
    <t>Capital IQ</t>
  </si>
  <si>
    <t>FactSet</t>
  </si>
  <si>
    <t>General Table</t>
  </si>
  <si>
    <t>Last Price</t>
  </si>
  <si>
    <t>Last Price Date</t>
  </si>
  <si>
    <t>Real-Time Stock Price</t>
  </si>
  <si>
    <t>Last Price Formula</t>
  </si>
  <si>
    <t>Trade Currency</t>
  </si>
  <si>
    <t>Trade Currency Hardcoded</t>
  </si>
  <si>
    <t>Model Sheet Currency Hardcoded</t>
  </si>
  <si>
    <t>Most Recent FX</t>
  </si>
  <si>
    <t>Most Recent FX Hardcoded</t>
  </si>
  <si>
    <t>MRFP Column Number</t>
  </si>
  <si>
    <t>Most Recent Fiscal Period (MRFP)</t>
  </si>
  <si>
    <t>Current Fiscal Year</t>
  </si>
  <si>
    <t>Data Source Index</t>
  </si>
  <si>
    <t>Guidance</t>
  </si>
  <si>
    <t>Model</t>
  </si>
  <si>
    <t>Difference vs. Mid</t>
  </si>
  <si>
    <t>Update Log</t>
  </si>
  <si>
    <t>Type</t>
  </si>
  <si>
    <t>Item</t>
  </si>
  <si>
    <t>Item Name</t>
  </si>
  <si>
    <t>Fiscal Period</t>
  </si>
  <si>
    <t>Mid</t>
  </si>
  <si>
    <t>Output</t>
  </si>
  <si>
    <t>Absolute</t>
  </si>
  <si>
    <t>Relative</t>
  </si>
  <si>
    <t>Date</t>
  </si>
  <si>
    <t>Link</t>
  </si>
  <si>
    <t>MO_RIS_REV</t>
  </si>
  <si>
    <t>Q2-2019</t>
  </si>
  <si>
    <t>Press Release</t>
  </si>
  <si>
    <t>MO_GA_TotalRevenue</t>
  </si>
  <si>
    <t>MO_RIS_EBIT</t>
  </si>
  <si>
    <t>MO_RIS_NI_GAAP_Basic</t>
  </si>
  <si>
    <t>MO_RIS_EPS_WAD</t>
  </si>
  <si>
    <t>Domestic Contribution Profit</t>
  </si>
  <si>
    <t>Domestic Contribution Margin</t>
  </si>
  <si>
    <t>Operating Margin</t>
  </si>
  <si>
    <t>Domestic Net Additions to Total Memberships</t>
  </si>
  <si>
    <t>International Contribution Profit</t>
  </si>
  <si>
    <t>International Contribution Margin</t>
  </si>
  <si>
    <t>International Net Additions to Total Memberships</t>
  </si>
  <si>
    <t>Q1-2019</t>
  </si>
  <si>
    <t>Q4-2018</t>
  </si>
  <si>
    <t>Domestic Total Memberships</t>
  </si>
  <si>
    <t>International Total Memberships</t>
  </si>
  <si>
    <t>Q3-2018</t>
  </si>
  <si>
    <t>MO_RIS_EBITDA</t>
  </si>
  <si>
    <t>MO_MA_EBITDA</t>
  </si>
  <si>
    <t>Spending on content on a P&amp;L basis</t>
  </si>
  <si>
    <t>FY2018</t>
  </si>
  <si>
    <t>Operating margin</t>
  </si>
  <si>
    <t>Q2-2018</t>
  </si>
  <si>
    <t>MO_RIS_SM</t>
  </si>
  <si>
    <t>MO_RIS_RD</t>
  </si>
  <si>
    <t>Global net adds</t>
  </si>
  <si>
    <t>Q1-2018</t>
  </si>
  <si>
    <t>Reports</t>
  </si>
  <si>
    <t>Capitalization Summary</t>
  </si>
  <si>
    <t>Company-Specific Operational Data</t>
  </si>
  <si>
    <t>GAAP Financials</t>
  </si>
  <si>
    <t>Other Items</t>
  </si>
  <si>
    <t>Tax</t>
  </si>
  <si>
    <t>Base Period</t>
  </si>
  <si>
    <t>Non-GAAP Financials</t>
  </si>
  <si>
    <t>Cash Flow Analysis</t>
  </si>
  <si>
    <t>Core FCF, Pre Div</t>
  </si>
  <si>
    <t>Core FCF, Post Div</t>
  </si>
  <si>
    <t>Change in WC</t>
  </si>
  <si>
    <t>New Equity Issuance</t>
  </si>
  <si>
    <t>New Debt Issuance</t>
  </si>
  <si>
    <t>Change in Cash Position</t>
  </si>
  <si>
    <t>Operating Cash Flow Per Share</t>
  </si>
  <si>
    <t>Core Free Cash Flow Per Share, Pre Div</t>
  </si>
  <si>
    <t>Dividend Payout Ratio vs Core FCF, Pre Div</t>
  </si>
  <si>
    <t>Dividend Payout Ratio vs Earnings Per Share</t>
  </si>
  <si>
    <t>Net Debt / Capital</t>
  </si>
  <si>
    <t>LTM EBITDA</t>
  </si>
  <si>
    <t>LTM Cash Flow</t>
  </si>
  <si>
    <t>Net Income</t>
  </si>
  <si>
    <t>LTM Net Income</t>
  </si>
  <si>
    <t>Shareholder's Equity</t>
  </si>
  <si>
    <t>Average Shareholder's Equity</t>
  </si>
  <si>
    <t>ROE</t>
  </si>
  <si>
    <t>Net Operating Profit</t>
  </si>
  <si>
    <t>LTM Net Operating Profit</t>
  </si>
  <si>
    <t>Average Total Assets</t>
  </si>
  <si>
    <t>ROA</t>
  </si>
  <si>
    <t>Total Debt</t>
  </si>
  <si>
    <t>Average Book Value of Debt</t>
  </si>
  <si>
    <t>Average Invested Capital</t>
  </si>
  <si>
    <t>ROIC</t>
  </si>
  <si>
    <t>LTM EBIT</t>
  </si>
  <si>
    <t>Average Current Liabilities</t>
  </si>
  <si>
    <t>Average Capital Employed</t>
  </si>
  <si>
    <t>ROCE</t>
  </si>
  <si>
    <t>Per-Share Growth Metrics</t>
  </si>
  <si>
    <t>Revenue Per Share Growth</t>
  </si>
  <si>
    <t>Adj. EBITDA Per Share Growth</t>
  </si>
  <si>
    <t>Adj. Earnings Per Share Growth</t>
  </si>
  <si>
    <t>Operating Cash Flow Per Share Growth</t>
  </si>
  <si>
    <t>Free Cash Flow Per Share Growth</t>
  </si>
  <si>
    <t>Valuation Metrics</t>
  </si>
  <si>
    <t>Check</t>
  </si>
  <si>
    <t>Non GAAP NI</t>
  </si>
  <si>
    <t>GAAP NI</t>
  </si>
  <si>
    <t>Change in Cash Summary = Change in Cash Model</t>
  </si>
  <si>
    <t>Most Recent Period:</t>
  </si>
  <si>
    <t>Is Historical Period</t>
  </si>
  <si>
    <t>Q3-2019</t>
  </si>
  <si>
    <t>First Forecast Fiscal Year</t>
  </si>
  <si>
    <t>Q4-2019</t>
  </si>
  <si>
    <t>Domestic Streaming Net Contribution margin, %</t>
  </si>
  <si>
    <t>International Streaming Net Contribution margin, %</t>
  </si>
  <si>
    <t>Domestic DVD Net Contribution margin, %</t>
  </si>
  <si>
    <t>Total Net Contribution margin, %</t>
  </si>
  <si>
    <t>FY2019</t>
  </si>
  <si>
    <t>FY2020</t>
  </si>
  <si>
    <t>Licensed content, net</t>
  </si>
  <si>
    <t>Produced content, net</t>
  </si>
  <si>
    <t>Released, less amortization</t>
  </si>
  <si>
    <t>In production</t>
  </si>
  <si>
    <t>In development and production</t>
  </si>
  <si>
    <t>DVD, net</t>
  </si>
  <si>
    <t>Key Metrics - Content Assets Breakdown (FS) - (Historical)</t>
  </si>
  <si>
    <t>Current operating lease liabilities</t>
  </si>
  <si>
    <t>Accrued expenses excluding operating lease liabilities</t>
  </si>
  <si>
    <t>Operating Lease Liabilities</t>
  </si>
  <si>
    <t>Key Metrics - Y/Y Cost Granularity (FS)</t>
  </si>
  <si>
    <t>Previous Domestic COGS, mm</t>
  </si>
  <si>
    <t>Current Domestic COGS, mm</t>
  </si>
  <si>
    <t>Previous International COGS, mm</t>
  </si>
  <si>
    <t>Current International COGS, mm</t>
  </si>
  <si>
    <t>Domestic COGS - Change in Content amortization, mm</t>
  </si>
  <si>
    <t>Domestic COGS - Change in Streaming delivery expenses, mm</t>
  </si>
  <si>
    <t>Domestic COGS - Changes in Other costs, mm</t>
  </si>
  <si>
    <t>Domestic COGS - Discrepancies, mm</t>
  </si>
  <si>
    <t>International COGS - Change in Content amortization, mm</t>
  </si>
  <si>
    <t>International COGS - Changes in Other costs, mm</t>
  </si>
  <si>
    <t>International COGS - Discrepancies, mm</t>
  </si>
  <si>
    <t>Asia Pacific Streaming Revenue, mm</t>
  </si>
  <si>
    <t>Total Streaming Revenue, mm</t>
  </si>
  <si>
    <t>United States DVD Revenue, mm</t>
  </si>
  <si>
    <t>United States &amp; Canada Streaming Revenue, mm</t>
  </si>
  <si>
    <t>United States EOP paid streaming memberships, 000s</t>
  </si>
  <si>
    <t>Calculated Canada EOP paid streaming memberships, 000s</t>
  </si>
  <si>
    <t>United States Streaming ARPU, $/member</t>
  </si>
  <si>
    <t>Calculated Canada Streaming ARPU, $/member</t>
  </si>
  <si>
    <t>United States &amp; Canada Streaming ARPU, $/member</t>
  </si>
  <si>
    <t>Latin America Streaming ARPU, $/member</t>
  </si>
  <si>
    <t>Asia Pacific Streaming ARPU, $/member</t>
  </si>
  <si>
    <t>United States paid streaming memberships net additions, 000s</t>
  </si>
  <si>
    <t>Canada paid streaming memberships net additions, 000s</t>
  </si>
  <si>
    <t>Q1-2020</t>
  </si>
  <si>
    <t>Latin America Streaming Revenue, mm</t>
  </si>
  <si>
    <t>Domestic Paid BOP Streaming Memberships, 000s</t>
  </si>
  <si>
    <t>Net Domestic Paid Streaming Memberships Change, 000s</t>
  </si>
  <si>
    <t>Domestic Paid EOP Streaming Memberships, 000s</t>
  </si>
  <si>
    <t>Average Domestic Paid Streaming Memberships in period, 000s</t>
  </si>
  <si>
    <t>International Paid BOP Streaming Memberships, 000s</t>
  </si>
  <si>
    <t>Net International Paid Streaming Memberships Change, 000s</t>
  </si>
  <si>
    <t>International Paid EOP Streaming Memberships, 000s</t>
  </si>
  <si>
    <t>Average International Paid Streaming Memberships in period, 000s</t>
  </si>
  <si>
    <t>Domestic Paid BOP DVD Memberships, 000s</t>
  </si>
  <si>
    <t>Net Domestic Paid DVD Memberships Change, 000s</t>
  </si>
  <si>
    <t>Domestic Paid EOP DVD Memberships, 000s</t>
  </si>
  <si>
    <t>Average Domestic Paid DVD Memberships in period, 000s</t>
  </si>
  <si>
    <t>Domestic free trials, 000s</t>
  </si>
  <si>
    <t>International free trials, 000s</t>
  </si>
  <si>
    <t>Domestic DVD free trials, 000s</t>
  </si>
  <si>
    <t>Total free trials, 000s</t>
  </si>
  <si>
    <t>Previous COGS, mm</t>
  </si>
  <si>
    <t>COGS Change in Content amortization, mm</t>
  </si>
  <si>
    <t>COGS Change in Other costs, mm</t>
  </si>
  <si>
    <t>COGS Change Discrepancy, mm</t>
  </si>
  <si>
    <t>Current COGS, mm</t>
  </si>
  <si>
    <t>Previous Marketing, mm</t>
  </si>
  <si>
    <t>Marketing Change Advertising and payments to partners, mm</t>
  </si>
  <si>
    <t>Marketing Change Personnel-related expenses, mm</t>
  </si>
  <si>
    <t>Current Marketing, mm</t>
  </si>
  <si>
    <t>Marketing Change Discrepancy, mm</t>
  </si>
  <si>
    <t>Previous Technology and Development, mm</t>
  </si>
  <si>
    <t>Tech&amp;Dev Change Personnel expenses, mm</t>
  </si>
  <si>
    <t>Tech&amp;Dev Change Third-party expenses, mm</t>
  </si>
  <si>
    <t>Tech&amp;Dev Change Discrepancy, mm</t>
  </si>
  <si>
    <t>Current Technology and Development, mm</t>
  </si>
  <si>
    <t>Previous G&amp;A, mm</t>
  </si>
  <si>
    <t>G&amp;A Change Personnel-related expenses, mm</t>
  </si>
  <si>
    <t>G&amp;A Change Third-party expenses, mm</t>
  </si>
  <si>
    <t>G&amp;A Change Discrepancy, mm</t>
  </si>
  <si>
    <t>Current G&amp;A, mm</t>
  </si>
  <si>
    <t>Net cash from operating activities</t>
  </si>
  <si>
    <t>Change in other assets</t>
  </si>
  <si>
    <t>Free Cash Flow</t>
  </si>
  <si>
    <t>Acquisition of DVD content assets</t>
  </si>
  <si>
    <t>Key Outputs</t>
  </si>
  <si>
    <t>Short term debt</t>
  </si>
  <si>
    <t>Q2-2020</t>
  </si>
  <si>
    <t>COGS Change in incremental content costs due to paused production and hardship fund commitments due to COVID-19,mm</t>
  </si>
  <si>
    <t>Key Metrics- Membership Breakdown Based On Old Segmentation (MD&amp;A) (Historical)</t>
  </si>
  <si>
    <t>Segmented Results - Costs Breakdown Based On Old Segmentation (FS) (Historical)</t>
  </si>
  <si>
    <t>Segmented Results - Revenue Breakdown Based On Old Segmentation (FS) (Historical)</t>
  </si>
  <si>
    <t>COGS</t>
  </si>
  <si>
    <t>Interest income</t>
  </si>
  <si>
    <t>Interest Expense</t>
  </si>
  <si>
    <t>Effective Interest Rate on Debt</t>
  </si>
  <si>
    <t>Interest Income</t>
  </si>
  <si>
    <t>Effective Interest Rate on Cash</t>
  </si>
  <si>
    <t>Net Interest Expense (Income)</t>
  </si>
  <si>
    <t>Effective Net Interest Rate on Debt</t>
  </si>
  <si>
    <t>EBITDA / Net Interest Expense</t>
  </si>
  <si>
    <t>Repurchases of common stock</t>
  </si>
  <si>
    <t>ST Debt</t>
  </si>
  <si>
    <t>LT Debt</t>
  </si>
  <si>
    <t>Net Debt Issuance (Repayment)</t>
  </si>
  <si>
    <t>Cash is Positive</t>
  </si>
  <si>
    <t>Debt is Positive</t>
  </si>
  <si>
    <t>Net Share Issuance (Buybacks)</t>
  </si>
  <si>
    <t>Estimated Share Price for Issuance/Buybacks, USD</t>
  </si>
  <si>
    <t>FCF (before WC), Post Div, Debt, Buyback, A/D</t>
  </si>
  <si>
    <t>Q3-2020</t>
  </si>
  <si>
    <t>In production, mm</t>
  </si>
  <si>
    <t>In development and production, mm</t>
  </si>
  <si>
    <t>Total Content Assets, mm</t>
  </si>
  <si>
    <t>DVD net, mm</t>
  </si>
  <si>
    <t>Produced content net, mm</t>
  </si>
  <si>
    <t>Released less amortization, mm</t>
  </si>
  <si>
    <t>Licensed content net, mm</t>
  </si>
  <si>
    <t>D&amp;A Forecasting</t>
  </si>
  <si>
    <t>PP&amp;E EoP, mm</t>
  </si>
  <si>
    <t>PP&amp;E BoP, mm</t>
  </si>
  <si>
    <t>Depreciation of fixed assets, mm</t>
  </si>
  <si>
    <t>Depreciation as percentage of PP&amp;E BoP, %</t>
  </si>
  <si>
    <t>Capex of PP&amp;E, mm</t>
  </si>
  <si>
    <t>Other net additions to PP&amp;E, mm</t>
  </si>
  <si>
    <t>Intangibles EoP, mm</t>
  </si>
  <si>
    <t>Intangibles BoP, mm</t>
  </si>
  <si>
    <t>Amortization of intangibles, mm</t>
  </si>
  <si>
    <t>Amortization as percentage of Intangibles BoP, %</t>
  </si>
  <si>
    <t>Capex of intangibles, mm</t>
  </si>
  <si>
    <t>Other net additions to intangibles, mm</t>
  </si>
  <si>
    <t>Implied life of fixed assets, yr</t>
  </si>
  <si>
    <t>Implied life of intangibles, yr</t>
  </si>
  <si>
    <t>Total D&amp;A, mm</t>
  </si>
  <si>
    <t>Total Capex, mm</t>
  </si>
  <si>
    <t>Q4-2020</t>
  </si>
  <si>
    <t>FY2021</t>
  </si>
  <si>
    <t>COGS Change in acquisition, licensing and production of content, mm</t>
  </si>
  <si>
    <t>Q1-2021</t>
  </si>
  <si>
    <t>Refinitiv</t>
  </si>
  <si>
    <t>Q2-2021</t>
  </si>
  <si>
    <t>COGS Change in streaming delivery costs and payment processing fees, mm</t>
  </si>
  <si>
    <t>Treasury stock</t>
  </si>
  <si>
    <t>Q3-2021</t>
  </si>
  <si>
    <t>Common stock</t>
  </si>
  <si>
    <t>Key Metrics - Content Obligations (FS)</t>
  </si>
  <si>
    <t>Current content liabilities, mm</t>
  </si>
  <si>
    <t>Other obligations not reflected in Balance sheet, mm</t>
  </si>
  <si>
    <t>Total Content Obligations, mm</t>
  </si>
  <si>
    <t>Non-current content liabilities, mm</t>
  </si>
  <si>
    <t>Content obligations due in less than one year, mm</t>
  </si>
  <si>
    <t>Content obligations due after one year and through three years, mm</t>
  </si>
  <si>
    <t>Content obligations due after three years and through five years, mm</t>
  </si>
  <si>
    <t>Content obligations due after five years, mm</t>
  </si>
  <si>
    <t>Q4-2021</t>
  </si>
  <si>
    <t>EBIT Margin, %</t>
  </si>
  <si>
    <t>Consensus Estimates - Adjusted EBIT</t>
  </si>
  <si>
    <t>Consensus Estimates - Adjusted EBIT Margin, %</t>
  </si>
  <si>
    <t>Adjusted EBIT</t>
  </si>
  <si>
    <t>Add back: D&amp;A Margin, %</t>
  </si>
  <si>
    <t>Add back: SBC Margin, %</t>
  </si>
  <si>
    <t>Add back: D&amp;A</t>
  </si>
  <si>
    <t>Add back: SBC</t>
  </si>
  <si>
    <t>Segmented Results - US and Canada Streaming (FS)</t>
  </si>
  <si>
    <t>United States and Canada Paid Streaming Memberships Net Additions, 000s</t>
  </si>
  <si>
    <t>United States streaming revenue, mm</t>
  </si>
  <si>
    <t>Calculated Canada streaming revenue, mm</t>
  </si>
  <si>
    <t>Y/Y United States streaming revenue growth, %</t>
  </si>
  <si>
    <t>Y/Y Calculated Canada streaming revenue growth, %</t>
  </si>
  <si>
    <t>Y/Y United States &amp; Canada streaming revenue growth, %</t>
  </si>
  <si>
    <t>Q/Q United States &amp; Canada streaming revenue growth, %</t>
  </si>
  <si>
    <t>Q/Q United States EOP paid streaming membership growth, %</t>
  </si>
  <si>
    <t>Y/Y United States EOP paid streaming membership growth, %</t>
  </si>
  <si>
    <t>Q/Q Calculated Canada EOP paid streaming membership growth, %</t>
  </si>
  <si>
    <t>Y/Y Calculated Canada EOP paid streaming membership growth, %</t>
  </si>
  <si>
    <t>Q/Q United States &amp; Canada EOP paid streaming memberships growth, %</t>
  </si>
  <si>
    <t>Y/Y United States &amp; Canada EOP paid streaming memberships growth, %</t>
  </si>
  <si>
    <t>Y/Y United States streaming ARPU growth, %</t>
  </si>
  <si>
    <t>Y/Y Calculated Canada streaming ARPU growth, %</t>
  </si>
  <si>
    <t>Y/Y United States &amp; Canada streaming ARPU growth, %</t>
  </si>
  <si>
    <t>Q/Q United States &amp; Canada streaming ARPU growth, %</t>
  </si>
  <si>
    <t>Segmented Results - EMEA Streaming (FS)</t>
  </si>
  <si>
    <t>Y/Y EMEA EOP paid streaming membership growth, %</t>
  </si>
  <si>
    <t>Q/Q EMEA EOP paid streaming memberships growth, %</t>
  </si>
  <si>
    <t>EMEA Paid Streaming Memberships Net Additions, 000s</t>
  </si>
  <si>
    <t>EMEA Streaming ARPU, $/member</t>
  </si>
  <si>
    <t>Y/Y EMEA streaming ARPU growth, %</t>
  </si>
  <si>
    <t>Q/Q EMEA streaming ARPU growth, %</t>
  </si>
  <si>
    <t>EMEA Streaming Revenue, mm</t>
  </si>
  <si>
    <t>Y/Y EMEA streaming revenue growth, %</t>
  </si>
  <si>
    <t>Q/Q EMEA streaming revenue growth, %</t>
  </si>
  <si>
    <t>Segmented Results - Latin America Streaming (FS)</t>
  </si>
  <si>
    <t>Y/Y Latin America EOP paid streaming membership growth, %</t>
  </si>
  <si>
    <t>Q/Q Latin America EOP paid streaming memberships growth, %</t>
  </si>
  <si>
    <t>Latin America Paid Streaming Memberships Net Additions, 000s</t>
  </si>
  <si>
    <t>Y/Y Latin America streaming ARPU growth, %</t>
  </si>
  <si>
    <t>Q/Q Latin America streaming ARPU growth, %</t>
  </si>
  <si>
    <t>Y/Y Latin America streaming revenue growth, %</t>
  </si>
  <si>
    <t>Segmented Results - Asia Pacific Streaming (FS)</t>
  </si>
  <si>
    <t>Q/Q Latin America streaming revenue growth, %</t>
  </si>
  <si>
    <t>Asia Pacific Paid Streaming Memberships Net Additions, 000s</t>
  </si>
  <si>
    <t>Q/Q Asia Pacific EOP paid streaming memberships growth, %</t>
  </si>
  <si>
    <t>Y/Y Asia Pacific EOP paid streaming membership growth, %</t>
  </si>
  <si>
    <t>Y/Y Asia Pacific streaming ARPU growth, %</t>
  </si>
  <si>
    <t>Q/Q Asia Pacific streaming ARPU growth, %</t>
  </si>
  <si>
    <t>Y/Y Asia Pacific streaming revenue growth, %</t>
  </si>
  <si>
    <t>Segment Summary</t>
  </si>
  <si>
    <t>United States EOP paid streaming memberships mix, %</t>
  </si>
  <si>
    <t>Calculated Canada EOP paid streaming memberships mix, %</t>
  </si>
  <si>
    <t>Total EOP Global Streaming Memberships Mix, %</t>
  </si>
  <si>
    <t>International EOP paid streaming memberships, 000s</t>
  </si>
  <si>
    <t>International EOP paid streaming memberships mix, %</t>
  </si>
  <si>
    <t>Segmented Results - United States DVD (FS)</t>
  </si>
  <si>
    <t>Y/Y United States DVD revenue growth, %</t>
  </si>
  <si>
    <t>Q/Q United States DVD revenue growth, %</t>
  </si>
  <si>
    <t>Total Paid Streaming Memberships Net Additions, 000s</t>
  </si>
  <si>
    <t>Total Global Streaming ARPU, $/Member</t>
  </si>
  <si>
    <t>United States streaming revenue mix, %</t>
  </si>
  <si>
    <t>Calculated Canada streaming revenue mix, %</t>
  </si>
  <si>
    <t>United States &amp; Canada Streaming Revenue Mix, %</t>
  </si>
  <si>
    <t>EMEA Streaming Revenue Mix, %</t>
  </si>
  <si>
    <t>Latin America Streaming Revenue Mix, %</t>
  </si>
  <si>
    <t>Asia Pacific Streaming Revenue Mix, %</t>
  </si>
  <si>
    <t>Total Streaming Revenue Mix, %</t>
  </si>
  <si>
    <t>United States DVD Revenue Mix, %</t>
  </si>
  <si>
    <t>International Streaming Revenue Mix, %</t>
  </si>
  <si>
    <t>Y/Y US and Canada streaming constant currency ARPU growth, %</t>
  </si>
  <si>
    <t>Y/Y EMEA streaming constant currency ARPU growth, %</t>
  </si>
  <si>
    <t>Y/Y Latin America streaming constant currency ARPU growth, %</t>
  </si>
  <si>
    <t>Y/Y Asia Pacific streaming constant currency ARPU growth, %</t>
  </si>
  <si>
    <t>Consolidated Summary</t>
  </si>
  <si>
    <t>Q/Q Global streaming ARPU growth, %</t>
  </si>
  <si>
    <t>Y/Y Global streaming ARPU growth, %</t>
  </si>
  <si>
    <t>Y/Y Domestic streaming revenue growth, %</t>
  </si>
  <si>
    <t>Y/Y International streaming revenue growth, %</t>
  </si>
  <si>
    <t>Y/Y Domestic DVD Revenue Growth, %</t>
  </si>
  <si>
    <t>Y/Y Streaming revenue growth, %</t>
  </si>
  <si>
    <t>Q/Q Streaming revenue growth, %</t>
  </si>
  <si>
    <t>Y/Y Total revenue growth, %</t>
  </si>
  <si>
    <t>Q/Q Total revenue growth, %</t>
  </si>
  <si>
    <t>Operating Expense Forecasting</t>
  </si>
  <si>
    <t>Licensed content amortization, mm</t>
  </si>
  <si>
    <t>Produced content amortization, mm</t>
  </si>
  <si>
    <t>DVD content amortization, mm</t>
  </si>
  <si>
    <t>Total Amortization, mm</t>
  </si>
  <si>
    <t>Total Average Paying Memberships, 000s</t>
  </si>
  <si>
    <t>Total Global EOP Paid Streaming Memberships, 000s</t>
  </si>
  <si>
    <t>Q/Q Global EOP paid streaming memberships growth, %</t>
  </si>
  <si>
    <t>Y/Y Global EOP paid streaming memberships growth, %</t>
  </si>
  <si>
    <t>Q/Q Total average paying memberships growth, %</t>
  </si>
  <si>
    <t>Y/Y Total average paying memberships growth, %</t>
  </si>
  <si>
    <t>Domestic DVD ARPU, $/Member</t>
  </si>
  <si>
    <t>Domestic DVD ARPU growth, %</t>
  </si>
  <si>
    <t>International Streaming monthly ARPU growth, %</t>
  </si>
  <si>
    <t>Streaming Content Amortization, mm</t>
  </si>
  <si>
    <t>Gross Profit, mm</t>
  </si>
  <si>
    <t>Y/Y growth in gross profit, %</t>
  </si>
  <si>
    <t>Y/Y improvement in Gross Margin, bps</t>
  </si>
  <si>
    <t>R&amp;D Expense, mm</t>
  </si>
  <si>
    <t>Y/Y growth in R&amp;D expense, %</t>
  </si>
  <si>
    <t>Y/Y improvement in R&amp;D Margin, bps</t>
  </si>
  <si>
    <t>S&amp;M Expense, mm</t>
  </si>
  <si>
    <t>Y/Y growth in S&amp;M expense, %</t>
  </si>
  <si>
    <t>Y/Y improvement in S&amp;M Margin, bps</t>
  </si>
  <si>
    <t>G&amp;A Expense, mm</t>
  </si>
  <si>
    <t>Y/Y growth in G&amp;A expense, %</t>
  </si>
  <si>
    <t>Y/Y improvement in G&amp;A Margin, bps</t>
  </si>
  <si>
    <t>EBIT, mm</t>
  </si>
  <si>
    <t>Y/Y growth in EBIT, %</t>
  </si>
  <si>
    <t>Y/Y improvement in EBIT Margin, bps</t>
  </si>
  <si>
    <t>Restated</t>
  </si>
  <si>
    <t>Other COGS, mm</t>
  </si>
  <si>
    <t>Other COGS Margin, %</t>
  </si>
  <si>
    <t>Y/Y improvement in Other COGS Margin, bps</t>
  </si>
  <si>
    <t>United States &amp; Canada Average Paying Memberships, 000s</t>
  </si>
  <si>
    <t>EMEA Average Paying Memberships, 000s</t>
  </si>
  <si>
    <t>Latin America Average Paying Memberships, 000s</t>
  </si>
  <si>
    <t>Q/Q United States &amp; Canada average paying memberships growth, %</t>
  </si>
  <si>
    <t>Y/Y United States &amp; Canada average paying memberships growth, %</t>
  </si>
  <si>
    <t>Q/Q EMEA average paying memberships growth, %</t>
  </si>
  <si>
    <t>Y/Y EMEA average paying memberships growth, %</t>
  </si>
  <si>
    <t>Q/Q Latin America average paying memberships growth, %</t>
  </si>
  <si>
    <t>Y/Y Latin America average paying memberships growth, %</t>
  </si>
  <si>
    <t>Y/Y Global streaming constant currency ARPU growth, %</t>
  </si>
  <si>
    <t>FX impact, mm</t>
  </si>
  <si>
    <t>Constant currency revenue, mm</t>
  </si>
  <si>
    <t>Y/Y Total constant currency revenue growth (calculated), %</t>
  </si>
  <si>
    <t>Asia Pacific Average Paying Memberships, 000s</t>
  </si>
  <si>
    <t>Q/Q Asia Pacific average paying memberships growth, %</t>
  </si>
  <si>
    <t>Y/Y Asia Pacific average paying memberships growth, %</t>
  </si>
  <si>
    <t>MO_MA_EBIT</t>
  </si>
  <si>
    <t>SBC expense</t>
  </si>
  <si>
    <t>SBC expense as % of revenue, %</t>
  </si>
  <si>
    <t>Balance Sheet</t>
  </si>
  <si>
    <t>Total US TV Time, %</t>
  </si>
  <si>
    <t>Key Metrics - Share of US TV Time (PR)</t>
  </si>
  <si>
    <t>Company1933 streaming as % of TV time, %</t>
  </si>
  <si>
    <t>Product0476 streaming as % of TV time, %</t>
  </si>
  <si>
    <t>Product0189 streaming as % of TV time, %</t>
  </si>
  <si>
    <t>Prime Video streaming as % of TV time, %</t>
  </si>
  <si>
    <t>Company0804 + streaming as % of TV time, %</t>
  </si>
  <si>
    <t>Other streaming as % of TV time, %</t>
  </si>
  <si>
    <t>Total Streaming as % of TV time, %</t>
  </si>
  <si>
    <t>Broadcast as % of TV time, %</t>
  </si>
  <si>
    <t>Cable as % of TV time, %</t>
  </si>
  <si>
    <t>Other as % of TV time, %</t>
  </si>
  <si>
    <t>BoP United States &amp; Canada Paid Streaming Memberships, 000s</t>
  </si>
  <si>
    <t>BoP EMEA Paid Streaming Memberships, 000s</t>
  </si>
  <si>
    <t>BoP Latin America Paid Streaming Memberships, 000s</t>
  </si>
  <si>
    <t>EoP EMEA Paid Streaming Memberships, 000s</t>
  </si>
  <si>
    <t>EoP United States &amp; Canada Paid Streaming Memberships, 000s</t>
  </si>
  <si>
    <t>EoP Latin America Paid Streaming Memberships, 000s</t>
  </si>
  <si>
    <t>BoP Asia Pacific Paid Streaming Memberships, 000s</t>
  </si>
  <si>
    <t>EoP Asia Pacific Paid Streaming Memberships, 000s</t>
  </si>
  <si>
    <t>Q/Q Asia Pacific streaming revenue growth, %</t>
  </si>
  <si>
    <t>United States paid streaming memberships net additions mix, %</t>
  </si>
  <si>
    <t>Canada paid streaming memberships net additions mix, %</t>
  </si>
  <si>
    <t>Total Paid Streaming Memberships Net Additions Mix, %</t>
  </si>
  <si>
    <t>United States and Canada Paid Streaming Memberships Net Additions Mix, %</t>
  </si>
  <si>
    <t>United States &amp; Canada EOP Paid Streaming Memberships Mix, %</t>
  </si>
  <si>
    <t>EMEA EOP Paid Streaming Memberships Mix, %</t>
  </si>
  <si>
    <t>Latin America EOP Paid Streaming Memberships Mix, %</t>
  </si>
  <si>
    <t>Asia Pacific EOP Paid Streaming Memberships Mix, %</t>
  </si>
  <si>
    <t>EMEA Paid Streaming Memberships Net Additions Mix, %</t>
  </si>
  <si>
    <t>Latin America Paid Streaming Memberships Net Additions Mix, %</t>
  </si>
  <si>
    <t>Asia Pacific Paid Streaming Memberships Net Additions Mix, %</t>
  </si>
  <si>
    <t>Total Revenue Mix, %</t>
  </si>
  <si>
    <t>BoP Content Library, mm</t>
  </si>
  <si>
    <t>EoP Content Library, mm</t>
  </si>
  <si>
    <t>Operating Stats - Amortization and Content Library (FS)</t>
  </si>
  <si>
    <t>Key Metrics - Headcount (FS)</t>
  </si>
  <si>
    <t>BoP Total Global Paid Streaming Memberships, 000s</t>
  </si>
  <si>
    <t>Total paid streaming memberships net additions, 000s</t>
  </si>
  <si>
    <t>United States &amp; Canada employees, # of employees</t>
  </si>
  <si>
    <t>EMEA employees, # of employees</t>
  </si>
  <si>
    <t>Latin America employees, # of employees</t>
  </si>
  <si>
    <t>Asia Pacific employees, # of employees</t>
  </si>
  <si>
    <t>Total Full-time Employees, # of employees</t>
  </si>
  <si>
    <t>Taxes paid related to net share settlement of equity awards</t>
  </si>
  <si>
    <t>Q1-2022</t>
  </si>
  <si>
    <t>Share Count Analysis</t>
  </si>
  <si>
    <t>Q2-2022</t>
  </si>
  <si>
    <t>FY2022</t>
  </si>
  <si>
    <t>Last Working Day In Period</t>
  </si>
  <si>
    <t>Stock Price EoP</t>
  </si>
  <si>
    <t>FX EoP</t>
  </si>
  <si>
    <t>Ticker0026_US</t>
  </si>
  <si>
    <t>Q3-2022</t>
  </si>
  <si>
    <t>COGS Change in personnel-related costs</t>
  </si>
  <si>
    <t>Restricted cash in other current assets</t>
  </si>
  <si>
    <t>Restricted Cash in other non-current assets</t>
  </si>
  <si>
    <t>Operating lease right-of-use assets, net</t>
  </si>
  <si>
    <t>Amortization of debt discounts</t>
  </si>
  <si>
    <t>Credit Summary</t>
  </si>
  <si>
    <t>Revolver debt repayment</t>
  </si>
  <si>
    <t>Other debt repayment</t>
  </si>
  <si>
    <t>Debt repayment</t>
  </si>
  <si>
    <t>Debt issuance</t>
  </si>
  <si>
    <t>Net Debt Issuance</t>
  </si>
  <si>
    <t>Secured debt balance</t>
  </si>
  <si>
    <t>Unsecured debt balance</t>
  </si>
  <si>
    <t>Principal debt balance</t>
  </si>
  <si>
    <t>Less: Premiums, discounts, and unamortized debt issuance costs, net</t>
  </si>
  <si>
    <t>Book value debt balance</t>
  </si>
  <si>
    <t>Cash balance</t>
  </si>
  <si>
    <t>Operating leases</t>
  </si>
  <si>
    <t>Net Debt (Incl. Op Leases)</t>
  </si>
  <si>
    <t>Credit Available on Revolving Facilities</t>
  </si>
  <si>
    <t>Credit used on revolving facilities</t>
  </si>
  <si>
    <t>Credit Remaining on Revolving Facilities</t>
  </si>
  <si>
    <t>Total Liquidity</t>
  </si>
  <si>
    <t>Interest Expense on Debt</t>
  </si>
  <si>
    <t>Amortization of debt discounts, premiums and issuance costs</t>
  </si>
  <si>
    <t>Unaccounted interest expense (calculated)</t>
  </si>
  <si>
    <t>Cash interest</t>
  </si>
  <si>
    <t>Cash taxes</t>
  </si>
  <si>
    <t>Cash tax rate, %</t>
  </si>
  <si>
    <t>Change in credit adjusted WC</t>
  </si>
  <si>
    <t>Credit Adjusted Free Cash Flow</t>
  </si>
  <si>
    <t>Debt Breakdown</t>
  </si>
  <si>
    <t>Additional credit facility required - debt outstanding</t>
  </si>
  <si>
    <t>Total Principal Debt Outstanding</t>
  </si>
  <si>
    <t>Total Book Value of Debt</t>
  </si>
  <si>
    <t>Less: Current portion of LT debt</t>
  </si>
  <si>
    <t>Total Long-Term Debt</t>
  </si>
  <si>
    <t>Additional credit facility required - net repayment</t>
  </si>
  <si>
    <t>Total Modelled Net Repayment</t>
  </si>
  <si>
    <t>Additional credit facility required - interest expense</t>
  </si>
  <si>
    <t>Additional credit facility - interest rate, %</t>
  </si>
  <si>
    <t>Total Interest Expense on Principal Notes (Calculated)</t>
  </si>
  <si>
    <t>Additional credit facility required - cash interest paid</t>
  </si>
  <si>
    <t>Total Cash Interest Paid (Calculated)</t>
  </si>
  <si>
    <t>Unaccounted cash interest</t>
  </si>
  <si>
    <t>Total Cash Interest Paid (Reported)</t>
  </si>
  <si>
    <t>Lease Forecasting</t>
  </si>
  <si>
    <t>Operating Lease ROU Assets - BoP</t>
  </si>
  <si>
    <t>Depreciation of ROU assets</t>
  </si>
  <si>
    <t>Additions to ROU assets</t>
  </si>
  <si>
    <t>Other changes to ROU assets</t>
  </si>
  <si>
    <t>Operating Lease ROU Assets - EoP</t>
  </si>
  <si>
    <t>Depreciation as % of BoP ROU assets, %</t>
  </si>
  <si>
    <t>ROU Asset Life, yrs</t>
  </si>
  <si>
    <t>Operating Lease Liabilities - BoP</t>
  </si>
  <si>
    <t>Additions to lease liabilities</t>
  </si>
  <si>
    <t>Capital repayments of lease liabilities</t>
  </si>
  <si>
    <t>Other changes to lease liabilities</t>
  </si>
  <si>
    <t>Operating Lease Liabilities - EoP</t>
  </si>
  <si>
    <t>Current as of total operating lease liabilities, %</t>
  </si>
  <si>
    <t>Implied interest rate, %</t>
  </si>
  <si>
    <t>Operating lease liability interest paid</t>
  </si>
  <si>
    <t>Operating lease liability repayment of capital</t>
  </si>
  <si>
    <t>Monthly cash payment</t>
  </si>
  <si>
    <t>Q/Q Monthly cash payment growth, %</t>
  </si>
  <si>
    <t>Y/Y Monthly cash payment growth, %</t>
  </si>
  <si>
    <t>Noncash lease expense</t>
  </si>
  <si>
    <t>Operating Lease Expense</t>
  </si>
  <si>
    <t>Cash reconciliation for op lease expense &amp; payment</t>
  </si>
  <si>
    <t>Credit Ratios</t>
  </si>
  <si>
    <t>Net Debt/LTM Adj EBITDA, x</t>
  </si>
  <si>
    <t>Net Debt/LTM CFO, x</t>
  </si>
  <si>
    <t>Net Debt/LTM Credit Adjusted FCF, x</t>
  </si>
  <si>
    <t>Net Debt/(LTM Adj EBITDA-LTM Capex), x</t>
  </si>
  <si>
    <t>Secured Debt/LTM Adj EBITDA, x</t>
  </si>
  <si>
    <t>LT Debt/LTM Adj EBITDA, x</t>
  </si>
  <si>
    <t>LT Debt/LTM Credit Adjusted FCF, x</t>
  </si>
  <si>
    <t>Total Debt/LTM Adj EBITDA, x</t>
  </si>
  <si>
    <t>LTM Adj EBITDA/LTM Net Interest Expense, x</t>
  </si>
  <si>
    <t>LT Debt/Total Equity, x</t>
  </si>
  <si>
    <t>LT Debt/Market Cap, x</t>
  </si>
  <si>
    <t>LT Debt/(LT Debt + Total Equity), x</t>
  </si>
  <si>
    <t>LT Debt/(LT Debt + Market Cap), x</t>
  </si>
  <si>
    <t>LT Debt/EV, x</t>
  </si>
  <si>
    <t>LT Debt/Total Assets, x</t>
  </si>
  <si>
    <t>Current Ratio, x</t>
  </si>
  <si>
    <t>Quick Ratio, x</t>
  </si>
  <si>
    <t>Cash Ratio, x</t>
  </si>
  <si>
    <t>Total Value of Debt</t>
  </si>
  <si>
    <t>Secured Debt</t>
  </si>
  <si>
    <t>LTM Adj EBITDA</t>
  </si>
  <si>
    <t>Capital Expenditure</t>
  </si>
  <si>
    <t>LTM Capital Expenditure</t>
  </si>
  <si>
    <t>Operating Cash Flow</t>
  </si>
  <si>
    <t>LTM Operating Cash Flow</t>
  </si>
  <si>
    <t>LTM Credit Adjusted FCF</t>
  </si>
  <si>
    <t>BV of Equity</t>
  </si>
  <si>
    <t>Market Cap</t>
  </si>
  <si>
    <t>EV</t>
  </si>
  <si>
    <t>Assets</t>
  </si>
  <si>
    <t>Liquid Current Assets</t>
  </si>
  <si>
    <t>LTM CFO/LTM Net Interest Expense, x</t>
  </si>
  <si>
    <t>Net Interest Expense</t>
  </si>
  <si>
    <t>LTM Net Interest Expense</t>
  </si>
  <si>
    <t>Unsecured revolving credit facility - credit available</t>
  </si>
  <si>
    <t>Unsecured revolving credit facility - debt outstanding</t>
  </si>
  <si>
    <t>5.375% Senior Note - debt outstanding</t>
  </si>
  <si>
    <t>5.500% Senior Note - debt outstanding</t>
  </si>
  <si>
    <t>5.750% Senior Note - debt outstanding</t>
  </si>
  <si>
    <t>5.875% Senior Note - debt outstanding</t>
  </si>
  <si>
    <t>3.625% Senior Note - debt outstanding</t>
  </si>
  <si>
    <t>4.375% Senior Note - debt outstanding</t>
  </si>
  <si>
    <t>4.875% Senior Note - debt outstanding</t>
  </si>
  <si>
    <t>6.375% Senior Note - debt outstanding</t>
  </si>
  <si>
    <t>5.500% Senior Note - net repayment</t>
  </si>
  <si>
    <t>5.750% Senior Note - net repayment</t>
  </si>
  <si>
    <t>5.875% Senior Note - net repayment</t>
  </si>
  <si>
    <t>3.625% Senior Note - net repayment</t>
  </si>
  <si>
    <t>4.375% Senior Note - net repayment</t>
  </si>
  <si>
    <t>4.875% Senior Note - net repayment</t>
  </si>
  <si>
    <t>6.375% Senior Note - net repayment</t>
  </si>
  <si>
    <t>5.375% Senior Note - net repayment</t>
  </si>
  <si>
    <t>5.500% Senior Note - interest expense</t>
  </si>
  <si>
    <t>5.750% Senior Note - interest expense</t>
  </si>
  <si>
    <t>5.875% Senior Note - interest expense</t>
  </si>
  <si>
    <t>3.625% Senior Note - interest expense</t>
  </si>
  <si>
    <t>4.375% Senior Note - interest expense</t>
  </si>
  <si>
    <t>4.875% Senior Note - interest expense</t>
  </si>
  <si>
    <t>6.375% Senior Note - interest expense</t>
  </si>
  <si>
    <t>5.375% Senior Note - interest expense</t>
  </si>
  <si>
    <t>5.500% Senior Note - cash interest paid</t>
  </si>
  <si>
    <t>5.750% Senior Note - cash interest paid</t>
  </si>
  <si>
    <t>5.875% Senior Note - cash interest paid</t>
  </si>
  <si>
    <t>3.625% Senior Note - cash interest paid</t>
  </si>
  <si>
    <t>4.375% Senior Note - cash interest paid</t>
  </si>
  <si>
    <t>4.875% Senior Note - cash interest paid</t>
  </si>
  <si>
    <t>6.375% Senior Note - cash interest paid</t>
  </si>
  <si>
    <t>5.375% Senior Note - cash interest paid</t>
  </si>
  <si>
    <t>Unsecured revolving credit facility - net repayment</t>
  </si>
  <si>
    <t>Unsecured revolving credit facility - interest expense</t>
  </si>
  <si>
    <t>Unsecured revolving credit facility - cash interest paid</t>
  </si>
  <si>
    <t>Income taxes paid</t>
  </si>
  <si>
    <t>Interest paid</t>
  </si>
  <si>
    <t>Non-cash lease expense</t>
  </si>
  <si>
    <t>Reported Interest Expense</t>
  </si>
  <si>
    <t>Revolving Credit Facility Fees- interest rate, %</t>
  </si>
  <si>
    <t>3.000% Senior Note USD-denominated - debt outstanding</t>
  </si>
  <si>
    <t>3.625% Senior Note USD-denominated - debt outstanding</t>
  </si>
  <si>
    <t>4.625% Senior Note USD-denominated - debt outstanding</t>
  </si>
  <si>
    <t>3.875% Senior Note USD-denominated - debt outstanding</t>
  </si>
  <si>
    <t>3.000% Senior Note USD-denominated - net repayment</t>
  </si>
  <si>
    <t>3.625% Senior Note USD-denominated - net repayment</t>
  </si>
  <si>
    <t>4.625% Senior Note USD-denominated - net repayment</t>
  </si>
  <si>
    <t>3.875% Senior Note USD-denominated - net repayment</t>
  </si>
  <si>
    <t>3.000% Senior Note USD-denominated - interest expense</t>
  </si>
  <si>
    <t>3.625% Senior Note USD-denominated - interest expense</t>
  </si>
  <si>
    <t>4.625% Senior Note USD-denominated - interest expense</t>
  </si>
  <si>
    <t>3.875% Senior Note USD-denominated - interest expense</t>
  </si>
  <si>
    <t>3.000% Senior Note USD-denominated - cash interest paid</t>
  </si>
  <si>
    <t>3.625% Senior Note USD-denominated - cash interest paid</t>
  </si>
  <si>
    <t>4.625% Senior Note USD-denominated - cash interest paid</t>
  </si>
  <si>
    <t>3.875% Senior Note USD-denominated - cash interest paid</t>
  </si>
  <si>
    <t>Non-current operating lease liabilities</t>
  </si>
  <si>
    <t>Other non-current liabilities (ex. OL liabilities)</t>
  </si>
  <si>
    <t>Operating Lease Liability Payment</t>
  </si>
  <si>
    <t>Debt = Credit Debt</t>
  </si>
  <si>
    <t>3.000% Senior Note EUR-denominated - debt outstanding, EUR mm</t>
  </si>
  <si>
    <t>n/a</t>
  </si>
  <si>
    <t>FX gain/(loss) in value of debt</t>
  </si>
  <si>
    <t>3.625% Senior Note EUR-denominated - debt outstanding, EUR mm</t>
  </si>
  <si>
    <t>4.625% Senior Note EUR-denominated - debt outstanding, EUR mm</t>
  </si>
  <si>
    <t>3.875% Senior Note EUR-denominated - debt outstanding, EUR mm</t>
  </si>
  <si>
    <r>
      <t>3.625% Senior Note EUR-denominated - debt outstanding</t>
    </r>
    <r>
      <rPr>
        <b/>
        <sz val="11"/>
        <color rgb="FF000000"/>
        <rFont val="Calibri"/>
        <family val="2"/>
        <scheme val="minor"/>
      </rPr>
      <t>, EUR mm</t>
    </r>
  </si>
  <si>
    <t>3.000% Senior Note EUR-denominated - net repayment, EUR mm</t>
  </si>
  <si>
    <t>3.625% Senior Note EUR-denominated - net repayment, EUR mm</t>
  </si>
  <si>
    <t>4.625% Senior Note EUR-denominated - net repayment, EUR mm</t>
  </si>
  <si>
    <t>3.875% Senior Note EUR-denominated - net repayment, EUR mm</t>
  </si>
  <si>
    <t>3.000% Senior Note EUR-denominated - interest expense, EUR mm</t>
  </si>
  <si>
    <t>3.625% Senior Note EUR-denominated - interest expense, EUR mm</t>
  </si>
  <si>
    <t>4.625% Senior Note EUR-denominated - interest expense, EUR mm</t>
  </si>
  <si>
    <t>3.875% Senior Note EUR-denominated - interest expense, EUR mm</t>
  </si>
  <si>
    <t>3.000% Senior Note EUR-denominated - cash interest paid, EUR mm</t>
  </si>
  <si>
    <t>3.625% Senior Note EUR-denominated - cash interest paid, EUR mm</t>
  </si>
  <si>
    <t>4.625% Senior Note EUR-denominated - cash interest paid, EUR mm</t>
  </si>
  <si>
    <t>3.875% Senior Note EUR-denominated - cash interest paid, EUR mm</t>
  </si>
  <si>
    <t>Unsecured revolving credit facility - cash unused fee</t>
  </si>
  <si>
    <t>Unsecured revolving credit facility - unused fee</t>
  </si>
  <si>
    <t>Alternate Base Rate, %</t>
  </si>
  <si>
    <t>Exchange Rate: EUR/USD - EoP, x</t>
  </si>
  <si>
    <t>Exchange Rate: EUR/USD - Average, x</t>
  </si>
  <si>
    <t>Advertising expenses, mm</t>
  </si>
  <si>
    <t>Adjusted EBIT Margin (No Adjustments), %</t>
  </si>
  <si>
    <t>Adjusted EBITDA Margin (No Adjustments), %</t>
  </si>
  <si>
    <t>Q4-2022</t>
  </si>
  <si>
    <t>FX Impact on Revenue</t>
  </si>
  <si>
    <t>FX Impact on EBIT</t>
  </si>
  <si>
    <t>Q1-2023</t>
  </si>
  <si>
    <t>Change in Working Capital</t>
  </si>
  <si>
    <t>Operating Cash Flow after WC</t>
  </si>
  <si>
    <t>Cash Flow Per Diluted Share</t>
  </si>
  <si>
    <t>FCF, Pre Div</t>
  </si>
  <si>
    <t>FCF, Post Div, Pre A/D</t>
  </si>
  <si>
    <t>FCF, Post Div, Post A/D</t>
  </si>
  <si>
    <t>FCF, Post Div, Debt, Buyback, A/D</t>
  </si>
  <si>
    <t>Consensus Estimates - Cash Flow Per Diluted Share</t>
  </si>
  <si>
    <t>Q/Q basic share expansion from dilutive securities, %</t>
  </si>
  <si>
    <t>Y/Y basic share expansion from dilutive securities, %</t>
  </si>
  <si>
    <t>Q/Q basic share expansion from share issuance (buyback), %</t>
  </si>
  <si>
    <t>Y/Y basic share expansion from share issuance (buyback), %</t>
  </si>
  <si>
    <t>Q/Q basic share expansion - EoP, %</t>
  </si>
  <si>
    <t>Y/Y basic share expansion - EoP, %</t>
  </si>
  <si>
    <t>Diluted share count to basic share count ratio, x</t>
  </si>
  <si>
    <t>EoP</t>
  </si>
  <si>
    <t>Last Working Day, date</t>
  </si>
  <si>
    <t>End of Period Stock Price, $/share</t>
  </si>
  <si>
    <t>Common Stock Outstanding - EoP, mm shares</t>
  </si>
  <si>
    <t>Dilutive Shares, mm shares</t>
  </si>
  <si>
    <t>Total Diluted Common Stock Outstanding - EoP, mm shares</t>
  </si>
  <si>
    <t>Cumulative BoP Total Stock Options Outstanding, mm options</t>
  </si>
  <si>
    <t>Cumulative Granted Stock Options, mm options</t>
  </si>
  <si>
    <t>Cumulative Exercised Stock Options, mm options</t>
  </si>
  <si>
    <t>Cumulative Canceled or Expired Stock Options, mm options</t>
  </si>
  <si>
    <t>Cumulative EoP Total Stock Options Outstanding, mm options</t>
  </si>
  <si>
    <t>BoP Total Stock Options Outstanding, mm options</t>
  </si>
  <si>
    <t>Granted Stock Options, mm options</t>
  </si>
  <si>
    <t>Exercised Stock Options, mm options</t>
  </si>
  <si>
    <t>Canceled or Expired stock options, mm options</t>
  </si>
  <si>
    <t>EoP Total Stock Options Outstanding, mm options</t>
  </si>
  <si>
    <t>Cumulative BoP Weighted Average Exercise Price, $/share</t>
  </si>
  <si>
    <t>Cumulative Granted Average Exercise Price, $/share</t>
  </si>
  <si>
    <t>Cumulative Exercised Average Exercise Price, $/share</t>
  </si>
  <si>
    <t>Cumulative Canceled or Expired Average Exercise Price, $/share</t>
  </si>
  <si>
    <t>Cumulative EoP Weighted Average Exercise Price, $/share</t>
  </si>
  <si>
    <t>BoP Weighted Average Exercise Price, $/share</t>
  </si>
  <si>
    <t>Granted Average Exercise Price, $/share</t>
  </si>
  <si>
    <t>Exercised Average Exercise Price, $/share</t>
  </si>
  <si>
    <t>Canceled or Expired Average Exercise Price, $/share</t>
  </si>
  <si>
    <t>EoP Weighted Average Exercise Price, $/share</t>
  </si>
  <si>
    <t>Dilutive Shares From Exercised Options (Treasury Method), mm shares</t>
  </si>
  <si>
    <t>EoP Total Stock Options Exercisable, mm options</t>
  </si>
  <si>
    <t>EoP Weighted Average Exercisable Option Exercise Price, $/share</t>
  </si>
  <si>
    <t>Potentially Dilutive Securities, mm shares</t>
  </si>
  <si>
    <t>Source Fully Diluted Shares Outstanding, mm shares</t>
  </si>
  <si>
    <t>Cover Page Common Stock Outstanding, mm shares</t>
  </si>
  <si>
    <t>Date of Cover Page Share Count, date</t>
  </si>
  <si>
    <t>Source Potentially Dilutive Cover Page Shares Outstanding, mm shares</t>
  </si>
  <si>
    <t>Month 1 Weighted Average Repurchase Price, $/share</t>
  </si>
  <si>
    <t>Month 2 Weighted Average Repurchase Price, $/share</t>
  </si>
  <si>
    <t>Month 3 Weighted Average Repurchase Price, $/share</t>
  </si>
  <si>
    <t>Average Repurchase Price During the Period, $/share</t>
  </si>
  <si>
    <t>Month 1 Repurchase Value, mm</t>
  </si>
  <si>
    <t>Month 2 Repurchase Value, mm</t>
  </si>
  <si>
    <t>Month 3 Repurchase Value, mm</t>
  </si>
  <si>
    <t>Total Repurchase Value During the Period, mm</t>
  </si>
  <si>
    <t>KPI Data</t>
  </si>
  <si>
    <t>MO_RIS_NI_NONGAAP_Diluted</t>
  </si>
  <si>
    <t>MO_RIS_EPS_WAD_Adj</t>
  </si>
  <si>
    <t>MO_RIS_EBITDA_Adj</t>
  </si>
  <si>
    <t>MO_MA_EBITDA_Adj</t>
  </si>
  <si>
    <t>KPI Count</t>
  </si>
  <si>
    <t>Apply Trade Currency Scaling</t>
  </si>
  <si>
    <t>Q2-2023</t>
  </si>
  <si>
    <t>FY2023</t>
  </si>
  <si>
    <t>MO_GA_REV_ConstantCurrency</t>
  </si>
  <si>
    <t>Q3-2023</t>
  </si>
  <si>
    <t>Max streaming as % of TV time, %</t>
  </si>
  <si>
    <t>Product0427 streaming as % of TV time, %</t>
  </si>
  <si>
    <t>Product0291 streaming as % of TV time, %</t>
  </si>
  <si>
    <t>Company2302 streaming as % of TV time, %</t>
  </si>
  <si>
    <t>Product0298 TV streaming as % of TV time, %</t>
  </si>
  <si>
    <t>Company2150+ streaming as % of TV time, %</t>
  </si>
  <si>
    <t>Letter to Shareholders</t>
  </si>
  <si>
    <t>MO_CFSum_FCF_PostWCPreDiv</t>
  </si>
  <si>
    <t>Q4-2023</t>
  </si>
  <si>
    <t>FY2024</t>
  </si>
  <si>
    <t>MO_KPI_Subscribers_EoP</t>
  </si>
  <si>
    <t>MO_KPI_ARPU_Calc</t>
  </si>
  <si>
    <t>MO_KPI_REV_Subscription</t>
  </si>
  <si>
    <t>MO_KPI_Content_Amortization</t>
  </si>
  <si>
    <t>Quarterly Guidance Table</t>
  </si>
  <si>
    <t>Reporting Date</t>
  </si>
  <si>
    <t>Applicable Period</t>
  </si>
  <si>
    <t>Annual Guidance Table</t>
  </si>
  <si>
    <t>Is Latest</t>
  </si>
  <si>
    <t>Q1-2024</t>
  </si>
  <si>
    <t>1-month SOFR rate, %</t>
  </si>
  <si>
    <t>Americas Streaming Revenue, mm</t>
  </si>
  <si>
    <t>Market Cap - EoP, mm</t>
  </si>
  <si>
    <t>Total director compensation, 000s</t>
  </si>
  <si>
    <t>Total director option awards comp, 000s</t>
  </si>
  <si>
    <t>Director 11 option awards comp, 000s</t>
  </si>
  <si>
    <t>Director 10 option awards comp, 000s</t>
  </si>
  <si>
    <t>Director 9 option awards comp, 000s</t>
  </si>
  <si>
    <t>Director 8 option awards comp, 000s</t>
  </si>
  <si>
    <t>Director 7 option awards comp, 000s</t>
  </si>
  <si>
    <t>Director 6 option awards comp, 000s</t>
  </si>
  <si>
    <t>Director 5 option awards comp, 000s</t>
  </si>
  <si>
    <t>Director 4 option awards comp, 000s</t>
  </si>
  <si>
    <t>Director 3 option awards comp, 000s</t>
  </si>
  <si>
    <t>Director 2 option awards comp, 000s</t>
  </si>
  <si>
    <t>Director 1 option awards comp, 000s</t>
  </si>
  <si>
    <t>Total director all other comp, 000s</t>
  </si>
  <si>
    <t>Director 11 all other comp, 000s</t>
  </si>
  <si>
    <t>Director 10 all other comp, 000s</t>
  </si>
  <si>
    <t>Director 9 all other comp, 000s</t>
  </si>
  <si>
    <t>Director 8 all other comp, 000s</t>
  </si>
  <si>
    <t>Director 7 all other comp, 000s</t>
  </si>
  <si>
    <t>Director 6 all other comp, 000s</t>
  </si>
  <si>
    <t>Director 5 all other comp, 000s</t>
  </si>
  <si>
    <t>Director 4 all other comp, 000s</t>
  </si>
  <si>
    <t>Director 3 all other comp, 000s</t>
  </si>
  <si>
    <t>Director 2 all other comp, 000s</t>
  </si>
  <si>
    <t>Director 1 all other comp, 000s</t>
  </si>
  <si>
    <t>Total director cash comp, 000s</t>
  </si>
  <si>
    <t>Director 11 cash comp, 000s</t>
  </si>
  <si>
    <t>Director 10 cash comp, 000s</t>
  </si>
  <si>
    <t>Director 9 cash comp, 000s</t>
  </si>
  <si>
    <t>Director 8 cash comp, 000s</t>
  </si>
  <si>
    <t>Director 7 cash comp, 000s</t>
  </si>
  <si>
    <t>Director 6 cash comp, 000s</t>
  </si>
  <si>
    <t>Director 5 cash comp, 000s</t>
  </si>
  <si>
    <t>Director 4 cash comp, 000s</t>
  </si>
  <si>
    <t>Director 3 cash comp, 000s</t>
  </si>
  <si>
    <t>Director 2 cash comp, 000s</t>
  </si>
  <si>
    <t>Director 1 cash comp, 000s</t>
  </si>
  <si>
    <t>Director Compensation</t>
  </si>
  <si>
    <t>Total # of director nominees</t>
  </si>
  <si>
    <t>Total # of racially/ethnically diverse current directors</t>
  </si>
  <si>
    <t>Total # of female current directors</t>
  </si>
  <si>
    <t>Total # of independent current directors</t>
  </si>
  <si>
    <t>Total # of current directors</t>
  </si>
  <si>
    <t>Board Diversity</t>
  </si>
  <si>
    <t>CCMO - EoP shares beneficially owned, 000s</t>
  </si>
  <si>
    <t>CCMO - Options 12/01/2032 exercise price, $</t>
  </si>
  <si>
    <t>CCMO - Options 12/01/2032 # of unexercised exercisable options, 000s</t>
  </si>
  <si>
    <t>CCMO - Options 11/01/2032 exercise price, $</t>
  </si>
  <si>
    <t>CCMO - Options 11/01/2032 # of unexercised exercisable options, 000s</t>
  </si>
  <si>
    <t>CCMO - Options 10/03/2032 exercise price, $</t>
  </si>
  <si>
    <t>CCMO - Options 10/03/2032 # of unexercised exercisable options, 000s</t>
  </si>
  <si>
    <t>CCMO - Options 09/01/2032	 exercise price, $</t>
  </si>
  <si>
    <t>CCMO - Options 09/01/2032	 # of unexercised exercisable options, 000s</t>
  </si>
  <si>
    <t>CCMO - Options 08/01/2032	 exercise price, $</t>
  </si>
  <si>
    <t>CCMO - Options 08/01/2032 # of unexercised exercisable options, 000s</t>
  </si>
  <si>
    <t>CCMO - Options 07/01/2032	 exercise price, $</t>
  </si>
  <si>
    <t>CCMO - Options 07/01/2032 # of unexercised exercisable options, 000s</t>
  </si>
  <si>
    <t>CCMO - Options 06/01/2032	 exercise price, $</t>
  </si>
  <si>
    <t>CCMO - Options 06/01/2032 # of unexercised exercisable options, 000s</t>
  </si>
  <si>
    <t>CCMO - Options 05/02/2032 exercise price, $</t>
  </si>
  <si>
    <t>CCMO - Options 05/02/2032 # of unexercised exercisable options, 000s</t>
  </si>
  <si>
    <t>CCMO - Options 04/01/2032 exercise price, $</t>
  </si>
  <si>
    <t>CCMO - Options 04/01/2032 # of unexercised exercisable options, 000s</t>
  </si>
  <si>
    <t>CCMO - Options 03/01/2032 exercise price, $</t>
  </si>
  <si>
    <t>CCMO - Options 03/01/2032 # of unexercised exercisable options, 000s</t>
  </si>
  <si>
    <t>CCMO - Options 02/01/2032 exercise price, $</t>
  </si>
  <si>
    <t>CCMO - Options 02/01/2032 # of unexercised exercisable options, 000s</t>
  </si>
  <si>
    <t>CCMO - Options 01/03/2032 exercise price, $</t>
  </si>
  <si>
    <t>CCMO - Options 01/03/2032 # of unexercised exercisable options, 000s</t>
  </si>
  <si>
    <t>CCMO - Options 12/01/2031 exercise price, $</t>
  </si>
  <si>
    <t>CCMO - Options 12/01/2031 # of unexercised exercisable options, 000s</t>
  </si>
  <si>
    <t>CCMO - Options 11/01/2031 exercise price, $</t>
  </si>
  <si>
    <t>CCMO - Options 11/01/2031 # of unexercised exercisable options, 000s</t>
  </si>
  <si>
    <t>CCMO - Options 10/01/2031 exercise price, $</t>
  </si>
  <si>
    <t>CCMO - Options 10/01/2031 # of unexercised exercisable options, 000s</t>
  </si>
  <si>
    <t>CCMO - Options 09/01/2031	 exercise price, $</t>
  </si>
  <si>
    <t>CCMO - Options 09/01/2031	 # of unexercised exercisable options, 000s</t>
  </si>
  <si>
    <t>CCMO - Options 08/02/2031	 exercise price, $</t>
  </si>
  <si>
    <t>CCMO - Options 08/02/2031 # of unexercised exercisable options, 000s</t>
  </si>
  <si>
    <t>CCMO - Options 07/01/2031	 exercise price, $</t>
  </si>
  <si>
    <t>CCMO - Options 07/01/2031 # of unexercised exercisable options, 000s</t>
  </si>
  <si>
    <t>CCMO - Options 06/01/2031	 exercise price, $</t>
  </si>
  <si>
    <t>CCMO - Options 06/01/2031 # of unexercised exercisable options, 000s</t>
  </si>
  <si>
    <t>CCMO - Options 05/03/2031 exercise price, $</t>
  </si>
  <si>
    <t>CCMO - Options 05/03/2031 # of unexercised exercisable options, 000s</t>
  </si>
  <si>
    <t>CCMO - Options 04/01/2031 exercise price, $</t>
  </si>
  <si>
    <t>CCMO - Options 04/01/2031 # of unexercised exercisable options, 000s</t>
  </si>
  <si>
    <t>CCMO - Options 03/01/2031 exercise price, $</t>
  </si>
  <si>
    <t>CCMO - Options 03/01/2031 # of unexercised exercisable options, 000s</t>
  </si>
  <si>
    <t>CCMO - Options 02/01/2031 exercise price, $</t>
  </si>
  <si>
    <t>CCMO - Options 02/01/2031 # of unexercised exercisable options, 000s</t>
  </si>
  <si>
    <t>CCMO - Options 01/04/2031 exercise price, $</t>
  </si>
  <si>
    <t>CCMO - Options 01/04/2031 # of unexercised exercisable options, 000s</t>
  </si>
  <si>
    <t>CCMO - Options 12/01/2030 exercise price, $</t>
  </si>
  <si>
    <t>CCMO - Options 12/01/2030 # of unexercised exercisable options, 000s</t>
  </si>
  <si>
    <t>CCMO - Options 11/02/2030 exercise price, $</t>
  </si>
  <si>
    <t>CCMO - Options 11/02/2030 # of unexercised exercisable options, 000s</t>
  </si>
  <si>
    <t>CCMO - Options 10/01/2030 exercise price, $</t>
  </si>
  <si>
    <t>CCMO - Options 10/01/2030 # of unexercised exercisable options, 000s</t>
  </si>
  <si>
    <t>CCMO - Options 09/01/2030	 exercise price, $</t>
  </si>
  <si>
    <t>CCMO - Options 09/01/2030	 # of unexercised exercisable options, 000s</t>
  </si>
  <si>
    <t>CCMO - Options 08/03/2030	 exercise price, $</t>
  </si>
  <si>
    <t>CCMO - Options 08/03/2030 # of unexercised exercisable options, 000s</t>
  </si>
  <si>
    <t>CCMO - Options 07/01/2030	 exercise price, $</t>
  </si>
  <si>
    <t>CCMO - Options 07/01/2030 # of unexercised exercisable options, 000s</t>
  </si>
  <si>
    <t>CCMO - Options 06/01/2030	 exercise price, $</t>
  </si>
  <si>
    <t>CCMO - Options 06/01/2030	# of unexercised exercisable options, 000s</t>
  </si>
  <si>
    <t>CCMO - Options 05/01/2030 exercise price, $</t>
  </si>
  <si>
    <t>CCMO - Options 05/01/2030 # of unexercised exercisable options, 000s</t>
  </si>
  <si>
    <t>CCMO - Options 04/01/2030 exercise price, $</t>
  </si>
  <si>
    <t>CCMO - Options 04/01/2030 # of unexercised exercisable options, 000s</t>
  </si>
  <si>
    <t>CCMO - Options 03/02/2030 exercise price, $</t>
  </si>
  <si>
    <t>CCMO - Options 03/02/2030 # of unexercised exercisable options, 000s</t>
  </si>
  <si>
    <t>CCMO - Options 02/03/2030 exercise price, $</t>
  </si>
  <si>
    <t>CCMO - Options 02/03/2030 # of unexercised exercisable options, 000s</t>
  </si>
  <si>
    <t>CCMO - Options 01/02/2030 exercise price, $</t>
  </si>
  <si>
    <t>CCMO - Options 01/02/2030 # of unexercised exercisable options, 000s</t>
  </si>
  <si>
    <t>CCMO - Options 12/02/2029 exercise price, $</t>
  </si>
  <si>
    <t>CCMO - Options 12/02/2029 # of unexercised exercisable options, 000s</t>
  </si>
  <si>
    <t>CCMO - Options 11/01/2029 exercise price, $</t>
  </si>
  <si>
    <t>CCMO - Options 11/01/2029 # of unexercised exercisable options, 000s</t>
  </si>
  <si>
    <t>CCMO - Options 10/01/2029 exercise price, $</t>
  </si>
  <si>
    <t>CCMO - Options 10/01/2029 # of unexercised exercisable options, 000s</t>
  </si>
  <si>
    <t>CCMO - Options 09/03/2029 exercise price, $</t>
  </si>
  <si>
    <t>CCMO - Options 09/03/2029 # of unexercised exercisable options, 000s</t>
  </si>
  <si>
    <t>CCMO - Options 08/01/2029 exercise price, $</t>
  </si>
  <si>
    <t>CCMO - Options 08/01/2029 # of unexercised exercisable options, 000s</t>
  </si>
  <si>
    <t>CCMO - Options 07/01/2029 exercise price, $</t>
  </si>
  <si>
    <t>CCMO - Options 07/01/2029 # of unexercised exercisable options, 000s</t>
  </si>
  <si>
    <t>CCMO - Options 06/03/2029 exercise price, $</t>
  </si>
  <si>
    <t>CCMO - Options 06/03/2029 # of unexercised exercisable options, 000s</t>
  </si>
  <si>
    <t>CCMO - Options 05/01/2029 exercise price, $</t>
  </si>
  <si>
    <t>CCMO - Options 05/01/2029 # of unexercised exercisable options, 000s</t>
  </si>
  <si>
    <t>CCMO - Options 04/01/2029 exercise price, $</t>
  </si>
  <si>
    <t>CCMO - Options 04/01/2029 # of unexercised exercisable options, 000s</t>
  </si>
  <si>
    <t>CCMO - Options 03/01/2029 exercise price, $</t>
  </si>
  <si>
    <t>CCMO - Options 03/01/2029 # of unexercised exercisable options, 000s</t>
  </si>
  <si>
    <t>CCMO - Options 02/01/2029 exercise price, $</t>
  </si>
  <si>
    <t>CCMO - Options 02/01/2029 # of unexercised exercisable options, 000s</t>
  </si>
  <si>
    <t>CCMO - Options 01/02/2029 exercise price, $</t>
  </si>
  <si>
    <t>CCMO - Options 01/02/2029 # of unexercised exercisable options, 000s</t>
  </si>
  <si>
    <t>CCMO - Options 12/03/2028 exercise price, $</t>
  </si>
  <si>
    <t>CCMO - Options 12/03/2028 # of unexercised exercisable options, 000s</t>
  </si>
  <si>
    <t>CCMO - comp tied to equity, %</t>
  </si>
  <si>
    <t>CCMO (Chief Communications Officer) - Total Comp, 000s</t>
  </si>
  <si>
    <t>CCMO - All other compensation, 000s</t>
  </si>
  <si>
    <t>CCMO - Option Awards, 000s</t>
  </si>
  <si>
    <t>CCMO - Base Pay, 000s</t>
  </si>
  <si>
    <t>CLO - EoP shares beneficially owned, 000s</t>
  </si>
  <si>
    <t>CLO - Options 12/01/2032 exercise price, $</t>
  </si>
  <si>
    <t>CLO - Options 12/01/2032 # of unexercised exercisable options, 000s</t>
  </si>
  <si>
    <t>CLO - Options 11/01/2032 exercise price, $</t>
  </si>
  <si>
    <t>CLO - Options 11/01/2032 # of unexercised exercisable options, 000s</t>
  </si>
  <si>
    <t>CLO - Options 10/03/2032 exercise price, $</t>
  </si>
  <si>
    <t>CLO - Options 10/03/2032 # of unexercised exercisable options, 000s</t>
  </si>
  <si>
    <t>CLO - Options 09/01/2032	 exercise price, $</t>
  </si>
  <si>
    <t>CLO - Options 09/01/2032	 # of unexercised exercisable options, 000s</t>
  </si>
  <si>
    <t>CLO - Options 08/01/2032	 exercise price, $</t>
  </si>
  <si>
    <t>CLO - Options 08/01/2032 # of unexercised exercisable options, 000s</t>
  </si>
  <si>
    <t>CLO - Options 07/01/2032	 exercise price, $</t>
  </si>
  <si>
    <t>CLO - Options 07/01/2032 # of unexercised exercisable options, 000s</t>
  </si>
  <si>
    <t>CLO - Options 06/01/2032	 exercise price, $</t>
  </si>
  <si>
    <t>CLO - Options 06/01/2032 # of unexercised exercisable options, 000s</t>
  </si>
  <si>
    <t>CLO - Options 05/02/2032 exercise price, $</t>
  </si>
  <si>
    <t>CLO - Options 05/02/2032 # of unexercised exercisable options, 000s</t>
  </si>
  <si>
    <t>CLO - Options 04/01/2032 exercise price, $</t>
  </si>
  <si>
    <t>CLO - Options 04/01/2032 # of unexercised exercisable options, 000s</t>
  </si>
  <si>
    <t>CLO - Options 03/01/2032 exercise price, $</t>
  </si>
  <si>
    <t>CLO - Options 03/01/2032 # of unexercised exercisable options, 000s</t>
  </si>
  <si>
    <t>CLO - Options 02/01/2032 exercise price, $</t>
  </si>
  <si>
    <t>CLO - Options 02/01/2032 # of unexercised exercisable options, 000s</t>
  </si>
  <si>
    <t>CLO - Options 01/03/2032 exercise price, $</t>
  </si>
  <si>
    <t>CLO - Options 01/03/2032 # of unexercised exercisable options, 000s</t>
  </si>
  <si>
    <t>CLO - Options 12/01/2031 exercise price, $</t>
  </si>
  <si>
    <t>CLO - Options 12/01/2031 # of unexercised exercisable options, 000s</t>
  </si>
  <si>
    <t>CLO - Options 11/01/2031 exercise price, $</t>
  </si>
  <si>
    <t>CLO - Options 11/01/2031 # of unexercised exercisable options, 000s</t>
  </si>
  <si>
    <t>CLO - Options 10/01/2031 exercise price, $</t>
  </si>
  <si>
    <t>CLO - Options 10/01/2031 # of unexercised exercisable options, 000s</t>
  </si>
  <si>
    <t>CLO - Options 09/01/2031	 exercise price, $</t>
  </si>
  <si>
    <t>CLO - Options 09/01/2031	 # of unexercised exercisable options, 000s</t>
  </si>
  <si>
    <t>CLO - Options 08/02/2031	 exercise price, $</t>
  </si>
  <si>
    <t>CLO - Options 08/02/2031 # of unexercised exercisable options, 000s</t>
  </si>
  <si>
    <t>CLO - Options 07/01/2031	 exercise price, $</t>
  </si>
  <si>
    <t>CLO - Options 07/01/2031 # of unexercised exercisable options, 000s</t>
  </si>
  <si>
    <t>CLO - Options 06/01/2031	 exercise price, $</t>
  </si>
  <si>
    <t>CLO - Options 06/01/2031 # of unexercised exercisable options, 000s</t>
  </si>
  <si>
    <t>CLO - Options 05/03/2031 exercise price, $</t>
  </si>
  <si>
    <t>CLO - Options 05/03/2031 # of unexercised exercisable options, 000s</t>
  </si>
  <si>
    <t>CLO - Options 04/01/2031 exercise price, $</t>
  </si>
  <si>
    <t>CLO - Options 04/01/2031 # of unexercised exercisable options, 000s</t>
  </si>
  <si>
    <t>CLO - Options 03/01/2031 exercise price, $</t>
  </si>
  <si>
    <t>CLO - Options 03/01/2031 # of unexercised exercisable options, 000s</t>
  </si>
  <si>
    <t>CLO - Options 02/01/2031 exercise price, $</t>
  </si>
  <si>
    <t>CLO - Options 02/01/2031 # of unexercised exercisable options, 000s</t>
  </si>
  <si>
    <t>CLO - Options 01/04/2031 exercise price, $</t>
  </si>
  <si>
    <t>CLO - Options 01/04/2031 # of unexercised exercisable options, 000s</t>
  </si>
  <si>
    <t>CLO - Options 12/01/2030 exercise price, $</t>
  </si>
  <si>
    <t>CLO - Options 12/01/2030 # of unexercised exercisable options, 000s</t>
  </si>
  <si>
    <t>CLO - Options 11/02/2030 exercise price, $</t>
  </si>
  <si>
    <t>CLO - Options 11/02/2030 # of unexercised exercisable options, 000s</t>
  </si>
  <si>
    <t>CLO - Options 10/01/2030 exercise price, $</t>
  </si>
  <si>
    <t>CLO - Options 10/01/2030 # of unexercised exercisable options, 000s</t>
  </si>
  <si>
    <t>CLO - Options 09/01/2030	 exercise price, $</t>
  </si>
  <si>
    <t>CLO - Options 09/01/2030	 # of unexercised exercisable options, 000s</t>
  </si>
  <si>
    <t>CLO - Options 08/03/2030	 exercise price, $</t>
  </si>
  <si>
    <t>CLO - Options 08/03/2030 # of unexercised exercisable options, 000s</t>
  </si>
  <si>
    <t>CLO - Options 07/01/2030	 exercise price, $</t>
  </si>
  <si>
    <t>CLO - Options 07/01/2030 # of unexercised exercisable options, 000s</t>
  </si>
  <si>
    <t>CLO - Options 06/01/2030	 exercise price, $</t>
  </si>
  <si>
    <t>CLO - Options 06/01/2030 # of unexercised exercisable options, 000s</t>
  </si>
  <si>
    <t>CLO - Options 05/01/2030 exercise price, $</t>
  </si>
  <si>
    <t>CLO - Options 05/01/2030 # of unexercised exercisable options, 000s</t>
  </si>
  <si>
    <t>CLO - Options 04/01/2030 exercise price, $</t>
  </si>
  <si>
    <t>CLO - Options 04/01/2030 # of unexercised exercisable options, 000s</t>
  </si>
  <si>
    <t>CLO - Options 03/02/2030 exercise price, $</t>
  </si>
  <si>
    <t>CLO - Options 03/02/2030 # of unexercised exercisable options, 000s</t>
  </si>
  <si>
    <t>CLO - Options 02/03/2030 exercise price, $</t>
  </si>
  <si>
    <t>CLO - Options 02/03/2030 # of unexercised exercisable options, 000s</t>
  </si>
  <si>
    <t>CLO - Options 01/02/2030 exercise price, $</t>
  </si>
  <si>
    <t>CLO - Options 01/02/2030 # of unexercised exercisable options, 000s</t>
  </si>
  <si>
    <t>CLO - Options 12/02/2029 exercise price, $</t>
  </si>
  <si>
    <t>CLO - Options 12/02/2029 # of unexercised exercisable options, 000s</t>
  </si>
  <si>
    <t>CLO - Options 11/01/2029 exercise price, $</t>
  </si>
  <si>
    <t>CLO - Options 11/01/2029 # of unexercised exercisable options, 000s</t>
  </si>
  <si>
    <t>CLO - Options 10/01/2029 exercise price, $</t>
  </si>
  <si>
    <t>CLO - Options 10/01/2029 # of unexercised exercisable options, 000s</t>
  </si>
  <si>
    <t>CLO - Options 09/03/2029 exercise price, $</t>
  </si>
  <si>
    <t>CLO - Options 09/03/2029 # of unexercised exercisable options, 000s</t>
  </si>
  <si>
    <t>CLO - Options 08/01/2029 exercise price, $</t>
  </si>
  <si>
    <t>CLO - Options 08/01/2029 # of unexercised exercisable options, 000s</t>
  </si>
  <si>
    <t>CLO - Options 07/01/2029 exercise price, $</t>
  </si>
  <si>
    <t>CLO - Options 07/01/2029 # of unexercised exercisable options, 000s</t>
  </si>
  <si>
    <t>CLO - Options 06/03/2029 exercise price, $</t>
  </si>
  <si>
    <t>CLO - Options 06/03/2029 # of unexercised exercisable options, 000s</t>
  </si>
  <si>
    <t>CLO - Options 05/01/2029 exercise price, $</t>
  </si>
  <si>
    <t>CLO - Options 05/01/2029 # of unexercised exercisable options, 000s</t>
  </si>
  <si>
    <t>CLO - Options 04/01/2029 exercise price, $</t>
  </si>
  <si>
    <t>CLO - Options 04/01/2029 # of unexercised exercisable options, 000s</t>
  </si>
  <si>
    <t>CLO - Options 03/01/2029 exercise price, $</t>
  </si>
  <si>
    <t>CLO - Options 03/01/2029 # of unexercised exercisable options, 000s</t>
  </si>
  <si>
    <t>CLO - Options 02/01/2029 exercise price, $</t>
  </si>
  <si>
    <t>CLO - Options 02/01/2029 # of unexercised exercisable options, 000s</t>
  </si>
  <si>
    <t>CLO - Options 01/02/2029 exercise price, $</t>
  </si>
  <si>
    <t>CLO - Options 01/02/2029 # of unexercised exercisable options, 000s</t>
  </si>
  <si>
    <t>CLO - Options 12/03/2028 exercise price, $</t>
  </si>
  <si>
    <t>CLO - Options 12/03/2028 # of unexercised exercisable options, 000s</t>
  </si>
  <si>
    <t>CLO - Options 11/01/2028 exercise price, $</t>
  </si>
  <si>
    <t>CLO - Options 11/01/2028 # of unexercised exercisable options, 000s</t>
  </si>
  <si>
    <t>CLO - Options 10/01/2028 exercise price, $</t>
  </si>
  <si>
    <t>CLO - Options 10/01/2028 # of unexercised exercisable options, 000s</t>
  </si>
  <si>
    <t>CLO - Options 09/04/2028	 exercise price, $</t>
  </si>
  <si>
    <t>CLO - Options 09/04/2028	 # of unexercised exercisable options, 000s</t>
  </si>
  <si>
    <t>CLO - Options 08/01/2028	 exercise price, $</t>
  </si>
  <si>
    <t>CLO - Options 08/01/2028 # of unexercised exercisable options, 000s</t>
  </si>
  <si>
    <t>CLO - Options 07/02/2028	 exercise price, $</t>
  </si>
  <si>
    <t>CLO - Options 07/02/2028 # of unexercised exercisable options, 000s</t>
  </si>
  <si>
    <t>CLO - Options 06/01/2028	 exercise price, $</t>
  </si>
  <si>
    <t>CLO - Options 06/01/2028 # of unexercised exercisable options, 000s</t>
  </si>
  <si>
    <t>CLO - Options 05/01/2028 exercise price, $</t>
  </si>
  <si>
    <t>CLO - Options 05/01/2028 # of unexercised exercisable options, 000s</t>
  </si>
  <si>
    <t>CLO - Options 04/02/2028 exercise price, $</t>
  </si>
  <si>
    <t>CLO - Options 04/02/2028 # of unexercised exercisable options, 000s</t>
  </si>
  <si>
    <t>CLO - Options 03/01/2028 exercise price, $</t>
  </si>
  <si>
    <t>CLO - Options 03/01/2028 # of unexercised exercisable options, 000s</t>
  </si>
  <si>
    <t>CLO - Options 02/01/2028 exercise price, $</t>
  </si>
  <si>
    <t>CLO - Options 02/01/2028 # of unexercised exercisable options, 000s</t>
  </si>
  <si>
    <t>CLO - Options 01/02/2028 exercise price, $</t>
  </si>
  <si>
    <t>CLO - Options 01/02/2028 # of unexercised exercisable options, 000s</t>
  </si>
  <si>
    <t>CLO - Options 12/01/2027 exercise price, $</t>
  </si>
  <si>
    <t>CLO - Options 12/01/2027 # of unexercised exercisable options, 000s</t>
  </si>
  <si>
    <t>CLO - Options 11/01/2027 exercise price, $</t>
  </si>
  <si>
    <t>CLO - Options 11/01/2027 # of unexercised exercisable options, 000s</t>
  </si>
  <si>
    <t>CLO - Options 10/02/2027 exercise price, $</t>
  </si>
  <si>
    <t>CLO - Options 10/02/2027 # of unexercised exercisable options, 000s</t>
  </si>
  <si>
    <t>CLO - Options 09/01/2027	 exercise price, $</t>
  </si>
  <si>
    <t>CLO - Options 09/01/2027	 # of unexercised exercisable options, 000s</t>
  </si>
  <si>
    <t>CLO - Options 08/01/2027	 exercise price, $</t>
  </si>
  <si>
    <t>CLO - Options 08/01/2027 # of unexercised exercisable options, 000s</t>
  </si>
  <si>
    <t>CLO - Options 07/03/2027	 exercise price, $</t>
  </si>
  <si>
    <t>CLO - Options 07/03/2027 # of unexercised exercisable options, 000s</t>
  </si>
  <si>
    <t>CLO - Options 06/01/2027	 exercise price, $</t>
  </si>
  <si>
    <t>CLO - Options 06/01/2027 # of unexercised exercisable options, 000s</t>
  </si>
  <si>
    <t>CLO - Options 05/01/2027 exercise price, $</t>
  </si>
  <si>
    <t>CLO - Options 05/01/2027 # of unexercised exercisable options, 000s</t>
  </si>
  <si>
    <t>CLO - Options 04/03/2027 exercise price, $</t>
  </si>
  <si>
    <t>CLO - Options 04/03/2027 # of unexercised exercisable options, 000s</t>
  </si>
  <si>
    <t>CLO - Options 03/01/2027 exercise price, $</t>
  </si>
  <si>
    <t>CLO - Options 03/01/2027 # of unexercised exercisable options, 000s</t>
  </si>
  <si>
    <t>CLO - Options 02/01/2027 exercise price, $</t>
  </si>
  <si>
    <t>CLO - Options 02/01/2027 # of unexercised exercisable options, 000s</t>
  </si>
  <si>
    <t>CLO - Options 01/03/2027 exercise price, $</t>
  </si>
  <si>
    <t>CLO - Options 01/03/2027 # of unexercised exercisable options, 000s</t>
  </si>
  <si>
    <t>CLO - Options 12/01/2026 exercise price, $</t>
  </si>
  <si>
    <t>CLO - Options 12/01/2026 # of unexercised exercisable options, 000s</t>
  </si>
  <si>
    <t>CLO - Options 11/01/2026 exercise price, $</t>
  </si>
  <si>
    <t>CLO - Options 11/01/2026 # of unexercised exercisable options, 000s</t>
  </si>
  <si>
    <t>CLO - Options 10/03/2026 exercise price, $</t>
  </si>
  <si>
    <t>CLO - Options 10/03/2026 # of unexercised exercisable options, 000s</t>
  </si>
  <si>
    <t>CLO - Options 09/01/2026	 exercise price, $</t>
  </si>
  <si>
    <t>CLO - Options 09/01/2026	 # of unexercised exercisable options, 000s</t>
  </si>
  <si>
    <t>CLO - Options 08/01/2026	 exercise price, $</t>
  </si>
  <si>
    <t>CLO - Options 08/01/2026 # of unexercised exercisable options, 000s</t>
  </si>
  <si>
    <t>CLO - Options 07/01/2026	 exercise price, $</t>
  </si>
  <si>
    <t>CLO - Options 07/01/2026 # of unexercised exercisable options, 000s</t>
  </si>
  <si>
    <t>CLO - Options 06/01/2026	 exercise price, $</t>
  </si>
  <si>
    <t>CLO - Options 06/01/2026 # of unexercised exercisable options, 000s</t>
  </si>
  <si>
    <t>CLO - Options 05/02/2026 exercise price, $</t>
  </si>
  <si>
    <t>CLO - Options 05/02/2026 # of unexercised exercisable options, 000s</t>
  </si>
  <si>
    <t>CLO - Options 04/01/2026 exercise price, $</t>
  </si>
  <si>
    <t>CLO - Options 04/01/2026 # of unexercised exercisable options, 000s</t>
  </si>
  <si>
    <t>CLO - Options 03/01/2026 exercise price, $</t>
  </si>
  <si>
    <t>CLO - Options 03/01/2026 # of unexercised exercisable options, 000s</t>
  </si>
  <si>
    <t>CLO - Options 02/01/2026 exercise price, $</t>
  </si>
  <si>
    <t>CLO - Options 02/01/2026 # of unexercised exercisable options, 000s</t>
  </si>
  <si>
    <t>CLO - Options 01/04/2026 exercise price, $</t>
  </si>
  <si>
    <t>CLO - Options 01/04/2026 # of unexercised exercisable options, 000s</t>
  </si>
  <si>
    <t>CLO - Options 12/01/2025 exercise price, $</t>
  </si>
  <si>
    <t>CLO - Options 12/01/2025 # of unexercised exercisable options, 000s</t>
  </si>
  <si>
    <t>CLO - Options 11/02/2025 exercise price, $</t>
  </si>
  <si>
    <t>CLO - Options 11/02/2025 # of unexercised exercisable options, 000s</t>
  </si>
  <si>
    <t>CLO - Options 10/01/2025 exercise price, $</t>
  </si>
  <si>
    <t>CLO - Options 10/01/2025 # of unexercised exercisable options, 000s</t>
  </si>
  <si>
    <t>CLO - Options 09/01/2025	 exercise price, $</t>
  </si>
  <si>
    <t>CLO - Options 09/01/2025	 # of unexercised exercisable options, 000s</t>
  </si>
  <si>
    <t>CLO - Options 08/03/2025	 exercise price, $</t>
  </si>
  <si>
    <t>CLO - Options 08/03/2025 # of unexercised exercisable options, 000s</t>
  </si>
  <si>
    <t>CLO - Options 07/01/2025	 exercise price, $</t>
  </si>
  <si>
    <t>CLO - Options 07/01/2025 # of unexercised exercisable options, 000s</t>
  </si>
  <si>
    <t>CLO - Options 06/01/2025	 exercise price, $</t>
  </si>
  <si>
    <t>CLO - Options 06/01/2025 # of unexercised exercisable options, 000s</t>
  </si>
  <si>
    <t>CLO - Options 05/01/2025 exercise price, $</t>
  </si>
  <si>
    <t>CLO - Options 05/01/2025 # of unexercised exercisable options, 000s</t>
  </si>
  <si>
    <t>CLO - Options 04/01/2025 exercise price, $</t>
  </si>
  <si>
    <t>CLO - Options 04/01/2025 # of unexercised exercisable options, 000s</t>
  </si>
  <si>
    <t>CLO - Options 03/02/2025 exercise price, $</t>
  </si>
  <si>
    <t>CLO - Options 03/02/2025 # of unexercised exercisable options, 000s</t>
  </si>
  <si>
    <t>CLO - Options 02/02/2025 exercise price, $</t>
  </si>
  <si>
    <t>CLO - Options 02/02/2025 # of unexercised exercisable options, 000s</t>
  </si>
  <si>
    <t>CLO - Options 01/02/2025 exercise price, $</t>
  </si>
  <si>
    <t>CLO - Options 01/02/2025 # of unexercised exercisable options, 000s</t>
  </si>
  <si>
    <t>CLO - comp tied to equity, %</t>
  </si>
  <si>
    <t>CLO (Chief Legal Officer) - Total Comp, 000s</t>
  </si>
  <si>
    <t>CLO - All other compensation, 000s</t>
  </si>
  <si>
    <t>CLO - Option Awards, 000s</t>
  </si>
  <si>
    <t>CLO - Base Pay, 000s</t>
  </si>
  <si>
    <t>CFO - EoP shares beneficially owned, 000s</t>
  </si>
  <si>
    <t>CFO - Options 12/01/2032 exercise price, $</t>
  </si>
  <si>
    <t>CFO - Options 12/01/2032 # of unexercised exercisable options, 000s</t>
  </si>
  <si>
    <t>CFO - Options 11/01/2032 exercise price, $</t>
  </si>
  <si>
    <t>CFO - Options 11/01/2032 # of unexercised exercisable options, 000s</t>
  </si>
  <si>
    <t>CFO - Options 10/03/2032 exercise price, $</t>
  </si>
  <si>
    <t>CFO - Options 10/03/2032 # of unexercised exercisable options, 000s</t>
  </si>
  <si>
    <t>CFO - Options 09/01/2032	 exercise price, $</t>
  </si>
  <si>
    <t>CFO - Options 09/01/2032	 # of unexercised exercisable options, 000s</t>
  </si>
  <si>
    <t>CFO - Options 08/01/2032	 exercise price, $</t>
  </si>
  <si>
    <t>CFO - Options 08/01/2032 # of unexercised exercisable options, 000s</t>
  </si>
  <si>
    <t>CFO - Options 07/01/2032	 exercise price, $</t>
  </si>
  <si>
    <t>CFO - Options 07/01/2032 # of unexercised exercisable options, 000s</t>
  </si>
  <si>
    <t>CFO - Options 06/01/2032	 exercise price, $</t>
  </si>
  <si>
    <t>CFO - Options 06/01/2032 # of unexercised exercisable options, 000s</t>
  </si>
  <si>
    <t>CFO - Options 05/02/2032 exercise price, $</t>
  </si>
  <si>
    <t>CFO - Options 05/02/2032 # of unexercised exercisable options, 000s</t>
  </si>
  <si>
    <t>CFO - Options 04/01/2032 exercise price, $</t>
  </si>
  <si>
    <t>CFO - Options 04/01/2032 # of unexercised exercisable options, 000s</t>
  </si>
  <si>
    <t>CFO - Options 03/01/2032 exercise price, $</t>
  </si>
  <si>
    <t>CFO - Options 03/01/2032 # of unexercised exercisable options, 000s</t>
  </si>
  <si>
    <t>CFO - Options 02/01/2032 exercise price, $</t>
  </si>
  <si>
    <t>CFO - Options 02/01/2032 # of unexercised exercisable options, 000s</t>
  </si>
  <si>
    <t>CFO - Options 01/03/2032 exercise price, $</t>
  </si>
  <si>
    <t>CFO - Options 01/03/2032 # of unexercised exercisable options, 000s</t>
  </si>
  <si>
    <t>CFO - Options 12/01/2031 exercise price, $</t>
  </si>
  <si>
    <t>CFO - Options 12/01/2031 # of unexercised exercisable options, 000s</t>
  </si>
  <si>
    <t>CFO - Options 11/01/2031 exercise price, $</t>
  </si>
  <si>
    <t>CFO - Options 11/01/2031 # of unexercised exercisable options, 000s</t>
  </si>
  <si>
    <t>CFO - Options 10/01/2031 exercise price, $</t>
  </si>
  <si>
    <t>CFO - Options 10/01/2031 # of unexercised exercisable options, 000s</t>
  </si>
  <si>
    <t>CFO - Options 09/01/2031	 exercise price, $</t>
  </si>
  <si>
    <t>CFO - Options 09/01/2031	 # of unexercised exercisable options, 000s</t>
  </si>
  <si>
    <t>CFO - Options 08/02/2031	 exercise price, $</t>
  </si>
  <si>
    <t>CFO - Options 08/02/2031 # of unexercised exercisable options, 000s</t>
  </si>
  <si>
    <t>CFO - Options 07/01/2031	 exercise price, $</t>
  </si>
  <si>
    <t>CFO - Options 07/01/2031 # of unexercised exercisable options, 000s</t>
  </si>
  <si>
    <t>CFO - Options 06/01/2031	 exercise price, $</t>
  </si>
  <si>
    <t>CFO - Options 06/01/2031 # of unexercised exercisable options, 000s</t>
  </si>
  <si>
    <t>CFO - Options 05/03/2031 exercise price, $</t>
  </si>
  <si>
    <t>CFO - Options 05/03/2031 # of unexercised exercisable options, 000s</t>
  </si>
  <si>
    <t>CFO - Options 04/01/2031 exercise price, $</t>
  </si>
  <si>
    <t>CFO - Options 04/01/2031 # of unexercised exercisable options, 000s</t>
  </si>
  <si>
    <t>CFO - Options 03/01/2031 exercise price, $</t>
  </si>
  <si>
    <t>CFO - Options 03/01/2031 # of unexercised exercisable options, 000s</t>
  </si>
  <si>
    <t>CFO - Options 02/01/2031 exercise price, $</t>
  </si>
  <si>
    <t>CFO - Options 02/01/2031 # of unexercised exercisable options, 000s</t>
  </si>
  <si>
    <t>CFO - Options 01/04/2031 exercise price, $</t>
  </si>
  <si>
    <t>CFO - Options 01/04/2031 # of unexercised exercisable options, 000s</t>
  </si>
  <si>
    <t>CFO - Options 12/01/2030 exercise price, $</t>
  </si>
  <si>
    <t>CFO - Options 12/01/2030 # of unexercised exercisable options, 000s</t>
  </si>
  <si>
    <t>CFO - Options 11/02/2030 exercise price, $</t>
  </si>
  <si>
    <t>CFO - Options 11/02/2030 # of unexercised exercisable options, 000s</t>
  </si>
  <si>
    <t>CFO - Options 10/01/2030 exercise price, $</t>
  </si>
  <si>
    <t>CFO - Options 10/01/2030 # of unexercised exercisable options, 000s</t>
  </si>
  <si>
    <t>CFO - Options 09/01/2030	 exercise price, $</t>
  </si>
  <si>
    <t>CFO - Options 09/01/2030	 # of unexercised exercisable options, 000s</t>
  </si>
  <si>
    <t>CFO - Options 08/03/2030	 exercise price, $</t>
  </si>
  <si>
    <t>CFO - Options 08/03/2030 # of unexercised exercisable options, 000s</t>
  </si>
  <si>
    <t>CFO - Options 07/01/2030	 exercise price, $</t>
  </si>
  <si>
    <t>CFO - Options 07/01/2030 # of unexercised exercisable options, 000s</t>
  </si>
  <si>
    <t>CFO - Options 06/01/2030	 exercise price, $</t>
  </si>
  <si>
    <t>CFO - Options 06/01/2030 # of unexercised exercisable options, 000s</t>
  </si>
  <si>
    <t>CFO - Options 05/01/2030 exercise price, $</t>
  </si>
  <si>
    <t>CFO - Options 05/01/2030 # of unexercised exercisable options, 000s</t>
  </si>
  <si>
    <t>CFO - Options 04/01/2030 exercise price, $</t>
  </si>
  <si>
    <t>CFO - Options 04/01/2030 # of unexercised exercisable options, 000s</t>
  </si>
  <si>
    <t>CFO - Options 03/02/2030 exercise price, $</t>
  </si>
  <si>
    <t>CFO - Options 03/02/2030 # of unexercised exercisable options, 000s</t>
  </si>
  <si>
    <t>CFO - Options 02/03/2030 exercise price, $</t>
  </si>
  <si>
    <t>CFO - Options 02/03/2030 # of unexercised exercisable options, 000s</t>
  </si>
  <si>
    <t>CFO - Options 01/02/2030 exercise price, $</t>
  </si>
  <si>
    <t>CFO - Options 01/02/2030 # of unexercised exercisable options, 000s</t>
  </si>
  <si>
    <t>CFO - Options 12/02/2029 exercise price, $</t>
  </si>
  <si>
    <t>CFO - Options 12/02/2029 # of unexercised exercisable options, 000s</t>
  </si>
  <si>
    <t>CFO - Options 11/01/2029 exercise price, $</t>
  </si>
  <si>
    <t>CFO - Options 11/01/2029 # of unexercised exercisable options, 000s</t>
  </si>
  <si>
    <t>CFO - Options 10/01/2029 exercise price, $</t>
  </si>
  <si>
    <t>CFO - Options 10/01/2029 # of unexercised exercisable options, 000s</t>
  </si>
  <si>
    <t>CFO - Options 09/03/2029 exercise price, $</t>
  </si>
  <si>
    <t>CFO - Options 09/03/2029 # of unexercised exercisable options, 000s</t>
  </si>
  <si>
    <t>CFO - Options 08/01/2029 exercise price, $</t>
  </si>
  <si>
    <t>CFO - Options 08/01/2029 # of unexercised exercisable options, 000s</t>
  </si>
  <si>
    <t>CFO - Options 07/01/2029 exercise price, $</t>
  </si>
  <si>
    <t>CFO - Options 07/01/2029 # of unexercised exercisable options, 000s</t>
  </si>
  <si>
    <t>CFO - Options 06/03/2029 exercise price, $</t>
  </si>
  <si>
    <t>CFO - Options 06/03/2029 # of unexercised exercisable options, 000s</t>
  </si>
  <si>
    <t>CFO - Options 05/01/2029 exercise price, $</t>
  </si>
  <si>
    <t>CFO - Options 05/01/2029 # of unexercised exercisable options, 000s</t>
  </si>
  <si>
    <t>CFO - Options 04/01/2029 exercise price, $</t>
  </si>
  <si>
    <t>CFO - Options 04/01/2029 # of unexercised exercisable options, 000s</t>
  </si>
  <si>
    <t>CFO - Options 03/01/2029 exercise price, $</t>
  </si>
  <si>
    <t>CFO - Options 03/01/2029 # of unexercised exercisable options, 000s</t>
  </si>
  <si>
    <t>CFO - Options 02/01/2029 exercise price, $</t>
  </si>
  <si>
    <t>CFO - Options 02/01/2029 # of unexercised exercisable options, 000s</t>
  </si>
  <si>
    <t>CFO - comp tied to equity, %</t>
  </si>
  <si>
    <t>CFO - Total Comp, 000s</t>
  </si>
  <si>
    <t>CFO - All other compensation, 000s</t>
  </si>
  <si>
    <t>CFO - Option Awards, 000s</t>
  </si>
  <si>
    <t>CFO - Base Pay, 000s</t>
  </si>
  <si>
    <t>COO &amp; CPO - EoP shares beneficially owned, 000s</t>
  </si>
  <si>
    <t>COO &amp; CPO - Options 12/01/2032 exercise price, $</t>
  </si>
  <si>
    <t>COO &amp; CPO - Options 12/01/2032 # of unexercised exercisable options, 000s</t>
  </si>
  <si>
    <t>COO &amp; CPO - Options 11/01/2032 exercise price, $</t>
  </si>
  <si>
    <t>COO &amp; CPO - Options 11/01/2032 # of unexercised exercisable options, 000s</t>
  </si>
  <si>
    <t>COO &amp; CPO - Options 10/03/2032 exercise price, $</t>
  </si>
  <si>
    <t>COO &amp; CPO - Options 10/03/2032 # of unexercised exercisable options, 000s</t>
  </si>
  <si>
    <t>COO &amp; CPO - Options 09/01/2032	 exercise price, $</t>
  </si>
  <si>
    <t>COO &amp; CPO - Options 09/01/2032	 # of unexercised exercisable options, 000s</t>
  </si>
  <si>
    <t>COO &amp; CPO - Options 08/01/2032	 exercise price, $</t>
  </si>
  <si>
    <t>COO &amp; CPO - Options 08/01/2032 # of unexercised exercisable options, 000s</t>
  </si>
  <si>
    <t>COO &amp; CPO - Options 07/01/2032	 exercise price, $</t>
  </si>
  <si>
    <t>COO &amp; CPO - Options 07/01/2032 # of unexercised exercisable options, 000s</t>
  </si>
  <si>
    <t>COO &amp; CPO - Options 06/01/2032	 exercise price, $</t>
  </si>
  <si>
    <t>COO &amp; CPO - Options 06/01/2032 # of unexercised exercisable options, 000s</t>
  </si>
  <si>
    <t>COO &amp; CPO - Options 05/02/2032 exercise price, $</t>
  </si>
  <si>
    <t>COO &amp; CPO - Options 05/02/2032 # of unexercised exercisable options, 000s</t>
  </si>
  <si>
    <t>COO &amp; CPO - Options 04/01/2032 exercise price, $</t>
  </si>
  <si>
    <t>COO &amp; CPO - Options 04/01/2032 # of unexercised exercisable options, 000s</t>
  </si>
  <si>
    <t>COO &amp; CPO - Options 03/01/2032 exercise price, $</t>
  </si>
  <si>
    <t>COO &amp; CPO - Options 03/01/2032 # of unexercised exercisable options, 000s</t>
  </si>
  <si>
    <t>COO &amp; CPO - Options 02/01/2032 exercise price, $</t>
  </si>
  <si>
    <t>COO &amp; CPO - Options 02/01/2032 # of unexercised exercisable options, 000s</t>
  </si>
  <si>
    <t>COO &amp; CPO - Options 01/03/2032 exercise price, $</t>
  </si>
  <si>
    <t>COO &amp; CPO - Options 01/03/2032 # of unexercised exercisable options, 000s</t>
  </si>
  <si>
    <t>COO &amp; CPO - Options 12/01/2031 exercise price, $</t>
  </si>
  <si>
    <t>COO &amp; CPO - Options 12/01/2031 # of unexercised exercisable options, 000s</t>
  </si>
  <si>
    <t>COO &amp; CPO - Options 11/01/2031 exercise price, $</t>
  </si>
  <si>
    <t>COO &amp; CPO - Options 11/01/2031 # of unexercised exercisable options, 000s</t>
  </si>
  <si>
    <t>COO &amp; CPO - Options 10/01/2031 exercise price, $</t>
  </si>
  <si>
    <t>COO &amp; CPO - Options 10/01/2031 # of unexercised exercisable options, 000s</t>
  </si>
  <si>
    <t>COO &amp; CPO - Options 09/01/2031	 exercise price, $</t>
  </si>
  <si>
    <t>COO &amp; CPO - Options 09/01/2031	 # of unexercised exercisable options, 000s</t>
  </si>
  <si>
    <t>COO &amp; CPO - Options 08/02/2031	 exercise price, $</t>
  </si>
  <si>
    <t>COO &amp; CPO - Options 08/02/2031 # of unexercised exercisable options, 000s</t>
  </si>
  <si>
    <t>COO &amp; CPO - Options 07/01/2031	 exercise price, $</t>
  </si>
  <si>
    <t>COO &amp; CPO - Options 07/01/2031 # of unexercised exercisable options, 000s</t>
  </si>
  <si>
    <t>COO &amp; CPO - Options 06/01/2031	 exercise price, $</t>
  </si>
  <si>
    <t>COO &amp; CPO - Options 06/01/2031 # of unexercised exercisable options, 000s</t>
  </si>
  <si>
    <t>COO &amp; CPO - Options 05/03/2031 exercise price, $</t>
  </si>
  <si>
    <t>COO &amp; CPO - Options 05/03/2031 # of unexercised exercisable options, 000s</t>
  </si>
  <si>
    <t>COO &amp; CPO - Options 04/01/2031 exercise price, $</t>
  </si>
  <si>
    <t>COO &amp; CPO - Options 04/01/2031 # of unexercised exercisable options, 000s</t>
  </si>
  <si>
    <t>COO &amp; CPO - Options 03/01/2031 exercise price, $</t>
  </si>
  <si>
    <t>COO &amp; CPO - Options 03/01/2031 # of unexercised exercisable options, 000s</t>
  </si>
  <si>
    <t>COO &amp; CPO - Options 02/01/2031 exercise price, $</t>
  </si>
  <si>
    <t>COO &amp; CPO - Options 02/01/2031 # of unexercised exercisable options, 000s</t>
  </si>
  <si>
    <t>COO &amp; CPO - Options 01/04/2031 exercise price, $</t>
  </si>
  <si>
    <t>COO &amp; CPO - Options 01/04/2031 # of unexercised exercisable options, 000s</t>
  </si>
  <si>
    <t>COO &amp; CPO - Options 12/01/2030 exercise price, $</t>
  </si>
  <si>
    <t>COO &amp; CPO - Options 12/01/2030 # of unexercised exercisable options, 000s</t>
  </si>
  <si>
    <t>COO &amp; CPO - Options 11/02/2030 exercise price, $</t>
  </si>
  <si>
    <t>COO &amp; CPO - Options 11/02/2030 # of unexercised exercisable options, 000s</t>
  </si>
  <si>
    <t>COO &amp; CPO - Options 10/01/2030 exercise price, $</t>
  </si>
  <si>
    <t>COO &amp; CPO - Options 10/01/2030 # of unexercised exercisable options, 000s</t>
  </si>
  <si>
    <t>COO &amp; CPO - Options 09/01/2030	 exercise price, $</t>
  </si>
  <si>
    <t>COO &amp; CPO - Options 09/01/2030	 # of unexercised exercisable options, 000s</t>
  </si>
  <si>
    <t>COO &amp; CPO - Options 08/03/2030	 exercise price, $</t>
  </si>
  <si>
    <t>COO &amp; CPO - Options 08/03/2030 # of unexercised exercisable options, 000s</t>
  </si>
  <si>
    <t>COO &amp; CPO - Options 07/01/2030	 exercise price, $</t>
  </si>
  <si>
    <t>COO &amp; CPO - Options 07/01/2030 # of unexercised exercisable options, 000s</t>
  </si>
  <si>
    <t>COO &amp; CPO - Options 06/01/2030	 exercise price, $</t>
  </si>
  <si>
    <t>COO &amp; CPO - Options 06/01/2030 # of unexercised exercisable options, 000s</t>
  </si>
  <si>
    <t>COO &amp; CPO - Options 05/01/2030 exercise price, $</t>
  </si>
  <si>
    <t>COO &amp; CPO - Options 05/01/2030 # of unexercised exercisable options, 000s</t>
  </si>
  <si>
    <t>COO &amp; CPO - Options 04/01/2030 exercise price, $</t>
  </si>
  <si>
    <t>COO &amp; CPO - Options 04/01/2030 # of unexercised exercisable options, 000s</t>
  </si>
  <si>
    <t>COO &amp; CPO - Options 03/02/2030 exercise price, $</t>
  </si>
  <si>
    <t>COO &amp; CPO - Options 03/02/2030 # of unexercised exercisable options, 000s</t>
  </si>
  <si>
    <t>COO &amp; CPO - Options 02/03/2030 exercise price, $</t>
  </si>
  <si>
    <t>COO &amp; CPO - Options 02/03/2030 # of unexercised exercisable options, 000s</t>
  </si>
  <si>
    <t>COO &amp; CPO - Options 01/02/2030 exercise price, $</t>
  </si>
  <si>
    <t>COO &amp; CPO - Options 01/02/2030 # of unexercised exercisable options, 000s</t>
  </si>
  <si>
    <t>COO &amp; CPO - Options 12/02/2029 exercise price, $</t>
  </si>
  <si>
    <t>COO &amp; CPO - Options 12/02/2029 # of unexercised exercisable options, 000s</t>
  </si>
  <si>
    <t>COO &amp; CPO - Options 11/01/2029 exercise price, $</t>
  </si>
  <si>
    <t>COO &amp; CPO - Options 11/01/2029 # of unexercised exercisable options, 000s</t>
  </si>
  <si>
    <t>COO &amp; CPO - Options 10/01/2029 exercise price, $</t>
  </si>
  <si>
    <t>COO &amp; CPO - Options 10/01/2029 # of unexercised exercisable options, 000s</t>
  </si>
  <si>
    <t>COO &amp; CPO - Options 09/03/2029 exercise price, $</t>
  </si>
  <si>
    <t>COO &amp; CPO - Options 09/03/2029 # of unexercised exercisable options, 000s</t>
  </si>
  <si>
    <t>COO &amp; CPO - Options 08/01/2029 exercise price, $</t>
  </si>
  <si>
    <t>COO &amp; CPO - Options 08/01/2029 # of unexercised exercisable options, 000s</t>
  </si>
  <si>
    <t>COO &amp; CPO - Options 07/01/2029 exercise price, $</t>
  </si>
  <si>
    <t>COO &amp; CPO - Options 07/01/2029 # of unexercised exercisable options, 000s</t>
  </si>
  <si>
    <t>COO &amp; CPO - Options 06/03/2029 exercise price, $</t>
  </si>
  <si>
    <t>COO &amp; CPO - Options 06/03/2029 # of unexercised exercisable options, 000s</t>
  </si>
  <si>
    <t>COO &amp; CPO - Options 05/01/2029 exercise price, $</t>
  </si>
  <si>
    <t>COO &amp; CPO - Options 05/01/2029 # of unexercised exercisable options, 000s</t>
  </si>
  <si>
    <t>COO &amp; CPO - Options 04/01/2029 exercise price, $</t>
  </si>
  <si>
    <t>COO &amp; CPO - Options 04/01/2029 # of unexercised exercisable options, 000s</t>
  </si>
  <si>
    <t>COO &amp; CPO - Options 03/01/2029 exercise price, $</t>
  </si>
  <si>
    <t>COO &amp; CPO - Options 03/01/2029 # of unexercised exercisable options, 000s</t>
  </si>
  <si>
    <t>COO &amp; CPO - Options 02/01/2029 exercise price, $</t>
  </si>
  <si>
    <t>COO &amp; CPO - Options 02/01/2029 # of unexercised exercisable options, 000s</t>
  </si>
  <si>
    <t>COO &amp; CPO - Options 01/02/2029 exercise price, $</t>
  </si>
  <si>
    <t>COO &amp; CPO - Options 01/02/2029 # of unexercised exercisable options, 000s</t>
  </si>
  <si>
    <t>COO &amp; CPO - Options 12/03/2028 exercise price, $</t>
  </si>
  <si>
    <t>COO &amp; CPO - Options 12/03/2028 # of unexercised exercisable options, 000s</t>
  </si>
  <si>
    <t>COO &amp; CPO - Options 11/01/2028 exercise price, $</t>
  </si>
  <si>
    <t>COO &amp; CPO - Options 11/01/2028 # of unexercised exercisable options, 000s</t>
  </si>
  <si>
    <t>COO &amp; CPO - Options 10/01/2028 exercise price, $</t>
  </si>
  <si>
    <t>COO &amp; CPO - Options 10/01/2028 # of unexercised exercisable options, 000s</t>
  </si>
  <si>
    <t>COO &amp; CPO - Options 09/04/2028	 exercise price, $</t>
  </si>
  <si>
    <t>COO &amp; CPO - Options 09/04/2028	 # of unexercised exercisable options, 000s</t>
  </si>
  <si>
    <t>COO &amp; CPO - Options 08/01/2028	 exercise price, $</t>
  </si>
  <si>
    <t>COO &amp; CPO - Options 08/01/2028 # of unexercised exercisable options, 000s</t>
  </si>
  <si>
    <t>COO &amp; CPO - Options 07/02/2028	 exercise price, $</t>
  </si>
  <si>
    <t>COO &amp; CPO - Options 07/02/2028 # of unexercised exercisable options, 000s</t>
  </si>
  <si>
    <t>COO &amp; CPO - Options 06/01/2028	 exercise price, $</t>
  </si>
  <si>
    <t>COO &amp; CPO - Options 06/01/2028 # of unexercised exercisable options, 000s</t>
  </si>
  <si>
    <t>COO &amp; CPO - Options 05/01/2028 exercise price, $</t>
  </si>
  <si>
    <t>COO &amp; CPO - Options 05/01/2028 # of unexercised exercisable options, 000s</t>
  </si>
  <si>
    <t>COO &amp; CPO - Options 04/02/2028 exercise price, $</t>
  </si>
  <si>
    <t>COO &amp; CPO - Options 04/02/2028 # of unexercised exercisable options, 000s</t>
  </si>
  <si>
    <t>COO &amp; CPO - Options 03/01/2028 exercise price, $</t>
  </si>
  <si>
    <t>COO &amp; CPO - Options 03/01/2028 # of unexercised exercisable options, 000s</t>
  </si>
  <si>
    <t>COO &amp; CPO - Options 02/01/2028 exercise price, $</t>
  </si>
  <si>
    <t>COO &amp; CPO - Options 02/01/2028 # of unexercised exercisable options, 000s</t>
  </si>
  <si>
    <t>COO &amp; CPO - Options 01/02/2028 exercise price, $</t>
  </si>
  <si>
    <t>COO &amp; CPO - Options 01/02/2028 # of unexercised exercisable options, 000s</t>
  </si>
  <si>
    <t>COO &amp; CPO - Options 12/01/2027 exercise price, $</t>
  </si>
  <si>
    <t>COO &amp; CPO - Options 12/01/2027 # of unexercised exercisable options, 000s</t>
  </si>
  <si>
    <t>COO &amp; CPO - Options 11/01/2027 exercise price, $</t>
  </si>
  <si>
    <t>COO &amp; CPO - Options 11/01/2027 # of unexercised exercisable options, 000s</t>
  </si>
  <si>
    <t>COO &amp; CPO - Options 10/02/2027 exercise price, $</t>
  </si>
  <si>
    <t>COO &amp; CPO - Options 10/02/2027 # of unexercised exercisable options, 000s</t>
  </si>
  <si>
    <t>COO &amp; CPO - Options 09/01/2027	 exercise price, $</t>
  </si>
  <si>
    <t>COO &amp; CPO - Options 09/01/2027	 # of unexercised exercisable options, 000s</t>
  </si>
  <si>
    <t>COO &amp; CPO - Options 08/01/2027	 exercise price, $</t>
  </si>
  <si>
    <t>COO &amp; CPO - Options 08/01/2027 # of unexercised exercisable options, 000s</t>
  </si>
  <si>
    <t>COO &amp; CPO - Options 07/03/2027	 exercise price, $</t>
  </si>
  <si>
    <t>COO &amp; CPO - Options 07/03/2027 # of unexercised exercisable options, 000s</t>
  </si>
  <si>
    <t>COO &amp; CPO - Options 06/01/2027	 exercise price, $</t>
  </si>
  <si>
    <t>COO &amp; CPO - Options 06/01/2027 # of unexercised exercisable options, 000s</t>
  </si>
  <si>
    <t>COO &amp; CPO - Options 05/01/2027 exercise price, $</t>
  </si>
  <si>
    <t>COO &amp; CPO - Options 05/01/2027 # of unexercised exercisable options, 000s</t>
  </si>
  <si>
    <t>COO &amp; CPO - Options 04/03/2027 exercise price, $</t>
  </si>
  <si>
    <t>COO &amp; CPO - Options 04/03/2027 # of unexercised exercisable options, 000s</t>
  </si>
  <si>
    <t>COO &amp; CPO - Options 03/01/2027 exercise price, $</t>
  </si>
  <si>
    <t>COO &amp; CPO - Options 03/01/2027 # of unexercised exercisable options, 000s</t>
  </si>
  <si>
    <t>COO &amp; CPO - Options 02/01/2027 exercise price, $</t>
  </si>
  <si>
    <t>COO &amp; CPO - Options 02/01/2027 # of unexercised exercisable options, 000s</t>
  </si>
  <si>
    <t>COO &amp; CPO - Options 01/03/2027 exercise price, $</t>
  </si>
  <si>
    <t>COO &amp; CPO - Options 01/03/2027 # of unexercised exercisable options, 000s</t>
  </si>
  <si>
    <t>COO &amp; CPO - Options 12/01/2026 exercise price, $</t>
  </si>
  <si>
    <t>COO &amp; CPO - Options 12/01/2026 # of unexercised exercisable options, 000s</t>
  </si>
  <si>
    <t>COO &amp; CPO - Options 11/01/2026 exercise price, $</t>
  </si>
  <si>
    <t>COO &amp; CPO - Options 11/01/2026 # of unexercised exercisable options, 000s</t>
  </si>
  <si>
    <t>COO &amp; CPO - Options 10/03/2026 exercise price, $</t>
  </si>
  <si>
    <t>COO &amp; CPO - Options 10/03/2026 # of unexercised exercisable options, 000s</t>
  </si>
  <si>
    <t>COO &amp; CPO - Options 09/01/2026	 exercise price, $</t>
  </si>
  <si>
    <t>COO &amp; CPO - Options 09/01/2026	 # of unexercised exercisable options, 000s</t>
  </si>
  <si>
    <t>COO &amp; CPO - Options 08/01/2026	 exercise price, $</t>
  </si>
  <si>
    <t>COO &amp; CPO - Options 08/01/2026 # of unexercised exercisable options, 000s</t>
  </si>
  <si>
    <t>COO &amp; CPO - Options 07/01/2026 exercise price, $</t>
  </si>
  <si>
    <t>COO &amp; CPO - Options 07/01/2026 # of unexercised exercisable options, 000s</t>
  </si>
  <si>
    <t>COO &amp; CPO - Options 06/01/2026 exercise price, $</t>
  </si>
  <si>
    <t>COO &amp; CPO - Options 06/01/2026 # of unexercised exercisable options, 000s</t>
  </si>
  <si>
    <t>COO &amp; CPO - Options 05/02/2026	 exercise price, $</t>
  </si>
  <si>
    <t>COO &amp; CPO - Options 05/02/2026	 # of unexercised exercisable options, 000s</t>
  </si>
  <si>
    <t>COO &amp; CPO - Options 04/01/2026	 exercise price, $</t>
  </si>
  <si>
    <t>COO &amp; CPO - Options 04/01/2026 # of unexercised exercisable options, 000s</t>
  </si>
  <si>
    <t>COO &amp; CPO - Options 03/01/2026	 exercise price, $</t>
  </si>
  <si>
    <t>COO &amp; CPO - Options 03/01/2026 # of unexercised exercisable options, 000s</t>
  </si>
  <si>
    <t>COO &amp; CPO - comp tied to equity, %</t>
  </si>
  <si>
    <t>COO (Chief Operating Officer) &amp; CPO (Chief Product Officer) - Total Comp, 000s</t>
  </si>
  <si>
    <t>COO &amp; CPO - All other compensation, 000s</t>
  </si>
  <si>
    <t>COO &amp; CPO - Option Awards, 000s</t>
  </si>
  <si>
    <t>COO &amp; CPO - Base Pay, 000s</t>
  </si>
  <si>
    <t>Co-CEO &amp; CCO - EoP shares beneficially owned, 000s</t>
  </si>
  <si>
    <t>Co-CEO &amp; CCO - Options 12/01/2032 exercise price, $</t>
  </si>
  <si>
    <t>Co-CEO &amp; CCO - Options 12/01/2032 # of unexercised exercisable options, 000s</t>
  </si>
  <si>
    <t>Co-CEO &amp; CCO - Options 11/01/2032 exercise price, $</t>
  </si>
  <si>
    <t>Co-CEO &amp; CCO - Options 11/01/2032 # of unexercised exercisable options, 000s</t>
  </si>
  <si>
    <t>Co-CEO &amp; CCO - Options 10/03/2032 exercise price, $</t>
  </si>
  <si>
    <t>Co-CEO &amp; CCO - Options 10/03/2032 # of unexercised exercisable options, 000s</t>
  </si>
  <si>
    <t>Co-CEO &amp; CCO - Options 09/01/2032	 exercise price, $</t>
  </si>
  <si>
    <t>Co-CEO &amp; CCO - Options 09/01/2032	 # of unexercised exercisable options, 000s</t>
  </si>
  <si>
    <t>Co-CEO &amp; CCO - Options 08/01/2032	 exercise price, $</t>
  </si>
  <si>
    <t>Co-CEO &amp; CCO - Options 08/01/2032 # of unexercised exercisable options, 000s</t>
  </si>
  <si>
    <t>Co-CEO &amp; CCO - Options 07/01/2032	 exercise price, $</t>
  </si>
  <si>
    <t>Co-CEO &amp; CCO - Options 07/01/2032 # of unexercised exercisable options, 000s</t>
  </si>
  <si>
    <t>Co-CEO &amp; CCO - Options 06/01/2032	 exercise price, $</t>
  </si>
  <si>
    <t>Co-CEO &amp; CCO - Options 06/01/2032 # of unexercised exercisable options, 000s</t>
  </si>
  <si>
    <t>Co-CEO &amp; CCO - Options 05/02/2032 exercise price, $</t>
  </si>
  <si>
    <t>Co-CEO &amp; CCO - Options 05/02/2032 # of unexercised exercisable options, 000s</t>
  </si>
  <si>
    <t>Co-CEO &amp; CCO - Options 04/01/2032 exercise price, $</t>
  </si>
  <si>
    <t>Co-CEO &amp; CCO - Options 04/01/2032 # of unexercised exercisable options, 000s</t>
  </si>
  <si>
    <t>Co-CEO &amp; CCO - Options 03/01/2032 exercise price, $</t>
  </si>
  <si>
    <t>Co-CEO &amp; CCO - Options 03/01/2032 # of unexercised exercisable options, 000s</t>
  </si>
  <si>
    <t>Co-CEO &amp; CCO - Options 02/01/2032 exercise price, $</t>
  </si>
  <si>
    <t>Co-CEO &amp; CCO - Options 02/01/2032 # of unexercised exercisable options, 000s</t>
  </si>
  <si>
    <t>Co-CEO &amp; CCO - Options 01/03/2032 exercise price, $</t>
  </si>
  <si>
    <t>Co-CEO &amp; CCO - Options 01/03/2032 # of unexercised exercisable options, 000s</t>
  </si>
  <si>
    <t>Co-CEO &amp; CCO - Options 12/01/2031 exercise price, $</t>
  </si>
  <si>
    <t>Co-CEO &amp; CCO - Options 12/01/2031 # of unexercised exercisable options, 000s</t>
  </si>
  <si>
    <t>Co-CEO &amp; CCO - Options 11/01/2031 exercise price, $</t>
  </si>
  <si>
    <t>Co-CEO &amp; CCO - Options 11/01/2031 # of unexercised exercisable options, 000s</t>
  </si>
  <si>
    <t>Co-CEO &amp; CCO - Options 10/01/2031 exercise price, $</t>
  </si>
  <si>
    <t>Co-CEO &amp; CCO - Options 10/01/2031 # of unexercised exercisable options, 000s</t>
  </si>
  <si>
    <t>Co-CEO &amp; CCO - Options 09/01/2031	 exercise price, $</t>
  </si>
  <si>
    <t>Co-CEO &amp; CCO - Options 09/01/2031	 # of unexercised exercisable options, 000s</t>
  </si>
  <si>
    <t>Co-CEO &amp; CCO - Options 08/02/2031	 exercise price, $</t>
  </si>
  <si>
    <t>Co-CEO &amp; CCO - Options 08/02/2031 # of unexercised exercisable options, 000s</t>
  </si>
  <si>
    <t>Co-CEO &amp; CCO - Options 07/01/2031	 exercise price, $</t>
  </si>
  <si>
    <t>Co-CEO &amp; CCO - Options 07/01/2031 # of unexercised exercisable options, 000s</t>
  </si>
  <si>
    <t>Co-CEO &amp; CCO - Options 06/01/2031	 exercise price, $</t>
  </si>
  <si>
    <t>Co-CEO &amp; CCO - Options 06/01/2031 # of unexercised exercisable options, 000s</t>
  </si>
  <si>
    <t>Co-CEO &amp; CCO - Options 05/03/2031 exercise price, $</t>
  </si>
  <si>
    <t>Co-CEO &amp; CCO - Options 05/03/2031 # of unexercised exercisable options, 000s</t>
  </si>
  <si>
    <t>Co-CEO &amp; CCO - Options 04/01/2031 exercise price, $</t>
  </si>
  <si>
    <t>Co-CEO &amp; CCO - Options 04/01/2031 # of unexercised exercisable options, 000s</t>
  </si>
  <si>
    <t>Co-CEO &amp; CCO - Options 03/01/2031 exercise price, $</t>
  </si>
  <si>
    <t>Co-CEO &amp; CCO - Options 03/01/2031 # of unexercised exercisable options, 000s</t>
  </si>
  <si>
    <t>Co-CEO &amp; CCO - Options 02/01/2031 exercise price, $</t>
  </si>
  <si>
    <t>Co-CEO &amp; CCO - Options 02/01/2031 # of unexercised exercisable options, 000s</t>
  </si>
  <si>
    <t>Co-CEO &amp; CCO - Options 01/04/2031 exercise price, $</t>
  </si>
  <si>
    <t>Co-CEO &amp; CCO - Options 01/04/2031 # of unexercised exercisable options, 000s</t>
  </si>
  <si>
    <t>Co-CEO &amp; CCO - Options 12/01/2030 exercise price, $</t>
  </si>
  <si>
    <t>Co-CEO &amp; CCO - Options 12/01/2030 # of unexercised exercisable options, 000s</t>
  </si>
  <si>
    <t>Co-CEO &amp; CCO - Options 11/02/2030 exercise price, $</t>
  </si>
  <si>
    <t>Co-CEO &amp; CCO - Options 11/02/2030 # of unexercised exercisable options, 000s</t>
  </si>
  <si>
    <t>Co-CEO &amp; CCO - Options 10/01/2030 exercise price, $</t>
  </si>
  <si>
    <t>Co-CEO &amp; CCO - Options 10/01/2030 # of unexercised exercisable options, 000s</t>
  </si>
  <si>
    <t>Co-CEO &amp; CCO - Options 09/01/2030	 exercise price, $</t>
  </si>
  <si>
    <t>Co-CEO &amp; CCO - Options 09/01/2030	 # of unexercised exercisable options, 000s</t>
  </si>
  <si>
    <t>Co-CEO &amp; CCO - Options 08/03/2030	 exercise price, $</t>
  </si>
  <si>
    <t>Co-CEO &amp; CCO - Options 08/03/2030 # of unexercised exercisable options, 000s</t>
  </si>
  <si>
    <t>Co-CEO &amp; CCO - Options 07/01/2030	 exercise price, $</t>
  </si>
  <si>
    <t>Co-CEO &amp; CCO - Options 07/01/2030 # of unexercised exercisable options, 000s</t>
  </si>
  <si>
    <t>Co-CEO &amp; CCO - Options 06/01/2030	 exercise price, $</t>
  </si>
  <si>
    <t>Co-CEO &amp; CCO - Options 06/01/2030 # of unexercised exercisable options, 000s</t>
  </si>
  <si>
    <t>Co-CEO &amp; CCO - Options 05/01/2030 exercise price, $</t>
  </si>
  <si>
    <t>Co-CEO &amp; CCO - Options 05/01/2030 # of unexercised exercisable options, 000s</t>
  </si>
  <si>
    <t>Co-CEO &amp; CCO - Options 04/01/2030 exercise price, $</t>
  </si>
  <si>
    <t>Co-CEO &amp; CCO - Options 04/01/2030 # of unexercised exercisable options, 000s</t>
  </si>
  <si>
    <t>Co-CEO &amp; CCO - Options 03/02/2030 exercise price, $</t>
  </si>
  <si>
    <t>Co-CEO &amp; CCO - Options 03/02/2030 # of unexercised exercisable options, 000s</t>
  </si>
  <si>
    <t>Co-CEO &amp; CCO - Options 02/03/2030 exercise price, $</t>
  </si>
  <si>
    <t>Co-CEO &amp; CCO - Options 02/03/2030 # of unexercised exercisable options, 000s</t>
  </si>
  <si>
    <t>Co-CEO &amp; CCO - Options 01/02/2030 exercise price, $</t>
  </si>
  <si>
    <t>Co-CEO &amp; CCO - Options 01/02/2030 # of unexercised exercisable options, 000s</t>
  </si>
  <si>
    <t>Co-CEO &amp; CCO - Options 12/02/2029 exercise price, $</t>
  </si>
  <si>
    <t>Co-CEO &amp; CCO - Options 12/02/2029 # of unexercised exercisable options, 000s</t>
  </si>
  <si>
    <t>Co-CEO &amp; CCO - Options 11/01/2029 exercise price, $</t>
  </si>
  <si>
    <t>Co-CEO &amp; CCO - Options 11/01/2029 # of unexercised exercisable options, 000s</t>
  </si>
  <si>
    <t>Co-CEO &amp; CCO - Options 10/01/2029 exercise price, $</t>
  </si>
  <si>
    <t>Co-CEO &amp; CCO - Options 10/01/2029 # of unexercised exercisable options, 000s</t>
  </si>
  <si>
    <t>Co-CEO &amp; CCO - Options 09/03/2029 exercise price, $</t>
  </si>
  <si>
    <t>Co-CEO &amp; CCO - Options 09/03/2029 # of unexercised exercisable options, 000s</t>
  </si>
  <si>
    <t>Co-CEO &amp; CCO - Options 08/01/2029 exercise price, $</t>
  </si>
  <si>
    <t>Co-CEO &amp; CCO - Options 08/01/2029 # of unexercised exercisable options, 000s</t>
  </si>
  <si>
    <t>Co-CEO &amp; CCO - Options 07/01/2029 exercise price, $</t>
  </si>
  <si>
    <t>Co-CEO &amp; CCO - Options 07/01/2029 # of unexercised exercisable options, 000s</t>
  </si>
  <si>
    <t>Co-CEO &amp; CCO - Options 06/03/2029 exercise price, $</t>
  </si>
  <si>
    <t>Co-CEO &amp; CCO - Options 06/03/2029 # of unexercised exercisable options, 000s</t>
  </si>
  <si>
    <t>Co-CEO &amp; CCO - Options 05/01/2029 exercise price, $</t>
  </si>
  <si>
    <t>Co-CEO &amp; CCO - Options 05/01/2029 # of unexercised exercisable options, 000s</t>
  </si>
  <si>
    <t>Co-CEO &amp; CCO - Options 04/01/2029 exercise price, $</t>
  </si>
  <si>
    <t>Co-CEO &amp; CCO - Options 04/01/2029 # of unexercised exercisable options, 000s</t>
  </si>
  <si>
    <t>Co-CEO &amp; CCO - Options 03/01/2029 exercise price, $</t>
  </si>
  <si>
    <t>Co-CEO &amp; CCO - Options 03/01/2029 # of unexercised exercisable options, 000s</t>
  </si>
  <si>
    <t>Co-CEO &amp; CCO - Options 02/01/2029 exercise price, $</t>
  </si>
  <si>
    <t>Co-CEO &amp; CCO - Options 02/01/2029 # of unexercised exercisable options, 000s</t>
  </si>
  <si>
    <t>Co-CEO &amp; CCO - Options 01/02/2029 exercise price, $</t>
  </si>
  <si>
    <t>Co-CEO &amp; CCO - Options 01/02/2029 # of unexercised exercisable options, 000s</t>
  </si>
  <si>
    <t>Co-CEO &amp; CCO - Options 12/03/2028 exercise price, $</t>
  </si>
  <si>
    <t>Co-CEO &amp; CCO - Options 12/03/2028 # of unexercised exercisable options, 000s</t>
  </si>
  <si>
    <t>Co-CEO &amp; CCO - Options 11/01/2028 exercise price, $</t>
  </si>
  <si>
    <t>Co-CEO &amp; CCO - Options 11/01/2028 # of unexercised exercisable options, 000s</t>
  </si>
  <si>
    <t>Co-CEO &amp; CCO - Options 10/01/2028 exercise price, $</t>
  </si>
  <si>
    <t>Co-CEO &amp; CCO - Options 10/01/2028 # of unexercised exercisable options, 000s</t>
  </si>
  <si>
    <t>Co-CEO &amp; CCO - Options 09/04/2028 exercise price, $</t>
  </si>
  <si>
    <t>Co-CEO &amp; CCO - Options 09/04/2028 # of unexercised exercisable options, 000s</t>
  </si>
  <si>
    <t>Co-CEO &amp; CCO - Options 08/01/2028 exercise price, $</t>
  </si>
  <si>
    <t>Co-CEO &amp; CCO - Options 08/01/2028 # of unexercised exercisable options, 000s</t>
  </si>
  <si>
    <t>Co-CEO &amp; CCO - Options 07/02/2028 exercise price, $</t>
  </si>
  <si>
    <t>Co-CEO &amp; CCO - Options 07/02/2028 # of unexercised exercisable options, 000s</t>
  </si>
  <si>
    <t>Co-CEO &amp; CCO - Options 06/01/2028 exercise price, $</t>
  </si>
  <si>
    <t>Co-CEO &amp; CCO - Options 06/01/2028 # of unexercised exercisable options, 000s</t>
  </si>
  <si>
    <t>Co-CEO &amp; CCO - Options 07/03/2027 exercise price, $</t>
  </si>
  <si>
    <t>Co-CEO &amp; CCO - Options 07/03/2027 # of unexercised exercisable options, 000s</t>
  </si>
  <si>
    <t>Co-CEO &amp; CCO - Options 02/01/2027 exercise price, $</t>
  </si>
  <si>
    <t>Co-CEO &amp; CCO - Options 02/01/2027 # of unexercised exercisable options, 000s</t>
  </si>
  <si>
    <t>Co-CEO &amp; CCO - Options 01/03/2027 exercise price, $</t>
  </si>
  <si>
    <t>Co-CEO &amp; CCO - Options 01/03/2027 # of unexercised exercisable options, 000s</t>
  </si>
  <si>
    <t>Co-CEO &amp; CCO - Options 09/01/2026 exercise price, $</t>
  </si>
  <si>
    <t>Co-CEO &amp; CCO - Options 09/01/2026 # of unexercised exercisable options, 000s</t>
  </si>
  <si>
    <t>Co-CEO &amp; CCO - Options 08/01/2026 exercise price, $</t>
  </si>
  <si>
    <t>Co-CEO &amp; CCO - Options 08/01/2026 # of unexercised exercisable options, 000s</t>
  </si>
  <si>
    <t>Co-CEO &amp; CCO - Options 07/01/2026 exercise price, $</t>
  </si>
  <si>
    <t>Co-CEO &amp; CCO - Options 07/01/2026 # of unexercised exercisable options, 000s</t>
  </si>
  <si>
    <t>Co-CEO &amp; CCO - Options 05/02/2026 exercise price, $</t>
  </si>
  <si>
    <t>Co-CEO &amp; CCO - Options 05/02/2026 # of unexercised exercisable options, 000s</t>
  </si>
  <si>
    <t>Co-CEO &amp; CCO - Options 03/01/2026 exercise price, $</t>
  </si>
  <si>
    <t>Co-CEO &amp; CCO - Options 03/01/2026 # of unexercised exercisable options, 000s</t>
  </si>
  <si>
    <t>Co-CEO &amp; CCO - Options 02/01/2026 exercise price, $</t>
  </si>
  <si>
    <t>Co-CEO &amp; CCO - Options 02/01/2026 # of unexercised exercisable options, 000s</t>
  </si>
  <si>
    <t>Co-CEO &amp; CCO - Options 12/01/2025 exercise price, $</t>
  </si>
  <si>
    <t>Co-CEO &amp; CCO - Options 12/01/2025 # of unexercised exercisable options, 000s</t>
  </si>
  <si>
    <t>Co-CEO &amp; CCO - Options 07/01/2025 exercise price, $</t>
  </si>
  <si>
    <t>Co-CEO &amp; CCO - Options 07/01/2025 # of unexercised exercisable options, 000s</t>
  </si>
  <si>
    <t>Co-CEO &amp; CCO - Options 06/01/2025 exercise price, $</t>
  </si>
  <si>
    <t>Co-CEO &amp; CCO - Options 06/01/2025 # of unexercised exercisable options, 000s</t>
  </si>
  <si>
    <t>Co-CEO &amp; CCO - Options 05/01/2025 exercise price, $</t>
  </si>
  <si>
    <t>Co-CEO &amp; CCO - Options 05/01/2025 # of unexercised exercisable options, 000s</t>
  </si>
  <si>
    <t>Co-CEO &amp; CCO - comp tied to equity, %</t>
  </si>
  <si>
    <t>Co-CEO &amp; CCO (Chief Content Officer) - Total Comp, 000s</t>
  </si>
  <si>
    <t>Co-CEO &amp; CCO - All other compensation, 000s</t>
  </si>
  <si>
    <t>Co-CEO &amp; CCO - Option Awards, 000s</t>
  </si>
  <si>
    <t>Co-CEO &amp; CCO - Base Pay, 000s</t>
  </si>
  <si>
    <t>Co-CEO - EoP shares beneficially owned, 000s</t>
  </si>
  <si>
    <t>Co-CEO - Options 12/01/2032 exercise price, $</t>
  </si>
  <si>
    <t>Co-CEO - Options 12/01/2032 # of unexercised exercisable options, 000s</t>
  </si>
  <si>
    <t>Co-CEO - Options 11/01/2032 exercise price, $</t>
  </si>
  <si>
    <t>Co-CEO - Options 11/01/2032 # of unexercised exercisable options, 000s</t>
  </si>
  <si>
    <t>Co-CEO - Options 10/03/2032 exercise price, $</t>
  </si>
  <si>
    <t>Co-CEO - Options 10/03/2032 # of unexercised exercisable options, 000s</t>
  </si>
  <si>
    <t>Co-CEO - Options 09/01/2032	 exercise price, $</t>
  </si>
  <si>
    <t>Co-CEO - Options 09/01/2032	 # of unexercised exercisable options, 000s</t>
  </si>
  <si>
    <t>Co-CEO - Options 08/01/2032	 exercise price, $</t>
  </si>
  <si>
    <t>Co-CEO - Options 08/01/2032 # of unexercised exercisable options, 000s</t>
  </si>
  <si>
    <t>Co-CEO - Options 07/01/2032	 exercise price, $</t>
  </si>
  <si>
    <t>Co-CEO - Options 07/01/2032 # of unexercised exercisable options, 000s</t>
  </si>
  <si>
    <t>Co-CEO - Options 06/01/2032	 exercise price, $</t>
  </si>
  <si>
    <t>Co-CEO - Options 06/01/2032 # of unexercised exercisable options, 000s</t>
  </si>
  <si>
    <t>Co-CEO - Options 05/02/2032 exercise price, $</t>
  </si>
  <si>
    <t>Co-CEO - Options 05/02/2032 # of unexercised exercisable options, 000s</t>
  </si>
  <si>
    <t>Co-CEO - Options 04/01/2032 exercise price, $</t>
  </si>
  <si>
    <t>Co-CEO - Options 04/01/2032 # of unexercised exercisable options, 000s</t>
  </si>
  <si>
    <t>Co-CEO - Options 03/01/2032 exercise price, $</t>
  </si>
  <si>
    <t>Co-CEO - Options 03/01/2032 # of unexercised exercisable options, 000s</t>
  </si>
  <si>
    <t>Co-CEO - Options 02/01/2032 exercise price, $</t>
  </si>
  <si>
    <t>Co-CEO - Options 02/01/2032 # of unexercised exercisable options, 000s</t>
  </si>
  <si>
    <t>Co-CEO - Options 01/03/2032 exercise price, $</t>
  </si>
  <si>
    <t>Co-CEO - Options 01/03/2032 # of unexercised exercisable options, 000s</t>
  </si>
  <si>
    <t>Co-CEO - Options 12/01/2031 exercise price, $</t>
  </si>
  <si>
    <t>Co-CEO - Options 12/01/2031 # of unexercised exercisable options, 000s</t>
  </si>
  <si>
    <t>Co-CEO - Options 11/01/2031 exercise price, $</t>
  </si>
  <si>
    <t>Co-CEO - Options 11/01/2031 # of unexercised exercisable options, 000s</t>
  </si>
  <si>
    <t>Co-CEO - Options 10/01/2031 exercise price, $</t>
  </si>
  <si>
    <t>Co-CEO - Options 10/01/2031 # of unexercised exercisable options, 000s</t>
  </si>
  <si>
    <t>Co-CEO - Options 09/01/2031	 exercise price, $</t>
  </si>
  <si>
    <t>Co-CEO - Options 09/01/2031	 # of unexercised exercisable options, 000s</t>
  </si>
  <si>
    <t>Co-CEO - Options 08/02/2031	 exercise price, $</t>
  </si>
  <si>
    <t>Co-CEO - Options 08/02/2031 # of unexercised exercisable options, 000s</t>
  </si>
  <si>
    <t>Co-CEO - Options 07/01/2031	 exercise price, $</t>
  </si>
  <si>
    <t>Co-CEO - Options 07/01/2031 # of unexercised exercisable options, 000s</t>
  </si>
  <si>
    <t>Co-CEO - Options 06/01/2031	 exercise price, $</t>
  </si>
  <si>
    <t>Co-CEO - Options 06/01/2031 # of unexercised exercisable options, 000s</t>
  </si>
  <si>
    <t>Co-CEO - Options 05/03/2031 exercise price, $</t>
  </si>
  <si>
    <t>Co-CEO - Options 05/03/2031 # of unexercised exercisable options, 000s</t>
  </si>
  <si>
    <t>Co-CEO - Options 04/01/2031 exercise price, $</t>
  </si>
  <si>
    <t>Co-CEO - Options 04/01/2031 # of unexercised exercisable options, 000s</t>
  </si>
  <si>
    <t>Co-CEO - Options 03/01/2031 exercise price, $</t>
  </si>
  <si>
    <t>Co-CEO - Options 03/01/2031 # of unexercised exercisable options, 000s</t>
  </si>
  <si>
    <t>Co-CEO - Options 02/01/2031 exercise price, $</t>
  </si>
  <si>
    <t>Co-CEO - Options 02/01/2031 # of unexercised exercisable options, 000s</t>
  </si>
  <si>
    <t>Co-CEO - Options 01/04/2031 exercise price, $</t>
  </si>
  <si>
    <t>Co-CEO - Options 01/04/2031 # of unexercised exercisable options, 000s</t>
  </si>
  <si>
    <t>Co-CEO - Options 12/01/2030 exercise price, $</t>
  </si>
  <si>
    <t>Co-CEO - Options 12/01/2030 # of unexercised exercisable options, 000s</t>
  </si>
  <si>
    <t>Co-CEO - Options 11/02/2030 exercise price, $</t>
  </si>
  <si>
    <t>Co-CEO - Options 11/02/2030 # of unexercised exercisable options, 000s</t>
  </si>
  <si>
    <t>Co-CEO - Options 10/01/2030 exercise price, $</t>
  </si>
  <si>
    <t>Co-CEO - Options 10/01/2030 # of unexercised exercisable options, 000s</t>
  </si>
  <si>
    <t>Co-CEO - Options 09/01/2030	 exercise price, $</t>
  </si>
  <si>
    <t>Co-CEO - Options 09/01/2030	 # of unexercised exercisable options, 000s</t>
  </si>
  <si>
    <t>Co-CEO - Options 08/03/2030	 exercise price, $</t>
  </si>
  <si>
    <t>Co-CEO - Options 08/03/2030 # of unexercised exercisable options, 000s</t>
  </si>
  <si>
    <t>Co-CEO - Options 07/01/2030	 exercise price, $</t>
  </si>
  <si>
    <t>Co-CEO - Options 07/01/2030 # of unexercised exercisable options, 000s</t>
  </si>
  <si>
    <t>Co-CEO - Options 06/01/2030	 exercise price, $</t>
  </si>
  <si>
    <t>Co-CEO - Options 06/01/2030 # of unexercised exercisable options, 000s</t>
  </si>
  <si>
    <t>Co-CEO - Options 05/01/2030 exercise price, $</t>
  </si>
  <si>
    <t>Co-CEO - Options 05/01/2030 # of unexercised exercisable options, 000s</t>
  </si>
  <si>
    <t>Co-CEO - Options 04/01/2030 exercise price, $</t>
  </si>
  <si>
    <t>Co-CEO - Options 04/01/2030 # of unexercised exercisable options, 000s</t>
  </si>
  <si>
    <t>Co-CEO - Options 03/02/2030 exercise price, $</t>
  </si>
  <si>
    <t>Co-CEO - Options 03/02/2030 # of unexercised exercisable options, 000s</t>
  </si>
  <si>
    <t>Co-CEO - Options 02/03/2030 exercise price, $</t>
  </si>
  <si>
    <t>Co-CEO - Options 02/03/2030 # of unexercised exercisable options, 000s</t>
  </si>
  <si>
    <t>Co-CEO - Options 01/02/2030 exercise price, $</t>
  </si>
  <si>
    <t>Co-CEO - Options 01/02/2030 # of unexercised exercisable options, 000s</t>
  </si>
  <si>
    <t>Co-CEO - Options 12/02/2029 exercise price, $</t>
  </si>
  <si>
    <t>Co-CEO - Options 12/02/2029 # of unexercised exercisable options, 000s</t>
  </si>
  <si>
    <t>Co-CEO - Options 11/01/2029 exercise price, $</t>
  </si>
  <si>
    <t>Co-CEO - Options 11/01/2029 # of unexercised exercisable options, 000s</t>
  </si>
  <si>
    <t>Co-CEO - Options 10/01/2029 exercise price, $</t>
  </si>
  <si>
    <t>Co-CEO - Options 10/01/2029 # of unexercised exercisable options, 000s</t>
  </si>
  <si>
    <t>Co-CEO - Options 09/03/2029	 exercise price, $</t>
  </si>
  <si>
    <t>Co-CEO - Options 09/03/2029	 # of unexercised exercisable options, 000s</t>
  </si>
  <si>
    <t>Co-CEO - Options 08/01/2029	 exercise price, $</t>
  </si>
  <si>
    <t>Co-CEO - Options 08/01/2029 # of unexercised exercisable options, 000s</t>
  </si>
  <si>
    <t>Co-CEO - Options 07/01/2029	 exercise price, $</t>
  </si>
  <si>
    <t>Co-CEO - Options 07/01/2029 # of unexercised exercisable options, 000s</t>
  </si>
  <si>
    <t>Co-CEO - Options 06/03/2029	 exercise price, $</t>
  </si>
  <si>
    <t>Co-CEO - Options 06/03/2029 # of unexercised exercisable options, 000s</t>
  </si>
  <si>
    <t>Co-CEO - Options 05/01/2029 exercise price, $</t>
  </si>
  <si>
    <t>Co-CEO - Options 05/01/2029 # of unexercised exercisable options, 000s</t>
  </si>
  <si>
    <t>Co-CEO - Options 04/01/2029 exercise price, $</t>
  </si>
  <si>
    <t>Co-CEO - Options 04/01/2029 # of unexercised exercisable options, 000s</t>
  </si>
  <si>
    <t>Co-CEO - Options 03/01/2029 exercise price, $</t>
  </si>
  <si>
    <t>Co-CEO - Options 03/01/2029 # of unexercised exercisable options, 000s</t>
  </si>
  <si>
    <t>Co-CEO - Options 02/01/2029 exercise price, $</t>
  </si>
  <si>
    <t>Co-CEO - Options 02/01/2029 # of unexercised exercisable options, 000s</t>
  </si>
  <si>
    <t>Co-CEO - Options 01/02/2029 exercise price, $</t>
  </si>
  <si>
    <t>Co-CEO - Options 01/02/2029 # of unexercised exercisable options, 000s</t>
  </si>
  <si>
    <t>Co-CEO - Options 12/03/2028 exercise price, $</t>
  </si>
  <si>
    <t>Co-CEO - Options 12/03/2028 # of unexercised exercisable options, 000s</t>
  </si>
  <si>
    <t>Co-CEO - Options 11/01/2028 exercise price, $</t>
  </si>
  <si>
    <t>Co-CEO - Options 11/01/2028 # of unexercised exercisable options, 000s</t>
  </si>
  <si>
    <t>Co-CEO - Options 10/01/2028 exercise price, $</t>
  </si>
  <si>
    <t>Co-CEO - Options 10/01/2028 # of unexercised exercisable options, 000s</t>
  </si>
  <si>
    <t>Co-CEO - Options 09/04/2028	 exercise price, $</t>
  </si>
  <si>
    <t>Co-CEO - Options 09/04/2028	 # of unexercised exercisable options, 000s</t>
  </si>
  <si>
    <t>Co-CEO - Options 08/01/2028	 exercise price, $</t>
  </si>
  <si>
    <t>Co-CEO - Options 08/01/2028 # of unexercised exercisable options, 000s</t>
  </si>
  <si>
    <t>Co-CEO - Options 07/02/2028	 exercise price, $</t>
  </si>
  <si>
    <t>Co-CEO - Options 07/02/2028 # of unexercised exercisable options, 000s</t>
  </si>
  <si>
    <t>Co-CEO - Options 06/01/2028	 exercise price, $</t>
  </si>
  <si>
    <t>Co-CEO - Options 06/01/2028 # of unexercised exercisable options, 000s</t>
  </si>
  <si>
    <t>Co-CEO - Options 05/01/2028 exercise price, $</t>
  </si>
  <si>
    <t>Co-CEO - Options 05/01/2028 # of unexercised exercisable options, 000s</t>
  </si>
  <si>
    <t>Co-CEO - Options 04/02/2028 exercise price, $</t>
  </si>
  <si>
    <t>Co-CEO - Options 04/02/2028 # of unexercised exercisable options, 000s</t>
  </si>
  <si>
    <t>Co-CEO - Options 03/01/2028 exercise price, $</t>
  </si>
  <si>
    <t>Co-CEO - Options 03/01/2028 # of unexercised exercisable options, 000s</t>
  </si>
  <si>
    <t>Co-CEO - Options 02/01/2028 exercise price, $</t>
  </si>
  <si>
    <t>Co-CEO - Options 02/01/2028 # of unexercised exercisable options, 000s</t>
  </si>
  <si>
    <t>Co-CEO - Options 01/02/2028 exercise price, $</t>
  </si>
  <si>
    <t>Co-CEO - Options 01/02/2028 # of unexercised exercisable options, 000s</t>
  </si>
  <si>
    <t>Co-CEO - Options 12/01/2027 exercise price, $</t>
  </si>
  <si>
    <t>Co-CEO - Options 12/01/2027 # of unexercised exercisable options, 000s</t>
  </si>
  <si>
    <t>Co-CEO - Options 11/01/2027 exercise price, $</t>
  </si>
  <si>
    <t>Co-CEO - Options 11/01/2027 # of unexercised exercisable options, 000s</t>
  </si>
  <si>
    <t>Co-CEO - Options 10/02/2027 exercise price, $</t>
  </si>
  <si>
    <t>Co-CEO - Options 10/02/2027 # of unexercised exercisable options, 000s</t>
  </si>
  <si>
    <t>Co-CEO - Options 09/01/2027	 exercise price, $</t>
  </si>
  <si>
    <t>Co-CEO - Options 09/01/2027	 # of unexercised exercisable options, 000s</t>
  </si>
  <si>
    <t>Co-CEO - Options 08/01/2027	 exercise price, $</t>
  </si>
  <si>
    <t>Co-CEO - Options 08/01/2027 # of unexercised exercisable options, 000s</t>
  </si>
  <si>
    <t>Co-CEO - Options 07/03/2027	 exercise price, $</t>
  </si>
  <si>
    <t>Co-CEO - Options 07/03/2027 # of unexercised exercisable options, 000s</t>
  </si>
  <si>
    <t>Co-CEO - Options 06/01/2027	 exercise price, $</t>
  </si>
  <si>
    <t>Co-CEO - Options 06/01/2027 # of unexercised exercisable options, 000s</t>
  </si>
  <si>
    <t>Co-CEO - Options 05/01/2027 exercise price, $</t>
  </si>
  <si>
    <t>Co-CEO - Options 05/01/2027 # of unexercised exercisable options, 000s</t>
  </si>
  <si>
    <t>Co-CEO - Options 04/03/2027 exercise price, $</t>
  </si>
  <si>
    <t>Co-CEO - Options 04/03/2027 # of unexercised exercisable options, 000s</t>
  </si>
  <si>
    <t>Co-CEO - Options 03/01/2027 exercise price, $</t>
  </si>
  <si>
    <t>Co-CEO - Options 03/01/2027 # of unexercised exercisable options, 000s</t>
  </si>
  <si>
    <t>Co-CEO - Options 02/01/2027 exercise price, $</t>
  </si>
  <si>
    <t>Co-CEO - Options 02/01/2027 # of unexercised exercisable options, 000s</t>
  </si>
  <si>
    <t>Co-CEO - Options 01/03/2027 exercise price, $</t>
  </si>
  <si>
    <t>Co-CEO - Options 01/03/2027 # of unexercised exercisable options, 000s</t>
  </si>
  <si>
    <t>Co-CEO - Options 12/01/2026 exercise price, $</t>
  </si>
  <si>
    <t>Co-CEO - Options 12/01/2026 # of unexercised exercisable options, 000s</t>
  </si>
  <si>
    <t>Co-CEO - Options 11/01/2026 exercise price, $</t>
  </si>
  <si>
    <t>Co-CEO - Options 11/01/2026 # of unexercised exercisable options, 000s</t>
  </si>
  <si>
    <t>Co-CEO - Options 10/03/2026 exercise price, $</t>
  </si>
  <si>
    <t>Co-CEO - Options 10/03/2026 # of unexercised exercisable options, 000s</t>
  </si>
  <si>
    <t>Co-CEO - Options 09/01/2026	 exercise price, $</t>
  </si>
  <si>
    <t>Co-CEO - Options 09/01/2026	 # of unexercised exercisable options, 000s</t>
  </si>
  <si>
    <t>Co-CEO - Options 08/01/2026	 exercise price, $</t>
  </si>
  <si>
    <t>Co-CEO - Options 08/01/2026 # of unexercised exercisable options, 000s</t>
  </si>
  <si>
    <t>Co-CEO - Options 07/01/2026	 exercise price, $</t>
  </si>
  <si>
    <t>Co-CEO - Options 07/01/2026 # of unexercised exercisable options, 000s</t>
  </si>
  <si>
    <t>Co-CEO - Options 06/01/2026	 exercise price, $</t>
  </si>
  <si>
    <t>Co-CEO - Options 06/01/2026 # of unexercised exercisable options, 000s</t>
  </si>
  <si>
    <t>Co-CEO - Options 05/02/2026 exercise price, $</t>
  </si>
  <si>
    <t>Co-CEO - Options 05/02/2026 # of unexercised exercisable options, 000s</t>
  </si>
  <si>
    <t>Co-CEO - Options 04/01/2026 exercise price, $</t>
  </si>
  <si>
    <t>Co-CEO - Options 04/01/2026 # of unexercised exercisable options, 000s</t>
  </si>
  <si>
    <t>Co-CEO - Options 03/01/2026 exercise price, $</t>
  </si>
  <si>
    <t>Co-CEO - Options 03/01/2026 # of unexercised exercisable options, 000s</t>
  </si>
  <si>
    <t>Co-CEO - Options 02/01/2026 exercise price, $</t>
  </si>
  <si>
    <t>Co-CEO - Options 02/01/2026 # of unexercised exercisable options, 000s</t>
  </si>
  <si>
    <t>Co-CEO - Options 01/04/2026 exercise price, $</t>
  </si>
  <si>
    <t>Co-CEO - Options 01/04/2026 # of unexercised exercisable options, 000s</t>
  </si>
  <si>
    <t>Co-CEO - Options 12/01/2025 exercise price, $</t>
  </si>
  <si>
    <t>Co-CEO - Options 12/01/2025 # of unexercised exercisable options, 000s</t>
  </si>
  <si>
    <t>Co-CEO - Options 11/02/2025 exercise price, $</t>
  </si>
  <si>
    <t>Co-CEO - Options 11/02/2025 # of unexercised exercisable options, 000s</t>
  </si>
  <si>
    <t>Co-CEO - Options 10/01/2025 exercise price, $</t>
  </si>
  <si>
    <t>Co-CEO - Options 10/01/2025 # of unexercised exercisable options, 000s</t>
  </si>
  <si>
    <t>Co-CEO - Options 09/01/2025	 exercise price, $</t>
  </si>
  <si>
    <t>Co-CEO - Options 09/01/2025	 # of unexercised exercisable options, 000s</t>
  </si>
  <si>
    <t>Co-CEO - Options 08/03/2025	 exercise price, $</t>
  </si>
  <si>
    <t>Co-CEO - Options 08/03/2025 # of unexercised exercisable options, 000s</t>
  </si>
  <si>
    <t>Co-CEO - Options 07/01/2025	 exercise price, $</t>
  </si>
  <si>
    <t>Co-CEO - Options 07/01/2025 # of unexercised exercisable options, 000s</t>
  </si>
  <si>
    <t>Co-CEO - Options 06/01/2025	 exercise price, $</t>
  </si>
  <si>
    <t>Co-CEO - Options 06/01/2025 # of unexercised exercisable options, 000s</t>
  </si>
  <si>
    <t>Co-CEO - Options 05/01/2025 exercise price, $</t>
  </si>
  <si>
    <t>Co-CEO - Options 05/01/2025 # of unexercised exercisable options, 000s</t>
  </si>
  <si>
    <t>Co-CEO - Options 04/01/2025 exercise price, $</t>
  </si>
  <si>
    <t>Co-CEO - Options 04/01/2025 # of unexercised exercisable options, 000s</t>
  </si>
  <si>
    <t>Co-CEO - Options 03/02/2025 exercise price, $</t>
  </si>
  <si>
    <t>Co-CEO - Options 03/02/2025 # of unexercised exercisable options, 000s</t>
  </si>
  <si>
    <t>Co-CEO - Options 02/02/2025 exercise price, $</t>
  </si>
  <si>
    <t>Co-CEO - Options 02/02/2025 # of unexercised exercisable options, 000s</t>
  </si>
  <si>
    <t>Co-CEO - Options 01/02/2025 exercise price, $</t>
  </si>
  <si>
    <t>Co-CEO - Options 01/02/2025 # of unexercised exercisable options, 000s</t>
  </si>
  <si>
    <t>Co-CEO - Options 12/01/2024 exercise price, $</t>
  </si>
  <si>
    <t>Co-CEO - Options 12/01/2024 # of unexercised exercisable options, 000s</t>
  </si>
  <si>
    <t>Co-CEO - Options 11/03/2024 exercise price, $</t>
  </si>
  <si>
    <t>Co-CEO - Options 11/03/2024 # of unexercised exercisable options, 000s</t>
  </si>
  <si>
    <t>Co-CEO - Options 10/01/2024 exercise price, $</t>
  </si>
  <si>
    <t>Co-CEO - Options 10/01/2024 # of unexercised exercisable options, 000s</t>
  </si>
  <si>
    <t>Co-CEO - Options 09/02/2024	 exercise price, $</t>
  </si>
  <si>
    <t>Co-CEO - Options 09/02/2024	 # of unexercised exercisable options, 000s</t>
  </si>
  <si>
    <t>Co-CEO - Options 08/01/2024	 exercise price, $</t>
  </si>
  <si>
    <t>Co-CEO - Options 08/01/2024 # of unexercised exercisable options, 000s</t>
  </si>
  <si>
    <t>Co-CEO - Options 07/01/2024	 exercise price, $</t>
  </si>
  <si>
    <t>Co-CEO - Options 07/01/2024 # of unexercised exercisable options, 000s</t>
  </si>
  <si>
    <t>Co-CEO - Options 06/02/2024	 exercise price, $</t>
  </si>
  <si>
    <t>Co-CEO - Options 06/02/2024 # of unexercised exercisable options, 000s</t>
  </si>
  <si>
    <t>Co-CEO - Options 05/01/2024 exercise price, $</t>
  </si>
  <si>
    <t>Co-CEO - Options 05/01/2024 # of unexercised exercisable options, 000s</t>
  </si>
  <si>
    <t>Co-CEO - Options 04/01/2024 exercise price, $</t>
  </si>
  <si>
    <t>Co-CEO - Options 04/01/2024 # of unexercised exercisable options, 000s</t>
  </si>
  <si>
    <t>Co-CEO - Options 03/03/2024 exercise price, $</t>
  </si>
  <si>
    <t>Co-CEO - Options 03/03/2024 # of unexercised exercisable options, 000s</t>
  </si>
  <si>
    <t>Co-CEO - Options 02/03/2024 exercise price, $</t>
  </si>
  <si>
    <t>Co-CEO - Options 02/03/2024 # of unexercised exercisable options, 000s</t>
  </si>
  <si>
    <t>Co-CEO - Options 01/02/2024 exercise price, $</t>
  </si>
  <si>
    <t>Co-CEO - Options 01/02/2024 # of unexercised exercisable options, 000s</t>
  </si>
  <si>
    <t>Co-CEO - Options 12/02/2023 exercise price, $</t>
  </si>
  <si>
    <t>Co-CEO - Options 12/02/2023 # of unexercised exercisable options, 000s</t>
  </si>
  <si>
    <t>Co-CEO - Options 11/01/2023 exercise price, $</t>
  </si>
  <si>
    <t>Co-CEO - Options 11/01/2023 # of unexercised exercisable options, 000s</t>
  </si>
  <si>
    <t>Co-CEO - Options 10/01/2023 exercise price, $</t>
  </si>
  <si>
    <t>Co-CEO - Options 10/01/2023 # of unexercised exercisable options, 000s</t>
  </si>
  <si>
    <t>Co-CEO - Options 09/03/2023	 exercise price, $</t>
  </si>
  <si>
    <t>Co-CEO - Options 09/03/2023	 # of unexercised exercisable options, 000s</t>
  </si>
  <si>
    <t>Co-CEO - Options 08/01/2023	 exercise price, $</t>
  </si>
  <si>
    <t>Co-CEO - Options 08/01/2023 # of unexercised exercisable options, 000s</t>
  </si>
  <si>
    <t>Co-CEO - Options 07/01/2023	 exercise price, $</t>
  </si>
  <si>
    <t>Co-CEO - Options 07/01/2023 # of unexercised exercisable options, 000s</t>
  </si>
  <si>
    <t>Co-CEO - Options 06/03/2023	 exercise price, $</t>
  </si>
  <si>
    <t>Co-CEO - Options 06/03/2023 # of unexercised exercisable options, 000s</t>
  </si>
  <si>
    <t>Co-CEO - Options 05/01/2023 exercise price, $</t>
  </si>
  <si>
    <t>Co-CEO - Options 05/01/2023 # of unexercised exercisable options, 000s</t>
  </si>
  <si>
    <t>Co-CEO - Options 04/01/2023 exercise price, $</t>
  </si>
  <si>
    <t>Co-CEO - Options 04/01/2023 # of unexercised exercisable options, 000s</t>
  </si>
  <si>
    <t>Co-CEO - Options 03/01/2023 exercise price, $</t>
  </si>
  <si>
    <t>Co-CEO - Options 03/01/2023 # of unexercised exercisable options, 000s</t>
  </si>
  <si>
    <t>Co-CEO - Options 02/01/2023 exercise price, $</t>
  </si>
  <si>
    <t>Co-CEO - Options 02/01/2023 # of unexercised exercisable options, 000s</t>
  </si>
  <si>
    <t>Co-CEO - Options 01/02/2023 exercise price, $</t>
  </si>
  <si>
    <t>Co-CEO - Options 01/02/2023 # of unexercised exercisable options, 000s</t>
  </si>
  <si>
    <t>Co-CEO - Options 12/03/2022 exercise price, $</t>
  </si>
  <si>
    <t>Co-CEO - Options 12/03/2022 # of unexercised exercisable options, 000s</t>
  </si>
  <si>
    <t>Co-CEO - Options 11/01/2022 exercise price, $</t>
  </si>
  <si>
    <t>Co-CEO - Options 11/01/2022 # of unexercised exercisable options, 000s</t>
  </si>
  <si>
    <t>Co-CEO - Options 10/01/2022 exercise price, $</t>
  </si>
  <si>
    <t>Co-CEO - Options 10/01/2022 # of unexercised exercisable options, 000s</t>
  </si>
  <si>
    <t>Co-CEO - Options 09/04/2022	 exercise price, $</t>
  </si>
  <si>
    <t>Co-CEO - Options 09/04/2022	 # of unexercised exercisable options, 000s</t>
  </si>
  <si>
    <t>Co-CEO - Options 08/01/2022	 exercise price, $</t>
  </si>
  <si>
    <t>Co-CEO - Options 08/01/2022 # of unexercised exercisable options, 000s</t>
  </si>
  <si>
    <t>Co-CEO - Options 07/02/2022	 exercise price, $</t>
  </si>
  <si>
    <t>Co-CEO - Options 07/02/2022 # of unexercised exercisable options, 000s</t>
  </si>
  <si>
    <t>Co-CEO - Options 06/01/2022	 exercise price, $</t>
  </si>
  <si>
    <t>Co-CEO - Options 06/01/2022 # of unexercised exercisable options, 000s</t>
  </si>
  <si>
    <t>Co-CEO - Options 05/01/2022 exercise price, $</t>
  </si>
  <si>
    <t>Co-CEO - Options 05/01/2022 # of unexercised exercisable options, 000s</t>
  </si>
  <si>
    <t>Co-CEO - Options 04/02/2022 exercise price, $</t>
  </si>
  <si>
    <t>Co-CEO - Options 04/02/2022 # of unexercised exercisable options, 000s</t>
  </si>
  <si>
    <t>Co-CEO - Options 03/01/2022 exercise price, $</t>
  </si>
  <si>
    <t>Co-CEO - Options 03/01/2022 # of unexercised exercisable options, 000s</t>
  </si>
  <si>
    <t>Co-CEO - comp tied to equity, %</t>
  </si>
  <si>
    <t>Co-CEO - Total Comp, 000s</t>
  </si>
  <si>
    <t>Co-CEO - All other compensation, 000s</t>
  </si>
  <si>
    <t>Co-CEO - Option Awards, 000s</t>
  </si>
  <si>
    <t>Co-CEO - Base Pay, 000s</t>
  </si>
  <si>
    <t>Executive Compensation</t>
  </si>
  <si>
    <t>Q2-2024</t>
  </si>
  <si>
    <t>Co-CEO - Non-Equity Incentive Plan, 000s</t>
  </si>
  <si>
    <t>Co-CEO &amp; CCO - Options 01/03/2033 # of unexercised exercisable options, 000s</t>
  </si>
  <si>
    <t>Co-CEO &amp; CCO - Options 01/03/2033 exercise price, $</t>
  </si>
  <si>
    <t>Co-CEO - Options 02/01/2033 # of unexercised unexercisable options, 000s</t>
  </si>
  <si>
    <t>Co-CEO - Options 02/01/2033 exercise price, $</t>
  </si>
  <si>
    <t>Co-CEO - Options 01/03/2033 # of unexercised exercisable options, 000s</t>
  </si>
  <si>
    <t>Co-CEO - Options 01/03/2033 exercise price, $</t>
  </si>
  <si>
    <t>Co-CEO - Options 03/01/2033 # of unexercised unexercisable options, 000s</t>
  </si>
  <si>
    <t>Co-CEO - Options 03/01/2033 exercise price, $</t>
  </si>
  <si>
    <t>Co-CEO - Options 04/03/2033 # of unexercised unexercisable options, 000s</t>
  </si>
  <si>
    <t>Co-CEO - Options 04/03/2033 exercise price, $</t>
  </si>
  <si>
    <t>Co-CEO - Options 05/01/2033 # of unexercised unexercisable options, 000s</t>
  </si>
  <si>
    <t>Co-CEO - Options 05/01/2033 exercise price, $</t>
  </si>
  <si>
    <t>Co-CEO - Options 06/01/2033 # of unexercised unexercisable options, 000s</t>
  </si>
  <si>
    <t>Co-CEO - Options 06/01/2033 exercise price, $</t>
  </si>
  <si>
    <t>Co-CEO - Options 07/03/2033 # of unexercised unexercisable options, 000s</t>
  </si>
  <si>
    <t>Co-CEO - Options 07/03/2033 exercise price, $</t>
  </si>
  <si>
    <t>Co-CEO - Options 08/01/2033 # of unexercised unexercisable options, 000s</t>
  </si>
  <si>
    <t>Co-CEO - Options 08/01/2033 exercise price, $</t>
  </si>
  <si>
    <t>Co-CEO - Options 09/01/2033 # of unexercised unexercisable options, 000s</t>
  </si>
  <si>
    <t>Co-CEO - Options 09/01/2033 exercise price, $</t>
  </si>
  <si>
    <t>Co-CEO - Options 10/02/2033 # of unexercised unexercisable options, 000s</t>
  </si>
  <si>
    <t>Co-CEO - Options 10/02/2033 exercise price, $</t>
  </si>
  <si>
    <t>Co-CEO - Options 11/01/2033 # of unexercised unexercisable options, 000s</t>
  </si>
  <si>
    <t>Co-CEO - Options 11/01/2033 exercise price, $</t>
  </si>
  <si>
    <t>Co-CEO - Options 12/01/2033 # of unexercised unexercisable options, 000s</t>
  </si>
  <si>
    <t>Co-CEO - Options 12/01/2033 exercise price, $</t>
  </si>
  <si>
    <t>CFO - Options 01/03/2033 # of unexercised exercisable options, 000s</t>
  </si>
  <si>
    <t>CFO - Options 01/03/2033 exercise price, $</t>
  </si>
  <si>
    <t>CFO - Options 02/01/2033 # of unexercised exercisable options, 000s</t>
  </si>
  <si>
    <t>CFO - Options 02/01/2033 exercise price, $</t>
  </si>
  <si>
    <t>CFO - Options 03/01/2033 # of unexercised exercisable options, 000s</t>
  </si>
  <si>
    <t>CFO - Options 03/01/2033 exercise price, $</t>
  </si>
  <si>
    <t>CFO - Options 04/03/2033 # of unexercised exercisable options, 000s</t>
  </si>
  <si>
    <t>CFO - Options 04/03/2033 exercise price, $</t>
  </si>
  <si>
    <t>CFO - Options 05/01/2033 # of unexercised exercisable options, 000s</t>
  </si>
  <si>
    <t>CFO - Options 05/01/2033 exercise price, $</t>
  </si>
  <si>
    <t>CFO - Options 06/01/2033 # of unexercised exercisable options, 000s</t>
  </si>
  <si>
    <t>CFO - Options 06/01/2033 exercise price, $</t>
  </si>
  <si>
    <t>CFO - Options 07/03/2033 # of unexercised exercisable options, 000s</t>
  </si>
  <si>
    <t>CFO - Options 07/03/2033 exercise price, $</t>
  </si>
  <si>
    <t>CFO - Options 08/01/2033 # of unexercised exercisable options, 000s</t>
  </si>
  <si>
    <t>CFO - Options 08/01/2033 exercise price, $</t>
  </si>
  <si>
    <t>CFO - Options 09/01/2033 # of unexercised exercisable options, 000s</t>
  </si>
  <si>
    <t>CFO - Options 09/01/2033 exercise price, $</t>
  </si>
  <si>
    <t>CFO - Options 10/02/2033 # of unexercised exercisable options, 000s</t>
  </si>
  <si>
    <t>CFO - Options 10/02/2033 exercise price, $</t>
  </si>
  <si>
    <t>CFO - Options 11/01/2033 # of unexercised exercisable options, 000s</t>
  </si>
  <si>
    <t>CFO - Options 11/01/2033 exercise price, $</t>
  </si>
  <si>
    <t>CFO - Options 12/01/2033 # of unexercised exercisable options, 000s</t>
  </si>
  <si>
    <t>CFO - Options 12/01/2033 exercise price, $</t>
  </si>
  <si>
    <t>CLO - Options 01/03/2033 # of unexercised exercisable options, 000s</t>
  </si>
  <si>
    <t>CLO - Options 01/03/2033 exercise price, $</t>
  </si>
  <si>
    <t>CLO - Options 02/01/2033 # of unexercised exercisable options, 000s</t>
  </si>
  <si>
    <t>CLO - Options 02/01/2033 exercise price, $</t>
  </si>
  <si>
    <t>CLO - Options 03/01/2033 # of unexercised exercisable options, 000s</t>
  </si>
  <si>
    <t>CLO - Options 03/01/2033 exercise price, $</t>
  </si>
  <si>
    <t>CLO - Options 04/03/2033 # of unexercised exercisable options, 000s</t>
  </si>
  <si>
    <t>CLO - Options 04/03/2033 exercise price, $</t>
  </si>
  <si>
    <t>CLO - Options 05/01/2033 # of unexercised exercisable options, 000s</t>
  </si>
  <si>
    <t>CLO - Options 05/01/2033 exercise price, $</t>
  </si>
  <si>
    <t>CLO - Options 06/01/2033 # of unexercised exercisable options, 000s</t>
  </si>
  <si>
    <t>CLO - Options 06/01/2033 exercise price, $</t>
  </si>
  <si>
    <t>CLO - Options 07/03/2033 # of unexercised exercisable options, 000s</t>
  </si>
  <si>
    <t>CLO - Options 07/03/2033 exercise price, $</t>
  </si>
  <si>
    <t>CLO - Options 08/01/2033 # of unexercised exercisable options, 000s</t>
  </si>
  <si>
    <t>CLO - Options 08/01/2033 exercise price, $</t>
  </si>
  <si>
    <t>CLO - Options 09/01/2033 # of unexercised exercisable options, 000s</t>
  </si>
  <si>
    <t>CLO - Options 09/01/2033 exercise price, $</t>
  </si>
  <si>
    <t>CLO - Options 10/02/2033 # of unexercised exercisable options, 000s</t>
  </si>
  <si>
    <t>CLO - Options 10/02/2033 exercise price, $</t>
  </si>
  <si>
    <t>CLO - Options 11/01/2033 # of unexercised exercisable options, 000s</t>
  </si>
  <si>
    <t>CLO - Options 11/01/2033 exercise price, $</t>
  </si>
  <si>
    <t>CLO - Options 12/01/2033 # of unexercised exercisable options, 000s</t>
  </si>
  <si>
    <t>CLO - Options 12/01/2033 exercise price, $</t>
  </si>
  <si>
    <t>CCMO - Options 04/03/2032 # of unexercised exercisable options, 000s</t>
  </si>
  <si>
    <t>CCMO - Options 04/03/2032 exercise price, $</t>
  </si>
  <si>
    <t>CCMO - Options 05/01/2032 # of unexercised exercisable options, 000s</t>
  </si>
  <si>
    <t>CCMO - Options 05/01/2032 exercise price, $</t>
  </si>
  <si>
    <t>CCMO - Options 06/01/2032 exercise price, $</t>
  </si>
  <si>
    <t>CCMO - Options 07/03/2032 # of unexercised exercisable options, 000s</t>
  </si>
  <si>
    <t>CCMO - Options 07/03/2032 exercise price, $</t>
  </si>
  <si>
    <t>CCMO - Options 08/01/2032 exercise price, $</t>
  </si>
  <si>
    <t>CCMO - Options 09/01/2032 # of unexercised exercisable options, 000s</t>
  </si>
  <si>
    <t>CCMO - Options 09/01/2032 exercise price, $</t>
  </si>
  <si>
    <t>CCMO - Options 10/02/2032 # of unexercised exercisable options, 000s</t>
  </si>
  <si>
    <t>CCMO - Options 10/02/2032 exercise price, $</t>
  </si>
  <si>
    <t>CTO - Base Pay, 000s</t>
  </si>
  <si>
    <t>CTO - Option Awards, 000s</t>
  </si>
  <si>
    <t>CTO - All other compensation, 000s</t>
  </si>
  <si>
    <t>CTO (Chief Talent Officer) - Total Comp, 000s</t>
  </si>
  <si>
    <t>CTO- comp tied to equity, %</t>
  </si>
  <si>
    <t>CTO - Options 10/01/2031 # of unexercised exercisable options, 000s</t>
  </si>
  <si>
    <t>CTO - Options 10/01/2031 exercise price, $</t>
  </si>
  <si>
    <t>CTO - Options 11/01/2031 # of unexercised exercisable options, 000s</t>
  </si>
  <si>
    <t>CTO - Options 11/01/2031 exercise price, $</t>
  </si>
  <si>
    <t>CTO - Options 12/01/2031 # of unexercised exercisable options, 000s</t>
  </si>
  <si>
    <t>CTO - Options 12/01/2031 exercise price, $</t>
  </si>
  <si>
    <t>CTO - Options 01/03/2032 # of unexercised exercisable options, 000s</t>
  </si>
  <si>
    <t>CTO - Options 01/03/2032 exercise price, $</t>
  </si>
  <si>
    <t>CTO - Options 02/01/2032 # of unexercised exercisable options, 000s</t>
  </si>
  <si>
    <t>CTO - Options 02/01/2032 exercise price, $</t>
  </si>
  <si>
    <t>CTO - Options 07/03/2033 # of unexercised exercisable options, 000s</t>
  </si>
  <si>
    <t>CTO - Options 07/03/2033 exercise price, $</t>
  </si>
  <si>
    <t>CTO - Options 08/01/2033 # of unexercised exercisable options, 000s</t>
  </si>
  <si>
    <t>CTO - Options 08/01/2033 exercise price, $</t>
  </si>
  <si>
    <t>CTO - Options 09/01/2033 # of unexercised exercisable options, 000s</t>
  </si>
  <si>
    <t>CTO - Options 09/01/2033 exercise price, $</t>
  </si>
  <si>
    <t>CTO - Options 10/02/2033 # of unexercised exercisable options, 000s</t>
  </si>
  <si>
    <t>CTO - Options 10/02/2033 exercise price, $</t>
  </si>
  <si>
    <t>CTO - Options 11/01/2033 # of unexercised exercisable options, 000s</t>
  </si>
  <si>
    <t>CTO - Options 11/01/2033 exercise price, $</t>
  </si>
  <si>
    <t>CTO - Options 12/01/2033 # of unexercised exercisable options, 000s</t>
  </si>
  <si>
    <t>CTO - Options 12/01/2033 exercise price, $</t>
  </si>
  <si>
    <t>Co-CEO &amp; CCO - Options 02/01/2033 # of unexercised unexercisable options, 000s</t>
  </si>
  <si>
    <t>Co-CEO &amp; CCO - Options 02/01/2033 exercise price, $</t>
  </si>
  <si>
    <t>Co-CEO &amp; CCO - Options 03/01/2033 # of unexercised unexercisable options, 000s</t>
  </si>
  <si>
    <t>Co-CEO &amp; CCO - Options 03/01/2033 exercise price, $</t>
  </si>
  <si>
    <t>Co-CEO &amp; CCO - Options 04/03/2033 # of unexercised unexercisable options, 000s</t>
  </si>
  <si>
    <t>Co-CEO &amp; CCO - Options 04/03/2033 exercise price, $</t>
  </si>
  <si>
    <t>Co-CEO &amp; CCO - Options 05/01/2033 # of unexercised unexercisable options, 000s</t>
  </si>
  <si>
    <t>Co-CEO &amp; CCO - Options 05/01/2033 exercise price, $</t>
  </si>
  <si>
    <t>Co-CEO &amp; CCO - Options 06/01/2033 # of unexercised unexercisable options, 000s</t>
  </si>
  <si>
    <t>Co-CEO &amp; CCO - Options 06/01/2033 exercise price, $</t>
  </si>
  <si>
    <t>Co-CEO &amp; CCO - Options 07/03/2033 # of unexercised unexercisable options, 000s</t>
  </si>
  <si>
    <t>Co-CEO &amp; CCO - Options 07/03/2033 exercise price, $</t>
  </si>
  <si>
    <t>Co-CEO &amp; CCO - Options 09/01/2033 # of unexercised unexercisable options, 000s</t>
  </si>
  <si>
    <t>Co-CEO &amp; CCO - Options 09/01/2033 exercise price, $</t>
  </si>
  <si>
    <t>Co-CEO &amp; CCO - Options 10/02/2033 # of unexercised unexercisable options, 000s</t>
  </si>
  <si>
    <t>Co-CEO &amp; CCO - Options 10/02/2033 exercise price, $</t>
  </si>
  <si>
    <t>Co-CEO &amp; CCO - Options 11/01/2033 # of unexercised unexercisable options, 000s</t>
  </si>
  <si>
    <t>Co-CEO &amp; CCO - Options 11/01/2033 exercise price, $</t>
  </si>
  <si>
    <t>Co-CEO &amp; CCO - Options 12/01/2033 # of unexercised unexercisable options, 000s</t>
  </si>
  <si>
    <t>Co-CEO &amp; CCO - Options 12/01/2033 exercise price, $</t>
  </si>
  <si>
    <t>Co-CEO &amp; CCO - Options 08/01/2033 # of unexercised unexercisable options, 000s</t>
  </si>
  <si>
    <t>Co-CEO &amp; CCO - Options 08/01/2033 exercise price, $</t>
  </si>
  <si>
    <t>CTO - EoP shares beneficially owned, 000s</t>
  </si>
  <si>
    <t>Co-CEO &amp; CCO - Non-Equity Incentive Plan, 000s</t>
  </si>
  <si>
    <t>Month 1 Repurchase, 000s of shares</t>
  </si>
  <si>
    <t>Month 2 Repurchase, 000s of shares</t>
  </si>
  <si>
    <t>Month 3 Repurchase, 000s of shares</t>
  </si>
  <si>
    <t>Total Repurchase During the Period, 000s of shares</t>
  </si>
  <si>
    <t>Month 1 Remaining Dollar Value Under Repurchase Program, mm</t>
  </si>
  <si>
    <t>Month 2 Remaining Dollar Value Under Repurchase Program, mm</t>
  </si>
  <si>
    <t>Month 3 Remaining Dollar Value Under Repurchase Program, mm</t>
  </si>
  <si>
    <t>Remaining Dollar Value Under Repurchase Program, mm</t>
  </si>
  <si>
    <t>Key Metrics - Foreign Currency Adjusted Metrics (PR)</t>
  </si>
  <si>
    <t>Cumulative revenue, mm</t>
  </si>
  <si>
    <t>FX Impact on cumulative revenue, mm</t>
  </si>
  <si>
    <t>Fx Adjusted cumulative revenue, mm</t>
  </si>
  <si>
    <t>Cumulative operating expenses, mm</t>
  </si>
  <si>
    <t>FX Impact on cumulative operating expenses, mm</t>
  </si>
  <si>
    <t>Fx Adjusted cumulative operating expenses, mm</t>
  </si>
  <si>
    <t>Fx Adjusted cumulative operating profit, mm</t>
  </si>
  <si>
    <t>Cumulative restructuring charges, mm</t>
  </si>
  <si>
    <t>Fx Adjusted cumulative operating profit excluding restructuring, mm</t>
  </si>
  <si>
    <t>Fx Adjusted cumulative operating profit excluding restructuring margin, %</t>
  </si>
  <si>
    <t>Q3-2024</t>
  </si>
  <si>
    <t>EoP Total Global Paid Streaming Memberships, 000s</t>
  </si>
  <si>
    <t>EoP Unvested RSUs, mm shares</t>
  </si>
  <si>
    <t>EoP Unvested RSU Price, $/share</t>
  </si>
  <si>
    <t>*Margin adds up to 100%</t>
  </si>
  <si>
    <t>EBIT on RIS = EBIT on OPEX Forecast</t>
  </si>
  <si>
    <t>Profitability Ratios</t>
  </si>
  <si>
    <t>Balance Sheet Ratios</t>
  </si>
  <si>
    <t>Q4-2024</t>
  </si>
  <si>
    <t>FY2025</t>
  </si>
  <si>
    <t>4.900% Senior Note - debt outstanding</t>
  </si>
  <si>
    <t>4.900% Senior Note - interest expense</t>
  </si>
  <si>
    <t>4.900% Senior Note - cash interest paid</t>
  </si>
  <si>
    <t>4.900% Senior Note - net repayment</t>
  </si>
  <si>
    <t>5.400% Senior Note - debt outstanding</t>
  </si>
  <si>
    <t>5.400% Senior Note - net repayment</t>
  </si>
  <si>
    <t>5.400% Senior Note - interest expense</t>
  </si>
  <si>
    <t>5.400% Senior Note - cash interest paid</t>
  </si>
  <si>
    <t>Q1-2025</t>
  </si>
  <si>
    <t>Q2-2025</t>
  </si>
  <si>
    <t>Marketing Change Other expenses, mm</t>
  </si>
  <si>
    <t>Other Investing activities</t>
  </si>
  <si>
    <t>Q3-2025</t>
  </si>
  <si>
    <t>Company2794 hedging (gains) losses included in revenue, mm</t>
  </si>
  <si>
    <t>EMEA hedging (gains) losses included in revenue, mm</t>
  </si>
  <si>
    <t>LATAM hedging (gains) losses included in revenue, mm</t>
  </si>
  <si>
    <t>APAC hedging (gains) losses included in revenue, mm</t>
  </si>
  <si>
    <t>Prior Period Company2794 as reported revenue, mm</t>
  </si>
  <si>
    <t>Hedging (gains) losses included in revenue, mm</t>
  </si>
  <si>
    <t>Company2794 as reported revenues, mm</t>
  </si>
  <si>
    <t>EMEA as reported revenues, mm</t>
  </si>
  <si>
    <t>Prior Period EMEA as reported revenue, mm</t>
  </si>
  <si>
    <t>LATAM as reported revenues, mm</t>
  </si>
  <si>
    <t>Prior Period LATAM as reported revenue, mm</t>
  </si>
  <si>
    <t>APAC as reported revenues, mm</t>
  </si>
  <si>
    <t>Prior Period APAC as reported revenue, mm</t>
  </si>
  <si>
    <t>Prior Period Total as reported revenue, mm</t>
  </si>
  <si>
    <t>Total hedging (gains) losses included in revenue, mm</t>
  </si>
  <si>
    <t>Total as reported revenues, mm</t>
  </si>
  <si>
    <t>Prior Period Company2794 constant currency revenues, mm</t>
  </si>
  <si>
    <t>Company2794 constant currency revenue growth, mm</t>
  </si>
  <si>
    <t>Current Period Company2794 constant currency revenues, mm</t>
  </si>
  <si>
    <t>Company2794 as reported revenues growth, %</t>
  </si>
  <si>
    <t>Company2794 constant currency revenues growth, %</t>
  </si>
  <si>
    <t>Prior Period EMEA constant currency revenues, mm</t>
  </si>
  <si>
    <t>EMEA constant currency revenue growth, mm</t>
  </si>
  <si>
    <t>Current Period EMEA constant currency revenues, mm</t>
  </si>
  <si>
    <t>EMEA as reported revenues growth, %</t>
  </si>
  <si>
    <t>EMEA constant currency revenues growth, %</t>
  </si>
  <si>
    <t>Prior Period LATAM constant currency revenues, mm</t>
  </si>
  <si>
    <t>LATAM constant currency revenue growth, mm</t>
  </si>
  <si>
    <t>Current Period LATAM constant currency revenues, mm</t>
  </si>
  <si>
    <t>LATAM as reported revenues growth, %</t>
  </si>
  <si>
    <t>LATAM constant currency revenues growth, %</t>
  </si>
  <si>
    <t>Prior Period APAC constant currency revenues, mm</t>
  </si>
  <si>
    <t>APAC constant currency revenue growth, mm</t>
  </si>
  <si>
    <t>Current Period APAC constant currency revenues, mm</t>
  </si>
  <si>
    <t>APAC as reported revenues growth, %</t>
  </si>
  <si>
    <t>APAC constant currency revenues growth, %</t>
  </si>
  <si>
    <t>Prior Period Total constant currency revenues, mm</t>
  </si>
  <si>
    <t>Total constant currency revenue growth, mm</t>
  </si>
  <si>
    <t>Current Period Total constant currency revenues, mm</t>
  </si>
  <si>
    <t>Total as reported revenues growth, %</t>
  </si>
  <si>
    <t>Total constant currency revenues growth, %</t>
  </si>
  <si>
    <t>Company2794 constant currency adjustment, mm</t>
  </si>
  <si>
    <t>EMEA constant currency adjustment, mm</t>
  </si>
  <si>
    <t>LATAM constant currency adjustment, mm</t>
  </si>
  <si>
    <t>APAC constant currency adjustment, mm</t>
  </si>
  <si>
    <t>Total constant currency adjustment, mm</t>
  </si>
  <si>
    <t>Low - Net Revenue, mm</t>
  </si>
  <si>
    <t>High - Net Revenue, mm</t>
  </si>
  <si>
    <t>Mid - Net Revenue, mm</t>
  </si>
  <si>
    <t>Low - Y/Y Total revenue growth, %</t>
  </si>
  <si>
    <t>High - Y/Y Total revenue growth, %</t>
  </si>
  <si>
    <t>Mid - Y/Y Total revenue growth, %</t>
  </si>
  <si>
    <t>Low - EBIT, mm</t>
  </si>
  <si>
    <t>High - EBIT, mm</t>
  </si>
  <si>
    <t>Mid - EBIT, mm</t>
  </si>
  <si>
    <t>Low - EBIT Margin, %</t>
  </si>
  <si>
    <t>High - EBIT Margin, %</t>
  </si>
  <si>
    <t>Mid - EBIT Margin, %</t>
  </si>
  <si>
    <t>Guidance Analysis Section</t>
  </si>
  <si>
    <t>EBIT - Guidance Analysis</t>
  </si>
  <si>
    <t>EBIT guidance - initial midpoint, mm</t>
  </si>
  <si>
    <t>EBIT guidance - update 1 midpoint, mm</t>
  </si>
  <si>
    <t>EBIT guidance - update 2 midpoint, mm</t>
  </si>
  <si>
    <t>EBIT guidance - update 3 midpoint, mm</t>
  </si>
  <si>
    <t>EBIT guidance - most recent midpoint, mm</t>
  </si>
  <si>
    <t>EBIT - reported/model estimate, mm</t>
  </si>
  <si>
    <t>EBIT beat/(miss) vs. most recent guidance - midpoint, mm</t>
  </si>
  <si>
    <t>Relative EBIT beat/(miss) vs. most recent guidance - midpoint, %</t>
  </si>
  <si>
    <t>Forward guidance - report date, date</t>
  </si>
  <si>
    <t>Forward quarterly guidance - applicable period, period</t>
  </si>
  <si>
    <t>Forward quarterly EBIT guidance - low, mm</t>
  </si>
  <si>
    <t>Forward quarterly EBIT guidance - high, mm</t>
  </si>
  <si>
    <t>Forward quarterly EBIT guidance - midpoint, mm</t>
  </si>
  <si>
    <t>Forward quarterly EBIT guidance variance, mm</t>
  </si>
  <si>
    <t>Forward quarterly EBIT guidance variance (+/-), %</t>
  </si>
  <si>
    <t>Forward annual guidance - applicable period, period</t>
  </si>
  <si>
    <t>Forward annual EBIT guidance - low, mm</t>
  </si>
  <si>
    <t>Forward annual EBIT guidance - high, mm</t>
  </si>
  <si>
    <t>Forward annual EBIT guidance - midpoint, mm</t>
  </si>
  <si>
    <t>Forward annual EBIT guidance variance, mm</t>
  </si>
  <si>
    <t>Forward annual EBIT guidance variance (+/-), %</t>
  </si>
  <si>
    <t>Y/Y Implied annual guidance EBIT growth, %</t>
  </si>
  <si>
    <t>Y/Y annual guidance beat/(miss) EBIT growth, %</t>
  </si>
  <si>
    <t>Y/Y annual EBIT growth, %</t>
  </si>
  <si>
    <t>EBIT Margin guidance - initial midpoint, %</t>
  </si>
  <si>
    <t>EBIT Margin guidance - update 1 midpoint, %</t>
  </si>
  <si>
    <t>EBIT Margin guidance - update 2 midpoint, %</t>
  </si>
  <si>
    <t>EBIT Margin guidance - update 3 midpoint, %</t>
  </si>
  <si>
    <t>EBIT Margin guidance - most recent midpoint, %</t>
  </si>
  <si>
    <t>EBIT Margin - reported/model estimate, %</t>
  </si>
  <si>
    <t>Relative EBIT margin beat/(miss) vs. most recent guidance - midpoint, bps</t>
  </si>
  <si>
    <t>Forward quarterly EBIT margin guidance - low, %</t>
  </si>
  <si>
    <t>Forward quarterly EBIT margin guidance - high, %</t>
  </si>
  <si>
    <t>Forward quarterly EBIT margin guidance - midpoint, %</t>
  </si>
  <si>
    <t>Forward quarterly EBIT margin guidance variance (+/-), bps</t>
  </si>
  <si>
    <t>Forward quarterly guided Q/Q EBIT margin improvement - low, bps</t>
  </si>
  <si>
    <t>Forward quarterly guided Q/Q EBIT margin improvement - high, bps</t>
  </si>
  <si>
    <t>Forward quarterly guided Q/Q EBIT margin improvement - midpoint, bps</t>
  </si>
  <si>
    <t>Forward quarterly guided Y/Y EBIT margin improvement - low, bps</t>
  </si>
  <si>
    <t>Forward quarterly guided Y/Y EBIT margin improvement - high, bps</t>
  </si>
  <si>
    <t>Forward quarterly guided Y/Y EBIT margin improvement - midpoint, bps</t>
  </si>
  <si>
    <t>Forward annual EBIT margin guidance - low, %</t>
  </si>
  <si>
    <t>Forward annual EBIT margin guidance - high, %</t>
  </si>
  <si>
    <t>Forward annual EBIT margin guidance - midpoint, %</t>
  </si>
  <si>
    <t>Forward annual EBIT margin guidance variance (+/-), bps</t>
  </si>
  <si>
    <t>Forward annual guided Y/Y EBIT margin improvement - low, bps</t>
  </si>
  <si>
    <t>Forward annual guided Y/Y EBIT margin improvement - high, bps</t>
  </si>
  <si>
    <t>Forward annual guided Y/Y EBIT margin improvement - midpoint, bps</t>
  </si>
  <si>
    <t>Y/Y guided EBIT growth, %</t>
  </si>
  <si>
    <t>Y/Y beat/(miss) EBIT growth, %</t>
  </si>
  <si>
    <t>Y/Y EBIT growth, %</t>
  </si>
  <si>
    <t>Q/Q guided EBIT growth, %</t>
  </si>
  <si>
    <t>Q/Q beat/(miss) EBIT growth, %</t>
  </si>
  <si>
    <t>Q/Q EBIT growth, %</t>
  </si>
  <si>
    <t>Forward quarterly guided Y/Y EBIT growth - low, %</t>
  </si>
  <si>
    <t>Forward quarterly guided Y/Y EBIT growth - high, %</t>
  </si>
  <si>
    <t>Forward quarterly guided Y/Y EBIT growth - midpoint, %</t>
  </si>
  <si>
    <t>Forward quarterly guided Q/Q EBIT growth - low, %</t>
  </si>
  <si>
    <t>Forward quarterly guided Q/Q EBIT growth - high, %</t>
  </si>
  <si>
    <t>Forward quarterly guided Q/Q EBIT growth - midpoint, %</t>
  </si>
  <si>
    <t>Forward annual guided Y/Y EBIT growth - low, %</t>
  </si>
  <si>
    <t>Forward annual guided Y/Y EBIT growth - high, %</t>
  </si>
  <si>
    <t>Forward annual guided Y/Y EBIT growth - midpoint, %</t>
  </si>
  <si>
    <t>Revenue - Guidance Analysis</t>
  </si>
  <si>
    <t>Revenue guidance - initial midpoint, mm</t>
  </si>
  <si>
    <t>Revenue guidance - update 1 midpoint, mm</t>
  </si>
  <si>
    <t>Revenue guidance - update 2 midpoint, mm</t>
  </si>
  <si>
    <t>Revenue guidance - update 3 midpoint, mm</t>
  </si>
  <si>
    <t>Revenue guidance - most recent midpoint, mm</t>
  </si>
  <si>
    <t>Revenue - reported/model estimate, mm</t>
  </si>
  <si>
    <t>Revenue beat/(miss) vs. most recent guidance - midpoint, mm</t>
  </si>
  <si>
    <t>Relative revenue beat/(miss) vs. most recent guidance - midpoint, %</t>
  </si>
  <si>
    <t>Forward quarterly revenue guidance - low, mm</t>
  </si>
  <si>
    <t>Forward quarterly revenue guidance - high, mm</t>
  </si>
  <si>
    <t>Forward quarterly revenue guidance - midpoint, mm</t>
  </si>
  <si>
    <t>Forward quarterly revenue guidance variance, mm</t>
  </si>
  <si>
    <t>Forward quarterly revenue guidance variance (+/-), %</t>
  </si>
  <si>
    <t>Forward annual revenue guidance - low, mm</t>
  </si>
  <si>
    <t>Forward annual revenue guidance - high, mm</t>
  </si>
  <si>
    <t>Forward annual revenue guidance - midpoint, mm</t>
  </si>
  <si>
    <t>Forward annual revenue guidance variance, mm</t>
  </si>
  <si>
    <t>Forward annual revenue guidance variance (+/-), %</t>
  </si>
  <si>
    <t>Y/Y guided revenue growth, %</t>
  </si>
  <si>
    <t>Y/Y beat/(miss) revenue growth, %</t>
  </si>
  <si>
    <t>Y/Y revenue growth, %</t>
  </si>
  <si>
    <t>Q/Q guided revenue growth, %</t>
  </si>
  <si>
    <t>Q/Q beat/(miss) revenue growth, %</t>
  </si>
  <si>
    <t>Q/Q revenue growth, %</t>
  </si>
  <si>
    <t>Y/Y Implied annual guidance revenue growth, %</t>
  </si>
  <si>
    <t>Y/Y annual guidance beat/(miss) revenue growth, %</t>
  </si>
  <si>
    <t>Y/Y annual revenue growth, %</t>
  </si>
  <si>
    <t>Forward quarterly guided Y/Y revenue growth - low, %</t>
  </si>
  <si>
    <t>Forward quarterly guided Y/Y revenue growth - high, %</t>
  </si>
  <si>
    <t>Forward quarterly guided Y/Y revenue growth - midpoint, %</t>
  </si>
  <si>
    <t>Forward quarterly guided Q/Q revenue growth - low, %</t>
  </si>
  <si>
    <t>Forward quarterly guided Q/Q revenue growth - high, %</t>
  </si>
  <si>
    <t>Forward quarterly guided Q/Q revenue growth - midpoint, %</t>
  </si>
  <si>
    <t>Forward annual guided Y/Y revenue growth - low, %</t>
  </si>
  <si>
    <t>Forward annual guided Y/Y revenue growth - high, %</t>
  </si>
  <si>
    <t>Forward annual guided Y/Y revenue growth - midpoint, %</t>
  </si>
  <si>
    <t>Quarterly revenue guidance beat/(miss), mm</t>
  </si>
  <si>
    <t>Increase/(decrease) in revenue outlook for ROY, mm</t>
  </si>
  <si>
    <t>Total FY revenue guidance raise/(lower), mm</t>
  </si>
  <si>
    <t>Sequential increase/(decrease) in forward FY revenue guidance, %</t>
  </si>
  <si>
    <t>Implied rest of year revenue at BoP, mm</t>
  </si>
  <si>
    <t>Implied rest of year revenue at EoP, mm</t>
  </si>
  <si>
    <t>Change in implied ROY revenue, %</t>
  </si>
  <si>
    <t>Prior Period Company2794 hedging (gains) losses included in revenue, mm</t>
  </si>
  <si>
    <t>Prior Period EMEA hedging (gains) losses included in revenue, mm</t>
  </si>
  <si>
    <t>Prior Period LATAM hedging (gains) losses included in revenue, mm</t>
  </si>
  <si>
    <t>Prior Period APAC hedging (gains) losses included in revenue, mm</t>
  </si>
  <si>
    <t>Prior Period Hedging (gains) losses included in revenue, mm</t>
  </si>
  <si>
    <t>Q4-2025</t>
  </si>
  <si>
    <t>Q1-2026</t>
  </si>
  <si>
    <t>FY2026</t>
  </si>
  <si>
    <t>Co-CEO - Stock Awards, 000s</t>
  </si>
  <si>
    <t>Co-CEO - Options 02/01/2033 # of unexercised exercisable options, 000s</t>
  </si>
  <si>
    <t>Co-CEO - Options 03/01/2033 # of unexercised exercisable options, 000s</t>
  </si>
  <si>
    <t>Co-CEO - Options 04/03/2033 # of unexercised exercisable options, 000s</t>
  </si>
  <si>
    <t>Co-CEO - Options 05/01/2033 # of unexercised exercisable options, 000s</t>
  </si>
  <si>
    <t>Co-CEO - Options 06/01/2033 # of unexercised exercisable options, 000s</t>
  </si>
  <si>
    <t>Co-CEO - Options 07/03/2033 # of unexercised exercisable options, 000s</t>
  </si>
  <si>
    <t>Co-CEO - Options 08/01/2033 # of unexercised exercisable options, 000s</t>
  </si>
  <si>
    <t>Co-CEO - Options 09/01/2033 # of unexercised exercisable options, 000s</t>
  </si>
  <si>
    <t>Co-CEO - Options 10/02/2033 # of unexercised exercisable options, 000s</t>
  </si>
  <si>
    <t>Co-CEO - Options 11/01/2033 # of unexercised exercisable options, 000s</t>
  </si>
  <si>
    <t>Co-CEO - Options 12/01/2033 # of unexercised exercisable options, 000s</t>
  </si>
  <si>
    <t>Co-CEO - Options 01/02/2034 # of unexercised unexercisable options, 000s</t>
  </si>
  <si>
    <t>Co-CEO - Options 01/02/2034 exercise price, $</t>
  </si>
  <si>
    <t>Co-CEO &amp; CCO - Stock Awards, 000s</t>
  </si>
  <si>
    <t>Co-CEOs - Stock Ownership Guidelines times base salary</t>
  </si>
  <si>
    <t>Other executive officers reporting to CEO - Stock Ownership Guidelines time base salary</t>
  </si>
  <si>
    <t>Company Financial Goals</t>
  </si>
  <si>
    <t>F/X Neutral Revenue Target, bn</t>
  </si>
  <si>
    <t>F/X Neutral Revenue actual, bn</t>
  </si>
  <si>
    <t>F/X Neutral Revenue payout, %</t>
  </si>
  <si>
    <t>F/X Neutral Operating Margin Target, %</t>
  </si>
  <si>
    <t>F/X Neutral Operating Margin actual, %</t>
  </si>
  <si>
    <t>F/X Neutral Operating Margin payout, %</t>
  </si>
  <si>
    <t>Relative Total Shareholder Return (rTSR) PSU Target, %</t>
  </si>
  <si>
    <t>Relative Total Shareholder Return (rTSR) PSU actual, %</t>
  </si>
  <si>
    <t>Relative Total Shareholder Return (rTSR) PSU payout, %</t>
  </si>
  <si>
    <t>Other Alignment Data Points</t>
  </si>
  <si>
    <t>Co-CEO &amp; CCO - Options 02/01/2033 # of unexercised exercisable options, 000s</t>
  </si>
  <si>
    <t>Co-CEO &amp; CCO - Options 03/01/2033 # of unexercised exercisable options, 000s</t>
  </si>
  <si>
    <t>Co-CEO &amp; CCO - Options 04/03/2033 # of unexercised exercisable options, 000s</t>
  </si>
  <si>
    <t>Co-CEO &amp; CCO - Options 05/01/2033 # of unexercised exercisable options, 000s</t>
  </si>
  <si>
    <t>Co-CEO &amp; CCO - Options 06/01/2033 # of unexercised exercisable options, 000s</t>
  </si>
  <si>
    <t>Co-CEO &amp; CCO - Options 07/03/2033 # of unexercised exercisable options, 000s</t>
  </si>
  <si>
    <t>Co-CEO &amp; CCO - Options 08/01/2033 # of unexercised exercisable options, 000s</t>
  </si>
  <si>
    <t>Co-CEO &amp; CCO - Options 09/01/2033 # of unexercised exercisable options, 000s</t>
  </si>
  <si>
    <t>Co-CEO &amp; CCO - Options 10/02/2033 # of unexercised exercisable options, 000s</t>
  </si>
  <si>
    <t>Co-CEO &amp; CCO - Options 11/01/2033 # of unexercised exercisable options, 000s</t>
  </si>
  <si>
    <t>Co-CEO &amp; CCO - Options 12/01/2033 # of unexercised exercisable options, 000s</t>
  </si>
  <si>
    <t>Co-CEO &amp; CCO - Options 01/02/2034 # of unexercised unexercisable options, 000s</t>
  </si>
  <si>
    <t>Co-CEO &amp; CCO - Options 01/02/2034 exercise price, $</t>
  </si>
  <si>
    <t>CFO - Stock Awards, 000s</t>
  </si>
  <si>
    <t>CFO - Non-Equity Incentive Plan, 000s</t>
  </si>
  <si>
    <t>CFO - Options 01/02/2034 # of unexercised exercisable options, 000s</t>
  </si>
  <si>
    <t>CFO - Options 01/02/2034 exercise price, $</t>
  </si>
  <si>
    <t>CLO - Stock Awards, 000s</t>
  </si>
  <si>
    <t>CLO - Non-Equity Incentive Plan, 000s</t>
  </si>
  <si>
    <t>CLO - Options 01/02/2034 # of unexercised exercisable options, 000s</t>
  </si>
  <si>
    <t>CLO - Options 01/02/2034 exercise price, $</t>
  </si>
  <si>
    <t>Q2-2026</t>
  </si>
  <si>
    <t>N/A</t>
  </si>
  <si>
    <t>MX_MO_OS_TotalPaidStreamingMembershipsNetAdditions_1</t>
  </si>
  <si>
    <t>MX_MO_GA_TotalStreamingARPUGrowth</t>
  </si>
  <si>
    <t>MX_MO_OS_YYGlobalstreamingconstantcurrencyARPUgrowth</t>
  </si>
  <si>
    <t>MX_MO_OS_TotalEOPpaidstreamingmemberships</t>
  </si>
  <si>
    <t>MX_MO_OS_Totalpaidstreamingmembershipsnetadditions</t>
  </si>
  <si>
    <t>MX_MO_OS_domesticstreamingrevenue</t>
  </si>
  <si>
    <t>MX_MO_OS_domesticstreamingnetcontribution</t>
  </si>
  <si>
    <t>MX_MO_OS_DomesticStreamingNetContributionmargin</t>
  </si>
  <si>
    <t>MX_MO_OS_domesticpaideopstreamingmemberships</t>
  </si>
  <si>
    <t>MX_MO_OS_netdomesticpaidstreamingmembershipschange</t>
  </si>
  <si>
    <t>MX_MO_OS_internationalstreamingrevenue</t>
  </si>
  <si>
    <t>MX_MO_OS_internationalstreamingnetcontribution</t>
  </si>
  <si>
    <t>MX_MO_OS_InternationalStreamingNetContributionmargin</t>
  </si>
  <si>
    <t>MX_MO_OS_internationalpaideopstreamingmemberships</t>
  </si>
  <si>
    <t>MX_MO_OS_netinternationalpaidstreamingmembershipschange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</si>
</sst>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_(&quot;$&quot;* #,##0_);_(&quot;$&quot;* \(#,##0\);_(&quot;$&quot;* &quot;-&quot;??_);_(@_)"/>
    <numFmt numFmtId="166" formatCode="_(* #,##0_);_(* \(#,##0\);_(* &quot;-&quot;??_);_(@_)"/>
    <numFmt numFmtId="167" formatCode="_(* 0.0%_);_(* \-0.0%_);_(* &quot;-&quot;??_);_(@_)"/>
    <numFmt numFmtId="168" formatCode="_(* #,##0.0_);_(* \(#,##0.0\);_(* &quot;-&quot;??_);@"/>
    <numFmt numFmtId="169" formatCode="_(&quot;$&quot;* 0.00_);_(&quot;$&quot;* \(0.00\);_(&quot;$&quot;* &quot;-&quot;??_);_(@_)"/>
    <numFmt numFmtId="170" formatCode="_(* 0.0\ \x_);\ _(* &quot;n/a&quot;_);_(* &quot;-&quot;??_);_(@_)"/>
    <numFmt numFmtId="171" formatCode=";;;"/>
    <numFmt numFmtId="172" formatCode="_(&quot;$&quot;* 0.000_);_(&quot;$&quot;* \(0.000\);_(&quot;$&quot;* &quot;-&quot;??_);_(@_)"/>
    <numFmt numFmtId="173" formatCode="_(&quot;$&quot;* #,##0.000_);_(&quot;$&quot;* \(#,##0.000\);_(&quot;$&quot;* &quot;-&quot;??_);_(@_)"/>
    <numFmt numFmtId="174" formatCode="_(* #,##0.0_);_(* \(#,##0.0\);_(* &quot;-&quot;??_);_(&quot;Bloomberg &gt;&gt; &quot;@_)"/>
    <numFmt numFmtId="175" formatCode="_(* #,##0.0_);_(* \(#,##0.0\);_(* &quot;-&quot;??_);_(&quot;Capital IQ &gt;&gt; &quot;@_)"/>
    <numFmt numFmtId="176" formatCode="_(* #,##0.0_);_(* \(#,##0.0\);_(* &quot;-&quot;??_);_(&quot;FactSet &gt;&gt; &quot;@_)"/>
    <numFmt numFmtId="177" formatCode="_(* #,##0.0_);_(* \(#,##0.0\);_(* &quot;-&quot;??_);_(&quot;Ticker :   &quot;@_)"/>
    <numFmt numFmtId="178" formatCode="_(&quot;$&quot;* 0.00_);_(&quot;$&quot;* \(0.00\);_(&quot;$&quot;* &quot;-&quot;??_);_(@\ * \ &quot;Toggle  &gt;&gt;&gt;&quot;_)"/>
    <numFmt numFmtId="179" formatCode="_(* 0.0\ &quot;yrs&quot;_);\ _(* &quot;n/a&quot;_);_(* &quot;-&quot;??_);_(@_)"/>
    <numFmt numFmtId="180" formatCode="_(* 0.0%_);_(* &quot;NMF&quot;_);_(* &quot;-&quot;??_);_(@_)"/>
    <numFmt numFmtId="181" formatCode="_(* 0.0%_);_(* &quot;n/a&quot;_);_(* &quot;-&quot;??_);_(@_)"/>
    <numFmt numFmtId="182" formatCode="_(* #,##0.0_);_(* \(#,##0.0\);_(* &quot;-&quot;??_);_(&quot;Model Sheet Currency :   &quot;@_)"/>
    <numFmt numFmtId="185" formatCode="0.0%"/>
    <numFmt numFmtId="186" formatCode="_(* #,##0.0_);_(* \(#,##0.0\);_(* &quot; - &quot;??_);_(&quot;Last Price (&quot;@&quot;) &quot;_)"/>
    <numFmt numFmtId="187" formatCode="_(* #,##0.0_);_(* \(#,##0.0\);_(* &quot;-&quot;??_);_(&quot;Real-Time Stock Price :   &quot;@_)"/>
    <numFmt numFmtId="188" formatCode="_(&quot;$&quot;* 0.00_);_(&quot;$&quot;* \(0.00\);_(&quot;$&quot;* &quot; - &quot;??_);_(@_)"/>
    <numFmt numFmtId="189" formatCode="_(* #,##0.000_);_(* \(#,##0.000\);_(* &quot;-&quot;??_);_(@_)"/>
    <numFmt numFmtId="191" formatCode="yyyy\-mm\-dd"/>
    <numFmt numFmtId="192" formatCode="_(* #,##0.0_);_(* \(#,##0.0\);_(* &quot; -&quot;??_);_(&quot;Refinitiv &gt;&gt; &quot;@_)"/>
    <numFmt numFmtId="193" formatCode="_(&quot;$&quot;* #,##0.00_);_(&quot;$&quot;* \(#,##0.00\);_(&quot;$&quot;* &quot; - &quot;??_);_(@_)"/>
    <numFmt numFmtId="194" formatCode=";;"/>
    <numFmt numFmtId="195" formatCode="m/dd/yy;@"/>
    <numFmt numFmtId="196" formatCode="_(\$* 0.00_);_(\$* \(0.00\);_(\$* &quot; - &quot;??_);_(@_)"/>
    <numFmt numFmtId="197" formatCode="_(* 0.000%_);_(* \-0.000%_);_(* &quot;-&quot;??_);_(@_)"/>
    <numFmt numFmtId="198" formatCode="_(* 0.00\ \x_);\ _(* &quot;n/a&quot;_);_(* &quot;-&quot;??_);_(@_)"/>
    <numFmt numFmtId="199" formatCode="_(\$* 0.00_);_(\$* \(0.00\);_(\$* &quot;-&quot;??_);_(@\ * \ &quot;Toggle  &gt;&gt;&gt;&quot;_)"/>
    <numFmt numFmtId="200" formatCode="m/d/yy;@"/>
    <numFmt numFmtId="201" formatCode="m/d/yy"/>
    <numFmt numFmtId="202" formatCode="_(&quot;$&quot;* #,##0.0_);_(&quot;$&quot;* \(#,##0.0\);_(&quot;$&quot;* &quot;-&quot;??_);_(@_)"/>
    <numFmt numFmtId="203" formatCode="_(* 0%_);_(* \-0%_);_(* &quot;-&quot;??_);_(@_)"/>
    <numFmt numFmtId="204" formatCode="_(* #,##0.0_);_(* \(#,##0.0\);_(* &quot;-&quot;??_);_(&quot;Ticker &gt;&gt; &quot;@_)"/>
  </numFmts>
  <fonts count="49" x14ac:knownFonts="1">
    <font>
      <sz val="11"/>
      <name val="Calibri"/>
      <family val="2"/>
    </font>
    <font>
      <sz val="10"/>
      <color theme="1"/>
      <name val="Arial"/>
      <family val="2"/>
    </font>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name val="Calibri"/>
      <family val="2"/>
    </font>
    <font>
      <sz val="11"/>
      <name val="Calibri"/>
      <family val="2"/>
      <scheme val="minor"/>
    </font>
    <font>
      <sz val="11"/>
      <color rgb="FFFF0000"/>
      <name val="Calibri"/>
      <family val="2"/>
    </font>
    <font>
      <u/>
      <sz val="11"/>
      <color theme="10"/>
      <name val="Calibri"/>
      <family val="2"/>
    </font>
    <font>
      <sz val="11"/>
      <color rgb="FF006100"/>
      <name val="Calibri"/>
      <family val="2"/>
      <scheme val="minor"/>
    </font>
    <font>
      <i/>
      <sz val="11"/>
      <name val="Calibri"/>
      <family val="2"/>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b/>
      <sz val="11"/>
      <color rgb="FF000000"/>
      <name val="Calibri"/>
      <family val="2"/>
      <scheme val="minor"/>
    </font>
    <font>
      <i/>
      <sz val="11"/>
      <color rgb="FF000000"/>
      <name val="Calibri"/>
      <family val="2"/>
    </font>
    <font>
      <u/>
      <sz val="22"/>
      <color theme="10"/>
      <name val="Calibri"/>
      <family val="2"/>
      <scheme val="minor"/>
    </font>
    <font>
      <b/>
      <i/>
      <sz val="11"/>
      <color rgb="FF000000"/>
      <name val="Calibri"/>
      <family val="2"/>
    </font>
    <font>
      <b/>
      <i/>
      <sz val="11"/>
      <color rgb="FF000000"/>
      <name val="Calibri"/>
      <family val="2"/>
      <scheme val="minor"/>
    </font>
    <font>
      <i/>
      <sz val="11"/>
      <color rgb="FF000000"/>
      <name val="Calibri"/>
      <family val="2"/>
      <scheme val="minor"/>
    </font>
    <font>
      <b/>
      <sz val="11"/>
      <color rgb="FFFFFFFF"/>
      <name val="Calibri"/>
      <family val="2"/>
      <scheme val="minor"/>
    </font>
    <font>
      <sz val="11"/>
      <color rgb="FFFFFFFF"/>
      <name val="Calibri"/>
      <family val="2"/>
    </font>
    <font>
      <sz val="11"/>
      <color theme="0" tint="-3.4302804651020848E-2"/>
      <name val="Calibri"/>
      <family val="2"/>
    </font>
    <font>
      <b/>
      <sz val="11"/>
      <color theme="0"/>
      <name val="Calibri"/>
      <family val="2"/>
    </font>
    <font>
      <sz val="11"/>
      <color rgb="FFF2F2F2"/>
      <name val="Calibri"/>
      <family val="2"/>
    </font>
    <font>
      <u/>
      <sz val="11"/>
      <color rgb="FF0000FF"/>
      <name val="Calibri"/>
      <family val="2"/>
      <scheme val="minor"/>
    </font>
    <font>
      <u/>
      <sz val="22"/>
      <color rgb="FF000000"/>
      <name val="Calibri"/>
      <family val="2"/>
      <scheme val="minor"/>
    </font>
    <font>
      <b/>
      <i/>
      <sz val="11"/>
      <name val="Calibri"/>
      <family val="2"/>
    </font>
    <font>
      <b/>
      <sz val="9"/>
      <name val="Tahoma"/>
      <family val="2"/>
    </font>
    <font>
      <sz val="9"/>
      <name val="Tahoma"/>
      <family val="2"/>
    </font>
    <font>
      <sz val="11"/>
      <color rgb="FF0000FF"/>
      <name val="Calibri"/>
      <family val="2"/>
    </font>
    <font>
      <u/>
      <sz val="22"/>
      <color theme="1"/>
      <name val="Calibri"/>
      <family val="2"/>
      <scheme val="minor"/>
    </font>
    <font>
      <b/>
      <i/>
      <sz val="11"/>
      <color rgb="FFFFFFFF"/>
      <name val="Calibri"/>
      <family val="2"/>
    </font>
    <font>
      <sz val="9"/>
      <color rgb="FF000000"/>
      <name val="Arial"/>
      <family val="2"/>
      <charset val="1"/>
    </font>
    <font>
      <sz val="10"/>
      <name val="Tahoma"/>
      <family val="2"/>
    </font>
    <font>
      <b/>
      <sz val="10"/>
      <name val="Tahoma"/>
      <family val="2"/>
    </font>
    <font>
      <u/>
      <sz val="11"/>
      <color rgb="FF000000"/>
      <name val="Calibri"/>
      <family val="2"/>
    </font>
    <font>
      <b/>
      <sz val="11"/>
      <color rgb="FF0000FC"/>
      <name val="Calibri"/>
      <family val="2"/>
    </font>
    <font>
      <sz val="11"/>
      <color rgb="FF009900"/>
      <name val="Calibri"/>
      <family val="2"/>
    </font>
    <font>
      <sz val="11"/>
      <color rgb="FF0000FC"/>
      <name val="Calibri"/>
      <family val="2"/>
    </font>
    <font>
      <b/>
      <sz val="11"/>
      <color rgb="FF009900"/>
      <name val="Calibri"/>
      <family val="2"/>
    </font>
    <font>
      <b/>
      <i/>
      <sz val="11"/>
      <color rgb="FF0000FC"/>
      <name val="Calibri"/>
      <family val="2"/>
    </font>
    <font>
      <i/>
      <sz val="11"/>
      <color rgb="FF0000FC"/>
      <name val="Calibri"/>
      <family val="2"/>
    </font>
    <font>
      <sz val="11"/>
      <color rgb="FF0000FC"/>
      <name val="Calibri"/>
      <family val="2"/>
      <scheme val="minor"/>
    </font>
    <font>
      <sz val="11"/>
      <name val="Calibri"/>
      <family val="2"/>
    </font>
    <font>
      <b/>
      <sz val="9"/>
      <name val="Tahoma"/>
      <family val="2"/>
      <charset val="1"/>
    </font>
    <font>
      <sz val="9"/>
      <name val="Tahoma"/>
      <family val="2"/>
      <charset val="1"/>
    </font>
  </fonts>
  <fills count="6">
    <fill>
      <patternFill patternType="none"/>
    </fill>
    <fill>
      <patternFill patternType="gray125"/>
    </fill>
    <fill>
      <patternFill patternType="solid">
        <fgColor rgb="FFC6EFCE"/>
        <bgColor indexed="64"/>
      </patternFill>
    </fill>
    <fill>
      <patternFill patternType="solid">
        <fgColor rgb="FFFFFFFF"/>
        <bgColor indexed="64"/>
      </patternFill>
    </fill>
    <fill>
      <patternFill patternType="solid">
        <fgColor rgb="FF000000"/>
        <bgColor indexed="64"/>
      </patternFill>
    </fill>
    <fill>
      <patternFill patternType="solid">
        <fgColor rgb="FFF2F2F2"/>
        <bgColor indexed="64"/>
      </patternFill>
    </fill>
  </fills>
  <borders count="29">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rgb="FF000000"/>
      </right>
      <top/>
      <bottom/>
      <diagonal/>
    </border>
    <border>
      <left style="thin">
        <color rgb="FF000000"/>
      </left>
      <right/>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ck">
        <color auto="1"/>
      </right>
      <top/>
      <bottom/>
      <diagonal/>
    </border>
    <border>
      <left/>
      <right style="thick">
        <color auto="1"/>
      </right>
      <top/>
      <bottom style="thin">
        <color rgb="FF000000"/>
      </bottom>
      <diagonal/>
    </border>
    <border>
      <left/>
      <right style="thick">
        <color auto="1"/>
      </right>
      <top style="thin">
        <color rgb="FF000000"/>
      </top>
      <bottom style="thin">
        <color rgb="FF000000"/>
      </bottom>
      <diagonal/>
    </border>
    <border>
      <left/>
      <right style="thick">
        <color auto="1"/>
      </right>
      <top style="thin">
        <color rgb="FF000000"/>
      </top>
      <bottom/>
      <diagonal/>
    </border>
    <border>
      <left style="thin">
        <color rgb="FF000000"/>
      </left>
      <right/>
      <top/>
      <bottom style="thin">
        <color auto="1"/>
      </bottom>
      <diagonal/>
    </border>
    <border>
      <left/>
      <right style="thick">
        <color auto="1"/>
      </right>
      <top/>
      <bottom style="thin">
        <color auto="1"/>
      </bottom>
      <diagonal/>
    </border>
    <border>
      <left/>
      <right style="thin">
        <color rgb="FF000000"/>
      </right>
      <top/>
      <bottom style="thin">
        <color auto="1"/>
      </bottom>
      <diagonal/>
    </border>
    <border>
      <left/>
      <right style="thick">
        <color auto="1"/>
      </right>
      <top style="thin">
        <color auto="1"/>
      </top>
      <bottom/>
      <diagonal/>
    </border>
    <border>
      <left/>
      <right style="thick">
        <color auto="1"/>
      </right>
      <top style="thin">
        <color auto="1"/>
      </top>
      <bottom style="thin">
        <color auto="1"/>
      </bottom>
      <diagonal/>
    </border>
  </borders>
  <cellStyleXfs count="20">
    <xf numFmtId="0" fontId="0" fillId="0" borderId="0"/>
    <xf numFmtId="9" fontId="46" fillId="0" borderId="0"/>
    <xf numFmtId="44" fontId="46" fillId="0" borderId="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2" fillId="0" borderId="0"/>
    <xf numFmtId="44" fontId="46" fillId="0" borderId="0"/>
    <xf numFmtId="0" fontId="10" fillId="2" borderId="0"/>
    <xf numFmtId="0" fontId="4" fillId="0" borderId="0"/>
    <xf numFmtId="0" fontId="9" fillId="0" borderId="0">
      <alignment vertical="top"/>
      <protection locked="0"/>
    </xf>
    <xf numFmtId="0" fontId="2" fillId="0" borderId="0"/>
    <xf numFmtId="0" fontId="2" fillId="0" borderId="0"/>
    <xf numFmtId="0" fontId="46" fillId="0" borderId="0"/>
    <xf numFmtId="9" fontId="2" fillId="0" borderId="0"/>
    <xf numFmtId="44" fontId="2" fillId="0" borderId="0"/>
    <xf numFmtId="0" fontId="2" fillId="0" borderId="0"/>
    <xf numFmtId="0" fontId="2" fillId="0" borderId="0"/>
    <xf numFmtId="9" fontId="2" fillId="0" borderId="0"/>
    <xf numFmtId="44" fontId="46" fillId="0" borderId="0"/>
  </cellStyleXfs>
  <cellXfs count="1149">
    <xf numFmtId="0" fontId="0" fillId="0" borderId="0" xfId="0"/>
    <xf numFmtId="167" fontId="6" fillId="3" borderId="7" xfId="0" applyNumberFormat="1" applyFont="1" applyFill="1" applyBorder="1" applyAlignment="1">
      <alignment horizontal="left"/>
    </xf>
    <xf numFmtId="164" fontId="6" fillId="3" borderId="7" xfId="0" applyNumberFormat="1" applyFont="1" applyFill="1" applyBorder="1" applyAlignment="1">
      <alignment horizontal="left"/>
    </xf>
    <xf numFmtId="164" fontId="6" fillId="3" borderId="0" xfId="0" applyNumberFormat="1" applyFont="1" applyFill="1" applyAlignment="1">
      <alignment horizontal="left" indent="1"/>
    </xf>
    <xf numFmtId="164" fontId="6" fillId="3" borderId="0" xfId="0" applyNumberFormat="1" applyFont="1" applyFill="1" applyAlignment="1">
      <alignment horizontal="left"/>
    </xf>
    <xf numFmtId="179" fontId="13" fillId="3" borderId="0" xfId="0" applyNumberFormat="1" applyFont="1" applyFill="1" applyAlignment="1">
      <alignment horizontal="left"/>
    </xf>
    <xf numFmtId="164" fontId="0" fillId="3" borderId="0" xfId="0" applyNumberFormat="1" applyFill="1" applyAlignment="1">
      <alignment horizontal="left"/>
    </xf>
    <xf numFmtId="167" fontId="0" fillId="3" borderId="2" xfId="0" applyNumberFormat="1" applyFill="1" applyBorder="1" applyAlignment="1">
      <alignment horizontal="left" indent="2"/>
    </xf>
    <xf numFmtId="167" fontId="0" fillId="3" borderId="0" xfId="0" applyNumberFormat="1" applyFill="1"/>
    <xf numFmtId="164" fontId="6" fillId="3" borderId="7" xfId="0" applyNumberFormat="1" applyFont="1" applyFill="1" applyBorder="1" applyAlignment="1">
      <alignment horizontal="left" indent="1"/>
    </xf>
    <xf numFmtId="164" fontId="6" fillId="3" borderId="9" xfId="0" applyNumberFormat="1" applyFont="1" applyFill="1" applyBorder="1" applyAlignment="1">
      <alignment horizontal="left"/>
    </xf>
    <xf numFmtId="167" fontId="6" fillId="3" borderId="0" xfId="0" applyNumberFormat="1" applyFont="1" applyFill="1"/>
    <xf numFmtId="169" fontId="3" fillId="3" borderId="0" xfId="2" applyNumberFormat="1" applyFont="1" applyFill="1"/>
    <xf numFmtId="164" fontId="3" fillId="3" borderId="0" xfId="0" applyNumberFormat="1" applyFont="1" applyFill="1"/>
    <xf numFmtId="170" fontId="3" fillId="3" borderId="0" xfId="0" applyNumberFormat="1" applyFont="1" applyFill="1"/>
    <xf numFmtId="167" fontId="0" fillId="3" borderId="0" xfId="0" applyNumberFormat="1" applyFill="1" applyAlignment="1">
      <alignment horizontal="left"/>
    </xf>
    <xf numFmtId="164" fontId="0" fillId="3" borderId="0" xfId="0" applyNumberFormat="1" applyFill="1" applyAlignment="1">
      <alignment horizontal="left" indent="2"/>
    </xf>
    <xf numFmtId="167" fontId="6" fillId="3" borderId="7" xfId="0" applyNumberFormat="1" applyFont="1" applyFill="1" applyBorder="1" applyAlignment="1">
      <alignment horizontal="right"/>
    </xf>
    <xf numFmtId="169" fontId="0" fillId="3" borderId="0" xfId="0" applyNumberFormat="1" applyFill="1"/>
    <xf numFmtId="179" fontId="13" fillId="3" borderId="0" xfId="0" applyNumberFormat="1" applyFont="1" applyFill="1"/>
    <xf numFmtId="169" fontId="6" fillId="3" borderId="0" xfId="0" applyNumberFormat="1" applyFont="1" applyFill="1"/>
    <xf numFmtId="169" fontId="11" fillId="3" borderId="0" xfId="0" applyNumberFormat="1" applyFont="1" applyFill="1"/>
    <xf numFmtId="172" fontId="0" fillId="3" borderId="0" xfId="0" applyNumberFormat="1" applyFill="1"/>
    <xf numFmtId="167" fontId="14" fillId="4" borderId="0" xfId="0" applyNumberFormat="1" applyFont="1" applyFill="1"/>
    <xf numFmtId="166" fontId="6" fillId="3" borderId="0" xfId="0" applyNumberFormat="1" applyFont="1" applyFill="1"/>
    <xf numFmtId="167" fontId="13" fillId="3" borderId="7" xfId="0" applyNumberFormat="1" applyFont="1" applyFill="1" applyBorder="1" applyAlignment="1">
      <alignment horizontal="right"/>
    </xf>
    <xf numFmtId="167" fontId="13" fillId="3" borderId="0" xfId="0" applyNumberFormat="1" applyFont="1" applyFill="1" applyAlignment="1">
      <alignment horizontal="right"/>
    </xf>
    <xf numFmtId="168" fontId="18" fillId="3" borderId="0" xfId="9" applyNumberFormat="1" applyFont="1" applyFill="1" applyAlignment="1">
      <alignment horizontal="left"/>
    </xf>
    <xf numFmtId="170" fontId="6" fillId="3" borderId="0" xfId="0" applyNumberFormat="1" applyFont="1" applyFill="1"/>
    <xf numFmtId="170" fontId="0" fillId="3" borderId="0" xfId="0" applyNumberFormat="1" applyFill="1"/>
    <xf numFmtId="164" fontId="0" fillId="3" borderId="2" xfId="0" applyNumberFormat="1" applyFill="1" applyBorder="1" applyAlignment="1">
      <alignment horizontal="left" indent="1"/>
    </xf>
    <xf numFmtId="1" fontId="13" fillId="3" borderId="0" xfId="0" applyNumberFormat="1" applyFont="1" applyFill="1" applyAlignment="1">
      <alignment horizontal="center"/>
    </xf>
    <xf numFmtId="17" fontId="15" fillId="3" borderId="0" xfId="0" applyNumberFormat="1" applyFont="1" applyFill="1" applyAlignment="1">
      <alignment horizontal="center"/>
    </xf>
    <xf numFmtId="164" fontId="16" fillId="3" borderId="0" xfId="13" applyNumberFormat="1" applyFont="1" applyFill="1" applyAlignment="1">
      <alignment horizontal="center"/>
    </xf>
    <xf numFmtId="169" fontId="13" fillId="3" borderId="0" xfId="13" applyNumberFormat="1" applyFont="1" applyFill="1"/>
    <xf numFmtId="167" fontId="13" fillId="3" borderId="0" xfId="13" applyNumberFormat="1" applyFont="1" applyFill="1" applyAlignment="1">
      <alignment horizontal="center"/>
    </xf>
    <xf numFmtId="167" fontId="12" fillId="3" borderId="0" xfId="13" applyNumberFormat="1" applyFont="1" applyFill="1" applyAlignment="1">
      <alignment horizontal="center"/>
    </xf>
    <xf numFmtId="167" fontId="12" fillId="3" borderId="0" xfId="13" applyNumberFormat="1" applyFont="1" applyFill="1" applyAlignment="1">
      <alignment horizontal="right"/>
    </xf>
    <xf numFmtId="167" fontId="13" fillId="3" borderId="0" xfId="13" applyNumberFormat="1" applyFont="1" applyFill="1" applyAlignment="1">
      <alignment horizontal="right"/>
    </xf>
    <xf numFmtId="180" fontId="13" fillId="3" borderId="0" xfId="13" applyNumberFormat="1" applyFont="1" applyFill="1" applyAlignment="1">
      <alignment horizontal="right"/>
    </xf>
    <xf numFmtId="170" fontId="13" fillId="3" borderId="0" xfId="13" applyNumberFormat="1" applyFont="1" applyFill="1"/>
    <xf numFmtId="181" fontId="13" fillId="3" borderId="0" xfId="13" applyNumberFormat="1" applyFont="1" applyFill="1" applyAlignment="1">
      <alignment horizontal="right"/>
    </xf>
    <xf numFmtId="170" fontId="12" fillId="3" borderId="0" xfId="13" applyNumberFormat="1" applyFont="1" applyFill="1"/>
    <xf numFmtId="179" fontId="6" fillId="3" borderId="0" xfId="0" applyNumberFormat="1" applyFont="1" applyFill="1"/>
    <xf numFmtId="182" fontId="3" fillId="3" borderId="0" xfId="0" applyNumberFormat="1" applyFont="1" applyFill="1"/>
    <xf numFmtId="169" fontId="21" fillId="3" borderId="0" xfId="0" applyNumberFormat="1" applyFont="1" applyFill="1" applyAlignment="1">
      <alignment horizontal="left" indent="1"/>
    </xf>
    <xf numFmtId="169" fontId="17" fillId="3" borderId="0" xfId="0" applyNumberFormat="1" applyFont="1" applyFill="1"/>
    <xf numFmtId="167" fontId="11" fillId="3" borderId="0" xfId="0" applyNumberFormat="1" applyFont="1" applyFill="1" applyAlignment="1">
      <alignment horizontal="left" indent="1"/>
    </xf>
    <xf numFmtId="179" fontId="13" fillId="3" borderId="0" xfId="0" applyNumberFormat="1" applyFont="1" applyFill="1" applyAlignment="1">
      <alignment horizontal="left" indent="4"/>
    </xf>
    <xf numFmtId="164" fontId="0" fillId="3" borderId="0" xfId="0" applyNumberFormat="1" applyFill="1" applyAlignment="1">
      <alignment horizontal="left" indent="3"/>
    </xf>
    <xf numFmtId="164" fontId="22" fillId="4" borderId="0" xfId="13" applyNumberFormat="1" applyFont="1" applyFill="1"/>
    <xf numFmtId="167" fontId="14" fillId="4" borderId="0" xfId="13" applyNumberFormat="1" applyFont="1" applyFill="1"/>
    <xf numFmtId="167" fontId="23" fillId="4" borderId="0" xfId="13" applyNumberFormat="1" applyFont="1" applyFill="1"/>
    <xf numFmtId="172" fontId="2" fillId="3" borderId="0" xfId="2" applyNumberFormat="1" applyFont="1" applyFill="1"/>
    <xf numFmtId="170" fontId="2" fillId="3" borderId="0" xfId="0" applyNumberFormat="1" applyFont="1" applyFill="1"/>
    <xf numFmtId="167" fontId="16" fillId="3" borderId="0" xfId="2" applyNumberFormat="1" applyFont="1" applyFill="1"/>
    <xf numFmtId="167" fontId="16" fillId="3" borderId="7" xfId="2" applyNumberFormat="1" applyFont="1" applyFill="1" applyBorder="1"/>
    <xf numFmtId="167" fontId="21" fillId="3" borderId="0" xfId="0" applyNumberFormat="1" applyFont="1" applyFill="1" applyAlignment="1">
      <alignment horizontal="left" indent="1"/>
    </xf>
    <xf numFmtId="167" fontId="17" fillId="3" borderId="0" xfId="0" applyNumberFormat="1" applyFont="1" applyFill="1"/>
    <xf numFmtId="167" fontId="12" fillId="3" borderId="0" xfId="0" applyNumberFormat="1" applyFont="1" applyFill="1"/>
    <xf numFmtId="167" fontId="0" fillId="3" borderId="0" xfId="0" applyNumberFormat="1" applyFill="1" applyAlignment="1">
      <alignment horizontal="left" indent="1"/>
    </xf>
    <xf numFmtId="167" fontId="6" fillId="3" borderId="0" xfId="0" applyNumberFormat="1" applyFont="1" applyFill="1" applyAlignment="1">
      <alignment horizontal="left"/>
    </xf>
    <xf numFmtId="169" fontId="0" fillId="3" borderId="0" xfId="0" applyNumberFormat="1" applyFill="1" applyAlignment="1">
      <alignment horizontal="left"/>
    </xf>
    <xf numFmtId="167" fontId="13" fillId="3" borderId="0" xfId="0" applyNumberFormat="1" applyFont="1" applyFill="1" applyAlignment="1">
      <alignment horizontal="left" indent="1"/>
    </xf>
    <xf numFmtId="167" fontId="6" fillId="3" borderId="0" xfId="0" applyNumberFormat="1" applyFont="1" applyFill="1" applyAlignment="1">
      <alignment horizontal="left" indent="1"/>
    </xf>
    <xf numFmtId="167" fontId="0" fillId="3" borderId="0" xfId="0" applyNumberFormat="1" applyFill="1" applyAlignment="1">
      <alignment horizontal="left" indent="2"/>
    </xf>
    <xf numFmtId="167" fontId="17" fillId="3" borderId="0" xfId="0" applyNumberFormat="1" applyFont="1" applyFill="1" applyAlignment="1">
      <alignment horizontal="left" indent="3"/>
    </xf>
    <xf numFmtId="169" fontId="17" fillId="3" borderId="0" xfId="0" applyNumberFormat="1" applyFont="1" applyFill="1" applyAlignment="1">
      <alignment horizontal="left" indent="3"/>
    </xf>
    <xf numFmtId="167" fontId="12" fillId="3" borderId="0" xfId="0" applyNumberFormat="1" applyFont="1" applyFill="1" applyAlignment="1">
      <alignment horizontal="right"/>
    </xf>
    <xf numFmtId="167" fontId="17" fillId="3" borderId="0" xfId="0" applyNumberFormat="1" applyFont="1" applyFill="1" applyAlignment="1">
      <alignment horizontal="left" indent="1"/>
    </xf>
    <xf numFmtId="169" fontId="13" fillId="3" borderId="0" xfId="0" applyNumberFormat="1" applyFont="1" applyFill="1"/>
    <xf numFmtId="169" fontId="13" fillId="3" borderId="0" xfId="2" applyNumberFormat="1" applyFont="1" applyFill="1"/>
    <xf numFmtId="17" fontId="20" fillId="3" borderId="0" xfId="13" applyNumberFormat="1" applyFont="1" applyFill="1" applyAlignment="1">
      <alignment horizontal="center"/>
    </xf>
    <xf numFmtId="0" fontId="26" fillId="3" borderId="0" xfId="13" applyFont="1" applyFill="1"/>
    <xf numFmtId="185" fontId="11" fillId="3" borderId="0" xfId="1" applyNumberFormat="1" applyFont="1" applyFill="1" applyAlignment="1">
      <alignment horizontal="left" indent="1"/>
    </xf>
    <xf numFmtId="185" fontId="11" fillId="3" borderId="0" xfId="1" applyNumberFormat="1" applyFont="1" applyFill="1"/>
    <xf numFmtId="0" fontId="13" fillId="5" borderId="0" xfId="13" applyFont="1" applyFill="1"/>
    <xf numFmtId="0" fontId="17" fillId="5" borderId="0" xfId="13" applyFont="1" applyFill="1"/>
    <xf numFmtId="164" fontId="12" fillId="5" borderId="0" xfId="13" applyNumberFormat="1" applyFont="1" applyFill="1"/>
    <xf numFmtId="164" fontId="13" fillId="5" borderId="0" xfId="13" applyNumberFormat="1" applyFont="1" applyFill="1" applyAlignment="1">
      <alignment horizontal="center"/>
    </xf>
    <xf numFmtId="167" fontId="13" fillId="5" borderId="0" xfId="13" applyNumberFormat="1" applyFont="1" applyFill="1" applyAlignment="1">
      <alignment horizontal="center"/>
    </xf>
    <xf numFmtId="14" fontId="12" fillId="5" borderId="0" xfId="13" applyNumberFormat="1" applyFont="1" applyFill="1" applyAlignment="1">
      <alignment horizontal="left"/>
    </xf>
    <xf numFmtId="0" fontId="27" fillId="5" borderId="0" xfId="9" applyFont="1" applyFill="1"/>
    <xf numFmtId="167" fontId="12" fillId="5" borderId="0" xfId="13" applyNumberFormat="1" applyFont="1" applyFill="1"/>
    <xf numFmtId="169" fontId="12" fillId="5" borderId="0" xfId="13" applyNumberFormat="1" applyFont="1" applyFill="1"/>
    <xf numFmtId="169" fontId="13" fillId="5" borderId="0" xfId="13" applyNumberFormat="1" applyFont="1" applyFill="1" applyAlignment="1">
      <alignment horizontal="center"/>
    </xf>
    <xf numFmtId="167" fontId="12" fillId="3" borderId="0" xfId="13" applyNumberFormat="1" applyFont="1" applyFill="1"/>
    <xf numFmtId="0" fontId="13" fillId="3" borderId="0" xfId="13" applyFont="1" applyFill="1"/>
    <xf numFmtId="0" fontId="17" fillId="3" borderId="0" xfId="13" applyFont="1" applyFill="1"/>
    <xf numFmtId="164" fontId="13" fillId="3" borderId="0" xfId="13" applyNumberFormat="1" applyFont="1" applyFill="1" applyAlignment="1">
      <alignment horizontal="center"/>
    </xf>
    <xf numFmtId="14" fontId="12" fillId="3" borderId="0" xfId="13" applyNumberFormat="1" applyFont="1" applyFill="1" applyAlignment="1">
      <alignment horizontal="left"/>
    </xf>
    <xf numFmtId="0" fontId="27" fillId="3" borderId="0" xfId="9" applyFont="1" applyFill="1"/>
    <xf numFmtId="164" fontId="12" fillId="3" borderId="10" xfId="0" applyNumberFormat="1" applyFont="1" applyFill="1" applyBorder="1"/>
    <xf numFmtId="164" fontId="15" fillId="3" borderId="11" xfId="11" applyNumberFormat="1" applyFont="1" applyFill="1" applyBorder="1" applyAlignment="1">
      <alignment horizontal="left" indent="1"/>
    </xf>
    <xf numFmtId="168" fontId="28" fillId="3" borderId="0" xfId="9" applyNumberFormat="1" applyFont="1" applyFill="1" applyAlignment="1">
      <alignment horizontal="left"/>
    </xf>
    <xf numFmtId="0" fontId="12" fillId="3" borderId="0" xfId="13" applyFont="1" applyFill="1" applyAlignment="1">
      <alignment horizontal="left"/>
    </xf>
    <xf numFmtId="0" fontId="12" fillId="3" borderId="0" xfId="13" applyFont="1" applyFill="1"/>
    <xf numFmtId="0" fontId="12" fillId="3" borderId="0" xfId="13" applyFont="1" applyFill="1" applyAlignment="1">
      <alignment horizontal="center"/>
    </xf>
    <xf numFmtId="0" fontId="14" fillId="4" borderId="0" xfId="13" applyFont="1" applyFill="1" applyAlignment="1">
      <alignment horizontal="left"/>
    </xf>
    <xf numFmtId="0" fontId="14" fillId="4" borderId="0" xfId="13" applyFont="1" applyFill="1" applyAlignment="1">
      <alignment horizontal="centerContinuous"/>
    </xf>
    <xf numFmtId="0" fontId="14" fillId="4" borderId="0" xfId="13" applyFont="1" applyFill="1" applyAlignment="1">
      <alignment horizontal="center"/>
    </xf>
    <xf numFmtId="167" fontId="14" fillId="4" borderId="0" xfId="13" applyNumberFormat="1" applyFont="1" applyFill="1" applyAlignment="1">
      <alignment horizontal="center"/>
    </xf>
    <xf numFmtId="0" fontId="14" fillId="3" borderId="0" xfId="13" applyFont="1" applyFill="1" applyAlignment="1">
      <alignment horizontal="left"/>
    </xf>
    <xf numFmtId="0" fontId="14" fillId="3" borderId="0" xfId="13" applyFont="1" applyFill="1" applyAlignment="1">
      <alignment horizontal="center"/>
    </xf>
    <xf numFmtId="164" fontId="16" fillId="3" borderId="0" xfId="13" applyNumberFormat="1" applyFont="1" applyFill="1" applyAlignment="1">
      <alignment horizontal="left"/>
    </xf>
    <xf numFmtId="164" fontId="20" fillId="3" borderId="0" xfId="13" applyNumberFormat="1" applyFont="1" applyFill="1" applyAlignment="1">
      <alignment horizontal="center"/>
    </xf>
    <xf numFmtId="164" fontId="13" fillId="3" borderId="0" xfId="13" applyNumberFormat="1" applyFont="1" applyFill="1" applyAlignment="1">
      <alignment horizontal="left"/>
    </xf>
    <xf numFmtId="164" fontId="12" fillId="3" borderId="0" xfId="13" applyNumberFormat="1" applyFont="1" applyFill="1" applyAlignment="1">
      <alignment horizontal="left" indent="1"/>
    </xf>
    <xf numFmtId="164" fontId="12" fillId="3" borderId="0" xfId="13" applyNumberFormat="1" applyFont="1" applyFill="1" applyAlignment="1">
      <alignment horizontal="left" indent="3"/>
    </xf>
    <xf numFmtId="164" fontId="13" fillId="3" borderId="7" xfId="13" applyNumberFormat="1" applyFont="1" applyFill="1" applyBorder="1" applyAlignment="1">
      <alignment horizontal="left"/>
    </xf>
    <xf numFmtId="164" fontId="13" fillId="3" borderId="7" xfId="13" applyNumberFormat="1" applyFont="1" applyFill="1" applyBorder="1" applyAlignment="1">
      <alignment horizontal="left" indent="3"/>
    </xf>
    <xf numFmtId="164" fontId="13" fillId="3" borderId="0" xfId="13" applyNumberFormat="1" applyFont="1" applyFill="1" applyAlignment="1">
      <alignment horizontal="left" indent="3"/>
    </xf>
    <xf numFmtId="164" fontId="16" fillId="3" borderId="0" xfId="2" applyNumberFormat="1" applyFont="1" applyFill="1"/>
    <xf numFmtId="169" fontId="16" fillId="3" borderId="0" xfId="2" applyNumberFormat="1" applyFont="1" applyFill="1"/>
    <xf numFmtId="169" fontId="13" fillId="3" borderId="0" xfId="13" applyNumberFormat="1" applyFont="1" applyFill="1" applyAlignment="1">
      <alignment horizontal="left" indent="3"/>
    </xf>
    <xf numFmtId="167" fontId="15" fillId="3" borderId="0" xfId="2" applyNumberFormat="1" applyFont="1" applyFill="1"/>
    <xf numFmtId="167" fontId="12" fillId="3" borderId="0" xfId="13" applyNumberFormat="1" applyFont="1" applyFill="1" applyAlignment="1">
      <alignment horizontal="left" indent="1"/>
    </xf>
    <xf numFmtId="167" fontId="13" fillId="3" borderId="0" xfId="13" applyNumberFormat="1" applyFont="1" applyFill="1" applyAlignment="1">
      <alignment horizontal="left"/>
    </xf>
    <xf numFmtId="180" fontId="13" fillId="3" borderId="0" xfId="13" applyNumberFormat="1" applyFont="1" applyFill="1" applyAlignment="1">
      <alignment horizontal="left"/>
    </xf>
    <xf numFmtId="180" fontId="16" fillId="3" borderId="0" xfId="2" applyNumberFormat="1" applyFont="1" applyFill="1"/>
    <xf numFmtId="170" fontId="16" fillId="3" borderId="0" xfId="13" applyNumberFormat="1" applyFont="1" applyFill="1"/>
    <xf numFmtId="170" fontId="13" fillId="3" borderId="0" xfId="13" applyNumberFormat="1" applyFont="1" applyFill="1" applyAlignment="1">
      <alignment horizontal="left" indent="3"/>
    </xf>
    <xf numFmtId="181" fontId="13" fillId="3" borderId="0" xfId="13" applyNumberFormat="1" applyFont="1" applyFill="1" applyAlignment="1">
      <alignment horizontal="left"/>
    </xf>
    <xf numFmtId="181" fontId="16" fillId="3" borderId="0" xfId="2" applyNumberFormat="1" applyFont="1" applyFill="1"/>
    <xf numFmtId="167" fontId="12" fillId="3" borderId="0" xfId="13" applyNumberFormat="1" applyFont="1" applyFill="1" applyAlignment="1">
      <alignment horizontal="left"/>
    </xf>
    <xf numFmtId="170" fontId="15" fillId="3" borderId="0" xfId="13" applyNumberFormat="1" applyFont="1" applyFill="1"/>
    <xf numFmtId="170" fontId="12" fillId="3" borderId="0" xfId="13" applyNumberFormat="1" applyFont="1" applyFill="1" applyAlignment="1">
      <alignment horizontal="left" indent="3"/>
    </xf>
    <xf numFmtId="164" fontId="6" fillId="3" borderId="12" xfId="0" applyNumberFormat="1" applyFont="1" applyFill="1" applyBorder="1"/>
    <xf numFmtId="188" fontId="0" fillId="3" borderId="0" xfId="0" applyNumberFormat="1" applyFill="1"/>
    <xf numFmtId="0" fontId="0" fillId="3" borderId="0" xfId="0" applyFill="1"/>
    <xf numFmtId="166" fontId="0" fillId="3" borderId="0" xfId="0" applyNumberFormat="1" applyFill="1" applyAlignment="1">
      <alignment horizontal="left" indent="1"/>
    </xf>
    <xf numFmtId="166" fontId="0" fillId="3" borderId="0" xfId="0" applyNumberFormat="1" applyFill="1"/>
    <xf numFmtId="166" fontId="0" fillId="3" borderId="13" xfId="0" applyNumberFormat="1" applyFill="1" applyBorder="1" applyAlignment="1">
      <alignment horizontal="left" indent="1"/>
    </xf>
    <xf numFmtId="166" fontId="0" fillId="3" borderId="13" xfId="0" applyNumberFormat="1" applyFill="1" applyBorder="1"/>
    <xf numFmtId="0" fontId="23" fillId="4" borderId="0" xfId="0" applyFont="1" applyFill="1"/>
    <xf numFmtId="0" fontId="6" fillId="3" borderId="0" xfId="0" applyFont="1" applyFill="1"/>
    <xf numFmtId="164" fontId="14" fillId="4" borderId="0" xfId="0" applyNumberFormat="1" applyFont="1" applyFill="1" applyAlignment="1">
      <alignment horizontal="left" indent="3"/>
    </xf>
    <xf numFmtId="0" fontId="12" fillId="5" borderId="0" xfId="13" applyFont="1" applyFill="1"/>
    <xf numFmtId="164" fontId="12" fillId="3" borderId="12" xfId="0" applyNumberFormat="1" applyFont="1" applyFill="1" applyBorder="1"/>
    <xf numFmtId="164" fontId="15" fillId="3" borderId="12" xfId="11" applyNumberFormat="1" applyFont="1" applyFill="1" applyBorder="1"/>
    <xf numFmtId="164" fontId="12" fillId="3" borderId="14" xfId="0" applyNumberFormat="1" applyFont="1" applyFill="1" applyBorder="1"/>
    <xf numFmtId="165" fontId="16" fillId="3" borderId="15" xfId="11" applyNumberFormat="1" applyFont="1" applyFill="1" applyBorder="1" applyAlignment="1">
      <alignment horizontal="left"/>
    </xf>
    <xf numFmtId="165" fontId="15" fillId="3" borderId="11" xfId="11" applyNumberFormat="1" applyFont="1" applyFill="1" applyBorder="1" applyAlignment="1">
      <alignment horizontal="left"/>
    </xf>
    <xf numFmtId="188" fontId="15" fillId="3" borderId="11" xfId="11" applyNumberFormat="1" applyFont="1" applyFill="1" applyBorder="1" applyAlignment="1">
      <alignment horizontal="left" indent="1"/>
    </xf>
    <xf numFmtId="188" fontId="12" fillId="3" borderId="0" xfId="0" applyNumberFormat="1" applyFont="1" applyFill="1"/>
    <xf numFmtId="188" fontId="12" fillId="3" borderId="10" xfId="0" applyNumberFormat="1" applyFont="1" applyFill="1" applyBorder="1"/>
    <xf numFmtId="188" fontId="15" fillId="3" borderId="11" xfId="11" applyNumberFormat="1" applyFont="1" applyFill="1" applyBorder="1" applyAlignment="1">
      <alignment horizontal="left" indent="2"/>
    </xf>
    <xf numFmtId="189" fontId="15" fillId="3" borderId="11" xfId="11" applyNumberFormat="1" applyFont="1" applyFill="1" applyBorder="1" applyAlignment="1">
      <alignment horizontal="left" indent="1"/>
    </xf>
    <xf numFmtId="189" fontId="0" fillId="3" borderId="0" xfId="0" applyNumberFormat="1" applyFill="1"/>
    <xf numFmtId="189" fontId="15" fillId="3" borderId="11" xfId="11" applyNumberFormat="1" applyFont="1" applyFill="1" applyBorder="1" applyAlignment="1">
      <alignment horizontal="left" indent="2"/>
    </xf>
    <xf numFmtId="188" fontId="0" fillId="3" borderId="0" xfId="0" applyNumberFormat="1" applyFill="1" applyAlignment="1">
      <alignment horizontal="left" indent="1"/>
    </xf>
    <xf numFmtId="189" fontId="0" fillId="3" borderId="0" xfId="0" applyNumberFormat="1" applyFill="1" applyAlignment="1">
      <alignment horizontal="left" indent="1"/>
    </xf>
    <xf numFmtId="167" fontId="6" fillId="3" borderId="7" xfId="0" applyNumberFormat="1" applyFont="1" applyFill="1" applyBorder="1"/>
    <xf numFmtId="167" fontId="13" fillId="3" borderId="7" xfId="0" applyNumberFormat="1" applyFont="1" applyFill="1" applyBorder="1"/>
    <xf numFmtId="167" fontId="0" fillId="3" borderId="2" xfId="0" applyNumberFormat="1" applyFill="1" applyBorder="1" applyAlignment="1">
      <alignment horizontal="left" indent="1"/>
    </xf>
    <xf numFmtId="167" fontId="12" fillId="3" borderId="2" xfId="0" applyNumberFormat="1" applyFont="1" applyFill="1" applyBorder="1" applyAlignment="1">
      <alignment horizontal="right"/>
    </xf>
    <xf numFmtId="167" fontId="0" fillId="3" borderId="2" xfId="0" applyNumberFormat="1" applyFill="1" applyBorder="1"/>
    <xf numFmtId="167" fontId="12" fillId="3" borderId="2" xfId="0" applyNumberFormat="1" applyFont="1" applyFill="1" applyBorder="1"/>
    <xf numFmtId="164" fontId="0" fillId="3" borderId="7" xfId="0" applyNumberFormat="1" applyFill="1" applyBorder="1" applyAlignment="1">
      <alignment horizontal="left" indent="1"/>
    </xf>
    <xf numFmtId="164" fontId="0" fillId="3" borderId="9" xfId="0" applyNumberFormat="1" applyFill="1" applyBorder="1" applyAlignment="1">
      <alignment horizontal="left" indent="1"/>
    </xf>
    <xf numFmtId="164" fontId="15" fillId="3" borderId="16" xfId="11" applyNumberFormat="1" applyFont="1" applyFill="1" applyBorder="1" applyAlignment="1">
      <alignment horizontal="left" indent="1"/>
    </xf>
    <xf numFmtId="164" fontId="12" fillId="3" borderId="16" xfId="0" applyNumberFormat="1" applyFont="1" applyFill="1" applyBorder="1"/>
    <xf numFmtId="164" fontId="15" fillId="3" borderId="16" xfId="11" applyNumberFormat="1" applyFont="1" applyFill="1" applyBorder="1"/>
    <xf numFmtId="164" fontId="15" fillId="3" borderId="2" xfId="11" applyNumberFormat="1" applyFont="1" applyFill="1" applyBorder="1"/>
    <xf numFmtId="167" fontId="12" fillId="3" borderId="4" xfId="0" applyNumberFormat="1" applyFont="1" applyFill="1" applyBorder="1"/>
    <xf numFmtId="164" fontId="12" fillId="3" borderId="4" xfId="0" applyNumberFormat="1" applyFont="1" applyFill="1" applyBorder="1"/>
    <xf numFmtId="164" fontId="12" fillId="3" borderId="1" xfId="0" applyNumberFormat="1" applyFont="1" applyFill="1" applyBorder="1"/>
    <xf numFmtId="164" fontId="15" fillId="3" borderId="5" xfId="11" applyNumberFormat="1" applyFont="1" applyFill="1" applyBorder="1" applyAlignment="1">
      <alignment horizontal="left" indent="1"/>
    </xf>
    <xf numFmtId="164" fontId="15" fillId="3" borderId="3" xfId="11" applyNumberFormat="1" applyFont="1" applyFill="1" applyBorder="1" applyAlignment="1">
      <alignment horizontal="left" indent="1"/>
    </xf>
    <xf numFmtId="164" fontId="16" fillId="3" borderId="17" xfId="11" applyNumberFormat="1" applyFont="1" applyFill="1" applyBorder="1"/>
    <xf numFmtId="174" fontId="15" fillId="3" borderId="18" xfId="11" applyNumberFormat="1" applyFont="1" applyFill="1" applyBorder="1" applyAlignment="1">
      <alignment horizontal="left" indent="1"/>
    </xf>
    <xf numFmtId="175" fontId="15" fillId="3" borderId="18" xfId="11" applyNumberFormat="1" applyFont="1" applyFill="1" applyBorder="1" applyAlignment="1">
      <alignment horizontal="left" indent="1"/>
    </xf>
    <xf numFmtId="176" fontId="15" fillId="3" borderId="18" xfId="11" applyNumberFormat="1" applyFont="1" applyFill="1" applyBorder="1" applyAlignment="1">
      <alignment horizontal="left" indent="1"/>
    </xf>
    <xf numFmtId="164" fontId="16" fillId="3" borderId="8" xfId="11" applyNumberFormat="1" applyFont="1" applyFill="1" applyBorder="1"/>
    <xf numFmtId="164" fontId="12" fillId="3" borderId="2" xfId="13" applyNumberFormat="1" applyFont="1" applyFill="1" applyBorder="1" applyAlignment="1">
      <alignment horizontal="left" indent="1"/>
    </xf>
    <xf numFmtId="164" fontId="12" fillId="3" borderId="2" xfId="13" applyNumberFormat="1" applyFont="1" applyFill="1" applyBorder="1" applyAlignment="1">
      <alignment horizontal="left" indent="3"/>
    </xf>
    <xf numFmtId="167" fontId="12" fillId="3" borderId="2" xfId="13" applyNumberFormat="1" applyFont="1" applyFill="1" applyBorder="1" applyAlignment="1">
      <alignment horizontal="left" indent="1"/>
    </xf>
    <xf numFmtId="167" fontId="15" fillId="3" borderId="2" xfId="2" applyNumberFormat="1" applyFont="1" applyFill="1" applyBorder="1"/>
    <xf numFmtId="167" fontId="12" fillId="3" borderId="2" xfId="13" applyNumberFormat="1" applyFont="1" applyFill="1" applyBorder="1" applyAlignment="1">
      <alignment horizontal="right"/>
    </xf>
    <xf numFmtId="0" fontId="32" fillId="3" borderId="0" xfId="13" applyFont="1" applyFill="1"/>
    <xf numFmtId="164" fontId="23" fillId="4" borderId="0" xfId="0" applyNumberFormat="1" applyFont="1" applyFill="1" applyAlignment="1">
      <alignment horizontal="left" indent="4"/>
    </xf>
    <xf numFmtId="164" fontId="0" fillId="3" borderId="7" xfId="0" applyNumberFormat="1" applyFill="1" applyBorder="1" applyAlignment="1">
      <alignment horizontal="left" indent="2"/>
    </xf>
    <xf numFmtId="164" fontId="0" fillId="3" borderId="0" xfId="0" applyNumberFormat="1" applyFill="1" applyAlignment="1">
      <alignment horizontal="left" indent="1"/>
    </xf>
    <xf numFmtId="164" fontId="6" fillId="3" borderId="0" xfId="0" applyNumberFormat="1" applyFont="1" applyFill="1"/>
    <xf numFmtId="167" fontId="13" fillId="3" borderId="0" xfId="0" applyNumberFormat="1" applyFont="1" applyFill="1"/>
    <xf numFmtId="167" fontId="13" fillId="3" borderId="0" xfId="13" applyNumberFormat="1" applyFont="1" applyFill="1"/>
    <xf numFmtId="180" fontId="13" fillId="3" borderId="0" xfId="13" applyNumberFormat="1" applyFont="1" applyFill="1"/>
    <xf numFmtId="181" fontId="13" fillId="3" borderId="0" xfId="13" applyNumberFormat="1" applyFont="1" applyFill="1"/>
    <xf numFmtId="166" fontId="6" fillId="3" borderId="0" xfId="0" applyNumberFormat="1" applyFont="1" applyFill="1" applyAlignment="1">
      <alignment horizontal="left"/>
    </xf>
    <xf numFmtId="166" fontId="6" fillId="3" borderId="7" xfId="0" applyNumberFormat="1" applyFont="1" applyFill="1" applyBorder="1" applyAlignment="1">
      <alignment horizontal="left"/>
    </xf>
    <xf numFmtId="166" fontId="6" fillId="3" borderId="7" xfId="0" applyNumberFormat="1" applyFont="1" applyFill="1" applyBorder="1"/>
    <xf numFmtId="167" fontId="29" fillId="3" borderId="0" xfId="0" applyNumberFormat="1" applyFont="1" applyFill="1"/>
    <xf numFmtId="166" fontId="0" fillId="3" borderId="0" xfId="0" applyNumberFormat="1" applyFill="1" applyAlignment="1">
      <alignment horizontal="left" indent="2"/>
    </xf>
    <xf numFmtId="166" fontId="12" fillId="3" borderId="0" xfId="13" applyNumberFormat="1" applyFont="1" applyFill="1" applyAlignment="1">
      <alignment horizontal="left" indent="3"/>
    </xf>
    <xf numFmtId="166" fontId="12" fillId="3" borderId="0" xfId="13" applyNumberFormat="1" applyFont="1" applyFill="1"/>
    <xf numFmtId="166" fontId="13" fillId="3" borderId="7" xfId="13" applyNumberFormat="1" applyFont="1" applyFill="1" applyBorder="1" applyAlignment="1">
      <alignment horizontal="left" indent="3"/>
    </xf>
    <xf numFmtId="166" fontId="13" fillId="3" borderId="7" xfId="13" applyNumberFormat="1" applyFont="1" applyFill="1" applyBorder="1"/>
    <xf numFmtId="166" fontId="13" fillId="3" borderId="0" xfId="13" applyNumberFormat="1" applyFont="1" applyFill="1"/>
    <xf numFmtId="166" fontId="12" fillId="5" borderId="0" xfId="13" applyNumberFormat="1" applyFont="1" applyFill="1"/>
    <xf numFmtId="166" fontId="13" fillId="5" borderId="0" xfId="13" applyNumberFormat="1" applyFont="1" applyFill="1" applyAlignment="1">
      <alignment horizontal="center"/>
    </xf>
    <xf numFmtId="166" fontId="13" fillId="3" borderId="0" xfId="0" applyNumberFormat="1" applyFont="1" applyFill="1"/>
    <xf numFmtId="166" fontId="0" fillId="3" borderId="2" xfId="0" applyNumberFormat="1" applyFill="1" applyBorder="1" applyAlignment="1">
      <alignment horizontal="left" indent="1"/>
    </xf>
    <xf numFmtId="166" fontId="0" fillId="3" borderId="2" xfId="0" applyNumberFormat="1" applyFill="1" applyBorder="1"/>
    <xf numFmtId="166" fontId="13" fillId="3" borderId="7" xfId="0" applyNumberFormat="1" applyFont="1" applyFill="1" applyBorder="1"/>
    <xf numFmtId="166" fontId="12" fillId="3" borderId="0" xfId="0" applyNumberFormat="1" applyFont="1" applyFill="1"/>
    <xf numFmtId="166" fontId="6" fillId="3" borderId="7" xfId="0" applyNumberFormat="1" applyFont="1" applyFill="1" applyBorder="1" applyAlignment="1">
      <alignment horizontal="right"/>
    </xf>
    <xf numFmtId="164" fontId="3" fillId="3" borderId="6" xfId="11" applyNumberFormat="1" applyFont="1" applyFill="1" applyBorder="1" applyAlignment="1">
      <alignment horizontal="left"/>
    </xf>
    <xf numFmtId="164" fontId="2" fillId="3" borderId="4" xfId="11" applyNumberFormat="1" applyFill="1" applyBorder="1" applyAlignment="1">
      <alignment horizontal="left" indent="1"/>
    </xf>
    <xf numFmtId="164" fontId="12" fillId="3" borderId="0" xfId="0" applyNumberFormat="1" applyFont="1" applyFill="1" applyAlignment="1">
      <alignment horizontal="left" indent="2"/>
    </xf>
    <xf numFmtId="166" fontId="0" fillId="3" borderId="2" xfId="0" applyNumberFormat="1" applyFill="1" applyBorder="1" applyAlignment="1">
      <alignment horizontal="left" indent="2"/>
    </xf>
    <xf numFmtId="166" fontId="12" fillId="3" borderId="0" xfId="0" applyNumberFormat="1" applyFont="1" applyFill="1" applyAlignment="1">
      <alignment horizontal="left" indent="2"/>
    </xf>
    <xf numFmtId="170" fontId="13" fillId="3" borderId="0" xfId="0" applyNumberFormat="1" applyFont="1" applyFill="1" applyAlignment="1">
      <alignment horizontal="right"/>
    </xf>
    <xf numFmtId="172" fontId="3" fillId="3" borderId="0" xfId="2" applyNumberFormat="1" applyFont="1" applyFill="1"/>
    <xf numFmtId="164" fontId="6" fillId="3" borderId="12" xfId="0" applyNumberFormat="1" applyFont="1" applyFill="1" applyBorder="1" applyAlignment="1">
      <alignment horizontal="left"/>
    </xf>
    <xf numFmtId="164" fontId="11" fillId="3" borderId="0" xfId="0" applyNumberFormat="1" applyFont="1" applyFill="1" applyAlignment="1">
      <alignment horizontal="left"/>
    </xf>
    <xf numFmtId="166" fontId="13" fillId="3" borderId="0" xfId="0" applyNumberFormat="1" applyFont="1" applyFill="1" applyAlignment="1">
      <alignment horizontal="right"/>
    </xf>
    <xf numFmtId="178" fontId="13" fillId="3" borderId="0" xfId="13" applyNumberFormat="1" applyFont="1" applyFill="1" applyAlignment="1">
      <alignment horizontal="left" indent="1"/>
    </xf>
    <xf numFmtId="188" fontId="13" fillId="3" borderId="0" xfId="13" applyNumberFormat="1" applyFont="1" applyFill="1" applyAlignment="1">
      <alignment horizontal="right"/>
    </xf>
    <xf numFmtId="166" fontId="14" fillId="4" borderId="0" xfId="13" applyNumberFormat="1" applyFont="1" applyFill="1"/>
    <xf numFmtId="0" fontId="23" fillId="4" borderId="0" xfId="13" applyFont="1" applyFill="1"/>
    <xf numFmtId="166" fontId="14" fillId="4" borderId="0" xfId="0" applyNumberFormat="1" applyFont="1" applyFill="1"/>
    <xf numFmtId="192" fontId="15" fillId="3" borderId="19" xfId="11" applyNumberFormat="1" applyFont="1" applyFill="1" applyBorder="1" applyAlignment="1">
      <alignment horizontal="left" indent="1"/>
    </xf>
    <xf numFmtId="164" fontId="11" fillId="3" borderId="0" xfId="0" applyNumberFormat="1" applyFont="1" applyFill="1"/>
    <xf numFmtId="166" fontId="13" fillId="3" borderId="7" xfId="13" applyNumberFormat="1" applyFont="1" applyFill="1" applyBorder="1" applyAlignment="1">
      <alignment horizontal="left"/>
    </xf>
    <xf numFmtId="166" fontId="12" fillId="3" borderId="0" xfId="13" applyNumberFormat="1" applyFont="1" applyFill="1" applyAlignment="1">
      <alignment horizontal="left" indent="1"/>
    </xf>
    <xf numFmtId="166" fontId="12" fillId="3" borderId="2" xfId="13" applyNumberFormat="1" applyFont="1" applyFill="1" applyBorder="1" applyAlignment="1">
      <alignment horizontal="left" indent="1"/>
    </xf>
    <xf numFmtId="166" fontId="12" fillId="3" borderId="2" xfId="13" applyNumberFormat="1" applyFont="1" applyFill="1" applyBorder="1" applyAlignment="1">
      <alignment horizontal="left" indent="3"/>
    </xf>
    <xf numFmtId="166" fontId="12" fillId="3" borderId="2" xfId="13" applyNumberFormat="1" applyFont="1" applyFill="1" applyBorder="1"/>
    <xf numFmtId="177" fontId="2" fillId="3" borderId="0" xfId="0" applyNumberFormat="1" applyFont="1" applyFill="1" applyAlignment="1">
      <alignment horizontal="left"/>
    </xf>
    <xf numFmtId="186" fontId="3" fillId="3" borderId="0" xfId="0" applyNumberFormat="1" applyFont="1" applyFill="1" applyAlignment="1">
      <alignment horizontal="left"/>
    </xf>
    <xf numFmtId="169" fontId="5" fillId="3" borderId="0" xfId="2" applyNumberFormat="1" applyFont="1" applyFill="1" applyAlignment="1">
      <alignment horizontal="center"/>
    </xf>
    <xf numFmtId="164" fontId="6" fillId="3" borderId="0" xfId="0" applyNumberFormat="1" applyFont="1" applyFill="1" applyAlignment="1">
      <alignment horizontal="center"/>
    </xf>
    <xf numFmtId="187" fontId="3" fillId="3" borderId="0" xfId="0" applyNumberFormat="1" applyFont="1" applyFill="1"/>
    <xf numFmtId="185" fontId="17" fillId="3" borderId="0" xfId="1" applyNumberFormat="1" applyFont="1" applyFill="1"/>
    <xf numFmtId="169" fontId="12" fillId="3" borderId="0" xfId="0" applyNumberFormat="1" applyFont="1" applyFill="1"/>
    <xf numFmtId="172" fontId="12" fillId="3" borderId="0" xfId="0" applyNumberFormat="1" applyFont="1" applyFill="1"/>
    <xf numFmtId="168" fontId="15" fillId="3" borderId="0" xfId="0" applyNumberFormat="1" applyFont="1" applyFill="1" applyAlignment="1">
      <alignment horizontal="center"/>
    </xf>
    <xf numFmtId="0" fontId="12" fillId="3" borderId="0" xfId="0" applyFont="1" applyFill="1"/>
    <xf numFmtId="0" fontId="16" fillId="3" borderId="0" xfId="2" applyNumberFormat="1" applyFont="1" applyFill="1" applyAlignment="1">
      <alignment horizontal="center"/>
    </xf>
    <xf numFmtId="164" fontId="19" fillId="3" borderId="0" xfId="0" applyNumberFormat="1" applyFont="1" applyFill="1" applyAlignment="1">
      <alignment horizontal="left"/>
    </xf>
    <xf numFmtId="167" fontId="20" fillId="3" borderId="0" xfId="2" applyNumberFormat="1" applyFont="1" applyFill="1"/>
    <xf numFmtId="167" fontId="19" fillId="3" borderId="0" xfId="0" applyNumberFormat="1" applyFont="1" applyFill="1" applyAlignment="1">
      <alignment horizontal="right"/>
    </xf>
    <xf numFmtId="166" fontId="12" fillId="3" borderId="0" xfId="0" applyNumberFormat="1" applyFont="1" applyFill="1" applyAlignment="1">
      <alignment horizontal="left" indent="4"/>
    </xf>
    <xf numFmtId="166" fontId="13" fillId="3" borderId="7" xfId="0" applyNumberFormat="1" applyFont="1" applyFill="1" applyBorder="1" applyAlignment="1">
      <alignment horizontal="left" indent="4"/>
    </xf>
    <xf numFmtId="166" fontId="13" fillId="3" borderId="0" xfId="0" applyNumberFormat="1" applyFont="1" applyFill="1" applyAlignment="1">
      <alignment horizontal="left"/>
    </xf>
    <xf numFmtId="166" fontId="13" fillId="3" borderId="0" xfId="0" applyNumberFormat="1" applyFont="1" applyFill="1" applyAlignment="1">
      <alignment horizontal="left" indent="4"/>
    </xf>
    <xf numFmtId="166" fontId="12" fillId="3" borderId="2" xfId="0" applyNumberFormat="1" applyFont="1" applyFill="1" applyBorder="1" applyAlignment="1">
      <alignment horizontal="left" indent="4"/>
    </xf>
    <xf numFmtId="166" fontId="12" fillId="3" borderId="2" xfId="0" applyNumberFormat="1" applyFont="1" applyFill="1" applyBorder="1"/>
    <xf numFmtId="169" fontId="12" fillId="3" borderId="0" xfId="0" applyNumberFormat="1" applyFont="1" applyFill="1" applyAlignment="1">
      <alignment horizontal="left" indent="4"/>
    </xf>
    <xf numFmtId="169" fontId="13" fillId="3" borderId="0" xfId="0" applyNumberFormat="1" applyFont="1" applyFill="1" applyAlignment="1">
      <alignment horizontal="left" indent="4"/>
    </xf>
    <xf numFmtId="164" fontId="13" fillId="3" borderId="0" xfId="0" applyNumberFormat="1" applyFont="1" applyFill="1" applyAlignment="1">
      <alignment horizontal="left" indent="4"/>
    </xf>
    <xf numFmtId="167" fontId="12" fillId="3" borderId="0" xfId="0" applyNumberFormat="1" applyFont="1" applyFill="1" applyAlignment="1">
      <alignment horizontal="left" indent="4"/>
    </xf>
    <xf numFmtId="185" fontId="17" fillId="3" borderId="0" xfId="1" applyNumberFormat="1" applyFont="1" applyFill="1" applyAlignment="1">
      <alignment horizontal="left" indent="4"/>
    </xf>
    <xf numFmtId="167" fontId="12" fillId="3" borderId="2" xfId="0" applyNumberFormat="1" applyFont="1" applyFill="1" applyBorder="1" applyAlignment="1">
      <alignment horizontal="left" indent="4"/>
    </xf>
    <xf numFmtId="167" fontId="13" fillId="3" borderId="7" xfId="0" applyNumberFormat="1" applyFont="1" applyFill="1" applyBorder="1" applyAlignment="1">
      <alignment horizontal="left" indent="4"/>
    </xf>
    <xf numFmtId="166" fontId="12" fillId="3" borderId="0" xfId="0" applyNumberFormat="1" applyFont="1" applyFill="1" applyAlignment="1">
      <alignment horizontal="left"/>
    </xf>
    <xf numFmtId="166" fontId="13" fillId="3" borderId="2" xfId="0" applyNumberFormat="1" applyFont="1" applyFill="1" applyBorder="1" applyAlignment="1">
      <alignment horizontal="left" indent="4"/>
    </xf>
    <xf numFmtId="166" fontId="12" fillId="3" borderId="0" xfId="0" applyNumberFormat="1" applyFont="1" applyFill="1" applyAlignment="1">
      <alignment horizontal="right"/>
    </xf>
    <xf numFmtId="166" fontId="13" fillId="3" borderId="7" xfId="0" applyNumberFormat="1" applyFont="1" applyFill="1" applyBorder="1" applyAlignment="1">
      <alignment horizontal="right"/>
    </xf>
    <xf numFmtId="167" fontId="21" fillId="3" borderId="0" xfId="2" applyNumberFormat="1" applyFont="1" applyFill="1" applyAlignment="1">
      <alignment horizontal="left" indent="1"/>
    </xf>
    <xf numFmtId="164" fontId="13" fillId="3" borderId="9" xfId="0" applyNumberFormat="1" applyFont="1" applyFill="1" applyBorder="1" applyAlignment="1">
      <alignment horizontal="left" indent="3"/>
    </xf>
    <xf numFmtId="164" fontId="12" fillId="3" borderId="7" xfId="0" applyNumberFormat="1" applyFont="1" applyFill="1" applyBorder="1" applyAlignment="1">
      <alignment horizontal="left" indent="1"/>
    </xf>
    <xf numFmtId="167" fontId="12" fillId="3" borderId="0" xfId="0" applyNumberFormat="1" applyFont="1" applyFill="1" applyAlignment="1">
      <alignment horizontal="left" indent="1"/>
    </xf>
    <xf numFmtId="167" fontId="12" fillId="3" borderId="0" xfId="0" applyNumberFormat="1" applyFont="1" applyFill="1" applyAlignment="1">
      <alignment horizontal="left" indent="3"/>
    </xf>
    <xf numFmtId="164" fontId="12" fillId="3" borderId="9" xfId="0" applyNumberFormat="1" applyFont="1" applyFill="1" applyBorder="1" applyAlignment="1">
      <alignment horizontal="left" indent="3"/>
    </xf>
    <xf numFmtId="164" fontId="21" fillId="3" borderId="7" xfId="0" applyNumberFormat="1" applyFont="1" applyFill="1" applyBorder="1" applyAlignment="1">
      <alignment horizontal="left" indent="1"/>
    </xf>
    <xf numFmtId="164" fontId="17" fillId="3" borderId="7" xfId="0" applyNumberFormat="1" applyFont="1" applyFill="1" applyBorder="1" applyAlignment="1">
      <alignment horizontal="left" indent="3"/>
    </xf>
    <xf numFmtId="167" fontId="13" fillId="3" borderId="0" xfId="0" applyNumberFormat="1" applyFont="1" applyFill="1" applyAlignment="1">
      <alignment horizontal="left" indent="3"/>
    </xf>
    <xf numFmtId="169" fontId="13" fillId="3" borderId="0" xfId="0" applyNumberFormat="1" applyFont="1" applyFill="1" applyAlignment="1">
      <alignment horizontal="left" indent="3"/>
    </xf>
    <xf numFmtId="172" fontId="12" fillId="3" borderId="0" xfId="0" applyNumberFormat="1" applyFont="1" applyFill="1" applyAlignment="1">
      <alignment horizontal="left" indent="3"/>
    </xf>
    <xf numFmtId="172" fontId="15" fillId="3" borderId="0" xfId="2" applyNumberFormat="1" applyFont="1" applyFill="1"/>
    <xf numFmtId="172" fontId="13" fillId="3" borderId="0" xfId="0" applyNumberFormat="1" applyFont="1" applyFill="1" applyAlignment="1">
      <alignment horizontal="left" indent="3"/>
    </xf>
    <xf numFmtId="170" fontId="13" fillId="3" borderId="0" xfId="0" applyNumberFormat="1" applyFont="1" applyFill="1" applyAlignment="1">
      <alignment horizontal="left" indent="3"/>
    </xf>
    <xf numFmtId="170" fontId="13" fillId="3" borderId="0" xfId="0" applyNumberFormat="1" applyFont="1" applyFill="1"/>
    <xf numFmtId="0" fontId="12" fillId="3" borderId="0" xfId="0" applyFont="1" applyFill="1" applyAlignment="1">
      <alignment horizontal="left" indent="3"/>
    </xf>
    <xf numFmtId="170" fontId="15" fillId="3" borderId="0" xfId="0" applyNumberFormat="1" applyFont="1" applyFill="1"/>
    <xf numFmtId="170" fontId="12" fillId="3" borderId="0" xfId="0" applyNumberFormat="1" applyFont="1" applyFill="1" applyAlignment="1">
      <alignment horizontal="left" indent="3"/>
    </xf>
    <xf numFmtId="170" fontId="12" fillId="3" borderId="0" xfId="0" applyNumberFormat="1" applyFont="1" applyFill="1"/>
    <xf numFmtId="167" fontId="12" fillId="3" borderId="0" xfId="0" applyNumberFormat="1" applyFont="1" applyFill="1" applyAlignment="1">
      <alignment horizontal="left"/>
    </xf>
    <xf numFmtId="188" fontId="15" fillId="3" borderId="0" xfId="2" applyNumberFormat="1" applyFont="1" applyFill="1"/>
    <xf numFmtId="189" fontId="15" fillId="3" borderId="0" xfId="2" applyNumberFormat="1" applyFont="1" applyFill="1"/>
    <xf numFmtId="185" fontId="13" fillId="3" borderId="0" xfId="0" applyNumberFormat="1" applyFont="1" applyFill="1"/>
    <xf numFmtId="167" fontId="19" fillId="3" borderId="0" xfId="0" applyNumberFormat="1" applyFont="1" applyFill="1" applyAlignment="1">
      <alignment horizontal="left" indent="3"/>
    </xf>
    <xf numFmtId="164" fontId="13" fillId="3" borderId="12" xfId="0" applyNumberFormat="1" applyFont="1" applyFill="1" applyBorder="1" applyAlignment="1">
      <alignment horizontal="left" indent="3"/>
    </xf>
    <xf numFmtId="164" fontId="15" fillId="3" borderId="13" xfId="11" applyNumberFormat="1" applyFont="1" applyFill="1" applyBorder="1" applyAlignment="1">
      <alignment horizontal="left" indent="1"/>
    </xf>
    <xf numFmtId="166" fontId="13" fillId="3" borderId="11" xfId="0" applyNumberFormat="1" applyFont="1" applyFill="1" applyBorder="1"/>
    <xf numFmtId="166" fontId="12" fillId="3" borderId="11" xfId="0" applyNumberFormat="1" applyFont="1" applyFill="1" applyBorder="1"/>
    <xf numFmtId="166" fontId="12" fillId="3" borderId="13" xfId="0" applyNumberFormat="1" applyFont="1" applyFill="1" applyBorder="1"/>
    <xf numFmtId="0" fontId="13" fillId="3" borderId="0" xfId="0" applyFont="1" applyFill="1"/>
    <xf numFmtId="164" fontId="15" fillId="3" borderId="1" xfId="11" applyNumberFormat="1" applyFont="1" applyFill="1" applyBorder="1" applyAlignment="1">
      <alignment horizontal="left" indent="1"/>
    </xf>
    <xf numFmtId="166" fontId="15" fillId="3" borderId="13" xfId="11" applyNumberFormat="1" applyFont="1" applyFill="1" applyBorder="1"/>
    <xf numFmtId="0" fontId="12" fillId="3" borderId="12" xfId="0" applyFont="1" applyFill="1" applyBorder="1"/>
    <xf numFmtId="0" fontId="13" fillId="3" borderId="6" xfId="0" applyFont="1" applyFill="1" applyBorder="1"/>
    <xf numFmtId="167" fontId="14" fillId="4" borderId="20" xfId="0" applyNumberFormat="1" applyFont="1" applyFill="1" applyBorder="1"/>
    <xf numFmtId="166" fontId="12" fillId="3" borderId="20" xfId="0" applyNumberFormat="1" applyFont="1" applyFill="1" applyBorder="1"/>
    <xf numFmtId="166" fontId="13" fillId="3" borderId="20" xfId="0" applyNumberFormat="1" applyFont="1" applyFill="1" applyBorder="1"/>
    <xf numFmtId="0" fontId="12" fillId="3" borderId="20" xfId="0" applyFont="1" applyFill="1" applyBorder="1"/>
    <xf numFmtId="0" fontId="13" fillId="3" borderId="20" xfId="0" applyFont="1" applyFill="1" applyBorder="1"/>
    <xf numFmtId="166" fontId="12" fillId="3" borderId="21" xfId="0" applyNumberFormat="1" applyFont="1" applyFill="1" applyBorder="1"/>
    <xf numFmtId="164" fontId="12" fillId="3" borderId="22" xfId="0" applyNumberFormat="1" applyFont="1" applyFill="1" applyBorder="1"/>
    <xf numFmtId="164" fontId="12" fillId="3" borderId="23" xfId="0" applyNumberFormat="1" applyFont="1" applyFill="1" applyBorder="1"/>
    <xf numFmtId="188" fontId="12" fillId="3" borderId="20" xfId="0" applyNumberFormat="1" applyFont="1" applyFill="1" applyBorder="1"/>
    <xf numFmtId="164" fontId="22" fillId="4" borderId="20" xfId="13" applyNumberFormat="1" applyFont="1" applyFill="1" applyBorder="1"/>
    <xf numFmtId="167" fontId="23" fillId="4" borderId="20" xfId="13" applyNumberFormat="1" applyFont="1" applyFill="1" applyBorder="1"/>
    <xf numFmtId="191" fontId="12" fillId="3" borderId="0" xfId="0" applyNumberFormat="1" applyFont="1" applyFill="1"/>
    <xf numFmtId="167" fontId="21" fillId="3" borderId="0" xfId="2" applyNumberFormat="1" applyFont="1" applyFill="1"/>
    <xf numFmtId="167" fontId="0" fillId="3" borderId="0" xfId="0" applyNumberFormat="1" applyFill="1" applyAlignment="1">
      <alignment horizontal="left" indent="3"/>
    </xf>
    <xf numFmtId="167" fontId="0" fillId="3" borderId="2" xfId="0" applyNumberFormat="1" applyFill="1" applyBorder="1" applyAlignment="1">
      <alignment horizontal="left" indent="3"/>
    </xf>
    <xf numFmtId="167" fontId="11" fillId="3" borderId="0" xfId="0" applyNumberFormat="1" applyFont="1" applyFill="1"/>
    <xf numFmtId="166" fontId="17" fillId="3" borderId="0" xfId="0" applyNumberFormat="1" applyFont="1" applyFill="1" applyAlignment="1">
      <alignment horizontal="left" indent="4"/>
    </xf>
    <xf numFmtId="166" fontId="11" fillId="3" borderId="0" xfId="0" applyNumberFormat="1" applyFont="1" applyFill="1" applyAlignment="1">
      <alignment horizontal="left" indent="1"/>
    </xf>
    <xf numFmtId="167" fontId="17" fillId="3" borderId="0" xfId="0" applyNumberFormat="1" applyFont="1" applyFill="1" applyAlignment="1">
      <alignment horizontal="left" indent="4"/>
    </xf>
    <xf numFmtId="169" fontId="0" fillId="3" borderId="0" xfId="0" applyNumberFormat="1" applyFill="1" applyAlignment="1">
      <alignment horizontal="left" indent="1"/>
    </xf>
    <xf numFmtId="193" fontId="15" fillId="3" borderId="0" xfId="2" applyNumberFormat="1" applyFont="1" applyFill="1"/>
    <xf numFmtId="193" fontId="12" fillId="3" borderId="0" xfId="0" applyNumberFormat="1" applyFont="1" applyFill="1" applyAlignment="1">
      <alignment horizontal="right"/>
    </xf>
    <xf numFmtId="193" fontId="0" fillId="3" borderId="0" xfId="0" applyNumberFormat="1" applyFill="1"/>
    <xf numFmtId="169" fontId="6" fillId="3" borderId="0" xfId="0" applyNumberFormat="1" applyFont="1" applyFill="1" applyAlignment="1">
      <alignment horizontal="left"/>
    </xf>
    <xf numFmtId="169" fontId="17" fillId="3" borderId="0" xfId="0" applyNumberFormat="1" applyFont="1" applyFill="1" applyAlignment="1">
      <alignment horizontal="left" indent="1"/>
    </xf>
    <xf numFmtId="164" fontId="17" fillId="3" borderId="0" xfId="0" applyNumberFormat="1" applyFont="1" applyFill="1" applyAlignment="1">
      <alignment horizontal="left" indent="4"/>
    </xf>
    <xf numFmtId="169" fontId="11" fillId="3" borderId="0" xfId="0" applyNumberFormat="1" applyFont="1" applyFill="1" applyAlignment="1">
      <alignment horizontal="left" indent="1"/>
    </xf>
    <xf numFmtId="169" fontId="17" fillId="3" borderId="0" xfId="0" applyNumberFormat="1" applyFont="1" applyFill="1" applyAlignment="1">
      <alignment horizontal="left" indent="4"/>
    </xf>
    <xf numFmtId="167" fontId="11" fillId="3" borderId="0" xfId="0" applyNumberFormat="1" applyFont="1" applyFill="1" applyAlignment="1">
      <alignment horizontal="left"/>
    </xf>
    <xf numFmtId="167" fontId="21" fillId="3" borderId="0" xfId="2" applyNumberFormat="1" applyFont="1" applyFill="1" applyAlignment="1">
      <alignment horizontal="left"/>
    </xf>
    <xf numFmtId="167" fontId="17" fillId="3" borderId="0" xfId="0" applyNumberFormat="1" applyFont="1" applyFill="1" applyAlignment="1">
      <alignment horizontal="left"/>
    </xf>
    <xf numFmtId="167" fontId="12" fillId="3" borderId="2" xfId="0" applyNumberFormat="1" applyFont="1" applyFill="1" applyBorder="1" applyAlignment="1">
      <alignment horizontal="left" indent="1"/>
    </xf>
    <xf numFmtId="167" fontId="13" fillId="3" borderId="0" xfId="0" applyNumberFormat="1" applyFont="1" applyFill="1" applyAlignment="1">
      <alignment horizontal="left"/>
    </xf>
    <xf numFmtId="167" fontId="13" fillId="3" borderId="0" xfId="0" applyNumberFormat="1" applyFont="1" applyFill="1" applyAlignment="1">
      <alignment horizontal="left" indent="4"/>
    </xf>
    <xf numFmtId="166" fontId="17" fillId="3" borderId="0" xfId="0" applyNumberFormat="1" applyFont="1" applyFill="1" applyAlignment="1">
      <alignment horizontal="left" indent="1"/>
    </xf>
    <xf numFmtId="166" fontId="12" fillId="3" borderId="0" xfId="0" applyNumberFormat="1" applyFont="1" applyFill="1" applyAlignment="1">
      <alignment horizontal="left" indent="1"/>
    </xf>
    <xf numFmtId="166" fontId="12" fillId="3" borderId="2" xfId="0" applyNumberFormat="1" applyFont="1" applyFill="1" applyBorder="1" applyAlignment="1">
      <alignment horizontal="left" indent="1"/>
    </xf>
    <xf numFmtId="166" fontId="12" fillId="3" borderId="2" xfId="0" applyNumberFormat="1" applyFont="1" applyFill="1" applyBorder="1" applyAlignment="1">
      <alignment horizontal="left" indent="2"/>
    </xf>
    <xf numFmtId="193" fontId="12" fillId="3" borderId="0" xfId="0" applyNumberFormat="1" applyFont="1" applyFill="1" applyAlignment="1">
      <alignment horizontal="left" indent="2"/>
    </xf>
    <xf numFmtId="193" fontId="12" fillId="3" borderId="2" xfId="0" applyNumberFormat="1" applyFont="1" applyFill="1" applyBorder="1" applyAlignment="1">
      <alignment horizontal="left" indent="2"/>
    </xf>
    <xf numFmtId="193" fontId="15" fillId="3" borderId="2" xfId="2" applyNumberFormat="1" applyFont="1" applyFill="1" applyBorder="1"/>
    <xf numFmtId="193" fontId="12" fillId="3" borderId="2" xfId="0" applyNumberFormat="1" applyFont="1" applyFill="1" applyBorder="1" applyAlignment="1">
      <alignment horizontal="right"/>
    </xf>
    <xf numFmtId="193" fontId="12" fillId="3" borderId="0" xfId="0" applyNumberFormat="1" applyFont="1" applyFill="1" applyAlignment="1">
      <alignment horizontal="left" indent="1"/>
    </xf>
    <xf numFmtId="193" fontId="12" fillId="3" borderId="2" xfId="0" applyNumberFormat="1" applyFont="1" applyFill="1" applyBorder="1" applyAlignment="1">
      <alignment horizontal="left" indent="1"/>
    </xf>
    <xf numFmtId="166" fontId="12" fillId="3" borderId="0" xfId="0" applyNumberFormat="1" applyFont="1" applyFill="1" applyAlignment="1">
      <alignment horizontal="left" indent="3"/>
    </xf>
    <xf numFmtId="166" fontId="12" fillId="3" borderId="2" xfId="0" applyNumberFormat="1" applyFont="1" applyFill="1" applyBorder="1" applyAlignment="1">
      <alignment horizontal="left" indent="3"/>
    </xf>
    <xf numFmtId="0" fontId="33" fillId="3" borderId="0" xfId="9" applyFont="1" applyFill="1"/>
    <xf numFmtId="168" fontId="15" fillId="3" borderId="0" xfId="13" applyNumberFormat="1" applyFont="1" applyFill="1" applyAlignment="1">
      <alignment horizontal="center"/>
    </xf>
    <xf numFmtId="186" fontId="3" fillId="3" borderId="0" xfId="13" applyNumberFormat="1" applyFont="1" applyFill="1" applyAlignment="1">
      <alignment horizontal="left"/>
    </xf>
    <xf numFmtId="169" fontId="5" fillId="3" borderId="0" xfId="19" applyNumberFormat="1" applyFont="1" applyFill="1" applyAlignment="1">
      <alignment horizontal="center"/>
    </xf>
    <xf numFmtId="187" fontId="3" fillId="3" borderId="0" xfId="13" applyNumberFormat="1" applyFont="1" applyFill="1"/>
    <xf numFmtId="0" fontId="6" fillId="3" borderId="0" xfId="13" applyFont="1" applyFill="1" applyAlignment="1">
      <alignment horizontal="center"/>
    </xf>
    <xf numFmtId="182" fontId="3" fillId="3" borderId="0" xfId="13" applyNumberFormat="1" applyFont="1" applyFill="1"/>
    <xf numFmtId="0" fontId="16" fillId="3" borderId="0" xfId="19" applyNumberFormat="1" applyFont="1" applyFill="1" applyAlignment="1">
      <alignment horizontal="center"/>
    </xf>
    <xf numFmtId="166" fontId="46" fillId="3" borderId="0" xfId="13" applyNumberFormat="1" applyFill="1"/>
    <xf numFmtId="164" fontId="6" fillId="3" borderId="0" xfId="13" applyNumberFormat="1" applyFont="1" applyFill="1"/>
    <xf numFmtId="166" fontId="6" fillId="3" borderId="0" xfId="13" applyNumberFormat="1" applyFont="1" applyFill="1"/>
    <xf numFmtId="0" fontId="46" fillId="3" borderId="0" xfId="13" applyFill="1"/>
    <xf numFmtId="166" fontId="13" fillId="3" borderId="0" xfId="13" applyNumberFormat="1" applyFont="1" applyFill="1" applyAlignment="1">
      <alignment horizontal="left"/>
    </xf>
    <xf numFmtId="166" fontId="13" fillId="3" borderId="0" xfId="13" applyNumberFormat="1" applyFont="1" applyFill="1" applyAlignment="1">
      <alignment horizontal="left" indent="4"/>
    </xf>
    <xf numFmtId="194" fontId="46" fillId="3" borderId="20" xfId="13" applyNumberFormat="1" applyFill="1" applyBorder="1"/>
    <xf numFmtId="166" fontId="16" fillId="3" borderId="0" xfId="2" applyNumberFormat="1" applyFont="1" applyFill="1"/>
    <xf numFmtId="193" fontId="16" fillId="3" borderId="0" xfId="2" applyNumberFormat="1" applyFont="1" applyFill="1"/>
    <xf numFmtId="193" fontId="13" fillId="3" borderId="0" xfId="0" applyNumberFormat="1" applyFont="1" applyFill="1" applyAlignment="1">
      <alignment horizontal="right"/>
    </xf>
    <xf numFmtId="193" fontId="6" fillId="3" borderId="0" xfId="0" applyNumberFormat="1" applyFont="1" applyFill="1"/>
    <xf numFmtId="193" fontId="17" fillId="3" borderId="0" xfId="0" applyNumberFormat="1" applyFont="1" applyFill="1" applyAlignment="1">
      <alignment horizontal="left" indent="1"/>
    </xf>
    <xf numFmtId="193" fontId="21" fillId="3" borderId="0" xfId="2" applyNumberFormat="1" applyFont="1" applyFill="1"/>
    <xf numFmtId="167" fontId="11" fillId="3" borderId="0" xfId="0" applyNumberFormat="1" applyFont="1" applyFill="1" applyAlignment="1">
      <alignment horizontal="left" indent="2"/>
    </xf>
    <xf numFmtId="167" fontId="21" fillId="3" borderId="2" xfId="2" applyNumberFormat="1" applyFont="1" applyFill="1" applyBorder="1"/>
    <xf numFmtId="167" fontId="17" fillId="3" borderId="2" xfId="0" applyNumberFormat="1" applyFont="1" applyFill="1" applyBorder="1" applyAlignment="1">
      <alignment horizontal="right"/>
    </xf>
    <xf numFmtId="167" fontId="11" fillId="3" borderId="2" xfId="0" applyNumberFormat="1" applyFont="1" applyFill="1" applyBorder="1" applyAlignment="1">
      <alignment horizontal="right"/>
    </xf>
    <xf numFmtId="167" fontId="11" fillId="3" borderId="2" xfId="0" applyNumberFormat="1" applyFont="1" applyFill="1" applyBorder="1" applyAlignment="1">
      <alignment horizontal="left" indent="2"/>
    </xf>
    <xf numFmtId="167" fontId="17" fillId="3" borderId="2" xfId="0" applyNumberFormat="1" applyFont="1" applyFill="1" applyBorder="1" applyAlignment="1">
      <alignment horizontal="left" indent="1"/>
    </xf>
    <xf numFmtId="166" fontId="21" fillId="3" borderId="0" xfId="2" applyNumberFormat="1" applyFont="1" applyFill="1"/>
    <xf numFmtId="167" fontId="21" fillId="3" borderId="2" xfId="0" applyNumberFormat="1" applyFont="1" applyFill="1" applyBorder="1" applyAlignment="1">
      <alignment horizontal="left" indent="2"/>
    </xf>
    <xf numFmtId="167" fontId="17" fillId="3" borderId="2" xfId="0" applyNumberFormat="1" applyFont="1" applyFill="1" applyBorder="1" applyAlignment="1">
      <alignment horizontal="left" indent="3"/>
    </xf>
    <xf numFmtId="167" fontId="17" fillId="3" borderId="2" xfId="0" applyNumberFormat="1" applyFont="1" applyFill="1" applyBorder="1"/>
    <xf numFmtId="167" fontId="21" fillId="3" borderId="2" xfId="0" applyNumberFormat="1" applyFont="1" applyFill="1" applyBorder="1"/>
    <xf numFmtId="193" fontId="13" fillId="3" borderId="0" xfId="0" applyNumberFormat="1" applyFont="1" applyFill="1" applyAlignment="1">
      <alignment horizontal="left"/>
    </xf>
    <xf numFmtId="167" fontId="13" fillId="3" borderId="9" xfId="0" applyNumberFormat="1" applyFont="1" applyFill="1" applyBorder="1" applyAlignment="1">
      <alignment horizontal="left" indent="2"/>
    </xf>
    <xf numFmtId="167" fontId="16" fillId="3" borderId="9" xfId="2" applyNumberFormat="1" applyFont="1" applyFill="1" applyBorder="1"/>
    <xf numFmtId="167" fontId="13" fillId="3" borderId="9" xfId="0" applyNumberFormat="1" applyFont="1" applyFill="1" applyBorder="1" applyAlignment="1">
      <alignment horizontal="right"/>
    </xf>
    <xf numFmtId="167" fontId="12" fillId="3" borderId="0" xfId="13" applyNumberFormat="1" applyFont="1" applyFill="1" applyAlignment="1">
      <alignment horizontal="left" indent="3"/>
    </xf>
    <xf numFmtId="167" fontId="15" fillId="3" borderId="0" xfId="2" applyNumberFormat="1" applyFont="1" applyFill="1" applyAlignment="1">
      <alignment horizontal="left" indent="1"/>
    </xf>
    <xf numFmtId="167" fontId="15" fillId="3" borderId="0" xfId="2" applyNumberFormat="1" applyFont="1" applyFill="1" applyAlignment="1">
      <alignment horizontal="left" indent="2"/>
    </xf>
    <xf numFmtId="167" fontId="15" fillId="3" borderId="2" xfId="2" applyNumberFormat="1" applyFont="1" applyFill="1" applyBorder="1" applyAlignment="1">
      <alignment horizontal="left" indent="2"/>
    </xf>
    <xf numFmtId="167" fontId="12" fillId="3" borderId="2" xfId="13" applyNumberFormat="1" applyFont="1" applyFill="1" applyBorder="1" applyAlignment="1">
      <alignment horizontal="left" indent="3"/>
    </xf>
    <xf numFmtId="167" fontId="12" fillId="3" borderId="2" xfId="13" applyNumberFormat="1" applyFont="1" applyFill="1" applyBorder="1"/>
    <xf numFmtId="167" fontId="16" fillId="3" borderId="0" xfId="2" applyNumberFormat="1" applyFont="1" applyFill="1" applyAlignment="1">
      <alignment horizontal="left" indent="1"/>
    </xf>
    <xf numFmtId="167" fontId="13" fillId="3" borderId="0" xfId="13" applyNumberFormat="1" applyFont="1" applyFill="1" applyAlignment="1">
      <alignment horizontal="left" indent="3"/>
    </xf>
    <xf numFmtId="167" fontId="15" fillId="3" borderId="2" xfId="2" applyNumberFormat="1" applyFont="1" applyFill="1" applyBorder="1" applyAlignment="1">
      <alignment horizontal="left" indent="1"/>
    </xf>
    <xf numFmtId="164" fontId="20" fillId="3" borderId="0" xfId="2" applyNumberFormat="1" applyFont="1" applyFill="1"/>
    <xf numFmtId="164" fontId="29" fillId="3" borderId="0" xfId="0" applyNumberFormat="1" applyFont="1" applyFill="1"/>
    <xf numFmtId="164" fontId="15" fillId="3" borderId="0" xfId="2" applyNumberFormat="1" applyFont="1" applyFill="1"/>
    <xf numFmtId="166" fontId="15" fillId="3" borderId="2" xfId="2" applyNumberFormat="1" applyFont="1" applyFill="1" applyBorder="1"/>
    <xf numFmtId="166" fontId="12" fillId="3" borderId="2" xfId="0" applyNumberFormat="1" applyFont="1" applyFill="1" applyBorder="1" applyAlignment="1">
      <alignment horizontal="right"/>
    </xf>
    <xf numFmtId="167" fontId="12" fillId="3" borderId="0" xfId="0" applyNumberFormat="1" applyFont="1" applyFill="1" applyAlignment="1">
      <alignment horizontal="left" indent="2"/>
    </xf>
    <xf numFmtId="167" fontId="12" fillId="3" borderId="2" xfId="0" applyNumberFormat="1" applyFont="1" applyFill="1" applyBorder="1" applyAlignment="1">
      <alignment horizontal="left" indent="2"/>
    </xf>
    <xf numFmtId="185" fontId="17" fillId="3" borderId="0" xfId="1" applyNumberFormat="1" applyFont="1" applyFill="1" applyAlignment="1">
      <alignment horizontal="left" indent="1"/>
    </xf>
    <xf numFmtId="166" fontId="15" fillId="3" borderId="0" xfId="2" applyNumberFormat="1" applyFont="1" applyFill="1"/>
    <xf numFmtId="164" fontId="17" fillId="3" borderId="0" xfId="0" applyNumberFormat="1" applyFont="1" applyFill="1" applyAlignment="1">
      <alignment horizontal="left" indent="2"/>
    </xf>
    <xf numFmtId="169" fontId="17" fillId="3" borderId="0" xfId="0" applyNumberFormat="1" applyFont="1" applyFill="1" applyAlignment="1">
      <alignment horizontal="left" indent="2"/>
    </xf>
    <xf numFmtId="169" fontId="17" fillId="3" borderId="2" xfId="0" applyNumberFormat="1" applyFont="1" applyFill="1" applyBorder="1" applyAlignment="1">
      <alignment horizontal="left" indent="2"/>
    </xf>
    <xf numFmtId="164" fontId="11" fillId="3" borderId="0" xfId="0" applyNumberFormat="1" applyFont="1" applyFill="1" applyAlignment="1">
      <alignment horizontal="left" indent="2"/>
    </xf>
    <xf numFmtId="195" fontId="0" fillId="3" borderId="0" xfId="0" applyNumberFormat="1" applyFill="1"/>
    <xf numFmtId="195" fontId="12" fillId="3" borderId="0" xfId="0" applyNumberFormat="1" applyFont="1" applyFill="1" applyAlignment="1">
      <alignment horizontal="left" indent="3"/>
    </xf>
    <xf numFmtId="195" fontId="12" fillId="3" borderId="0" xfId="0" applyNumberFormat="1" applyFont="1" applyFill="1"/>
    <xf numFmtId="17" fontId="12" fillId="3" borderId="0" xfId="0" applyNumberFormat="1" applyFont="1" applyFill="1"/>
    <xf numFmtId="17" fontId="12" fillId="3" borderId="10" xfId="0" applyNumberFormat="1" applyFont="1" applyFill="1" applyBorder="1"/>
    <xf numFmtId="196" fontId="12" fillId="3" borderId="0" xfId="0" applyNumberFormat="1" applyFont="1" applyFill="1"/>
    <xf numFmtId="196" fontId="12" fillId="3" borderId="10" xfId="0" applyNumberFormat="1" applyFont="1" applyFill="1" applyBorder="1"/>
    <xf numFmtId="189" fontId="12" fillId="3" borderId="0" xfId="0" applyNumberFormat="1" applyFont="1" applyFill="1"/>
    <xf numFmtId="189" fontId="12" fillId="3" borderId="10" xfId="0" applyNumberFormat="1" applyFont="1" applyFill="1" applyBorder="1"/>
    <xf numFmtId="164" fontId="15" fillId="3" borderId="24" xfId="11" applyNumberFormat="1" applyFont="1" applyFill="1" applyBorder="1" applyAlignment="1">
      <alignment horizontal="left" indent="1"/>
    </xf>
    <xf numFmtId="189" fontId="15" fillId="3" borderId="2" xfId="11" applyNumberFormat="1" applyFont="1" applyFill="1" applyBorder="1"/>
    <xf numFmtId="189" fontId="12" fillId="3" borderId="2" xfId="0" applyNumberFormat="1" applyFont="1" applyFill="1" applyBorder="1"/>
    <xf numFmtId="189" fontId="12" fillId="3" borderId="25" xfId="0" applyNumberFormat="1" applyFont="1" applyFill="1" applyBorder="1"/>
    <xf numFmtId="189" fontId="12" fillId="3" borderId="26" xfId="0" applyNumberFormat="1" applyFont="1" applyFill="1" applyBorder="1"/>
    <xf numFmtId="164" fontId="22" fillId="4" borderId="0" xfId="0" applyNumberFormat="1" applyFont="1" applyFill="1" applyAlignment="1">
      <alignment horizontal="left"/>
    </xf>
    <xf numFmtId="164" fontId="14" fillId="4" borderId="0" xfId="0" applyNumberFormat="1" applyFont="1" applyFill="1" applyAlignment="1">
      <alignment horizontal="left"/>
    </xf>
    <xf numFmtId="164" fontId="15" fillId="3" borderId="0" xfId="0" applyNumberFormat="1" applyFont="1" applyFill="1" applyAlignment="1">
      <alignment horizontal="left" indent="2"/>
    </xf>
    <xf numFmtId="164" fontId="12" fillId="3" borderId="0" xfId="0" applyNumberFormat="1" applyFont="1" applyFill="1" applyAlignment="1">
      <alignment horizontal="left" indent="3"/>
    </xf>
    <xf numFmtId="164" fontId="15" fillId="3" borderId="2" xfId="0" applyNumberFormat="1" applyFont="1" applyFill="1" applyBorder="1" applyAlignment="1">
      <alignment horizontal="left" indent="2"/>
    </xf>
    <xf numFmtId="164" fontId="12" fillId="3" borderId="2" xfId="0" applyNumberFormat="1" applyFont="1" applyFill="1" applyBorder="1" applyAlignment="1">
      <alignment horizontal="left" indent="3"/>
    </xf>
    <xf numFmtId="164" fontId="12" fillId="3" borderId="2" xfId="0" applyNumberFormat="1" applyFont="1" applyFill="1" applyBorder="1" applyAlignment="1">
      <alignment horizontal="left"/>
    </xf>
    <xf numFmtId="164" fontId="15" fillId="3" borderId="7" xfId="0" applyNumberFormat="1" applyFont="1" applyFill="1" applyBorder="1" applyAlignment="1">
      <alignment horizontal="left" indent="1"/>
    </xf>
    <xf numFmtId="164" fontId="12" fillId="3" borderId="7" xfId="0" applyNumberFormat="1" applyFont="1" applyFill="1" applyBorder="1" applyAlignment="1">
      <alignment horizontal="left" indent="3"/>
    </xf>
    <xf numFmtId="164" fontId="15" fillId="3" borderId="2" xfId="0" applyNumberFormat="1" applyFont="1" applyFill="1" applyBorder="1" applyAlignment="1">
      <alignment horizontal="left" indent="1"/>
    </xf>
    <xf numFmtId="164" fontId="16" fillId="3" borderId="7" xfId="0" applyNumberFormat="1" applyFont="1" applyFill="1" applyBorder="1" applyAlignment="1">
      <alignment horizontal="left"/>
    </xf>
    <xf numFmtId="164" fontId="13" fillId="3" borderId="7" xfId="0" applyNumberFormat="1" applyFont="1" applyFill="1" applyBorder="1" applyAlignment="1">
      <alignment horizontal="left" indent="3"/>
    </xf>
    <xf numFmtId="164" fontId="13" fillId="3" borderId="7" xfId="0" applyNumberFormat="1" applyFont="1" applyFill="1" applyBorder="1" applyAlignment="1">
      <alignment horizontal="left"/>
    </xf>
    <xf numFmtId="164" fontId="15" fillId="3" borderId="0" xfId="0" applyNumberFormat="1" applyFont="1" applyFill="1" applyAlignment="1">
      <alignment horizontal="left" indent="1"/>
    </xf>
    <xf numFmtId="164" fontId="12" fillId="3" borderId="2" xfId="0" applyNumberFormat="1" applyFont="1" applyFill="1" applyBorder="1" applyAlignment="1">
      <alignment horizontal="left" indent="4"/>
    </xf>
    <xf numFmtId="164" fontId="13" fillId="3" borderId="7" xfId="0" applyNumberFormat="1" applyFont="1" applyFill="1" applyBorder="1" applyAlignment="1">
      <alignment horizontal="left" indent="4"/>
    </xf>
    <xf numFmtId="164" fontId="16" fillId="3" borderId="0" xfId="0" applyNumberFormat="1" applyFont="1" applyFill="1" applyAlignment="1">
      <alignment horizontal="left"/>
    </xf>
    <xf numFmtId="164" fontId="13" fillId="3" borderId="0" xfId="0" applyNumberFormat="1" applyFont="1" applyFill="1" applyAlignment="1">
      <alignment horizontal="left" indent="3"/>
    </xf>
    <xf numFmtId="164" fontId="13" fillId="3" borderId="0" xfId="0" applyNumberFormat="1" applyFont="1" applyFill="1" applyAlignment="1">
      <alignment horizontal="left"/>
    </xf>
    <xf numFmtId="164" fontId="12" fillId="3" borderId="0" xfId="0" applyNumberFormat="1" applyFont="1" applyFill="1" applyAlignment="1">
      <alignment horizontal="left" indent="4"/>
    </xf>
    <xf numFmtId="167" fontId="21" fillId="3" borderId="0" xfId="0" applyNumberFormat="1" applyFont="1" applyFill="1" applyAlignment="1">
      <alignment horizontal="left" indent="2"/>
    </xf>
    <xf numFmtId="164" fontId="15" fillId="3" borderId="0" xfId="0" applyNumberFormat="1" applyFont="1" applyFill="1" applyAlignment="1">
      <alignment horizontal="left"/>
    </xf>
    <xf numFmtId="197" fontId="17" fillId="3" borderId="2" xfId="0" applyNumberFormat="1" applyFont="1" applyFill="1" applyBorder="1"/>
    <xf numFmtId="197" fontId="21" fillId="3" borderId="2" xfId="0" applyNumberFormat="1" applyFont="1" applyFill="1" applyBorder="1" applyAlignment="1">
      <alignment horizontal="left" indent="2"/>
    </xf>
    <xf numFmtId="197" fontId="17" fillId="3" borderId="2" xfId="0" applyNumberFormat="1" applyFont="1" applyFill="1" applyBorder="1" applyAlignment="1">
      <alignment horizontal="left"/>
    </xf>
    <xf numFmtId="164" fontId="12" fillId="3" borderId="0" xfId="0" applyNumberFormat="1" applyFont="1" applyFill="1" applyAlignment="1">
      <alignment horizontal="left" indent="1"/>
    </xf>
    <xf numFmtId="193" fontId="17" fillId="3" borderId="0" xfId="0" applyNumberFormat="1" applyFont="1" applyFill="1" applyAlignment="1">
      <alignment horizontal="left" indent="3"/>
    </xf>
    <xf numFmtId="172" fontId="15" fillId="3" borderId="0" xfId="2" applyNumberFormat="1" applyFont="1" applyFill="1" applyAlignment="1">
      <alignment horizontal="left"/>
    </xf>
    <xf numFmtId="170" fontId="12" fillId="3" borderId="0" xfId="0" applyNumberFormat="1" applyFont="1" applyFill="1" applyAlignment="1">
      <alignment horizontal="left"/>
    </xf>
    <xf numFmtId="166" fontId="13" fillId="3" borderId="7" xfId="0" applyNumberFormat="1" applyFont="1" applyFill="1" applyBorder="1" applyAlignment="1">
      <alignment horizontal="left"/>
    </xf>
    <xf numFmtId="166" fontId="12" fillId="3" borderId="2" xfId="0" applyNumberFormat="1" applyFont="1" applyFill="1" applyBorder="1" applyAlignment="1">
      <alignment horizontal="left"/>
    </xf>
    <xf numFmtId="164" fontId="12" fillId="3" borderId="0" xfId="0" applyNumberFormat="1" applyFont="1" applyFill="1" applyAlignment="1">
      <alignment horizontal="left"/>
    </xf>
    <xf numFmtId="17" fontId="12" fillId="3" borderId="0" xfId="13" applyNumberFormat="1" applyFont="1" applyFill="1" applyAlignment="1">
      <alignment horizontal="center"/>
    </xf>
    <xf numFmtId="170" fontId="16" fillId="3" borderId="0" xfId="0" applyNumberFormat="1" applyFont="1" applyFill="1"/>
    <xf numFmtId="164" fontId="16" fillId="3" borderId="0" xfId="0" applyNumberFormat="1" applyFont="1" applyFill="1"/>
    <xf numFmtId="167" fontId="17" fillId="3" borderId="0" xfId="0" applyNumberFormat="1" applyFont="1" applyFill="1" applyAlignment="1">
      <alignment horizontal="right"/>
    </xf>
    <xf numFmtId="197" fontId="17" fillId="3" borderId="0" xfId="13" applyNumberFormat="1" applyFont="1" applyFill="1" applyAlignment="1">
      <alignment horizontal="left" indent="2"/>
    </xf>
    <xf numFmtId="197" fontId="17" fillId="3" borderId="0" xfId="13" applyNumberFormat="1" applyFont="1" applyFill="1" applyAlignment="1">
      <alignment horizontal="left"/>
    </xf>
    <xf numFmtId="197" fontId="11" fillId="3" borderId="0" xfId="13" applyNumberFormat="1" applyFont="1" applyFill="1"/>
    <xf numFmtId="198" fontId="15" fillId="3" borderId="0" xfId="0" applyNumberFormat="1" applyFont="1" applyFill="1" applyAlignment="1">
      <alignment horizontal="left" indent="1"/>
    </xf>
    <xf numFmtId="198" fontId="12" fillId="3" borderId="0" xfId="0" applyNumberFormat="1" applyFont="1" applyFill="1" applyAlignment="1">
      <alignment horizontal="left"/>
    </xf>
    <xf numFmtId="198" fontId="12" fillId="3" borderId="0" xfId="0" applyNumberFormat="1" applyFont="1" applyFill="1" applyAlignment="1">
      <alignment horizontal="right"/>
    </xf>
    <xf numFmtId="198" fontId="12" fillId="3" borderId="0" xfId="0" applyNumberFormat="1" applyFont="1" applyFill="1"/>
    <xf numFmtId="166" fontId="15" fillId="3" borderId="0" xfId="0" applyNumberFormat="1" applyFont="1" applyFill="1" applyAlignment="1">
      <alignment horizontal="left"/>
    </xf>
    <xf numFmtId="164" fontId="2" fillId="3" borderId="0" xfId="0" applyNumberFormat="1" applyFont="1" applyFill="1" applyAlignment="1">
      <alignment horizontal="left" indent="1"/>
    </xf>
    <xf numFmtId="197" fontId="15" fillId="3" borderId="0" xfId="0" applyNumberFormat="1" applyFont="1" applyFill="1" applyAlignment="1">
      <alignment horizontal="left"/>
    </xf>
    <xf numFmtId="197" fontId="12" fillId="3" borderId="0" xfId="0" applyNumberFormat="1" applyFont="1" applyFill="1" applyAlignment="1">
      <alignment horizontal="left" indent="4"/>
    </xf>
    <xf numFmtId="197" fontId="12" fillId="3" borderId="0" xfId="0" applyNumberFormat="1" applyFont="1" applyFill="1"/>
    <xf numFmtId="164" fontId="0" fillId="3" borderId="0" xfId="0" applyNumberFormat="1" applyFill="1"/>
    <xf numFmtId="199" fontId="6" fillId="3" borderId="0" xfId="0" applyNumberFormat="1" applyFont="1" applyFill="1" applyAlignment="1">
      <alignment horizontal="left"/>
    </xf>
    <xf numFmtId="164" fontId="15" fillId="3" borderId="2" xfId="2" applyNumberFormat="1" applyFont="1" applyFill="1" applyBorder="1"/>
    <xf numFmtId="188" fontId="13" fillId="3" borderId="0" xfId="0" applyNumberFormat="1" applyFont="1" applyFill="1" applyAlignment="1">
      <alignment horizontal="right"/>
    </xf>
    <xf numFmtId="188" fontId="12" fillId="3" borderId="0" xfId="0" applyNumberFormat="1" applyFont="1" applyFill="1" applyAlignment="1">
      <alignment horizontal="right"/>
    </xf>
    <xf numFmtId="196" fontId="12" fillId="3" borderId="0" xfId="0" applyNumberFormat="1" applyFont="1" applyFill="1" applyAlignment="1">
      <alignment horizontal="right"/>
    </xf>
    <xf numFmtId="189" fontId="12" fillId="3" borderId="0" xfId="0" applyNumberFormat="1" applyFont="1" applyFill="1" applyAlignment="1">
      <alignment horizontal="right"/>
    </xf>
    <xf numFmtId="194" fontId="12" fillId="3" borderId="0" xfId="13" applyNumberFormat="1" applyFont="1" applyFill="1"/>
    <xf numFmtId="0" fontId="13" fillId="3" borderId="0" xfId="13" applyFont="1" applyFill="1" applyAlignment="1">
      <alignment horizontal="center"/>
    </xf>
    <xf numFmtId="193" fontId="12" fillId="3" borderId="0" xfId="0" applyNumberFormat="1" applyFont="1" applyFill="1" applyAlignment="1">
      <alignment horizontal="left" indent="3"/>
    </xf>
    <xf numFmtId="193" fontId="12" fillId="3" borderId="0" xfId="0" applyNumberFormat="1" applyFont="1" applyFill="1"/>
    <xf numFmtId="193" fontId="12" fillId="3" borderId="7" xfId="0" applyNumberFormat="1" applyFont="1" applyFill="1" applyBorder="1" applyAlignment="1">
      <alignment horizontal="left" indent="3"/>
    </xf>
    <xf numFmtId="193" fontId="12" fillId="3" borderId="7" xfId="0" applyNumberFormat="1" applyFont="1" applyFill="1" applyBorder="1"/>
    <xf numFmtId="169" fontId="16" fillId="3" borderId="0" xfId="0" applyNumberFormat="1" applyFont="1" applyFill="1" applyAlignment="1">
      <alignment horizontal="left"/>
    </xf>
    <xf numFmtId="164" fontId="11" fillId="3" borderId="13" xfId="0" applyNumberFormat="1" applyFont="1" applyFill="1" applyBorder="1" applyAlignment="1">
      <alignment horizontal="left" indent="1"/>
    </xf>
    <xf numFmtId="164" fontId="17" fillId="3" borderId="13" xfId="0" applyNumberFormat="1" applyFont="1" applyFill="1" applyBorder="1" applyAlignment="1">
      <alignment horizontal="left" indent="3"/>
    </xf>
    <xf numFmtId="167" fontId="17" fillId="3" borderId="13" xfId="0" applyNumberFormat="1" applyFont="1" applyFill="1" applyBorder="1"/>
    <xf numFmtId="195" fontId="17" fillId="3" borderId="0" xfId="0" applyNumberFormat="1" applyFont="1" applyFill="1" applyAlignment="1">
      <alignment horizontal="left" indent="3"/>
    </xf>
    <xf numFmtId="164" fontId="15" fillId="3" borderId="0" xfId="11" applyNumberFormat="1" applyFont="1" applyFill="1" applyAlignment="1">
      <alignment horizontal="left" indent="1"/>
    </xf>
    <xf numFmtId="164" fontId="12" fillId="3" borderId="0" xfId="13" applyNumberFormat="1" applyFont="1" applyFill="1" applyAlignment="1">
      <alignment horizontal="left"/>
    </xf>
    <xf numFmtId="166" fontId="13" fillId="3" borderId="0" xfId="13" applyNumberFormat="1" applyFont="1" applyFill="1" applyAlignment="1">
      <alignment horizontal="left" indent="3"/>
    </xf>
    <xf numFmtId="164" fontId="12" fillId="3" borderId="13" xfId="13" applyNumberFormat="1" applyFont="1" applyFill="1" applyBorder="1" applyAlignment="1">
      <alignment horizontal="left" indent="1"/>
    </xf>
    <xf numFmtId="193" fontId="12" fillId="3" borderId="7" xfId="0" applyNumberFormat="1" applyFont="1" applyFill="1" applyBorder="1" applyAlignment="1">
      <alignment horizontal="left" indent="1"/>
    </xf>
    <xf numFmtId="195" fontId="13" fillId="3" borderId="0" xfId="0" applyNumberFormat="1" applyFont="1" applyFill="1" applyAlignment="1">
      <alignment horizontal="left" indent="3"/>
    </xf>
    <xf numFmtId="195" fontId="6" fillId="3" borderId="0" xfId="0" applyNumberFormat="1" applyFont="1" applyFill="1"/>
    <xf numFmtId="193" fontId="13" fillId="3" borderId="0" xfId="0" applyNumberFormat="1" applyFont="1" applyFill="1" applyAlignment="1">
      <alignment horizontal="left" indent="3"/>
    </xf>
    <xf numFmtId="193" fontId="13" fillId="3" borderId="0" xfId="0" applyNumberFormat="1" applyFont="1" applyFill="1"/>
    <xf numFmtId="188" fontId="12" fillId="3" borderId="13" xfId="13" applyNumberFormat="1" applyFont="1" applyFill="1" applyBorder="1" applyAlignment="1">
      <alignment horizontal="left"/>
    </xf>
    <xf numFmtId="193" fontId="12" fillId="3" borderId="2" xfId="0" applyNumberFormat="1" applyFont="1" applyFill="1" applyBorder="1" applyAlignment="1">
      <alignment horizontal="left" indent="3"/>
    </xf>
    <xf numFmtId="193" fontId="12" fillId="3" borderId="2" xfId="0" applyNumberFormat="1" applyFont="1" applyFill="1" applyBorder="1"/>
    <xf numFmtId="200" fontId="12" fillId="3" borderId="0" xfId="0" applyNumberFormat="1" applyFont="1" applyFill="1"/>
    <xf numFmtId="200" fontId="0" fillId="3" borderId="0" xfId="0" applyNumberFormat="1" applyFill="1"/>
    <xf numFmtId="193" fontId="13" fillId="3" borderId="2" xfId="0" applyNumberFormat="1" applyFont="1" applyFill="1" applyBorder="1" applyAlignment="1">
      <alignment horizontal="left"/>
    </xf>
    <xf numFmtId="193" fontId="13" fillId="3" borderId="2" xfId="0" applyNumberFormat="1" applyFont="1" applyFill="1" applyBorder="1" applyAlignment="1">
      <alignment horizontal="left" indent="3"/>
    </xf>
    <xf numFmtId="193" fontId="13" fillId="3" borderId="2" xfId="0" applyNumberFormat="1" applyFont="1" applyFill="1" applyBorder="1"/>
    <xf numFmtId="195" fontId="12" fillId="3" borderId="2" xfId="0" applyNumberFormat="1" applyFont="1" applyFill="1" applyBorder="1" applyAlignment="1">
      <alignment horizontal="left" indent="3"/>
    </xf>
    <xf numFmtId="164" fontId="16" fillId="3" borderId="6" xfId="11" applyNumberFormat="1" applyFont="1" applyFill="1" applyBorder="1" applyAlignment="1">
      <alignment horizontal="left"/>
    </xf>
    <xf numFmtId="164" fontId="15" fillId="3" borderId="4" xfId="11" applyNumberFormat="1" applyFont="1" applyFill="1" applyBorder="1" applyAlignment="1">
      <alignment horizontal="left" indent="1"/>
    </xf>
    <xf numFmtId="166" fontId="12" fillId="3" borderId="25" xfId="0" applyNumberFormat="1" applyFont="1" applyFill="1" applyBorder="1"/>
    <xf numFmtId="167" fontId="29" fillId="3" borderId="0" xfId="0" applyNumberFormat="1" applyFont="1" applyFill="1" applyAlignment="1">
      <alignment horizontal="left"/>
    </xf>
    <xf numFmtId="166" fontId="12" fillId="3" borderId="7" xfId="0" applyNumberFormat="1" applyFont="1" applyFill="1" applyBorder="1"/>
    <xf numFmtId="166" fontId="15" fillId="3" borderId="7" xfId="11" applyNumberFormat="1" applyFont="1" applyFill="1" applyBorder="1"/>
    <xf numFmtId="166" fontId="12" fillId="3" borderId="27" xfId="0" applyNumberFormat="1" applyFont="1" applyFill="1" applyBorder="1"/>
    <xf numFmtId="166" fontId="12" fillId="3" borderId="6" xfId="0" applyNumberFormat="1" applyFont="1" applyFill="1" applyBorder="1"/>
    <xf numFmtId="166" fontId="15" fillId="3" borderId="2" xfId="11" applyNumberFormat="1" applyFont="1" applyFill="1" applyBorder="1"/>
    <xf numFmtId="166" fontId="12" fillId="3" borderId="1" xfId="0" applyNumberFormat="1" applyFont="1" applyFill="1" applyBorder="1"/>
    <xf numFmtId="164" fontId="16" fillId="3" borderId="7" xfId="11" applyNumberFormat="1" applyFont="1" applyFill="1" applyBorder="1" applyAlignment="1">
      <alignment horizontal="left"/>
    </xf>
    <xf numFmtId="164" fontId="16" fillId="3" borderId="0" xfId="11" applyNumberFormat="1" applyFont="1" applyFill="1" applyAlignment="1">
      <alignment horizontal="left"/>
    </xf>
    <xf numFmtId="164" fontId="16" fillId="3" borderId="2" xfId="11" applyNumberFormat="1" applyFont="1" applyFill="1" applyBorder="1" applyAlignment="1">
      <alignment horizontal="left"/>
    </xf>
    <xf numFmtId="201" fontId="13" fillId="3" borderId="0" xfId="0" applyNumberFormat="1" applyFont="1" applyFill="1" applyAlignment="1">
      <alignment horizontal="right"/>
    </xf>
    <xf numFmtId="201" fontId="13" fillId="3" borderId="4" xfId="0" applyNumberFormat="1" applyFont="1" applyFill="1" applyBorder="1" applyAlignment="1">
      <alignment horizontal="right"/>
    </xf>
    <xf numFmtId="0" fontId="13" fillId="3" borderId="0" xfId="0" applyFont="1" applyFill="1" applyAlignment="1">
      <alignment horizontal="right"/>
    </xf>
    <xf numFmtId="0" fontId="13" fillId="3" borderId="4" xfId="0" applyFont="1" applyFill="1" applyBorder="1" applyAlignment="1">
      <alignment horizontal="right"/>
    </xf>
    <xf numFmtId="193" fontId="0" fillId="3" borderId="0" xfId="0" applyNumberFormat="1" applyFill="1" applyAlignment="1">
      <alignment horizontal="left" indent="1"/>
    </xf>
    <xf numFmtId="166" fontId="12" fillId="3" borderId="0" xfId="13" applyNumberFormat="1" applyFont="1" applyFill="1" applyAlignment="1">
      <alignment horizontal="left" indent="4"/>
    </xf>
    <xf numFmtId="164" fontId="13" fillId="3" borderId="0" xfId="13" applyNumberFormat="1" applyFont="1" applyFill="1" applyAlignment="1">
      <alignment horizontal="left" indent="4"/>
    </xf>
    <xf numFmtId="164" fontId="13" fillId="3" borderId="2" xfId="13" applyNumberFormat="1" applyFont="1" applyFill="1" applyBorder="1" applyAlignment="1">
      <alignment horizontal="left" indent="4"/>
    </xf>
    <xf numFmtId="164" fontId="12" fillId="3" borderId="2" xfId="13" applyNumberFormat="1" applyFont="1" applyFill="1" applyBorder="1" applyAlignment="1">
      <alignment horizontal="left" indent="2"/>
    </xf>
    <xf numFmtId="164" fontId="12" fillId="3" borderId="0" xfId="13" applyNumberFormat="1" applyFont="1" applyFill="1" applyAlignment="1">
      <alignment horizontal="left" indent="2"/>
    </xf>
    <xf numFmtId="166" fontId="12" fillId="3" borderId="0" xfId="13" applyNumberFormat="1" applyFont="1" applyFill="1" applyAlignment="1">
      <alignment horizontal="left"/>
    </xf>
    <xf numFmtId="193" fontId="6" fillId="3" borderId="0" xfId="13" applyNumberFormat="1" applyFont="1" applyFill="1"/>
    <xf numFmtId="193" fontId="13" fillId="3" borderId="0" xfId="13" applyNumberFormat="1" applyFont="1" applyFill="1"/>
    <xf numFmtId="193" fontId="13" fillId="3" borderId="0" xfId="13" applyNumberFormat="1" applyFont="1" applyFill="1" applyAlignment="1">
      <alignment horizontal="left" indent="4"/>
    </xf>
    <xf numFmtId="193" fontId="12" fillId="3" borderId="0" xfId="13" applyNumberFormat="1" applyFont="1" applyFill="1" applyAlignment="1">
      <alignment horizontal="left"/>
    </xf>
    <xf numFmtId="164" fontId="12" fillId="3" borderId="0" xfId="13" applyNumberFormat="1" applyFont="1" applyFill="1" applyAlignment="1">
      <alignment horizontal="left" indent="4"/>
    </xf>
    <xf numFmtId="167" fontId="6" fillId="3" borderId="0" xfId="13" applyNumberFormat="1" applyFont="1" applyFill="1"/>
    <xf numFmtId="167" fontId="13" fillId="3" borderId="0" xfId="13" applyNumberFormat="1" applyFont="1" applyFill="1" applyAlignment="1">
      <alignment horizontal="left" indent="4"/>
    </xf>
    <xf numFmtId="193" fontId="12" fillId="3" borderId="0" xfId="13" applyNumberFormat="1" applyFont="1" applyFill="1"/>
    <xf numFmtId="193" fontId="12" fillId="3" borderId="0" xfId="13" applyNumberFormat="1" applyFont="1" applyFill="1" applyAlignment="1">
      <alignment horizontal="left" indent="4"/>
    </xf>
    <xf numFmtId="164" fontId="12" fillId="3" borderId="2" xfId="13" applyNumberFormat="1" applyFont="1" applyFill="1" applyBorder="1" applyAlignment="1">
      <alignment horizontal="left" indent="4"/>
    </xf>
    <xf numFmtId="167" fontId="12" fillId="3" borderId="0" xfId="13" applyNumberFormat="1" applyFont="1" applyFill="1" applyAlignment="1">
      <alignment horizontal="left" indent="4"/>
    </xf>
    <xf numFmtId="167" fontId="46" fillId="3" borderId="0" xfId="13" applyNumberFormat="1" applyFill="1"/>
    <xf numFmtId="177" fontId="2" fillId="3" borderId="0" xfId="13" applyNumberFormat="1" applyFont="1" applyFill="1" applyAlignment="1">
      <alignment horizontal="left"/>
    </xf>
    <xf numFmtId="164" fontId="46" fillId="3" borderId="0" xfId="13" applyNumberFormat="1" applyFill="1"/>
    <xf numFmtId="193" fontId="46" fillId="3" borderId="0" xfId="13" applyNumberFormat="1" applyFill="1"/>
    <xf numFmtId="193" fontId="0" fillId="3" borderId="2" xfId="0" applyNumberFormat="1" applyFill="1" applyBorder="1" applyAlignment="1">
      <alignment horizontal="left" indent="1"/>
    </xf>
    <xf numFmtId="167" fontId="17" fillId="3" borderId="0" xfId="0" applyNumberFormat="1" applyFont="1" applyFill="1" applyAlignment="1">
      <alignment horizontal="right" indent="1"/>
    </xf>
    <xf numFmtId="169" fontId="17" fillId="3" borderId="0" xfId="0" applyNumberFormat="1" applyFont="1" applyFill="1" applyAlignment="1">
      <alignment horizontal="right"/>
    </xf>
    <xf numFmtId="193" fontId="12" fillId="3" borderId="0" xfId="0" applyNumberFormat="1" applyFont="1" applyFill="1" applyAlignment="1">
      <alignment horizontal="left"/>
    </xf>
    <xf numFmtId="197" fontId="12" fillId="3" borderId="0" xfId="0" applyNumberFormat="1" applyFont="1" applyFill="1" applyAlignment="1">
      <alignment horizontal="left"/>
    </xf>
    <xf numFmtId="17" fontId="12" fillId="3" borderId="0" xfId="0" applyNumberFormat="1" applyFont="1" applyFill="1" applyAlignment="1">
      <alignment horizontal="left"/>
    </xf>
    <xf numFmtId="197" fontId="17" fillId="3" borderId="0" xfId="13" applyNumberFormat="1" applyFont="1" applyFill="1"/>
    <xf numFmtId="167" fontId="12" fillId="3" borderId="20" xfId="0" applyNumberFormat="1" applyFont="1" applyFill="1" applyBorder="1" applyAlignment="1">
      <alignment horizontal="right"/>
    </xf>
    <xf numFmtId="0" fontId="6" fillId="3" borderId="0" xfId="0" applyFont="1" applyFill="1" applyAlignment="1">
      <alignment horizontal="center"/>
    </xf>
    <xf numFmtId="0" fontId="16" fillId="3" borderId="0" xfId="0" applyFont="1" applyFill="1" applyAlignment="1">
      <alignment horizontal="center"/>
    </xf>
    <xf numFmtId="201" fontId="13" fillId="3" borderId="20" xfId="0" applyNumberFormat="1" applyFont="1" applyFill="1" applyBorder="1" applyAlignment="1">
      <alignment horizontal="right"/>
    </xf>
    <xf numFmtId="0" fontId="13" fillId="3" borderId="20" xfId="0" applyFont="1" applyFill="1" applyBorder="1" applyAlignment="1">
      <alignment horizontal="right"/>
    </xf>
    <xf numFmtId="17" fontId="12" fillId="3" borderId="20" xfId="0" applyNumberFormat="1" applyFont="1" applyFill="1" applyBorder="1"/>
    <xf numFmtId="189" fontId="12" fillId="3" borderId="20" xfId="0" applyNumberFormat="1" applyFont="1" applyFill="1" applyBorder="1"/>
    <xf numFmtId="202" fontId="6" fillId="3" borderId="0" xfId="0" applyNumberFormat="1" applyFont="1" applyFill="1"/>
    <xf numFmtId="167" fontId="19" fillId="3" borderId="0" xfId="0" applyNumberFormat="1" applyFont="1" applyFill="1"/>
    <xf numFmtId="203" fontId="11" fillId="3" borderId="0" xfId="0" applyNumberFormat="1" applyFont="1" applyFill="1" applyAlignment="1">
      <alignment horizontal="left" indent="1"/>
    </xf>
    <xf numFmtId="203" fontId="17" fillId="3" borderId="0" xfId="0" applyNumberFormat="1" applyFont="1" applyFill="1" applyAlignment="1">
      <alignment horizontal="left" indent="4"/>
    </xf>
    <xf numFmtId="203" fontId="17" fillId="3" borderId="0" xfId="0" applyNumberFormat="1" applyFont="1" applyFill="1"/>
    <xf numFmtId="203" fontId="11" fillId="3" borderId="0" xfId="0" applyNumberFormat="1" applyFont="1" applyFill="1"/>
    <xf numFmtId="164" fontId="12" fillId="3" borderId="2" xfId="0" applyNumberFormat="1" applyFont="1" applyFill="1" applyBorder="1" applyAlignment="1">
      <alignment horizontal="left" indent="1"/>
    </xf>
    <xf numFmtId="164" fontId="12" fillId="3" borderId="7" xfId="0" applyNumberFormat="1" applyFont="1" applyFill="1" applyBorder="1" applyAlignment="1">
      <alignment horizontal="left"/>
    </xf>
    <xf numFmtId="164" fontId="19" fillId="3" borderId="0" xfId="0" applyNumberFormat="1" applyFont="1" applyFill="1" applyAlignment="1">
      <alignment horizontal="left" indent="3"/>
    </xf>
    <xf numFmtId="167" fontId="19" fillId="3" borderId="0" xfId="0" applyNumberFormat="1" applyFont="1" applyFill="1" applyAlignment="1">
      <alignment horizontal="left" indent="1"/>
    </xf>
    <xf numFmtId="0" fontId="12" fillId="3" borderId="0" xfId="0" applyFont="1" applyFill="1" applyAlignment="1">
      <alignment horizontal="left"/>
    </xf>
    <xf numFmtId="200" fontId="12" fillId="3" borderId="0" xfId="0" applyNumberFormat="1" applyFont="1" applyFill="1" applyAlignment="1">
      <alignment horizontal="center"/>
    </xf>
    <xf numFmtId="164" fontId="38" fillId="3" borderId="0" xfId="0" applyNumberFormat="1" applyFont="1" applyFill="1" applyAlignment="1">
      <alignment horizontal="left" indent="3"/>
    </xf>
    <xf numFmtId="166" fontId="38" fillId="3" borderId="0" xfId="0" applyNumberFormat="1" applyFont="1" applyFill="1" applyAlignment="1">
      <alignment horizontal="right"/>
    </xf>
    <xf numFmtId="166" fontId="38" fillId="3" borderId="0" xfId="0" applyNumberFormat="1" applyFont="1" applyFill="1" applyAlignment="1">
      <alignment horizontal="left"/>
    </xf>
    <xf numFmtId="164" fontId="17" fillId="3" borderId="2" xfId="0" applyNumberFormat="1" applyFont="1" applyFill="1" applyBorder="1" applyAlignment="1">
      <alignment horizontal="left" indent="3"/>
    </xf>
    <xf numFmtId="164" fontId="19" fillId="3" borderId="7" xfId="0" applyNumberFormat="1" applyFont="1" applyFill="1" applyBorder="1" applyAlignment="1">
      <alignment horizontal="left" indent="3"/>
    </xf>
    <xf numFmtId="167" fontId="19" fillId="3" borderId="7" xfId="0" applyNumberFormat="1" applyFont="1" applyFill="1" applyBorder="1"/>
    <xf numFmtId="167" fontId="19" fillId="3" borderId="7" xfId="0" applyNumberFormat="1" applyFont="1" applyFill="1" applyBorder="1" applyAlignment="1">
      <alignment horizontal="left"/>
    </xf>
    <xf numFmtId="167" fontId="17" fillId="3" borderId="0" xfId="0" applyNumberFormat="1" applyFont="1" applyFill="1" applyAlignment="1">
      <alignment horizontal="left" indent="2"/>
    </xf>
    <xf numFmtId="167" fontId="17" fillId="3" borderId="2" xfId="0" applyNumberFormat="1" applyFont="1" applyFill="1" applyBorder="1" applyAlignment="1">
      <alignment horizontal="left" indent="2"/>
    </xf>
    <xf numFmtId="167" fontId="12" fillId="3" borderId="2" xfId="0" applyNumberFormat="1" applyFont="1" applyFill="1" applyBorder="1" applyAlignment="1">
      <alignment horizontal="left"/>
    </xf>
    <xf numFmtId="166" fontId="19" fillId="3" borderId="7" xfId="0" applyNumberFormat="1" applyFont="1" applyFill="1" applyBorder="1" applyAlignment="1">
      <alignment horizontal="left" indent="1"/>
    </xf>
    <xf numFmtId="166" fontId="19" fillId="3" borderId="7" xfId="0" applyNumberFormat="1" applyFont="1" applyFill="1" applyBorder="1"/>
    <xf numFmtId="166" fontId="17" fillId="3" borderId="0" xfId="0" applyNumberFormat="1" applyFont="1" applyFill="1" applyAlignment="1">
      <alignment horizontal="left" indent="2"/>
    </xf>
    <xf numFmtId="166" fontId="17" fillId="3" borderId="0" xfId="0" applyNumberFormat="1" applyFont="1" applyFill="1"/>
    <xf numFmtId="166" fontId="17" fillId="3" borderId="2" xfId="0" applyNumberFormat="1" applyFont="1" applyFill="1" applyBorder="1" applyAlignment="1">
      <alignment horizontal="left" indent="2"/>
    </xf>
    <xf numFmtId="166" fontId="17" fillId="3" borderId="2" xfId="0" applyNumberFormat="1" applyFont="1" applyFill="1" applyBorder="1"/>
    <xf numFmtId="164" fontId="15" fillId="3" borderId="0" xfId="11" applyNumberFormat="1" applyFont="1" applyFill="1" applyAlignment="1">
      <alignment horizontal="left"/>
    </xf>
    <xf numFmtId="164" fontId="12" fillId="3" borderId="4" xfId="0" applyNumberFormat="1" applyFont="1" applyFill="1" applyBorder="1" applyAlignment="1">
      <alignment horizontal="right"/>
    </xf>
    <xf numFmtId="167" fontId="15" fillId="3" borderId="0" xfId="11" applyNumberFormat="1" applyFont="1" applyFill="1" applyAlignment="1">
      <alignment horizontal="left"/>
    </xf>
    <xf numFmtId="167" fontId="12" fillId="3" borderId="4" xfId="0" applyNumberFormat="1" applyFont="1" applyFill="1" applyBorder="1" applyAlignment="1">
      <alignment horizontal="right"/>
    </xf>
    <xf numFmtId="164" fontId="16" fillId="3" borderId="7" xfId="2" applyNumberFormat="1" applyFont="1" applyFill="1" applyBorder="1"/>
    <xf numFmtId="166" fontId="6" fillId="0" borderId="0" xfId="0" applyNumberFormat="1" applyFont="1"/>
    <xf numFmtId="166" fontId="0" fillId="0" borderId="0" xfId="0" applyNumberFormat="1"/>
    <xf numFmtId="0" fontId="11" fillId="0" borderId="0" xfId="0" applyFont="1"/>
    <xf numFmtId="193" fontId="0" fillId="0" borderId="0" xfId="0" applyNumberFormat="1"/>
    <xf numFmtId="164" fontId="6" fillId="0" borderId="0" xfId="0" applyNumberFormat="1" applyFont="1"/>
    <xf numFmtId="167" fontId="11" fillId="0" borderId="0" xfId="0" applyNumberFormat="1" applyFont="1"/>
    <xf numFmtId="164" fontId="0" fillId="0" borderId="0" xfId="0" applyNumberFormat="1"/>
    <xf numFmtId="164" fontId="11" fillId="0" borderId="0" xfId="0" applyNumberFormat="1" applyFont="1"/>
    <xf numFmtId="0" fontId="6" fillId="0" borderId="0" xfId="0" applyFont="1"/>
    <xf numFmtId="167" fontId="0" fillId="0" borderId="0" xfId="0" applyNumberFormat="1"/>
    <xf numFmtId="0" fontId="11" fillId="0" borderId="0" xfId="0" applyFont="1" applyAlignment="1">
      <alignment horizontal="left"/>
    </xf>
    <xf numFmtId="167" fontId="6" fillId="0" borderId="0" xfId="0" applyNumberFormat="1" applyFont="1"/>
    <xf numFmtId="203" fontId="11" fillId="0" borderId="0" xfId="0" applyNumberFormat="1" applyFont="1"/>
    <xf numFmtId="200" fontId="0" fillId="0" borderId="0" xfId="0" applyNumberFormat="1"/>
    <xf numFmtId="202" fontId="6" fillId="0" borderId="0" xfId="0" applyNumberFormat="1" applyFont="1"/>
    <xf numFmtId="195" fontId="0" fillId="0" borderId="0" xfId="0" applyNumberFormat="1"/>
    <xf numFmtId="195" fontId="6" fillId="0" borderId="0" xfId="0" applyNumberFormat="1" applyFont="1"/>
    <xf numFmtId="193" fontId="6" fillId="0" borderId="0" xfId="0" applyNumberFormat="1" applyFont="1"/>
    <xf numFmtId="198" fontId="0" fillId="0" borderId="0" xfId="0" applyNumberFormat="1"/>
    <xf numFmtId="197" fontId="11" fillId="0" borderId="0" xfId="13" applyNumberFormat="1" applyFont="1"/>
    <xf numFmtId="197" fontId="0" fillId="0" borderId="0" xfId="0" applyNumberFormat="1"/>
    <xf numFmtId="0" fontId="24" fillId="0" borderId="0" xfId="13" applyFont="1"/>
    <xf numFmtId="0" fontId="46" fillId="0" borderId="0" xfId="13"/>
    <xf numFmtId="0" fontId="6" fillId="0" borderId="0" xfId="13" applyFont="1"/>
    <xf numFmtId="0" fontId="11" fillId="0" borderId="0" xfId="13" applyFont="1"/>
    <xf numFmtId="167" fontId="46" fillId="0" borderId="0" xfId="13" applyNumberFormat="1"/>
    <xf numFmtId="0" fontId="46" fillId="0" borderId="0" xfId="13" applyAlignment="1">
      <alignment horizontal="left"/>
    </xf>
    <xf numFmtId="0" fontId="8" fillId="0" borderId="0" xfId="13" applyFont="1"/>
    <xf numFmtId="0" fontId="25" fillId="0" borderId="0" xfId="13" applyFont="1" applyAlignment="1">
      <alignment horizontal="left"/>
    </xf>
    <xf numFmtId="0" fontId="25" fillId="0" borderId="0" xfId="13" applyFont="1" applyAlignment="1">
      <alignment horizontal="center"/>
    </xf>
    <xf numFmtId="166" fontId="46" fillId="0" borderId="0" xfId="13" applyNumberFormat="1"/>
    <xf numFmtId="164" fontId="6" fillId="0" borderId="0" xfId="13" applyNumberFormat="1" applyFont="1"/>
    <xf numFmtId="164" fontId="46" fillId="0" borderId="0" xfId="13" applyNumberFormat="1"/>
    <xf numFmtId="166" fontId="6" fillId="0" borderId="0" xfId="13" applyNumberFormat="1" applyFont="1"/>
    <xf numFmtId="193" fontId="6" fillId="0" borderId="0" xfId="13" applyNumberFormat="1" applyFont="1"/>
    <xf numFmtId="193" fontId="46" fillId="0" borderId="0" xfId="13" applyNumberFormat="1"/>
    <xf numFmtId="167" fontId="6" fillId="0" borderId="0" xfId="13" applyNumberFormat="1" applyFont="1"/>
    <xf numFmtId="1" fontId="6" fillId="3" borderId="0" xfId="0" applyNumberFormat="1" applyFont="1" applyFill="1" applyAlignment="1">
      <alignment horizontal="center"/>
    </xf>
    <xf numFmtId="167" fontId="11" fillId="3" borderId="0" xfId="0" applyNumberFormat="1" applyFont="1" applyFill="1" applyAlignment="1">
      <alignment horizontal="right"/>
    </xf>
    <xf numFmtId="167" fontId="6" fillId="3" borderId="0" xfId="0" applyNumberFormat="1" applyFont="1" applyFill="1" applyAlignment="1">
      <alignment horizontal="right"/>
    </xf>
    <xf numFmtId="167" fontId="0" fillId="3" borderId="0" xfId="0" applyNumberFormat="1" applyFill="1" applyAlignment="1">
      <alignment horizontal="right"/>
    </xf>
    <xf numFmtId="198" fontId="17" fillId="3" borderId="0" xfId="0" applyNumberFormat="1" applyFont="1" applyFill="1"/>
    <xf numFmtId="188" fontId="13" fillId="3" borderId="0" xfId="0" applyNumberFormat="1" applyFont="1" applyFill="1"/>
    <xf numFmtId="188" fontId="6" fillId="3" borderId="0" xfId="0" applyNumberFormat="1" applyFont="1" applyFill="1" applyAlignment="1">
      <alignment horizontal="right"/>
    </xf>
    <xf numFmtId="188" fontId="0" fillId="3" borderId="0" xfId="0" applyNumberFormat="1" applyFill="1" applyAlignment="1">
      <alignment horizontal="right"/>
    </xf>
    <xf numFmtId="196" fontId="0" fillId="3" borderId="0" xfId="0" applyNumberFormat="1" applyFill="1" applyAlignment="1">
      <alignment horizontal="right"/>
    </xf>
    <xf numFmtId="189" fontId="0" fillId="3" borderId="0" xfId="0" applyNumberFormat="1" applyFill="1" applyAlignment="1">
      <alignment horizontal="right"/>
    </xf>
    <xf numFmtId="166" fontId="6" fillId="3" borderId="0" xfId="0" applyNumberFormat="1" applyFont="1" applyFill="1" applyAlignment="1">
      <alignment horizontal="right"/>
    </xf>
    <xf numFmtId="194" fontId="46" fillId="3" borderId="0" xfId="13" applyNumberFormat="1" applyFill="1"/>
    <xf numFmtId="17" fontId="46" fillId="3" borderId="0" xfId="13" applyNumberFormat="1" applyFill="1" applyAlignment="1">
      <alignment horizontal="center"/>
    </xf>
    <xf numFmtId="167" fontId="21" fillId="3" borderId="0" xfId="0" applyNumberFormat="1" applyFont="1" applyFill="1"/>
    <xf numFmtId="169" fontId="21" fillId="3" borderId="0" xfId="0" applyNumberFormat="1" applyFont="1" applyFill="1"/>
    <xf numFmtId="169" fontId="21" fillId="3" borderId="0" xfId="2" applyNumberFormat="1" applyFont="1" applyFill="1"/>
    <xf numFmtId="17" fontId="7" fillId="3" borderId="0" xfId="0" applyNumberFormat="1" applyFont="1" applyFill="1" applyAlignment="1">
      <alignment horizontal="center"/>
    </xf>
    <xf numFmtId="0" fontId="5" fillId="3" borderId="0" xfId="0" applyFont="1" applyFill="1" applyAlignment="1">
      <alignment horizontal="center"/>
    </xf>
    <xf numFmtId="179" fontId="12" fillId="3" borderId="0" xfId="0" applyNumberFormat="1" applyFont="1" applyFill="1"/>
    <xf numFmtId="198" fontId="11" fillId="3" borderId="0" xfId="0" applyNumberFormat="1" applyFont="1" applyFill="1"/>
    <xf numFmtId="170" fontId="6" fillId="3" borderId="0" xfId="0" applyNumberFormat="1" applyFont="1" applyFill="1" applyAlignment="1">
      <alignment horizontal="right"/>
    </xf>
    <xf numFmtId="170" fontId="12" fillId="3" borderId="0" xfId="0" applyNumberFormat="1" applyFont="1" applyFill="1" applyAlignment="1">
      <alignment horizontal="right"/>
    </xf>
    <xf numFmtId="164" fontId="15" fillId="3" borderId="0" xfId="11" applyNumberFormat="1" applyFont="1" applyFill="1"/>
    <xf numFmtId="166" fontId="16" fillId="3" borderId="0" xfId="11" applyNumberFormat="1" applyFont="1" applyFill="1"/>
    <xf numFmtId="166" fontId="15" fillId="3" borderId="0" xfId="11" applyNumberFormat="1" applyFont="1" applyFill="1"/>
    <xf numFmtId="201" fontId="16" fillId="3" borderId="0" xfId="11" applyNumberFormat="1" applyFont="1" applyFill="1" applyAlignment="1">
      <alignment horizontal="right"/>
    </xf>
    <xf numFmtId="0" fontId="16" fillId="3" borderId="0" xfId="11" applyFont="1" applyFill="1" applyAlignment="1">
      <alignment horizontal="right"/>
    </xf>
    <xf numFmtId="164" fontId="15" fillId="3" borderId="0" xfId="11" applyNumberFormat="1" applyFont="1" applyFill="1" applyAlignment="1">
      <alignment horizontal="right"/>
    </xf>
    <xf numFmtId="167" fontId="15" fillId="3" borderId="0" xfId="11" applyNumberFormat="1" applyFont="1" applyFill="1" applyAlignment="1">
      <alignment horizontal="right"/>
    </xf>
    <xf numFmtId="167" fontId="15" fillId="3" borderId="0" xfId="11" applyNumberFormat="1" applyFont="1" applyFill="1"/>
    <xf numFmtId="173" fontId="15" fillId="3" borderId="0" xfId="2" applyNumberFormat="1" applyFont="1" applyFill="1"/>
    <xf numFmtId="17" fontId="15" fillId="3" borderId="0" xfId="11" applyNumberFormat="1" applyFont="1" applyFill="1"/>
    <xf numFmtId="188" fontId="15" fillId="3" borderId="0" xfId="11" applyNumberFormat="1" applyFont="1" applyFill="1"/>
    <xf numFmtId="189" fontId="15" fillId="3" borderId="0" xfId="11" applyNumberFormat="1" applyFont="1" applyFill="1"/>
    <xf numFmtId="170" fontId="13" fillId="3" borderId="0" xfId="13" applyNumberFormat="1" applyFont="1" applyFill="1" applyAlignment="1">
      <alignment horizontal="right"/>
    </xf>
    <xf numFmtId="170" fontId="12" fillId="3" borderId="0" xfId="13" applyNumberFormat="1" applyFont="1" applyFill="1" applyAlignment="1">
      <alignment horizontal="right"/>
    </xf>
    <xf numFmtId="193" fontId="35" fillId="3" borderId="0" xfId="0" applyNumberFormat="1" applyFont="1" applyFill="1"/>
    <xf numFmtId="164" fontId="12" fillId="3" borderId="2" xfId="0" applyNumberFormat="1" applyFont="1" applyFill="1" applyBorder="1" applyAlignment="1">
      <alignment horizontal="left" indent="2"/>
    </xf>
    <xf numFmtId="164" fontId="15" fillId="2" borderId="0" xfId="8" applyNumberFormat="1" applyFont="1"/>
    <xf numFmtId="171" fontId="0" fillId="3" borderId="0" xfId="0" applyNumberFormat="1" applyFill="1"/>
    <xf numFmtId="1" fontId="6" fillId="3" borderId="20" xfId="0" applyNumberFormat="1" applyFont="1" applyFill="1" applyBorder="1" applyAlignment="1">
      <alignment horizontal="center"/>
    </xf>
    <xf numFmtId="17" fontId="7" fillId="3" borderId="20" xfId="0" applyNumberFormat="1" applyFont="1" applyFill="1" applyBorder="1" applyAlignment="1">
      <alignment horizontal="center"/>
    </xf>
    <xf numFmtId="0" fontId="5" fillId="3" borderId="20" xfId="0" applyFont="1" applyFill="1" applyBorder="1" applyAlignment="1">
      <alignment horizontal="center"/>
    </xf>
    <xf numFmtId="166" fontId="13" fillId="3" borderId="20" xfId="0" applyNumberFormat="1" applyFont="1" applyFill="1" applyBorder="1" applyAlignment="1">
      <alignment horizontal="right"/>
    </xf>
    <xf numFmtId="166" fontId="12" fillId="3" borderId="25" xfId="0" applyNumberFormat="1" applyFont="1" applyFill="1" applyBorder="1" applyAlignment="1">
      <alignment horizontal="right"/>
    </xf>
    <xf numFmtId="167" fontId="11" fillId="3" borderId="20" xfId="0" applyNumberFormat="1" applyFont="1" applyFill="1" applyBorder="1"/>
    <xf numFmtId="167" fontId="11" fillId="3" borderId="20" xfId="0" applyNumberFormat="1" applyFont="1" applyFill="1" applyBorder="1" applyAlignment="1">
      <alignment horizontal="right"/>
    </xf>
    <xf numFmtId="167" fontId="17" fillId="3" borderId="20" xfId="0" applyNumberFormat="1" applyFont="1" applyFill="1" applyBorder="1" applyAlignment="1">
      <alignment horizontal="right"/>
    </xf>
    <xf numFmtId="167" fontId="19" fillId="3" borderId="20" xfId="0" applyNumberFormat="1" applyFont="1" applyFill="1" applyBorder="1" applyAlignment="1">
      <alignment horizontal="right"/>
    </xf>
    <xf numFmtId="193" fontId="13" fillId="3" borderId="20" xfId="0" applyNumberFormat="1" applyFont="1" applyFill="1" applyBorder="1" applyAlignment="1">
      <alignment horizontal="right"/>
    </xf>
    <xf numFmtId="167" fontId="17" fillId="3" borderId="25" xfId="0" applyNumberFormat="1" applyFont="1" applyFill="1" applyBorder="1" applyAlignment="1">
      <alignment horizontal="right"/>
    </xf>
    <xf numFmtId="167" fontId="17" fillId="3" borderId="20" xfId="0" applyNumberFormat="1" applyFont="1" applyFill="1" applyBorder="1"/>
    <xf numFmtId="166" fontId="0" fillId="3" borderId="25" xfId="0" applyNumberFormat="1" applyFill="1" applyBorder="1"/>
    <xf numFmtId="166" fontId="12" fillId="3" borderId="20" xfId="0" applyNumberFormat="1" applyFont="1" applyFill="1" applyBorder="1" applyAlignment="1">
      <alignment horizontal="right"/>
    </xf>
    <xf numFmtId="169" fontId="12" fillId="3" borderId="20" xfId="0" applyNumberFormat="1" applyFont="1" applyFill="1" applyBorder="1"/>
    <xf numFmtId="166" fontId="6" fillId="3" borderId="20" xfId="0" applyNumberFormat="1" applyFont="1" applyFill="1" applyBorder="1"/>
    <xf numFmtId="167" fontId="11" fillId="3" borderId="20" xfId="0" applyNumberFormat="1" applyFont="1" applyFill="1" applyBorder="1" applyAlignment="1">
      <alignment horizontal="left"/>
    </xf>
    <xf numFmtId="167" fontId="12" fillId="3" borderId="20" xfId="0" applyNumberFormat="1" applyFont="1" applyFill="1" applyBorder="1"/>
    <xf numFmtId="167" fontId="12" fillId="3" borderId="25" xfId="0" applyNumberFormat="1" applyFont="1" applyFill="1" applyBorder="1"/>
    <xf numFmtId="167" fontId="0" fillId="3" borderId="20" xfId="0" applyNumberFormat="1" applyFill="1" applyBorder="1"/>
    <xf numFmtId="167" fontId="13" fillId="3" borderId="20" xfId="0" applyNumberFormat="1" applyFont="1" applyFill="1" applyBorder="1"/>
    <xf numFmtId="167" fontId="12" fillId="3" borderId="25" xfId="0" applyNumberFormat="1" applyFont="1" applyFill="1" applyBorder="1" applyAlignment="1">
      <alignment horizontal="right"/>
    </xf>
    <xf numFmtId="167" fontId="13" fillId="3" borderId="20" xfId="0" applyNumberFormat="1" applyFont="1" applyFill="1" applyBorder="1" applyAlignment="1">
      <alignment horizontal="right"/>
    </xf>
    <xf numFmtId="193" fontId="12" fillId="3" borderId="20" xfId="0" applyNumberFormat="1" applyFont="1" applyFill="1" applyBorder="1" applyAlignment="1">
      <alignment horizontal="right"/>
    </xf>
    <xf numFmtId="193" fontId="12" fillId="3" borderId="25" xfId="0" applyNumberFormat="1" applyFont="1" applyFill="1" applyBorder="1" applyAlignment="1">
      <alignment horizontal="right"/>
    </xf>
    <xf numFmtId="169" fontId="6" fillId="3" borderId="20" xfId="0" applyNumberFormat="1" applyFont="1" applyFill="1" applyBorder="1"/>
    <xf numFmtId="167" fontId="0" fillId="3" borderId="25" xfId="0" applyNumberFormat="1" applyFill="1" applyBorder="1"/>
    <xf numFmtId="167" fontId="6" fillId="3" borderId="20" xfId="0" applyNumberFormat="1" applyFont="1" applyFill="1" applyBorder="1"/>
    <xf numFmtId="167" fontId="17" fillId="3" borderId="25" xfId="0" applyNumberFormat="1" applyFont="1" applyFill="1" applyBorder="1"/>
    <xf numFmtId="179" fontId="13" fillId="3" borderId="20" xfId="0" applyNumberFormat="1" applyFont="1" applyFill="1" applyBorder="1"/>
    <xf numFmtId="203" fontId="17" fillId="3" borderId="20" xfId="0" applyNumberFormat="1" applyFont="1" applyFill="1" applyBorder="1"/>
    <xf numFmtId="167" fontId="13" fillId="3" borderId="28" xfId="0" applyNumberFormat="1" applyFont="1" applyFill="1" applyBorder="1" applyAlignment="1">
      <alignment horizontal="right"/>
    </xf>
    <xf numFmtId="167" fontId="6" fillId="3" borderId="20" xfId="0" applyNumberFormat="1" applyFont="1" applyFill="1" applyBorder="1" applyAlignment="1">
      <alignment horizontal="right"/>
    </xf>
    <xf numFmtId="167" fontId="6" fillId="3" borderId="27" xfId="0" applyNumberFormat="1" applyFont="1" applyFill="1" applyBorder="1" applyAlignment="1">
      <alignment horizontal="right"/>
    </xf>
    <xf numFmtId="167" fontId="0" fillId="3" borderId="20" xfId="0" applyNumberFormat="1" applyFill="1" applyBorder="1" applyAlignment="1">
      <alignment horizontal="right"/>
    </xf>
    <xf numFmtId="167" fontId="17" fillId="3" borderId="20" xfId="0" applyNumberFormat="1" applyFont="1" applyFill="1" applyBorder="1" applyAlignment="1">
      <alignment horizontal="left" indent="1"/>
    </xf>
    <xf numFmtId="169" fontId="17" fillId="3" borderId="20" xfId="0" applyNumberFormat="1" applyFont="1" applyFill="1" applyBorder="1"/>
    <xf numFmtId="200" fontId="12" fillId="3" borderId="20" xfId="0" applyNumberFormat="1" applyFont="1" applyFill="1" applyBorder="1"/>
    <xf numFmtId="167" fontId="17" fillId="3" borderId="21" xfId="0" applyNumberFormat="1" applyFont="1" applyFill="1" applyBorder="1"/>
    <xf numFmtId="198" fontId="17" fillId="3" borderId="20" xfId="0" applyNumberFormat="1" applyFont="1" applyFill="1" applyBorder="1"/>
    <xf numFmtId="195" fontId="12" fillId="3" borderId="20" xfId="0" applyNumberFormat="1" applyFont="1" applyFill="1" applyBorder="1"/>
    <xf numFmtId="193" fontId="13" fillId="3" borderId="20" xfId="0" applyNumberFormat="1" applyFont="1" applyFill="1" applyBorder="1"/>
    <xf numFmtId="193" fontId="13" fillId="3" borderId="25" xfId="0" applyNumberFormat="1" applyFont="1" applyFill="1" applyBorder="1"/>
    <xf numFmtId="167" fontId="19" fillId="3" borderId="20" xfId="0" applyNumberFormat="1" applyFont="1" applyFill="1" applyBorder="1"/>
    <xf numFmtId="167" fontId="19" fillId="3" borderId="27" xfId="0" applyNumberFormat="1" applyFont="1" applyFill="1" applyBorder="1"/>
    <xf numFmtId="200" fontId="12" fillId="3" borderId="20" xfId="0" applyNumberFormat="1" applyFont="1" applyFill="1" applyBorder="1" applyAlignment="1">
      <alignment horizontal="center"/>
    </xf>
    <xf numFmtId="166" fontId="38" fillId="3" borderId="20" xfId="0" applyNumberFormat="1" applyFont="1" applyFill="1" applyBorder="1" applyAlignment="1">
      <alignment horizontal="right"/>
    </xf>
    <xf numFmtId="166" fontId="19" fillId="3" borderId="27" xfId="0" applyNumberFormat="1" applyFont="1" applyFill="1" applyBorder="1"/>
    <xf numFmtId="166" fontId="17" fillId="3" borderId="20" xfId="0" applyNumberFormat="1" applyFont="1" applyFill="1" applyBorder="1"/>
    <xf numFmtId="166" fontId="17" fillId="3" borderId="25" xfId="0" applyNumberFormat="1" applyFont="1" applyFill="1" applyBorder="1"/>
    <xf numFmtId="169" fontId="13" fillId="3" borderId="20" xfId="2" applyNumberFormat="1" applyFont="1" applyFill="1" applyBorder="1"/>
    <xf numFmtId="172" fontId="12" fillId="3" borderId="20" xfId="0" applyNumberFormat="1" applyFont="1" applyFill="1" applyBorder="1"/>
    <xf numFmtId="188" fontId="13" fillId="3" borderId="20" xfId="0" applyNumberFormat="1" applyFont="1" applyFill="1" applyBorder="1"/>
    <xf numFmtId="170" fontId="13" fillId="3" borderId="20" xfId="0" applyNumberFormat="1" applyFont="1" applyFill="1" applyBorder="1" applyAlignment="1">
      <alignment horizontal="right"/>
    </xf>
    <xf numFmtId="170" fontId="13" fillId="3" borderId="20" xfId="0" applyNumberFormat="1" applyFont="1" applyFill="1" applyBorder="1"/>
    <xf numFmtId="198" fontId="12" fillId="3" borderId="20" xfId="0" applyNumberFormat="1" applyFont="1" applyFill="1" applyBorder="1" applyAlignment="1">
      <alignment horizontal="right"/>
    </xf>
    <xf numFmtId="197" fontId="12" fillId="3" borderId="20" xfId="0" applyNumberFormat="1" applyFont="1" applyFill="1" applyBorder="1"/>
    <xf numFmtId="170" fontId="12" fillId="3" borderId="20" xfId="0" applyNumberFormat="1" applyFont="1" applyFill="1" applyBorder="1"/>
    <xf numFmtId="188" fontId="6" fillId="3" borderId="20" xfId="0" applyNumberFormat="1" applyFont="1" applyFill="1" applyBorder="1" applyAlignment="1">
      <alignment horizontal="right"/>
    </xf>
    <xf numFmtId="188" fontId="0" fillId="3" borderId="20" xfId="0" applyNumberFormat="1" applyFill="1" applyBorder="1" applyAlignment="1">
      <alignment horizontal="right"/>
    </xf>
    <xf numFmtId="196" fontId="0" fillId="3" borderId="20" xfId="0" applyNumberFormat="1" applyFill="1" applyBorder="1" applyAlignment="1">
      <alignment horizontal="right"/>
    </xf>
    <xf numFmtId="189" fontId="0" fillId="3" borderId="20" xfId="0" applyNumberFormat="1" applyFill="1" applyBorder="1" applyAlignment="1">
      <alignment horizontal="right"/>
    </xf>
    <xf numFmtId="166" fontId="6" fillId="3" borderId="20" xfId="0" applyNumberFormat="1" applyFont="1" applyFill="1" applyBorder="1" applyAlignment="1">
      <alignment horizontal="right"/>
    </xf>
    <xf numFmtId="185" fontId="13" fillId="3" borderId="20" xfId="0" applyNumberFormat="1" applyFont="1" applyFill="1" applyBorder="1"/>
    <xf numFmtId="167" fontId="29" fillId="3" borderId="20" xfId="0" applyNumberFormat="1" applyFont="1" applyFill="1" applyBorder="1"/>
    <xf numFmtId="0" fontId="6" fillId="3" borderId="20" xfId="13" applyFont="1" applyFill="1" applyBorder="1" applyAlignment="1">
      <alignment horizontal="center"/>
    </xf>
    <xf numFmtId="17" fontId="46" fillId="3" borderId="20" xfId="13" applyNumberFormat="1" applyFill="1" applyBorder="1" applyAlignment="1">
      <alignment horizontal="center"/>
    </xf>
    <xf numFmtId="167" fontId="12" fillId="3" borderId="20" xfId="13" applyNumberFormat="1" applyFont="1" applyFill="1" applyBorder="1"/>
    <xf numFmtId="166" fontId="12" fillId="3" borderId="20" xfId="13" applyNumberFormat="1" applyFont="1" applyFill="1" applyBorder="1"/>
    <xf numFmtId="166" fontId="13" fillId="3" borderId="20" xfId="13" applyNumberFormat="1" applyFont="1" applyFill="1" applyBorder="1"/>
    <xf numFmtId="193" fontId="13" fillId="3" borderId="20" xfId="13" applyNumberFormat="1" applyFont="1" applyFill="1" applyBorder="1"/>
    <xf numFmtId="193" fontId="12" fillId="3" borderId="20" xfId="13" applyNumberFormat="1" applyFont="1" applyFill="1" applyBorder="1"/>
    <xf numFmtId="167" fontId="13" fillId="3" borderId="20" xfId="13" applyNumberFormat="1" applyFont="1" applyFill="1" applyBorder="1"/>
    <xf numFmtId="167" fontId="13" fillId="3" borderId="27" xfId="0" applyNumberFormat="1" applyFont="1" applyFill="1" applyBorder="1"/>
    <xf numFmtId="166" fontId="13" fillId="3" borderId="27" xfId="0" applyNumberFormat="1" applyFont="1" applyFill="1" applyBorder="1"/>
    <xf numFmtId="185" fontId="17" fillId="3" borderId="20" xfId="1" applyNumberFormat="1" applyFont="1" applyFill="1" applyBorder="1"/>
    <xf numFmtId="17" fontId="20" fillId="3" borderId="20" xfId="13" applyNumberFormat="1" applyFont="1" applyFill="1" applyBorder="1" applyAlignment="1">
      <alignment horizontal="center"/>
    </xf>
    <xf numFmtId="164" fontId="16" fillId="3" borderId="20" xfId="13" applyNumberFormat="1" applyFont="1" applyFill="1" applyBorder="1" applyAlignment="1">
      <alignment horizontal="center"/>
    </xf>
    <xf numFmtId="188" fontId="13" fillId="3" borderId="20" xfId="13" applyNumberFormat="1" applyFont="1" applyFill="1" applyBorder="1" applyAlignment="1">
      <alignment horizontal="right"/>
    </xf>
    <xf numFmtId="166" fontId="12" fillId="3" borderId="25" xfId="13" applyNumberFormat="1" applyFont="1" applyFill="1" applyBorder="1"/>
    <xf numFmtId="166" fontId="13" fillId="3" borderId="27" xfId="13" applyNumberFormat="1" applyFont="1" applyFill="1" applyBorder="1"/>
    <xf numFmtId="167" fontId="12" fillId="3" borderId="25" xfId="13" applyNumberFormat="1" applyFont="1" applyFill="1" applyBorder="1"/>
    <xf numFmtId="169" fontId="13" fillId="3" borderId="20" xfId="13" applyNumberFormat="1" applyFont="1" applyFill="1" applyBorder="1"/>
    <xf numFmtId="167" fontId="13" fillId="3" borderId="20" xfId="13" applyNumberFormat="1" applyFont="1" applyFill="1" applyBorder="1" applyAlignment="1">
      <alignment horizontal="center"/>
    </xf>
    <xf numFmtId="167" fontId="12" fillId="3" borderId="20" xfId="13" applyNumberFormat="1" applyFont="1" applyFill="1" applyBorder="1" applyAlignment="1">
      <alignment horizontal="right"/>
    </xf>
    <xf numFmtId="167" fontId="12" fillId="3" borderId="25" xfId="13" applyNumberFormat="1" applyFont="1" applyFill="1" applyBorder="1" applyAlignment="1">
      <alignment horizontal="right"/>
    </xf>
    <xf numFmtId="167" fontId="13" fillId="3" borderId="20" xfId="13" applyNumberFormat="1" applyFont="1" applyFill="1" applyBorder="1" applyAlignment="1">
      <alignment horizontal="right"/>
    </xf>
    <xf numFmtId="180" fontId="13" fillId="3" borderId="20" xfId="13" applyNumberFormat="1" applyFont="1" applyFill="1" applyBorder="1" applyAlignment="1">
      <alignment horizontal="right"/>
    </xf>
    <xf numFmtId="170" fontId="13" fillId="3" borderId="20" xfId="13" applyNumberFormat="1" applyFont="1" applyFill="1" applyBorder="1"/>
    <xf numFmtId="181" fontId="13" fillId="3" borderId="20" xfId="13" applyNumberFormat="1" applyFont="1" applyFill="1" applyBorder="1" applyAlignment="1">
      <alignment horizontal="right"/>
    </xf>
    <xf numFmtId="170" fontId="12" fillId="3" borderId="20" xfId="13" applyNumberFormat="1" applyFont="1" applyFill="1" applyBorder="1"/>
    <xf numFmtId="0" fontId="12" fillId="3" borderId="20" xfId="13" applyFont="1" applyFill="1" applyBorder="1"/>
    <xf numFmtId="193" fontId="12" fillId="3" borderId="20" xfId="0" applyNumberFormat="1" applyFont="1" applyFill="1" applyBorder="1"/>
    <xf numFmtId="193" fontId="12" fillId="3" borderId="25" xfId="0" applyNumberFormat="1" applyFont="1" applyFill="1" applyBorder="1"/>
    <xf numFmtId="197" fontId="17" fillId="3" borderId="25" xfId="0" applyNumberFormat="1" applyFont="1" applyFill="1" applyBorder="1"/>
    <xf numFmtId="164" fontId="12" fillId="3" borderId="0" xfId="0" applyNumberFormat="1" applyFont="1" applyFill="1" applyAlignment="1">
      <alignment horizontal="right"/>
    </xf>
    <xf numFmtId="164" fontId="14" fillId="4" borderId="0" xfId="0" applyNumberFormat="1" applyFont="1" applyFill="1"/>
    <xf numFmtId="164" fontId="14" fillId="4" borderId="20" xfId="0" applyNumberFormat="1" applyFont="1" applyFill="1" applyBorder="1"/>
    <xf numFmtId="164" fontId="12" fillId="3" borderId="20" xfId="0" applyNumberFormat="1" applyFont="1" applyFill="1" applyBorder="1" applyAlignment="1">
      <alignment horizontal="right"/>
    </xf>
    <xf numFmtId="164" fontId="12" fillId="3" borderId="0" xfId="0" applyNumberFormat="1" applyFont="1" applyFill="1"/>
    <xf numFmtId="164" fontId="12" fillId="3" borderId="20" xfId="0" applyNumberFormat="1" applyFont="1" applyFill="1" applyBorder="1"/>
    <xf numFmtId="164" fontId="13" fillId="3" borderId="0" xfId="0" applyNumberFormat="1" applyFont="1" applyFill="1"/>
    <xf numFmtId="164" fontId="13" fillId="3" borderId="20" xfId="0" applyNumberFormat="1" applyFont="1" applyFill="1" applyBorder="1"/>
    <xf numFmtId="164" fontId="12" fillId="3" borderId="2" xfId="0" applyNumberFormat="1" applyFont="1" applyFill="1" applyBorder="1"/>
    <xf numFmtId="164" fontId="12" fillId="3" borderId="25" xfId="0" applyNumberFormat="1" applyFont="1" applyFill="1" applyBorder="1"/>
    <xf numFmtId="164" fontId="17" fillId="3" borderId="0" xfId="0" applyNumberFormat="1" applyFont="1" applyFill="1"/>
    <xf numFmtId="202" fontId="13" fillId="3" borderId="0" xfId="0" applyNumberFormat="1" applyFont="1" applyFill="1"/>
    <xf numFmtId="164" fontId="22" fillId="4" borderId="0" xfId="0" applyNumberFormat="1" applyFont="1" applyFill="1"/>
    <xf numFmtId="164" fontId="22" fillId="4" borderId="20" xfId="0" applyNumberFormat="1" applyFont="1" applyFill="1" applyBorder="1"/>
    <xf numFmtId="164" fontId="17" fillId="3" borderId="0" xfId="0" applyNumberFormat="1" applyFont="1" applyFill="1" applyAlignment="1">
      <alignment horizontal="left" indent="1"/>
    </xf>
    <xf numFmtId="164" fontId="21" fillId="3" borderId="0" xfId="2" applyNumberFormat="1" applyFont="1" applyFill="1"/>
    <xf numFmtId="164" fontId="21" fillId="3" borderId="0" xfId="0" applyNumberFormat="1" applyFont="1" applyFill="1" applyAlignment="1">
      <alignment horizontal="left" indent="1"/>
    </xf>
    <xf numFmtId="164" fontId="17" fillId="3" borderId="0" xfId="0" applyNumberFormat="1" applyFont="1" applyFill="1" applyAlignment="1">
      <alignment horizontal="left" indent="3"/>
    </xf>
    <xf numFmtId="164" fontId="11" fillId="3" borderId="0" xfId="0" applyNumberFormat="1" applyFont="1" applyFill="1" applyAlignment="1">
      <alignment horizontal="left" indent="1"/>
    </xf>
    <xf numFmtId="164" fontId="13" fillId="3" borderId="0" xfId="13" applyNumberFormat="1" applyFont="1" applyFill="1"/>
    <xf numFmtId="164" fontId="23" fillId="4" borderId="0" xfId="13" applyNumberFormat="1" applyFont="1" applyFill="1"/>
    <xf numFmtId="164" fontId="12" fillId="3" borderId="0" xfId="13" applyNumberFormat="1" applyFont="1" applyFill="1"/>
    <xf numFmtId="164" fontId="12" fillId="3" borderId="20" xfId="13" applyNumberFormat="1" applyFont="1" applyFill="1" applyBorder="1"/>
    <xf numFmtId="164" fontId="14" fillId="4" borderId="0" xfId="13" applyNumberFormat="1" applyFont="1" applyFill="1"/>
    <xf numFmtId="164" fontId="14" fillId="4" borderId="20" xfId="13" applyNumberFormat="1" applyFont="1" applyFill="1" applyBorder="1"/>
    <xf numFmtId="164" fontId="13" fillId="3" borderId="0" xfId="0" applyNumberFormat="1" applyFont="1" applyFill="1" applyAlignment="1">
      <alignment horizontal="right"/>
    </xf>
    <xf numFmtId="164" fontId="13" fillId="3" borderId="20" xfId="0" applyNumberFormat="1" applyFont="1" applyFill="1" applyBorder="1" applyAlignment="1">
      <alignment horizontal="right"/>
    </xf>
    <xf numFmtId="164" fontId="17" fillId="3" borderId="0" xfId="0" applyNumberFormat="1" applyFont="1" applyFill="1" applyAlignment="1">
      <alignment horizontal="right"/>
    </xf>
    <xf numFmtId="164" fontId="17" fillId="3" borderId="20" xfId="0" applyNumberFormat="1" applyFont="1" applyFill="1" applyBorder="1" applyAlignment="1">
      <alignment horizontal="right"/>
    </xf>
    <xf numFmtId="164" fontId="0" fillId="3" borderId="0" xfId="0" applyNumberFormat="1" applyFill="1" applyAlignment="1">
      <alignment horizontal="right"/>
    </xf>
    <xf numFmtId="164" fontId="0" fillId="3" borderId="20" xfId="0" applyNumberFormat="1" applyFill="1" applyBorder="1" applyAlignment="1">
      <alignment horizontal="right"/>
    </xf>
    <xf numFmtId="164" fontId="12" fillId="3" borderId="2" xfId="0" applyNumberFormat="1" applyFont="1" applyFill="1" applyBorder="1" applyAlignment="1">
      <alignment horizontal="right"/>
    </xf>
    <xf numFmtId="164" fontId="0" fillId="3" borderId="2" xfId="0" applyNumberFormat="1" applyFill="1" applyBorder="1" applyAlignment="1">
      <alignment horizontal="right"/>
    </xf>
    <xf numFmtId="164" fontId="0" fillId="3" borderId="25" xfId="0" applyNumberFormat="1" applyFill="1" applyBorder="1" applyAlignment="1">
      <alignment horizontal="right"/>
    </xf>
    <xf numFmtId="164" fontId="13" fillId="3" borderId="7" xfId="0" applyNumberFormat="1" applyFont="1" applyFill="1" applyBorder="1" applyAlignment="1">
      <alignment horizontal="right"/>
    </xf>
    <xf numFmtId="164" fontId="13" fillId="3" borderId="27" xfId="0" applyNumberFormat="1" applyFont="1" applyFill="1" applyBorder="1" applyAlignment="1">
      <alignment horizontal="right"/>
    </xf>
    <xf numFmtId="164" fontId="19" fillId="3" borderId="0" xfId="0" applyNumberFormat="1" applyFont="1" applyFill="1" applyAlignment="1">
      <alignment horizontal="right"/>
    </xf>
    <xf numFmtId="164" fontId="19" fillId="3" borderId="20" xfId="0" applyNumberFormat="1" applyFont="1" applyFill="1" applyBorder="1" applyAlignment="1">
      <alignment horizontal="right"/>
    </xf>
    <xf numFmtId="164" fontId="13" fillId="3" borderId="7" xfId="0" applyNumberFormat="1" applyFont="1" applyFill="1" applyBorder="1"/>
    <xf numFmtId="164" fontId="6" fillId="3" borderId="7" xfId="0" applyNumberFormat="1" applyFont="1" applyFill="1" applyBorder="1"/>
    <xf numFmtId="164" fontId="6" fillId="3" borderId="27" xfId="0" applyNumberFormat="1" applyFont="1" applyFill="1" applyBorder="1"/>
    <xf numFmtId="164" fontId="6" fillId="3" borderId="20" xfId="0" applyNumberFormat="1" applyFont="1" applyFill="1" applyBorder="1"/>
    <xf numFmtId="164" fontId="0" fillId="3" borderId="20" xfId="0" applyNumberFormat="1" applyFill="1" applyBorder="1"/>
    <xf numFmtId="164" fontId="34" fillId="4" borderId="0" xfId="0" applyNumberFormat="1" applyFont="1" applyFill="1"/>
    <xf numFmtId="164" fontId="13" fillId="3" borderId="27" xfId="0" applyNumberFormat="1" applyFont="1" applyFill="1" applyBorder="1"/>
    <xf numFmtId="164" fontId="23" fillId="4" borderId="0" xfId="0" applyNumberFormat="1" applyFont="1" applyFill="1"/>
    <xf numFmtId="164" fontId="23" fillId="4" borderId="20" xfId="0" applyNumberFormat="1" applyFont="1" applyFill="1" applyBorder="1"/>
    <xf numFmtId="164" fontId="0" fillId="3" borderId="2" xfId="0" applyNumberFormat="1" applyFill="1" applyBorder="1"/>
    <xf numFmtId="164" fontId="6" fillId="3" borderId="9" xfId="0" applyNumberFormat="1" applyFont="1" applyFill="1" applyBorder="1"/>
    <xf numFmtId="164" fontId="13" fillId="3" borderId="9" xfId="0" applyNumberFormat="1" applyFont="1" applyFill="1" applyBorder="1"/>
    <xf numFmtId="164" fontId="6" fillId="3" borderId="28" xfId="0" applyNumberFormat="1" applyFont="1" applyFill="1" applyBorder="1"/>
    <xf numFmtId="164" fontId="12" fillId="3" borderId="7" xfId="0" applyNumberFormat="1" applyFont="1" applyFill="1" applyBorder="1"/>
    <xf numFmtId="164" fontId="12" fillId="3" borderId="27" xfId="0" applyNumberFormat="1" applyFont="1" applyFill="1" applyBorder="1"/>
    <xf numFmtId="164" fontId="21" fillId="3" borderId="0" xfId="0" applyNumberFormat="1" applyFont="1" applyFill="1"/>
    <xf numFmtId="164" fontId="17" fillId="3" borderId="20" xfId="0" applyNumberFormat="1" applyFont="1" applyFill="1" applyBorder="1"/>
    <xf numFmtId="164" fontId="0" fillId="3" borderId="25" xfId="0" applyNumberFormat="1" applyFill="1" applyBorder="1"/>
    <xf numFmtId="164" fontId="12" fillId="3" borderId="9" xfId="0" applyNumberFormat="1" applyFont="1" applyFill="1" applyBorder="1"/>
    <xf numFmtId="164" fontId="0" fillId="3" borderId="9" xfId="0" applyNumberFormat="1" applyFill="1" applyBorder="1"/>
    <xf numFmtId="164" fontId="12" fillId="3" borderId="28" xfId="0" applyNumberFormat="1" applyFont="1" applyFill="1" applyBorder="1"/>
    <xf numFmtId="164" fontId="0" fillId="3" borderId="7" xfId="0" applyNumberFormat="1" applyFill="1" applyBorder="1"/>
    <xf numFmtId="164" fontId="0" fillId="3" borderId="27" xfId="0" applyNumberFormat="1" applyFill="1" applyBorder="1"/>
    <xf numFmtId="164" fontId="17" fillId="3" borderId="7" xfId="0" applyNumberFormat="1" applyFont="1" applyFill="1" applyBorder="1"/>
    <xf numFmtId="164" fontId="17" fillId="3" borderId="27" xfId="0" applyNumberFormat="1" applyFont="1" applyFill="1" applyBorder="1"/>
    <xf numFmtId="202" fontId="13" fillId="3" borderId="20" xfId="0" applyNumberFormat="1" applyFont="1" applyFill="1" applyBorder="1"/>
    <xf numFmtId="164" fontId="12" fillId="3" borderId="25" xfId="0" applyNumberFormat="1" applyFont="1" applyFill="1" applyBorder="1" applyAlignment="1">
      <alignment horizontal="right"/>
    </xf>
    <xf numFmtId="164" fontId="12" fillId="3" borderId="7" xfId="0" applyNumberFormat="1" applyFont="1" applyFill="1" applyBorder="1" applyAlignment="1">
      <alignment horizontal="right"/>
    </xf>
    <xf numFmtId="164" fontId="12" fillId="3" borderId="27" xfId="0" applyNumberFormat="1" applyFont="1" applyFill="1" applyBorder="1" applyAlignment="1">
      <alignment horizontal="right"/>
    </xf>
    <xf numFmtId="164" fontId="12" fillId="3" borderId="2" xfId="0" applyNumberFormat="1" applyFont="1" applyFill="1" applyBorder="1" applyAlignment="1">
      <alignment horizontal="center"/>
    </xf>
    <xf numFmtId="164" fontId="0" fillId="3" borderId="2" xfId="0" applyNumberFormat="1" applyFill="1" applyBorder="1" applyAlignment="1">
      <alignment horizontal="center"/>
    </xf>
    <xf numFmtId="164" fontId="12" fillId="3" borderId="25" xfId="0" applyNumberFormat="1" applyFont="1" applyFill="1" applyBorder="1" applyAlignment="1">
      <alignment horizontal="center"/>
    </xf>
    <xf numFmtId="164" fontId="6" fillId="3" borderId="0" xfId="0" applyNumberFormat="1" applyFont="1" applyFill="1" applyAlignment="1">
      <alignment horizontal="right"/>
    </xf>
    <xf numFmtId="164" fontId="14" fillId="4" borderId="0" xfId="0" applyNumberFormat="1" applyFont="1" applyFill="1" applyAlignment="1">
      <alignment horizontal="right"/>
    </xf>
    <xf numFmtId="164" fontId="14" fillId="4" borderId="20" xfId="0" applyNumberFormat="1" applyFont="1" applyFill="1" applyBorder="1" applyAlignment="1">
      <alignment horizontal="right"/>
    </xf>
    <xf numFmtId="164" fontId="6" fillId="3" borderId="20" xfId="0" applyNumberFormat="1" applyFont="1" applyFill="1" applyBorder="1" applyAlignment="1">
      <alignment horizontal="right"/>
    </xf>
    <xf numFmtId="164" fontId="6" fillId="3" borderId="12" xfId="0" applyNumberFormat="1" applyFont="1" applyFill="1" applyBorder="1" applyAlignment="1">
      <alignment horizontal="right"/>
    </xf>
    <xf numFmtId="164" fontId="13" fillId="3" borderId="12" xfId="0" applyNumberFormat="1" applyFont="1" applyFill="1" applyBorder="1" applyAlignment="1">
      <alignment horizontal="right"/>
    </xf>
    <xf numFmtId="164" fontId="6" fillId="3" borderId="23" xfId="0" applyNumberFormat="1" applyFont="1" applyFill="1" applyBorder="1" applyAlignment="1">
      <alignment horizontal="right"/>
    </xf>
    <xf numFmtId="164" fontId="15" fillId="2" borderId="0" xfId="8" applyNumberFormat="1" applyFont="1" applyAlignment="1">
      <alignment horizontal="right"/>
    </xf>
    <xf numFmtId="164" fontId="15" fillId="2" borderId="20" xfId="8" applyNumberFormat="1" applyFont="1" applyBorder="1" applyAlignment="1">
      <alignment horizontal="right"/>
    </xf>
    <xf numFmtId="164" fontId="13" fillId="3" borderId="8" xfId="0" applyNumberFormat="1" applyFont="1" applyFill="1" applyBorder="1"/>
    <xf numFmtId="164" fontId="13" fillId="3" borderId="6" xfId="0" applyNumberFormat="1" applyFont="1" applyFill="1" applyBorder="1"/>
    <xf numFmtId="164" fontId="13" fillId="3" borderId="5" xfId="0" applyNumberFormat="1" applyFont="1" applyFill="1" applyBorder="1"/>
    <xf numFmtId="164" fontId="13" fillId="3" borderId="4" xfId="0" applyNumberFormat="1" applyFont="1" applyFill="1" applyBorder="1"/>
    <xf numFmtId="164" fontId="12" fillId="3" borderId="13" xfId="13" applyNumberFormat="1" applyFont="1" applyFill="1" applyBorder="1" applyAlignment="1">
      <alignment horizontal="right"/>
    </xf>
    <xf numFmtId="164" fontId="12" fillId="3" borderId="21" xfId="13" applyNumberFormat="1" applyFont="1" applyFill="1" applyBorder="1" applyAlignment="1">
      <alignment horizontal="right"/>
    </xf>
    <xf numFmtId="164" fontId="13" fillId="3" borderId="20" xfId="13" applyNumberFormat="1" applyFont="1" applyFill="1" applyBorder="1"/>
    <xf numFmtId="164" fontId="23" fillId="4" borderId="20" xfId="13" applyNumberFormat="1" applyFont="1" applyFill="1" applyBorder="1"/>
    <xf numFmtId="164" fontId="12" fillId="3" borderId="2" xfId="13" applyNumberFormat="1" applyFont="1" applyFill="1" applyBorder="1"/>
    <xf numFmtId="164" fontId="12" fillId="3" borderId="25" xfId="13" applyNumberFormat="1" applyFont="1" applyFill="1" applyBorder="1"/>
    <xf numFmtId="164" fontId="13" fillId="3" borderId="7" xfId="13" applyNumberFormat="1" applyFont="1" applyFill="1" applyBorder="1"/>
    <xf numFmtId="164" fontId="13" fillId="3" borderId="27" xfId="13" applyNumberFormat="1" applyFont="1" applyFill="1" applyBorder="1"/>
    <xf numFmtId="164" fontId="13" fillId="3" borderId="2" xfId="13" applyNumberFormat="1" applyFont="1" applyFill="1" applyBorder="1"/>
    <xf numFmtId="164" fontId="13" fillId="3" borderId="25" xfId="13" applyNumberFormat="1" applyFont="1" applyFill="1" applyBorder="1"/>
    <xf numFmtId="188" fontId="13" fillId="3" borderId="0" xfId="13" applyNumberFormat="1" applyFont="1" applyFill="1" applyAlignment="1">
      <alignment horizontal="left"/>
    </xf>
    <xf numFmtId="166" fontId="39" fillId="3" borderId="0" xfId="0" applyNumberFormat="1" applyFont="1" applyFill="1"/>
    <xf numFmtId="167" fontId="44" fillId="3" borderId="0" xfId="0" applyNumberFormat="1" applyFont="1" applyFill="1" applyAlignment="1">
      <alignment horizontal="right"/>
    </xf>
    <xf numFmtId="164" fontId="41" fillId="3" borderId="0" xfId="0" applyNumberFormat="1" applyFont="1" applyFill="1" applyAlignment="1">
      <alignment horizontal="right"/>
    </xf>
    <xf numFmtId="166" fontId="41" fillId="3" borderId="0" xfId="0" applyNumberFormat="1" applyFont="1" applyFill="1"/>
    <xf numFmtId="166" fontId="39" fillId="3" borderId="7" xfId="0" applyNumberFormat="1" applyFont="1" applyFill="1" applyBorder="1"/>
    <xf numFmtId="166" fontId="39" fillId="3" borderId="20" xfId="0" applyNumberFormat="1" applyFont="1" applyFill="1" applyBorder="1"/>
    <xf numFmtId="167" fontId="44" fillId="3" borderId="0" xfId="0" applyNumberFormat="1" applyFont="1" applyFill="1"/>
    <xf numFmtId="166" fontId="41" fillId="3" borderId="0" xfId="0" applyNumberFormat="1" applyFont="1" applyFill="1" applyAlignment="1">
      <alignment horizontal="right"/>
    </xf>
    <xf numFmtId="169" fontId="39" fillId="3" borderId="0" xfId="0" applyNumberFormat="1" applyFont="1" applyFill="1"/>
    <xf numFmtId="169" fontId="13" fillId="3" borderId="20" xfId="0" applyNumberFormat="1" applyFont="1" applyFill="1" applyBorder="1"/>
    <xf numFmtId="164" fontId="41" fillId="3" borderId="0" xfId="0" applyNumberFormat="1" applyFont="1" applyFill="1"/>
    <xf numFmtId="164" fontId="39" fillId="3" borderId="7" xfId="0" applyNumberFormat="1" applyFont="1" applyFill="1" applyBorder="1"/>
    <xf numFmtId="164" fontId="39" fillId="3" borderId="27" xfId="0" applyNumberFormat="1" applyFont="1" applyFill="1" applyBorder="1"/>
    <xf numFmtId="164" fontId="42" fillId="3" borderId="0" xfId="0" applyNumberFormat="1" applyFont="1" applyFill="1"/>
    <xf numFmtId="164" fontId="39" fillId="3" borderId="0" xfId="0" applyNumberFormat="1" applyFont="1" applyFill="1"/>
    <xf numFmtId="166" fontId="40" fillId="3" borderId="0" xfId="0" applyNumberFormat="1" applyFont="1" applyFill="1"/>
    <xf numFmtId="164" fontId="41" fillId="3" borderId="2" xfId="0" applyNumberFormat="1" applyFont="1" applyFill="1" applyBorder="1"/>
    <xf numFmtId="164" fontId="41" fillId="3" borderId="20" xfId="0" applyNumberFormat="1" applyFont="1" applyFill="1" applyBorder="1"/>
    <xf numFmtId="166" fontId="41" fillId="3" borderId="2" xfId="0" applyNumberFormat="1" applyFont="1" applyFill="1" applyBorder="1"/>
    <xf numFmtId="166" fontId="41" fillId="3" borderId="25" xfId="0" applyNumberFormat="1" applyFont="1" applyFill="1" applyBorder="1"/>
    <xf numFmtId="167" fontId="41" fillId="3" borderId="0" xfId="0" applyNumberFormat="1" applyFont="1" applyFill="1"/>
    <xf numFmtId="167" fontId="41" fillId="3" borderId="2" xfId="0" applyNumberFormat="1" applyFont="1" applyFill="1" applyBorder="1"/>
    <xf numFmtId="164" fontId="42" fillId="3" borderId="7" xfId="0" applyNumberFormat="1" applyFont="1" applyFill="1" applyBorder="1"/>
    <xf numFmtId="167" fontId="40" fillId="3" borderId="0" xfId="0" applyNumberFormat="1" applyFont="1" applyFill="1" applyAlignment="1">
      <alignment horizontal="right"/>
    </xf>
    <xf numFmtId="167" fontId="40" fillId="3" borderId="2" xfId="0" applyNumberFormat="1" applyFont="1" applyFill="1" applyBorder="1" applyAlignment="1">
      <alignment horizontal="right"/>
    </xf>
    <xf numFmtId="164" fontId="39" fillId="3" borderId="20" xfId="0" applyNumberFormat="1" applyFont="1" applyFill="1" applyBorder="1"/>
    <xf numFmtId="164" fontId="41" fillId="3" borderId="25" xfId="0" applyNumberFormat="1" applyFont="1" applyFill="1" applyBorder="1"/>
    <xf numFmtId="167" fontId="39" fillId="3" borderId="0" xfId="0" applyNumberFormat="1" applyFont="1" applyFill="1"/>
    <xf numFmtId="198" fontId="44" fillId="3" borderId="0" xfId="0" applyNumberFormat="1" applyFont="1" applyFill="1"/>
    <xf numFmtId="164" fontId="41" fillId="3" borderId="7" xfId="0" applyNumberFormat="1" applyFont="1" applyFill="1" applyBorder="1"/>
    <xf numFmtId="193" fontId="41" fillId="3" borderId="0" xfId="0" applyNumberFormat="1" applyFont="1" applyFill="1"/>
    <xf numFmtId="193" fontId="41" fillId="3" borderId="20" xfId="0" applyNumberFormat="1" applyFont="1" applyFill="1" applyBorder="1"/>
    <xf numFmtId="193" fontId="41" fillId="3" borderId="7" xfId="0" applyNumberFormat="1" applyFont="1" applyFill="1" applyBorder="1"/>
    <xf numFmtId="193" fontId="41" fillId="3" borderId="27" xfId="0" applyNumberFormat="1" applyFont="1" applyFill="1" applyBorder="1"/>
    <xf numFmtId="193" fontId="39" fillId="3" borderId="0" xfId="0" applyNumberFormat="1" applyFont="1" applyFill="1"/>
    <xf numFmtId="193" fontId="39" fillId="3" borderId="20" xfId="0" applyNumberFormat="1" applyFont="1" applyFill="1" applyBorder="1"/>
    <xf numFmtId="195" fontId="41" fillId="3" borderId="0" xfId="0" applyNumberFormat="1" applyFont="1" applyFill="1"/>
    <xf numFmtId="195" fontId="41" fillId="3" borderId="20" xfId="0" applyNumberFormat="1" applyFont="1" applyFill="1" applyBorder="1"/>
    <xf numFmtId="193" fontId="41" fillId="3" borderId="2" xfId="0" applyNumberFormat="1" applyFont="1" applyFill="1" applyBorder="1"/>
    <xf numFmtId="193" fontId="41" fillId="3" borderId="25" xfId="0" applyNumberFormat="1" applyFont="1" applyFill="1" applyBorder="1"/>
    <xf numFmtId="172" fontId="41" fillId="3" borderId="0" xfId="0" applyNumberFormat="1" applyFont="1" applyFill="1"/>
    <xf numFmtId="172" fontId="41" fillId="3" borderId="20" xfId="0" applyNumberFormat="1" applyFont="1" applyFill="1" applyBorder="1"/>
    <xf numFmtId="188" fontId="39" fillId="3" borderId="0" xfId="0" applyNumberFormat="1" applyFont="1" applyFill="1"/>
    <xf numFmtId="167" fontId="39" fillId="3" borderId="0" xfId="0" applyNumberFormat="1" applyFont="1" applyFill="1" applyAlignment="1">
      <alignment horizontal="right"/>
    </xf>
    <xf numFmtId="164" fontId="41" fillId="3" borderId="2" xfId="0" applyNumberFormat="1" applyFont="1" applyFill="1" applyBorder="1" applyAlignment="1">
      <alignment horizontal="right"/>
    </xf>
    <xf numFmtId="198" fontId="41" fillId="3" borderId="0" xfId="0" applyNumberFormat="1" applyFont="1" applyFill="1" applyAlignment="1">
      <alignment horizontal="right"/>
    </xf>
    <xf numFmtId="198" fontId="41" fillId="3" borderId="20" xfId="0" applyNumberFormat="1" applyFont="1" applyFill="1" applyBorder="1" applyAlignment="1">
      <alignment horizontal="right"/>
    </xf>
    <xf numFmtId="167" fontId="44" fillId="3" borderId="20" xfId="0" applyNumberFormat="1" applyFont="1" applyFill="1" applyBorder="1" applyAlignment="1">
      <alignment horizontal="right"/>
    </xf>
    <xf numFmtId="17" fontId="41" fillId="3" borderId="0" xfId="13" applyNumberFormat="1" applyFont="1" applyFill="1" applyAlignment="1">
      <alignment horizontal="center"/>
    </xf>
    <xf numFmtId="166" fontId="41" fillId="3" borderId="0" xfId="13" applyNumberFormat="1" applyFont="1" applyFill="1"/>
    <xf numFmtId="197" fontId="41" fillId="3" borderId="0" xfId="0" applyNumberFormat="1" applyFont="1" applyFill="1" applyAlignment="1">
      <alignment horizontal="left"/>
    </xf>
    <xf numFmtId="197" fontId="44" fillId="3" borderId="0" xfId="13" applyNumberFormat="1" applyFont="1" applyFill="1"/>
    <xf numFmtId="197" fontId="44" fillId="3" borderId="0" xfId="0" applyNumberFormat="1" applyFont="1" applyFill="1"/>
    <xf numFmtId="197" fontId="44" fillId="3" borderId="20" xfId="0" applyNumberFormat="1" applyFont="1" applyFill="1" applyBorder="1"/>
    <xf numFmtId="197" fontId="44" fillId="3" borderId="2" xfId="0" applyNumberFormat="1" applyFont="1" applyFill="1" applyBorder="1"/>
    <xf numFmtId="197" fontId="41" fillId="3" borderId="0" xfId="0" applyNumberFormat="1" applyFont="1" applyFill="1"/>
    <xf numFmtId="164" fontId="41" fillId="3" borderId="20" xfId="0" applyNumberFormat="1" applyFont="1" applyFill="1" applyBorder="1" applyAlignment="1">
      <alignment horizontal="right"/>
    </xf>
    <xf numFmtId="164" fontId="39" fillId="3" borderId="7" xfId="0" applyNumberFormat="1" applyFont="1" applyFill="1" applyBorder="1" applyAlignment="1">
      <alignment horizontal="right"/>
    </xf>
    <xf numFmtId="164" fontId="39" fillId="3" borderId="0" xfId="0" applyNumberFormat="1" applyFont="1" applyFill="1" applyAlignment="1">
      <alignment horizontal="right"/>
    </xf>
    <xf numFmtId="164" fontId="39" fillId="3" borderId="20" xfId="0" applyNumberFormat="1" applyFont="1" applyFill="1" applyBorder="1" applyAlignment="1">
      <alignment horizontal="right"/>
    </xf>
    <xf numFmtId="188" fontId="39" fillId="3" borderId="0" xfId="0" applyNumberFormat="1" applyFont="1" applyFill="1" applyAlignment="1">
      <alignment horizontal="left"/>
    </xf>
    <xf numFmtId="167" fontId="43" fillId="3" borderId="0" xfId="0" applyNumberFormat="1" applyFont="1" applyFill="1"/>
    <xf numFmtId="164" fontId="41" fillId="3" borderId="27" xfId="0" applyNumberFormat="1" applyFont="1" applyFill="1" applyBorder="1"/>
    <xf numFmtId="164" fontId="41" fillId="3" borderId="9" xfId="0" applyNumberFormat="1" applyFont="1" applyFill="1" applyBorder="1"/>
    <xf numFmtId="164" fontId="41" fillId="3" borderId="28" xfId="0" applyNumberFormat="1" applyFont="1" applyFill="1" applyBorder="1"/>
    <xf numFmtId="166" fontId="45" fillId="3" borderId="4" xfId="11" applyNumberFormat="1" applyFont="1" applyFill="1" applyBorder="1"/>
    <xf numFmtId="166" fontId="45" fillId="3" borderId="1" xfId="11" applyNumberFormat="1" applyFont="1" applyFill="1" applyBorder="1"/>
    <xf numFmtId="201" fontId="39" fillId="3" borderId="0" xfId="0" applyNumberFormat="1" applyFont="1" applyFill="1" applyAlignment="1">
      <alignment horizontal="right"/>
    </xf>
    <xf numFmtId="201" fontId="39" fillId="3" borderId="20" xfId="0" applyNumberFormat="1" applyFont="1" applyFill="1" applyBorder="1" applyAlignment="1">
      <alignment horizontal="right"/>
    </xf>
    <xf numFmtId="188" fontId="45" fillId="3" borderId="0" xfId="11" applyNumberFormat="1" applyFont="1" applyFill="1"/>
    <xf numFmtId="188" fontId="41" fillId="3" borderId="0" xfId="0" applyNumberFormat="1" applyFont="1" applyFill="1"/>
    <xf numFmtId="188" fontId="41" fillId="3" borderId="20" xfId="0" applyNumberFormat="1" applyFont="1" applyFill="1" applyBorder="1"/>
    <xf numFmtId="189" fontId="45" fillId="3" borderId="0" xfId="11" applyNumberFormat="1" applyFont="1" applyFill="1"/>
    <xf numFmtId="189" fontId="41" fillId="3" borderId="0" xfId="0" applyNumberFormat="1" applyFont="1" applyFill="1"/>
    <xf numFmtId="189" fontId="41" fillId="3" borderId="20" xfId="0" applyNumberFormat="1" applyFont="1" applyFill="1" applyBorder="1"/>
    <xf numFmtId="196" fontId="45" fillId="3" borderId="0" xfId="11" applyNumberFormat="1" applyFont="1" applyFill="1"/>
    <xf numFmtId="196" fontId="41" fillId="3" borderId="0" xfId="0" applyNumberFormat="1" applyFont="1" applyFill="1"/>
    <xf numFmtId="196" fontId="41" fillId="3" borderId="20" xfId="0" applyNumberFormat="1" applyFont="1" applyFill="1" applyBorder="1"/>
    <xf numFmtId="1" fontId="6" fillId="5" borderId="0" xfId="0" applyNumberFormat="1" applyFont="1" applyFill="1" applyAlignment="1">
      <alignment horizontal="center"/>
    </xf>
    <xf numFmtId="1" fontId="13" fillId="5" borderId="0" xfId="0" applyNumberFormat="1" applyFont="1" applyFill="1" applyAlignment="1">
      <alignment horizontal="center"/>
    </xf>
    <xf numFmtId="17" fontId="41" fillId="5" borderId="0" xfId="0" applyNumberFormat="1" applyFont="1" applyFill="1" applyAlignment="1">
      <alignment horizontal="center"/>
    </xf>
    <xf numFmtId="17" fontId="15" fillId="5" borderId="0" xfId="0" applyNumberFormat="1" applyFont="1" applyFill="1" applyAlignment="1">
      <alignment horizontal="center"/>
    </xf>
    <xf numFmtId="0" fontId="39" fillId="5" borderId="0" xfId="0" applyFont="1" applyFill="1" applyAlignment="1">
      <alignment horizontal="center"/>
    </xf>
    <xf numFmtId="0" fontId="16" fillId="5" borderId="0" xfId="0" applyFont="1" applyFill="1" applyAlignment="1">
      <alignment horizontal="center"/>
    </xf>
    <xf numFmtId="166" fontId="13" fillId="5" borderId="0" xfId="0" applyNumberFormat="1" applyFont="1" applyFill="1" applyAlignment="1">
      <alignment horizontal="right"/>
    </xf>
    <xf numFmtId="166" fontId="12" fillId="5" borderId="2" xfId="0" applyNumberFormat="1" applyFont="1" applyFill="1" applyBorder="1" applyAlignment="1">
      <alignment horizontal="right"/>
    </xf>
    <xf numFmtId="166" fontId="13" fillId="5" borderId="0" xfId="0" applyNumberFormat="1" applyFont="1" applyFill="1"/>
    <xf numFmtId="166" fontId="6" fillId="5" borderId="0" xfId="0" applyNumberFormat="1" applyFont="1" applyFill="1"/>
    <xf numFmtId="167" fontId="17" fillId="5" borderId="0" xfId="0" applyNumberFormat="1" applyFont="1" applyFill="1"/>
    <xf numFmtId="167" fontId="17" fillId="5" borderId="0" xfId="0" applyNumberFormat="1" applyFont="1" applyFill="1" applyAlignment="1">
      <alignment horizontal="right"/>
    </xf>
    <xf numFmtId="167" fontId="11" fillId="5" borderId="0" xfId="0" applyNumberFormat="1" applyFont="1" applyFill="1" applyAlignment="1">
      <alignment horizontal="right"/>
    </xf>
    <xf numFmtId="167" fontId="19" fillId="5" borderId="0" xfId="0" applyNumberFormat="1" applyFont="1" applyFill="1" applyAlignment="1">
      <alignment horizontal="right"/>
    </xf>
    <xf numFmtId="193" fontId="13" fillId="5" borderId="0" xfId="0" applyNumberFormat="1" applyFont="1" applyFill="1" applyAlignment="1">
      <alignment horizontal="right"/>
    </xf>
    <xf numFmtId="164" fontId="13" fillId="5" borderId="0" xfId="0" applyNumberFormat="1" applyFont="1" applyFill="1" applyAlignment="1">
      <alignment horizontal="right"/>
    </xf>
    <xf numFmtId="167" fontId="17" fillId="5" borderId="2" xfId="0" applyNumberFormat="1" applyFont="1" applyFill="1" applyBorder="1" applyAlignment="1">
      <alignment horizontal="right"/>
    </xf>
    <xf numFmtId="164" fontId="17" fillId="5" borderId="0" xfId="0" applyNumberFormat="1" applyFont="1" applyFill="1" applyAlignment="1">
      <alignment horizontal="right"/>
    </xf>
    <xf numFmtId="164" fontId="12" fillId="5" borderId="0" xfId="0" applyNumberFormat="1" applyFont="1" applyFill="1" applyAlignment="1">
      <alignment horizontal="right"/>
    </xf>
    <xf numFmtId="164" fontId="41" fillId="5" borderId="0" xfId="0" applyNumberFormat="1" applyFont="1" applyFill="1" applyAlignment="1">
      <alignment horizontal="right"/>
    </xf>
    <xf numFmtId="164" fontId="0" fillId="5" borderId="0" xfId="0" applyNumberFormat="1" applyFill="1" applyAlignment="1">
      <alignment horizontal="right"/>
    </xf>
    <xf numFmtId="164" fontId="12" fillId="5" borderId="2" xfId="0" applyNumberFormat="1" applyFont="1" applyFill="1" applyBorder="1" applyAlignment="1">
      <alignment horizontal="right"/>
    </xf>
    <xf numFmtId="164" fontId="0" fillId="5" borderId="2" xfId="0" applyNumberFormat="1" applyFill="1" applyBorder="1" applyAlignment="1">
      <alignment horizontal="right"/>
    </xf>
    <xf numFmtId="164" fontId="13" fillId="5" borderId="7" xfId="0" applyNumberFormat="1" applyFont="1" applyFill="1" applyBorder="1" applyAlignment="1">
      <alignment horizontal="right"/>
    </xf>
    <xf numFmtId="164" fontId="19" fillId="5" borderId="0" xfId="0" applyNumberFormat="1" applyFont="1" applyFill="1" applyAlignment="1">
      <alignment horizontal="right"/>
    </xf>
    <xf numFmtId="166" fontId="12" fillId="5" borderId="0" xfId="0" applyNumberFormat="1" applyFont="1" applyFill="1"/>
    <xf numFmtId="166" fontId="41" fillId="5" borderId="0" xfId="0" applyNumberFormat="1" applyFont="1" applyFill="1"/>
    <xf numFmtId="166" fontId="0" fillId="5" borderId="0" xfId="0" applyNumberFormat="1" applyFill="1"/>
    <xf numFmtId="166" fontId="12" fillId="5" borderId="2" xfId="0" applyNumberFormat="1" applyFont="1" applyFill="1" applyBorder="1"/>
    <xf numFmtId="166" fontId="0" fillId="5" borderId="2" xfId="0" applyNumberFormat="1" applyFill="1" applyBorder="1"/>
    <xf numFmtId="167" fontId="44" fillId="5" borderId="0" xfId="0" applyNumberFormat="1" applyFont="1" applyFill="1" applyAlignment="1">
      <alignment horizontal="right"/>
    </xf>
    <xf numFmtId="166" fontId="12" fillId="5" borderId="0" xfId="0" applyNumberFormat="1" applyFont="1" applyFill="1" applyAlignment="1">
      <alignment horizontal="right"/>
    </xf>
    <xf numFmtId="169" fontId="12" fillId="5" borderId="0" xfId="0" applyNumberFormat="1" applyFont="1" applyFill="1"/>
    <xf numFmtId="169" fontId="0" fillId="5" borderId="0" xfId="0" applyNumberFormat="1" applyFill="1"/>
    <xf numFmtId="169" fontId="13" fillId="5" borderId="0" xfId="0" applyNumberFormat="1" applyFont="1" applyFill="1"/>
    <xf numFmtId="169" fontId="39" fillId="5" borderId="0" xfId="0" applyNumberFormat="1" applyFont="1" applyFill="1"/>
    <xf numFmtId="167" fontId="44" fillId="5" borderId="0" xfId="0" applyNumberFormat="1" applyFont="1" applyFill="1"/>
    <xf numFmtId="164" fontId="12" fillId="5" borderId="0" xfId="0" applyNumberFormat="1" applyFont="1" applyFill="1"/>
    <xf numFmtId="164" fontId="41" fillId="5" borderId="0" xfId="0" applyNumberFormat="1" applyFont="1" applyFill="1"/>
    <xf numFmtId="164" fontId="0" fillId="5" borderId="0" xfId="0" applyNumberFormat="1" applyFill="1"/>
    <xf numFmtId="164" fontId="13" fillId="5" borderId="7" xfId="0" applyNumberFormat="1" applyFont="1" applyFill="1" applyBorder="1"/>
    <xf numFmtId="164" fontId="39" fillId="5" borderId="7" xfId="0" applyNumberFormat="1" applyFont="1" applyFill="1" applyBorder="1"/>
    <xf numFmtId="167" fontId="17" fillId="5" borderId="0" xfId="0" applyNumberFormat="1" applyFont="1" applyFill="1" applyAlignment="1">
      <alignment horizontal="left"/>
    </xf>
    <xf numFmtId="167" fontId="11" fillId="5" borderId="0" xfId="0" applyNumberFormat="1" applyFont="1" applyFill="1" applyAlignment="1">
      <alignment horizontal="left"/>
    </xf>
    <xf numFmtId="164" fontId="13" fillId="5" borderId="0" xfId="0" applyNumberFormat="1" applyFont="1" applyFill="1"/>
    <xf numFmtId="164" fontId="42" fillId="5" borderId="0" xfId="0" applyNumberFormat="1" applyFont="1" applyFill="1"/>
    <xf numFmtId="164" fontId="39" fillId="5" borderId="0" xfId="0" applyNumberFormat="1" applyFont="1" applyFill="1"/>
    <xf numFmtId="166" fontId="40" fillId="5" borderId="0" xfId="0" applyNumberFormat="1" applyFont="1" applyFill="1"/>
    <xf numFmtId="167" fontId="12" fillId="5" borderId="0" xfId="0" applyNumberFormat="1" applyFont="1" applyFill="1"/>
    <xf numFmtId="167" fontId="0" fillId="5" borderId="0" xfId="0" applyNumberFormat="1" applyFill="1"/>
    <xf numFmtId="167" fontId="12" fillId="5" borderId="2" xfId="0" applyNumberFormat="1" applyFont="1" applyFill="1" applyBorder="1"/>
    <xf numFmtId="167" fontId="0" fillId="5" borderId="2" xfId="0" applyNumberFormat="1" applyFill="1" applyBorder="1"/>
    <xf numFmtId="167" fontId="13" fillId="5" borderId="0" xfId="0" applyNumberFormat="1" applyFont="1" applyFill="1"/>
    <xf numFmtId="167" fontId="12" fillId="5" borderId="0" xfId="0" applyNumberFormat="1" applyFont="1" applyFill="1" applyAlignment="1">
      <alignment horizontal="right"/>
    </xf>
    <xf numFmtId="167" fontId="12" fillId="5" borderId="2" xfId="0" applyNumberFormat="1" applyFont="1" applyFill="1" applyBorder="1" applyAlignment="1">
      <alignment horizontal="right"/>
    </xf>
    <xf numFmtId="167" fontId="13" fillId="5" borderId="0" xfId="0" applyNumberFormat="1" applyFont="1" applyFill="1" applyAlignment="1">
      <alignment horizontal="right"/>
    </xf>
    <xf numFmtId="193" fontId="12" fillId="5" borderId="0" xfId="0" applyNumberFormat="1" applyFont="1" applyFill="1" applyAlignment="1">
      <alignment horizontal="right"/>
    </xf>
    <xf numFmtId="193" fontId="12" fillId="5" borderId="2" xfId="0" applyNumberFormat="1" applyFont="1" applyFill="1" applyBorder="1" applyAlignment="1">
      <alignment horizontal="right"/>
    </xf>
    <xf numFmtId="169" fontId="6" fillId="5" borderId="0" xfId="0" applyNumberFormat="1" applyFont="1" applyFill="1"/>
    <xf numFmtId="164" fontId="12" fillId="5" borderId="2" xfId="0" applyNumberFormat="1" applyFont="1" applyFill="1" applyBorder="1"/>
    <xf numFmtId="164" fontId="6" fillId="5" borderId="0" xfId="0" applyNumberFormat="1" applyFont="1" applyFill="1"/>
    <xf numFmtId="164" fontId="6" fillId="5" borderId="7" xfId="0" applyNumberFormat="1" applyFont="1" applyFill="1" applyBorder="1"/>
    <xf numFmtId="167" fontId="6" fillId="5" borderId="0" xfId="0" applyNumberFormat="1" applyFont="1" applyFill="1"/>
    <xf numFmtId="167" fontId="17" fillId="5" borderId="2" xfId="0" applyNumberFormat="1" applyFont="1" applyFill="1" applyBorder="1"/>
    <xf numFmtId="164" fontId="41" fillId="5" borderId="2" xfId="0" applyNumberFormat="1" applyFont="1" applyFill="1" applyBorder="1"/>
    <xf numFmtId="179" fontId="13" fillId="5" borderId="0" xfId="0" applyNumberFormat="1" applyFont="1" applyFill="1"/>
    <xf numFmtId="203" fontId="17" fillId="5" borderId="0" xfId="0" applyNumberFormat="1" applyFont="1" applyFill="1"/>
    <xf numFmtId="203" fontId="11" fillId="5" borderId="0" xfId="0" applyNumberFormat="1" applyFont="1" applyFill="1"/>
    <xf numFmtId="166" fontId="41" fillId="5" borderId="2" xfId="0" applyNumberFormat="1" applyFont="1" applyFill="1" applyBorder="1"/>
    <xf numFmtId="166" fontId="39" fillId="5" borderId="0" xfId="0" applyNumberFormat="1" applyFont="1" applyFill="1"/>
    <xf numFmtId="164" fontId="42" fillId="5" borderId="7" xfId="0" applyNumberFormat="1" applyFont="1" applyFill="1" applyBorder="1"/>
    <xf numFmtId="167" fontId="40" fillId="5" borderId="0" xfId="0" applyNumberFormat="1" applyFont="1" applyFill="1" applyAlignment="1">
      <alignment horizontal="right"/>
    </xf>
    <xf numFmtId="167" fontId="13" fillId="5" borderId="9" xfId="0" applyNumberFormat="1" applyFont="1" applyFill="1" applyBorder="1" applyAlignment="1">
      <alignment horizontal="right"/>
    </xf>
    <xf numFmtId="167" fontId="6" fillId="5" borderId="0" xfId="0" applyNumberFormat="1" applyFont="1" applyFill="1" applyAlignment="1">
      <alignment horizontal="right"/>
    </xf>
    <xf numFmtId="167" fontId="40" fillId="5" borderId="2" xfId="0" applyNumberFormat="1" applyFont="1" applyFill="1" applyBorder="1" applyAlignment="1">
      <alignment horizontal="right"/>
    </xf>
    <xf numFmtId="167" fontId="6" fillId="5" borderId="7" xfId="0" applyNumberFormat="1" applyFont="1" applyFill="1" applyBorder="1" applyAlignment="1">
      <alignment horizontal="right"/>
    </xf>
    <xf numFmtId="167" fontId="13" fillId="5" borderId="7" xfId="0" applyNumberFormat="1" applyFont="1" applyFill="1" applyBorder="1" applyAlignment="1">
      <alignment horizontal="right"/>
    </xf>
    <xf numFmtId="167" fontId="0" fillId="5" borderId="0" xfId="0" applyNumberFormat="1" applyFill="1" applyAlignment="1">
      <alignment horizontal="right"/>
    </xf>
    <xf numFmtId="167" fontId="17" fillId="5" borderId="0" xfId="0" applyNumberFormat="1" applyFont="1" applyFill="1" applyAlignment="1">
      <alignment horizontal="left" indent="1"/>
    </xf>
    <xf numFmtId="167" fontId="17" fillId="5" borderId="0" xfId="0" applyNumberFormat="1" applyFont="1" applyFill="1" applyAlignment="1">
      <alignment horizontal="right" indent="1"/>
    </xf>
    <xf numFmtId="164" fontId="0" fillId="5" borderId="2" xfId="0" applyNumberFormat="1" applyFill="1" applyBorder="1"/>
    <xf numFmtId="164" fontId="6" fillId="5" borderId="9" xfId="0" applyNumberFormat="1" applyFont="1" applyFill="1" applyBorder="1"/>
    <xf numFmtId="164" fontId="13" fillId="5" borderId="9" xfId="0" applyNumberFormat="1" applyFont="1" applyFill="1" applyBorder="1"/>
    <xf numFmtId="164" fontId="12" fillId="5" borderId="7" xfId="0" applyNumberFormat="1" applyFont="1" applyFill="1" applyBorder="1"/>
    <xf numFmtId="164" fontId="17" fillId="5" borderId="0" xfId="0" applyNumberFormat="1" applyFont="1" applyFill="1"/>
    <xf numFmtId="169" fontId="17" fillId="5" borderId="0" xfId="0" applyNumberFormat="1" applyFont="1" applyFill="1"/>
    <xf numFmtId="169" fontId="21" fillId="5" borderId="0" xfId="0" applyNumberFormat="1" applyFont="1" applyFill="1"/>
    <xf numFmtId="164" fontId="12" fillId="5" borderId="9" xfId="0" applyNumberFormat="1" applyFont="1" applyFill="1" applyBorder="1"/>
    <xf numFmtId="164" fontId="0" fillId="5" borderId="7" xfId="0" applyNumberFormat="1" applyFill="1" applyBorder="1"/>
    <xf numFmtId="164" fontId="17" fillId="5" borderId="7" xfId="0" applyNumberFormat="1" applyFont="1" applyFill="1" applyBorder="1"/>
    <xf numFmtId="167" fontId="39" fillId="5" borderId="0" xfId="0" applyNumberFormat="1" applyFont="1" applyFill="1"/>
    <xf numFmtId="169" fontId="17" fillId="5" borderId="0" xfId="0" applyNumberFormat="1" applyFont="1" applyFill="1" applyAlignment="1">
      <alignment horizontal="right"/>
    </xf>
    <xf numFmtId="200" fontId="12" fillId="5" borderId="0" xfId="0" applyNumberFormat="1" applyFont="1" applyFill="1"/>
    <xf numFmtId="202" fontId="13" fillId="5" borderId="0" xfId="0" applyNumberFormat="1" applyFont="1" applyFill="1"/>
    <xf numFmtId="167" fontId="17" fillId="5" borderId="13" xfId="0" applyNumberFormat="1" applyFont="1" applyFill="1" applyBorder="1"/>
    <xf numFmtId="198" fontId="17" fillId="5" borderId="0" xfId="0" applyNumberFormat="1" applyFont="1" applyFill="1"/>
    <xf numFmtId="198" fontId="44" fillId="5" borderId="0" xfId="0" applyNumberFormat="1" applyFont="1" applyFill="1"/>
    <xf numFmtId="195" fontId="12" fillId="5" borderId="0" xfId="0" applyNumberFormat="1" applyFont="1" applyFill="1"/>
    <xf numFmtId="164" fontId="41" fillId="5" borderId="7" xfId="0" applyNumberFormat="1" applyFont="1" applyFill="1" applyBorder="1"/>
    <xf numFmtId="193" fontId="41" fillId="5" borderId="0" xfId="0" applyNumberFormat="1" applyFont="1" applyFill="1"/>
    <xf numFmtId="193" fontId="12" fillId="5" borderId="0" xfId="0" applyNumberFormat="1" applyFont="1" applyFill="1"/>
    <xf numFmtId="193" fontId="41" fillId="5" borderId="7" xfId="0" applyNumberFormat="1" applyFont="1" applyFill="1" applyBorder="1"/>
    <xf numFmtId="193" fontId="12" fillId="5" borderId="7" xfId="0" applyNumberFormat="1" applyFont="1" applyFill="1" applyBorder="1"/>
    <xf numFmtId="193" fontId="12" fillId="5" borderId="2" xfId="0" applyNumberFormat="1" applyFont="1" applyFill="1" applyBorder="1"/>
    <xf numFmtId="193" fontId="39" fillId="5" borderId="0" xfId="0" applyNumberFormat="1" applyFont="1" applyFill="1"/>
    <xf numFmtId="193" fontId="13" fillId="5" borderId="0" xfId="0" applyNumberFormat="1" applyFont="1" applyFill="1"/>
    <xf numFmtId="193" fontId="13" fillId="5" borderId="2" xfId="0" applyNumberFormat="1" applyFont="1" applyFill="1" applyBorder="1"/>
    <xf numFmtId="195" fontId="41" fillId="5" borderId="0" xfId="0" applyNumberFormat="1" applyFont="1" applyFill="1"/>
    <xf numFmtId="167" fontId="19" fillId="5" borderId="0" xfId="0" applyNumberFormat="1" applyFont="1" applyFill="1"/>
    <xf numFmtId="167" fontId="19" fillId="5" borderId="7" xfId="0" applyNumberFormat="1" applyFont="1" applyFill="1" applyBorder="1"/>
    <xf numFmtId="200" fontId="12" fillId="5" borderId="0" xfId="0" applyNumberFormat="1" applyFont="1" applyFill="1" applyAlignment="1">
      <alignment horizontal="center"/>
    </xf>
    <xf numFmtId="166" fontId="38" fillId="5" borderId="0" xfId="0" applyNumberFormat="1" applyFont="1" applyFill="1" applyAlignment="1">
      <alignment horizontal="right"/>
    </xf>
    <xf numFmtId="166" fontId="19" fillId="5" borderId="7" xfId="0" applyNumberFormat="1" applyFont="1" applyFill="1" applyBorder="1"/>
    <xf numFmtId="166" fontId="17" fillId="5" borderId="0" xfId="0" applyNumberFormat="1" applyFont="1" applyFill="1"/>
    <xf numFmtId="166" fontId="17" fillId="5" borderId="2" xfId="0" applyNumberFormat="1" applyFont="1" applyFill="1" applyBorder="1"/>
    <xf numFmtId="169" fontId="13" fillId="5" borderId="0" xfId="2" applyNumberFormat="1" applyFont="1" applyFill="1" applyAlignment="1">
      <alignment horizontal="right" indent="1"/>
    </xf>
    <xf numFmtId="169" fontId="13" fillId="5" borderId="0" xfId="2" applyNumberFormat="1" applyFont="1" applyFill="1"/>
    <xf numFmtId="172" fontId="41" fillId="5" borderId="0" xfId="0" applyNumberFormat="1" applyFont="1" applyFill="1"/>
    <xf numFmtId="172" fontId="0" fillId="5" borderId="0" xfId="0" applyNumberFormat="1" applyFill="1"/>
    <xf numFmtId="172" fontId="12" fillId="5" borderId="0" xfId="0" applyNumberFormat="1" applyFont="1" applyFill="1"/>
    <xf numFmtId="188" fontId="13" fillId="5" borderId="0" xfId="0" applyNumberFormat="1" applyFont="1" applyFill="1"/>
    <xf numFmtId="188" fontId="39" fillId="5" borderId="0" xfId="0" applyNumberFormat="1" applyFont="1" applyFill="1"/>
    <xf numFmtId="167" fontId="39" fillId="5" borderId="0" xfId="0" applyNumberFormat="1" applyFont="1" applyFill="1" applyAlignment="1">
      <alignment horizontal="right"/>
    </xf>
    <xf numFmtId="170" fontId="13" fillId="5" borderId="0" xfId="0" applyNumberFormat="1" applyFont="1" applyFill="1" applyAlignment="1">
      <alignment horizontal="right"/>
    </xf>
    <xf numFmtId="170" fontId="6" fillId="5" borderId="0" xfId="0" applyNumberFormat="1" applyFont="1" applyFill="1" applyAlignment="1">
      <alignment horizontal="right"/>
    </xf>
    <xf numFmtId="164" fontId="12" fillId="5" borderId="7" xfId="0" applyNumberFormat="1" applyFont="1" applyFill="1" applyBorder="1" applyAlignment="1">
      <alignment horizontal="right"/>
    </xf>
    <xf numFmtId="164" fontId="41" fillId="5" borderId="2" xfId="0" applyNumberFormat="1" applyFont="1" applyFill="1" applyBorder="1" applyAlignment="1">
      <alignment horizontal="right"/>
    </xf>
    <xf numFmtId="198" fontId="41" fillId="5" borderId="0" xfId="0" applyNumberFormat="1" applyFont="1" applyFill="1" applyAlignment="1">
      <alignment horizontal="right"/>
    </xf>
    <xf numFmtId="198" fontId="12" fillId="5" borderId="0" xfId="0" applyNumberFormat="1" applyFont="1" applyFill="1" applyAlignment="1">
      <alignment horizontal="right"/>
    </xf>
    <xf numFmtId="164" fontId="12" fillId="5" borderId="2" xfId="0" applyNumberFormat="1" applyFont="1" applyFill="1" applyBorder="1" applyAlignment="1">
      <alignment horizontal="center"/>
    </xf>
    <xf numFmtId="164" fontId="0" fillId="5" borderId="2" xfId="0" applyNumberFormat="1" applyFill="1" applyBorder="1" applyAlignment="1">
      <alignment horizontal="center"/>
    </xf>
    <xf numFmtId="166" fontId="41" fillId="5" borderId="0" xfId="0" applyNumberFormat="1" applyFont="1" applyFill="1" applyAlignment="1">
      <alignment horizontal="right"/>
    </xf>
    <xf numFmtId="197" fontId="17" fillId="5" borderId="0" xfId="13" applyNumberFormat="1" applyFont="1" applyFill="1"/>
    <xf numFmtId="197" fontId="44" fillId="5" borderId="0" xfId="13" applyNumberFormat="1" applyFont="1" applyFill="1"/>
    <xf numFmtId="197" fontId="44" fillId="5" borderId="0" xfId="0" applyNumberFormat="1" applyFont="1" applyFill="1"/>
    <xf numFmtId="197" fontId="17" fillId="5" borderId="0" xfId="0" applyNumberFormat="1" applyFont="1" applyFill="1" applyAlignment="1">
      <alignment horizontal="right"/>
    </xf>
    <xf numFmtId="197" fontId="17" fillId="5" borderId="2" xfId="0" applyNumberFormat="1" applyFont="1" applyFill="1" applyBorder="1"/>
    <xf numFmtId="197" fontId="44" fillId="5" borderId="2" xfId="0" applyNumberFormat="1" applyFont="1" applyFill="1" applyBorder="1"/>
    <xf numFmtId="197" fontId="12" fillId="5" borderId="0" xfId="0" applyNumberFormat="1" applyFont="1" applyFill="1"/>
    <xf numFmtId="197" fontId="41" fillId="5" borderId="0" xfId="0" applyNumberFormat="1" applyFont="1" applyFill="1"/>
    <xf numFmtId="0" fontId="12" fillId="5" borderId="0" xfId="0" applyFont="1" applyFill="1"/>
    <xf numFmtId="164" fontId="39" fillId="5" borderId="7" xfId="0" applyNumberFormat="1" applyFont="1" applyFill="1" applyBorder="1" applyAlignment="1">
      <alignment horizontal="right"/>
    </xf>
    <xf numFmtId="164" fontId="39" fillId="5" borderId="0" xfId="0" applyNumberFormat="1" applyFont="1" applyFill="1" applyAlignment="1">
      <alignment horizontal="right"/>
    </xf>
    <xf numFmtId="170" fontId="12" fillId="5" borderId="0" xfId="0" applyNumberFormat="1" applyFont="1" applyFill="1"/>
    <xf numFmtId="188" fontId="6" fillId="5" borderId="0" xfId="0" applyNumberFormat="1" applyFont="1" applyFill="1" applyAlignment="1">
      <alignment horizontal="right"/>
    </xf>
    <xf numFmtId="170" fontId="12" fillId="5" borderId="0" xfId="0" applyNumberFormat="1" applyFont="1" applyFill="1" applyAlignment="1">
      <alignment horizontal="right"/>
    </xf>
    <xf numFmtId="170" fontId="0" fillId="5" borderId="0" xfId="0" applyNumberFormat="1" applyFill="1" applyAlignment="1">
      <alignment horizontal="right"/>
    </xf>
    <xf numFmtId="188" fontId="0" fillId="5" borderId="0" xfId="0" applyNumberFormat="1" applyFill="1" applyAlignment="1">
      <alignment horizontal="right"/>
    </xf>
    <xf numFmtId="188" fontId="12" fillId="5" borderId="0" xfId="0" applyNumberFormat="1" applyFont="1" applyFill="1"/>
    <xf numFmtId="196" fontId="0" fillId="5" borderId="0" xfId="0" applyNumberFormat="1" applyFill="1" applyAlignment="1">
      <alignment horizontal="right"/>
    </xf>
    <xf numFmtId="196" fontId="12" fillId="5" borderId="0" xfId="0" applyNumberFormat="1" applyFont="1" applyFill="1"/>
    <xf numFmtId="189" fontId="0" fillId="5" borderId="0" xfId="0" applyNumberFormat="1" applyFill="1" applyAlignment="1">
      <alignment horizontal="right"/>
    </xf>
    <xf numFmtId="189" fontId="12" fillId="5" borderId="0" xfId="0" applyNumberFormat="1" applyFont="1" applyFill="1"/>
    <xf numFmtId="164" fontId="6" fillId="5" borderId="0" xfId="0" applyNumberFormat="1" applyFont="1" applyFill="1" applyAlignment="1">
      <alignment horizontal="right"/>
    </xf>
    <xf numFmtId="164" fontId="6" fillId="5" borderId="12" xfId="0" applyNumberFormat="1" applyFont="1" applyFill="1" applyBorder="1" applyAlignment="1">
      <alignment horizontal="right"/>
    </xf>
    <xf numFmtId="164" fontId="13" fillId="5" borderId="12" xfId="0" applyNumberFormat="1" applyFont="1" applyFill="1" applyBorder="1" applyAlignment="1">
      <alignment horizontal="right"/>
    </xf>
    <xf numFmtId="166" fontId="6" fillId="5" borderId="0" xfId="0" applyNumberFormat="1" applyFont="1" applyFill="1" applyAlignment="1">
      <alignment horizontal="right"/>
    </xf>
    <xf numFmtId="185" fontId="13" fillId="5" borderId="0" xfId="0" applyNumberFormat="1" applyFont="1" applyFill="1"/>
    <xf numFmtId="167" fontId="29" fillId="5" borderId="0" xfId="0" applyNumberFormat="1" applyFont="1" applyFill="1"/>
    <xf numFmtId="167" fontId="43" fillId="5" borderId="0" xfId="0" applyNumberFormat="1" applyFont="1" applyFill="1"/>
    <xf numFmtId="164" fontId="41" fillId="5" borderId="9" xfId="0" applyNumberFormat="1" applyFont="1" applyFill="1" applyBorder="1"/>
    <xf numFmtId="164" fontId="0" fillId="5" borderId="9" xfId="0" applyNumberFormat="1" applyFill="1" applyBorder="1"/>
    <xf numFmtId="17" fontId="19" fillId="5" borderId="0" xfId="13" applyNumberFormat="1" applyFont="1" applyFill="1" applyAlignment="1">
      <alignment horizontal="center"/>
    </xf>
    <xf numFmtId="17" fontId="20" fillId="5" borderId="0" xfId="13" applyNumberFormat="1" applyFont="1" applyFill="1" applyAlignment="1">
      <alignment horizontal="center"/>
    </xf>
    <xf numFmtId="164" fontId="16" fillId="5" borderId="0" xfId="13" applyNumberFormat="1" applyFont="1" applyFill="1" applyAlignment="1">
      <alignment horizontal="center"/>
    </xf>
    <xf numFmtId="188" fontId="13" fillId="5" borderId="0" xfId="13" applyNumberFormat="1" applyFont="1" applyFill="1" applyAlignment="1">
      <alignment horizontal="right"/>
    </xf>
    <xf numFmtId="188" fontId="13" fillId="5" borderId="0" xfId="13" applyNumberFormat="1" applyFont="1" applyFill="1"/>
    <xf numFmtId="164" fontId="12" fillId="5" borderId="13" xfId="13" applyNumberFormat="1" applyFont="1" applyFill="1" applyBorder="1" applyAlignment="1">
      <alignment horizontal="right"/>
    </xf>
    <xf numFmtId="164" fontId="12" fillId="5" borderId="13" xfId="13" applyNumberFormat="1" applyFont="1" applyFill="1" applyBorder="1"/>
    <xf numFmtId="166" fontId="13" fillId="5" borderId="0" xfId="13" applyNumberFormat="1" applyFont="1" applyFill="1"/>
    <xf numFmtId="166" fontId="12" fillId="5" borderId="2" xfId="13" applyNumberFormat="1" applyFont="1" applyFill="1" applyBorder="1"/>
    <xf numFmtId="166" fontId="13" fillId="5" borderId="7" xfId="13" applyNumberFormat="1" applyFont="1" applyFill="1" applyBorder="1"/>
    <xf numFmtId="164" fontId="13" fillId="5" borderId="0" xfId="13" applyNumberFormat="1" applyFont="1" applyFill="1"/>
    <xf numFmtId="167" fontId="12" fillId="5" borderId="2" xfId="13" applyNumberFormat="1" applyFont="1" applyFill="1" applyBorder="1"/>
    <xf numFmtId="167" fontId="13" fillId="5" borderId="0" xfId="13" applyNumberFormat="1" applyFont="1" applyFill="1"/>
    <xf numFmtId="164" fontId="12" fillId="5" borderId="2" xfId="13" applyNumberFormat="1" applyFont="1" applyFill="1" applyBorder="1"/>
    <xf numFmtId="164" fontId="13" fillId="5" borderId="7" xfId="13" applyNumberFormat="1" applyFont="1" applyFill="1" applyBorder="1"/>
    <xf numFmtId="169" fontId="13" fillId="5" borderId="0" xfId="13" applyNumberFormat="1" applyFont="1" applyFill="1"/>
    <xf numFmtId="167" fontId="12" fillId="5" borderId="0" xfId="13" applyNumberFormat="1" applyFont="1" applyFill="1" applyAlignment="1">
      <alignment horizontal="right"/>
    </xf>
    <xf numFmtId="167" fontId="12" fillId="5" borderId="2" xfId="13" applyNumberFormat="1" applyFont="1" applyFill="1" applyBorder="1" applyAlignment="1">
      <alignment horizontal="right"/>
    </xf>
    <xf numFmtId="167" fontId="13" fillId="5" borderId="0" xfId="13" applyNumberFormat="1" applyFont="1" applyFill="1" applyAlignment="1">
      <alignment horizontal="right"/>
    </xf>
    <xf numFmtId="180" fontId="13" fillId="5" borderId="0" xfId="13" applyNumberFormat="1" applyFont="1" applyFill="1" applyAlignment="1">
      <alignment horizontal="right"/>
    </xf>
    <xf numFmtId="170" fontId="13" fillId="5" borderId="0" xfId="13" applyNumberFormat="1" applyFont="1" applyFill="1" applyAlignment="1">
      <alignment horizontal="right"/>
    </xf>
    <xf numFmtId="181" fontId="13" fillId="5" borderId="0" xfId="13" applyNumberFormat="1" applyFont="1" applyFill="1" applyAlignment="1">
      <alignment horizontal="right"/>
    </xf>
    <xf numFmtId="170" fontId="12" fillId="5" borderId="0" xfId="13" applyNumberFormat="1" applyFont="1" applyFill="1" applyAlignment="1">
      <alignment horizontal="right"/>
    </xf>
    <xf numFmtId="0" fontId="42" fillId="3" borderId="0" xfId="13" applyFont="1" applyFill="1" applyAlignment="1">
      <alignment horizontal="center"/>
    </xf>
    <xf numFmtId="0" fontId="42" fillId="3" borderId="20" xfId="13" applyFont="1" applyFill="1" applyBorder="1" applyAlignment="1">
      <alignment horizontal="center"/>
    </xf>
    <xf numFmtId="166" fontId="40" fillId="3" borderId="0" xfId="13" applyNumberFormat="1" applyFont="1" applyFill="1"/>
    <xf numFmtId="166" fontId="40" fillId="3" borderId="20" xfId="13" applyNumberFormat="1" applyFont="1" applyFill="1" applyBorder="1"/>
    <xf numFmtId="0" fontId="6" fillId="5" borderId="0" xfId="13" applyFont="1" applyFill="1" applyAlignment="1">
      <alignment horizontal="center"/>
    </xf>
    <xf numFmtId="0" fontId="13" fillId="5" borderId="0" xfId="13" applyFont="1" applyFill="1" applyAlignment="1">
      <alignment horizontal="center"/>
    </xf>
    <xf numFmtId="17" fontId="46" fillId="5" borderId="0" xfId="13" applyNumberFormat="1" applyFill="1" applyAlignment="1">
      <alignment horizontal="center"/>
    </xf>
    <xf numFmtId="17" fontId="12" fillId="5" borderId="0" xfId="13" applyNumberFormat="1" applyFont="1" applyFill="1" applyAlignment="1">
      <alignment horizontal="center"/>
    </xf>
    <xf numFmtId="0" fontId="42" fillId="5" borderId="0" xfId="13" applyFont="1" applyFill="1" applyAlignment="1">
      <alignment horizontal="center"/>
    </xf>
    <xf numFmtId="164" fontId="41" fillId="5" borderId="0" xfId="13" applyNumberFormat="1" applyFont="1" applyFill="1"/>
    <xf numFmtId="164" fontId="41" fillId="5" borderId="2" xfId="13" applyNumberFormat="1" applyFont="1" applyFill="1" applyBorder="1"/>
    <xf numFmtId="166" fontId="40" fillId="5" borderId="0" xfId="13" applyNumberFormat="1" applyFont="1" applyFill="1"/>
    <xf numFmtId="193" fontId="13" fillId="5" borderId="0" xfId="13" applyNumberFormat="1" applyFont="1" applyFill="1"/>
    <xf numFmtId="193" fontId="41" fillId="5" borderId="0" xfId="13" applyNumberFormat="1" applyFont="1" applyFill="1"/>
    <xf numFmtId="193" fontId="12" fillId="5" borderId="0" xfId="13" applyNumberFormat="1" applyFont="1" applyFill="1"/>
    <xf numFmtId="164" fontId="39" fillId="5" borderId="0" xfId="13" applyNumberFormat="1" applyFont="1" applyFill="1"/>
    <xf numFmtId="164" fontId="41" fillId="5" borderId="0" xfId="13" applyNumberFormat="1" applyFont="1" applyFill="1" applyAlignment="1">
      <alignment wrapText="1"/>
    </xf>
    <xf numFmtId="164" fontId="12" fillId="5" borderId="0" xfId="13" applyNumberFormat="1" applyFont="1" applyFill="1" applyAlignment="1">
      <alignment wrapText="1"/>
    </xf>
    <xf numFmtId="164" fontId="13" fillId="5" borderId="2" xfId="13" applyNumberFormat="1" applyFont="1" applyFill="1" applyBorder="1"/>
    <xf numFmtId="164" fontId="39" fillId="5" borderId="0" xfId="13" applyNumberFormat="1" applyFont="1" applyFill="1" applyAlignment="1">
      <alignment wrapText="1"/>
    </xf>
    <xf numFmtId="164" fontId="13" fillId="5" borderId="0" xfId="13" applyNumberFormat="1" applyFont="1" applyFill="1" applyAlignment="1">
      <alignment wrapText="1"/>
    </xf>
    <xf numFmtId="166" fontId="41" fillId="5" borderId="0" xfId="13" applyNumberFormat="1" applyFont="1" applyFill="1"/>
    <xf numFmtId="167" fontId="41" fillId="5" borderId="0" xfId="13" applyNumberFormat="1" applyFont="1" applyFill="1"/>
    <xf numFmtId="164" fontId="40" fillId="3" borderId="0" xfId="0" applyNumberFormat="1" applyFont="1" applyFill="1"/>
    <xf numFmtId="164" fontId="40" fillId="3" borderId="20" xfId="0" applyNumberFormat="1" applyFont="1" applyFill="1" applyBorder="1"/>
    <xf numFmtId="166" fontId="39" fillId="3" borderId="0" xfId="0" applyNumberFormat="1" applyFont="1" applyFill="1" applyAlignment="1">
      <alignment horizontal="right"/>
    </xf>
    <xf numFmtId="164" fontId="40" fillId="5" borderId="0" xfId="0" applyNumberFormat="1" applyFont="1" applyFill="1"/>
    <xf numFmtId="167" fontId="11" fillId="5" borderId="2" xfId="0" applyNumberFormat="1" applyFont="1" applyFill="1" applyBorder="1" applyAlignment="1">
      <alignment horizontal="right"/>
    </xf>
    <xf numFmtId="167" fontId="13" fillId="5" borderId="7" xfId="0" applyNumberFormat="1" applyFont="1" applyFill="1" applyBorder="1"/>
    <xf numFmtId="167" fontId="6" fillId="5" borderId="7" xfId="0" applyNumberFormat="1" applyFont="1" applyFill="1" applyBorder="1"/>
    <xf numFmtId="166" fontId="13" fillId="5" borderId="7" xfId="0" applyNumberFormat="1" applyFont="1" applyFill="1" applyBorder="1"/>
    <xf numFmtId="166" fontId="39" fillId="5" borderId="7" xfId="0" applyNumberFormat="1" applyFont="1" applyFill="1" applyBorder="1"/>
    <xf numFmtId="166" fontId="39" fillId="5" borderId="0" xfId="0" applyNumberFormat="1" applyFont="1" applyFill="1" applyAlignment="1">
      <alignment horizontal="right"/>
    </xf>
    <xf numFmtId="185" fontId="17" fillId="5" borderId="0" xfId="1" applyNumberFormat="1" applyFont="1" applyFill="1"/>
    <xf numFmtId="185" fontId="11" fillId="5" borderId="0" xfId="1" applyNumberFormat="1" applyFont="1" applyFill="1"/>
    <xf numFmtId="166" fontId="13" fillId="5" borderId="2" xfId="0" applyNumberFormat="1" applyFont="1" applyFill="1" applyBorder="1"/>
    <xf numFmtId="166" fontId="13" fillId="5" borderId="7" xfId="0" applyNumberFormat="1" applyFont="1" applyFill="1" applyBorder="1" applyAlignment="1">
      <alignment horizontal="right"/>
    </xf>
    <xf numFmtId="166" fontId="6" fillId="5" borderId="7" xfId="0" applyNumberFormat="1" applyFont="1" applyFill="1" applyBorder="1"/>
    <xf numFmtId="204" fontId="15" fillId="3" borderId="18" xfId="11" applyNumberFormat="1" applyFont="1" applyFill="1" applyBorder="1" applyAlignment="1">
      <alignment horizontal="left" indent="1"/>
    </xf>
  </cellXfs>
  <cellStyles count="2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Currency 2" xfId="6" xr:uid="{00000000-0005-0000-0000-000006000000}"/>
    <cellStyle name="Currency 2 2" xfId="7" xr:uid="{00000000-0005-0000-0000-000007000000}"/>
    <cellStyle name="Currency 2 3" xfId="15" xr:uid="{00000000-0005-0000-0000-00000F000000}"/>
    <cellStyle name="Currency 3" xfId="19" xr:uid="{00000000-0005-0000-0000-000013000000}"/>
    <cellStyle name="Good" xfId="8" xr:uid="{00000000-0005-0000-0000-000008000000}"/>
    <cellStyle name="Hyperlink" xfId="9" xr:uid="{00000000-0005-0000-0000-000009000000}"/>
    <cellStyle name="Hyperlink 2" xfId="10" xr:uid="{00000000-0005-0000-0000-00000A000000}"/>
    <cellStyle name="Normal" xfId="0" builtinId="0"/>
    <cellStyle name="Normal 2" xfId="11" xr:uid="{00000000-0005-0000-0000-00000B000000}"/>
    <cellStyle name="Normal 2 2" xfId="16" xr:uid="{00000000-0005-0000-0000-000010000000}"/>
    <cellStyle name="Normal 3" xfId="12" xr:uid="{00000000-0005-0000-0000-00000C000000}"/>
    <cellStyle name="Normal 3 2" xfId="17" xr:uid="{00000000-0005-0000-0000-000011000000}"/>
    <cellStyle name="Normal 4" xfId="13" xr:uid="{00000000-0005-0000-0000-00000D000000}"/>
    <cellStyle name="Percent" xfId="1" xr:uid="{00000000-0005-0000-0000-000001000000}"/>
    <cellStyle name="Percent 2" xfId="14" xr:uid="{00000000-0005-0000-0000-00000E000000}"/>
    <cellStyle name="Percent 2 2" xfId="18" xr:uid="{00000000-0005-0000-0000-000012000000}"/>
  </cellStyles>
  <dxfs count="10">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example.co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7" Type="http://schemas.openxmlformats.org/officeDocument/2006/relationships/hyperlink" Target="https://example.com/" TargetMode="External"/><Relationship Id="rId299" Type="http://schemas.openxmlformats.org/officeDocument/2006/relationships/hyperlink" Target="https://example.com/" TargetMode="External"/><Relationship Id="rId21" Type="http://schemas.openxmlformats.org/officeDocument/2006/relationships/hyperlink" Target="https://example.com/" TargetMode="External"/><Relationship Id="rId63" Type="http://schemas.openxmlformats.org/officeDocument/2006/relationships/hyperlink" Target="https://example.com/" TargetMode="External"/><Relationship Id="rId159" Type="http://schemas.openxmlformats.org/officeDocument/2006/relationships/hyperlink" Target="https://example.com/" TargetMode="External"/><Relationship Id="rId170" Type="http://schemas.openxmlformats.org/officeDocument/2006/relationships/hyperlink" Target="https://example.com/" TargetMode="External"/><Relationship Id="rId226" Type="http://schemas.openxmlformats.org/officeDocument/2006/relationships/hyperlink" Target="https://example.com/" TargetMode="External"/><Relationship Id="rId268" Type="http://schemas.openxmlformats.org/officeDocument/2006/relationships/hyperlink" Target="https://example.com/" TargetMode="External"/><Relationship Id="rId32" Type="http://schemas.openxmlformats.org/officeDocument/2006/relationships/hyperlink" Target="https://example.com/" TargetMode="External"/><Relationship Id="rId74" Type="http://schemas.openxmlformats.org/officeDocument/2006/relationships/hyperlink" Target="https://example.com/" TargetMode="External"/><Relationship Id="rId128" Type="http://schemas.openxmlformats.org/officeDocument/2006/relationships/hyperlink" Target="https://example.com/" TargetMode="External"/><Relationship Id="rId5" Type="http://schemas.openxmlformats.org/officeDocument/2006/relationships/hyperlink" Target="https://example.com/" TargetMode="External"/><Relationship Id="rId181" Type="http://schemas.openxmlformats.org/officeDocument/2006/relationships/hyperlink" Target="https://example.com/" TargetMode="External"/><Relationship Id="rId237" Type="http://schemas.openxmlformats.org/officeDocument/2006/relationships/hyperlink" Target="https://example.com/" TargetMode="External"/><Relationship Id="rId279" Type="http://schemas.openxmlformats.org/officeDocument/2006/relationships/hyperlink" Target="https://example.com/" TargetMode="External"/><Relationship Id="rId43" Type="http://schemas.openxmlformats.org/officeDocument/2006/relationships/hyperlink" Target="https://example.com/" TargetMode="External"/><Relationship Id="rId139" Type="http://schemas.openxmlformats.org/officeDocument/2006/relationships/hyperlink" Target="https://example.com/" TargetMode="External"/><Relationship Id="rId290" Type="http://schemas.openxmlformats.org/officeDocument/2006/relationships/hyperlink" Target="https://example.com/" TargetMode="External"/><Relationship Id="rId304" Type="http://schemas.openxmlformats.org/officeDocument/2006/relationships/comments" Target="../comments4.xml"/><Relationship Id="rId85" Type="http://schemas.openxmlformats.org/officeDocument/2006/relationships/hyperlink" Target="https://example.com/" TargetMode="External"/><Relationship Id="rId150" Type="http://schemas.openxmlformats.org/officeDocument/2006/relationships/hyperlink" Target="https://example.com/" TargetMode="External"/><Relationship Id="rId192" Type="http://schemas.openxmlformats.org/officeDocument/2006/relationships/hyperlink" Target="https://example.com/" TargetMode="External"/><Relationship Id="rId206" Type="http://schemas.openxmlformats.org/officeDocument/2006/relationships/hyperlink" Target="https://example.com/" TargetMode="External"/><Relationship Id="rId248" Type="http://schemas.openxmlformats.org/officeDocument/2006/relationships/hyperlink" Target="https://example.com/" TargetMode="External"/><Relationship Id="rId12" Type="http://schemas.openxmlformats.org/officeDocument/2006/relationships/hyperlink" Target="https://example.com/" TargetMode="External"/><Relationship Id="rId108" Type="http://schemas.openxmlformats.org/officeDocument/2006/relationships/hyperlink" Target="https://example.com/" TargetMode="External"/><Relationship Id="rId54" Type="http://schemas.openxmlformats.org/officeDocument/2006/relationships/hyperlink" Target="https://example.com/" TargetMode="External"/><Relationship Id="rId96" Type="http://schemas.openxmlformats.org/officeDocument/2006/relationships/hyperlink" Target="https://example.com/" TargetMode="External"/><Relationship Id="rId161" Type="http://schemas.openxmlformats.org/officeDocument/2006/relationships/hyperlink" Target="https://example.com/" TargetMode="External"/><Relationship Id="rId217" Type="http://schemas.openxmlformats.org/officeDocument/2006/relationships/hyperlink" Target="https://example.com/" TargetMode="External"/><Relationship Id="rId6" Type="http://schemas.openxmlformats.org/officeDocument/2006/relationships/hyperlink" Target="https://example.com/" TargetMode="External"/><Relationship Id="rId238" Type="http://schemas.openxmlformats.org/officeDocument/2006/relationships/hyperlink" Target="https://example.com/" TargetMode="External"/><Relationship Id="rId259" Type="http://schemas.openxmlformats.org/officeDocument/2006/relationships/hyperlink" Target="https://example.com/" TargetMode="External"/><Relationship Id="rId23" Type="http://schemas.openxmlformats.org/officeDocument/2006/relationships/hyperlink" Target="https://example.com/" TargetMode="External"/><Relationship Id="rId119" Type="http://schemas.openxmlformats.org/officeDocument/2006/relationships/hyperlink" Target="https://example.com/" TargetMode="External"/><Relationship Id="rId270" Type="http://schemas.openxmlformats.org/officeDocument/2006/relationships/hyperlink" Target="https://example.com/" TargetMode="External"/><Relationship Id="rId291" Type="http://schemas.openxmlformats.org/officeDocument/2006/relationships/hyperlink" Target="https://example.com/" TargetMode="External"/><Relationship Id="rId44" Type="http://schemas.openxmlformats.org/officeDocument/2006/relationships/hyperlink" Target="https://example.com/" TargetMode="External"/><Relationship Id="rId65" Type="http://schemas.openxmlformats.org/officeDocument/2006/relationships/hyperlink" Target="https://example.com/" TargetMode="External"/><Relationship Id="rId86" Type="http://schemas.openxmlformats.org/officeDocument/2006/relationships/hyperlink" Target="https://example.com/" TargetMode="External"/><Relationship Id="rId130" Type="http://schemas.openxmlformats.org/officeDocument/2006/relationships/hyperlink" Target="https://example.com/" TargetMode="External"/><Relationship Id="rId151" Type="http://schemas.openxmlformats.org/officeDocument/2006/relationships/hyperlink" Target="https://example.com/" TargetMode="External"/><Relationship Id="rId172" Type="http://schemas.openxmlformats.org/officeDocument/2006/relationships/hyperlink" Target="https://example.com/" TargetMode="External"/><Relationship Id="rId193" Type="http://schemas.openxmlformats.org/officeDocument/2006/relationships/hyperlink" Target="https://example.com/" TargetMode="External"/><Relationship Id="rId207" Type="http://schemas.openxmlformats.org/officeDocument/2006/relationships/hyperlink" Target="https://example.com/" TargetMode="External"/><Relationship Id="rId228" Type="http://schemas.openxmlformats.org/officeDocument/2006/relationships/hyperlink" Target="https://example.com/" TargetMode="External"/><Relationship Id="rId249" Type="http://schemas.openxmlformats.org/officeDocument/2006/relationships/hyperlink" Target="https://example.com/" TargetMode="External"/><Relationship Id="rId13" Type="http://schemas.openxmlformats.org/officeDocument/2006/relationships/hyperlink" Target="https://example.com/" TargetMode="External"/><Relationship Id="rId109" Type="http://schemas.openxmlformats.org/officeDocument/2006/relationships/hyperlink" Target="https://example.com/" TargetMode="External"/><Relationship Id="rId260" Type="http://schemas.openxmlformats.org/officeDocument/2006/relationships/hyperlink" Target="https://example.com/" TargetMode="External"/><Relationship Id="rId281" Type="http://schemas.openxmlformats.org/officeDocument/2006/relationships/hyperlink" Target="https://example.com/" TargetMode="External"/><Relationship Id="rId34" Type="http://schemas.openxmlformats.org/officeDocument/2006/relationships/hyperlink" Target="https://example.com/" TargetMode="External"/><Relationship Id="rId55" Type="http://schemas.openxmlformats.org/officeDocument/2006/relationships/hyperlink" Target="https://example.com/" TargetMode="External"/><Relationship Id="rId76" Type="http://schemas.openxmlformats.org/officeDocument/2006/relationships/hyperlink" Target="https://example.com/" TargetMode="External"/><Relationship Id="rId97" Type="http://schemas.openxmlformats.org/officeDocument/2006/relationships/hyperlink" Target="https://example.com/" TargetMode="External"/><Relationship Id="rId120" Type="http://schemas.openxmlformats.org/officeDocument/2006/relationships/hyperlink" Target="https://example.com/" TargetMode="External"/><Relationship Id="rId141" Type="http://schemas.openxmlformats.org/officeDocument/2006/relationships/hyperlink" Target="https://example.com/" TargetMode="External"/><Relationship Id="rId7" Type="http://schemas.openxmlformats.org/officeDocument/2006/relationships/hyperlink" Target="https://example.com/" TargetMode="External"/><Relationship Id="rId162" Type="http://schemas.openxmlformats.org/officeDocument/2006/relationships/hyperlink" Target="https://example.com/" TargetMode="External"/><Relationship Id="rId183" Type="http://schemas.openxmlformats.org/officeDocument/2006/relationships/hyperlink" Target="https://example.com/" TargetMode="External"/><Relationship Id="rId218" Type="http://schemas.openxmlformats.org/officeDocument/2006/relationships/hyperlink" Target="https://example.com/" TargetMode="External"/><Relationship Id="rId239" Type="http://schemas.openxmlformats.org/officeDocument/2006/relationships/hyperlink" Target="https://example.com/" TargetMode="External"/><Relationship Id="rId250" Type="http://schemas.openxmlformats.org/officeDocument/2006/relationships/hyperlink" Target="https://example.com/" TargetMode="External"/><Relationship Id="rId271" Type="http://schemas.openxmlformats.org/officeDocument/2006/relationships/hyperlink" Target="https://example.com/" TargetMode="External"/><Relationship Id="rId292" Type="http://schemas.openxmlformats.org/officeDocument/2006/relationships/hyperlink" Target="https://example.com/" TargetMode="External"/><Relationship Id="rId24" Type="http://schemas.openxmlformats.org/officeDocument/2006/relationships/hyperlink" Target="https://example.com/" TargetMode="External"/><Relationship Id="rId45" Type="http://schemas.openxmlformats.org/officeDocument/2006/relationships/hyperlink" Target="https://example.com/" TargetMode="External"/><Relationship Id="rId66" Type="http://schemas.openxmlformats.org/officeDocument/2006/relationships/hyperlink" Target="https://example.com/" TargetMode="External"/><Relationship Id="rId87" Type="http://schemas.openxmlformats.org/officeDocument/2006/relationships/hyperlink" Target="https://example.com/" TargetMode="External"/><Relationship Id="rId110" Type="http://schemas.openxmlformats.org/officeDocument/2006/relationships/hyperlink" Target="https://example.com/" TargetMode="External"/><Relationship Id="rId131" Type="http://schemas.openxmlformats.org/officeDocument/2006/relationships/hyperlink" Target="https://example.com/" TargetMode="External"/><Relationship Id="rId152" Type="http://schemas.openxmlformats.org/officeDocument/2006/relationships/hyperlink" Target="https://example.com/" TargetMode="External"/><Relationship Id="rId173" Type="http://schemas.openxmlformats.org/officeDocument/2006/relationships/hyperlink" Target="https://example.com/" TargetMode="External"/><Relationship Id="rId194" Type="http://schemas.openxmlformats.org/officeDocument/2006/relationships/hyperlink" Target="https://example.com/" TargetMode="External"/><Relationship Id="rId208" Type="http://schemas.openxmlformats.org/officeDocument/2006/relationships/hyperlink" Target="https://example.com/" TargetMode="External"/><Relationship Id="rId229" Type="http://schemas.openxmlformats.org/officeDocument/2006/relationships/hyperlink" Target="https://example.com/" TargetMode="External"/><Relationship Id="rId240" Type="http://schemas.openxmlformats.org/officeDocument/2006/relationships/hyperlink" Target="https://example.com/" TargetMode="External"/><Relationship Id="rId261" Type="http://schemas.openxmlformats.org/officeDocument/2006/relationships/hyperlink" Target="https://example.com/" TargetMode="External"/><Relationship Id="rId14" Type="http://schemas.openxmlformats.org/officeDocument/2006/relationships/hyperlink" Target="https://example.com/" TargetMode="External"/><Relationship Id="rId35" Type="http://schemas.openxmlformats.org/officeDocument/2006/relationships/hyperlink" Target="https://example.com/" TargetMode="External"/><Relationship Id="rId56" Type="http://schemas.openxmlformats.org/officeDocument/2006/relationships/hyperlink" Target="https://example.com/" TargetMode="External"/><Relationship Id="rId77" Type="http://schemas.openxmlformats.org/officeDocument/2006/relationships/hyperlink" Target="https://example.com/" TargetMode="External"/><Relationship Id="rId100" Type="http://schemas.openxmlformats.org/officeDocument/2006/relationships/hyperlink" Target="https://example.com/" TargetMode="External"/><Relationship Id="rId282" Type="http://schemas.openxmlformats.org/officeDocument/2006/relationships/hyperlink" Target="https://example.com/" TargetMode="External"/><Relationship Id="rId8" Type="http://schemas.openxmlformats.org/officeDocument/2006/relationships/hyperlink" Target="https://example.com/" TargetMode="External"/><Relationship Id="rId98" Type="http://schemas.openxmlformats.org/officeDocument/2006/relationships/hyperlink" Target="https://example.com/" TargetMode="External"/><Relationship Id="rId121" Type="http://schemas.openxmlformats.org/officeDocument/2006/relationships/hyperlink" Target="https://example.com/" TargetMode="External"/><Relationship Id="rId142" Type="http://schemas.openxmlformats.org/officeDocument/2006/relationships/hyperlink" Target="https://example.com/" TargetMode="External"/><Relationship Id="rId163" Type="http://schemas.openxmlformats.org/officeDocument/2006/relationships/hyperlink" Target="https://example.com/" TargetMode="External"/><Relationship Id="rId184" Type="http://schemas.openxmlformats.org/officeDocument/2006/relationships/hyperlink" Target="https://example.com/" TargetMode="External"/><Relationship Id="rId219" Type="http://schemas.openxmlformats.org/officeDocument/2006/relationships/hyperlink" Target="https://example.com/" TargetMode="External"/><Relationship Id="rId230" Type="http://schemas.openxmlformats.org/officeDocument/2006/relationships/hyperlink" Target="https://example.com/" TargetMode="External"/><Relationship Id="rId251" Type="http://schemas.openxmlformats.org/officeDocument/2006/relationships/hyperlink" Target="https://example.com/" TargetMode="External"/><Relationship Id="rId25" Type="http://schemas.openxmlformats.org/officeDocument/2006/relationships/hyperlink" Target="https://example.com/" TargetMode="External"/><Relationship Id="rId46" Type="http://schemas.openxmlformats.org/officeDocument/2006/relationships/hyperlink" Target="https://example.com/" TargetMode="External"/><Relationship Id="rId67" Type="http://schemas.openxmlformats.org/officeDocument/2006/relationships/hyperlink" Target="https://example.com/" TargetMode="External"/><Relationship Id="rId272" Type="http://schemas.openxmlformats.org/officeDocument/2006/relationships/hyperlink" Target="https://example.com/" TargetMode="External"/><Relationship Id="rId293" Type="http://schemas.openxmlformats.org/officeDocument/2006/relationships/hyperlink" Target="https://example.com/" TargetMode="External"/><Relationship Id="rId88" Type="http://schemas.openxmlformats.org/officeDocument/2006/relationships/hyperlink" Target="https://example.com/" TargetMode="External"/><Relationship Id="rId111" Type="http://schemas.openxmlformats.org/officeDocument/2006/relationships/hyperlink" Target="https://example.com/" TargetMode="External"/><Relationship Id="rId132" Type="http://schemas.openxmlformats.org/officeDocument/2006/relationships/hyperlink" Target="https://example.com/" TargetMode="External"/><Relationship Id="rId153" Type="http://schemas.openxmlformats.org/officeDocument/2006/relationships/hyperlink" Target="https://example.com/" TargetMode="External"/><Relationship Id="rId174" Type="http://schemas.openxmlformats.org/officeDocument/2006/relationships/hyperlink" Target="https://example.com/" TargetMode="External"/><Relationship Id="rId195" Type="http://schemas.openxmlformats.org/officeDocument/2006/relationships/hyperlink" Target="https://example.com/" TargetMode="External"/><Relationship Id="rId209" Type="http://schemas.openxmlformats.org/officeDocument/2006/relationships/hyperlink" Target="https://example.com/" TargetMode="External"/><Relationship Id="rId220" Type="http://schemas.openxmlformats.org/officeDocument/2006/relationships/hyperlink" Target="https://example.com/" TargetMode="External"/><Relationship Id="rId241" Type="http://schemas.openxmlformats.org/officeDocument/2006/relationships/hyperlink" Target="https://example.com/" TargetMode="External"/><Relationship Id="rId15" Type="http://schemas.openxmlformats.org/officeDocument/2006/relationships/hyperlink" Target="https://example.com/" TargetMode="External"/><Relationship Id="rId36" Type="http://schemas.openxmlformats.org/officeDocument/2006/relationships/hyperlink" Target="https://example.com/" TargetMode="External"/><Relationship Id="rId57" Type="http://schemas.openxmlformats.org/officeDocument/2006/relationships/hyperlink" Target="https://example.com/" TargetMode="External"/><Relationship Id="rId262" Type="http://schemas.openxmlformats.org/officeDocument/2006/relationships/hyperlink" Target="https://example.com/" TargetMode="External"/><Relationship Id="rId283" Type="http://schemas.openxmlformats.org/officeDocument/2006/relationships/hyperlink" Target="https://example.com/" TargetMode="External"/><Relationship Id="rId78" Type="http://schemas.openxmlformats.org/officeDocument/2006/relationships/hyperlink" Target="https://example.com/" TargetMode="External"/><Relationship Id="rId99" Type="http://schemas.openxmlformats.org/officeDocument/2006/relationships/hyperlink" Target="https://example.com/" TargetMode="External"/><Relationship Id="rId101" Type="http://schemas.openxmlformats.org/officeDocument/2006/relationships/hyperlink" Target="https://example.com/" TargetMode="External"/><Relationship Id="rId122" Type="http://schemas.openxmlformats.org/officeDocument/2006/relationships/hyperlink" Target="https://example.com/" TargetMode="External"/><Relationship Id="rId143" Type="http://schemas.openxmlformats.org/officeDocument/2006/relationships/hyperlink" Target="https://example.com/" TargetMode="External"/><Relationship Id="rId164" Type="http://schemas.openxmlformats.org/officeDocument/2006/relationships/hyperlink" Target="https://example.com/" TargetMode="External"/><Relationship Id="rId185" Type="http://schemas.openxmlformats.org/officeDocument/2006/relationships/hyperlink" Target="https://example.com/" TargetMode="External"/><Relationship Id="rId9" Type="http://schemas.openxmlformats.org/officeDocument/2006/relationships/hyperlink" Target="https://example.com/" TargetMode="External"/><Relationship Id="rId210" Type="http://schemas.openxmlformats.org/officeDocument/2006/relationships/hyperlink" Target="https://example.com/" TargetMode="External"/><Relationship Id="rId26" Type="http://schemas.openxmlformats.org/officeDocument/2006/relationships/hyperlink" Target="https://example.com/" TargetMode="External"/><Relationship Id="rId231" Type="http://schemas.openxmlformats.org/officeDocument/2006/relationships/hyperlink" Target="https://example.com/" TargetMode="External"/><Relationship Id="rId252" Type="http://schemas.openxmlformats.org/officeDocument/2006/relationships/hyperlink" Target="https://example.com/" TargetMode="External"/><Relationship Id="rId273" Type="http://schemas.openxmlformats.org/officeDocument/2006/relationships/hyperlink" Target="https://example.com/" TargetMode="External"/><Relationship Id="rId294" Type="http://schemas.openxmlformats.org/officeDocument/2006/relationships/hyperlink" Target="https://example.com/" TargetMode="External"/><Relationship Id="rId47" Type="http://schemas.openxmlformats.org/officeDocument/2006/relationships/hyperlink" Target="https://example.com/" TargetMode="External"/><Relationship Id="rId68" Type="http://schemas.openxmlformats.org/officeDocument/2006/relationships/hyperlink" Target="https://example.com/" TargetMode="External"/><Relationship Id="rId89" Type="http://schemas.openxmlformats.org/officeDocument/2006/relationships/hyperlink" Target="https://example.com/" TargetMode="External"/><Relationship Id="rId112" Type="http://schemas.openxmlformats.org/officeDocument/2006/relationships/hyperlink" Target="https://example.com/" TargetMode="External"/><Relationship Id="rId133" Type="http://schemas.openxmlformats.org/officeDocument/2006/relationships/hyperlink" Target="https://example.com/" TargetMode="External"/><Relationship Id="rId154" Type="http://schemas.openxmlformats.org/officeDocument/2006/relationships/hyperlink" Target="https://example.com/" TargetMode="External"/><Relationship Id="rId175" Type="http://schemas.openxmlformats.org/officeDocument/2006/relationships/hyperlink" Target="https://example.com/" TargetMode="External"/><Relationship Id="rId196" Type="http://schemas.openxmlformats.org/officeDocument/2006/relationships/hyperlink" Target="https://example.com/" TargetMode="External"/><Relationship Id="rId200" Type="http://schemas.openxmlformats.org/officeDocument/2006/relationships/hyperlink" Target="https://example.com/" TargetMode="External"/><Relationship Id="rId16" Type="http://schemas.openxmlformats.org/officeDocument/2006/relationships/hyperlink" Target="https://example.com/" TargetMode="External"/><Relationship Id="rId221" Type="http://schemas.openxmlformats.org/officeDocument/2006/relationships/hyperlink" Target="https://example.com/" TargetMode="External"/><Relationship Id="rId242" Type="http://schemas.openxmlformats.org/officeDocument/2006/relationships/hyperlink" Target="https://example.com/" TargetMode="External"/><Relationship Id="rId263" Type="http://schemas.openxmlformats.org/officeDocument/2006/relationships/hyperlink" Target="https://example.com/" TargetMode="External"/><Relationship Id="rId284" Type="http://schemas.openxmlformats.org/officeDocument/2006/relationships/hyperlink" Target="https://example.com/" TargetMode="External"/><Relationship Id="rId37" Type="http://schemas.openxmlformats.org/officeDocument/2006/relationships/hyperlink" Target="https://example.com/" TargetMode="External"/><Relationship Id="rId58" Type="http://schemas.openxmlformats.org/officeDocument/2006/relationships/hyperlink" Target="https://example.com/" TargetMode="External"/><Relationship Id="rId79" Type="http://schemas.openxmlformats.org/officeDocument/2006/relationships/hyperlink" Target="https://example.com/" TargetMode="External"/><Relationship Id="rId102" Type="http://schemas.openxmlformats.org/officeDocument/2006/relationships/hyperlink" Target="https://example.com/" TargetMode="External"/><Relationship Id="rId123" Type="http://schemas.openxmlformats.org/officeDocument/2006/relationships/hyperlink" Target="https://example.com/" TargetMode="External"/><Relationship Id="rId144" Type="http://schemas.openxmlformats.org/officeDocument/2006/relationships/hyperlink" Target="https://example.com/" TargetMode="External"/><Relationship Id="rId90" Type="http://schemas.openxmlformats.org/officeDocument/2006/relationships/hyperlink" Target="https://example.com/" TargetMode="External"/><Relationship Id="rId165" Type="http://schemas.openxmlformats.org/officeDocument/2006/relationships/hyperlink" Target="https://example.com/" TargetMode="External"/><Relationship Id="rId186" Type="http://schemas.openxmlformats.org/officeDocument/2006/relationships/hyperlink" Target="https://example.com/" TargetMode="External"/><Relationship Id="rId211" Type="http://schemas.openxmlformats.org/officeDocument/2006/relationships/hyperlink" Target="https://example.com/" TargetMode="External"/><Relationship Id="rId232" Type="http://schemas.openxmlformats.org/officeDocument/2006/relationships/hyperlink" Target="https://example.com/" TargetMode="External"/><Relationship Id="rId253" Type="http://schemas.openxmlformats.org/officeDocument/2006/relationships/hyperlink" Target="https://example.com/" TargetMode="External"/><Relationship Id="rId274" Type="http://schemas.openxmlformats.org/officeDocument/2006/relationships/hyperlink" Target="https://example.com/" TargetMode="External"/><Relationship Id="rId295" Type="http://schemas.openxmlformats.org/officeDocument/2006/relationships/hyperlink" Target="https://example.com/" TargetMode="External"/><Relationship Id="rId27" Type="http://schemas.openxmlformats.org/officeDocument/2006/relationships/hyperlink" Target="https://example.com/" TargetMode="External"/><Relationship Id="rId48" Type="http://schemas.openxmlformats.org/officeDocument/2006/relationships/hyperlink" Target="https://example.com/" TargetMode="External"/><Relationship Id="rId69" Type="http://schemas.openxmlformats.org/officeDocument/2006/relationships/hyperlink" Target="https://example.com/" TargetMode="External"/><Relationship Id="rId113" Type="http://schemas.openxmlformats.org/officeDocument/2006/relationships/hyperlink" Target="https://example.com/" TargetMode="External"/><Relationship Id="rId134" Type="http://schemas.openxmlformats.org/officeDocument/2006/relationships/hyperlink" Target="https://example.com/" TargetMode="External"/><Relationship Id="rId80" Type="http://schemas.openxmlformats.org/officeDocument/2006/relationships/hyperlink" Target="https://example.com/" TargetMode="External"/><Relationship Id="rId155" Type="http://schemas.openxmlformats.org/officeDocument/2006/relationships/hyperlink" Target="https://example.com/" TargetMode="External"/><Relationship Id="rId176" Type="http://schemas.openxmlformats.org/officeDocument/2006/relationships/hyperlink" Target="https://example.com/" TargetMode="External"/><Relationship Id="rId197" Type="http://schemas.openxmlformats.org/officeDocument/2006/relationships/hyperlink" Target="https://example.com/" TargetMode="External"/><Relationship Id="rId201" Type="http://schemas.openxmlformats.org/officeDocument/2006/relationships/hyperlink" Target="https://example.com/" TargetMode="External"/><Relationship Id="rId222" Type="http://schemas.openxmlformats.org/officeDocument/2006/relationships/hyperlink" Target="https://example.com/" TargetMode="External"/><Relationship Id="rId243" Type="http://schemas.openxmlformats.org/officeDocument/2006/relationships/hyperlink" Target="https://example.com/" TargetMode="External"/><Relationship Id="rId264" Type="http://schemas.openxmlformats.org/officeDocument/2006/relationships/hyperlink" Target="https://example.com/" TargetMode="External"/><Relationship Id="rId285" Type="http://schemas.openxmlformats.org/officeDocument/2006/relationships/hyperlink" Target="https://example.com/" TargetMode="External"/><Relationship Id="rId17" Type="http://schemas.openxmlformats.org/officeDocument/2006/relationships/hyperlink" Target="https://example.com/" TargetMode="External"/><Relationship Id="rId38" Type="http://schemas.openxmlformats.org/officeDocument/2006/relationships/hyperlink" Target="https://example.com/" TargetMode="External"/><Relationship Id="rId59" Type="http://schemas.openxmlformats.org/officeDocument/2006/relationships/hyperlink" Target="https://example.com/" TargetMode="External"/><Relationship Id="rId103" Type="http://schemas.openxmlformats.org/officeDocument/2006/relationships/hyperlink" Target="https://example.com/" TargetMode="External"/><Relationship Id="rId124" Type="http://schemas.openxmlformats.org/officeDocument/2006/relationships/hyperlink" Target="https://example.com/" TargetMode="External"/><Relationship Id="rId70" Type="http://schemas.openxmlformats.org/officeDocument/2006/relationships/hyperlink" Target="https://example.com/" TargetMode="External"/><Relationship Id="rId91" Type="http://schemas.openxmlformats.org/officeDocument/2006/relationships/hyperlink" Target="https://example.com/" TargetMode="External"/><Relationship Id="rId145" Type="http://schemas.openxmlformats.org/officeDocument/2006/relationships/hyperlink" Target="https://example.com/" TargetMode="External"/><Relationship Id="rId166" Type="http://schemas.openxmlformats.org/officeDocument/2006/relationships/hyperlink" Target="https://example.com/" TargetMode="External"/><Relationship Id="rId187" Type="http://schemas.openxmlformats.org/officeDocument/2006/relationships/hyperlink" Target="https://example.com/" TargetMode="External"/><Relationship Id="rId1" Type="http://schemas.openxmlformats.org/officeDocument/2006/relationships/hyperlink" Target="https://example.com/" TargetMode="External"/><Relationship Id="rId212" Type="http://schemas.openxmlformats.org/officeDocument/2006/relationships/hyperlink" Target="https://example.com/" TargetMode="External"/><Relationship Id="rId233" Type="http://schemas.openxmlformats.org/officeDocument/2006/relationships/hyperlink" Target="https://example.com/" TargetMode="External"/><Relationship Id="rId254" Type="http://schemas.openxmlformats.org/officeDocument/2006/relationships/hyperlink" Target="https://example.com/" TargetMode="External"/><Relationship Id="rId28" Type="http://schemas.openxmlformats.org/officeDocument/2006/relationships/hyperlink" Target="https://example.com/" TargetMode="External"/><Relationship Id="rId49" Type="http://schemas.openxmlformats.org/officeDocument/2006/relationships/hyperlink" Target="https://example.com/" TargetMode="External"/><Relationship Id="rId114" Type="http://schemas.openxmlformats.org/officeDocument/2006/relationships/hyperlink" Target="https://example.com/" TargetMode="External"/><Relationship Id="rId275" Type="http://schemas.openxmlformats.org/officeDocument/2006/relationships/hyperlink" Target="https://example.com/" TargetMode="External"/><Relationship Id="rId296" Type="http://schemas.openxmlformats.org/officeDocument/2006/relationships/hyperlink" Target="https://example.com/" TargetMode="External"/><Relationship Id="rId300" Type="http://schemas.openxmlformats.org/officeDocument/2006/relationships/hyperlink" Target="https://example.com/" TargetMode="External"/><Relationship Id="rId60" Type="http://schemas.openxmlformats.org/officeDocument/2006/relationships/hyperlink" Target="https://example.com/" TargetMode="External"/><Relationship Id="rId81" Type="http://schemas.openxmlformats.org/officeDocument/2006/relationships/hyperlink" Target="https://example.com/" TargetMode="External"/><Relationship Id="rId135" Type="http://schemas.openxmlformats.org/officeDocument/2006/relationships/hyperlink" Target="https://example.com/" TargetMode="External"/><Relationship Id="rId156" Type="http://schemas.openxmlformats.org/officeDocument/2006/relationships/hyperlink" Target="https://example.com/" TargetMode="External"/><Relationship Id="rId177" Type="http://schemas.openxmlformats.org/officeDocument/2006/relationships/hyperlink" Target="https://example.com/" TargetMode="External"/><Relationship Id="rId198" Type="http://schemas.openxmlformats.org/officeDocument/2006/relationships/hyperlink" Target="https://example.com/" TargetMode="External"/><Relationship Id="rId202" Type="http://schemas.openxmlformats.org/officeDocument/2006/relationships/hyperlink" Target="https://example.com/" TargetMode="External"/><Relationship Id="rId223" Type="http://schemas.openxmlformats.org/officeDocument/2006/relationships/hyperlink" Target="https://example.com/" TargetMode="External"/><Relationship Id="rId244"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 Id="rId265" Type="http://schemas.openxmlformats.org/officeDocument/2006/relationships/hyperlink" Target="https://example.com/" TargetMode="External"/><Relationship Id="rId286" Type="http://schemas.openxmlformats.org/officeDocument/2006/relationships/hyperlink" Target="https://example.com/" TargetMode="External"/><Relationship Id="rId50" Type="http://schemas.openxmlformats.org/officeDocument/2006/relationships/hyperlink" Target="https://example.com/" TargetMode="External"/><Relationship Id="rId104" Type="http://schemas.openxmlformats.org/officeDocument/2006/relationships/hyperlink" Target="https://example.com/" TargetMode="External"/><Relationship Id="rId125" Type="http://schemas.openxmlformats.org/officeDocument/2006/relationships/hyperlink" Target="https://example.com/" TargetMode="External"/><Relationship Id="rId146" Type="http://schemas.openxmlformats.org/officeDocument/2006/relationships/hyperlink" Target="https://example.com/" TargetMode="External"/><Relationship Id="rId167" Type="http://schemas.openxmlformats.org/officeDocument/2006/relationships/hyperlink" Target="https://example.com/" TargetMode="External"/><Relationship Id="rId188" Type="http://schemas.openxmlformats.org/officeDocument/2006/relationships/hyperlink" Target="https://example.com/" TargetMode="External"/><Relationship Id="rId71" Type="http://schemas.openxmlformats.org/officeDocument/2006/relationships/hyperlink" Target="https://example.com/" TargetMode="External"/><Relationship Id="rId92" Type="http://schemas.openxmlformats.org/officeDocument/2006/relationships/hyperlink" Target="https://example.com/" TargetMode="External"/><Relationship Id="rId213" Type="http://schemas.openxmlformats.org/officeDocument/2006/relationships/hyperlink" Target="https://example.com/" TargetMode="External"/><Relationship Id="rId234" Type="http://schemas.openxmlformats.org/officeDocument/2006/relationships/hyperlink" Target="https://example.com/" TargetMode="External"/><Relationship Id="rId2" Type="http://schemas.openxmlformats.org/officeDocument/2006/relationships/hyperlink" Target="https://example.com/" TargetMode="External"/><Relationship Id="rId29" Type="http://schemas.openxmlformats.org/officeDocument/2006/relationships/hyperlink" Target="https://example.com/" TargetMode="External"/><Relationship Id="rId255" Type="http://schemas.openxmlformats.org/officeDocument/2006/relationships/hyperlink" Target="https://example.com/" TargetMode="External"/><Relationship Id="rId276" Type="http://schemas.openxmlformats.org/officeDocument/2006/relationships/hyperlink" Target="https://example.com/" TargetMode="External"/><Relationship Id="rId297" Type="http://schemas.openxmlformats.org/officeDocument/2006/relationships/hyperlink" Target="https://example.com/" TargetMode="External"/><Relationship Id="rId40" Type="http://schemas.openxmlformats.org/officeDocument/2006/relationships/hyperlink" Target="https://example.com/" TargetMode="External"/><Relationship Id="rId115" Type="http://schemas.openxmlformats.org/officeDocument/2006/relationships/hyperlink" Target="https://example.com/" TargetMode="External"/><Relationship Id="rId136" Type="http://schemas.openxmlformats.org/officeDocument/2006/relationships/hyperlink" Target="https://example.com/" TargetMode="External"/><Relationship Id="rId157" Type="http://schemas.openxmlformats.org/officeDocument/2006/relationships/hyperlink" Target="https://example.com/" TargetMode="External"/><Relationship Id="rId178" Type="http://schemas.openxmlformats.org/officeDocument/2006/relationships/hyperlink" Target="https://example.com/" TargetMode="External"/><Relationship Id="rId301" Type="http://schemas.openxmlformats.org/officeDocument/2006/relationships/hyperlink" Target="https://example.com/" TargetMode="External"/><Relationship Id="rId61" Type="http://schemas.openxmlformats.org/officeDocument/2006/relationships/hyperlink" Target="https://example.com/" TargetMode="External"/><Relationship Id="rId82" Type="http://schemas.openxmlformats.org/officeDocument/2006/relationships/hyperlink" Target="https://example.com/" TargetMode="External"/><Relationship Id="rId199" Type="http://schemas.openxmlformats.org/officeDocument/2006/relationships/hyperlink" Target="https://example.com/" TargetMode="External"/><Relationship Id="rId203" Type="http://schemas.openxmlformats.org/officeDocument/2006/relationships/hyperlink" Target="https://example.com/" TargetMode="External"/><Relationship Id="rId19" Type="http://schemas.openxmlformats.org/officeDocument/2006/relationships/hyperlink" Target="https://example.com/" TargetMode="External"/><Relationship Id="rId224" Type="http://schemas.openxmlformats.org/officeDocument/2006/relationships/hyperlink" Target="https://example.com/" TargetMode="External"/><Relationship Id="rId245" Type="http://schemas.openxmlformats.org/officeDocument/2006/relationships/hyperlink" Target="https://example.com/" TargetMode="External"/><Relationship Id="rId266" Type="http://schemas.openxmlformats.org/officeDocument/2006/relationships/hyperlink" Target="https://example.com/" TargetMode="External"/><Relationship Id="rId287" Type="http://schemas.openxmlformats.org/officeDocument/2006/relationships/hyperlink" Target="https://example.com/" TargetMode="External"/><Relationship Id="rId30" Type="http://schemas.openxmlformats.org/officeDocument/2006/relationships/hyperlink" Target="https://example.com/" TargetMode="External"/><Relationship Id="rId105" Type="http://schemas.openxmlformats.org/officeDocument/2006/relationships/hyperlink" Target="https://example.com/" TargetMode="External"/><Relationship Id="rId126" Type="http://schemas.openxmlformats.org/officeDocument/2006/relationships/hyperlink" Target="https://example.com/" TargetMode="External"/><Relationship Id="rId147" Type="http://schemas.openxmlformats.org/officeDocument/2006/relationships/hyperlink" Target="https://example.com/" TargetMode="External"/><Relationship Id="rId168" Type="http://schemas.openxmlformats.org/officeDocument/2006/relationships/hyperlink" Target="https://example.com/" TargetMode="External"/><Relationship Id="rId51" Type="http://schemas.openxmlformats.org/officeDocument/2006/relationships/hyperlink" Target="https://example.com/" TargetMode="External"/><Relationship Id="rId72" Type="http://schemas.openxmlformats.org/officeDocument/2006/relationships/hyperlink" Target="https://example.com/" TargetMode="External"/><Relationship Id="rId93" Type="http://schemas.openxmlformats.org/officeDocument/2006/relationships/hyperlink" Target="https://example.com/" TargetMode="External"/><Relationship Id="rId189" Type="http://schemas.openxmlformats.org/officeDocument/2006/relationships/hyperlink" Target="https://example.com/" TargetMode="External"/><Relationship Id="rId3" Type="http://schemas.openxmlformats.org/officeDocument/2006/relationships/hyperlink" Target="https://example.com/" TargetMode="External"/><Relationship Id="rId214" Type="http://schemas.openxmlformats.org/officeDocument/2006/relationships/hyperlink" Target="https://example.com/" TargetMode="External"/><Relationship Id="rId235" Type="http://schemas.openxmlformats.org/officeDocument/2006/relationships/hyperlink" Target="https://example.com/" TargetMode="External"/><Relationship Id="rId256" Type="http://schemas.openxmlformats.org/officeDocument/2006/relationships/hyperlink" Target="https://example.com/" TargetMode="External"/><Relationship Id="rId277" Type="http://schemas.openxmlformats.org/officeDocument/2006/relationships/hyperlink" Target="https://example.com/" TargetMode="External"/><Relationship Id="rId298" Type="http://schemas.openxmlformats.org/officeDocument/2006/relationships/hyperlink" Target="https://example.com/" TargetMode="External"/><Relationship Id="rId116" Type="http://schemas.openxmlformats.org/officeDocument/2006/relationships/hyperlink" Target="https://example.com/" TargetMode="External"/><Relationship Id="rId137" Type="http://schemas.openxmlformats.org/officeDocument/2006/relationships/hyperlink" Target="https://example.com/" TargetMode="External"/><Relationship Id="rId158" Type="http://schemas.openxmlformats.org/officeDocument/2006/relationships/hyperlink" Target="https://example.com/" TargetMode="External"/><Relationship Id="rId302"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62" Type="http://schemas.openxmlformats.org/officeDocument/2006/relationships/hyperlink" Target="https://example.com/" TargetMode="External"/><Relationship Id="rId83" Type="http://schemas.openxmlformats.org/officeDocument/2006/relationships/hyperlink" Target="https://example.com/" TargetMode="External"/><Relationship Id="rId179" Type="http://schemas.openxmlformats.org/officeDocument/2006/relationships/hyperlink" Target="https://example.com/" TargetMode="External"/><Relationship Id="rId190" Type="http://schemas.openxmlformats.org/officeDocument/2006/relationships/hyperlink" Target="https://example.com/" TargetMode="External"/><Relationship Id="rId204" Type="http://schemas.openxmlformats.org/officeDocument/2006/relationships/hyperlink" Target="https://example.com/" TargetMode="External"/><Relationship Id="rId225" Type="http://schemas.openxmlformats.org/officeDocument/2006/relationships/hyperlink" Target="https://example.com/" TargetMode="External"/><Relationship Id="rId246" Type="http://schemas.openxmlformats.org/officeDocument/2006/relationships/hyperlink" Target="https://example.com/" TargetMode="External"/><Relationship Id="rId267" Type="http://schemas.openxmlformats.org/officeDocument/2006/relationships/hyperlink" Target="https://example.com/" TargetMode="External"/><Relationship Id="rId288" Type="http://schemas.openxmlformats.org/officeDocument/2006/relationships/hyperlink" Target="https://example.com/" TargetMode="External"/><Relationship Id="rId106" Type="http://schemas.openxmlformats.org/officeDocument/2006/relationships/hyperlink" Target="https://example.com/" TargetMode="External"/><Relationship Id="rId12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52" Type="http://schemas.openxmlformats.org/officeDocument/2006/relationships/hyperlink" Target="https://example.com/" TargetMode="External"/><Relationship Id="rId73" Type="http://schemas.openxmlformats.org/officeDocument/2006/relationships/hyperlink" Target="https://example.com/" TargetMode="External"/><Relationship Id="rId94" Type="http://schemas.openxmlformats.org/officeDocument/2006/relationships/hyperlink" Target="https://example.com/" TargetMode="External"/><Relationship Id="rId148" Type="http://schemas.openxmlformats.org/officeDocument/2006/relationships/hyperlink" Target="https://example.com/" TargetMode="External"/><Relationship Id="rId169" Type="http://schemas.openxmlformats.org/officeDocument/2006/relationships/hyperlink" Target="https://example.com/" TargetMode="External"/><Relationship Id="rId4" Type="http://schemas.openxmlformats.org/officeDocument/2006/relationships/hyperlink" Target="https://example.com/" TargetMode="External"/><Relationship Id="rId180" Type="http://schemas.openxmlformats.org/officeDocument/2006/relationships/hyperlink" Target="https://example.com/" TargetMode="External"/><Relationship Id="rId215" Type="http://schemas.openxmlformats.org/officeDocument/2006/relationships/hyperlink" Target="https://example.com/" TargetMode="External"/><Relationship Id="rId236" Type="http://schemas.openxmlformats.org/officeDocument/2006/relationships/hyperlink" Target="https://example.com/" TargetMode="External"/><Relationship Id="rId257" Type="http://schemas.openxmlformats.org/officeDocument/2006/relationships/hyperlink" Target="https://example.com/" TargetMode="External"/><Relationship Id="rId278" Type="http://schemas.openxmlformats.org/officeDocument/2006/relationships/hyperlink" Target="https://example.com/" TargetMode="External"/><Relationship Id="rId303" Type="http://schemas.openxmlformats.org/officeDocument/2006/relationships/vmlDrawing" Target="../drawings/vmlDrawing4.vml"/><Relationship Id="rId42" Type="http://schemas.openxmlformats.org/officeDocument/2006/relationships/hyperlink" Target="https://example.com/" TargetMode="External"/><Relationship Id="rId84" Type="http://schemas.openxmlformats.org/officeDocument/2006/relationships/hyperlink" Target="https://example.com/" TargetMode="External"/><Relationship Id="rId138" Type="http://schemas.openxmlformats.org/officeDocument/2006/relationships/hyperlink" Target="https://example.com/" TargetMode="External"/><Relationship Id="rId191" Type="http://schemas.openxmlformats.org/officeDocument/2006/relationships/hyperlink" Target="https://example.com/" TargetMode="External"/><Relationship Id="rId205" Type="http://schemas.openxmlformats.org/officeDocument/2006/relationships/hyperlink" Target="https://example.com/" TargetMode="External"/><Relationship Id="rId247" Type="http://schemas.openxmlformats.org/officeDocument/2006/relationships/hyperlink" Target="https://example.com/" TargetMode="External"/><Relationship Id="rId107" Type="http://schemas.openxmlformats.org/officeDocument/2006/relationships/hyperlink" Target="https://example.com/" TargetMode="External"/><Relationship Id="rId289" Type="http://schemas.openxmlformats.org/officeDocument/2006/relationships/hyperlink" Target="https://example.com/" TargetMode="External"/><Relationship Id="rId11" Type="http://schemas.openxmlformats.org/officeDocument/2006/relationships/hyperlink" Target="https://example.com/" TargetMode="External"/><Relationship Id="rId53" Type="http://schemas.openxmlformats.org/officeDocument/2006/relationships/hyperlink" Target="https://example.com/" TargetMode="External"/><Relationship Id="rId149" Type="http://schemas.openxmlformats.org/officeDocument/2006/relationships/hyperlink" Target="https://example.com/" TargetMode="External"/><Relationship Id="rId95" Type="http://schemas.openxmlformats.org/officeDocument/2006/relationships/hyperlink" Target="https://example.com/" TargetMode="External"/><Relationship Id="rId160" Type="http://schemas.openxmlformats.org/officeDocument/2006/relationships/hyperlink" Target="https://example.com/" TargetMode="External"/><Relationship Id="rId216" Type="http://schemas.openxmlformats.org/officeDocument/2006/relationships/hyperlink" Target="https://example.com/" TargetMode="External"/><Relationship Id="rId258" Type="http://schemas.openxmlformats.org/officeDocument/2006/relationships/hyperlink" Target="https://example.com/" TargetMode="External"/><Relationship Id="rId22" Type="http://schemas.openxmlformats.org/officeDocument/2006/relationships/hyperlink" Target="https://example.com/" TargetMode="External"/><Relationship Id="rId64" Type="http://schemas.openxmlformats.org/officeDocument/2006/relationships/hyperlink" Target="https://example.com/" TargetMode="External"/><Relationship Id="rId118" Type="http://schemas.openxmlformats.org/officeDocument/2006/relationships/hyperlink" Target="https://example.com/" TargetMode="External"/><Relationship Id="rId171" Type="http://schemas.openxmlformats.org/officeDocument/2006/relationships/hyperlink" Target="https://example.com/" TargetMode="External"/><Relationship Id="rId227" Type="http://schemas.openxmlformats.org/officeDocument/2006/relationships/hyperlink" Target="https://example.com/" TargetMode="External"/><Relationship Id="rId269" Type="http://schemas.openxmlformats.org/officeDocument/2006/relationships/hyperlink" Target="https://example.com/" TargetMode="External"/><Relationship Id="rId33" Type="http://schemas.openxmlformats.org/officeDocument/2006/relationships/hyperlink" Target="https://example.com/" TargetMode="External"/><Relationship Id="rId129" Type="http://schemas.openxmlformats.org/officeDocument/2006/relationships/hyperlink" Target="https://example.com/" TargetMode="External"/><Relationship Id="rId280" Type="http://schemas.openxmlformats.org/officeDocument/2006/relationships/hyperlink" Target="https://example.com/" TargetMode="External"/><Relationship Id="rId75" Type="http://schemas.openxmlformats.org/officeDocument/2006/relationships/hyperlink" Target="https://example.com/" TargetMode="External"/><Relationship Id="rId140" Type="http://schemas.openxmlformats.org/officeDocument/2006/relationships/hyperlink" Target="https://example.com/" TargetMode="External"/><Relationship Id="rId182" Type="http://schemas.openxmlformats.org/officeDocument/2006/relationships/hyperlink" Target="https://example.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88726-975B-4625-83A3-6059C2023919}">
  <sheetPr codeName="Sheet2">
    <pageSetUpPr fitToPage="1"/>
  </sheetPr>
  <dimension ref="A1:CG1421"/>
  <sheetViews>
    <sheetView tabSelected="1" zoomScale="85" zoomScaleNormal="85" workbookViewId="0">
      <pane xSplit="2" ySplit="5" topLeftCell="BN6" activePane="bottomRight" state="frozen"/>
      <selection pane="topRight" activeCell="C1" sqref="C1"/>
      <selection pane="bottomLeft" activeCell="A6" sqref="A6"/>
      <selection pane="bottomRight" activeCell="BV15" sqref="BV15"/>
    </sheetView>
  </sheetViews>
  <sheetFormatPr defaultColWidth="10.5546875" defaultRowHeight="14.4" outlineLevelRow="3" outlineLevelCol="1" x14ac:dyDescent="0.3"/>
  <cols>
    <col min="1" max="1" width="50.6640625" customWidth="1"/>
    <col min="2" max="2" width="10.6640625" customWidth="1"/>
    <col min="3" max="5" width="9.6640625" hidden="1" customWidth="1" outlineLevel="1"/>
    <col min="6" max="6" width="9.6640625" customWidth="1" collapsed="1"/>
    <col min="7" max="10" width="9.6640625" hidden="1" customWidth="1" outlineLevel="1"/>
    <col min="11" max="11" width="9.6640625" customWidth="1" collapsed="1"/>
    <col min="12" max="15" width="9.6640625" hidden="1" customWidth="1" outlineLevel="1"/>
    <col min="16" max="16" width="9.6640625" customWidth="1" collapsed="1"/>
    <col min="17" max="20" width="9.6640625" hidden="1" customWidth="1" outlineLevel="1"/>
    <col min="21" max="21" width="9.6640625" customWidth="1" collapsed="1"/>
    <col min="22" max="25" width="9.6640625" hidden="1" customWidth="1" outlineLevel="1"/>
    <col min="26" max="26" width="9.6640625" customWidth="1" collapsed="1"/>
    <col min="27" max="30" width="9.6640625" hidden="1" customWidth="1" outlineLevel="1"/>
    <col min="31" max="31" width="9.6640625" customWidth="1" collapsed="1"/>
    <col min="32" max="35" width="9.6640625" hidden="1" customWidth="1" outlineLevel="1"/>
    <col min="36" max="36" width="9.6640625" customWidth="1" collapsed="1"/>
    <col min="37" max="40" width="9.6640625" hidden="1" customWidth="1" outlineLevel="1"/>
    <col min="41" max="41" width="9.6640625" customWidth="1" collapsed="1"/>
    <col min="42" max="45" width="9.6640625" hidden="1" customWidth="1" outlineLevel="1"/>
    <col min="46" max="46" width="9.6640625" customWidth="1" collapsed="1"/>
    <col min="47" max="50" width="9.6640625" hidden="1" customWidth="1" outlineLevel="1"/>
    <col min="51" max="51" width="9.6640625" customWidth="1" collapsed="1"/>
    <col min="52" max="55" width="9.6640625" hidden="1" customWidth="1" outlineLevel="1"/>
    <col min="56" max="56" width="9.6640625" customWidth="1" collapsed="1"/>
    <col min="57" max="60" width="9.6640625" hidden="1" customWidth="1" outlineLevel="1"/>
    <col min="61" max="61" width="9.6640625" customWidth="1" collapsed="1"/>
    <col min="62" max="65" width="9.6640625" hidden="1" customWidth="1" outlineLevel="1"/>
    <col min="66" max="66" width="9.6640625" customWidth="1" collapsed="1"/>
    <col min="67" max="70" width="9.6640625" customWidth="1" outlineLevel="1"/>
    <col min="71" max="71" width="9.6640625" customWidth="1"/>
    <col min="72" max="75" width="9.6640625" customWidth="1" outlineLevel="1"/>
    <col min="76" max="76" width="9.6640625" customWidth="1"/>
    <col min="77" max="80" width="9.6640625" customWidth="1" outlineLevel="1"/>
    <col min="81" max="85" width="9.6640625" customWidth="1"/>
  </cols>
  <sheetData>
    <row r="1" spans="1:85" ht="28.8" x14ac:dyDescent="0.55000000000000004">
      <c r="A1" s="27" t="s">
        <v>1</v>
      </c>
      <c r="B1" s="757"/>
      <c r="C1" s="757"/>
      <c r="D1" s="94"/>
      <c r="E1" s="757"/>
      <c r="F1" s="757"/>
      <c r="G1" s="757"/>
      <c r="H1" s="757"/>
      <c r="I1" s="757"/>
      <c r="J1" s="757"/>
      <c r="K1" s="757"/>
      <c r="L1" s="757"/>
      <c r="M1" s="757"/>
      <c r="N1" s="757"/>
      <c r="O1" s="757"/>
      <c r="P1" s="757"/>
      <c r="Q1" s="757"/>
      <c r="R1" s="757"/>
      <c r="S1" s="757"/>
      <c r="T1" s="757"/>
      <c r="U1" s="757"/>
      <c r="V1" s="757"/>
      <c r="W1" s="757"/>
      <c r="X1" s="757"/>
      <c r="Y1" s="757"/>
      <c r="Z1" s="757"/>
      <c r="AA1" s="757"/>
      <c r="AB1" s="757"/>
      <c r="AC1" s="757"/>
      <c r="AD1" s="757"/>
      <c r="AE1" s="757"/>
      <c r="AF1" s="757"/>
      <c r="AG1" s="757"/>
      <c r="AH1" s="757"/>
      <c r="AI1" s="757"/>
      <c r="AJ1" s="757"/>
      <c r="AK1" s="757"/>
      <c r="AL1" s="757"/>
      <c r="AM1" s="757"/>
      <c r="AN1" s="757"/>
      <c r="AO1" s="757"/>
      <c r="AP1" s="757"/>
      <c r="AQ1" s="757"/>
      <c r="AR1" s="757"/>
      <c r="AS1" s="757"/>
      <c r="AT1" s="757"/>
      <c r="AU1" s="757"/>
      <c r="AV1" s="757"/>
      <c r="AW1" s="757"/>
      <c r="AX1" s="757"/>
      <c r="AY1" s="757"/>
      <c r="AZ1" s="757"/>
      <c r="BA1" s="757"/>
      <c r="BB1" s="757"/>
      <c r="BC1" s="757"/>
      <c r="BD1" s="757"/>
      <c r="BE1" s="757"/>
      <c r="BF1" s="757"/>
      <c r="BG1" s="757"/>
      <c r="BH1" s="757"/>
      <c r="BI1" s="757"/>
      <c r="BJ1" s="757"/>
      <c r="BK1" s="757"/>
      <c r="BL1" s="757"/>
      <c r="BM1" s="757"/>
      <c r="BN1" s="757"/>
      <c r="BO1" s="757"/>
      <c r="BP1" s="757"/>
      <c r="BQ1" s="757"/>
      <c r="BR1" s="757"/>
      <c r="BS1" s="757"/>
      <c r="BT1" s="758"/>
      <c r="BU1" s="757"/>
      <c r="BV1" s="757"/>
      <c r="BW1" s="757"/>
      <c r="BX1" s="757"/>
      <c r="BY1" s="757"/>
      <c r="BZ1" s="757"/>
      <c r="CA1" s="757"/>
      <c r="CB1" s="757"/>
      <c r="CC1" s="757"/>
      <c r="CD1" s="757"/>
      <c r="CE1" s="757"/>
      <c r="CF1" s="757"/>
      <c r="CG1" s="459"/>
    </row>
    <row r="2" spans="1:85" x14ac:dyDescent="0.3">
      <c r="A2" s="228" t="str">
        <f>CHOOSE(MO.DataSourceIndex,MO.Ticker.Bloomberg,MO.Ticker.CapIQ,MO.Ticker.FactSet,MO.Ticker.Thomson)</f>
      </c>
      <c r="B2" s="236"/>
      <c r="C2" s="657">
        <f>EOMONTH(C4,-12)</f>
      </c>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c r="BI2" s="237"/>
      <c r="BJ2" s="237"/>
      <c r="BK2" s="237"/>
      <c r="BL2" s="237"/>
      <c r="BM2" s="237"/>
      <c r="BN2" s="237"/>
      <c r="BO2" s="237"/>
      <c r="BP2" s="237"/>
      <c r="BQ2" s="237"/>
      <c r="BR2" s="237"/>
      <c r="BS2" s="237"/>
      <c r="BT2" s="296"/>
      <c r="BU2" s="237"/>
      <c r="BV2" s="237"/>
      <c r="BW2" s="237"/>
      <c r="BX2" s="237"/>
      <c r="BY2" s="237"/>
      <c r="BZ2" s="237"/>
      <c r="CA2" s="237"/>
      <c r="CB2" s="237"/>
      <c r="CC2" s="237"/>
      <c r="CD2" s="237"/>
      <c r="CE2" s="237"/>
      <c r="CF2" s="237"/>
      <c r="CG2" s="135"/>
    </row>
    <row r="3" spans="1:85" x14ac:dyDescent="0.3">
      <c r="A3" s="229" t="str">
        <f>HP.TradeCurrency</f>
      </c>
      <c r="B3" s="230">
        <f>IF(MO.RealTime="OFF",MO.LastPriceHardcoded,MO.LastPriceFormula)</f>
      </c>
      <c r="C3" s="925">
        <f>C4-C2</f>
      </c>
      <c r="D3" s="925">
        <f t="shared" ref="D3:J3" si="0">D4-C4</f>
      </c>
      <c r="E3" s="925">
        <f t="shared" si="0"/>
      </c>
      <c r="F3" s="925">
        <f t="shared" si="0"/>
      </c>
      <c r="G3" s="618">
        <f t="shared" si="0"/>
      </c>
      <c r="H3" s="618">
        <f t="shared" si="0"/>
      </c>
      <c r="I3" s="618">
        <f t="shared" si="0"/>
      </c>
      <c r="J3" s="618">
        <f t="shared" si="0"/>
      </c>
      <c r="K3" s="925">
        <f>K4-F4</f>
      </c>
      <c r="L3" s="618">
        <f>L4-K4</f>
      </c>
      <c r="M3" s="618">
        <f>M4-L4</f>
      </c>
      <c r="N3" s="618">
        <f>N4-M4</f>
      </c>
      <c r="O3" s="618">
        <f>O4-N4</f>
      </c>
      <c r="P3" s="925">
        <f>P4-K4</f>
      </c>
      <c r="Q3" s="618">
        <f>Q4-P4</f>
      </c>
      <c r="R3" s="618">
        <f>R4-Q4</f>
      </c>
      <c r="S3" s="618">
        <f>S4-R4</f>
      </c>
      <c r="T3" s="618">
        <f>T4-S4</f>
      </c>
      <c r="U3" s="925">
        <f>U4-P4</f>
      </c>
      <c r="V3" s="618">
        <f>V4-U4</f>
      </c>
      <c r="W3" s="618">
        <f>W4-V4</f>
      </c>
      <c r="X3" s="618">
        <f>X4-W4</f>
      </c>
      <c r="Y3" s="31">
        <f>Y4-X4</f>
      </c>
      <c r="Z3" s="926">
        <f>Z4-U4</f>
      </c>
      <c r="AA3" s="618">
        <f>AA4-Z4</f>
      </c>
      <c r="AB3" s="618">
        <f>AB4-AA4</f>
      </c>
      <c r="AC3" s="618">
        <f>AC4-AB4</f>
      </c>
      <c r="AD3" s="31">
        <f>AD4-AC4</f>
      </c>
      <c r="AE3" s="926">
        <f>AE4-Z4</f>
      </c>
      <c r="AF3" s="618">
        <f>AF4-AE4</f>
      </c>
      <c r="AG3" s="618">
        <f>AG4-AF4</f>
      </c>
      <c r="AH3" s="618">
        <f>AH4-AG4</f>
      </c>
      <c r="AI3" s="31">
        <f>AI4-AH4</f>
      </c>
      <c r="AJ3" s="926">
        <f>AJ4-AE4</f>
      </c>
      <c r="AK3" s="618">
        <f>AK4-AJ4</f>
      </c>
      <c r="AL3" s="618">
        <f>AL4-AK4</f>
      </c>
      <c r="AM3" s="618">
        <f>AM4-AL4</f>
      </c>
      <c r="AN3" s="31">
        <f>AN4-AM4</f>
      </c>
      <c r="AO3" s="926">
        <f>AO4-AJ4</f>
      </c>
      <c r="AP3" s="618">
        <f>AP4-AO4</f>
      </c>
      <c r="AQ3" s="618">
        <f>AQ4-AP4</f>
      </c>
      <c r="AR3" s="618">
        <f>AR4-AQ4</f>
      </c>
      <c r="AS3" s="31">
        <f>AS4-AR4</f>
      </c>
      <c r="AT3" s="926">
        <f>AT4-AO4</f>
      </c>
      <c r="AU3" s="618">
        <f>AU4-AT4</f>
      </c>
      <c r="AV3" s="618">
        <f>AV4-AU4</f>
      </c>
      <c r="AW3" s="618">
        <f>AW4-AV4</f>
      </c>
      <c r="AX3" s="31">
        <f>AX4-AW4</f>
      </c>
      <c r="AY3" s="926">
        <f>AY4-AT4</f>
      </c>
      <c r="AZ3" s="618">
        <f>AZ4-AY4</f>
      </c>
      <c r="BA3" s="618">
        <f>BA4-AZ4</f>
      </c>
      <c r="BB3" s="618">
        <f>BB4-BA4</f>
      </c>
      <c r="BC3" s="31">
        <f>BC4-BB4</f>
      </c>
      <c r="BD3" s="926">
        <f>BD4-AY4</f>
      </c>
      <c r="BE3" s="618">
        <f>BE4-BD4</f>
      </c>
      <c r="BF3" s="618">
        <f>BF4-BE4</f>
      </c>
      <c r="BG3" s="618">
        <f>BG4-BF4</f>
      </c>
      <c r="BH3" s="31">
        <f>BH4-BG4</f>
      </c>
      <c r="BI3" s="926">
        <f>BI4-BD4</f>
      </c>
      <c r="BJ3" s="618">
        <f>BJ4-BI4</f>
      </c>
      <c r="BK3" s="618">
        <f>BK4-BJ4</f>
      </c>
      <c r="BL3" s="618">
        <f>BL4-BK4</f>
      </c>
      <c r="BM3" s="31">
        <f>BM4-BL4</f>
      </c>
      <c r="BN3" s="926">
        <f>BN4-BI4</f>
      </c>
      <c r="BO3" s="618">
        <f>BO4-BN4</f>
      </c>
      <c r="BP3" s="618">
        <f>BP4-BO4</f>
      </c>
      <c r="BQ3" s="618">
        <f>BQ4-BP4</f>
      </c>
      <c r="BR3" s="31">
        <f>BR4-BQ4</f>
      </c>
      <c r="BS3" s="926">
        <f>BS4-BN4</f>
      </c>
      <c r="BT3" s="658">
        <f>BT4-BS4</f>
      </c>
      <c r="BU3" s="31">
        <f>BU4-BT4</f>
      </c>
      <c r="BV3" s="31">
        <f>BV4-BU4</f>
      </c>
      <c r="BW3" s="31">
        <f>BW4-BV4</f>
      </c>
      <c r="BX3" s="926">
        <f>BX4-BS4</f>
      </c>
      <c r="BY3" s="31">
        <f>BY4-BX4</f>
      </c>
      <c r="BZ3" s="31">
        <f>BZ4-BY4</f>
      </c>
      <c r="CA3" s="31">
        <f>CA4-BZ4</f>
      </c>
      <c r="CB3" s="31">
        <f>CB4-CA4</f>
      </c>
      <c r="CC3" s="926">
        <f>CC4-BX4</f>
      </c>
      <c r="CD3" s="926">
        <f>CD4-CC4</f>
      </c>
      <c r="CE3" s="926">
        <f>CE4-CD4</f>
      </c>
      <c r="CF3" s="926">
        <f>CF4-CE4</f>
      </c>
      <c r="CG3" s="231"/>
    </row>
    <row r="4" spans="1:85" x14ac:dyDescent="0.3">
      <c r="A4" s="232" t="s">
        <v>0</v>
      </c>
      <c r="B4" s="542" t="str">
        <f>IF(AND(MO.RealTimeStockPriceToggle,MO.LastPriceFormula&lt;&gt;"N/A"),"ON","OFF")</f>
      </c>
      <c r="C4" s="927">
        <v>40178</v>
      </c>
      <c r="D4" s="928">
        <f>EOMONTH(C4,12)</f>
      </c>
      <c r="E4" s="928">
        <f>EOMONTH(D4,12)</f>
      </c>
      <c r="F4" s="928">
        <f>EOMONTH(E4,12)</f>
      </c>
      <c r="G4" s="32">
        <f>EOMONTH(F4,3)</f>
      </c>
      <c r="H4" s="32">
        <f>EOMONTH(G4,3)</f>
      </c>
      <c r="I4" s="32">
        <f>EOMONTH(H4,3)</f>
      </c>
      <c r="J4" s="32">
        <f>EOMONTH(I4,3)</f>
      </c>
      <c r="K4" s="928">
        <f>J4</f>
      </c>
      <c r="L4" s="32">
        <f>EOMONTH(K4,3)</f>
      </c>
      <c r="M4" s="32">
        <f>EOMONTH(L4,3)</f>
      </c>
      <c r="N4" s="32">
        <f>EOMONTH(M4,3)</f>
      </c>
      <c r="O4" s="32">
        <f>EOMONTH(N4,3)</f>
      </c>
      <c r="P4" s="928">
        <f>O4</f>
      </c>
      <c r="Q4" s="32">
        <f>EOMONTH(P4,3)</f>
      </c>
      <c r="R4" s="32">
        <f>EOMONTH(Q4,3)</f>
      </c>
      <c r="S4" s="32">
        <f>EOMONTH(R4,3)</f>
      </c>
      <c r="T4" s="32">
        <f>EOMONTH(S4,3)</f>
      </c>
      <c r="U4" s="928">
        <f>T4</f>
      </c>
      <c r="V4" s="32">
        <f>EOMONTH(U4,3)</f>
      </c>
      <c r="W4" s="634">
        <f>EOMONTH(V4,3)</f>
      </c>
      <c r="X4" s="32">
        <f>EOMONTH(W4,3)</f>
      </c>
      <c r="Y4" s="32">
        <f>EOMONTH(X4,3)</f>
      </c>
      <c r="Z4" s="928">
        <f>Y4</f>
      </c>
      <c r="AA4" s="634">
        <f>EOMONTH(Z4,3)</f>
      </c>
      <c r="AB4" s="634">
        <f>EOMONTH(AA4,3)</f>
      </c>
      <c r="AC4" s="32">
        <f>EOMONTH(AB4,3)</f>
      </c>
      <c r="AD4" s="32">
        <f>EOMONTH(AC4,3)</f>
      </c>
      <c r="AE4" s="928">
        <f>AD4</f>
      </c>
      <c r="AF4" s="634">
        <f>EOMONTH(AE4,3)</f>
      </c>
      <c r="AG4" s="634">
        <f>EOMONTH(AF4,3)</f>
      </c>
      <c r="AH4" s="32">
        <f>EOMONTH(AG4,3)</f>
      </c>
      <c r="AI4" s="32">
        <f>EOMONTH(AH4,3)</f>
      </c>
      <c r="AJ4" s="928">
        <f>AI4</f>
      </c>
      <c r="AK4" s="634">
        <f>EOMONTH(AJ4,3)</f>
      </c>
      <c r="AL4" s="634">
        <f>EOMONTH(AK4,3)</f>
      </c>
      <c r="AM4" s="32">
        <f>EOMONTH(AL4,3)</f>
      </c>
      <c r="AN4" s="32">
        <f>EOMONTH(AM4,3)</f>
      </c>
      <c r="AO4" s="928">
        <f>AN4</f>
      </c>
      <c r="AP4" s="634">
        <f>EOMONTH(AO4,3)</f>
      </c>
      <c r="AQ4" s="634">
        <f>EOMONTH(AP4,3)</f>
      </c>
      <c r="AR4" s="32">
        <f>EOMONTH(AQ4,3)</f>
      </c>
      <c r="AS4" s="32">
        <f>EOMONTH(AR4,3)</f>
      </c>
      <c r="AT4" s="928">
        <f>AS4</f>
      </c>
      <c r="AU4" s="634">
        <f>EOMONTH(AT4,3)</f>
      </c>
      <c r="AV4" s="634">
        <f>EOMONTH(AU4,3)</f>
      </c>
      <c r="AW4" s="32">
        <f>EOMONTH(AV4,3)</f>
      </c>
      <c r="AX4" s="32">
        <f>EOMONTH(AW4,3)</f>
      </c>
      <c r="AY4" s="928">
        <f>AX4</f>
      </c>
      <c r="AZ4" s="634">
        <f>EOMONTH(AY4,3)</f>
      </c>
      <c r="BA4" s="634">
        <f>EOMONTH(AZ4,3)</f>
      </c>
      <c r="BB4" s="32">
        <f>EOMONTH(BA4,3)</f>
      </c>
      <c r="BC4" s="32">
        <f>EOMONTH(BB4,3)</f>
      </c>
      <c r="BD4" s="928">
        <f>BC4</f>
      </c>
      <c r="BE4" s="634">
        <f>EOMONTH(BD4,3)</f>
      </c>
      <c r="BF4" s="634">
        <f>EOMONTH(BE4,3)</f>
      </c>
      <c r="BG4" s="32">
        <f>EOMONTH(BF4,3)</f>
      </c>
      <c r="BH4" s="32">
        <f>EOMONTH(BG4,3)</f>
      </c>
      <c r="BI4" s="928">
        <f>BH4</f>
      </c>
      <c r="BJ4" s="634">
        <f>EOMONTH(BI4,3)</f>
      </c>
      <c r="BK4" s="634">
        <f>EOMONTH(BJ4,3)</f>
      </c>
      <c r="BL4" s="32">
        <f>EOMONTH(BK4,3)</f>
      </c>
      <c r="BM4" s="32">
        <f>EOMONTH(BL4,3)</f>
      </c>
      <c r="BN4" s="928">
        <f>BM4</f>
      </c>
      <c r="BO4" s="634">
        <f>EOMONTH(BN4,3)</f>
      </c>
      <c r="BP4" s="634">
        <f>EOMONTH(BO4,3)</f>
      </c>
      <c r="BQ4" s="32">
        <f>EOMONTH(BP4,3)</f>
      </c>
      <c r="BR4" s="32">
        <f>EOMONTH(BQ4,3)</f>
      </c>
      <c r="BS4" s="928">
        <f>BR4</f>
      </c>
      <c r="BT4" s="659">
        <f>EOMONTH(BS4,3)</f>
      </c>
      <c r="BU4" s="32">
        <f>EOMONTH(BT4,3)</f>
      </c>
      <c r="BV4" s="32">
        <f>EOMONTH(BU4,3)</f>
      </c>
      <c r="BW4" s="32">
        <f>EOMONTH(BV4,3)</f>
      </c>
      <c r="BX4" s="928">
        <f>BW4</f>
      </c>
      <c r="BY4" s="32">
        <f>EOMONTH(BX4,3)</f>
      </c>
      <c r="BZ4" s="32">
        <f>EOMONTH(BY4,3)</f>
      </c>
      <c r="CA4" s="32">
        <f>EOMONTH(BZ4,3)</f>
      </c>
      <c r="CB4" s="32">
        <f>EOMONTH(CA4,3)</f>
      </c>
      <c r="CC4" s="928">
        <f>CB4</f>
      </c>
      <c r="CD4" s="928">
        <f>EOMONTH(CC4,12)</f>
      </c>
      <c r="CE4" s="928">
        <f>EOMONTH(CD4,12)</f>
      </c>
      <c r="CF4" s="928">
        <f>EOMONTH(CE4,12)</f>
      </c>
      <c r="CG4" s="129"/>
    </row>
    <row r="5" spans="1:85" x14ac:dyDescent="0.3">
      <c r="A5" s="44" t="str">
        <f>MO.ReportCurrency</f>
      </c>
      <c r="B5" s="238"/>
      <c r="C5" s="929" t="s">
        <v>3</v>
      </c>
      <c r="D5" s="930" t="str">
        <f>CONCATENATE("FY",RIGHT(C5,4)+1)</f>
      </c>
      <c r="E5" s="930" t="str">
        <f>CONCATENATE("FY",RIGHT(D5,4)+1)</f>
      </c>
      <c r="F5" s="930" t="str">
        <f>CONCATENATE("FY",RIGHT(E5,4)+1)</f>
      </c>
      <c r="G5" s="543" t="str">
        <f>CONCATENATE("Q1","-",RIGHT(F5,4)+1)</f>
      </c>
      <c r="H5" s="543" t="str">
        <f>CONCATENATE("Q2","-",RIGHT(G5,4))</f>
      </c>
      <c r="I5" s="543" t="str">
        <f>CONCATENATE("Q3","-",RIGHT(H5,4))</f>
      </c>
      <c r="J5" s="543" t="str">
        <f>CONCATENATE("Q4","-",RIGHT(I5,4))</f>
      </c>
      <c r="K5" s="930" t="str">
        <f>CONCATENATE("FY",RIGHT(F5,4)+1)</f>
      </c>
      <c r="L5" s="543" t="str">
        <f>CONCATENATE("Q1","-",RIGHT(K5,4)+1)</f>
      </c>
      <c r="M5" s="543" t="str">
        <f>CONCATENATE("Q2","-",RIGHT(L5,4))</f>
      </c>
      <c r="N5" s="543" t="str">
        <f>CONCATENATE("Q3","-",RIGHT(M5,4))</f>
      </c>
      <c r="O5" s="543" t="str">
        <f>CONCATENATE("Q4","-",RIGHT(N5,4))</f>
      </c>
      <c r="P5" s="930" t="str">
        <f>CONCATENATE("FY",RIGHT(K5,4)+1)</f>
      </c>
      <c r="Q5" s="543" t="str">
        <f>CONCATENATE("Q1","-",RIGHT(P5,4)+1)</f>
      </c>
      <c r="R5" s="543" t="str">
        <f>CONCATENATE("Q2","-",RIGHT(Q5,4))</f>
      </c>
      <c r="S5" s="543" t="str">
        <f>CONCATENATE("Q3","-",RIGHT(R5,4))</f>
      </c>
      <c r="T5" s="543" t="str">
        <f>CONCATENATE("Q4","-",RIGHT(S5,4))</f>
      </c>
      <c r="U5" s="930" t="str">
        <f>CONCATENATE("FY",RIGHT(P5,4)+1)</f>
      </c>
      <c r="V5" s="543" t="str">
        <f>CONCATENATE("Q1","-",RIGHT(U5,4)+1)</f>
      </c>
      <c r="W5" s="635" t="str">
        <f>CONCATENATE("Q2","-",RIGHT(V5,4))</f>
      </c>
      <c r="X5" s="543" t="str">
        <f>CONCATENATE("Q3","-",RIGHT(W5,4))</f>
      </c>
      <c r="Y5" s="543" t="str">
        <f>CONCATENATE("Q4","-",RIGHT(X5,4))</f>
      </c>
      <c r="Z5" s="930" t="str">
        <f>CONCATENATE("FY",RIGHT(U5,4)+1)</f>
      </c>
      <c r="AA5" s="635" t="str">
        <f>CONCATENATE("Q1","-",RIGHT(Z5,4)+1)</f>
      </c>
      <c r="AB5" s="635" t="str">
        <f>CONCATENATE("Q2","-",RIGHT(AA5,4))</f>
      </c>
      <c r="AC5" s="543" t="str">
        <f>CONCATENATE("Q3","-",RIGHT(AB5,4))</f>
      </c>
      <c r="AD5" s="543" t="str">
        <f>CONCATENATE("Q4","-",RIGHT(AC5,4))</f>
      </c>
      <c r="AE5" s="930" t="str">
        <f>CONCATENATE("FY",RIGHT(Z5,4)+1)</f>
      </c>
      <c r="AF5" s="635" t="str">
        <f>CONCATENATE("Q1","-",RIGHT(AE5,4)+1)</f>
      </c>
      <c r="AG5" s="635" t="str">
        <f>CONCATENATE("Q2","-",RIGHT(AF5,4))</f>
      </c>
      <c r="AH5" s="543" t="str">
        <f>CONCATENATE("Q3","-",RIGHT(AG5,4))</f>
      </c>
      <c r="AI5" s="543" t="str">
        <f>CONCATENATE("Q4","-",RIGHT(AH5,4))</f>
      </c>
      <c r="AJ5" s="930" t="str">
        <f>CONCATENATE("FY",RIGHT(AE5,4)+1)</f>
      </c>
      <c r="AK5" s="635" t="str">
        <f>CONCATENATE("Q1","-",RIGHT(AJ5,4)+1)</f>
      </c>
      <c r="AL5" s="635" t="str">
        <f>CONCATENATE("Q2","-",RIGHT(AK5,4))</f>
      </c>
      <c r="AM5" s="543" t="str">
        <f>CONCATENATE("Q3","-",RIGHT(AL5,4))</f>
      </c>
      <c r="AN5" s="543" t="str">
        <f>CONCATENATE("Q4","-",RIGHT(AM5,4))</f>
      </c>
      <c r="AO5" s="930" t="str">
        <f>CONCATENATE("FY",RIGHT(AJ5,4)+1)</f>
      </c>
      <c r="AP5" s="635" t="str">
        <f>CONCATENATE("Q1","-",RIGHT(AO5,4)+1)</f>
      </c>
      <c r="AQ5" s="635" t="str">
        <f>CONCATENATE("Q2","-",RIGHT(AP5,4))</f>
      </c>
      <c r="AR5" s="543" t="str">
        <f>CONCATENATE("Q3","-",RIGHT(AQ5,4))</f>
      </c>
      <c r="AS5" s="543" t="str">
        <f>CONCATENATE("Q4","-",RIGHT(AR5,4))</f>
      </c>
      <c r="AT5" s="930" t="str">
        <f>CONCATENATE("FY",RIGHT(AO5,4)+1)</f>
      </c>
      <c r="AU5" s="635" t="str">
        <f>CONCATENATE("Q1","-",RIGHT(AT5,4)+1)</f>
      </c>
      <c r="AV5" s="635" t="str">
        <f>CONCATENATE("Q2","-",RIGHT(AU5,4))</f>
      </c>
      <c r="AW5" s="543" t="str">
        <f>CONCATENATE("Q3","-",RIGHT(AV5,4))</f>
      </c>
      <c r="AX5" s="543" t="str">
        <f>CONCATENATE("Q4","-",RIGHT(AW5,4))</f>
      </c>
      <c r="AY5" s="930" t="str">
        <f>CONCATENATE("FY",RIGHT(AT5,4)+1)</f>
      </c>
      <c r="AZ5" s="635" t="str">
        <f>CONCATENATE("Q1","-",RIGHT(AY5,4)+1)</f>
      </c>
      <c r="BA5" s="543" t="str">
        <f>CONCATENATE("Q2","-",RIGHT(AZ5,4))</f>
      </c>
      <c r="BB5" s="543" t="str">
        <f>CONCATENATE("Q3","-",RIGHT(BA5,4))</f>
      </c>
      <c r="BC5" s="543" t="str">
        <f>CONCATENATE("Q4","-",RIGHT(BB5,4))</f>
      </c>
      <c r="BD5" s="930" t="str">
        <f>CONCATENATE("FY",RIGHT(AY5,4)+1)</f>
      </c>
      <c r="BE5" s="635" t="str">
        <f>CONCATENATE("Q1","-",RIGHT(BD5,4)+1)</f>
      </c>
      <c r="BF5" s="543" t="str">
        <f>CONCATENATE("Q2","-",RIGHT(BE5,4))</f>
      </c>
      <c r="BG5" s="543" t="str">
        <f>CONCATENATE("Q3","-",RIGHT(BF5,4))</f>
      </c>
      <c r="BH5" s="543" t="str">
        <f>CONCATENATE("Q4","-",RIGHT(BG5,4))</f>
      </c>
      <c r="BI5" s="930" t="str">
        <f>CONCATENATE("FY",RIGHT(BD5,4)+1)</f>
      </c>
      <c r="BJ5" s="635" t="str">
        <f>CONCATENATE("Q1","-",RIGHT(BI5,4)+1)</f>
      </c>
      <c r="BK5" s="543" t="str">
        <f>CONCATENATE("Q2","-",RIGHT(BJ5,4))</f>
      </c>
      <c r="BL5" s="543" t="str">
        <f>CONCATENATE("Q3","-",RIGHT(BK5,4))</f>
      </c>
      <c r="BM5" s="543" t="str">
        <f>CONCATENATE("Q4","-",RIGHT(BL5,4))</f>
      </c>
      <c r="BN5" s="930" t="str">
        <f>CONCATENATE("FY",RIGHT(BI5,4)+1)</f>
      </c>
      <c r="BO5" s="635" t="str">
        <f>CONCATENATE("Q1","-",RIGHT(BN5,4)+1)</f>
      </c>
      <c r="BP5" s="543" t="str">
        <f>CONCATENATE("Q2","-",RIGHT(BO5,4))</f>
      </c>
      <c r="BQ5" s="543" t="str">
        <f>CONCATENATE("Q3","-",RIGHT(BP5,4))</f>
      </c>
      <c r="BR5" s="543" t="str">
        <f>CONCATENATE("Q4","-",RIGHT(BQ5,4))</f>
      </c>
      <c r="BS5" s="930" t="str">
        <f>CONCATENATE("FY",RIGHT(BN5,4)+1)</f>
      </c>
      <c r="BT5" s="660" t="str">
        <f>CONCATENATE("Q1","-",RIGHT(BS5,4)+1)</f>
      </c>
      <c r="BU5" s="543" t="str">
        <f>CONCATENATE("Q2","-",RIGHT(BT5,4))</f>
      </c>
      <c r="BV5" s="543" t="str">
        <f>CONCATENATE("Q3","-",RIGHT(BU5,4))</f>
      </c>
      <c r="BW5" s="543" t="str">
        <f>CONCATENATE("Q4","-",RIGHT(BV5,4))</f>
      </c>
      <c r="BX5" s="930" t="str">
        <f>CONCATENATE("FY",RIGHT(BS5,4)+1)</f>
      </c>
      <c r="BY5" s="543" t="str">
        <f>CONCATENATE("Q1","-",RIGHT(BX5,4)+1)</f>
      </c>
      <c r="BZ5" s="543" t="str">
        <f>CONCATENATE("Q2","-",RIGHT(BY5,4))</f>
      </c>
      <c r="CA5" s="543" t="str">
        <f>CONCATENATE("Q3","-",RIGHT(BZ5,4))</f>
      </c>
      <c r="CB5" s="543" t="str">
        <f>CONCATENATE("Q4","-",RIGHT(CA5,4))</f>
      </c>
      <c r="CC5" s="930" t="str">
        <f>CONCATENATE("FY",RIGHT(BX5,4)+1)</f>
      </c>
      <c r="CD5" s="930" t="str">
        <f>CONCATENATE("FY",RIGHT(CC5,4)+1)</f>
      </c>
      <c r="CE5" s="930" t="str">
        <f>CONCATENATE("FY",RIGHT(CD5,4)+1)</f>
      </c>
      <c r="CF5" s="930" t="str">
        <f>CONCATENATE("FY",RIGHT(CE5,4)+1)</f>
      </c>
      <c r="CG5" s="135"/>
    </row>
    <row r="6" spans="1:85" x14ac:dyDescent="0.3">
      <c r="A6" s="754" t="s">
        <v>594</v>
      </c>
      <c r="B6" s="754"/>
      <c r="C6" s="754"/>
      <c r="D6" s="754"/>
      <c r="E6" s="754"/>
      <c r="F6" s="754"/>
      <c r="G6" s="754"/>
      <c r="H6" s="754"/>
      <c r="I6" s="754"/>
      <c r="J6" s="754"/>
      <c r="K6" s="754"/>
      <c r="L6" s="754"/>
      <c r="M6" s="754"/>
      <c r="N6" s="754"/>
      <c r="O6" s="754"/>
      <c r="P6" s="754"/>
      <c r="Q6" s="754"/>
      <c r="R6" s="754"/>
      <c r="S6" s="754"/>
      <c r="T6" s="754"/>
      <c r="U6" s="754"/>
      <c r="V6" s="754"/>
      <c r="W6" s="754"/>
      <c r="X6" s="754"/>
      <c r="Y6" s="754"/>
      <c r="Z6" s="754"/>
      <c r="AA6" s="754"/>
      <c r="AB6" s="754"/>
      <c r="AC6" s="754"/>
      <c r="AD6" s="754"/>
      <c r="AE6" s="754"/>
      <c r="AF6" s="754"/>
      <c r="AG6" s="754"/>
      <c r="AH6" s="754"/>
      <c r="AI6" s="754"/>
      <c r="AJ6" s="754"/>
      <c r="AK6" s="754"/>
      <c r="AL6" s="754"/>
      <c r="AM6" s="754"/>
      <c r="AN6" s="754"/>
      <c r="AO6" s="754"/>
      <c r="AP6" s="754"/>
      <c r="AQ6" s="754"/>
      <c r="AR6" s="754"/>
      <c r="AS6" s="754"/>
      <c r="AT6" s="754"/>
      <c r="AU6" s="754"/>
      <c r="AV6" s="754"/>
      <c r="AW6" s="754"/>
      <c r="AX6" s="754"/>
      <c r="AY6" s="754"/>
      <c r="AZ6" s="754"/>
      <c r="BA6" s="754"/>
      <c r="BB6" s="754"/>
      <c r="BC6" s="754"/>
      <c r="BD6" s="754"/>
      <c r="BE6" s="754"/>
      <c r="BF6" s="754"/>
      <c r="BG6" s="754"/>
      <c r="BH6" s="754"/>
      <c r="BI6" s="754"/>
      <c r="BJ6" s="754"/>
      <c r="BK6" s="754"/>
      <c r="BL6" s="754"/>
      <c r="BM6" s="754"/>
      <c r="BN6" s="754"/>
      <c r="BO6" s="754"/>
      <c r="BP6" s="754"/>
      <c r="BQ6" s="754"/>
      <c r="BR6" s="754"/>
      <c r="BS6" s="754"/>
      <c r="BT6" s="755"/>
      <c r="BU6" s="754"/>
      <c r="BV6" s="754"/>
      <c r="BW6" s="754"/>
      <c r="BX6" s="754"/>
      <c r="BY6" s="754"/>
      <c r="BZ6" s="754"/>
      <c r="CA6" s="754"/>
      <c r="CB6" s="754"/>
      <c r="CC6" s="754"/>
      <c r="CD6" s="754"/>
      <c r="CE6" s="754"/>
      <c r="CF6" s="754"/>
      <c r="CG6" s="183"/>
    </row>
    <row r="7" spans="1:85" s="581" customFormat="1" x14ac:dyDescent="0.3">
      <c r="A7" s="244" t="s">
        <v>695</v>
      </c>
      <c r="B7" s="354"/>
      <c r="C7" s="931"/>
      <c r="D7" s="931"/>
      <c r="E7" s="931"/>
      <c r="F7" s="931"/>
      <c r="G7" s="215">
        <f>F9</f>
      </c>
      <c r="H7" s="215">
        <f t="shared" ref="H7:O7" si="1">G9</f>
      </c>
      <c r="I7" s="215">
        <f t="shared" si="1"/>
      </c>
      <c r="J7" s="215">
        <f t="shared" si="1"/>
      </c>
      <c r="K7" s="931">
        <f>F9</f>
      </c>
      <c r="L7" s="215">
        <f>K9</f>
      </c>
      <c r="M7" s="215">
        <f t="shared" si="1"/>
      </c>
      <c r="N7" s="215">
        <f t="shared" si="1"/>
      </c>
      <c r="O7" s="215">
        <f t="shared" si="1"/>
      </c>
      <c r="P7" s="931">
        <f>K9</f>
      </c>
      <c r="Q7" s="215">
        <f>P9</f>
      </c>
      <c r="R7" s="215">
        <f t="shared" ref="R7:T7" si="2">Q9</f>
      </c>
      <c r="S7" s="215">
        <f t="shared" si="2"/>
      </c>
      <c r="T7" s="215">
        <f t="shared" si="2"/>
      </c>
      <c r="U7" s="931">
        <f>P9</f>
      </c>
      <c r="V7" s="215">
        <f>U9</f>
      </c>
      <c r="W7" s="215">
        <f t="shared" ref="W7:Y7" si="3">V9</f>
      </c>
      <c r="X7" s="215">
        <f t="shared" si="3"/>
      </c>
      <c r="Y7" s="215">
        <f t="shared" si="3"/>
      </c>
      <c r="Z7" s="931">
        <f>U9</f>
      </c>
      <c r="AA7" s="215">
        <f>Z9</f>
      </c>
      <c r="AB7" s="215">
        <f t="shared" ref="AB7:AD7" si="4">AA9</f>
      </c>
      <c r="AC7" s="215">
        <f t="shared" si="4"/>
      </c>
      <c r="AD7" s="215">
        <f t="shared" si="4"/>
      </c>
      <c r="AE7" s="931">
        <f>Z9</f>
      </c>
      <c r="AF7" s="215">
        <f>AE9</f>
      </c>
      <c r="AG7" s="215">
        <f t="shared" ref="AG7:AI7" si="5">AF9</f>
      </c>
      <c r="AH7" s="215">
        <f t="shared" si="5"/>
      </c>
      <c r="AI7" s="215">
        <f t="shared" si="5"/>
      </c>
      <c r="AJ7" s="931">
        <f>AE9</f>
      </c>
      <c r="AK7" s="215">
        <f>AJ9</f>
      </c>
      <c r="AL7" s="215">
        <f t="shared" ref="AL7:AN7" si="6">AK9</f>
      </c>
      <c r="AM7" s="215">
        <f t="shared" si="6"/>
      </c>
      <c r="AN7" s="215">
        <f t="shared" si="6"/>
      </c>
      <c r="AO7" s="931">
        <f>AJ9</f>
      </c>
      <c r="AP7" s="215">
        <f>AO9</f>
      </c>
      <c r="AQ7" s="215">
        <f t="shared" ref="AQ7:AS7" si="7">AP9</f>
      </c>
      <c r="AR7" s="215">
        <f t="shared" si="7"/>
      </c>
      <c r="AS7" s="215">
        <f t="shared" si="7"/>
      </c>
      <c r="AT7" s="931">
        <f>AO9</f>
      </c>
      <c r="AU7" s="215">
        <f>AT9</f>
      </c>
      <c r="AV7" s="215">
        <f t="shared" ref="AV7:AW7" si="8">AU9</f>
      </c>
      <c r="AW7" s="215">
        <f t="shared" si="8"/>
      </c>
      <c r="AX7" s="215">
        <f>AW9</f>
      </c>
      <c r="AY7" s="931">
        <f>AT9</f>
      </c>
      <c r="AZ7" s="215">
        <f>AY9</f>
      </c>
      <c r="BA7" s="215">
        <f>AZ9</f>
      </c>
      <c r="BB7" s="215">
        <f>BA9</f>
      </c>
      <c r="BC7" s="215">
        <f>BB9</f>
      </c>
      <c r="BD7" s="931">
        <f>AY9</f>
      </c>
      <c r="BE7" s="215">
        <f>BD9</f>
      </c>
      <c r="BF7" s="215">
        <f>BE9</f>
      </c>
      <c r="BG7" s="215">
        <f>BF9</f>
      </c>
      <c r="BH7" s="215">
        <f>BG9</f>
      </c>
      <c r="BI7" s="931">
        <f>BD9</f>
      </c>
      <c r="BJ7" s="215">
        <f>BI9</f>
      </c>
      <c r="BK7" s="215">
        <f>BJ9</f>
      </c>
      <c r="BL7" s="215">
        <f>BK9</f>
      </c>
      <c r="BM7" s="215">
        <f>BL9</f>
      </c>
      <c r="BN7" s="931">
        <f>BI9</f>
      </c>
      <c r="BO7" s="215">
        <f>BN9</f>
      </c>
      <c r="BP7" s="215">
        <f>BO9</f>
      </c>
      <c r="BQ7" s="215">
        <f>BP9</f>
      </c>
      <c r="BR7" s="215">
        <f>BQ9</f>
      </c>
      <c r="BS7" s="931">
        <f>BN9</f>
      </c>
      <c r="BT7" s="661">
        <f>BS9</f>
      </c>
      <c r="BU7" s="215">
        <f>BT9</f>
      </c>
      <c r="BV7" s="215">
        <f>BU9</f>
      </c>
      <c r="BW7" s="215">
        <f>BV9</f>
      </c>
      <c r="BX7" s="931">
        <f>BS9</f>
      </c>
      <c r="BY7" s="215">
        <f>BX9</f>
      </c>
      <c r="BZ7" s="215">
        <f>BY9</f>
      </c>
      <c r="CA7" s="215">
        <f>BZ9</f>
      </c>
      <c r="CB7" s="215">
        <f>CA9</f>
      </c>
      <c r="CC7" s="931">
        <f>BX9</f>
      </c>
      <c r="CD7" s="931">
        <f>CC9</f>
      </c>
      <c r="CE7" s="931">
        <f>CD9</f>
      </c>
      <c r="CF7" s="931">
        <f>CE9</f>
      </c>
      <c r="CG7" s="24"/>
    </row>
    <row r="8" spans="1:85" s="582" customFormat="1" x14ac:dyDescent="0.3">
      <c r="A8" s="329" t="s">
        <v>696</v>
      </c>
      <c r="B8" s="387"/>
      <c r="C8" s="932"/>
      <c r="D8" s="932"/>
      <c r="E8" s="932"/>
      <c r="F8" s="932"/>
      <c r="G8" s="388">
        <f t="shared" ref="G8:Y8" si="9">G9-G7</f>
      </c>
      <c r="H8" s="388">
        <f t="shared" si="9"/>
      </c>
      <c r="I8" s="388">
        <f t="shared" si="9"/>
      </c>
      <c r="J8" s="388">
        <f t="shared" si="9"/>
      </c>
      <c r="K8" s="932">
        <f t="shared" si="9"/>
      </c>
      <c r="L8" s="388">
        <f t="shared" si="9"/>
      </c>
      <c r="M8" s="388">
        <f t="shared" si="9"/>
      </c>
      <c r="N8" s="388">
        <f t="shared" si="9"/>
      </c>
      <c r="O8" s="388">
        <f t="shared" si="9"/>
      </c>
      <c r="P8" s="932">
        <f t="shared" si="9"/>
      </c>
      <c r="Q8" s="388">
        <f t="shared" si="9"/>
      </c>
      <c r="R8" s="388">
        <f t="shared" si="9"/>
      </c>
      <c r="S8" s="388">
        <f t="shared" si="9"/>
      </c>
      <c r="T8" s="388">
        <f t="shared" si="9"/>
      </c>
      <c r="U8" s="932">
        <f t="shared" si="9"/>
      </c>
      <c r="V8" s="388">
        <f t="shared" si="9"/>
      </c>
      <c r="W8" s="388">
        <f t="shared" si="9"/>
      </c>
      <c r="X8" s="388">
        <f t="shared" si="9"/>
      </c>
      <c r="Y8" s="388">
        <f t="shared" si="9"/>
      </c>
      <c r="Z8" s="932">
        <f>Z9-Z7</f>
      </c>
      <c r="AA8" s="388">
        <f t="shared" ref="AA8:AW8" si="10">AA9-AA7</f>
      </c>
      <c r="AB8" s="388">
        <f t="shared" si="10"/>
      </c>
      <c r="AC8" s="388">
        <f t="shared" si="10"/>
      </c>
      <c r="AD8" s="388">
        <f t="shared" si="10"/>
      </c>
      <c r="AE8" s="932">
        <f t="shared" si="10"/>
      </c>
      <c r="AF8" s="388">
        <f t="shared" si="10"/>
      </c>
      <c r="AG8" s="388">
        <f t="shared" si="10"/>
      </c>
      <c r="AH8" s="388">
        <f t="shared" si="10"/>
      </c>
      <c r="AI8" s="388">
        <f t="shared" si="10"/>
      </c>
      <c r="AJ8" s="932">
        <f t="shared" si="10"/>
      </c>
      <c r="AK8" s="388">
        <f t="shared" si="10"/>
      </c>
      <c r="AL8" s="388">
        <f t="shared" si="10"/>
      </c>
      <c r="AM8" s="388">
        <f t="shared" si="10"/>
      </c>
      <c r="AN8" s="388">
        <f t="shared" si="10"/>
      </c>
      <c r="AO8" s="932">
        <f t="shared" si="10"/>
      </c>
      <c r="AP8" s="388">
        <f t="shared" si="10"/>
      </c>
      <c r="AQ8" s="388">
        <f t="shared" si="10"/>
      </c>
      <c r="AR8" s="388">
        <f t="shared" si="10"/>
      </c>
      <c r="AS8" s="388">
        <f t="shared" si="10"/>
      </c>
      <c r="AT8" s="932">
        <f t="shared" si="10"/>
      </c>
      <c r="AU8" s="388">
        <f t="shared" si="10"/>
      </c>
      <c r="AV8" s="388">
        <f t="shared" si="10"/>
      </c>
      <c r="AW8" s="388">
        <f t="shared" si="10"/>
      </c>
      <c r="AX8" s="388">
        <f t="shared" ref="AX8:BD8" si="11">AX9-AX7</f>
      </c>
      <c r="AY8" s="932">
        <f t="shared" si="11"/>
      </c>
      <c r="AZ8" s="388">
        <f t="shared" si="11"/>
      </c>
      <c r="BA8" s="388">
        <f t="shared" si="11"/>
      </c>
      <c r="BB8" s="388">
        <f t="shared" si="11"/>
      </c>
      <c r="BC8" s="388">
        <f t="shared" si="11"/>
      </c>
      <c r="BD8" s="932">
        <f t="shared" si="11"/>
      </c>
      <c r="BE8" s="388">
        <f t="shared" ref="BE8:BI8" si="12">BE9-BE7</f>
      </c>
      <c r="BF8" s="388">
        <f t="shared" si="12"/>
      </c>
      <c r="BG8" s="388">
        <f t="shared" si="12"/>
      </c>
      <c r="BH8" s="388">
        <f t="shared" si="12"/>
      </c>
      <c r="BI8" s="932">
        <f t="shared" si="12"/>
      </c>
      <c r="BJ8" s="388">
        <f t="shared" ref="BJ8:BX8" si="13">BJ9-BJ7</f>
      </c>
      <c r="BK8" s="388">
        <f t="shared" si="13"/>
      </c>
      <c r="BL8" s="388">
        <f t="shared" si="13"/>
      </c>
      <c r="BM8" s="388">
        <f t="shared" si="13"/>
      </c>
      <c r="BN8" s="932">
        <f t="shared" si="13"/>
      </c>
      <c r="BO8" s="388">
        <f t="shared" ref="BO8:BW8" si="14">BO9-BO7</f>
      </c>
      <c r="BP8" s="388">
        <f t="shared" si="14"/>
      </c>
      <c r="BQ8" s="388">
        <f t="shared" si="14"/>
      </c>
      <c r="BR8" s="388">
        <f t="shared" si="14"/>
      </c>
      <c r="BS8" s="932">
        <f t="shared" si="14"/>
      </c>
      <c r="BT8" s="662">
        <f>BT9-BT7</f>
      </c>
      <c r="BU8" s="388">
        <f t="shared" si="14"/>
      </c>
      <c r="BV8" s="388">
        <f t="shared" si="14"/>
      </c>
      <c r="BW8" s="388">
        <f t="shared" si="14"/>
      </c>
      <c r="BX8" s="932">
        <f t="shared" si="13"/>
      </c>
      <c r="BY8" s="388">
        <f t="shared" ref="BY8:CF8" si="15">BY9-BY7</f>
      </c>
      <c r="BZ8" s="388">
        <f t="shared" si="15"/>
      </c>
      <c r="CA8" s="388">
        <f t="shared" si="15"/>
      </c>
      <c r="CB8" s="388">
        <f t="shared" si="15"/>
      </c>
      <c r="CC8" s="932">
        <f t="shared" si="15"/>
      </c>
      <c r="CD8" s="932">
        <f t="shared" si="15"/>
      </c>
      <c r="CE8" s="932">
        <f t="shared" si="15"/>
      </c>
      <c r="CF8" s="932">
        <f t="shared" si="15"/>
      </c>
      <c r="CG8" s="131"/>
    </row>
    <row r="9" spans="1:85" x14ac:dyDescent="0.3">
      <c r="A9" s="188" t="s">
        <v>2184</v>
      </c>
      <c r="B9" s="245"/>
      <c r="C9" s="933"/>
      <c r="D9" s="933"/>
      <c r="E9" s="933"/>
      <c r="F9" s="933">
        <f t="shared" ref="F9:AK9" si="16">F150</f>
      </c>
      <c r="G9" s="200">
        <f t="shared" si="16"/>
      </c>
      <c r="H9" s="200">
        <f t="shared" si="16"/>
      </c>
      <c r="I9" s="200">
        <f t="shared" si="16"/>
      </c>
      <c r="J9" s="200">
        <f t="shared" si="16"/>
      </c>
      <c r="K9" s="933">
        <f t="shared" si="16"/>
      </c>
      <c r="L9" s="200">
        <f t="shared" si="16"/>
      </c>
      <c r="M9" s="200">
        <f t="shared" si="16"/>
      </c>
      <c r="N9" s="200">
        <f t="shared" si="16"/>
      </c>
      <c r="O9" s="200">
        <f t="shared" si="16"/>
      </c>
      <c r="P9" s="933">
        <f t="shared" si="16"/>
      </c>
      <c r="Q9" s="200">
        <f t="shared" si="16"/>
      </c>
      <c r="R9" s="200">
        <f t="shared" si="16"/>
      </c>
      <c r="S9" s="200">
        <f t="shared" si="16"/>
      </c>
      <c r="T9" s="200">
        <f t="shared" si="16"/>
      </c>
      <c r="U9" s="933">
        <f t="shared" si="16"/>
      </c>
      <c r="V9" s="200">
        <f t="shared" si="16"/>
      </c>
      <c r="W9" s="200">
        <f t="shared" si="16"/>
      </c>
      <c r="X9" s="200">
        <f t="shared" si="16"/>
      </c>
      <c r="Y9" s="200">
        <f t="shared" si="16"/>
      </c>
      <c r="Z9" s="933">
        <f t="shared" si="16"/>
      </c>
      <c r="AA9" s="24">
        <f t="shared" si="16"/>
      </c>
      <c r="AB9" s="24">
        <f t="shared" si="16"/>
      </c>
      <c r="AC9" s="24">
        <f t="shared" si="16"/>
      </c>
      <c r="AD9" s="24">
        <f t="shared" si="16"/>
      </c>
      <c r="AE9" s="934">
        <f t="shared" si="16"/>
      </c>
      <c r="AF9" s="24">
        <f t="shared" si="16"/>
      </c>
      <c r="AG9" s="24">
        <f t="shared" si="16"/>
      </c>
      <c r="AH9" s="24">
        <f t="shared" si="16"/>
      </c>
      <c r="AI9" s="24">
        <f t="shared" si="16"/>
      </c>
      <c r="AJ9" s="934">
        <f t="shared" si="16"/>
      </c>
      <c r="AK9" s="24">
        <f t="shared" si="16"/>
      </c>
      <c r="AL9" s="24">
        <f t="shared" ref="AL9:AW9" si="17">AL150</f>
      </c>
      <c r="AM9" s="24">
        <f t="shared" si="17"/>
      </c>
      <c r="AN9" s="24">
        <f t="shared" si="17"/>
      </c>
      <c r="AO9" s="934">
        <f t="shared" si="17"/>
      </c>
      <c r="AP9" s="24">
        <f t="shared" si="17"/>
      </c>
      <c r="AQ9" s="24">
        <f t="shared" si="17"/>
      </c>
      <c r="AR9" s="24">
        <f t="shared" si="17"/>
      </c>
      <c r="AS9" s="24">
        <f t="shared" si="17"/>
      </c>
      <c r="AT9" s="934">
        <f t="shared" si="17"/>
      </c>
      <c r="AU9" s="24">
        <f t="shared" si="17"/>
      </c>
      <c r="AV9" s="24">
        <f t="shared" si="17"/>
      </c>
      <c r="AW9" s="24">
        <f t="shared" si="17"/>
      </c>
      <c r="AX9" s="24">
        <f t="shared" ref="AX9:BD9" si="18">AX150</f>
      </c>
      <c r="AY9" s="934">
        <f t="shared" si="18"/>
      </c>
      <c r="AZ9" s="24">
        <f t="shared" si="18"/>
      </c>
      <c r="BA9" s="24">
        <f t="shared" si="18"/>
      </c>
      <c r="BB9" s="24">
        <f t="shared" si="18"/>
      </c>
      <c r="BC9" s="24">
        <f t="shared" si="18"/>
      </c>
      <c r="BD9" s="934">
        <f t="shared" si="18"/>
      </c>
      <c r="BE9" s="24">
        <f t="shared" ref="BE9:BI9" si="19">BE150</f>
      </c>
      <c r="BF9" s="24">
        <f t="shared" si="19"/>
      </c>
      <c r="BG9" s="24">
        <f t="shared" si="19"/>
      </c>
      <c r="BH9" s="24">
        <f t="shared" si="19"/>
      </c>
      <c r="BI9" s="934">
        <f t="shared" si="19"/>
      </c>
      <c r="BJ9" s="24">
        <f t="shared" ref="BJ9:BX9" si="20">BJ150</f>
      </c>
      <c r="BK9" s="24">
        <f t="shared" si="20"/>
      </c>
      <c r="BL9" s="24">
        <f t="shared" si="20"/>
      </c>
      <c r="BM9" s="24">
        <f t="shared" si="20"/>
      </c>
      <c r="BN9" s="934">
        <f t="shared" si="20"/>
      </c>
      <c r="BO9" s="200">
        <f t="shared" ref="BO9:BW9" si="21">BO150</f>
      </c>
      <c r="BP9" s="200">
        <f t="shared" si="21"/>
      </c>
      <c r="BQ9" s="200">
        <f t="shared" si="21"/>
      </c>
      <c r="BR9" s="847">
        <v>325000</v>
      </c>
      <c r="BS9" s="934">
        <f>BR9</f>
      </c>
      <c r="BT9" s="295">
        <f t="shared" si="21"/>
      </c>
      <c r="BU9" s="200">
        <f t="shared" si="21"/>
      </c>
      <c r="BV9" s="200">
        <f t="shared" si="21"/>
      </c>
      <c r="BW9" s="200">
        <f t="shared" si="21"/>
      </c>
      <c r="BX9" s="933">
        <f t="shared" si="20"/>
      </c>
      <c r="BY9" s="200">
        <f t="shared" ref="BY9:CF9" si="22">BY150</f>
      </c>
      <c r="BZ9" s="200">
        <f t="shared" si="22"/>
      </c>
      <c r="CA9" s="200">
        <f t="shared" si="22"/>
      </c>
      <c r="CB9" s="200">
        <f t="shared" si="22"/>
      </c>
      <c r="CC9" s="933">
        <f t="shared" si="22"/>
      </c>
      <c r="CD9" s="933">
        <f t="shared" si="22"/>
      </c>
      <c r="CE9" s="933">
        <f t="shared" si="22"/>
      </c>
      <c r="CF9" s="933">
        <f t="shared" si="22"/>
      </c>
      <c r="CG9" s="24"/>
    </row>
    <row r="10" spans="1:85" x14ac:dyDescent="0.3">
      <c r="A10" s="310" t="s">
        <v>611</v>
      </c>
      <c r="B10" s="309"/>
      <c r="C10" s="935"/>
      <c r="D10" s="935"/>
      <c r="E10" s="935"/>
      <c r="F10" s="935"/>
      <c r="G10" s="58"/>
      <c r="H10" s="58">
        <f>H9/G9-1</f>
      </c>
      <c r="I10" s="58">
        <f>I9/H9-1</f>
      </c>
      <c r="J10" s="58">
        <f>J9/I9-1</f>
      </c>
      <c r="K10" s="935"/>
      <c r="L10" s="58">
        <f>L9/J9-1</f>
      </c>
      <c r="M10" s="58">
        <f>M9/L9-1</f>
      </c>
      <c r="N10" s="58">
        <f>N9/M9-1</f>
      </c>
      <c r="O10" s="58">
        <f>O9/N9-1</f>
      </c>
      <c r="P10" s="935"/>
      <c r="Q10" s="58">
        <f>Q9/O9-1</f>
      </c>
      <c r="R10" s="58">
        <f>R9/Q9-1</f>
      </c>
      <c r="S10" s="58">
        <f>S9/R9-1</f>
      </c>
      <c r="T10" s="58">
        <f>T9/S9-1</f>
      </c>
      <c r="U10" s="935"/>
      <c r="V10" s="58">
        <f>V9/T9-1</f>
      </c>
      <c r="W10" s="58">
        <f>W9/V9-1</f>
      </c>
      <c r="X10" s="58">
        <f>X9/W9-1</f>
      </c>
      <c r="Y10" s="58">
        <f>Y9/X9-1</f>
      </c>
      <c r="Z10" s="935"/>
      <c r="AA10" s="308">
        <f>AA9/Y9-1</f>
      </c>
      <c r="AB10" s="308">
        <f>AB9/AA9-1</f>
      </c>
      <c r="AC10" s="308">
        <f>AC9/AB9-1</f>
      </c>
      <c r="AD10" s="308">
        <f>AD9/AC9-1</f>
      </c>
      <c r="AE10" s="935"/>
      <c r="AF10" s="308">
        <f>AF9/AD9-1</f>
      </c>
      <c r="AG10" s="308">
        <f>AG9/AF9-1</f>
      </c>
      <c r="AH10" s="308">
        <f>AH9/AG9-1</f>
      </c>
      <c r="AI10" s="308">
        <f>AI9/AH9-1</f>
      </c>
      <c r="AJ10" s="935"/>
      <c r="AK10" s="308">
        <f>AK9/AI9-1</f>
      </c>
      <c r="AL10" s="308">
        <f>AL9/AK9-1</f>
      </c>
      <c r="AM10" s="308">
        <f>AM9/AL9-1</f>
      </c>
      <c r="AN10" s="308">
        <f>AN9/AM9-1</f>
      </c>
      <c r="AO10" s="935"/>
      <c r="AP10" s="308">
        <f>AP9/AN9-1</f>
      </c>
      <c r="AQ10" s="308">
        <f>AQ9/AP9-1</f>
      </c>
      <c r="AR10" s="308">
        <f>AR9/AQ9-1</f>
      </c>
      <c r="AS10" s="308">
        <f>AS9/AR9-1</f>
      </c>
      <c r="AT10" s="935"/>
      <c r="AU10" s="308">
        <f>AU9/AS9-1</f>
      </c>
      <c r="AV10" s="308">
        <f>AV9/AU9-1</f>
      </c>
      <c r="AW10" s="308">
        <f>AW9/AV9-1</f>
      </c>
      <c r="AX10" s="308">
        <f>AX9/AW9-1</f>
      </c>
      <c r="AY10" s="935"/>
      <c r="AZ10" s="308">
        <f>AZ9/AX9-1</f>
      </c>
      <c r="BA10" s="308">
        <f>BA9/AZ9-1</f>
      </c>
      <c r="BB10" s="308">
        <f>BB9/BA9-1</f>
      </c>
      <c r="BC10" s="308">
        <f>BC9/BB9-1</f>
      </c>
      <c r="BD10" s="935"/>
      <c r="BE10" s="308">
        <f>BE9/BC9-1</f>
      </c>
      <c r="BF10" s="308">
        <f>BF9/BE9-1</f>
      </c>
      <c r="BG10" s="308">
        <f>BG9/BF9-1</f>
      </c>
      <c r="BH10" s="308">
        <f>BH9/BG9-1</f>
      </c>
      <c r="BI10" s="935"/>
      <c r="BJ10" s="308">
        <f>BJ9/BH9-1</f>
      </c>
      <c r="BK10" s="308">
        <f>BK9/BJ9-1</f>
      </c>
      <c r="BL10" s="308">
        <f>BL9/BK9-1</f>
      </c>
      <c r="BM10" s="308">
        <f>BM9/BL9-1</f>
      </c>
      <c r="BN10" s="935"/>
      <c r="BO10" s="308">
        <f>BO9/BM9-1</f>
      </c>
      <c r="BP10" s="308">
        <f>BP9/BO9-1</f>
      </c>
      <c r="BQ10" s="308">
        <f>BQ9/BP9-1</f>
      </c>
      <c r="BR10" s="308">
        <f>BR9/BQ9-1</f>
      </c>
      <c r="BS10" s="935"/>
      <c r="BT10" s="663">
        <f>BT9/BR9-1</f>
      </c>
      <c r="BU10" s="58">
        <f>BU9/BT9-1</f>
      </c>
      <c r="BV10" s="58">
        <f>BV9/BU9-1</f>
      </c>
      <c r="BW10" s="58">
        <f>BW9/BV9-1</f>
      </c>
      <c r="BX10" s="935"/>
      <c r="BY10" s="58">
        <f>BY9/BW9-1</f>
      </c>
      <c r="BZ10" s="58">
        <f>BZ9/BY9-1</f>
      </c>
      <c r="CA10" s="58">
        <f>CA9/BZ9-1</f>
      </c>
      <c r="CB10" s="58">
        <f>CB9/CA9-1</f>
      </c>
      <c r="CC10" s="935"/>
      <c r="CD10" s="935"/>
      <c r="CE10" s="935"/>
      <c r="CF10" s="935"/>
      <c r="CG10" s="24"/>
    </row>
    <row r="11" spans="1:85" s="583" customFormat="1" x14ac:dyDescent="0.3">
      <c r="A11" s="771" t="s">
        <v>612</v>
      </c>
      <c r="B11" s="305"/>
      <c r="C11" s="936"/>
      <c r="D11" s="936"/>
      <c r="E11" s="936"/>
      <c r="F11" s="936"/>
      <c r="G11" s="446"/>
      <c r="H11" s="446"/>
      <c r="I11" s="446"/>
      <c r="J11" s="446"/>
      <c r="K11" s="936">
        <f t="shared" ref="K11:AW11" si="23">K9/F9-1</f>
      </c>
      <c r="L11" s="446">
        <f t="shared" si="23"/>
      </c>
      <c r="M11" s="446">
        <f t="shared" si="23"/>
      </c>
      <c r="N11" s="446">
        <f t="shared" si="23"/>
      </c>
      <c r="O11" s="446">
        <f t="shared" si="23"/>
      </c>
      <c r="P11" s="936">
        <f t="shared" si="23"/>
      </c>
      <c r="Q11" s="446">
        <f t="shared" si="23"/>
      </c>
      <c r="R11" s="446">
        <f t="shared" si="23"/>
      </c>
      <c r="S11" s="446">
        <f t="shared" si="23"/>
      </c>
      <c r="T11" s="446">
        <f t="shared" si="23"/>
      </c>
      <c r="U11" s="936">
        <f t="shared" si="23"/>
      </c>
      <c r="V11" s="446">
        <f t="shared" si="23"/>
      </c>
      <c r="W11" s="446">
        <f t="shared" si="23"/>
      </c>
      <c r="X11" s="446">
        <f t="shared" si="23"/>
      </c>
      <c r="Y11" s="446">
        <f t="shared" si="23"/>
      </c>
      <c r="Z11" s="936">
        <f t="shared" si="23"/>
      </c>
      <c r="AA11" s="446">
        <f t="shared" si="23"/>
      </c>
      <c r="AB11" s="446">
        <f t="shared" si="23"/>
      </c>
      <c r="AC11" s="446">
        <f t="shared" si="23"/>
      </c>
      <c r="AD11" s="446">
        <f t="shared" si="23"/>
      </c>
      <c r="AE11" s="936">
        <f t="shared" si="23"/>
      </c>
      <c r="AF11" s="619">
        <f t="shared" si="23"/>
      </c>
      <c r="AG11" s="619">
        <f t="shared" si="23"/>
      </c>
      <c r="AH11" s="619">
        <f t="shared" si="23"/>
      </c>
      <c r="AI11" s="619">
        <f t="shared" si="23"/>
      </c>
      <c r="AJ11" s="937">
        <f t="shared" si="23"/>
      </c>
      <c r="AK11" s="619">
        <f t="shared" si="23"/>
      </c>
      <c r="AL11" s="619">
        <f t="shared" si="23"/>
      </c>
      <c r="AM11" s="619">
        <f t="shared" si="23"/>
      </c>
      <c r="AN11" s="619">
        <f t="shared" si="23"/>
      </c>
      <c r="AO11" s="937">
        <f t="shared" si="23"/>
      </c>
      <c r="AP11" s="619">
        <f t="shared" si="23"/>
      </c>
      <c r="AQ11" s="619">
        <f t="shared" si="23"/>
      </c>
      <c r="AR11" s="619">
        <f t="shared" si="23"/>
      </c>
      <c r="AS11" s="619">
        <f t="shared" si="23"/>
      </c>
      <c r="AT11" s="937">
        <f t="shared" si="23"/>
      </c>
      <c r="AU11" s="619">
        <f t="shared" si="23"/>
      </c>
      <c r="AV11" s="619">
        <f t="shared" si="23"/>
      </c>
      <c r="AW11" s="619">
        <f t="shared" si="23"/>
      </c>
      <c r="AX11" s="619">
        <f t="shared" ref="AX11:BD11" si="24">AX9/AS9-1</f>
      </c>
      <c r="AY11" s="937">
        <f t="shared" si="24"/>
      </c>
      <c r="AZ11" s="619">
        <f t="shared" si="24"/>
      </c>
      <c r="BA11" s="619">
        <f t="shared" si="24"/>
      </c>
      <c r="BB11" s="619">
        <f t="shared" si="24"/>
      </c>
      <c r="BC11" s="619">
        <f t="shared" si="24"/>
      </c>
      <c r="BD11" s="937">
        <f t="shared" si="24"/>
      </c>
      <c r="BE11" s="619">
        <f t="shared" ref="BE11:BI11" si="25">BE9/AZ9-1</f>
      </c>
      <c r="BF11" s="619">
        <f t="shared" si="25"/>
      </c>
      <c r="BG11" s="619">
        <f t="shared" si="25"/>
      </c>
      <c r="BH11" s="619">
        <f t="shared" si="25"/>
      </c>
      <c r="BI11" s="937">
        <f t="shared" si="25"/>
      </c>
      <c r="BJ11" s="619">
        <f t="shared" ref="BJ11:BX11" si="26">BJ9/BE9-1</f>
      </c>
      <c r="BK11" s="619">
        <f t="shared" si="26"/>
      </c>
      <c r="BL11" s="619">
        <f t="shared" si="26"/>
      </c>
      <c r="BM11" s="619">
        <f t="shared" si="26"/>
      </c>
      <c r="BN11" s="937">
        <f t="shared" si="26"/>
      </c>
      <c r="BO11" s="619">
        <f t="shared" ref="BO11:BW11" si="27">BO9/BJ9-1</f>
      </c>
      <c r="BP11" s="619">
        <f t="shared" si="27"/>
      </c>
      <c r="BQ11" s="619">
        <f t="shared" si="27"/>
      </c>
      <c r="BR11" s="619">
        <f t="shared" si="27"/>
      </c>
      <c r="BS11" s="937">
        <f t="shared" si="27"/>
      </c>
      <c r="BT11" s="664">
        <f>BT9/BO9-1</f>
      </c>
      <c r="BU11" s="446">
        <f t="shared" si="27"/>
      </c>
      <c r="BV11" s="446">
        <f t="shared" si="27"/>
      </c>
      <c r="BW11" s="446">
        <f t="shared" si="27"/>
      </c>
      <c r="BX11" s="936">
        <f t="shared" si="26"/>
      </c>
      <c r="BY11" s="446">
        <f>BY9/BT9-1</f>
      </c>
      <c r="BZ11" s="446">
        <f>BZ9/BU9-1</f>
      </c>
      <c r="CA11" s="446">
        <f>CA9/BV9-1</f>
      </c>
      <c r="CB11" s="446">
        <f>CB9/BW9-1</f>
      </c>
      <c r="CC11" s="936">
        <f>CC9/BX9-1</f>
      </c>
      <c r="CD11" s="936">
        <f>CD9/CC9-1</f>
      </c>
      <c r="CE11" s="936">
        <f>CE9/CD9-1</f>
      </c>
      <c r="CF11" s="936">
        <f>CF9/CE9-1</f>
      </c>
      <c r="CG11" s="308"/>
    </row>
    <row r="12" spans="1:85" s="582" customFormat="1" x14ac:dyDescent="0.3">
      <c r="A12" s="244" t="s">
        <v>609</v>
      </c>
      <c r="B12" s="354"/>
      <c r="C12" s="931"/>
      <c r="D12" s="931"/>
      <c r="E12" s="931"/>
      <c r="F12" s="931"/>
      <c r="G12" s="215">
        <f>AVERAGE(G9,G7)</f>
      </c>
      <c r="H12" s="215">
        <f t="shared" ref="H12:J12" si="28">AVERAGE(H9,H7)</f>
      </c>
      <c r="I12" s="215">
        <f t="shared" si="28"/>
      </c>
      <c r="J12" s="215">
        <f t="shared" si="28"/>
      </c>
      <c r="K12" s="931">
        <f>AVERAGE(G12,H12,I12,J12)</f>
      </c>
      <c r="L12" s="215">
        <f t="shared" ref="L12:O12" si="29">AVERAGE(L9,L7)</f>
      </c>
      <c r="M12" s="215">
        <f t="shared" si="29"/>
      </c>
      <c r="N12" s="215">
        <f t="shared" si="29"/>
      </c>
      <c r="O12" s="215">
        <f t="shared" si="29"/>
      </c>
      <c r="P12" s="931">
        <f>AVERAGE(L12,M12,N12,O12)</f>
      </c>
      <c r="Q12" s="215">
        <f t="shared" ref="Q12:T12" si="30">AVERAGE(Q9,Q7)</f>
      </c>
      <c r="R12" s="215">
        <f t="shared" si="30"/>
      </c>
      <c r="S12" s="215">
        <f t="shared" si="30"/>
      </c>
      <c r="T12" s="215">
        <f t="shared" si="30"/>
      </c>
      <c r="U12" s="931">
        <f>AVERAGE(Q12,R12,S12,T12)</f>
      </c>
      <c r="V12" s="215">
        <f t="shared" ref="V12:Y12" si="31">AVERAGE(V9,V7)</f>
      </c>
      <c r="W12" s="215">
        <f t="shared" si="31"/>
      </c>
      <c r="X12" s="215">
        <f t="shared" si="31"/>
      </c>
      <c r="Y12" s="215">
        <f t="shared" si="31"/>
      </c>
      <c r="Z12" s="931">
        <f>AVERAGE(V12,W12,X12,Y12)</f>
      </c>
      <c r="AA12" s="215">
        <f t="shared" ref="AA12:AD12" si="32">AVERAGE(AA9,AA7)</f>
      </c>
      <c r="AB12" s="215">
        <f t="shared" si="32"/>
      </c>
      <c r="AC12" s="215">
        <f t="shared" si="32"/>
      </c>
      <c r="AD12" s="215">
        <f t="shared" si="32"/>
      </c>
      <c r="AE12" s="931">
        <f>AVERAGE(AA12,AB12,AC12,AD12)</f>
      </c>
      <c r="AF12" s="215">
        <f t="shared" ref="AF12:AI12" si="33">AVERAGE(AF9,AF7)</f>
      </c>
      <c r="AG12" s="215">
        <f t="shared" si="33"/>
      </c>
      <c r="AH12" s="215">
        <f t="shared" si="33"/>
      </c>
      <c r="AI12" s="215">
        <f t="shared" si="33"/>
      </c>
      <c r="AJ12" s="931">
        <f>AVERAGE(AF12,AG12,AH12,AI12)</f>
      </c>
      <c r="AK12" s="215">
        <f t="shared" ref="AK12:AN12" si="34">AVERAGE(AK9,AK7)</f>
      </c>
      <c r="AL12" s="215">
        <f t="shared" si="34"/>
      </c>
      <c r="AM12" s="215">
        <f t="shared" si="34"/>
      </c>
      <c r="AN12" s="215">
        <f t="shared" si="34"/>
      </c>
      <c r="AO12" s="931">
        <f>AVERAGE(AK12,AL12,AM12,AN12)</f>
      </c>
      <c r="AP12" s="215">
        <f t="shared" ref="AP12:AS12" si="35">AVERAGE(AP9,AP7)</f>
      </c>
      <c r="AQ12" s="215">
        <f t="shared" si="35"/>
      </c>
      <c r="AR12" s="215">
        <f t="shared" si="35"/>
      </c>
      <c r="AS12" s="215">
        <f t="shared" si="35"/>
      </c>
      <c r="AT12" s="931">
        <f>AVERAGE(AP12,AQ12,AR12,AS12)</f>
      </c>
      <c r="AU12" s="215">
        <f t="shared" ref="AU12:AW12" si="36">AVERAGE(AU9,AU7)</f>
      </c>
      <c r="AV12" s="215">
        <f t="shared" si="36"/>
      </c>
      <c r="AW12" s="215">
        <f t="shared" si="36"/>
      </c>
      <c r="AX12" s="215">
        <f>AVERAGE(AX9,AX7)</f>
      </c>
      <c r="AY12" s="931">
        <f>AVERAGE(AU12,AV12,AW12,AX12)</f>
      </c>
      <c r="AZ12" s="215">
        <f>AVERAGE(AZ9,AZ7)</f>
      </c>
      <c r="BA12" s="215">
        <f>AVERAGE(BA9,BA7)</f>
      </c>
      <c r="BB12" s="215">
        <f>AVERAGE(BB9,BB7)</f>
      </c>
      <c r="BC12" s="215">
        <f>AVERAGE(BC9,BC7)</f>
      </c>
      <c r="BD12" s="931">
        <f>AVERAGE(AZ12,BA12,BB12,BC12)</f>
      </c>
      <c r="BE12" s="215">
        <f>AVERAGE(BE9,BE7)</f>
      </c>
      <c r="BF12" s="215">
        <f>AVERAGE(BF9,BF7)</f>
      </c>
      <c r="BG12" s="215">
        <f>AVERAGE(BG9,BG7)</f>
      </c>
      <c r="BH12" s="215">
        <f>AVERAGE(BH9,BH7)</f>
      </c>
      <c r="BI12" s="931">
        <f>AVERAGE(BE12,BF12,BG12,BH12)</f>
      </c>
      <c r="BJ12" s="215">
        <f>AVERAGE(BJ9,BJ7)</f>
      </c>
      <c r="BK12" s="215">
        <f>AVERAGE(BK9,BK7)</f>
      </c>
      <c r="BL12" s="215">
        <f>AVERAGE(BL9,BL7)</f>
      </c>
      <c r="BM12" s="215">
        <f>AVERAGE(BM9,BM7)</f>
      </c>
      <c r="BN12" s="931">
        <f>AVERAGE(BJ12,BK12,BL12,BM12)</f>
      </c>
      <c r="BO12" s="215">
        <f>AVERAGE(BO9,BO7)</f>
      </c>
      <c r="BP12" s="215">
        <f>AVERAGE(BP9,BP7)</f>
      </c>
      <c r="BQ12" s="215">
        <f>AVERAGE(BQ9,BQ7)</f>
      </c>
      <c r="BR12" s="215">
        <f>AVERAGE(BR9,BR7)</f>
      </c>
      <c r="BS12" s="931">
        <f>AVERAGE(BO12,BP12,BQ12,BR12)</f>
      </c>
      <c r="BT12" s="661">
        <f>AVERAGE(BT9,BT7)</f>
      </c>
      <c r="BU12" s="215">
        <f>AVERAGE(BU9,BU7)</f>
      </c>
      <c r="BV12" s="215">
        <f>AVERAGE(BV9,BV7)</f>
      </c>
      <c r="BW12" s="215">
        <f>AVERAGE(BW9,BW7)</f>
      </c>
      <c r="BX12" s="931">
        <f>AVERAGE(BT12,BU12,BV12,BW12)</f>
      </c>
      <c r="BY12" s="215">
        <f>AVERAGE(BY9,BY7)</f>
      </c>
      <c r="BZ12" s="215">
        <f>AVERAGE(BZ9,BZ7)</f>
      </c>
      <c r="CA12" s="215">
        <f>AVERAGE(CA9,CA7)</f>
      </c>
      <c r="CB12" s="215">
        <f>AVERAGE(CB9,CB7)</f>
      </c>
      <c r="CC12" s="931">
        <f>AVERAGE(BY12,BZ12,CA12,CB12)</f>
      </c>
      <c r="CD12" s="931">
        <f>AVERAGE(CD9,CD7)</f>
      </c>
      <c r="CE12" s="931">
        <f>AVERAGE(CE9,CE7)</f>
      </c>
      <c r="CF12" s="931">
        <f>AVERAGE(CF9,CF7)</f>
      </c>
      <c r="CG12" s="24"/>
    </row>
    <row r="13" spans="1:85" s="582" customFormat="1" x14ac:dyDescent="0.3">
      <c r="A13" s="327" t="s">
        <v>613</v>
      </c>
      <c r="B13" s="366"/>
      <c r="C13" s="936"/>
      <c r="D13" s="936"/>
      <c r="E13" s="936"/>
      <c r="F13" s="936"/>
      <c r="G13" s="446"/>
      <c r="H13" s="446">
        <f>H12/G12-1</f>
      </c>
      <c r="I13" s="446">
        <f>I12/H12-1</f>
      </c>
      <c r="J13" s="446">
        <f>J12/I12-1</f>
      </c>
      <c r="K13" s="936"/>
      <c r="L13" s="446">
        <f>L12/J12-1</f>
      </c>
      <c r="M13" s="446">
        <f>M12/L12-1</f>
      </c>
      <c r="N13" s="446">
        <f>N12/M12-1</f>
      </c>
      <c r="O13" s="446">
        <f>O12/N12-1</f>
      </c>
      <c r="P13" s="936"/>
      <c r="Q13" s="446">
        <f>Q12/O12-1</f>
      </c>
      <c r="R13" s="446">
        <f>R12/Q12-1</f>
      </c>
      <c r="S13" s="446">
        <f>S12/R12-1</f>
      </c>
      <c r="T13" s="446">
        <f>T12/S12-1</f>
      </c>
      <c r="U13" s="936"/>
      <c r="V13" s="446">
        <f>V12/T12-1</f>
      </c>
      <c r="W13" s="446">
        <f>W12/V12-1</f>
      </c>
      <c r="X13" s="446">
        <f>X12/W12-1</f>
      </c>
      <c r="Y13" s="446">
        <f>Y12/X12-1</f>
      </c>
      <c r="Z13" s="936"/>
      <c r="AA13" s="446">
        <f>AA12/Y12-1</f>
      </c>
      <c r="AB13" s="446">
        <f>AB12/AA12-1</f>
      </c>
      <c r="AC13" s="446">
        <f>AC12/AB12-1</f>
      </c>
      <c r="AD13" s="446">
        <f>AD12/AC12-1</f>
      </c>
      <c r="AE13" s="936"/>
      <c r="AF13" s="446">
        <f>AF12/AD12-1</f>
      </c>
      <c r="AG13" s="446">
        <f>AG12/AF12-1</f>
      </c>
      <c r="AH13" s="446">
        <f>AH12/AG12-1</f>
      </c>
      <c r="AI13" s="446">
        <f>AI12/AH12-1</f>
      </c>
      <c r="AJ13" s="936"/>
      <c r="AK13" s="446">
        <f>AK12/AI12-1</f>
      </c>
      <c r="AL13" s="446">
        <f>AL12/AK12-1</f>
      </c>
      <c r="AM13" s="446">
        <f>AM12/AL12-1</f>
      </c>
      <c r="AN13" s="446">
        <f>AN12/AM12-1</f>
      </c>
      <c r="AO13" s="936"/>
      <c r="AP13" s="446">
        <f>AP12/AN12-1</f>
      </c>
      <c r="AQ13" s="446">
        <f>AQ12/AP12-1</f>
      </c>
      <c r="AR13" s="446">
        <f>AR12/AQ12-1</f>
      </c>
      <c r="AS13" s="446">
        <f>AS12/AR12-1</f>
      </c>
      <c r="AT13" s="936"/>
      <c r="AU13" s="446">
        <f>AU12/AS12-1</f>
      </c>
      <c r="AV13" s="446">
        <f>AV12/AU12-1</f>
      </c>
      <c r="AW13" s="446">
        <f>AW12/AV12-1</f>
      </c>
      <c r="AX13" s="446">
        <f>AX12/AW12-1</f>
      </c>
      <c r="AY13" s="936"/>
      <c r="AZ13" s="446">
        <f>AZ12/AX12-1</f>
      </c>
      <c r="BA13" s="446">
        <f>BA12/AZ12-1</f>
      </c>
      <c r="BB13" s="446">
        <f>BB12/BA12-1</f>
      </c>
      <c r="BC13" s="446">
        <f>BC12/BB12-1</f>
      </c>
      <c r="BD13" s="936"/>
      <c r="BE13" s="446">
        <f>BE12/BC12-1</f>
      </c>
      <c r="BF13" s="446">
        <f>BF12/BE12-1</f>
      </c>
      <c r="BG13" s="446">
        <f>BG12/BF12-1</f>
      </c>
      <c r="BH13" s="446">
        <f>BH12/BG12-1</f>
      </c>
      <c r="BI13" s="936"/>
      <c r="BJ13" s="446">
        <f>BJ12/BH12-1</f>
      </c>
      <c r="BK13" s="446">
        <f>BK12/BJ12-1</f>
      </c>
      <c r="BL13" s="446">
        <f>BL12/BK12-1</f>
      </c>
      <c r="BM13" s="446">
        <f>BM12/BL12-1</f>
      </c>
      <c r="BN13" s="936"/>
      <c r="BO13" s="446">
        <f>BO12/BM12-1</f>
      </c>
      <c r="BP13" s="446">
        <f>BP12/BO12-1</f>
      </c>
      <c r="BQ13" s="446">
        <f>BQ12/BP12-1</f>
      </c>
      <c r="BR13" s="446">
        <f>BR12/BQ12-1</f>
      </c>
      <c r="BS13" s="936"/>
      <c r="BT13" s="665">
        <f>BT12/BR12-1</f>
      </c>
      <c r="BU13" s="446">
        <f>BU12/BT12-1</f>
      </c>
      <c r="BV13" s="446">
        <f>BV12/BU12-1</f>
      </c>
      <c r="BW13" s="446">
        <f>BW12/BV12-1</f>
      </c>
      <c r="BX13" s="936"/>
      <c r="BY13" s="446">
        <f>BY12/BW12-1</f>
      </c>
      <c r="BZ13" s="446">
        <f>BZ12/BY12-1</f>
      </c>
      <c r="CA13" s="446">
        <f>CA12/BZ12-1</f>
      </c>
      <c r="CB13" s="446">
        <f>CB12/CA12-1</f>
      </c>
      <c r="CC13" s="936"/>
      <c r="CD13" s="936"/>
      <c r="CE13" s="936"/>
      <c r="CF13" s="936"/>
      <c r="CG13" s="24"/>
    </row>
    <row r="14" spans="1:85" s="582" customFormat="1" x14ac:dyDescent="0.3">
      <c r="A14" s="327" t="s">
        <v>614</v>
      </c>
      <c r="B14" s="366"/>
      <c r="C14" s="936"/>
      <c r="D14" s="936"/>
      <c r="E14" s="936"/>
      <c r="F14" s="936"/>
      <c r="G14" s="446"/>
      <c r="H14" s="446"/>
      <c r="I14" s="446"/>
      <c r="J14" s="446"/>
      <c r="K14" s="936"/>
      <c r="L14" s="446">
        <f t="shared" ref="L14:AW14" si="37">L12/G12-1</f>
      </c>
      <c r="M14" s="446">
        <f t="shared" si="37"/>
      </c>
      <c r="N14" s="446">
        <f t="shared" si="37"/>
      </c>
      <c r="O14" s="446">
        <f t="shared" si="37"/>
      </c>
      <c r="P14" s="936">
        <f t="shared" si="37"/>
      </c>
      <c r="Q14" s="446">
        <f t="shared" si="37"/>
      </c>
      <c r="R14" s="446">
        <f t="shared" si="37"/>
      </c>
      <c r="S14" s="446">
        <f t="shared" si="37"/>
      </c>
      <c r="T14" s="446">
        <f t="shared" si="37"/>
      </c>
      <c r="U14" s="936">
        <f t="shared" si="37"/>
      </c>
      <c r="V14" s="446">
        <f t="shared" si="37"/>
      </c>
      <c r="W14" s="446">
        <f t="shared" si="37"/>
      </c>
      <c r="X14" s="446">
        <f t="shared" si="37"/>
      </c>
      <c r="Y14" s="446">
        <f t="shared" si="37"/>
      </c>
      <c r="Z14" s="936">
        <f t="shared" si="37"/>
      </c>
      <c r="AA14" s="446">
        <f t="shared" si="37"/>
      </c>
      <c r="AB14" s="446">
        <f t="shared" si="37"/>
      </c>
      <c r="AC14" s="446">
        <f t="shared" si="37"/>
      </c>
      <c r="AD14" s="446">
        <f t="shared" si="37"/>
      </c>
      <c r="AE14" s="936">
        <f t="shared" si="37"/>
      </c>
      <c r="AF14" s="446">
        <f t="shared" si="37"/>
      </c>
      <c r="AG14" s="446">
        <f t="shared" si="37"/>
      </c>
      <c r="AH14" s="446">
        <f t="shared" si="37"/>
      </c>
      <c r="AI14" s="446">
        <f t="shared" si="37"/>
      </c>
      <c r="AJ14" s="936">
        <f t="shared" si="37"/>
      </c>
      <c r="AK14" s="446">
        <f t="shared" si="37"/>
      </c>
      <c r="AL14" s="446">
        <f t="shared" si="37"/>
      </c>
      <c r="AM14" s="446">
        <f t="shared" si="37"/>
      </c>
      <c r="AN14" s="446">
        <f t="shared" si="37"/>
      </c>
      <c r="AO14" s="936">
        <f t="shared" si="37"/>
      </c>
      <c r="AP14" s="446">
        <f t="shared" si="37"/>
      </c>
      <c r="AQ14" s="446">
        <f t="shared" si="37"/>
      </c>
      <c r="AR14" s="446">
        <f t="shared" si="37"/>
      </c>
      <c r="AS14" s="446">
        <f t="shared" si="37"/>
      </c>
      <c r="AT14" s="936">
        <f t="shared" si="37"/>
      </c>
      <c r="AU14" s="446">
        <f t="shared" si="37"/>
      </c>
      <c r="AV14" s="446">
        <f t="shared" si="37"/>
      </c>
      <c r="AW14" s="446">
        <f t="shared" si="37"/>
      </c>
      <c r="AX14" s="446">
        <f t="shared" ref="AX14:BD14" si="38">AX12/AS12-1</f>
      </c>
      <c r="AY14" s="936">
        <f t="shared" si="38"/>
      </c>
      <c r="AZ14" s="446">
        <f t="shared" si="38"/>
      </c>
      <c r="BA14" s="446">
        <f t="shared" si="38"/>
      </c>
      <c r="BB14" s="446">
        <f t="shared" si="38"/>
      </c>
      <c r="BC14" s="446">
        <f t="shared" si="38"/>
      </c>
      <c r="BD14" s="936">
        <f t="shared" si="38"/>
      </c>
      <c r="BE14" s="446">
        <f t="shared" ref="BE14:BI14" si="39">BE12/AZ12-1</f>
      </c>
      <c r="BF14" s="446">
        <f t="shared" si="39"/>
      </c>
      <c r="BG14" s="446">
        <f t="shared" si="39"/>
      </c>
      <c r="BH14" s="446">
        <f t="shared" si="39"/>
      </c>
      <c r="BI14" s="936">
        <f t="shared" si="39"/>
      </c>
      <c r="BJ14" s="446">
        <f t="shared" ref="BJ14:BX14" si="40">BJ12/BE12-1</f>
      </c>
      <c r="BK14" s="446">
        <f t="shared" si="40"/>
      </c>
      <c r="BL14" s="446">
        <f t="shared" si="40"/>
      </c>
      <c r="BM14" s="446">
        <f t="shared" si="40"/>
      </c>
      <c r="BN14" s="936">
        <f t="shared" si="40"/>
      </c>
      <c r="BO14" s="446">
        <f t="shared" ref="BO14:BW14" si="41">BO12/BJ12-1</f>
      </c>
      <c r="BP14" s="446">
        <f t="shared" si="41"/>
      </c>
      <c r="BQ14" s="446">
        <f t="shared" si="41"/>
      </c>
      <c r="BR14" s="446">
        <f t="shared" si="41"/>
      </c>
      <c r="BS14" s="936">
        <f t="shared" si="41"/>
      </c>
      <c r="BT14" s="665">
        <f>BT12/BO12-1</f>
      </c>
      <c r="BU14" s="446">
        <f t="shared" si="41"/>
      </c>
      <c r="BV14" s="446">
        <f t="shared" si="41"/>
      </c>
      <c r="BW14" s="446">
        <f t="shared" si="41"/>
      </c>
      <c r="BX14" s="936">
        <f t="shared" si="40"/>
      </c>
      <c r="BY14" s="446">
        <f>BY12/BT12-1</f>
      </c>
      <c r="BZ14" s="446">
        <f>BZ12/BU12-1</f>
      </c>
      <c r="CA14" s="446">
        <f>CA12/BV12-1</f>
      </c>
      <c r="CB14" s="446">
        <f>CB12/BW12-1</f>
      </c>
      <c r="CC14" s="936">
        <f>CC12/BX12-1</f>
      </c>
      <c r="CD14" s="936">
        <f>CD12/CC12-1</f>
      </c>
      <c r="CE14" s="936">
        <f>CE12/CD12-1</f>
      </c>
      <c r="CF14" s="936">
        <f>CF12/CE12-1</f>
      </c>
      <c r="CG14" s="24"/>
    </row>
    <row r="15" spans="1:85" x14ac:dyDescent="0.3">
      <c r="A15" s="239"/>
      <c r="B15" s="240"/>
      <c r="C15" s="938"/>
      <c r="D15" s="938"/>
      <c r="E15" s="938"/>
      <c r="F15" s="938"/>
      <c r="G15" s="241"/>
      <c r="H15" s="241"/>
      <c r="I15" s="241"/>
      <c r="J15" s="241"/>
      <c r="K15" s="938"/>
      <c r="L15" s="241"/>
      <c r="M15" s="241"/>
      <c r="N15" s="241"/>
      <c r="O15" s="241"/>
      <c r="P15" s="938"/>
      <c r="Q15" s="241"/>
      <c r="R15" s="241"/>
      <c r="S15" s="241"/>
      <c r="T15" s="241"/>
      <c r="U15" s="938"/>
      <c r="V15" s="241"/>
      <c r="W15" s="241"/>
      <c r="X15" s="241"/>
      <c r="Y15" s="241"/>
      <c r="Z15" s="938"/>
      <c r="AA15" s="241"/>
      <c r="AB15" s="241"/>
      <c r="AC15" s="241"/>
      <c r="AD15" s="241"/>
      <c r="AE15" s="938"/>
      <c r="AF15" s="241"/>
      <c r="AG15" s="241"/>
      <c r="AH15" s="241"/>
      <c r="AI15" s="241"/>
      <c r="AJ15" s="938"/>
      <c r="AK15" s="241"/>
      <c r="AL15" s="241"/>
      <c r="AM15" s="241"/>
      <c r="AN15" s="241"/>
      <c r="AO15" s="938"/>
      <c r="AP15" s="241"/>
      <c r="AQ15" s="241"/>
      <c r="AR15" s="241"/>
      <c r="AS15" s="241"/>
      <c r="AT15" s="938"/>
      <c r="AU15" s="241"/>
      <c r="AV15" s="241"/>
      <c r="AW15" s="241"/>
      <c r="AX15" s="241"/>
      <c r="AY15" s="938"/>
      <c r="AZ15" s="241"/>
      <c r="BA15" s="241"/>
      <c r="BB15" s="241"/>
      <c r="BC15" s="241"/>
      <c r="BD15" s="938"/>
      <c r="BE15" s="241"/>
      <c r="BF15" s="241"/>
      <c r="BG15" s="241"/>
      <c r="BH15" s="241"/>
      <c r="BI15" s="938"/>
      <c r="BJ15" s="241"/>
      <c r="BK15" s="241"/>
      <c r="BL15" s="241"/>
      <c r="BM15" s="241"/>
      <c r="BN15" s="938"/>
      <c r="BO15" s="241"/>
      <c r="BP15" s="241"/>
      <c r="BQ15" s="241"/>
      <c r="BR15" s="241"/>
      <c r="BS15" s="938"/>
      <c r="BT15" s="666"/>
      <c r="BU15" s="241"/>
      <c r="BV15" s="241"/>
      <c r="BW15" s="241"/>
      <c r="BX15" s="938"/>
      <c r="BY15" s="241"/>
      <c r="BZ15" s="241"/>
      <c r="CA15" s="241"/>
      <c r="CB15" s="241"/>
      <c r="CC15" s="938"/>
      <c r="CD15" s="938"/>
      <c r="CE15" s="938"/>
      <c r="CF15" s="938"/>
      <c r="CG15" s="191"/>
    </row>
    <row r="16" spans="1:85" s="584" customFormat="1" x14ac:dyDescent="0.3">
      <c r="A16" s="371" t="s">
        <v>580</v>
      </c>
      <c r="B16" s="355"/>
      <c r="C16" s="939"/>
      <c r="D16" s="939"/>
      <c r="E16" s="939"/>
      <c r="F16" s="939"/>
      <c r="G16" s="356"/>
      <c r="H16" s="356"/>
      <c r="I16" s="356"/>
      <c r="J16" s="356"/>
      <c r="K16" s="939"/>
      <c r="L16" s="356"/>
      <c r="M16" s="356"/>
      <c r="N16" s="356"/>
      <c r="O16" s="356"/>
      <c r="P16" s="939"/>
      <c r="Q16" s="356"/>
      <c r="R16" s="356"/>
      <c r="S16" s="356"/>
      <c r="T16" s="356"/>
      <c r="U16" s="939"/>
      <c r="V16" s="356"/>
      <c r="W16" s="356"/>
      <c r="X16" s="356"/>
      <c r="Y16" s="356"/>
      <c r="Z16" s="939"/>
      <c r="AA16" s="356">
        <f t="shared" ref="AA16:AW16" si="42">AA183</f>
      </c>
      <c r="AB16" s="356">
        <f t="shared" si="42"/>
      </c>
      <c r="AC16" s="356">
        <f t="shared" si="42"/>
      </c>
      <c r="AD16" s="356">
        <f t="shared" si="42"/>
      </c>
      <c r="AE16" s="939">
        <f t="shared" si="42"/>
      </c>
      <c r="AF16" s="356">
        <f t="shared" si="42"/>
      </c>
      <c r="AG16" s="356">
        <f t="shared" si="42"/>
      </c>
      <c r="AH16" s="356">
        <f t="shared" si="42"/>
      </c>
      <c r="AI16" s="356">
        <f t="shared" si="42"/>
      </c>
      <c r="AJ16" s="939">
        <f t="shared" si="42"/>
      </c>
      <c r="AK16" s="356">
        <f t="shared" si="42"/>
      </c>
      <c r="AL16" s="356">
        <f t="shared" si="42"/>
      </c>
      <c r="AM16" s="356">
        <f t="shared" si="42"/>
      </c>
      <c r="AN16" s="356">
        <f t="shared" si="42"/>
      </c>
      <c r="AO16" s="939">
        <f t="shared" si="42"/>
      </c>
      <c r="AP16" s="356">
        <f t="shared" si="42"/>
      </c>
      <c r="AQ16" s="356">
        <f t="shared" si="42"/>
      </c>
      <c r="AR16" s="356">
        <f t="shared" si="42"/>
      </c>
      <c r="AS16" s="356">
        <f t="shared" si="42"/>
      </c>
      <c r="AT16" s="939">
        <f t="shared" si="42"/>
      </c>
      <c r="AU16" s="356">
        <f t="shared" si="42"/>
      </c>
      <c r="AV16" s="356">
        <f t="shared" si="42"/>
      </c>
      <c r="AW16" s="356">
        <f t="shared" si="42"/>
      </c>
      <c r="AX16" s="356">
        <f t="shared" ref="AX16:BD16" si="43">AX183</f>
      </c>
      <c r="AY16" s="939">
        <f t="shared" si="43"/>
      </c>
      <c r="AZ16" s="356">
        <f t="shared" si="43"/>
      </c>
      <c r="BA16" s="356">
        <f t="shared" si="43"/>
      </c>
      <c r="BB16" s="356">
        <f t="shared" si="43"/>
      </c>
      <c r="BC16" s="356">
        <f t="shared" si="43"/>
      </c>
      <c r="BD16" s="939">
        <f t="shared" si="43"/>
      </c>
      <c r="BE16" s="356">
        <f t="shared" ref="BE16:BI16" si="44">BE183</f>
      </c>
      <c r="BF16" s="356">
        <f t="shared" si="44"/>
      </c>
      <c r="BG16" s="356">
        <f t="shared" si="44"/>
      </c>
      <c r="BH16" s="356">
        <f t="shared" si="44"/>
      </c>
      <c r="BI16" s="939">
        <f t="shared" si="44"/>
      </c>
      <c r="BJ16" s="356">
        <f t="shared" ref="BJ16:BX16" si="45">BJ183</f>
      </c>
      <c r="BK16" s="356">
        <f t="shared" si="45"/>
      </c>
      <c r="BL16" s="356">
        <f t="shared" si="45"/>
      </c>
      <c r="BM16" s="356">
        <f t="shared" si="45"/>
      </c>
      <c r="BN16" s="939">
        <f t="shared" si="45"/>
      </c>
      <c r="BO16" s="356">
        <f t="shared" ref="BO16:BW16" si="46">BO183</f>
      </c>
      <c r="BP16" s="356">
        <f t="shared" si="46"/>
      </c>
      <c r="BQ16" s="356">
        <f t="shared" si="46"/>
      </c>
      <c r="BR16" s="356">
        <f t="shared" si="46"/>
      </c>
      <c r="BS16" s="939">
        <f t="shared" si="46"/>
      </c>
      <c r="BT16" s="667">
        <f>BT183</f>
      </c>
      <c r="BU16" s="356">
        <f t="shared" si="46"/>
      </c>
      <c r="BV16" s="356">
        <f t="shared" si="46"/>
      </c>
      <c r="BW16" s="356">
        <f t="shared" si="46"/>
      </c>
      <c r="BX16" s="939">
        <f t="shared" si="45"/>
      </c>
      <c r="BY16" s="356">
        <f t="shared" ref="BY16:CF16" si="47">BY183</f>
      </c>
      <c r="BZ16" s="356">
        <f t="shared" si="47"/>
      </c>
      <c r="CA16" s="356">
        <f t="shared" si="47"/>
      </c>
      <c r="CB16" s="356">
        <f t="shared" si="47"/>
      </c>
      <c r="CC16" s="939">
        <f t="shared" si="47"/>
      </c>
      <c r="CD16" s="939">
        <f t="shared" si="47"/>
      </c>
      <c r="CE16" s="939">
        <f t="shared" si="47"/>
      </c>
      <c r="CF16" s="939">
        <f t="shared" si="47"/>
      </c>
      <c r="CG16" s="357"/>
    </row>
    <row r="17" spans="1:85" s="584" customFormat="1" x14ac:dyDescent="0.3">
      <c r="A17" s="358" t="s">
        <v>595</v>
      </c>
      <c r="B17" s="359"/>
      <c r="C17" s="936"/>
      <c r="D17" s="936"/>
      <c r="E17" s="936"/>
      <c r="F17" s="936"/>
      <c r="G17" s="446"/>
      <c r="H17" s="446"/>
      <c r="I17" s="446"/>
      <c r="J17" s="446"/>
      <c r="K17" s="936"/>
      <c r="L17" s="446"/>
      <c r="M17" s="446"/>
      <c r="N17" s="446"/>
      <c r="O17" s="446"/>
      <c r="P17" s="936"/>
      <c r="Q17" s="446"/>
      <c r="R17" s="446"/>
      <c r="S17" s="446"/>
      <c r="T17" s="446"/>
      <c r="U17" s="936"/>
      <c r="V17" s="446"/>
      <c r="W17" s="446"/>
      <c r="X17" s="446"/>
      <c r="Y17" s="446"/>
      <c r="Z17" s="936"/>
      <c r="AA17" s="446"/>
      <c r="AB17" s="446">
        <f>AB16/AA16-1</f>
      </c>
      <c r="AC17" s="446">
        <f>AC16/AB16-1</f>
      </c>
      <c r="AD17" s="446">
        <f>AD16/AC16-1</f>
      </c>
      <c r="AE17" s="936"/>
      <c r="AF17" s="446">
        <f>AF16/AD16-1</f>
      </c>
      <c r="AG17" s="446">
        <f>AG16/AF16-1</f>
      </c>
      <c r="AH17" s="446">
        <f>AH16/AG16-1</f>
      </c>
      <c r="AI17" s="446">
        <f>AI16/AH16-1</f>
      </c>
      <c r="AJ17" s="936"/>
      <c r="AK17" s="446">
        <f>AK16/AI16-1</f>
      </c>
      <c r="AL17" s="446">
        <f>AL16/AK16-1</f>
      </c>
      <c r="AM17" s="446">
        <f>AM16/AL16-1</f>
      </c>
      <c r="AN17" s="446">
        <f>AN16/AM16-1</f>
      </c>
      <c r="AO17" s="936"/>
      <c r="AP17" s="446">
        <f>AP16/AN16-1</f>
      </c>
      <c r="AQ17" s="446">
        <f>AQ16/AP16-1</f>
      </c>
      <c r="AR17" s="446">
        <f>AR16/AQ16-1</f>
      </c>
      <c r="AS17" s="446">
        <f>AS16/AR16-1</f>
      </c>
      <c r="AT17" s="936"/>
      <c r="AU17" s="446">
        <f>AU16/AS16-1</f>
      </c>
      <c r="AV17" s="446">
        <f>AV16/AU16-1</f>
      </c>
      <c r="AW17" s="446">
        <f>AW16/AV16-1</f>
      </c>
      <c r="AX17" s="446">
        <f>AX16/AW16-1</f>
      </c>
      <c r="AY17" s="936"/>
      <c r="AZ17" s="446">
        <f>AZ16/AX16-1</f>
      </c>
      <c r="BA17" s="446">
        <f>BA16/AZ16-1</f>
      </c>
      <c r="BB17" s="446">
        <f>BB16/BA16-1</f>
      </c>
      <c r="BC17" s="446">
        <f>BC16/BB16-1</f>
      </c>
      <c r="BD17" s="936"/>
      <c r="BE17" s="446">
        <f>BE16/BC16-1</f>
      </c>
      <c r="BF17" s="446">
        <f>BF16/BE16-1</f>
      </c>
      <c r="BG17" s="446">
        <f>BG16/BF16-1</f>
      </c>
      <c r="BH17" s="446">
        <f>BH16/BG16-1</f>
      </c>
      <c r="BI17" s="936"/>
      <c r="BJ17" s="446">
        <f>BJ16/BH16-1</f>
      </c>
      <c r="BK17" s="446">
        <f>BK16/BJ16-1</f>
      </c>
      <c r="BL17" s="446">
        <f>BL16/BK16-1</f>
      </c>
      <c r="BM17" s="446">
        <f>BM16/BL16-1</f>
      </c>
      <c r="BN17" s="936"/>
      <c r="BO17" s="446">
        <f>BO16/BM16-1</f>
      </c>
      <c r="BP17" s="446">
        <f>BP16/BO16-1</f>
      </c>
      <c r="BQ17" s="446">
        <f>BQ16/BP16-1</f>
      </c>
      <c r="BR17" s="446">
        <f>BR16/BQ16-1</f>
      </c>
      <c r="BS17" s="936"/>
      <c r="BT17" s="665">
        <f>BT16/BR16-1</f>
      </c>
      <c r="BU17" s="446">
        <f>BU16/BT16-1</f>
      </c>
      <c r="BV17" s="446">
        <f>BV16/BU16-1</f>
      </c>
      <c r="BW17" s="446">
        <f>BW16/BV16-1</f>
      </c>
      <c r="BX17" s="936"/>
      <c r="BY17" s="446">
        <f>BY16/BW16-1</f>
      </c>
      <c r="BZ17" s="446">
        <f>BZ16/BY16-1</f>
      </c>
      <c r="CA17" s="446">
        <f>CA16/BZ16-1</f>
      </c>
      <c r="CB17" s="446">
        <f>CB16/CA16-1</f>
      </c>
      <c r="CC17" s="936"/>
      <c r="CD17" s="936"/>
      <c r="CE17" s="936"/>
      <c r="CF17" s="936"/>
      <c r="CG17" s="357"/>
    </row>
    <row r="18" spans="1:85" s="584" customFormat="1" x14ac:dyDescent="0.3">
      <c r="A18" s="358" t="s">
        <v>647</v>
      </c>
      <c r="B18" s="359"/>
      <c r="C18" s="936"/>
      <c r="D18" s="936"/>
      <c r="E18" s="936"/>
      <c r="F18" s="936"/>
      <c r="G18" s="446"/>
      <c r="H18" s="446"/>
      <c r="I18" s="446"/>
      <c r="J18" s="446"/>
      <c r="K18" s="936"/>
      <c r="L18" s="446"/>
      <c r="M18" s="446"/>
      <c r="N18" s="446"/>
      <c r="O18" s="446"/>
      <c r="P18" s="936"/>
      <c r="Q18" s="446"/>
      <c r="R18" s="446"/>
      <c r="S18" s="446"/>
      <c r="T18" s="446"/>
      <c r="U18" s="936"/>
      <c r="V18" s="446"/>
      <c r="W18" s="446"/>
      <c r="X18" s="446"/>
      <c r="Y18" s="446"/>
      <c r="Z18" s="936"/>
      <c r="AA18" s="446"/>
      <c r="AB18" s="446"/>
      <c r="AC18" s="446"/>
      <c r="AD18" s="446"/>
      <c r="AE18" s="936"/>
      <c r="AF18" s="446"/>
      <c r="AG18" s="446"/>
      <c r="AH18" s="446"/>
      <c r="AI18" s="446"/>
      <c r="AJ18" s="936"/>
      <c r="AK18" s="848">
        <v>0.03</v>
      </c>
      <c r="AL18" s="848">
        <v>0.09</v>
      </c>
      <c r="AM18" s="848">
        <v>0.12</v>
      </c>
      <c r="AN18" s="848">
        <v>0.12</v>
      </c>
      <c r="AO18" s="936"/>
      <c r="AP18" s="848">
        <v>0.08</v>
      </c>
      <c r="AQ18" s="848">
        <v>0.05</v>
      </c>
      <c r="AR18" s="848">
        <v>0.01</v>
      </c>
      <c r="AS18" s="848">
        <v>0</v>
      </c>
      <c r="AT18" s="936"/>
      <c r="AU18" s="848">
        <v>0.05</v>
      </c>
      <c r="AV18" s="848">
        <v>0.04</v>
      </c>
      <c r="AW18" s="848">
        <v>0.05</v>
      </c>
      <c r="AX18" s="848">
        <v>7.0000000000000007E-2</v>
      </c>
      <c r="AY18" s="936"/>
      <c r="AZ18" s="848">
        <v>0.06</v>
      </c>
      <c r="BA18" s="848">
        <v>7.0000000000000007E-2</v>
      </c>
      <c r="BB18" s="848">
        <v>0.08</v>
      </c>
      <c r="BC18" s="848">
        <v>0.05</v>
      </c>
      <c r="BD18" s="936"/>
      <c r="BE18" s="848">
        <v>0.04</v>
      </c>
      <c r="BF18" s="848">
        <v>-0.01</v>
      </c>
      <c r="BG18" s="848">
        <v>-0.01</v>
      </c>
      <c r="BH18" s="848">
        <v>0.01</v>
      </c>
      <c r="BI18" s="936"/>
      <c r="BJ18" s="848">
        <v>0.04</v>
      </c>
      <c r="BK18" s="848">
        <v>0.05</v>
      </c>
      <c r="BL18" s="848">
        <v>0.05</v>
      </c>
      <c r="BM18" s="848">
        <v>0.03</v>
      </c>
      <c r="BN18" s="936"/>
      <c r="BO18" s="446"/>
      <c r="BP18" s="446"/>
      <c r="BQ18" s="446"/>
      <c r="BR18" s="446"/>
      <c r="BS18" s="936"/>
      <c r="BT18" s="665"/>
      <c r="BU18" s="446"/>
      <c r="BV18" s="446"/>
      <c r="BW18" s="446"/>
      <c r="BX18" s="936"/>
      <c r="BY18" s="446"/>
      <c r="BZ18" s="446"/>
      <c r="CA18" s="446"/>
      <c r="CB18" s="446"/>
      <c r="CC18" s="936"/>
      <c r="CD18" s="936"/>
      <c r="CE18" s="936"/>
      <c r="CF18" s="936"/>
      <c r="CG18" s="357"/>
    </row>
    <row r="19" spans="1:85" s="583" customFormat="1" x14ac:dyDescent="0.3">
      <c r="A19" s="771" t="s">
        <v>596</v>
      </c>
      <c r="B19" s="305"/>
      <c r="C19" s="936"/>
      <c r="D19" s="936"/>
      <c r="E19" s="936"/>
      <c r="F19" s="936"/>
      <c r="G19" s="446"/>
      <c r="H19" s="446"/>
      <c r="I19" s="446"/>
      <c r="J19" s="446"/>
      <c r="K19" s="936"/>
      <c r="L19" s="446"/>
      <c r="M19" s="446"/>
      <c r="N19" s="446"/>
      <c r="O19" s="446"/>
      <c r="P19" s="936"/>
      <c r="Q19" s="446"/>
      <c r="R19" s="446"/>
      <c r="S19" s="446"/>
      <c r="T19" s="446"/>
      <c r="U19" s="936"/>
      <c r="V19" s="446"/>
      <c r="W19" s="446"/>
      <c r="X19" s="446"/>
      <c r="Y19" s="446"/>
      <c r="Z19" s="936"/>
      <c r="AA19" s="446"/>
      <c r="AB19" s="446"/>
      <c r="AC19" s="446"/>
      <c r="AD19" s="446"/>
      <c r="AE19" s="936"/>
      <c r="AF19" s="619">
        <f t="shared" ref="AF19:AW19" si="48">AF16/AA16-1</f>
      </c>
      <c r="AG19" s="619">
        <f t="shared" si="48"/>
      </c>
      <c r="AH19" s="619">
        <f t="shared" si="48"/>
      </c>
      <c r="AI19" s="619">
        <f t="shared" si="48"/>
      </c>
      <c r="AJ19" s="937">
        <f t="shared" si="48"/>
      </c>
      <c r="AK19" s="619">
        <f t="shared" si="48"/>
      </c>
      <c r="AL19" s="619">
        <f t="shared" si="48"/>
      </c>
      <c r="AM19" s="619">
        <f t="shared" si="48"/>
      </c>
      <c r="AN19" s="619">
        <f t="shared" si="48"/>
      </c>
      <c r="AO19" s="937">
        <f t="shared" si="48"/>
      </c>
      <c r="AP19" s="619">
        <f t="shared" si="48"/>
      </c>
      <c r="AQ19" s="619">
        <f t="shared" si="48"/>
      </c>
      <c r="AR19" s="619">
        <f t="shared" si="48"/>
      </c>
      <c r="AS19" s="619">
        <f t="shared" si="48"/>
      </c>
      <c r="AT19" s="937">
        <f t="shared" si="48"/>
      </c>
      <c r="AU19" s="619">
        <f t="shared" si="48"/>
      </c>
      <c r="AV19" s="619">
        <f t="shared" si="48"/>
      </c>
      <c r="AW19" s="619">
        <f t="shared" si="48"/>
      </c>
      <c r="AX19" s="619">
        <f t="shared" ref="AX19:BD19" si="49">AX16/AS16-1</f>
      </c>
      <c r="AY19" s="937">
        <f t="shared" si="49"/>
      </c>
      <c r="AZ19" s="619">
        <f t="shared" si="49"/>
      </c>
      <c r="BA19" s="619">
        <f t="shared" si="49"/>
      </c>
      <c r="BB19" s="619">
        <f t="shared" si="49"/>
      </c>
      <c r="BC19" s="619">
        <f t="shared" si="49"/>
      </c>
      <c r="BD19" s="937">
        <f t="shared" si="49"/>
      </c>
      <c r="BE19" s="619">
        <f t="shared" ref="BE19:BI19" si="50">BE16/AZ16-1</f>
      </c>
      <c r="BF19" s="619">
        <f t="shared" si="50"/>
      </c>
      <c r="BG19" s="619">
        <f t="shared" si="50"/>
      </c>
      <c r="BH19" s="619">
        <f t="shared" si="50"/>
      </c>
      <c r="BI19" s="937">
        <f t="shared" si="50"/>
      </c>
      <c r="BJ19" s="619">
        <f t="shared" ref="BJ19:BX19" si="51">BJ16/BE16-1</f>
      </c>
      <c r="BK19" s="619">
        <f t="shared" si="51"/>
      </c>
      <c r="BL19" s="619">
        <f t="shared" si="51"/>
      </c>
      <c r="BM19" s="619">
        <f t="shared" si="51"/>
      </c>
      <c r="BN19" s="937">
        <f t="shared" si="51"/>
      </c>
      <c r="BO19" s="619">
        <f t="shared" ref="BO19:BW19" si="52">BO16/BJ16-1</f>
      </c>
      <c r="BP19" s="619">
        <f t="shared" si="52"/>
      </c>
      <c r="BQ19" s="619">
        <f t="shared" si="52"/>
      </c>
      <c r="BR19" s="619">
        <f t="shared" si="52"/>
      </c>
      <c r="BS19" s="937">
        <f t="shared" si="52"/>
      </c>
      <c r="BT19" s="664">
        <f>BT16/BO16-1</f>
      </c>
      <c r="BU19" s="446">
        <f t="shared" si="52"/>
      </c>
      <c r="BV19" s="446">
        <f t="shared" si="52"/>
      </c>
      <c r="BW19" s="446">
        <f t="shared" si="52"/>
      </c>
      <c r="BX19" s="936">
        <f t="shared" si="51"/>
      </c>
      <c r="BY19" s="446">
        <f>BY16/BT16-1</f>
      </c>
      <c r="BZ19" s="446">
        <f>BZ16/BU16-1</f>
      </c>
      <c r="CA19" s="446">
        <f>CA16/BV16-1</f>
      </c>
      <c r="CB19" s="446">
        <f>CB16/BW16-1</f>
      </c>
      <c r="CC19" s="936">
        <f>CC16/BX16-1</f>
      </c>
      <c r="CD19" s="936">
        <f>CD16/CC16-1</f>
      </c>
      <c r="CE19" s="936">
        <f>CE16/CD16-1</f>
      </c>
      <c r="CF19" s="936">
        <f>CF16/CE16-1</f>
      </c>
      <c r="CG19" s="308"/>
    </row>
    <row r="20" spans="1:85" s="583" customFormat="1" x14ac:dyDescent="0.3">
      <c r="A20" s="767"/>
      <c r="B20" s="305"/>
      <c r="C20" s="936"/>
      <c r="D20" s="936"/>
      <c r="E20" s="936"/>
      <c r="F20" s="936"/>
      <c r="G20" s="446"/>
      <c r="H20" s="446"/>
      <c r="I20" s="446"/>
      <c r="J20" s="446"/>
      <c r="K20" s="936"/>
      <c r="L20" s="446"/>
      <c r="M20" s="446"/>
      <c r="N20" s="446"/>
      <c r="O20" s="446"/>
      <c r="P20" s="936"/>
      <c r="Q20" s="446"/>
      <c r="R20" s="446"/>
      <c r="S20" s="446"/>
      <c r="T20" s="446"/>
      <c r="U20" s="936"/>
      <c r="V20" s="446"/>
      <c r="W20" s="446"/>
      <c r="X20" s="446"/>
      <c r="Y20" s="446"/>
      <c r="Z20" s="936"/>
      <c r="AA20" s="446"/>
      <c r="AB20" s="446"/>
      <c r="AC20" s="446"/>
      <c r="AD20" s="446"/>
      <c r="AE20" s="936"/>
      <c r="AF20" s="446"/>
      <c r="AG20" s="446"/>
      <c r="AH20" s="446"/>
      <c r="AI20" s="446"/>
      <c r="AJ20" s="936"/>
      <c r="AK20" s="446"/>
      <c r="AL20" s="446"/>
      <c r="AM20" s="446"/>
      <c r="AN20" s="446"/>
      <c r="AO20" s="936"/>
      <c r="AP20" s="446"/>
      <c r="AQ20" s="446"/>
      <c r="AR20" s="446"/>
      <c r="AS20" s="446"/>
      <c r="AT20" s="936"/>
      <c r="AU20" s="446"/>
      <c r="AV20" s="446"/>
      <c r="AW20" s="446"/>
      <c r="AX20" s="446"/>
      <c r="AY20" s="936"/>
      <c r="AZ20" s="446"/>
      <c r="BA20" s="446"/>
      <c r="BB20" s="446"/>
      <c r="BC20" s="446"/>
      <c r="BD20" s="936"/>
      <c r="BE20" s="446"/>
      <c r="BF20" s="446"/>
      <c r="BG20" s="446"/>
      <c r="BH20" s="446"/>
      <c r="BI20" s="936"/>
      <c r="BJ20" s="446"/>
      <c r="BK20" s="446"/>
      <c r="BL20" s="446"/>
      <c r="BM20" s="446"/>
      <c r="BN20" s="936"/>
      <c r="BO20" s="446"/>
      <c r="BP20" s="446"/>
      <c r="BQ20" s="446"/>
      <c r="BR20" s="446"/>
      <c r="BS20" s="936"/>
      <c r="BT20" s="665"/>
      <c r="BU20" s="446"/>
      <c r="BV20" s="446"/>
      <c r="BW20" s="446"/>
      <c r="BX20" s="936"/>
      <c r="BY20" s="446"/>
      <c r="BZ20" s="446"/>
      <c r="CA20" s="446"/>
      <c r="CB20" s="446"/>
      <c r="CC20" s="936"/>
      <c r="CD20" s="936"/>
      <c r="CE20" s="936"/>
      <c r="CF20" s="936"/>
      <c r="CG20" s="308"/>
    </row>
    <row r="21" spans="1:85" s="585" customFormat="1" x14ac:dyDescent="0.3">
      <c r="A21" s="429" t="s">
        <v>395</v>
      </c>
      <c r="B21" s="112"/>
      <c r="C21" s="940"/>
      <c r="D21" s="940"/>
      <c r="E21" s="940"/>
      <c r="F21" s="940">
        <f t="shared" ref="F21:AK21" si="53">F192</f>
      </c>
      <c r="G21" s="778">
        <f t="shared" si="53"/>
      </c>
      <c r="H21" s="778">
        <f t="shared" si="53"/>
      </c>
      <c r="I21" s="778">
        <f t="shared" si="53"/>
      </c>
      <c r="J21" s="778">
        <f t="shared" si="53"/>
      </c>
      <c r="K21" s="940">
        <f t="shared" si="53"/>
      </c>
      <c r="L21" s="778">
        <f t="shared" si="53"/>
      </c>
      <c r="M21" s="778">
        <f t="shared" si="53"/>
      </c>
      <c r="N21" s="778">
        <f t="shared" si="53"/>
      </c>
      <c r="O21" s="778">
        <f t="shared" si="53"/>
      </c>
      <c r="P21" s="940">
        <f t="shared" si="53"/>
      </c>
      <c r="Q21" s="778">
        <f t="shared" si="53"/>
      </c>
      <c r="R21" s="778">
        <f t="shared" si="53"/>
      </c>
      <c r="S21" s="778">
        <f t="shared" si="53"/>
      </c>
      <c r="T21" s="778">
        <f t="shared" si="53"/>
      </c>
      <c r="U21" s="940">
        <f t="shared" si="53"/>
      </c>
      <c r="V21" s="778">
        <f t="shared" si="53"/>
      </c>
      <c r="W21" s="778">
        <f t="shared" si="53"/>
      </c>
      <c r="X21" s="778">
        <f t="shared" si="53"/>
      </c>
      <c r="Y21" s="778">
        <f t="shared" si="53"/>
      </c>
      <c r="Z21" s="940">
        <f t="shared" si="53"/>
      </c>
      <c r="AA21" s="778">
        <f t="shared" si="53"/>
      </c>
      <c r="AB21" s="778">
        <f t="shared" si="53"/>
      </c>
      <c r="AC21" s="778">
        <f t="shared" si="53"/>
      </c>
      <c r="AD21" s="778">
        <f t="shared" si="53"/>
      </c>
      <c r="AE21" s="940">
        <f t="shared" si="53"/>
      </c>
      <c r="AF21" s="778">
        <f t="shared" si="53"/>
      </c>
      <c r="AG21" s="778">
        <f t="shared" si="53"/>
      </c>
      <c r="AH21" s="778">
        <f t="shared" si="53"/>
      </c>
      <c r="AI21" s="778">
        <f t="shared" si="53"/>
      </c>
      <c r="AJ21" s="940">
        <f t="shared" si="53"/>
      </c>
      <c r="AK21" s="778">
        <f t="shared" si="53"/>
      </c>
      <c r="AL21" s="778">
        <f t="shared" ref="AL21:AW21" si="54">AL192</f>
      </c>
      <c r="AM21" s="778">
        <f t="shared" si="54"/>
      </c>
      <c r="AN21" s="778">
        <f t="shared" si="54"/>
      </c>
      <c r="AO21" s="940">
        <f t="shared" si="54"/>
      </c>
      <c r="AP21" s="778">
        <f t="shared" si="54"/>
      </c>
      <c r="AQ21" s="778">
        <f t="shared" si="54"/>
      </c>
      <c r="AR21" s="778">
        <f t="shared" si="54"/>
      </c>
      <c r="AS21" s="778">
        <f t="shared" si="54"/>
      </c>
      <c r="AT21" s="940">
        <f t="shared" si="54"/>
      </c>
      <c r="AU21" s="778">
        <f t="shared" si="54"/>
      </c>
      <c r="AV21" s="778">
        <f t="shared" si="54"/>
      </c>
      <c r="AW21" s="778">
        <f t="shared" si="54"/>
      </c>
      <c r="AX21" s="778">
        <f t="shared" ref="AX21:BD21" si="55">AX192</f>
      </c>
      <c r="AY21" s="940">
        <f t="shared" si="55"/>
      </c>
      <c r="AZ21" s="778">
        <f t="shared" si="55"/>
      </c>
      <c r="BA21" s="778">
        <f t="shared" si="55"/>
      </c>
      <c r="BB21" s="778">
        <f t="shared" si="55"/>
      </c>
      <c r="BC21" s="778">
        <f t="shared" si="55"/>
      </c>
      <c r="BD21" s="940">
        <f t="shared" si="55"/>
      </c>
      <c r="BE21" s="778">
        <f t="shared" ref="BE21:BI21" si="56">BE192</f>
      </c>
      <c r="BF21" s="778">
        <f t="shared" si="56"/>
      </c>
      <c r="BG21" s="778">
        <f t="shared" si="56"/>
      </c>
      <c r="BH21" s="778">
        <f t="shared" si="56"/>
      </c>
      <c r="BI21" s="940">
        <f t="shared" si="56"/>
      </c>
      <c r="BJ21" s="778">
        <f t="shared" ref="BJ21:BX21" si="57">BJ192</f>
      </c>
      <c r="BK21" s="778">
        <f t="shared" si="57"/>
      </c>
      <c r="BL21" s="778">
        <f t="shared" si="57"/>
      </c>
      <c r="BM21" s="778">
        <f t="shared" si="57"/>
      </c>
      <c r="BN21" s="940">
        <f t="shared" si="57"/>
      </c>
      <c r="BO21" s="778">
        <f t="shared" ref="BO21:BW21" si="58">BO192</f>
      </c>
      <c r="BP21" s="778">
        <f t="shared" si="58"/>
      </c>
      <c r="BQ21" s="778">
        <f t="shared" si="58"/>
      </c>
      <c r="BR21" s="778">
        <f t="shared" si="58"/>
      </c>
      <c r="BS21" s="940">
        <f t="shared" si="58"/>
      </c>
      <c r="BT21" s="779">
        <f>BT192</f>
      </c>
      <c r="BU21" s="778">
        <f t="shared" si="58"/>
      </c>
      <c r="BV21" s="778">
        <f t="shared" si="58"/>
      </c>
      <c r="BW21" s="778">
        <f t="shared" si="58"/>
      </c>
      <c r="BX21" s="940">
        <f t="shared" si="57"/>
      </c>
      <c r="BY21" s="778">
        <f t="shared" ref="BY21:CF21" si="59">BY192</f>
      </c>
      <c r="BZ21" s="778">
        <f t="shared" si="59"/>
      </c>
      <c r="CA21" s="778">
        <f t="shared" si="59"/>
      </c>
      <c r="CB21" s="778">
        <f t="shared" si="59"/>
      </c>
      <c r="CC21" s="940">
        <f t="shared" si="59"/>
      </c>
      <c r="CD21" s="940">
        <f t="shared" si="59"/>
      </c>
      <c r="CE21" s="940">
        <f t="shared" si="59"/>
      </c>
      <c r="CF21" s="940">
        <f t="shared" si="59"/>
      </c>
      <c r="CG21" s="183"/>
    </row>
    <row r="22" spans="1:85" s="585" customFormat="1" x14ac:dyDescent="0.3">
      <c r="A22" s="767" t="s">
        <v>601</v>
      </c>
      <c r="B22" s="768"/>
      <c r="C22" s="936"/>
      <c r="D22" s="936"/>
      <c r="E22" s="936"/>
      <c r="F22" s="936"/>
      <c r="G22" s="446"/>
      <c r="H22" s="446">
        <f>H21/G21-1</f>
      </c>
      <c r="I22" s="446">
        <f>I21/H21-1</f>
      </c>
      <c r="J22" s="446">
        <f>J21/I21-1</f>
      </c>
      <c r="K22" s="936"/>
      <c r="L22" s="446">
        <f>L21/J21-1</f>
      </c>
      <c r="M22" s="446">
        <f>M21/L21-1</f>
      </c>
      <c r="N22" s="446">
        <f>N21/M21-1</f>
      </c>
      <c r="O22" s="446">
        <f>O21/N21-1</f>
      </c>
      <c r="P22" s="936"/>
      <c r="Q22" s="446">
        <f>Q21/O21-1</f>
      </c>
      <c r="R22" s="446">
        <f>R21/Q21-1</f>
      </c>
      <c r="S22" s="446">
        <f>S21/R21-1</f>
      </c>
      <c r="T22" s="446">
        <f>T21/S21-1</f>
      </c>
      <c r="U22" s="936"/>
      <c r="V22" s="446">
        <f>V21/T21-1</f>
      </c>
      <c r="W22" s="446">
        <f>W21/V21-1</f>
      </c>
      <c r="X22" s="446">
        <f>X21/W21-1</f>
      </c>
      <c r="Y22" s="446">
        <f>Y21/X21-1</f>
      </c>
      <c r="Z22" s="936"/>
      <c r="AA22" s="446">
        <f>AA21/Y21-1</f>
      </c>
      <c r="AB22" s="446">
        <f>AB21/AA21-1</f>
      </c>
      <c r="AC22" s="446">
        <f>AC21/AB21-1</f>
      </c>
      <c r="AD22" s="446">
        <f>AD21/AC21-1</f>
      </c>
      <c r="AE22" s="936"/>
      <c r="AF22" s="446">
        <f>AF21/AD21-1</f>
      </c>
      <c r="AG22" s="446">
        <f>AG21/AF21-1</f>
      </c>
      <c r="AH22" s="446">
        <f>AH21/AG21-1</f>
      </c>
      <c r="AI22" s="446">
        <f>AI21/AH21-1</f>
      </c>
      <c r="AJ22" s="936"/>
      <c r="AK22" s="446">
        <f>AK21/AI21-1</f>
      </c>
      <c r="AL22" s="446">
        <f>AL21/AK21-1</f>
      </c>
      <c r="AM22" s="446">
        <f>AM21/AL21-1</f>
      </c>
      <c r="AN22" s="446">
        <f>AN21/AM21-1</f>
      </c>
      <c r="AO22" s="936"/>
      <c r="AP22" s="446">
        <f>AP21/AN21-1</f>
      </c>
      <c r="AQ22" s="446">
        <f>AQ21/AP21-1</f>
      </c>
      <c r="AR22" s="446">
        <f>AR21/AQ21-1</f>
      </c>
      <c r="AS22" s="446">
        <f>AS21/AR21-1</f>
      </c>
      <c r="AT22" s="936"/>
      <c r="AU22" s="446">
        <f>AU21/AS21-1</f>
      </c>
      <c r="AV22" s="446">
        <f>AV21/AU21-1</f>
      </c>
      <c r="AW22" s="446">
        <f>AW21/AV21-1</f>
      </c>
      <c r="AX22" s="446">
        <f>AX21/AW21-1</f>
      </c>
      <c r="AY22" s="936"/>
      <c r="AZ22" s="446">
        <f>AZ21/AX21-1</f>
      </c>
      <c r="BA22" s="446">
        <f>BA21/AZ21-1</f>
      </c>
      <c r="BB22" s="446">
        <f>BB21/BA21-1</f>
      </c>
      <c r="BC22" s="446">
        <f>BC21/BB21-1</f>
      </c>
      <c r="BD22" s="936"/>
      <c r="BE22" s="446">
        <f>BE21/BC21-1</f>
      </c>
      <c r="BF22" s="446">
        <f>BF21/BE21-1</f>
      </c>
      <c r="BG22" s="446">
        <f>BG21/BF21-1</f>
      </c>
      <c r="BH22" s="446">
        <f>BH21/BG21-1</f>
      </c>
      <c r="BI22" s="936"/>
      <c r="BJ22" s="446">
        <f>BJ21/BH21-1</f>
      </c>
      <c r="BK22" s="446">
        <f>BK21/BJ21-1</f>
      </c>
      <c r="BL22" s="446">
        <f>BL21/BK21-1</f>
      </c>
      <c r="BM22" s="446">
        <f>BM21/BL21-1</f>
      </c>
      <c r="BN22" s="936"/>
      <c r="BO22" s="446">
        <f>BO21/BM21-1</f>
      </c>
      <c r="BP22" s="446">
        <f>BP21/BO21-1</f>
      </c>
      <c r="BQ22" s="446">
        <f>BQ21/BP21-1</f>
      </c>
      <c r="BR22" s="446">
        <f>BR21/BQ21-1</f>
      </c>
      <c r="BS22" s="936"/>
      <c r="BT22" s="665">
        <f>BT21/BR21-1</f>
      </c>
      <c r="BU22" s="446">
        <f>BU21/BT21-1</f>
      </c>
      <c r="BV22" s="446">
        <f>BV21/BU21-1</f>
      </c>
      <c r="BW22" s="446">
        <f>BW21/BV21-1</f>
      </c>
      <c r="BX22" s="936"/>
      <c r="BY22" s="446">
        <f>BY21/BW21-1</f>
      </c>
      <c r="BZ22" s="446">
        <f>BZ21/BY21-1</f>
      </c>
      <c r="CA22" s="446">
        <f>CA21/BZ21-1</f>
      </c>
      <c r="CB22" s="446">
        <f>CB21/CA21-1</f>
      </c>
      <c r="CC22" s="936"/>
      <c r="CD22" s="936"/>
      <c r="CE22" s="936"/>
      <c r="CF22" s="936"/>
      <c r="CG22" s="183"/>
    </row>
    <row r="23" spans="1:85" s="583" customFormat="1" x14ac:dyDescent="0.3">
      <c r="A23" s="771" t="s">
        <v>600</v>
      </c>
      <c r="B23" s="305"/>
      <c r="C23" s="936"/>
      <c r="D23" s="936"/>
      <c r="E23" s="936"/>
      <c r="F23" s="936"/>
      <c r="G23" s="446"/>
      <c r="H23" s="446"/>
      <c r="I23" s="446"/>
      <c r="J23" s="446"/>
      <c r="K23" s="936">
        <f t="shared" ref="K23:AW23" si="60">K21/F21-1</f>
      </c>
      <c r="L23" s="446">
        <f t="shared" si="60"/>
      </c>
      <c r="M23" s="446">
        <f t="shared" si="60"/>
      </c>
      <c r="N23" s="446">
        <f t="shared" si="60"/>
      </c>
      <c r="O23" s="446">
        <f t="shared" si="60"/>
      </c>
      <c r="P23" s="936">
        <f t="shared" si="60"/>
      </c>
      <c r="Q23" s="446">
        <f t="shared" si="60"/>
      </c>
      <c r="R23" s="446">
        <f t="shared" si="60"/>
      </c>
      <c r="S23" s="446">
        <f t="shared" si="60"/>
      </c>
      <c r="T23" s="446">
        <f t="shared" si="60"/>
      </c>
      <c r="U23" s="936">
        <f t="shared" si="60"/>
      </c>
      <c r="V23" s="446">
        <f t="shared" si="60"/>
      </c>
      <c r="W23" s="446">
        <f t="shared" si="60"/>
      </c>
      <c r="X23" s="446">
        <f t="shared" si="60"/>
      </c>
      <c r="Y23" s="446">
        <f t="shared" si="60"/>
      </c>
      <c r="Z23" s="936">
        <f t="shared" si="60"/>
      </c>
      <c r="AA23" s="446">
        <f t="shared" si="60"/>
      </c>
      <c r="AB23" s="446">
        <f t="shared" si="60"/>
      </c>
      <c r="AC23" s="446">
        <f t="shared" si="60"/>
      </c>
      <c r="AD23" s="446">
        <f t="shared" si="60"/>
      </c>
      <c r="AE23" s="936">
        <f t="shared" si="60"/>
      </c>
      <c r="AF23" s="619">
        <f t="shared" si="60"/>
      </c>
      <c r="AG23" s="619">
        <f t="shared" si="60"/>
      </c>
      <c r="AH23" s="619">
        <f t="shared" si="60"/>
      </c>
      <c r="AI23" s="619">
        <f t="shared" si="60"/>
      </c>
      <c r="AJ23" s="937">
        <f t="shared" si="60"/>
      </c>
      <c r="AK23" s="619">
        <f t="shared" si="60"/>
      </c>
      <c r="AL23" s="619">
        <f t="shared" si="60"/>
      </c>
      <c r="AM23" s="619">
        <f t="shared" si="60"/>
      </c>
      <c r="AN23" s="619">
        <f t="shared" si="60"/>
      </c>
      <c r="AO23" s="937">
        <f t="shared" si="60"/>
      </c>
      <c r="AP23" s="619">
        <f t="shared" si="60"/>
      </c>
      <c r="AQ23" s="619">
        <f t="shared" si="60"/>
      </c>
      <c r="AR23" s="619">
        <f t="shared" si="60"/>
      </c>
      <c r="AS23" s="619">
        <f t="shared" si="60"/>
      </c>
      <c r="AT23" s="937">
        <f t="shared" si="60"/>
      </c>
      <c r="AU23" s="619">
        <f t="shared" si="60"/>
      </c>
      <c r="AV23" s="619">
        <f t="shared" si="60"/>
      </c>
      <c r="AW23" s="619">
        <f t="shared" si="60"/>
      </c>
      <c r="AX23" s="619">
        <f t="shared" ref="AX23:BD23" si="61">AX21/AS21-1</f>
      </c>
      <c r="AY23" s="937">
        <f t="shared" si="61"/>
      </c>
      <c r="AZ23" s="619">
        <f t="shared" si="61"/>
      </c>
      <c r="BA23" s="619">
        <f t="shared" si="61"/>
      </c>
      <c r="BB23" s="619">
        <f t="shared" si="61"/>
      </c>
      <c r="BC23" s="619">
        <f t="shared" si="61"/>
      </c>
      <c r="BD23" s="937">
        <f t="shared" si="61"/>
      </c>
      <c r="BE23" s="619">
        <f t="shared" ref="BE23:BI23" si="62">BE21/AZ21-1</f>
      </c>
      <c r="BF23" s="619">
        <f t="shared" si="62"/>
      </c>
      <c r="BG23" s="619">
        <f t="shared" si="62"/>
      </c>
      <c r="BH23" s="619">
        <f t="shared" si="62"/>
      </c>
      <c r="BI23" s="937">
        <f t="shared" si="62"/>
      </c>
      <c r="BJ23" s="619">
        <f t="shared" ref="BJ23:BX23" si="63">BJ21/BE21-1</f>
      </c>
      <c r="BK23" s="619">
        <f t="shared" si="63"/>
      </c>
      <c r="BL23" s="619">
        <f t="shared" si="63"/>
      </c>
      <c r="BM23" s="619">
        <f t="shared" si="63"/>
      </c>
      <c r="BN23" s="937">
        <f t="shared" si="63"/>
      </c>
      <c r="BO23" s="619">
        <f t="shared" ref="BO23:BW23" si="64">BO21/BJ21-1</f>
      </c>
      <c r="BP23" s="619">
        <f t="shared" si="64"/>
      </c>
      <c r="BQ23" s="619">
        <f t="shared" si="64"/>
      </c>
      <c r="BR23" s="619">
        <f t="shared" si="64"/>
      </c>
      <c r="BS23" s="937">
        <f t="shared" si="64"/>
      </c>
      <c r="BT23" s="664">
        <f>BT21/BO21-1</f>
      </c>
      <c r="BU23" s="446">
        <f t="shared" si="64"/>
      </c>
      <c r="BV23" s="446">
        <f t="shared" si="64"/>
      </c>
      <c r="BW23" s="446">
        <f t="shared" si="64"/>
      </c>
      <c r="BX23" s="936">
        <f t="shared" si="63"/>
      </c>
      <c r="BY23" s="446">
        <f>BY21/BT21-1</f>
      </c>
      <c r="BZ23" s="446">
        <f>BZ21/BU21-1</f>
      </c>
      <c r="CA23" s="446">
        <f>CA21/BV21-1</f>
      </c>
      <c r="CB23" s="446">
        <f>CB21/BW21-1</f>
      </c>
      <c r="CC23" s="936">
        <f>CC21/BX21-1</f>
      </c>
      <c r="CD23" s="936">
        <f>CD21/CC21-1</f>
      </c>
      <c r="CE23" s="936">
        <f>CE21/CD21-1</f>
      </c>
      <c r="CF23" s="936">
        <f>CF21/CE21-1</f>
      </c>
      <c r="CG23" s="308"/>
    </row>
    <row r="24" spans="1:85" s="585" customFormat="1" x14ac:dyDescent="0.3">
      <c r="A24" s="429" t="s">
        <v>396</v>
      </c>
      <c r="B24" s="112"/>
      <c r="C24" s="940"/>
      <c r="D24" s="940"/>
      <c r="E24" s="940"/>
      <c r="F24" s="940">
        <f t="shared" ref="F24:AK24" si="65">F193</f>
      </c>
      <c r="G24" s="778">
        <f t="shared" si="65"/>
      </c>
      <c r="H24" s="778">
        <f t="shared" si="65"/>
      </c>
      <c r="I24" s="778">
        <f t="shared" si="65"/>
      </c>
      <c r="J24" s="778">
        <f t="shared" si="65"/>
      </c>
      <c r="K24" s="940">
        <f t="shared" si="65"/>
      </c>
      <c r="L24" s="778">
        <f t="shared" si="65"/>
      </c>
      <c r="M24" s="778">
        <f t="shared" si="65"/>
      </c>
      <c r="N24" s="778">
        <f t="shared" si="65"/>
      </c>
      <c r="O24" s="778">
        <f t="shared" si="65"/>
      </c>
      <c r="P24" s="940">
        <f t="shared" si="65"/>
      </c>
      <c r="Q24" s="778">
        <f t="shared" si="65"/>
      </c>
      <c r="R24" s="778">
        <f t="shared" si="65"/>
      </c>
      <c r="S24" s="778">
        <f t="shared" si="65"/>
      </c>
      <c r="T24" s="778">
        <f t="shared" si="65"/>
      </c>
      <c r="U24" s="940">
        <f t="shared" si="65"/>
      </c>
      <c r="V24" s="778">
        <f t="shared" si="65"/>
      </c>
      <c r="W24" s="778">
        <f t="shared" si="65"/>
      </c>
      <c r="X24" s="778">
        <f t="shared" si="65"/>
      </c>
      <c r="Y24" s="778">
        <f t="shared" si="65"/>
      </c>
      <c r="Z24" s="940">
        <f t="shared" si="65"/>
      </c>
      <c r="AA24" s="778">
        <f t="shared" si="65"/>
      </c>
      <c r="AB24" s="778">
        <f t="shared" si="65"/>
      </c>
      <c r="AC24" s="778">
        <f t="shared" si="65"/>
      </c>
      <c r="AD24" s="778">
        <f t="shared" si="65"/>
      </c>
      <c r="AE24" s="940">
        <f t="shared" si="65"/>
      </c>
      <c r="AF24" s="778">
        <f t="shared" si="65"/>
      </c>
      <c r="AG24" s="778">
        <f t="shared" si="65"/>
      </c>
      <c r="AH24" s="778">
        <f t="shared" si="65"/>
      </c>
      <c r="AI24" s="778">
        <f t="shared" si="65"/>
      </c>
      <c r="AJ24" s="940">
        <f t="shared" si="65"/>
      </c>
      <c r="AK24" s="778">
        <f t="shared" si="65"/>
      </c>
      <c r="AL24" s="778">
        <f t="shared" ref="AL24:AW24" si="66">AL193</f>
      </c>
      <c r="AM24" s="778">
        <f t="shared" si="66"/>
      </c>
      <c r="AN24" s="778">
        <f t="shared" si="66"/>
      </c>
      <c r="AO24" s="940">
        <f t="shared" si="66"/>
      </c>
      <c r="AP24" s="778">
        <f t="shared" si="66"/>
      </c>
      <c r="AQ24" s="778">
        <f t="shared" si="66"/>
      </c>
      <c r="AR24" s="778">
        <f t="shared" si="66"/>
      </c>
      <c r="AS24" s="778">
        <f t="shared" si="66"/>
      </c>
      <c r="AT24" s="940">
        <f t="shared" si="66"/>
      </c>
      <c r="AU24" s="778">
        <f t="shared" si="66"/>
      </c>
      <c r="AV24" s="778">
        <f t="shared" si="66"/>
      </c>
      <c r="AW24" s="778">
        <f t="shared" si="66"/>
      </c>
      <c r="AX24" s="778">
        <f t="shared" ref="AX24:BD24" si="67">AX193</f>
      </c>
      <c r="AY24" s="940">
        <f t="shared" si="67"/>
      </c>
      <c r="AZ24" s="778">
        <f t="shared" si="67"/>
      </c>
      <c r="BA24" s="778">
        <f t="shared" si="67"/>
      </c>
      <c r="BB24" s="778">
        <f t="shared" si="67"/>
      </c>
      <c r="BC24" s="778">
        <f t="shared" si="67"/>
      </c>
      <c r="BD24" s="940">
        <f t="shared" si="67"/>
      </c>
      <c r="BE24" s="778">
        <f t="shared" ref="BE24:BI24" si="68">BE193</f>
      </c>
      <c r="BF24" s="778">
        <f t="shared" si="68"/>
      </c>
      <c r="BG24" s="778">
        <f t="shared" si="68"/>
      </c>
      <c r="BH24" s="778">
        <f t="shared" si="68"/>
      </c>
      <c r="BI24" s="940">
        <f t="shared" si="68"/>
      </c>
      <c r="BJ24" s="778"/>
      <c r="BK24" s="778"/>
      <c r="BL24" s="778"/>
      <c r="BM24" s="778"/>
      <c r="BN24" s="940"/>
      <c r="BO24" s="778"/>
      <c r="BP24" s="778"/>
      <c r="BQ24" s="778"/>
      <c r="BR24" s="778"/>
      <c r="BS24" s="940"/>
      <c r="BT24" s="779"/>
      <c r="BU24" s="778"/>
      <c r="BV24" s="778"/>
      <c r="BW24" s="778"/>
      <c r="BX24" s="940"/>
      <c r="BY24" s="778"/>
      <c r="BZ24" s="778"/>
      <c r="CA24" s="778"/>
      <c r="CB24" s="778"/>
      <c r="CC24" s="940"/>
      <c r="CD24" s="940"/>
      <c r="CE24" s="940"/>
      <c r="CF24" s="940"/>
      <c r="CG24" s="183"/>
    </row>
    <row r="25" spans="1:85" s="585" customFormat="1" x14ac:dyDescent="0.3">
      <c r="A25" s="767" t="s">
        <v>578</v>
      </c>
      <c r="B25" s="768"/>
      <c r="C25" s="936"/>
      <c r="D25" s="936"/>
      <c r="E25" s="936"/>
      <c r="F25" s="936"/>
      <c r="G25" s="446"/>
      <c r="H25" s="446">
        <f>H24/G24-1</f>
      </c>
      <c r="I25" s="446">
        <f>I24/H24-1</f>
      </c>
      <c r="J25" s="446">
        <f>J24/I24-1</f>
      </c>
      <c r="K25" s="936"/>
      <c r="L25" s="446">
        <f>L24/J24-1</f>
      </c>
      <c r="M25" s="446">
        <f>M24/L24-1</f>
      </c>
      <c r="N25" s="446">
        <f>N24/M24-1</f>
      </c>
      <c r="O25" s="446">
        <f>O24/N24-1</f>
      </c>
      <c r="P25" s="936"/>
      <c r="Q25" s="446">
        <f>Q24/O24-1</f>
      </c>
      <c r="R25" s="446">
        <f>R24/Q24-1</f>
      </c>
      <c r="S25" s="446">
        <f>S24/R24-1</f>
      </c>
      <c r="T25" s="446">
        <f>T24/S24-1</f>
      </c>
      <c r="U25" s="936"/>
      <c r="V25" s="446">
        <f>V24/T24-1</f>
      </c>
      <c r="W25" s="446">
        <f>W24/V24-1</f>
      </c>
      <c r="X25" s="446">
        <f>X24/W24-1</f>
      </c>
      <c r="Y25" s="446">
        <f>Y24/X24-1</f>
      </c>
      <c r="Z25" s="936"/>
      <c r="AA25" s="446">
        <f>AA24/Y24-1</f>
      </c>
      <c r="AB25" s="446">
        <f>AB24/AA24-1</f>
      </c>
      <c r="AC25" s="446">
        <f>AC24/AB24-1</f>
      </c>
      <c r="AD25" s="446">
        <f>AD24/AC24-1</f>
      </c>
      <c r="AE25" s="936"/>
      <c r="AF25" s="446">
        <f>AF24/AD24-1</f>
      </c>
      <c r="AG25" s="446">
        <f>AG24/AF24-1</f>
      </c>
      <c r="AH25" s="446">
        <f>AH24/AG24-1</f>
      </c>
      <c r="AI25" s="446">
        <f>AI24/AH24-1</f>
      </c>
      <c r="AJ25" s="936"/>
      <c r="AK25" s="446">
        <f>AK24/AI24-1</f>
      </c>
      <c r="AL25" s="446">
        <f>AL24/AK24-1</f>
      </c>
      <c r="AM25" s="446">
        <f>AM24/AL24-1</f>
      </c>
      <c r="AN25" s="446">
        <f>AN24/AM24-1</f>
      </c>
      <c r="AO25" s="936"/>
      <c r="AP25" s="446">
        <f>AP24/AN24-1</f>
      </c>
      <c r="AQ25" s="446">
        <f>AQ24/AP24-1</f>
      </c>
      <c r="AR25" s="446">
        <f>AR24/AQ24-1</f>
      </c>
      <c r="AS25" s="446">
        <f>AS24/AR24-1</f>
      </c>
      <c r="AT25" s="936"/>
      <c r="AU25" s="446">
        <f>AU24/AS24-1</f>
      </c>
      <c r="AV25" s="446">
        <f>AV24/AU24-1</f>
      </c>
      <c r="AW25" s="446">
        <f>AW24/AV24-1</f>
      </c>
      <c r="AX25" s="446">
        <f>AX24/AW24-1</f>
      </c>
      <c r="AY25" s="936"/>
      <c r="AZ25" s="446">
        <f>AZ24/AX24-1</f>
      </c>
      <c r="BA25" s="446">
        <f>BA24/AZ24-1</f>
      </c>
      <c r="BB25" s="446">
        <f>BB24/BA24-1</f>
      </c>
      <c r="BC25" s="446">
        <f>BC24/BB24-1</f>
      </c>
      <c r="BD25" s="936"/>
      <c r="BE25" s="446">
        <f>BE24/BC24-1</f>
      </c>
      <c r="BF25" s="446">
        <f>BF24/BE24-1</f>
      </c>
      <c r="BG25" s="446">
        <f>BG24/BF24-1</f>
      </c>
      <c r="BH25" s="446"/>
      <c r="BI25" s="936"/>
      <c r="BJ25" s="446"/>
      <c r="BK25" s="446"/>
      <c r="BL25" s="446"/>
      <c r="BM25" s="446"/>
      <c r="BN25" s="936"/>
      <c r="BO25" s="446"/>
      <c r="BP25" s="446"/>
      <c r="BQ25" s="446"/>
      <c r="BR25" s="446"/>
      <c r="BS25" s="936"/>
      <c r="BT25" s="665"/>
      <c r="BU25" s="446"/>
      <c r="BV25" s="446"/>
      <c r="BW25" s="446"/>
      <c r="BX25" s="936"/>
      <c r="BY25" s="446"/>
      <c r="BZ25" s="446"/>
      <c r="CA25" s="446"/>
      <c r="CB25" s="446"/>
      <c r="CC25" s="936"/>
      <c r="CD25" s="936"/>
      <c r="CE25" s="936"/>
      <c r="CF25" s="936"/>
      <c r="CG25" s="183"/>
    </row>
    <row r="26" spans="1:85" s="586" customFormat="1" x14ac:dyDescent="0.3">
      <c r="A26" s="69" t="s">
        <v>577</v>
      </c>
      <c r="B26" s="305"/>
      <c r="C26" s="936"/>
      <c r="D26" s="936"/>
      <c r="E26" s="936"/>
      <c r="F26" s="936"/>
      <c r="G26" s="446"/>
      <c r="H26" s="446"/>
      <c r="I26" s="446"/>
      <c r="J26" s="446"/>
      <c r="K26" s="936">
        <f t="shared" ref="K26:AW26" si="69">K24/F24-1</f>
      </c>
      <c r="L26" s="446">
        <f t="shared" si="69"/>
      </c>
      <c r="M26" s="446">
        <f t="shared" si="69"/>
      </c>
      <c r="N26" s="446">
        <f t="shared" si="69"/>
      </c>
      <c r="O26" s="446">
        <f t="shared" si="69"/>
      </c>
      <c r="P26" s="936">
        <f t="shared" si="69"/>
      </c>
      <c r="Q26" s="446">
        <f t="shared" si="69"/>
      </c>
      <c r="R26" s="446">
        <f t="shared" si="69"/>
      </c>
      <c r="S26" s="446">
        <f t="shared" si="69"/>
      </c>
      <c r="T26" s="446">
        <f t="shared" si="69"/>
      </c>
      <c r="U26" s="936">
        <f t="shared" si="69"/>
      </c>
      <c r="V26" s="446">
        <f t="shared" si="69"/>
      </c>
      <c r="W26" s="446">
        <f t="shared" si="69"/>
      </c>
      <c r="X26" s="446">
        <f t="shared" si="69"/>
      </c>
      <c r="Y26" s="446">
        <f t="shared" si="69"/>
      </c>
      <c r="Z26" s="936">
        <f t="shared" si="69"/>
      </c>
      <c r="AA26" s="446">
        <f t="shared" si="69"/>
      </c>
      <c r="AB26" s="446">
        <f t="shared" si="69"/>
      </c>
      <c r="AC26" s="446">
        <f t="shared" si="69"/>
      </c>
      <c r="AD26" s="446">
        <f t="shared" si="69"/>
      </c>
      <c r="AE26" s="936">
        <f t="shared" si="69"/>
      </c>
      <c r="AF26" s="446">
        <f t="shared" si="69"/>
      </c>
      <c r="AG26" s="446">
        <f t="shared" si="69"/>
      </c>
      <c r="AH26" s="446">
        <f t="shared" si="69"/>
      </c>
      <c r="AI26" s="446">
        <f t="shared" si="69"/>
      </c>
      <c r="AJ26" s="936">
        <f t="shared" si="69"/>
      </c>
      <c r="AK26" s="446">
        <f t="shared" si="69"/>
      </c>
      <c r="AL26" s="446">
        <f t="shared" si="69"/>
      </c>
      <c r="AM26" s="446">
        <f t="shared" si="69"/>
      </c>
      <c r="AN26" s="446">
        <f t="shared" si="69"/>
      </c>
      <c r="AO26" s="936">
        <f t="shared" si="69"/>
      </c>
      <c r="AP26" s="446">
        <f t="shared" si="69"/>
      </c>
      <c r="AQ26" s="446">
        <f t="shared" si="69"/>
      </c>
      <c r="AR26" s="446">
        <f t="shared" si="69"/>
      </c>
      <c r="AS26" s="446">
        <f t="shared" si="69"/>
      </c>
      <c r="AT26" s="936">
        <f t="shared" si="69"/>
      </c>
      <c r="AU26" s="446">
        <f t="shared" si="69"/>
      </c>
      <c r="AV26" s="446">
        <f t="shared" si="69"/>
      </c>
      <c r="AW26" s="446">
        <f t="shared" si="69"/>
      </c>
      <c r="AX26" s="446">
        <f t="shared" ref="AX26:BD26" si="70">AX24/AS24-1</f>
      </c>
      <c r="AY26" s="936">
        <f t="shared" si="70"/>
      </c>
      <c r="AZ26" s="446">
        <f t="shared" si="70"/>
      </c>
      <c r="BA26" s="446">
        <f t="shared" si="70"/>
      </c>
      <c r="BB26" s="446">
        <f t="shared" si="70"/>
      </c>
      <c r="BC26" s="446">
        <f t="shared" si="70"/>
      </c>
      <c r="BD26" s="936">
        <f t="shared" si="70"/>
      </c>
      <c r="BE26" s="446">
        <f t="shared" ref="BE26:BI26" si="71">BE24/AZ24-1</f>
      </c>
      <c r="BF26" s="446">
        <f t="shared" si="71"/>
      </c>
      <c r="BG26" s="446">
        <f t="shared" si="71"/>
      </c>
      <c r="BH26" s="446"/>
      <c r="BI26" s="936">
        <f t="shared" si="71"/>
      </c>
      <c r="BJ26" s="446"/>
      <c r="BK26" s="446"/>
      <c r="BL26" s="446"/>
      <c r="BM26" s="446"/>
      <c r="BN26" s="936"/>
      <c r="BO26" s="446"/>
      <c r="BP26" s="446"/>
      <c r="BQ26" s="446"/>
      <c r="BR26" s="446"/>
      <c r="BS26" s="936"/>
      <c r="BT26" s="665"/>
      <c r="BU26" s="446"/>
      <c r="BV26" s="446"/>
      <c r="BW26" s="446"/>
      <c r="BX26" s="936"/>
      <c r="BY26" s="446"/>
      <c r="BZ26" s="446"/>
      <c r="CA26" s="446"/>
      <c r="CB26" s="446"/>
      <c r="CC26" s="936"/>
      <c r="CD26" s="936"/>
      <c r="CE26" s="936"/>
      <c r="CF26" s="936"/>
      <c r="CG26" s="308"/>
    </row>
    <row r="27" spans="1:85" s="586" customFormat="1" ht="7.5" customHeight="1" x14ac:dyDescent="0.3">
      <c r="A27" s="365"/>
      <c r="B27" s="361"/>
      <c r="C27" s="941"/>
      <c r="D27" s="941"/>
      <c r="E27" s="941"/>
      <c r="F27" s="941"/>
      <c r="G27" s="362"/>
      <c r="H27" s="362"/>
      <c r="I27" s="362"/>
      <c r="J27" s="362"/>
      <c r="K27" s="941"/>
      <c r="L27" s="362"/>
      <c r="M27" s="362"/>
      <c r="N27" s="362"/>
      <c r="O27" s="362"/>
      <c r="P27" s="941"/>
      <c r="Q27" s="362"/>
      <c r="R27" s="362"/>
      <c r="S27" s="362"/>
      <c r="T27" s="362"/>
      <c r="U27" s="941"/>
      <c r="V27" s="362"/>
      <c r="W27" s="362"/>
      <c r="X27" s="362"/>
      <c r="Y27" s="362"/>
      <c r="Z27" s="941"/>
      <c r="AA27" s="362"/>
      <c r="AB27" s="362"/>
      <c r="AC27" s="362"/>
      <c r="AD27" s="362"/>
      <c r="AE27" s="941"/>
      <c r="AF27" s="362"/>
      <c r="AG27" s="362"/>
      <c r="AH27" s="362"/>
      <c r="AI27" s="362"/>
      <c r="AJ27" s="941"/>
      <c r="AK27" s="362"/>
      <c r="AL27" s="362"/>
      <c r="AM27" s="362"/>
      <c r="AN27" s="362"/>
      <c r="AO27" s="941"/>
      <c r="AP27" s="362"/>
      <c r="AQ27" s="362"/>
      <c r="AR27" s="362"/>
      <c r="AS27" s="362"/>
      <c r="AT27" s="941"/>
      <c r="AU27" s="362"/>
      <c r="AV27" s="362"/>
      <c r="AW27" s="362"/>
      <c r="AX27" s="362"/>
      <c r="AY27" s="941"/>
      <c r="AZ27" s="362"/>
      <c r="BA27" s="362"/>
      <c r="BB27" s="362"/>
      <c r="BC27" s="362"/>
      <c r="BD27" s="941"/>
      <c r="BE27" s="362"/>
      <c r="BF27" s="362"/>
      <c r="BG27" s="362"/>
      <c r="BH27" s="362"/>
      <c r="BI27" s="941"/>
      <c r="BJ27" s="362"/>
      <c r="BK27" s="362"/>
      <c r="BL27" s="362"/>
      <c r="BM27" s="362"/>
      <c r="BN27" s="941"/>
      <c r="BO27" s="362"/>
      <c r="BP27" s="362"/>
      <c r="BQ27" s="362"/>
      <c r="BR27" s="362"/>
      <c r="BS27" s="941"/>
      <c r="BT27" s="668"/>
      <c r="BU27" s="362"/>
      <c r="BV27" s="362"/>
      <c r="BW27" s="362"/>
      <c r="BX27" s="941"/>
      <c r="BY27" s="362"/>
      <c r="BZ27" s="362"/>
      <c r="CA27" s="362"/>
      <c r="CB27" s="362"/>
      <c r="CC27" s="941"/>
      <c r="CD27" s="941"/>
      <c r="CE27" s="941"/>
      <c r="CF27" s="941"/>
      <c r="CG27" s="308"/>
    </row>
    <row r="28" spans="1:85" s="587" customFormat="1" x14ac:dyDescent="0.3">
      <c r="A28" s="429" t="s">
        <v>7</v>
      </c>
      <c r="B28" s="112"/>
      <c r="C28" s="940">
        <f t="shared" ref="C28:D28" si="72">C462</f>
      </c>
      <c r="D28" s="940">
        <f t="shared" si="72"/>
      </c>
      <c r="E28" s="940">
        <f>E462</f>
      </c>
      <c r="F28" s="940">
        <f t="shared" ref="F28:AK28" si="73">F21+F24</f>
      </c>
      <c r="G28" s="778">
        <f t="shared" si="73"/>
      </c>
      <c r="H28" s="778">
        <f t="shared" si="73"/>
      </c>
      <c r="I28" s="778">
        <f t="shared" si="73"/>
      </c>
      <c r="J28" s="778">
        <f t="shared" si="73"/>
      </c>
      <c r="K28" s="940">
        <f t="shared" si="73"/>
      </c>
      <c r="L28" s="778">
        <f t="shared" si="73"/>
      </c>
      <c r="M28" s="778">
        <f t="shared" si="73"/>
      </c>
      <c r="N28" s="778">
        <f t="shared" si="73"/>
      </c>
      <c r="O28" s="778">
        <f t="shared" si="73"/>
      </c>
      <c r="P28" s="940">
        <f t="shared" si="73"/>
      </c>
      <c r="Q28" s="778">
        <f t="shared" si="73"/>
      </c>
      <c r="R28" s="778">
        <f t="shared" si="73"/>
      </c>
      <c r="S28" s="778">
        <f t="shared" si="73"/>
      </c>
      <c r="T28" s="778">
        <f t="shared" si="73"/>
      </c>
      <c r="U28" s="940">
        <f t="shared" si="73"/>
      </c>
      <c r="V28" s="778">
        <f t="shared" si="73"/>
      </c>
      <c r="W28" s="778">
        <f t="shared" si="73"/>
      </c>
      <c r="X28" s="778">
        <f t="shared" si="73"/>
      </c>
      <c r="Y28" s="778">
        <f t="shared" si="73"/>
      </c>
      <c r="Z28" s="940">
        <f t="shared" si="73"/>
      </c>
      <c r="AA28" s="778">
        <f t="shared" si="73"/>
      </c>
      <c r="AB28" s="778">
        <f t="shared" si="73"/>
      </c>
      <c r="AC28" s="778">
        <f t="shared" si="73"/>
      </c>
      <c r="AD28" s="778">
        <f t="shared" si="73"/>
      </c>
      <c r="AE28" s="940">
        <f t="shared" si="73"/>
      </c>
      <c r="AF28" s="778">
        <f t="shared" si="73"/>
      </c>
      <c r="AG28" s="778">
        <f t="shared" si="73"/>
      </c>
      <c r="AH28" s="778">
        <f t="shared" si="73"/>
      </c>
      <c r="AI28" s="778">
        <f t="shared" si="73"/>
      </c>
      <c r="AJ28" s="940">
        <f t="shared" si="73"/>
      </c>
      <c r="AK28" s="778">
        <f t="shared" si="73"/>
      </c>
      <c r="AL28" s="778">
        <f t="shared" ref="AL28:AW28" si="74">AL21+AL24</f>
      </c>
      <c r="AM28" s="778">
        <f t="shared" si="74"/>
      </c>
      <c r="AN28" s="778">
        <f t="shared" si="74"/>
      </c>
      <c r="AO28" s="940">
        <f t="shared" si="74"/>
      </c>
      <c r="AP28" s="778">
        <f t="shared" si="74"/>
      </c>
      <c r="AQ28" s="778">
        <f t="shared" si="74"/>
      </c>
      <c r="AR28" s="778">
        <f t="shared" si="74"/>
      </c>
      <c r="AS28" s="778">
        <f t="shared" si="74"/>
      </c>
      <c r="AT28" s="940">
        <f t="shared" si="74"/>
      </c>
      <c r="AU28" s="778">
        <f t="shared" si="74"/>
      </c>
      <c r="AV28" s="778">
        <f t="shared" si="74"/>
      </c>
      <c r="AW28" s="778">
        <f t="shared" si="74"/>
      </c>
      <c r="AX28" s="778">
        <f t="shared" ref="AX28:BD28" si="75">AX21+AX24</f>
      </c>
      <c r="AY28" s="940">
        <f t="shared" si="75"/>
      </c>
      <c r="AZ28" s="778">
        <f t="shared" si="75"/>
      </c>
      <c r="BA28" s="778">
        <f t="shared" si="75"/>
      </c>
      <c r="BB28" s="778">
        <f t="shared" si="75"/>
      </c>
      <c r="BC28" s="778">
        <f t="shared" si="75"/>
      </c>
      <c r="BD28" s="940">
        <f t="shared" si="75"/>
      </c>
      <c r="BE28" s="778">
        <f t="shared" ref="BE28:BI28" si="76">BE21+BE24</f>
      </c>
      <c r="BF28" s="778">
        <f t="shared" si="76"/>
      </c>
      <c r="BG28" s="778">
        <f t="shared" si="76"/>
      </c>
      <c r="BH28" s="778">
        <f t="shared" si="76"/>
      </c>
      <c r="BI28" s="940">
        <f t="shared" si="76"/>
      </c>
      <c r="BJ28" s="778">
        <f t="shared" ref="BJ28:BX28" si="77">BJ21+BJ24</f>
      </c>
      <c r="BK28" s="778">
        <f t="shared" si="77"/>
      </c>
      <c r="BL28" s="778">
        <f t="shared" si="77"/>
      </c>
      <c r="BM28" s="778">
        <f t="shared" si="77"/>
      </c>
      <c r="BN28" s="940">
        <f t="shared" si="77"/>
      </c>
      <c r="BO28" s="778">
        <f t="shared" ref="BO28:BW28" si="78">BO21+BO24</f>
      </c>
      <c r="BP28" s="778">
        <f t="shared" si="78"/>
      </c>
      <c r="BQ28" s="778">
        <f t="shared" si="78"/>
      </c>
      <c r="BR28" s="778">
        <f t="shared" si="78"/>
      </c>
      <c r="BS28" s="940">
        <f t="shared" si="78"/>
      </c>
      <c r="BT28" s="779">
        <f>BT21+BT24</f>
      </c>
      <c r="BU28" s="778">
        <f t="shared" si="78"/>
      </c>
      <c r="BV28" s="778">
        <f t="shared" si="78"/>
      </c>
      <c r="BW28" s="778">
        <f t="shared" si="78"/>
      </c>
      <c r="BX28" s="940">
        <f t="shared" si="77"/>
      </c>
      <c r="BY28" s="778">
        <f t="shared" ref="BY28:CF28" si="79">BY21+BY24</f>
      </c>
      <c r="BZ28" s="778">
        <f t="shared" si="79"/>
      </c>
      <c r="CA28" s="778">
        <f t="shared" si="79"/>
      </c>
      <c r="CB28" s="778">
        <f t="shared" si="79"/>
      </c>
      <c r="CC28" s="940">
        <f t="shared" si="79"/>
      </c>
      <c r="CD28" s="940">
        <f t="shared" si="79"/>
      </c>
      <c r="CE28" s="940">
        <f t="shared" si="79"/>
      </c>
      <c r="CF28" s="940">
        <f t="shared" si="79"/>
      </c>
      <c r="CG28" s="183"/>
    </row>
    <row r="29" spans="1:85" s="588" customFormat="1" x14ac:dyDescent="0.3">
      <c r="A29" s="767" t="str">
        <f>A463</f>
      </c>
      <c r="B29" s="768"/>
      <c r="C29" s="942"/>
      <c r="D29" s="942"/>
      <c r="E29" s="942"/>
      <c r="F29" s="942"/>
      <c r="G29" s="780"/>
      <c r="H29" s="780"/>
      <c r="I29" s="780"/>
      <c r="J29" s="780"/>
      <c r="K29" s="942"/>
      <c r="L29" s="780"/>
      <c r="M29" s="780"/>
      <c r="N29" s="780"/>
      <c r="O29" s="780"/>
      <c r="P29" s="942"/>
      <c r="Q29" s="780"/>
      <c r="R29" s="780"/>
      <c r="S29" s="780"/>
      <c r="T29" s="780"/>
      <c r="U29" s="942"/>
      <c r="V29" s="780"/>
      <c r="W29" s="780"/>
      <c r="X29" s="780"/>
      <c r="Y29" s="780"/>
      <c r="Z29" s="942"/>
      <c r="AA29" s="780"/>
      <c r="AB29" s="780"/>
      <c r="AC29" s="780"/>
      <c r="AD29" s="780"/>
      <c r="AE29" s="942"/>
      <c r="AF29" s="780"/>
      <c r="AG29" s="780"/>
      <c r="AH29" s="780"/>
      <c r="AI29" s="780"/>
      <c r="AJ29" s="942"/>
      <c r="AK29" s="780"/>
      <c r="AL29" s="780"/>
      <c r="AM29" s="780"/>
      <c r="AN29" s="780"/>
      <c r="AO29" s="942"/>
      <c r="AP29" s="780"/>
      <c r="AQ29" s="780"/>
      <c r="AR29" s="780"/>
      <c r="AS29" s="780"/>
      <c r="AT29" s="942"/>
      <c r="AU29" s="780"/>
      <c r="AV29" s="780"/>
      <c r="AW29" s="780"/>
      <c r="AX29" s="780"/>
      <c r="AY29" s="942"/>
      <c r="AZ29" s="780"/>
      <c r="BA29" s="780"/>
      <c r="BB29" s="780"/>
      <c r="BC29" s="780"/>
      <c r="BD29" s="942"/>
      <c r="BE29" s="780"/>
      <c r="BF29" s="780"/>
      <c r="BG29" s="780"/>
      <c r="BH29" s="780"/>
      <c r="BI29" s="942"/>
      <c r="BJ29" s="780"/>
      <c r="BK29" s="780"/>
      <c r="BL29" s="780"/>
      <c r="BM29" s="780"/>
      <c r="BN29" s="942"/>
      <c r="BO29" s="780"/>
      <c r="BP29" s="780"/>
      <c r="BQ29" s="780"/>
      <c r="BR29" s="780"/>
      <c r="BS29" s="942"/>
      <c r="BT29" s="781"/>
      <c r="BU29" s="780" t="str">
        <f t="shared" ref="BU29:CF29" ca="1" si="80">BU463</f>
      </c>
      <c r="BV29" s="780" t="str">
        <f t="shared" ca="1" si="80"/>
      </c>
      <c r="BW29" s="780" t="str">
        <f t="shared" ca="1" si="80"/>
      </c>
      <c r="BX29" s="942" t="str">
        <f t="shared" ca="1" si="80"/>
      </c>
      <c r="BY29" s="780" t="str">
        <f t="shared" ca="1" si="80"/>
      </c>
      <c r="BZ29" s="780" t="str">
        <f t="shared" ca="1" si="80"/>
      </c>
      <c r="CA29" s="780" t="str">
        <f t="shared" ca="1" si="80"/>
      </c>
      <c r="CB29" s="780" t="str">
        <f t="shared" ca="1" si="80"/>
      </c>
      <c r="CC29" s="942" t="str">
        <f t="shared" ca="1" si="80"/>
      </c>
      <c r="CD29" s="942" t="str">
        <f t="shared" ca="1" si="80"/>
      </c>
      <c r="CE29" s="942" t="str">
        <f t="shared" ca="1" si="80"/>
      </c>
      <c r="CF29" s="942" t="str">
        <f t="shared" ca="1" si="80"/>
      </c>
      <c r="CG29" s="222"/>
    </row>
    <row r="30" spans="1:85" s="588" customFormat="1" x14ac:dyDescent="0.3">
      <c r="A30" s="767" t="str">
        <f>A464</f>
      </c>
      <c r="B30" s="768"/>
      <c r="C30" s="942"/>
      <c r="D30" s="942"/>
      <c r="E30" s="942"/>
      <c r="F30" s="942"/>
      <c r="G30" s="780"/>
      <c r="H30" s="780"/>
      <c r="I30" s="780"/>
      <c r="J30" s="780"/>
      <c r="K30" s="942"/>
      <c r="L30" s="780"/>
      <c r="M30" s="780"/>
      <c r="N30" s="780"/>
      <c r="O30" s="780"/>
      <c r="P30" s="942"/>
      <c r="Q30" s="780"/>
      <c r="R30" s="780"/>
      <c r="S30" s="780"/>
      <c r="T30" s="780"/>
      <c r="U30" s="942"/>
      <c r="V30" s="780"/>
      <c r="W30" s="780"/>
      <c r="X30" s="780"/>
      <c r="Y30" s="780"/>
      <c r="Z30" s="942"/>
      <c r="AA30" s="780"/>
      <c r="AB30" s="780"/>
      <c r="AC30" s="780"/>
      <c r="AD30" s="780" t="str">
        <f t="shared" ref="AD30:BN30" si="81">AD464</f>
      </c>
      <c r="AE30" s="942" t="str">
        <f t="shared" si="81"/>
      </c>
      <c r="AF30" s="780" t="str">
        <f t="shared" si="81"/>
      </c>
      <c r="AG30" s="780" t="str">
        <f t="shared" si="81"/>
      </c>
      <c r="AH30" s="780">
        <f t="shared" si="81"/>
      </c>
      <c r="AI30" s="780">
        <f t="shared" si="81"/>
      </c>
      <c r="AJ30" s="942" t="str">
        <f t="shared" si="81"/>
      </c>
      <c r="AK30" s="780">
        <f t="shared" si="81"/>
      </c>
      <c r="AL30" s="780">
        <f t="shared" si="81"/>
      </c>
      <c r="AM30" s="780">
        <f t="shared" si="81"/>
      </c>
      <c r="AN30" s="780">
        <f t="shared" si="81"/>
      </c>
      <c r="AO30" s="942" t="str">
        <f t="shared" si="81"/>
      </c>
      <c r="AP30" s="780">
        <f t="shared" si="81"/>
      </c>
      <c r="AQ30" s="780">
        <f t="shared" si="81"/>
      </c>
      <c r="AR30" s="780">
        <f t="shared" si="81"/>
      </c>
      <c r="AS30" s="780">
        <f t="shared" si="81"/>
      </c>
      <c r="AT30" s="942" t="str">
        <f t="shared" si="81"/>
      </c>
      <c r="AU30" s="780">
        <f t="shared" si="81"/>
      </c>
      <c r="AV30" s="780">
        <f t="shared" si="81"/>
      </c>
      <c r="AW30" s="780">
        <f t="shared" si="81"/>
      </c>
      <c r="AX30" s="780">
        <f t="shared" si="81"/>
      </c>
      <c r="AY30" s="942" t="str">
        <f t="shared" si="81"/>
      </c>
      <c r="AZ30" s="780">
        <f t="shared" si="81"/>
      </c>
      <c r="BA30" s="780">
        <f t="shared" si="81"/>
      </c>
      <c r="BB30" s="780">
        <f t="shared" si="81"/>
      </c>
      <c r="BC30" s="780">
        <f t="shared" si="81"/>
      </c>
      <c r="BD30" s="942" t="str">
        <f t="shared" si="81"/>
      </c>
      <c r="BE30" s="780">
        <f t="shared" si="81"/>
      </c>
      <c r="BF30" s="780">
        <f t="shared" si="81"/>
      </c>
      <c r="BG30" s="780">
        <f t="shared" si="81"/>
      </c>
      <c r="BH30" s="780">
        <f t="shared" si="81"/>
      </c>
      <c r="BI30" s="942" t="str">
        <f t="shared" si="81"/>
      </c>
      <c r="BJ30" s="780">
        <f t="shared" si="81"/>
      </c>
      <c r="BK30" s="780">
        <f t="shared" si="81"/>
      </c>
      <c r="BL30" s="780">
        <f t="shared" si="81"/>
      </c>
      <c r="BM30" s="780">
        <f t="shared" si="81"/>
      </c>
      <c r="BN30" s="942" t="str">
        <f t="shared" si="81"/>
      </c>
      <c r="BO30" s="780">
        <f t="shared" ref="BO30:BP30" si="82">BO464</f>
      </c>
      <c r="BP30" s="780">
        <f t="shared" si="82"/>
      </c>
      <c r="BQ30" s="780">
        <f t="shared" ref="BQ30:BW30" si="83">BQ464</f>
      </c>
      <c r="BR30" s="780">
        <f t="shared" si="83"/>
      </c>
      <c r="BS30" s="942">
        <f t="shared" si="83"/>
      </c>
      <c r="BT30" s="781">
        <f>BT464</f>
      </c>
      <c r="BU30" s="780">
        <f t="shared" si="83"/>
      </c>
      <c r="BV30" s="780" t="str">
        <f t="shared" si="83"/>
      </c>
      <c r="BW30" s="780" t="str">
        <f t="shared" si="83"/>
      </c>
      <c r="BX30" s="942">
        <f t="shared" ref="BX30" si="84">BX464</f>
      </c>
      <c r="BY30" s="780" t="str">
        <f t="shared" ref="BY30:CF30" si="85">BY464</f>
      </c>
      <c r="BZ30" s="780" t="str">
        <f t="shared" si="85"/>
      </c>
      <c r="CA30" s="780" t="str">
        <f t="shared" si="85"/>
      </c>
      <c r="CB30" s="780" t="str">
        <f t="shared" si="85"/>
      </c>
      <c r="CC30" s="942" t="str">
        <f t="shared" si="85"/>
      </c>
      <c r="CD30" s="942" t="str">
        <f t="shared" si="85"/>
      </c>
      <c r="CE30" s="942" t="str">
        <f t="shared" si="85"/>
      </c>
      <c r="CF30" s="942" t="str">
        <f t="shared" si="85"/>
      </c>
      <c r="CG30" s="222"/>
    </row>
    <row r="31" spans="1:85" s="587" customFormat="1" x14ac:dyDescent="0.3">
      <c r="A31" s="767" t="s">
        <v>603</v>
      </c>
      <c r="B31" s="768"/>
      <c r="C31" s="936"/>
      <c r="D31" s="936"/>
      <c r="E31" s="936"/>
      <c r="F31" s="936"/>
      <c r="G31" s="446"/>
      <c r="H31" s="446">
        <f>H28/G28-1</f>
      </c>
      <c r="I31" s="446">
        <f>I28/H28-1</f>
      </c>
      <c r="J31" s="446">
        <f>J28/I28-1</f>
      </c>
      <c r="K31" s="936"/>
      <c r="L31" s="446">
        <f>L28/J28-1</f>
      </c>
      <c r="M31" s="446">
        <f>M28/L28-1</f>
      </c>
      <c r="N31" s="446">
        <f>N28/M28-1</f>
      </c>
      <c r="O31" s="446">
        <f>O28/N28-1</f>
      </c>
      <c r="P31" s="936"/>
      <c r="Q31" s="446">
        <f>Q28/O28-1</f>
      </c>
      <c r="R31" s="446">
        <f>R28/Q28-1</f>
      </c>
      <c r="S31" s="446">
        <f>S28/R28-1</f>
      </c>
      <c r="T31" s="446">
        <f>T28/S28-1</f>
      </c>
      <c r="U31" s="936"/>
      <c r="V31" s="446">
        <f>V28/T28-1</f>
      </c>
      <c r="W31" s="446">
        <f>W28/V28-1</f>
      </c>
      <c r="X31" s="446">
        <f>X28/W28-1</f>
      </c>
      <c r="Y31" s="446">
        <f>Y28/X28-1</f>
      </c>
      <c r="Z31" s="936"/>
      <c r="AA31" s="446">
        <f>AA28/Y28-1</f>
      </c>
      <c r="AB31" s="446">
        <f>AB28/AA28-1</f>
      </c>
      <c r="AC31" s="446">
        <f>AC28/AB28-1</f>
      </c>
      <c r="AD31" s="446">
        <f>AD28/AC28-1</f>
      </c>
      <c r="AE31" s="936"/>
      <c r="AF31" s="446">
        <f>AF28/AD28-1</f>
      </c>
      <c r="AG31" s="446">
        <f>AG28/AF28-1</f>
      </c>
      <c r="AH31" s="446">
        <f>AH28/AG28-1</f>
      </c>
      <c r="AI31" s="446">
        <f>AI28/AH28-1</f>
      </c>
      <c r="AJ31" s="936"/>
      <c r="AK31" s="446">
        <f>AK28/AI28-1</f>
      </c>
      <c r="AL31" s="446">
        <f>AL28/AK28-1</f>
      </c>
      <c r="AM31" s="446">
        <f>AM28/AL28-1</f>
      </c>
      <c r="AN31" s="446">
        <f>AN28/AM28-1</f>
      </c>
      <c r="AO31" s="936"/>
      <c r="AP31" s="446">
        <f>AP28/AN28-1</f>
      </c>
      <c r="AQ31" s="446">
        <f>AQ28/AP28-1</f>
      </c>
      <c r="AR31" s="446">
        <f>AR28/AQ28-1</f>
      </c>
      <c r="AS31" s="446">
        <f>AS28/AR28-1</f>
      </c>
      <c r="AT31" s="936"/>
      <c r="AU31" s="446">
        <f>AU28/AS28-1</f>
      </c>
      <c r="AV31" s="446">
        <f>AV28/AU28-1</f>
      </c>
      <c r="AW31" s="446">
        <f>AW28/AV28-1</f>
      </c>
      <c r="AX31" s="446">
        <f>AX28/AW28-1</f>
      </c>
      <c r="AY31" s="936"/>
      <c r="AZ31" s="446">
        <f>AZ28/AX28-1</f>
      </c>
      <c r="BA31" s="446">
        <f>BA28/AZ28-1</f>
      </c>
      <c r="BB31" s="446">
        <f>BB28/BA28-1</f>
      </c>
      <c r="BC31" s="446">
        <f>BC28/BB28-1</f>
      </c>
      <c r="BD31" s="936"/>
      <c r="BE31" s="446">
        <f>BE28/BC28-1</f>
      </c>
      <c r="BF31" s="446">
        <f>BF28/BE28-1</f>
      </c>
      <c r="BG31" s="446">
        <f>BG28/BF28-1</f>
      </c>
      <c r="BH31" s="446">
        <f>BH28/BG28-1</f>
      </c>
      <c r="BI31" s="936"/>
      <c r="BJ31" s="446">
        <f>BJ28/BH28-1</f>
      </c>
      <c r="BK31" s="446">
        <f>BK28/BJ28-1</f>
      </c>
      <c r="BL31" s="446">
        <f>BL28/BK28-1</f>
      </c>
      <c r="BM31" s="446">
        <f>BM28/BL28-1</f>
      </c>
      <c r="BN31" s="936"/>
      <c r="BO31" s="446">
        <f>BO28/BM28-1</f>
      </c>
      <c r="BP31" s="446">
        <f>BP28/BO28-1</f>
      </c>
      <c r="BQ31" s="446">
        <f>BQ28/BP28-1</f>
      </c>
      <c r="BR31" s="446">
        <f>BR28/BQ28-1</f>
      </c>
      <c r="BS31" s="936"/>
      <c r="BT31" s="665">
        <f>BT28/BR28-1</f>
      </c>
      <c r="BU31" s="446">
        <f>BU28/BT28-1</f>
      </c>
      <c r="BV31" s="446">
        <f>BV28/BU28-1</f>
      </c>
      <c r="BW31" s="446">
        <f>BW28/BV28-1</f>
      </c>
      <c r="BX31" s="936"/>
      <c r="BY31" s="446">
        <f>BY28/BW28-1</f>
      </c>
      <c r="BZ31" s="446">
        <f>BZ28/BY28-1</f>
      </c>
      <c r="CA31" s="446">
        <f>CA28/BZ28-1</f>
      </c>
      <c r="CB31" s="446">
        <f>CB28/CA28-1</f>
      </c>
      <c r="CC31" s="936"/>
      <c r="CD31" s="936"/>
      <c r="CE31" s="936"/>
      <c r="CF31" s="936"/>
      <c r="CG31" s="183"/>
    </row>
    <row r="32" spans="1:85" s="587" customFormat="1" x14ac:dyDescent="0.3">
      <c r="A32" s="767" t="s">
        <v>650</v>
      </c>
      <c r="B32" s="768"/>
      <c r="C32" s="936"/>
      <c r="D32" s="936"/>
      <c r="E32" s="936"/>
      <c r="F32" s="936"/>
      <c r="G32" s="446"/>
      <c r="H32" s="446"/>
      <c r="I32" s="446"/>
      <c r="J32" s="446"/>
      <c r="K32" s="936"/>
      <c r="L32" s="446"/>
      <c r="M32" s="446"/>
      <c r="N32" s="446"/>
      <c r="O32" s="446"/>
      <c r="P32" s="936"/>
      <c r="Q32" s="446"/>
      <c r="R32" s="446"/>
      <c r="S32" s="446"/>
      <c r="T32" s="446"/>
      <c r="U32" s="936"/>
      <c r="V32" s="446"/>
      <c r="W32" s="446"/>
      <c r="X32" s="446"/>
      <c r="Y32" s="446"/>
      <c r="Z32" s="936"/>
      <c r="AA32" s="446"/>
      <c r="AB32" s="446"/>
      <c r="AC32" s="446"/>
      <c r="AD32" s="446"/>
      <c r="AE32" s="936"/>
      <c r="AF32" s="446"/>
      <c r="AG32" s="446"/>
      <c r="AH32" s="446"/>
      <c r="AI32" s="446"/>
      <c r="AJ32" s="936"/>
      <c r="AK32" s="446">
        <f t="shared" ref="AK32:BI32" si="86">AK35/AF28-1</f>
      </c>
      <c r="AL32" s="446">
        <f t="shared" si="86"/>
      </c>
      <c r="AM32" s="446">
        <f t="shared" si="86"/>
      </c>
      <c r="AN32" s="446">
        <f t="shared" si="86"/>
      </c>
      <c r="AO32" s="936">
        <f t="shared" si="86"/>
      </c>
      <c r="AP32" s="446">
        <f t="shared" si="86"/>
      </c>
      <c r="AQ32" s="446">
        <f t="shared" si="86"/>
      </c>
      <c r="AR32" s="446">
        <f t="shared" si="86"/>
      </c>
      <c r="AS32" s="446">
        <f t="shared" si="86"/>
      </c>
      <c r="AT32" s="936">
        <f t="shared" si="86"/>
      </c>
      <c r="AU32" s="446">
        <f t="shared" si="86"/>
      </c>
      <c r="AV32" s="446">
        <f t="shared" si="86"/>
      </c>
      <c r="AW32" s="446">
        <f t="shared" si="86"/>
      </c>
      <c r="AX32" s="446">
        <f t="shared" si="86"/>
      </c>
      <c r="AY32" s="936">
        <f t="shared" si="86"/>
      </c>
      <c r="AZ32" s="446">
        <f t="shared" si="86"/>
      </c>
      <c r="BA32" s="446">
        <f t="shared" si="86"/>
      </c>
      <c r="BB32" s="446">
        <f t="shared" si="86"/>
      </c>
      <c r="BC32" s="446">
        <f t="shared" si="86"/>
      </c>
      <c r="BD32" s="936">
        <f t="shared" si="86"/>
      </c>
      <c r="BE32" s="446">
        <f t="shared" si="86"/>
      </c>
      <c r="BF32" s="446">
        <f t="shared" si="86"/>
      </c>
      <c r="BG32" s="446">
        <f t="shared" si="86"/>
      </c>
      <c r="BH32" s="446">
        <f t="shared" si="86"/>
      </c>
      <c r="BI32" s="936">
        <f t="shared" si="86"/>
      </c>
      <c r="BJ32" s="446">
        <f t="shared" ref="BJ32:BP32" si="87">BJ312</f>
      </c>
      <c r="BK32" s="446">
        <f t="shared" si="87"/>
      </c>
      <c r="BL32" s="446">
        <f t="shared" si="87"/>
      </c>
      <c r="BM32" s="446">
        <f t="shared" si="87"/>
      </c>
      <c r="BN32" s="936">
        <f t="shared" si="87"/>
      </c>
      <c r="BO32" s="446">
        <f t="shared" si="87"/>
      </c>
      <c r="BP32" s="446">
        <f t="shared" si="87"/>
      </c>
      <c r="BQ32" s="446">
        <f>BQ312</f>
      </c>
      <c r="BR32" s="446">
        <f>BR312</f>
      </c>
      <c r="BS32" s="936">
        <f>BS312</f>
      </c>
      <c r="BT32" s="665">
        <f>BT312</f>
      </c>
      <c r="BU32" s="446"/>
      <c r="BV32" s="446"/>
      <c r="BW32" s="446"/>
      <c r="BX32" s="936"/>
      <c r="BY32" s="446"/>
      <c r="BZ32" s="446"/>
      <c r="CA32" s="446"/>
      <c r="CB32" s="446"/>
      <c r="CC32" s="936"/>
      <c r="CD32" s="936"/>
      <c r="CE32" s="936"/>
      <c r="CF32" s="936"/>
      <c r="CG32" s="183"/>
    </row>
    <row r="33" spans="1:85" s="583" customFormat="1" x14ac:dyDescent="0.3">
      <c r="A33" s="47" t="s">
        <v>602</v>
      </c>
      <c r="B33" s="305"/>
      <c r="C33" s="936"/>
      <c r="D33" s="937">
        <f>D28/C28-1</f>
      </c>
      <c r="E33" s="937">
        <f>E28/D28-1</f>
      </c>
      <c r="F33" s="937">
        <f>F28/E28-1</f>
      </c>
      <c r="G33" s="446"/>
      <c r="H33" s="446"/>
      <c r="I33" s="446"/>
      <c r="J33" s="446"/>
      <c r="K33" s="937">
        <f t="shared" ref="K33:AW33" si="88">K28/F28-1</f>
      </c>
      <c r="L33" s="619">
        <f t="shared" si="88"/>
      </c>
      <c r="M33" s="619">
        <f t="shared" si="88"/>
      </c>
      <c r="N33" s="619">
        <f t="shared" si="88"/>
      </c>
      <c r="O33" s="619">
        <f t="shared" si="88"/>
      </c>
      <c r="P33" s="937">
        <f t="shared" si="88"/>
      </c>
      <c r="Q33" s="619">
        <f t="shared" si="88"/>
      </c>
      <c r="R33" s="619">
        <f t="shared" si="88"/>
      </c>
      <c r="S33" s="619">
        <f t="shared" si="88"/>
      </c>
      <c r="T33" s="619">
        <f t="shared" si="88"/>
      </c>
      <c r="U33" s="937">
        <f t="shared" si="88"/>
      </c>
      <c r="V33" s="619">
        <f t="shared" si="88"/>
      </c>
      <c r="W33" s="619">
        <f t="shared" si="88"/>
      </c>
      <c r="X33" s="619">
        <f t="shared" si="88"/>
      </c>
      <c r="Y33" s="446">
        <f t="shared" si="88"/>
      </c>
      <c r="Z33" s="936">
        <f t="shared" si="88"/>
      </c>
      <c r="AA33" s="619">
        <f t="shared" si="88"/>
      </c>
      <c r="AB33" s="619">
        <f t="shared" si="88"/>
      </c>
      <c r="AC33" s="619">
        <f t="shared" si="88"/>
      </c>
      <c r="AD33" s="446">
        <f t="shared" si="88"/>
      </c>
      <c r="AE33" s="936">
        <f t="shared" si="88"/>
      </c>
      <c r="AF33" s="619">
        <f t="shared" si="88"/>
      </c>
      <c r="AG33" s="619">
        <f t="shared" si="88"/>
      </c>
      <c r="AH33" s="619">
        <f t="shared" si="88"/>
      </c>
      <c r="AI33" s="446">
        <f t="shared" si="88"/>
      </c>
      <c r="AJ33" s="936">
        <f t="shared" si="88"/>
      </c>
      <c r="AK33" s="619">
        <f t="shared" si="88"/>
      </c>
      <c r="AL33" s="619">
        <f t="shared" si="88"/>
      </c>
      <c r="AM33" s="619">
        <f t="shared" si="88"/>
      </c>
      <c r="AN33" s="446">
        <f t="shared" si="88"/>
      </c>
      <c r="AO33" s="936">
        <f t="shared" si="88"/>
      </c>
      <c r="AP33" s="619">
        <f t="shared" si="88"/>
      </c>
      <c r="AQ33" s="619">
        <f t="shared" si="88"/>
      </c>
      <c r="AR33" s="619">
        <f t="shared" si="88"/>
      </c>
      <c r="AS33" s="446">
        <f t="shared" si="88"/>
      </c>
      <c r="AT33" s="936">
        <f t="shared" si="88"/>
      </c>
      <c r="AU33" s="619">
        <f t="shared" si="88"/>
      </c>
      <c r="AV33" s="619">
        <f t="shared" si="88"/>
      </c>
      <c r="AW33" s="619">
        <f t="shared" si="88"/>
      </c>
      <c r="AX33" s="446">
        <f t="shared" ref="AX33:BD33" si="89">AX28/AS28-1</f>
      </c>
      <c r="AY33" s="936">
        <f t="shared" si="89"/>
      </c>
      <c r="AZ33" s="619">
        <f t="shared" si="89"/>
      </c>
      <c r="BA33" s="619">
        <f t="shared" si="89"/>
      </c>
      <c r="BB33" s="619">
        <f t="shared" si="89"/>
      </c>
      <c r="BC33" s="446">
        <f t="shared" si="89"/>
      </c>
      <c r="BD33" s="936">
        <f t="shared" si="89"/>
      </c>
      <c r="BE33" s="619">
        <f t="shared" ref="BE33:BI33" si="90">BE28/AZ28-1</f>
      </c>
      <c r="BF33" s="619">
        <f t="shared" si="90"/>
      </c>
      <c r="BG33" s="619">
        <f t="shared" si="90"/>
      </c>
      <c r="BH33" s="446">
        <f t="shared" si="90"/>
      </c>
      <c r="BI33" s="936">
        <f t="shared" si="90"/>
      </c>
      <c r="BJ33" s="619">
        <f t="shared" ref="BJ33:BX33" si="91">BJ28/BE28-1</f>
      </c>
      <c r="BK33" s="619">
        <f t="shared" si="91"/>
      </c>
      <c r="BL33" s="619">
        <f t="shared" si="91"/>
      </c>
      <c r="BM33" s="446">
        <f t="shared" si="91"/>
      </c>
      <c r="BN33" s="936">
        <f t="shared" si="91"/>
      </c>
      <c r="BO33" s="619">
        <f t="shared" ref="BO33:BW33" si="92">BO28/BJ28-1</f>
      </c>
      <c r="BP33" s="619">
        <f t="shared" si="92"/>
      </c>
      <c r="BQ33" s="619">
        <f t="shared" si="92"/>
      </c>
      <c r="BR33" s="446">
        <f t="shared" si="92"/>
      </c>
      <c r="BS33" s="936">
        <f t="shared" si="92"/>
      </c>
      <c r="BT33" s="664">
        <f>BT28/BO28-1</f>
      </c>
      <c r="BU33" s="446">
        <f t="shared" si="92"/>
      </c>
      <c r="BV33" s="446">
        <f t="shared" si="92"/>
      </c>
      <c r="BW33" s="446">
        <f t="shared" si="92"/>
      </c>
      <c r="BX33" s="936">
        <f t="shared" si="91"/>
      </c>
      <c r="BY33" s="446">
        <f>BY28/BT28-1</f>
      </c>
      <c r="BZ33" s="446">
        <f>BZ28/BU28-1</f>
      </c>
      <c r="CA33" s="446">
        <f>CA28/BV28-1</f>
      </c>
      <c r="CB33" s="446">
        <f>CB28/BW28-1</f>
      </c>
      <c r="CC33" s="936">
        <f>CC28/BX28-1</f>
      </c>
      <c r="CD33" s="936">
        <f>CD28/CC28-1</f>
      </c>
      <c r="CE33" s="936">
        <f>CE28/CD28-1</f>
      </c>
      <c r="CF33" s="936">
        <f>CF28/CE28-1</f>
      </c>
      <c r="CG33" s="308"/>
    </row>
    <row r="34" spans="1:85" s="583" customFormat="1" hidden="1" outlineLevel="1" x14ac:dyDescent="0.3">
      <c r="A34" s="69"/>
      <c r="B34" s="305"/>
      <c r="C34" s="936"/>
      <c r="D34" s="936"/>
      <c r="E34" s="936"/>
      <c r="F34" s="936"/>
      <c r="G34" s="446"/>
      <c r="H34" s="446"/>
      <c r="I34" s="446"/>
      <c r="J34" s="446"/>
      <c r="K34" s="936"/>
      <c r="L34" s="446"/>
      <c r="M34" s="446"/>
      <c r="N34" s="446"/>
      <c r="O34" s="446"/>
      <c r="P34" s="936"/>
      <c r="Q34" s="446"/>
      <c r="R34" s="446"/>
      <c r="S34" s="446"/>
      <c r="T34" s="446"/>
      <c r="U34" s="936"/>
      <c r="V34" s="446"/>
      <c r="W34" s="446"/>
      <c r="X34" s="446"/>
      <c r="Y34" s="446"/>
      <c r="Z34" s="936"/>
      <c r="AA34" s="446"/>
      <c r="AB34" s="446"/>
      <c r="AC34" s="446"/>
      <c r="AD34" s="446"/>
      <c r="AE34" s="936"/>
      <c r="AF34" s="446"/>
      <c r="AG34" s="446"/>
      <c r="AH34" s="446"/>
      <c r="AI34" s="446"/>
      <c r="AJ34" s="936"/>
      <c r="AK34" s="446"/>
      <c r="AL34" s="446"/>
      <c r="AM34" s="446"/>
      <c r="AN34" s="446"/>
      <c r="AO34" s="936"/>
      <c r="AP34" s="446"/>
      <c r="AQ34" s="446"/>
      <c r="AR34" s="446"/>
      <c r="AS34" s="446"/>
      <c r="AT34" s="936"/>
      <c r="AU34" s="446"/>
      <c r="AV34" s="446"/>
      <c r="AW34" s="446"/>
      <c r="AX34" s="446"/>
      <c r="AY34" s="936"/>
      <c r="AZ34" s="446"/>
      <c r="BA34" s="446"/>
      <c r="BB34" s="446"/>
      <c r="BC34" s="446"/>
      <c r="BD34" s="936"/>
      <c r="BE34" s="446"/>
      <c r="BF34" s="446"/>
      <c r="BG34" s="446"/>
      <c r="BH34" s="446"/>
      <c r="BI34" s="936"/>
      <c r="BJ34" s="446"/>
      <c r="BK34" s="446"/>
      <c r="BL34" s="446"/>
      <c r="BM34" s="446"/>
      <c r="BN34" s="936"/>
      <c r="BO34" s="446"/>
      <c r="BP34" s="446"/>
      <c r="BQ34" s="446"/>
      <c r="BR34" s="446"/>
      <c r="BS34" s="936"/>
      <c r="BT34" s="665"/>
      <c r="BU34" s="446"/>
      <c r="BV34" s="446"/>
      <c r="BW34" s="446"/>
      <c r="BX34" s="936"/>
      <c r="BY34" s="446"/>
      <c r="BZ34" s="446"/>
      <c r="CA34" s="446"/>
      <c r="CB34" s="446"/>
      <c r="CC34" s="936"/>
      <c r="CD34" s="936"/>
      <c r="CE34" s="936"/>
      <c r="CF34" s="936"/>
      <c r="CG34" s="308"/>
    </row>
    <row r="35" spans="1:85" s="587" customFormat="1" hidden="1" outlineLevel="1" x14ac:dyDescent="0.3">
      <c r="A35" s="182" t="s">
        <v>649</v>
      </c>
      <c r="B35" s="386"/>
      <c r="C35" s="943"/>
      <c r="D35" s="943"/>
      <c r="E35" s="943"/>
      <c r="F35" s="943"/>
      <c r="G35" s="753"/>
      <c r="H35" s="753"/>
      <c r="I35" s="753"/>
      <c r="J35" s="753"/>
      <c r="K35" s="943"/>
      <c r="L35" s="753"/>
      <c r="M35" s="753"/>
      <c r="N35" s="753"/>
      <c r="O35" s="753"/>
      <c r="P35" s="943"/>
      <c r="Q35" s="753"/>
      <c r="R35" s="753"/>
      <c r="S35" s="753"/>
      <c r="T35" s="753"/>
      <c r="U35" s="943"/>
      <c r="V35" s="753"/>
      <c r="W35" s="753"/>
      <c r="X35" s="753"/>
      <c r="Y35" s="753"/>
      <c r="Z35" s="943"/>
      <c r="AA35" s="753"/>
      <c r="AB35" s="753"/>
      <c r="AC35" s="753"/>
      <c r="AD35" s="753"/>
      <c r="AE35" s="943"/>
      <c r="AF35" s="753"/>
      <c r="AG35" s="753"/>
      <c r="AH35" s="753"/>
      <c r="AI35" s="753"/>
      <c r="AJ35" s="943"/>
      <c r="AK35" s="782">
        <f t="shared" ref="AK35:AW35" si="93">AK38-AK36</f>
      </c>
      <c r="AL35" s="782">
        <f t="shared" si="93"/>
      </c>
      <c r="AM35" s="782">
        <f t="shared" si="93"/>
      </c>
      <c r="AN35" s="753">
        <f t="shared" si="93"/>
      </c>
      <c r="AO35" s="943">
        <f t="shared" si="93"/>
      </c>
      <c r="AP35" s="782">
        <f t="shared" si="93"/>
      </c>
      <c r="AQ35" s="782">
        <f t="shared" si="93"/>
      </c>
      <c r="AR35" s="782">
        <f t="shared" si="93"/>
      </c>
      <c r="AS35" s="753">
        <f t="shared" si="93"/>
      </c>
      <c r="AT35" s="943">
        <f t="shared" si="93"/>
      </c>
      <c r="AU35" s="782">
        <f t="shared" si="93"/>
      </c>
      <c r="AV35" s="782">
        <f t="shared" si="93"/>
      </c>
      <c r="AW35" s="782">
        <f t="shared" si="93"/>
      </c>
      <c r="AX35" s="753">
        <f t="shared" ref="AX35:BD35" si="94">AX38-AX36</f>
      </c>
      <c r="AY35" s="943">
        <f t="shared" si="94"/>
      </c>
      <c r="AZ35" s="782">
        <f t="shared" si="94"/>
      </c>
      <c r="BA35" s="782">
        <f t="shared" si="94"/>
      </c>
      <c r="BB35" s="753">
        <f t="shared" si="94"/>
      </c>
      <c r="BC35" s="753">
        <f t="shared" si="94"/>
      </c>
      <c r="BD35" s="943">
        <f t="shared" si="94"/>
      </c>
      <c r="BE35" s="782">
        <f t="shared" ref="BE35:BI35" si="95">BE38-BE36</f>
      </c>
      <c r="BF35" s="782">
        <f t="shared" si="95"/>
      </c>
      <c r="BG35" s="753">
        <f t="shared" si="95"/>
      </c>
      <c r="BH35" s="753">
        <f t="shared" si="95"/>
      </c>
      <c r="BI35" s="943">
        <f t="shared" si="95"/>
      </c>
      <c r="BJ35" s="782">
        <f t="shared" ref="BJ35:BO35" si="96">BJ38-SUM(BJ36:BJ37)</f>
      </c>
      <c r="BK35" s="782">
        <f t="shared" si="96"/>
      </c>
      <c r="BL35" s="753">
        <f t="shared" si="96"/>
      </c>
      <c r="BM35" s="753">
        <f t="shared" si="96"/>
      </c>
      <c r="BN35" s="943">
        <f t="shared" si="96"/>
      </c>
      <c r="BO35" s="782">
        <f t="shared" si="96"/>
      </c>
      <c r="BP35" s="782">
        <f>BP38-SUM(BP36:BP37)</f>
      </c>
      <c r="BQ35" s="753">
        <f>BQ38-SUM(BQ36:BQ37)</f>
      </c>
      <c r="BR35" s="753">
        <f>BR38-SUM(BR36:BR37)</f>
      </c>
      <c r="BS35" s="943">
        <f>BS38-SUM(BS36:BS37)</f>
      </c>
      <c r="BT35" s="783">
        <f>BT38-SUM(BT36:BT37)</f>
      </c>
      <c r="BU35" s="753"/>
      <c r="BV35" s="753"/>
      <c r="BW35" s="753"/>
      <c r="BX35" s="943"/>
      <c r="BY35" s="753"/>
      <c r="BZ35" s="753"/>
      <c r="CA35" s="753"/>
      <c r="CB35" s="753"/>
      <c r="CC35" s="943"/>
      <c r="CD35" s="943"/>
      <c r="CE35" s="943"/>
      <c r="CF35" s="943"/>
      <c r="CG35" s="459"/>
    </row>
    <row r="36" spans="1:85" s="587" customFormat="1" hidden="1" outlineLevel="1" x14ac:dyDescent="0.3">
      <c r="A36" s="182" t="s">
        <v>648</v>
      </c>
      <c r="B36" s="386"/>
      <c r="C36" s="943"/>
      <c r="D36" s="943"/>
      <c r="E36" s="943"/>
      <c r="F36" s="943"/>
      <c r="G36" s="753"/>
      <c r="H36" s="753"/>
      <c r="I36" s="753"/>
      <c r="J36" s="753"/>
      <c r="K36" s="943"/>
      <c r="L36" s="753"/>
      <c r="M36" s="753"/>
      <c r="N36" s="753"/>
      <c r="O36" s="753"/>
      <c r="P36" s="943"/>
      <c r="Q36" s="753"/>
      <c r="R36" s="753"/>
      <c r="S36" s="753"/>
      <c r="T36" s="753"/>
      <c r="U36" s="943"/>
      <c r="V36" s="753"/>
      <c r="W36" s="753"/>
      <c r="X36" s="753"/>
      <c r="Y36" s="753"/>
      <c r="Z36" s="943"/>
      <c r="AA36" s="753"/>
      <c r="AB36" s="753"/>
      <c r="AC36" s="753"/>
      <c r="AD36" s="753"/>
      <c r="AE36" s="943"/>
      <c r="AF36" s="753"/>
      <c r="AG36" s="753"/>
      <c r="AH36" s="753"/>
      <c r="AI36" s="753"/>
      <c r="AJ36" s="943"/>
      <c r="AK36" s="849">
        <v>-228</v>
      </c>
      <c r="AL36" s="849">
        <v>-265</v>
      </c>
      <c r="AM36" s="849">
        <v>-137</v>
      </c>
      <c r="AN36" s="849">
        <v>-133</v>
      </c>
      <c r="AO36" s="944">
        <v>-762</v>
      </c>
      <c r="AP36" s="849">
        <v>-115</v>
      </c>
      <c r="AQ36" s="849">
        <v>-289</v>
      </c>
      <c r="AR36" s="849">
        <v>-158</v>
      </c>
      <c r="AS36" s="753">
        <f>AT36-SUM(AP36,AQ36,AR36)</f>
      </c>
      <c r="AT36" s="944">
        <v>-596</v>
      </c>
      <c r="AU36" s="849">
        <v>80</v>
      </c>
      <c r="AV36" s="849">
        <v>277</v>
      </c>
      <c r="AW36" s="849">
        <v>128</v>
      </c>
      <c r="AX36" s="782">
        <f>AY36-SUM(AU36,AV36,AW36)</f>
      </c>
      <c r="AY36" s="944">
        <v>443</v>
      </c>
      <c r="AZ36" s="849">
        <v>-280</v>
      </c>
      <c r="BA36" s="849">
        <v>-339</v>
      </c>
      <c r="BB36" s="849">
        <v>-548</v>
      </c>
      <c r="BC36" s="782">
        <f>BD36-SUM(AZ36,BA36,BB36)</f>
      </c>
      <c r="BD36" s="944">
        <v>-1773</v>
      </c>
      <c r="BE36" s="849">
        <v>-345.85899999999998</v>
      </c>
      <c r="BF36" s="849">
        <v>-231.14400000000001</v>
      </c>
      <c r="BG36" s="849">
        <v>8.548</v>
      </c>
      <c r="BH36" s="849">
        <v>-28.294</v>
      </c>
      <c r="BI36" s="945">
        <f>SUM(BE36,BF36,BG36,BH36)</f>
      </c>
      <c r="BJ36" s="782">
        <f t="shared" ref="BJ36:BO36" si="97">-BJ308</f>
      </c>
      <c r="BK36" s="782">
        <f t="shared" si="97"/>
      </c>
      <c r="BL36" s="753">
        <f t="shared" si="97"/>
      </c>
      <c r="BM36" s="782">
        <f t="shared" si="97"/>
      </c>
      <c r="BN36" s="945">
        <f t="shared" si="97"/>
      </c>
      <c r="BO36" s="782">
        <f t="shared" si="97"/>
      </c>
      <c r="BP36" s="782">
        <f t="shared" ref="BP36:BS37" si="98">-BP308</f>
      </c>
      <c r="BQ36" s="753">
        <f t="shared" si="98"/>
      </c>
      <c r="BR36" s="782">
        <f t="shared" si="98"/>
      </c>
      <c r="BS36" s="945">
        <f t="shared" si="98"/>
      </c>
      <c r="BT36" s="783">
        <f>-BT308</f>
      </c>
      <c r="BU36" s="753"/>
      <c r="BV36" s="753"/>
      <c r="BW36" s="753"/>
      <c r="BX36" s="943"/>
      <c r="BY36" s="753"/>
      <c r="BZ36" s="753"/>
      <c r="CA36" s="753"/>
      <c r="CB36" s="753"/>
      <c r="CC36" s="943"/>
      <c r="CD36" s="943"/>
      <c r="CE36" s="943"/>
      <c r="CF36" s="943"/>
      <c r="CG36" s="459"/>
    </row>
    <row r="37" spans="1:85" s="587" customFormat="1" hidden="1" outlineLevel="1" x14ac:dyDescent="0.3">
      <c r="A37" s="30" t="s">
        <v>2211</v>
      </c>
      <c r="B37" s="461"/>
      <c r="C37" s="946"/>
      <c r="D37" s="946"/>
      <c r="E37" s="946"/>
      <c r="F37" s="946"/>
      <c r="G37" s="784"/>
      <c r="H37" s="784"/>
      <c r="I37" s="784"/>
      <c r="J37" s="784"/>
      <c r="K37" s="946"/>
      <c r="L37" s="784"/>
      <c r="M37" s="784"/>
      <c r="N37" s="784"/>
      <c r="O37" s="784"/>
      <c r="P37" s="946"/>
      <c r="Q37" s="784"/>
      <c r="R37" s="784"/>
      <c r="S37" s="784"/>
      <c r="T37" s="784"/>
      <c r="U37" s="946"/>
      <c r="V37" s="784"/>
      <c r="W37" s="784"/>
      <c r="X37" s="784"/>
      <c r="Y37" s="784"/>
      <c r="Z37" s="946"/>
      <c r="AA37" s="784"/>
      <c r="AB37" s="784"/>
      <c r="AC37" s="784"/>
      <c r="AD37" s="784"/>
      <c r="AE37" s="946"/>
      <c r="AF37" s="784"/>
      <c r="AG37" s="784"/>
      <c r="AH37" s="784"/>
      <c r="AI37" s="784"/>
      <c r="AJ37" s="946"/>
      <c r="AK37" s="784"/>
      <c r="AL37" s="784"/>
      <c r="AM37" s="784"/>
      <c r="AN37" s="784"/>
      <c r="AO37" s="946"/>
      <c r="AP37" s="784"/>
      <c r="AQ37" s="784"/>
      <c r="AR37" s="784"/>
      <c r="AS37" s="784"/>
      <c r="AT37" s="946"/>
      <c r="AU37" s="784"/>
      <c r="AV37" s="784"/>
      <c r="AW37" s="784"/>
      <c r="AX37" s="784"/>
      <c r="AY37" s="946"/>
      <c r="AZ37" s="784"/>
      <c r="BA37" s="784"/>
      <c r="BB37" s="784"/>
      <c r="BC37" s="784"/>
      <c r="BD37" s="946"/>
      <c r="BE37" s="784"/>
      <c r="BF37" s="784"/>
      <c r="BG37" s="784"/>
      <c r="BH37" s="784"/>
      <c r="BI37" s="946"/>
      <c r="BJ37" s="785">
        <f t="shared" ref="BJ37:BO37" si="99">-BJ309</f>
      </c>
      <c r="BK37" s="785">
        <f t="shared" si="99"/>
      </c>
      <c r="BL37" s="784">
        <f t="shared" si="99"/>
      </c>
      <c r="BM37" s="785">
        <f t="shared" si="99"/>
      </c>
      <c r="BN37" s="947">
        <f t="shared" si="99"/>
      </c>
      <c r="BO37" s="785">
        <f t="shared" si="99"/>
      </c>
      <c r="BP37" s="785">
        <f t="shared" si="98"/>
      </c>
      <c r="BQ37" s="784">
        <f t="shared" si="98"/>
      </c>
      <c r="BR37" s="785">
        <f t="shared" si="98"/>
      </c>
      <c r="BS37" s="947">
        <f t="shared" si="98"/>
      </c>
      <c r="BT37" s="786">
        <f>-BT309</f>
      </c>
      <c r="BU37" s="784"/>
      <c r="BV37" s="784"/>
      <c r="BW37" s="784"/>
      <c r="BX37" s="946"/>
      <c r="BY37" s="784"/>
      <c r="BZ37" s="784"/>
      <c r="CA37" s="784"/>
      <c r="CB37" s="784"/>
      <c r="CC37" s="946"/>
      <c r="CD37" s="946"/>
      <c r="CE37" s="946"/>
      <c r="CF37" s="946"/>
      <c r="CG37" s="459"/>
    </row>
    <row r="38" spans="1:85" s="587" customFormat="1" hidden="1" outlineLevel="1" x14ac:dyDescent="0.3">
      <c r="A38" s="423" t="s">
        <v>7</v>
      </c>
      <c r="B38" s="580"/>
      <c r="C38" s="948"/>
      <c r="D38" s="948"/>
      <c r="E38" s="948"/>
      <c r="F38" s="948"/>
      <c r="G38" s="787"/>
      <c r="H38" s="787"/>
      <c r="I38" s="787"/>
      <c r="J38" s="787"/>
      <c r="K38" s="948"/>
      <c r="L38" s="787"/>
      <c r="M38" s="787"/>
      <c r="N38" s="787"/>
      <c r="O38" s="787"/>
      <c r="P38" s="948"/>
      <c r="Q38" s="787"/>
      <c r="R38" s="787"/>
      <c r="S38" s="787"/>
      <c r="T38" s="787"/>
      <c r="U38" s="948"/>
      <c r="V38" s="787"/>
      <c r="W38" s="787"/>
      <c r="X38" s="787"/>
      <c r="Y38" s="787"/>
      <c r="Z38" s="948"/>
      <c r="AA38" s="787"/>
      <c r="AB38" s="787"/>
      <c r="AC38" s="787"/>
      <c r="AD38" s="787"/>
      <c r="AE38" s="948"/>
      <c r="AF38" s="787"/>
      <c r="AG38" s="787"/>
      <c r="AH38" s="787"/>
      <c r="AI38" s="787"/>
      <c r="AJ38" s="948"/>
      <c r="AK38" s="787">
        <f t="shared" ref="AK38:BP38" si="100">AK28</f>
      </c>
      <c r="AL38" s="787">
        <f t="shared" si="100"/>
      </c>
      <c r="AM38" s="787">
        <f t="shared" si="100"/>
      </c>
      <c r="AN38" s="787">
        <f t="shared" si="100"/>
      </c>
      <c r="AO38" s="948">
        <f t="shared" si="100"/>
      </c>
      <c r="AP38" s="787">
        <f t="shared" si="100"/>
      </c>
      <c r="AQ38" s="787">
        <f t="shared" si="100"/>
      </c>
      <c r="AR38" s="787">
        <f t="shared" si="100"/>
      </c>
      <c r="AS38" s="787">
        <f t="shared" si="100"/>
      </c>
      <c r="AT38" s="948">
        <f t="shared" si="100"/>
      </c>
      <c r="AU38" s="787">
        <f t="shared" si="100"/>
      </c>
      <c r="AV38" s="787">
        <f t="shared" si="100"/>
      </c>
      <c r="AW38" s="787">
        <f t="shared" si="100"/>
      </c>
      <c r="AX38" s="787">
        <f t="shared" si="100"/>
      </c>
      <c r="AY38" s="948">
        <f t="shared" si="100"/>
      </c>
      <c r="AZ38" s="787">
        <f t="shared" si="100"/>
      </c>
      <c r="BA38" s="787">
        <f t="shared" si="100"/>
      </c>
      <c r="BB38" s="787">
        <f t="shared" si="100"/>
      </c>
      <c r="BC38" s="787">
        <f t="shared" si="100"/>
      </c>
      <c r="BD38" s="948">
        <f t="shared" si="100"/>
      </c>
      <c r="BE38" s="787">
        <f t="shared" si="100"/>
      </c>
      <c r="BF38" s="787">
        <f t="shared" si="100"/>
      </c>
      <c r="BG38" s="787">
        <f t="shared" si="100"/>
      </c>
      <c r="BH38" s="787">
        <f t="shared" si="100"/>
      </c>
      <c r="BI38" s="948">
        <f t="shared" si="100"/>
      </c>
      <c r="BJ38" s="787">
        <f t="shared" si="100"/>
      </c>
      <c r="BK38" s="787">
        <f t="shared" si="100"/>
      </c>
      <c r="BL38" s="787">
        <f t="shared" si="100"/>
      </c>
      <c r="BM38" s="787">
        <f t="shared" si="100"/>
      </c>
      <c r="BN38" s="948">
        <f t="shared" si="100"/>
      </c>
      <c r="BO38" s="787">
        <f t="shared" si="100"/>
      </c>
      <c r="BP38" s="787">
        <f t="shared" si="100"/>
      </c>
      <c r="BQ38" s="787">
        <f>BQ28</f>
      </c>
      <c r="BR38" s="787">
        <f>BR28</f>
      </c>
      <c r="BS38" s="948">
        <f>BS28</f>
      </c>
      <c r="BT38" s="788">
        <f>BT28</f>
      </c>
      <c r="BU38" s="787"/>
      <c r="BV38" s="787"/>
      <c r="BW38" s="787"/>
      <c r="BX38" s="948"/>
      <c r="BY38" s="787"/>
      <c r="BZ38" s="787"/>
      <c r="CA38" s="787"/>
      <c r="CB38" s="787"/>
      <c r="CC38" s="948"/>
      <c r="CD38" s="948"/>
      <c r="CE38" s="948"/>
      <c r="CF38" s="948"/>
      <c r="CG38" s="183"/>
    </row>
    <row r="39" spans="1:85" s="587" customFormat="1" collapsed="1" x14ac:dyDescent="0.3">
      <c r="A39" s="239"/>
      <c r="B39" s="384"/>
      <c r="C39" s="949"/>
      <c r="D39" s="949"/>
      <c r="E39" s="949"/>
      <c r="F39" s="949"/>
      <c r="G39" s="789"/>
      <c r="H39" s="789"/>
      <c r="I39" s="789"/>
      <c r="J39" s="789"/>
      <c r="K39" s="949"/>
      <c r="L39" s="789"/>
      <c r="M39" s="789"/>
      <c r="N39" s="789"/>
      <c r="O39" s="789"/>
      <c r="P39" s="949"/>
      <c r="Q39" s="789"/>
      <c r="R39" s="789"/>
      <c r="S39" s="789"/>
      <c r="T39" s="789"/>
      <c r="U39" s="949"/>
      <c r="V39" s="789"/>
      <c r="W39" s="789"/>
      <c r="X39" s="789"/>
      <c r="Y39" s="789"/>
      <c r="Z39" s="949"/>
      <c r="AA39" s="789"/>
      <c r="AB39" s="789"/>
      <c r="AC39" s="789"/>
      <c r="AD39" s="789"/>
      <c r="AE39" s="949"/>
      <c r="AF39" s="789"/>
      <c r="AG39" s="789"/>
      <c r="AH39" s="789"/>
      <c r="AI39" s="789"/>
      <c r="AJ39" s="949"/>
      <c r="AK39" s="789"/>
      <c r="AL39" s="789"/>
      <c r="AM39" s="789"/>
      <c r="AN39" s="789"/>
      <c r="AO39" s="949"/>
      <c r="AP39" s="789"/>
      <c r="AQ39" s="789"/>
      <c r="AR39" s="789"/>
      <c r="AS39" s="789"/>
      <c r="AT39" s="949"/>
      <c r="AU39" s="789"/>
      <c r="AV39" s="789"/>
      <c r="AW39" s="789"/>
      <c r="AX39" s="789"/>
      <c r="AY39" s="949"/>
      <c r="AZ39" s="789"/>
      <c r="BA39" s="789"/>
      <c r="BB39" s="789"/>
      <c r="BC39" s="789"/>
      <c r="BD39" s="949"/>
      <c r="BE39" s="789"/>
      <c r="BF39" s="789"/>
      <c r="BG39" s="789"/>
      <c r="BH39" s="789"/>
      <c r="BI39" s="949"/>
      <c r="BJ39" s="789"/>
      <c r="BK39" s="789"/>
      <c r="BL39" s="789"/>
      <c r="BM39" s="789"/>
      <c r="BN39" s="949"/>
      <c r="BO39" s="789"/>
      <c r="BP39" s="789"/>
      <c r="BQ39" s="789"/>
      <c r="BR39" s="789"/>
      <c r="BS39" s="949"/>
      <c r="BT39" s="790"/>
      <c r="BU39" s="789"/>
      <c r="BV39" s="789"/>
      <c r="BW39" s="789"/>
      <c r="BX39" s="949"/>
      <c r="BY39" s="789"/>
      <c r="BZ39" s="789"/>
      <c r="CA39" s="789"/>
      <c r="CB39" s="789"/>
      <c r="CC39" s="949"/>
      <c r="CD39" s="949"/>
      <c r="CE39" s="949"/>
      <c r="CF39" s="949"/>
      <c r="CG39" s="385"/>
    </row>
    <row r="40" spans="1:85" x14ac:dyDescent="0.3">
      <c r="A40" s="754" t="s">
        <v>527</v>
      </c>
      <c r="B40" s="754"/>
      <c r="C40" s="754"/>
      <c r="D40" s="754"/>
      <c r="E40" s="754"/>
      <c r="F40" s="754"/>
      <c r="G40" s="754"/>
      <c r="H40" s="754"/>
      <c r="I40" s="754"/>
      <c r="J40" s="754"/>
      <c r="K40" s="754"/>
      <c r="L40" s="754"/>
      <c r="M40" s="754"/>
      <c r="N40" s="754"/>
      <c r="O40" s="754"/>
      <c r="P40" s="754"/>
      <c r="Q40" s="754"/>
      <c r="R40" s="754"/>
      <c r="S40" s="754"/>
      <c r="T40" s="754"/>
      <c r="U40" s="754"/>
      <c r="V40" s="754"/>
      <c r="W40" s="754"/>
      <c r="X40" s="754"/>
      <c r="Y40" s="754"/>
      <c r="Z40" s="754"/>
      <c r="AA40" s="754"/>
      <c r="AB40" s="754"/>
      <c r="AC40" s="754"/>
      <c r="AD40" s="754"/>
      <c r="AE40" s="754"/>
      <c r="AF40" s="754"/>
      <c r="AG40" s="754"/>
      <c r="AH40" s="754"/>
      <c r="AI40" s="754"/>
      <c r="AJ40" s="754"/>
      <c r="AK40" s="754"/>
      <c r="AL40" s="754"/>
      <c r="AM40" s="754"/>
      <c r="AN40" s="754"/>
      <c r="AO40" s="754"/>
      <c r="AP40" s="754"/>
      <c r="AQ40" s="754"/>
      <c r="AR40" s="754"/>
      <c r="AS40" s="754"/>
      <c r="AT40" s="754"/>
      <c r="AU40" s="754"/>
      <c r="AV40" s="754"/>
      <c r="AW40" s="754"/>
      <c r="AX40" s="754"/>
      <c r="AY40" s="754"/>
      <c r="AZ40" s="754"/>
      <c r="BA40" s="754"/>
      <c r="BB40" s="754"/>
      <c r="BC40" s="754"/>
      <c r="BD40" s="754"/>
      <c r="BE40" s="754"/>
      <c r="BF40" s="754"/>
      <c r="BG40" s="754"/>
      <c r="BH40" s="754"/>
      <c r="BI40" s="754"/>
      <c r="BJ40" s="754"/>
      <c r="BK40" s="754"/>
      <c r="BL40" s="754"/>
      <c r="BM40" s="754"/>
      <c r="BN40" s="754"/>
      <c r="BO40" s="754"/>
      <c r="BP40" s="754"/>
      <c r="BQ40" s="754"/>
      <c r="BR40" s="754"/>
      <c r="BS40" s="754"/>
      <c r="BT40" s="755"/>
      <c r="BU40" s="754"/>
      <c r="BV40" s="754"/>
      <c r="BW40" s="754"/>
      <c r="BX40" s="754"/>
      <c r="BY40" s="754"/>
      <c r="BZ40" s="754"/>
      <c r="CA40" s="754"/>
      <c r="CB40" s="754"/>
      <c r="CC40" s="754"/>
      <c r="CD40" s="754"/>
      <c r="CE40" s="754"/>
      <c r="CF40" s="754"/>
      <c r="CG40" s="183"/>
    </row>
    <row r="41" spans="1:85" hidden="1" outlineLevel="2" x14ac:dyDescent="0.3">
      <c r="A41" s="130" t="s">
        <v>398</v>
      </c>
      <c r="B41" s="242"/>
      <c r="C41" s="950"/>
      <c r="D41" s="950"/>
      <c r="E41" s="950"/>
      <c r="F41" s="951">
        <v>25471</v>
      </c>
      <c r="G41" s="850">
        <v>27913</v>
      </c>
      <c r="H41" s="850">
        <v>28624</v>
      </c>
      <c r="I41" s="850">
        <v>29925</v>
      </c>
      <c r="J41" s="850">
        <v>31712</v>
      </c>
      <c r="K41" s="951">
        <v>31712</v>
      </c>
      <c r="L41" s="850">
        <v>34377</v>
      </c>
      <c r="M41" s="850">
        <v>35085</v>
      </c>
      <c r="N41" s="850">
        <v>36265</v>
      </c>
      <c r="O41" s="850">
        <v>37698</v>
      </c>
      <c r="P41" s="951">
        <v>37698</v>
      </c>
      <c r="Q41" s="850">
        <v>40315</v>
      </c>
      <c r="R41" s="850">
        <v>41057</v>
      </c>
      <c r="S41" s="850">
        <v>42068</v>
      </c>
      <c r="T41" s="850">
        <v>43401</v>
      </c>
      <c r="U41" s="951">
        <v>43401</v>
      </c>
      <c r="V41" s="850">
        <v>45714</v>
      </c>
      <c r="W41" s="850">
        <v>46004</v>
      </c>
      <c r="X41" s="850">
        <v>46479</v>
      </c>
      <c r="Y41" s="850">
        <v>47905</v>
      </c>
      <c r="Z41" s="951">
        <v>47905</v>
      </c>
      <c r="AA41" s="850">
        <v>49375</v>
      </c>
      <c r="AB41" s="850">
        <v>50323</v>
      </c>
      <c r="AC41" s="850">
        <v>51345</v>
      </c>
      <c r="AD41" s="850">
        <v>52810</v>
      </c>
      <c r="AE41" s="951">
        <v>52810</v>
      </c>
      <c r="AF41" s="850">
        <v>55087</v>
      </c>
      <c r="AG41" s="850">
        <v>55959</v>
      </c>
      <c r="AH41" s="850">
        <v>56957</v>
      </c>
      <c r="AI41" s="850">
        <v>58486</v>
      </c>
      <c r="AJ41" s="951">
        <v>58486</v>
      </c>
      <c r="AK41" s="850">
        <v>60229</v>
      </c>
      <c r="AL41" s="850">
        <v>60103</v>
      </c>
      <c r="AM41" s="850">
        <v>60620</v>
      </c>
      <c r="AN41" s="850">
        <v>61043</v>
      </c>
      <c r="AO41" s="951">
        <v>61043</v>
      </c>
      <c r="AP41" s="204"/>
      <c r="AQ41" s="204"/>
      <c r="AR41" s="204"/>
      <c r="AS41" s="204"/>
      <c r="AT41" s="950"/>
      <c r="AU41" s="204"/>
      <c r="AV41" s="204"/>
      <c r="AW41" s="204"/>
      <c r="AX41" s="204"/>
      <c r="AY41" s="950"/>
      <c r="AZ41" s="204"/>
      <c r="BA41" s="204"/>
      <c r="BB41" s="204"/>
      <c r="BC41" s="204"/>
      <c r="BD41" s="950"/>
      <c r="BE41" s="204"/>
      <c r="BF41" s="204"/>
      <c r="BG41" s="204"/>
      <c r="BH41" s="204"/>
      <c r="BI41" s="950"/>
      <c r="BJ41" s="204"/>
      <c r="BK41" s="204"/>
      <c r="BL41" s="204"/>
      <c r="BM41" s="204"/>
      <c r="BN41" s="950"/>
      <c r="BO41" s="204"/>
      <c r="BP41" s="204"/>
      <c r="BQ41" s="204"/>
      <c r="BR41" s="204"/>
      <c r="BS41" s="950"/>
      <c r="BT41" s="294"/>
      <c r="BU41" s="204"/>
      <c r="BV41" s="204"/>
      <c r="BW41" s="204"/>
      <c r="BX41" s="950"/>
      <c r="BY41" s="204"/>
      <c r="BZ41" s="204"/>
      <c r="CA41" s="204"/>
      <c r="CB41" s="204"/>
      <c r="CC41" s="950"/>
      <c r="CD41" s="950"/>
      <c r="CE41" s="950"/>
      <c r="CF41" s="950"/>
      <c r="CG41" s="131"/>
    </row>
    <row r="42" spans="1:85" s="586" customFormat="1" hidden="1" outlineLevel="2" x14ac:dyDescent="0.3">
      <c r="A42" s="360" t="s">
        <v>535</v>
      </c>
      <c r="B42" s="311"/>
      <c r="C42" s="935"/>
      <c r="D42" s="935"/>
      <c r="E42" s="935"/>
      <c r="F42" s="935"/>
      <c r="G42" s="58"/>
      <c r="H42" s="58">
        <f>H41/G41-1</f>
      </c>
      <c r="I42" s="58">
        <f>I41/H41-1</f>
      </c>
      <c r="J42" s="58">
        <f>J41/I41-1</f>
      </c>
      <c r="K42" s="935"/>
      <c r="L42" s="58">
        <f>L41/J41-1</f>
      </c>
      <c r="M42" s="58">
        <f>M41/L41-1</f>
      </c>
      <c r="N42" s="58">
        <f>N41/M41-1</f>
      </c>
      <c r="O42" s="58">
        <f>O41/N41-1</f>
      </c>
      <c r="P42" s="935"/>
      <c r="Q42" s="58">
        <f>Q41/O41-1</f>
      </c>
      <c r="R42" s="58">
        <f>R41/Q41-1</f>
      </c>
      <c r="S42" s="58">
        <f>S41/R41-1</f>
      </c>
      <c r="T42" s="58">
        <f>T41/S41-1</f>
      </c>
      <c r="U42" s="935"/>
      <c r="V42" s="58">
        <f>V41/T41-1</f>
      </c>
      <c r="W42" s="58">
        <f>W41/V41-1</f>
      </c>
      <c r="X42" s="58">
        <f>X41/W41-1</f>
      </c>
      <c r="Y42" s="58">
        <f>Y41/X41-1</f>
      </c>
      <c r="Z42" s="935"/>
      <c r="AA42" s="308">
        <f>AA41/Y41-1</f>
      </c>
      <c r="AB42" s="308">
        <f>AB41/AA41-1</f>
      </c>
      <c r="AC42" s="308">
        <f>AC41/AB41-1</f>
      </c>
      <c r="AD42" s="308">
        <f>AD41/AC41-1</f>
      </c>
      <c r="AE42" s="935"/>
      <c r="AF42" s="308">
        <f>AF41/AD41-1</f>
      </c>
      <c r="AG42" s="308">
        <f>AG41/AF41-1</f>
      </c>
      <c r="AH42" s="308">
        <f>AH41/AG41-1</f>
      </c>
      <c r="AI42" s="308">
        <f>AI41/AH41-1</f>
      </c>
      <c r="AJ42" s="935"/>
      <c r="AK42" s="308">
        <f>AK41/AI41-1</f>
      </c>
      <c r="AL42" s="308">
        <f>AL41/AK41-1</f>
      </c>
      <c r="AM42" s="308">
        <f>AM41/AL41-1</f>
      </c>
      <c r="AN42" s="308">
        <f>AN41/AM41-1</f>
      </c>
      <c r="AO42" s="935"/>
      <c r="AP42" s="58"/>
      <c r="AQ42" s="58"/>
      <c r="AR42" s="58"/>
      <c r="AS42" s="58"/>
      <c r="AT42" s="935"/>
      <c r="AU42" s="58"/>
      <c r="AV42" s="58"/>
      <c r="AW42" s="58"/>
      <c r="AX42" s="58"/>
      <c r="AY42" s="935"/>
      <c r="AZ42" s="58"/>
      <c r="BA42" s="58"/>
      <c r="BB42" s="58"/>
      <c r="BC42" s="58"/>
      <c r="BD42" s="935"/>
      <c r="BE42" s="58"/>
      <c r="BF42" s="58"/>
      <c r="BG42" s="58"/>
      <c r="BH42" s="58"/>
      <c r="BI42" s="935"/>
      <c r="BJ42" s="58"/>
      <c r="BK42" s="58"/>
      <c r="BL42" s="58"/>
      <c r="BM42" s="58"/>
      <c r="BN42" s="935"/>
      <c r="BO42" s="58"/>
      <c r="BP42" s="58"/>
      <c r="BQ42" s="58"/>
      <c r="BR42" s="58"/>
      <c r="BS42" s="935"/>
      <c r="BT42" s="669"/>
      <c r="BU42" s="58"/>
      <c r="BV42" s="58"/>
      <c r="BW42" s="58"/>
      <c r="BX42" s="935"/>
      <c r="BY42" s="58"/>
      <c r="BZ42" s="58"/>
      <c r="CA42" s="58"/>
      <c r="CB42" s="58"/>
      <c r="CC42" s="935"/>
      <c r="CD42" s="935"/>
      <c r="CE42" s="935"/>
      <c r="CF42" s="935"/>
      <c r="CG42" s="308"/>
    </row>
    <row r="43" spans="1:85" s="583" customFormat="1" hidden="1" outlineLevel="2" x14ac:dyDescent="0.3">
      <c r="A43" s="393" t="s">
        <v>536</v>
      </c>
      <c r="B43" s="305"/>
      <c r="C43" s="936"/>
      <c r="D43" s="936"/>
      <c r="E43" s="936"/>
      <c r="F43" s="936"/>
      <c r="G43" s="446"/>
      <c r="H43" s="446"/>
      <c r="I43" s="446"/>
      <c r="J43" s="446"/>
      <c r="K43" s="936">
        <f t="shared" ref="K43:AO43" si="101">+K41/F41-1</f>
      </c>
      <c r="L43" s="446">
        <f t="shared" si="101"/>
      </c>
      <c r="M43" s="446">
        <f t="shared" si="101"/>
      </c>
      <c r="N43" s="446">
        <f t="shared" si="101"/>
      </c>
      <c r="O43" s="446">
        <f t="shared" si="101"/>
      </c>
      <c r="P43" s="936">
        <f t="shared" si="101"/>
      </c>
      <c r="Q43" s="446">
        <f t="shared" si="101"/>
      </c>
      <c r="R43" s="446">
        <f t="shared" si="101"/>
      </c>
      <c r="S43" s="446">
        <f t="shared" si="101"/>
      </c>
      <c r="T43" s="446">
        <f t="shared" si="101"/>
      </c>
      <c r="U43" s="936">
        <f t="shared" si="101"/>
      </c>
      <c r="V43" s="446">
        <f t="shared" si="101"/>
      </c>
      <c r="W43" s="446">
        <f t="shared" si="101"/>
      </c>
      <c r="X43" s="446">
        <f t="shared" si="101"/>
      </c>
      <c r="Y43" s="446">
        <f t="shared" si="101"/>
      </c>
      <c r="Z43" s="936">
        <f t="shared" si="101"/>
      </c>
      <c r="AA43" s="446">
        <f t="shared" si="101"/>
      </c>
      <c r="AB43" s="446">
        <f t="shared" si="101"/>
      </c>
      <c r="AC43" s="446">
        <f t="shared" si="101"/>
      </c>
      <c r="AD43" s="446">
        <f t="shared" si="101"/>
      </c>
      <c r="AE43" s="936">
        <f t="shared" si="101"/>
      </c>
      <c r="AF43" s="446">
        <f t="shared" si="101"/>
      </c>
      <c r="AG43" s="446">
        <f t="shared" si="101"/>
      </c>
      <c r="AH43" s="446">
        <f t="shared" si="101"/>
      </c>
      <c r="AI43" s="446">
        <f t="shared" si="101"/>
      </c>
      <c r="AJ43" s="936">
        <f t="shared" si="101"/>
      </c>
      <c r="AK43" s="446">
        <f t="shared" si="101"/>
      </c>
      <c r="AL43" s="446">
        <f t="shared" si="101"/>
      </c>
      <c r="AM43" s="446">
        <f t="shared" si="101"/>
      </c>
      <c r="AN43" s="446">
        <f t="shared" si="101"/>
      </c>
      <c r="AO43" s="936">
        <f t="shared" si="101"/>
      </c>
      <c r="AP43" s="446"/>
      <c r="AQ43" s="446"/>
      <c r="AR43" s="446"/>
      <c r="AS43" s="446"/>
      <c r="AT43" s="936"/>
      <c r="AU43" s="446"/>
      <c r="AV43" s="446"/>
      <c r="AW43" s="446"/>
      <c r="AX43" s="446"/>
      <c r="AY43" s="936"/>
      <c r="AZ43" s="446"/>
      <c r="BA43" s="446"/>
      <c r="BB43" s="446"/>
      <c r="BC43" s="446"/>
      <c r="BD43" s="936"/>
      <c r="BE43" s="446"/>
      <c r="BF43" s="446"/>
      <c r="BG43" s="446"/>
      <c r="BH43" s="446"/>
      <c r="BI43" s="936"/>
      <c r="BJ43" s="446"/>
      <c r="BK43" s="446"/>
      <c r="BL43" s="446"/>
      <c r="BM43" s="446"/>
      <c r="BN43" s="936"/>
      <c r="BO43" s="446"/>
      <c r="BP43" s="446"/>
      <c r="BQ43" s="446"/>
      <c r="BR43" s="446"/>
      <c r="BS43" s="936"/>
      <c r="BT43" s="665"/>
      <c r="BU43" s="446"/>
      <c r="BV43" s="446"/>
      <c r="BW43" s="446"/>
      <c r="BX43" s="936"/>
      <c r="BY43" s="446"/>
      <c r="BZ43" s="446"/>
      <c r="CA43" s="446"/>
      <c r="CB43" s="446"/>
      <c r="CC43" s="936"/>
      <c r="CD43" s="936"/>
      <c r="CE43" s="936"/>
      <c r="CF43" s="936"/>
      <c r="CG43" s="308"/>
    </row>
    <row r="44" spans="1:85" hidden="1" outlineLevel="2" x14ac:dyDescent="0.3">
      <c r="A44" s="130" t="s">
        <v>405</v>
      </c>
      <c r="B44" s="242"/>
      <c r="C44" s="950"/>
      <c r="D44" s="950"/>
      <c r="E44" s="950"/>
      <c r="F44" s="950"/>
      <c r="G44" s="204">
        <f>+G41-F41</f>
      </c>
      <c r="H44" s="204">
        <f>+H41-G41</f>
      </c>
      <c r="I44" s="204">
        <f>+I41-H41</f>
      </c>
      <c r="J44" s="204">
        <f>+J41-I41</f>
      </c>
      <c r="K44" s="950">
        <f>SUM(G44,H44,I44,J44)</f>
      </c>
      <c r="L44" s="204">
        <f>+L41-K41</f>
      </c>
      <c r="M44" s="204">
        <f>+M41-L41</f>
      </c>
      <c r="N44" s="204">
        <f>+N41-M41</f>
      </c>
      <c r="O44" s="204">
        <f>+O41-N41</f>
      </c>
      <c r="P44" s="950">
        <f>SUM(L44,M44,N44,O44)</f>
      </c>
      <c r="Q44" s="204">
        <f>+Q41-P41</f>
      </c>
      <c r="R44" s="204">
        <f>+R41-Q41</f>
      </c>
      <c r="S44" s="204">
        <f>+S41-R41</f>
      </c>
      <c r="T44" s="204">
        <f>+T41-S41</f>
      </c>
      <c r="U44" s="950">
        <f>SUM(Q44,R44,S44,T44)</f>
      </c>
      <c r="V44" s="204">
        <f>+V41-U41</f>
      </c>
      <c r="W44" s="204">
        <f>+W41-V41</f>
      </c>
      <c r="X44" s="204">
        <f>+X41-W41</f>
      </c>
      <c r="Y44" s="204">
        <f>+Y41-X41</f>
      </c>
      <c r="Z44" s="950">
        <f>SUM(V44,W44,X44,Y44)</f>
      </c>
      <c r="AA44" s="204">
        <f>+AA41-Z41</f>
      </c>
      <c r="AB44" s="204">
        <f>+AB41-AA41</f>
      </c>
      <c r="AC44" s="204">
        <f>+AC41-AB41</f>
      </c>
      <c r="AD44" s="204">
        <f>+AD41-AC41</f>
      </c>
      <c r="AE44" s="950">
        <f>SUM(AA44,AB44,AC44,AD44)</f>
      </c>
      <c r="AF44" s="131">
        <f>+AF41-AE41</f>
      </c>
      <c r="AG44" s="131">
        <f>+AG41-AF41</f>
      </c>
      <c r="AH44" s="131">
        <f>+AH41-AG41</f>
      </c>
      <c r="AI44" s="131">
        <f>+AI41-AH41</f>
      </c>
      <c r="AJ44" s="952">
        <f>SUM(AF44,AG44,AH44,AI44)</f>
      </c>
      <c r="AK44" s="131">
        <f>+AK41-AJ41</f>
      </c>
      <c r="AL44" s="131">
        <f>+AL41-AK41</f>
      </c>
      <c r="AM44" s="131">
        <f>+AM41-AL41</f>
      </c>
      <c r="AN44" s="131">
        <f>+AN41-AM41</f>
      </c>
      <c r="AO44" s="952">
        <f>SUM(AK44,AL44,AM44,AN44)</f>
      </c>
      <c r="AP44" s="204"/>
      <c r="AQ44" s="204"/>
      <c r="AR44" s="204"/>
      <c r="AS44" s="204"/>
      <c r="AT44" s="950"/>
      <c r="AU44" s="204"/>
      <c r="AV44" s="204"/>
      <c r="AW44" s="204"/>
      <c r="AX44" s="204"/>
      <c r="AY44" s="950"/>
      <c r="AZ44" s="204"/>
      <c r="BA44" s="204"/>
      <c r="BB44" s="204"/>
      <c r="BC44" s="204"/>
      <c r="BD44" s="950"/>
      <c r="BE44" s="204"/>
      <c r="BF44" s="204"/>
      <c r="BG44" s="204"/>
      <c r="BH44" s="204"/>
      <c r="BI44" s="950"/>
      <c r="BJ44" s="204"/>
      <c r="BK44" s="204"/>
      <c r="BL44" s="204"/>
      <c r="BM44" s="204"/>
      <c r="BN44" s="950"/>
      <c r="BO44" s="204"/>
      <c r="BP44" s="204"/>
      <c r="BQ44" s="204"/>
      <c r="BR44" s="204"/>
      <c r="BS44" s="950"/>
      <c r="BT44" s="294"/>
      <c r="BU44" s="204"/>
      <c r="BV44" s="204"/>
      <c r="BW44" s="204"/>
      <c r="BX44" s="950"/>
      <c r="BY44" s="204"/>
      <c r="BZ44" s="204"/>
      <c r="CA44" s="204"/>
      <c r="CB44" s="204"/>
      <c r="CC44" s="950"/>
      <c r="CD44" s="950"/>
      <c r="CE44" s="950"/>
      <c r="CF44" s="950"/>
      <c r="CG44" s="131"/>
    </row>
    <row r="45" spans="1:85" hidden="1" outlineLevel="2" x14ac:dyDescent="0.3">
      <c r="A45" s="130" t="s">
        <v>399</v>
      </c>
      <c r="B45" s="242"/>
      <c r="C45" s="950"/>
      <c r="D45" s="950"/>
      <c r="E45" s="950"/>
      <c r="F45" s="950"/>
      <c r="G45" s="204"/>
      <c r="H45" s="204"/>
      <c r="I45" s="204"/>
      <c r="J45" s="204"/>
      <c r="K45" s="950"/>
      <c r="L45" s="204"/>
      <c r="M45" s="204"/>
      <c r="N45" s="204"/>
      <c r="O45" s="204"/>
      <c r="P45" s="950"/>
      <c r="Q45" s="204"/>
      <c r="R45" s="204"/>
      <c r="S45" s="204"/>
      <c r="T45" s="204"/>
      <c r="U45" s="950"/>
      <c r="V45" s="204"/>
      <c r="W45" s="204"/>
      <c r="X45" s="204"/>
      <c r="Y45" s="204"/>
      <c r="Z45" s="950"/>
      <c r="AA45" s="131">
        <f t="shared" ref="AA45:AO45" si="102">+AA52-AA41</f>
      </c>
      <c r="AB45" s="131">
        <f t="shared" si="102"/>
      </c>
      <c r="AC45" s="131">
        <f t="shared" si="102"/>
      </c>
      <c r="AD45" s="131">
        <f t="shared" si="102"/>
      </c>
      <c r="AE45" s="952">
        <f t="shared" si="102"/>
      </c>
      <c r="AF45" s="131">
        <f t="shared" si="102"/>
      </c>
      <c r="AG45" s="131">
        <f t="shared" si="102"/>
      </c>
      <c r="AH45" s="131">
        <f t="shared" si="102"/>
      </c>
      <c r="AI45" s="131">
        <f t="shared" si="102"/>
      </c>
      <c r="AJ45" s="952">
        <f t="shared" si="102"/>
      </c>
      <c r="AK45" s="131">
        <f t="shared" si="102"/>
      </c>
      <c r="AL45" s="131">
        <f t="shared" si="102"/>
      </c>
      <c r="AM45" s="131">
        <f t="shared" si="102"/>
      </c>
      <c r="AN45" s="131">
        <f t="shared" si="102"/>
      </c>
      <c r="AO45" s="952">
        <f t="shared" si="102"/>
      </c>
      <c r="AP45" s="204"/>
      <c r="AQ45" s="204"/>
      <c r="AR45" s="204"/>
      <c r="AS45" s="204"/>
      <c r="AT45" s="950"/>
      <c r="AU45" s="204"/>
      <c r="AV45" s="204"/>
      <c r="AW45" s="204"/>
      <c r="AX45" s="204"/>
      <c r="AY45" s="950"/>
      <c r="AZ45" s="204"/>
      <c r="BA45" s="204"/>
      <c r="BB45" s="204"/>
      <c r="BC45" s="204"/>
      <c r="BD45" s="950"/>
      <c r="BE45" s="204"/>
      <c r="BF45" s="204"/>
      <c r="BG45" s="204"/>
      <c r="BH45" s="204"/>
      <c r="BI45" s="950"/>
      <c r="BJ45" s="204"/>
      <c r="BK45" s="204"/>
      <c r="BL45" s="204"/>
      <c r="BM45" s="204"/>
      <c r="BN45" s="950"/>
      <c r="BO45" s="204"/>
      <c r="BP45" s="204"/>
      <c r="BQ45" s="204"/>
      <c r="BR45" s="204"/>
      <c r="BS45" s="950"/>
      <c r="BT45" s="294"/>
      <c r="BU45" s="204"/>
      <c r="BV45" s="204"/>
      <c r="BW45" s="204"/>
      <c r="BX45" s="950"/>
      <c r="BY45" s="204"/>
      <c r="BZ45" s="204"/>
      <c r="CA45" s="204"/>
      <c r="CB45" s="204"/>
      <c r="CC45" s="950"/>
      <c r="CD45" s="950"/>
      <c r="CE45" s="950"/>
      <c r="CF45" s="950"/>
      <c r="CG45" s="131"/>
    </row>
    <row r="46" spans="1:85" s="586" customFormat="1" hidden="1" outlineLevel="2" x14ac:dyDescent="0.3">
      <c r="A46" s="360" t="s">
        <v>537</v>
      </c>
      <c r="B46" s="311"/>
      <c r="C46" s="935"/>
      <c r="D46" s="935"/>
      <c r="E46" s="935"/>
      <c r="F46" s="935"/>
      <c r="G46" s="58"/>
      <c r="H46" s="58"/>
      <c r="I46" s="58"/>
      <c r="J46" s="58"/>
      <c r="K46" s="935"/>
      <c r="L46" s="58"/>
      <c r="M46" s="58"/>
      <c r="N46" s="58"/>
      <c r="O46" s="58"/>
      <c r="P46" s="935"/>
      <c r="Q46" s="58"/>
      <c r="R46" s="58"/>
      <c r="S46" s="58"/>
      <c r="T46" s="58"/>
      <c r="U46" s="935"/>
      <c r="V46" s="58"/>
      <c r="W46" s="58"/>
      <c r="X46" s="58"/>
      <c r="Y46" s="58"/>
      <c r="Z46" s="935"/>
      <c r="AA46" s="58"/>
      <c r="AB46" s="308">
        <f>AB45/AA45-1</f>
      </c>
      <c r="AC46" s="308">
        <f>AC45/AB45-1</f>
      </c>
      <c r="AD46" s="308">
        <f>AD45/AC45-1</f>
      </c>
      <c r="AE46" s="935"/>
      <c r="AF46" s="308">
        <f>AF45/AD45-1</f>
      </c>
      <c r="AG46" s="308">
        <f>AG45/AF45-1</f>
      </c>
      <c r="AH46" s="308">
        <f>AH45/AG45-1</f>
      </c>
      <c r="AI46" s="308">
        <f>AI45/AH45-1</f>
      </c>
      <c r="AJ46" s="935"/>
      <c r="AK46" s="308">
        <f>AK45/AI45-1</f>
      </c>
      <c r="AL46" s="308">
        <f>AL45/AK45-1</f>
      </c>
      <c r="AM46" s="308">
        <f>AM45/AL45-1</f>
      </c>
      <c r="AN46" s="308">
        <f>AN45/AM45-1</f>
      </c>
      <c r="AO46" s="935"/>
      <c r="AP46" s="58"/>
      <c r="AQ46" s="58"/>
      <c r="AR46" s="58"/>
      <c r="AS46" s="58"/>
      <c r="AT46" s="935"/>
      <c r="AU46" s="58"/>
      <c r="AV46" s="58"/>
      <c r="AW46" s="58"/>
      <c r="AX46" s="58"/>
      <c r="AY46" s="935"/>
      <c r="AZ46" s="58"/>
      <c r="BA46" s="58"/>
      <c r="BB46" s="58"/>
      <c r="BC46" s="58"/>
      <c r="BD46" s="935"/>
      <c r="BE46" s="58"/>
      <c r="BF46" s="58"/>
      <c r="BG46" s="58"/>
      <c r="BH46" s="58"/>
      <c r="BI46" s="935"/>
      <c r="BJ46" s="58"/>
      <c r="BK46" s="58"/>
      <c r="BL46" s="58"/>
      <c r="BM46" s="58"/>
      <c r="BN46" s="935"/>
      <c r="BO46" s="58"/>
      <c r="BP46" s="58"/>
      <c r="BQ46" s="58"/>
      <c r="BR46" s="58"/>
      <c r="BS46" s="935"/>
      <c r="BT46" s="669"/>
      <c r="BU46" s="58"/>
      <c r="BV46" s="58"/>
      <c r="BW46" s="58"/>
      <c r="BX46" s="935"/>
      <c r="BY46" s="58"/>
      <c r="BZ46" s="58"/>
      <c r="CA46" s="58"/>
      <c r="CB46" s="58"/>
      <c r="CC46" s="935"/>
      <c r="CD46" s="935"/>
      <c r="CE46" s="935"/>
      <c r="CF46" s="935"/>
      <c r="CG46" s="308"/>
    </row>
    <row r="47" spans="1:85" s="583" customFormat="1" hidden="1" outlineLevel="2" x14ac:dyDescent="0.3">
      <c r="A47" s="393" t="s">
        <v>538</v>
      </c>
      <c r="B47" s="305"/>
      <c r="C47" s="936"/>
      <c r="D47" s="936"/>
      <c r="E47" s="936"/>
      <c r="F47" s="936"/>
      <c r="G47" s="446"/>
      <c r="H47" s="446"/>
      <c r="I47" s="446"/>
      <c r="J47" s="446"/>
      <c r="K47" s="936"/>
      <c r="L47" s="446"/>
      <c r="M47" s="446"/>
      <c r="N47" s="446"/>
      <c r="O47" s="446"/>
      <c r="P47" s="936"/>
      <c r="Q47" s="446"/>
      <c r="R47" s="446"/>
      <c r="S47" s="446"/>
      <c r="T47" s="446"/>
      <c r="U47" s="936"/>
      <c r="V47" s="446"/>
      <c r="W47" s="446"/>
      <c r="X47" s="446"/>
      <c r="Y47" s="446"/>
      <c r="Z47" s="936"/>
      <c r="AA47" s="446"/>
      <c r="AB47" s="446"/>
      <c r="AC47" s="446"/>
      <c r="AD47" s="446"/>
      <c r="AE47" s="936"/>
      <c r="AF47" s="446">
        <f t="shared" ref="AF47:AO47" si="103">+AF45/AA45-1</f>
      </c>
      <c r="AG47" s="446">
        <f t="shared" si="103"/>
      </c>
      <c r="AH47" s="446">
        <f t="shared" si="103"/>
      </c>
      <c r="AI47" s="446">
        <f t="shared" si="103"/>
      </c>
      <c r="AJ47" s="936">
        <f t="shared" si="103"/>
      </c>
      <c r="AK47" s="446">
        <f t="shared" si="103"/>
      </c>
      <c r="AL47" s="446">
        <f t="shared" si="103"/>
      </c>
      <c r="AM47" s="446">
        <f t="shared" si="103"/>
      </c>
      <c r="AN47" s="446">
        <f t="shared" si="103"/>
      </c>
      <c r="AO47" s="936">
        <f t="shared" si="103"/>
      </c>
      <c r="AP47" s="446"/>
      <c r="AQ47" s="446"/>
      <c r="AR47" s="446"/>
      <c r="AS47" s="446"/>
      <c r="AT47" s="936"/>
      <c r="AU47" s="446"/>
      <c r="AV47" s="446"/>
      <c r="AW47" s="446"/>
      <c r="AX47" s="446"/>
      <c r="AY47" s="936"/>
      <c r="AZ47" s="446"/>
      <c r="BA47" s="446"/>
      <c r="BB47" s="446"/>
      <c r="BC47" s="446"/>
      <c r="BD47" s="936"/>
      <c r="BE47" s="446"/>
      <c r="BF47" s="446"/>
      <c r="BG47" s="446"/>
      <c r="BH47" s="446"/>
      <c r="BI47" s="936"/>
      <c r="BJ47" s="446"/>
      <c r="BK47" s="446"/>
      <c r="BL47" s="446"/>
      <c r="BM47" s="446"/>
      <c r="BN47" s="936"/>
      <c r="BO47" s="446"/>
      <c r="BP47" s="446"/>
      <c r="BQ47" s="446"/>
      <c r="BR47" s="446"/>
      <c r="BS47" s="936"/>
      <c r="BT47" s="665"/>
      <c r="BU47" s="446"/>
      <c r="BV47" s="446"/>
      <c r="BW47" s="446"/>
      <c r="BX47" s="936"/>
      <c r="BY47" s="446"/>
      <c r="BZ47" s="446"/>
      <c r="CA47" s="446"/>
      <c r="CB47" s="446"/>
      <c r="CC47" s="936"/>
      <c r="CD47" s="936"/>
      <c r="CE47" s="936"/>
      <c r="CF47" s="936"/>
      <c r="CG47" s="308"/>
    </row>
    <row r="48" spans="1:85" hidden="1" outlineLevel="2" x14ac:dyDescent="0.3">
      <c r="A48" s="130" t="s">
        <v>406</v>
      </c>
      <c r="B48" s="242"/>
      <c r="C48" s="950"/>
      <c r="D48" s="950"/>
      <c r="E48" s="950"/>
      <c r="F48" s="950"/>
      <c r="G48" s="204"/>
      <c r="H48" s="204"/>
      <c r="I48" s="204"/>
      <c r="J48" s="204"/>
      <c r="K48" s="950"/>
      <c r="L48" s="204"/>
      <c r="M48" s="204"/>
      <c r="N48" s="204"/>
      <c r="O48" s="204"/>
      <c r="P48" s="950"/>
      <c r="Q48" s="204"/>
      <c r="R48" s="204"/>
      <c r="S48" s="204"/>
      <c r="T48" s="204"/>
      <c r="U48" s="950"/>
      <c r="V48" s="204"/>
      <c r="W48" s="204"/>
      <c r="X48" s="204"/>
      <c r="Y48" s="204"/>
      <c r="Z48" s="950"/>
      <c r="AA48" s="204">
        <f>AA51-AA44</f>
      </c>
      <c r="AB48" s="204">
        <f>+AB45-AA45</f>
      </c>
      <c r="AC48" s="204">
        <f>+AC45-AB45</f>
      </c>
      <c r="AD48" s="204">
        <f>+AD45-AC45</f>
      </c>
      <c r="AE48" s="950">
        <f>SUM(AA48,AB48,AC48,AD48)</f>
      </c>
      <c r="AF48" s="131">
        <f>+AF45-AE45</f>
      </c>
      <c r="AG48" s="131">
        <f>+AG45-AF45</f>
      </c>
      <c r="AH48" s="131">
        <f>+AH45-AG45</f>
      </c>
      <c r="AI48" s="131">
        <f>+AI45-AH45</f>
      </c>
      <c r="AJ48" s="952">
        <f>SUM(AF48,AG48,AH48,AI48)</f>
      </c>
      <c r="AK48" s="131">
        <f>+AK45-AJ45</f>
      </c>
      <c r="AL48" s="131">
        <f>+AL45-AK45</f>
      </c>
      <c r="AM48" s="131">
        <f>+AM45-AL45</f>
      </c>
      <c r="AN48" s="131">
        <f>+AN45-AM45</f>
      </c>
      <c r="AO48" s="952">
        <f>SUM(AK48,AL48,AM48,AN48)</f>
      </c>
      <c r="AP48" s="204"/>
      <c r="AQ48" s="204"/>
      <c r="AR48" s="204"/>
      <c r="AS48" s="204"/>
      <c r="AT48" s="950"/>
      <c r="AU48" s="204"/>
      <c r="AV48" s="204"/>
      <c r="AW48" s="204"/>
      <c r="AX48" s="204"/>
      <c r="AY48" s="950"/>
      <c r="AZ48" s="204"/>
      <c r="BA48" s="204"/>
      <c r="BB48" s="204"/>
      <c r="BC48" s="204"/>
      <c r="BD48" s="950"/>
      <c r="BE48" s="204"/>
      <c r="BF48" s="204"/>
      <c r="BG48" s="204"/>
      <c r="BH48" s="204"/>
      <c r="BI48" s="950"/>
      <c r="BJ48" s="204"/>
      <c r="BK48" s="204"/>
      <c r="BL48" s="204"/>
      <c r="BM48" s="204"/>
      <c r="BN48" s="950"/>
      <c r="BO48" s="204"/>
      <c r="BP48" s="204"/>
      <c r="BQ48" s="204"/>
      <c r="BR48" s="204"/>
      <c r="BS48" s="950"/>
      <c r="BT48" s="294"/>
      <c r="BU48" s="204"/>
      <c r="BV48" s="204"/>
      <c r="BW48" s="204"/>
      <c r="BX48" s="950"/>
      <c r="BY48" s="204"/>
      <c r="BZ48" s="204"/>
      <c r="CA48" s="204"/>
      <c r="CB48" s="204"/>
      <c r="CC48" s="950"/>
      <c r="CD48" s="950"/>
      <c r="CE48" s="950"/>
      <c r="CF48" s="950"/>
      <c r="CG48" s="131"/>
    </row>
    <row r="49" spans="1:85" s="587" customFormat="1" hidden="1" outlineLevel="2" x14ac:dyDescent="0.3">
      <c r="A49" s="436"/>
      <c r="B49" s="386"/>
      <c r="C49" s="943"/>
      <c r="D49" s="943"/>
      <c r="E49" s="943"/>
      <c r="F49" s="943"/>
      <c r="G49" s="753"/>
      <c r="H49" s="753"/>
      <c r="I49" s="753"/>
      <c r="J49" s="753"/>
      <c r="K49" s="943"/>
      <c r="L49" s="753"/>
      <c r="M49" s="753"/>
      <c r="N49" s="753"/>
      <c r="O49" s="753"/>
      <c r="P49" s="943"/>
      <c r="Q49" s="753"/>
      <c r="R49" s="753"/>
      <c r="S49" s="753"/>
      <c r="T49" s="753"/>
      <c r="U49" s="943"/>
      <c r="V49" s="753"/>
      <c r="W49" s="753"/>
      <c r="X49" s="753"/>
      <c r="Y49" s="753"/>
      <c r="Z49" s="943"/>
      <c r="AA49" s="753"/>
      <c r="AB49" s="753"/>
      <c r="AC49" s="753"/>
      <c r="AD49" s="753"/>
      <c r="AE49" s="943"/>
      <c r="AF49" s="753"/>
      <c r="AG49" s="753"/>
      <c r="AH49" s="753"/>
      <c r="AI49" s="753"/>
      <c r="AJ49" s="943"/>
      <c r="AK49" s="753"/>
      <c r="AL49" s="753"/>
      <c r="AM49" s="753"/>
      <c r="AN49" s="753"/>
      <c r="AO49" s="943"/>
      <c r="AP49" s="753"/>
      <c r="AQ49" s="753"/>
      <c r="AR49" s="753"/>
      <c r="AS49" s="753"/>
      <c r="AT49" s="943"/>
      <c r="AU49" s="753"/>
      <c r="AV49" s="753"/>
      <c r="AW49" s="753"/>
      <c r="AX49" s="753"/>
      <c r="AY49" s="943"/>
      <c r="AZ49" s="753"/>
      <c r="BA49" s="753"/>
      <c r="BB49" s="753"/>
      <c r="BC49" s="753"/>
      <c r="BD49" s="943"/>
      <c r="BE49" s="753"/>
      <c r="BF49" s="753"/>
      <c r="BG49" s="753"/>
      <c r="BH49" s="753"/>
      <c r="BI49" s="943"/>
      <c r="BJ49" s="753"/>
      <c r="BK49" s="753"/>
      <c r="BL49" s="753"/>
      <c r="BM49" s="753"/>
      <c r="BN49" s="943"/>
      <c r="BO49" s="753"/>
      <c r="BP49" s="753"/>
      <c r="BQ49" s="753"/>
      <c r="BR49" s="753"/>
      <c r="BS49" s="943"/>
      <c r="BT49" s="756"/>
      <c r="BU49" s="753"/>
      <c r="BV49" s="753"/>
      <c r="BW49" s="753"/>
      <c r="BX49" s="943"/>
      <c r="BY49" s="753"/>
      <c r="BZ49" s="753"/>
      <c r="CA49" s="753"/>
      <c r="CB49" s="753"/>
      <c r="CC49" s="943"/>
      <c r="CD49" s="943"/>
      <c r="CE49" s="943"/>
      <c r="CF49" s="943"/>
      <c r="CG49" s="459"/>
    </row>
    <row r="50" spans="1:85" s="581" customFormat="1" hidden="1" outlineLevel="1" collapsed="1" x14ac:dyDescent="0.3">
      <c r="A50" s="244" t="s">
        <v>670</v>
      </c>
      <c r="B50" s="354"/>
      <c r="C50" s="931"/>
      <c r="D50" s="931"/>
      <c r="E50" s="931"/>
      <c r="F50" s="931"/>
      <c r="G50" s="215"/>
      <c r="H50" s="215"/>
      <c r="I50" s="215"/>
      <c r="J50" s="215"/>
      <c r="K50" s="931"/>
      <c r="L50" s="215"/>
      <c r="M50" s="215"/>
      <c r="N50" s="215"/>
      <c r="O50" s="215"/>
      <c r="P50" s="931"/>
      <c r="Q50" s="215"/>
      <c r="R50" s="215"/>
      <c r="S50" s="215"/>
      <c r="T50" s="215"/>
      <c r="U50" s="931"/>
      <c r="V50" s="215"/>
      <c r="W50" s="215"/>
      <c r="X50" s="215"/>
      <c r="Y50" s="215"/>
      <c r="Z50" s="931"/>
      <c r="AA50" s="215">
        <f>AA56*2-AA52</f>
      </c>
      <c r="AB50" s="215">
        <f>AA52</f>
      </c>
      <c r="AC50" s="215">
        <f>AB52</f>
      </c>
      <c r="AD50" s="215">
        <f>AC52</f>
      </c>
      <c r="AE50" s="931">
        <f>AA50</f>
      </c>
      <c r="AF50" s="215">
        <f>AE52</f>
      </c>
      <c r="AG50" s="215">
        <f>AF52</f>
      </c>
      <c r="AH50" s="215">
        <f>AG52</f>
      </c>
      <c r="AI50" s="215">
        <f>AH52</f>
      </c>
      <c r="AJ50" s="931">
        <f>AE52</f>
      </c>
      <c r="AK50" s="215">
        <f>AJ52</f>
      </c>
      <c r="AL50" s="215">
        <f>AK52</f>
      </c>
      <c r="AM50" s="215">
        <f>AL52</f>
      </c>
      <c r="AN50" s="215">
        <f>AM52</f>
      </c>
      <c r="AO50" s="931">
        <f>AJ52</f>
      </c>
      <c r="AP50" s="215">
        <f>AO52</f>
      </c>
      <c r="AQ50" s="215">
        <f>AP52</f>
      </c>
      <c r="AR50" s="215">
        <f>AQ52</f>
      </c>
      <c r="AS50" s="215">
        <f>AR52</f>
      </c>
      <c r="AT50" s="931">
        <f>AO52</f>
      </c>
      <c r="AU50" s="215">
        <f>AT52</f>
      </c>
      <c r="AV50" s="215">
        <f>AU52</f>
      </c>
      <c r="AW50" s="215">
        <f>AV52</f>
      </c>
      <c r="AX50" s="215">
        <f>AW52</f>
      </c>
      <c r="AY50" s="931">
        <f>AT52</f>
      </c>
      <c r="AZ50" s="215">
        <f>AY52</f>
      </c>
      <c r="BA50" s="215">
        <f>AZ52</f>
      </c>
      <c r="BB50" s="215">
        <f>BA52</f>
      </c>
      <c r="BC50" s="215">
        <f>BB52</f>
      </c>
      <c r="BD50" s="931">
        <f>AY52</f>
      </c>
      <c r="BE50" s="215">
        <f>BD52</f>
      </c>
      <c r="BF50" s="215">
        <f>BE52</f>
      </c>
      <c r="BG50" s="215">
        <f>BF52</f>
      </c>
      <c r="BH50" s="215">
        <f>BG52</f>
      </c>
      <c r="BI50" s="931">
        <f>BD52</f>
      </c>
      <c r="BJ50" s="215">
        <f>BI52</f>
      </c>
      <c r="BK50" s="215">
        <f>BJ52</f>
      </c>
      <c r="BL50" s="215">
        <f>BK52</f>
      </c>
      <c r="BM50" s="215">
        <f>BL52</f>
      </c>
      <c r="BN50" s="931">
        <f>BI52</f>
      </c>
      <c r="BO50" s="215">
        <f>BN52</f>
      </c>
      <c r="BP50" s="215">
        <f>BO52</f>
      </c>
      <c r="BQ50" s="215">
        <f>BP52</f>
      </c>
      <c r="BR50" s="215">
        <f>BQ52</f>
      </c>
      <c r="BS50" s="931">
        <f>BN52</f>
      </c>
      <c r="BT50" s="661">
        <f>BS52</f>
      </c>
      <c r="BU50" s="215">
        <f>BT52</f>
      </c>
      <c r="BV50" s="215">
        <f>BU52</f>
      </c>
      <c r="BW50" s="215">
        <f>BV52</f>
      </c>
      <c r="BX50" s="931">
        <f>BS52</f>
      </c>
      <c r="BY50" s="215">
        <f>BX52</f>
      </c>
      <c r="BZ50" s="215">
        <f>BY52</f>
      </c>
      <c r="CA50" s="215">
        <f>BZ52</f>
      </c>
      <c r="CB50" s="215">
        <f>CA52</f>
      </c>
      <c r="CC50" s="931">
        <f>BX52</f>
      </c>
      <c r="CD50" s="931">
        <f>CC52</f>
      </c>
      <c r="CE50" s="931">
        <f>CD52</f>
      </c>
      <c r="CF50" s="931">
        <f>CE52</f>
      </c>
      <c r="CG50" s="24"/>
    </row>
    <row r="51" spans="1:85" hidden="1" outlineLevel="1" x14ac:dyDescent="0.3">
      <c r="A51" s="201" t="s">
        <v>528</v>
      </c>
      <c r="B51" s="246"/>
      <c r="C51" s="953"/>
      <c r="D51" s="953"/>
      <c r="E51" s="953"/>
      <c r="F51" s="953"/>
      <c r="G51" s="247"/>
      <c r="H51" s="247"/>
      <c r="I51" s="247"/>
      <c r="J51" s="247"/>
      <c r="K51" s="953"/>
      <c r="L51" s="247"/>
      <c r="M51" s="247"/>
      <c r="N51" s="247"/>
      <c r="O51" s="247"/>
      <c r="P51" s="953"/>
      <c r="Q51" s="247"/>
      <c r="R51" s="247"/>
      <c r="S51" s="247"/>
      <c r="T51" s="247"/>
      <c r="U51" s="953"/>
      <c r="V51" s="247"/>
      <c r="W51" s="247"/>
      <c r="X51" s="247"/>
      <c r="Y51" s="247"/>
      <c r="Z51" s="953"/>
      <c r="AA51" s="247">
        <f>AA52-AA50</f>
      </c>
      <c r="AB51" s="247">
        <f>AB52-AB50</f>
      </c>
      <c r="AC51" s="247">
        <f>AC52-AC50</f>
      </c>
      <c r="AD51" s="247">
        <f>AD52-AD50</f>
      </c>
      <c r="AE51" s="953">
        <f>SUM(AA51,AB51,AC51,AD51)</f>
      </c>
      <c r="AF51" s="202">
        <f>AF52-AF50</f>
      </c>
      <c r="AG51" s="202">
        <f>AG52-AG50</f>
      </c>
      <c r="AH51" s="202">
        <f>AH52-AH50</f>
      </c>
      <c r="AI51" s="202">
        <f>AI52-AI50</f>
      </c>
      <c r="AJ51" s="954">
        <f>SUM(AF51,AG51,AH51,AI51)</f>
      </c>
      <c r="AK51" s="202">
        <f>AK52-AK50</f>
      </c>
      <c r="AL51" s="202">
        <f>AL52-AL50</f>
      </c>
      <c r="AM51" s="202">
        <f>AM52-AM50</f>
      </c>
      <c r="AN51" s="202">
        <f>AN52-AN50</f>
      </c>
      <c r="AO51" s="954">
        <f>SUM(AK51,AL51,AM51,AN51)</f>
      </c>
      <c r="AP51" s="202">
        <f>AP52-AP50</f>
      </c>
      <c r="AQ51" s="202">
        <f>AQ52-AQ50</f>
      </c>
      <c r="AR51" s="202">
        <f>AR52-AR50</f>
      </c>
      <c r="AS51" s="202">
        <f>AS52-AS50</f>
      </c>
      <c r="AT51" s="954">
        <f>SUM(AP51,AQ51,AR51,AS51)</f>
      </c>
      <c r="AU51" s="202">
        <f>AU52-AU50</f>
      </c>
      <c r="AV51" s="202">
        <f>AV52-AV50</f>
      </c>
      <c r="AW51" s="202">
        <f>AW52-AW50</f>
      </c>
      <c r="AX51" s="202">
        <f>AX52-AX50</f>
      </c>
      <c r="AY51" s="954">
        <f>SUM(AU51,AV51,AW51,AX51)</f>
      </c>
      <c r="AZ51" s="202">
        <f>AZ52-AZ50</f>
      </c>
      <c r="BA51" s="202">
        <f>BA52-BA50</f>
      </c>
      <c r="BB51" s="202">
        <f>BB52-BB50</f>
      </c>
      <c r="BC51" s="202">
        <f>BC52-BC50</f>
      </c>
      <c r="BD51" s="954">
        <f>SUM(AZ51,BA51,BB51,BC51)</f>
      </c>
      <c r="BE51" s="202">
        <f>BE52-BE50</f>
      </c>
      <c r="BF51" s="202">
        <f>BF52-BF50</f>
      </c>
      <c r="BG51" s="202">
        <f>BG52-BG50</f>
      </c>
      <c r="BH51" s="202">
        <f>BH52-BH50</f>
      </c>
      <c r="BI51" s="954">
        <f>SUM(BE51,BF51,BG51,BH51)</f>
      </c>
      <c r="BJ51" s="202">
        <f>BJ52-BJ50</f>
      </c>
      <c r="BK51" s="131">
        <f>BK52-BK50</f>
      </c>
      <c r="BL51" s="202">
        <f>BL52-BL50</f>
      </c>
      <c r="BM51" s="202">
        <f>BM52-BM50</f>
      </c>
      <c r="BN51" s="954">
        <f>SUM(BJ51,BK51,BL51,BM51)</f>
      </c>
      <c r="BO51" s="202">
        <f>BO52-BO50</f>
      </c>
      <c r="BP51" s="131">
        <f>BP52-BP50</f>
      </c>
      <c r="BQ51" s="202">
        <f>BQ52-BQ50</f>
      </c>
      <c r="BR51" s="202">
        <f>BR52-BR50</f>
      </c>
      <c r="BS51" s="954">
        <f>SUM(BO51,BP51,BQ51,BR51)</f>
      </c>
      <c r="BT51" s="670">
        <f>BT52-BT50</f>
      </c>
      <c r="BU51" s="247">
        <f>BU53*BU50</f>
      </c>
      <c r="BV51" s="247">
        <f>BV53*BV50</f>
      </c>
      <c r="BW51" s="247">
        <f>BW53*BW50</f>
      </c>
      <c r="BX51" s="953">
        <f>SUM(BT51,BU51,BV51,BW51)</f>
      </c>
      <c r="BY51" s="247">
        <f>BY53*BY50</f>
      </c>
      <c r="BZ51" s="247">
        <f>BZ53*BZ50</f>
      </c>
      <c r="CA51" s="247">
        <f>CA53*CA50</f>
      </c>
      <c r="CB51" s="247">
        <f>CB53*CB50</f>
      </c>
      <c r="CC51" s="953">
        <f>SUM(BY51,BZ51,CA51,CB51)</f>
      </c>
      <c r="CD51" s="953">
        <f>CD54*CD50</f>
      </c>
      <c r="CE51" s="953">
        <f>CE54*CE50</f>
      </c>
      <c r="CF51" s="953">
        <f>CF54*CF50</f>
      </c>
      <c r="CG51" s="131"/>
    </row>
    <row r="52" spans="1:85" s="589" customFormat="1" hidden="1" outlineLevel="1" x14ac:dyDescent="0.3">
      <c r="A52" s="188" t="s">
        <v>674</v>
      </c>
      <c r="B52" s="245"/>
      <c r="C52" s="933"/>
      <c r="D52" s="933"/>
      <c r="E52" s="933"/>
      <c r="F52" s="933"/>
      <c r="G52" s="200"/>
      <c r="H52" s="200"/>
      <c r="I52" s="200"/>
      <c r="J52" s="200"/>
      <c r="K52" s="933"/>
      <c r="L52" s="200"/>
      <c r="M52" s="200"/>
      <c r="N52" s="200"/>
      <c r="O52" s="200"/>
      <c r="P52" s="933"/>
      <c r="Q52" s="200"/>
      <c r="R52" s="200"/>
      <c r="S52" s="200"/>
      <c r="T52" s="200"/>
      <c r="U52" s="933"/>
      <c r="V52" s="200"/>
      <c r="W52" s="200"/>
      <c r="X52" s="200"/>
      <c r="Y52" s="200"/>
      <c r="Z52" s="933"/>
      <c r="AA52" s="847">
        <v>54575</v>
      </c>
      <c r="AB52" s="847">
        <v>55617</v>
      </c>
      <c r="AC52" s="847">
        <v>56779</v>
      </c>
      <c r="AD52" s="847">
        <v>58422</v>
      </c>
      <c r="AE52" s="934">
        <f>SUM(AE50:AE51)</f>
      </c>
      <c r="AF52" s="847">
        <v>60909</v>
      </c>
      <c r="AG52" s="847">
        <v>61870</v>
      </c>
      <c r="AH52" s="847">
        <v>63010</v>
      </c>
      <c r="AI52" s="847">
        <v>64757</v>
      </c>
      <c r="AJ52" s="934">
        <f>SUM(AJ50:AJ51)</f>
      </c>
      <c r="AK52" s="847">
        <v>66633</v>
      </c>
      <c r="AL52" s="847">
        <v>66501</v>
      </c>
      <c r="AM52" s="847">
        <v>67114</v>
      </c>
      <c r="AN52" s="847">
        <v>67662</v>
      </c>
      <c r="AO52" s="934">
        <f>SUM(AO50:AO51)</f>
      </c>
      <c r="AP52" s="847">
        <v>69969</v>
      </c>
      <c r="AQ52" s="847">
        <v>72904</v>
      </c>
      <c r="AR52" s="847">
        <v>73081</v>
      </c>
      <c r="AS52" s="847">
        <v>73936</v>
      </c>
      <c r="AT52" s="934">
        <f>SUM(AT50:AT51)</f>
      </c>
      <c r="AU52" s="847">
        <v>74384</v>
      </c>
      <c r="AV52" s="847">
        <v>73951</v>
      </c>
      <c r="AW52" s="847">
        <v>74024</v>
      </c>
      <c r="AX52" s="847">
        <v>75215</v>
      </c>
      <c r="AY52" s="934">
        <f>SUM(AY50:AY51)</f>
      </c>
      <c r="AZ52" s="847">
        <v>74579</v>
      </c>
      <c r="BA52" s="847">
        <v>73283</v>
      </c>
      <c r="BB52" s="847">
        <v>73387</v>
      </c>
      <c r="BC52" s="847">
        <v>74296</v>
      </c>
      <c r="BD52" s="934">
        <f>SUM(BD50:BD51)</f>
      </c>
      <c r="BE52" s="847">
        <v>74398</v>
      </c>
      <c r="BF52" s="847">
        <v>75571</v>
      </c>
      <c r="BG52" s="847">
        <v>77321</v>
      </c>
      <c r="BH52" s="847">
        <v>80128</v>
      </c>
      <c r="BI52" s="934">
        <f>SUM(BI50:BI51)</f>
      </c>
      <c r="BJ52" s="847">
        <v>82658</v>
      </c>
      <c r="BK52" s="851">
        <v>84109</v>
      </c>
      <c r="BL52" s="847">
        <v>84803</v>
      </c>
      <c r="BM52" s="847">
        <v>89625</v>
      </c>
      <c r="BN52" s="934">
        <f>SUM(BN50:BN51)</f>
      </c>
      <c r="BO52" s="847">
        <v>88000</v>
      </c>
      <c r="BP52" s="851">
        <v>91000</v>
      </c>
      <c r="BQ52" s="847">
        <v>92000</v>
      </c>
      <c r="BR52" s="847">
        <v>93000</v>
      </c>
      <c r="BS52" s="934">
        <f>SUM(BS50:BS51)</f>
      </c>
      <c r="BT52" s="852">
        <v>94000</v>
      </c>
      <c r="BU52" s="200">
        <f t="shared" ref="BU52:CF52" si="104">SUM(BU50:BU51)</f>
      </c>
      <c r="BV52" s="200">
        <f t="shared" si="104"/>
      </c>
      <c r="BW52" s="200">
        <f t="shared" si="104"/>
      </c>
      <c r="BX52" s="933">
        <f t="shared" si="104"/>
      </c>
      <c r="BY52" s="200">
        <f t="shared" si="104"/>
      </c>
      <c r="BZ52" s="200">
        <f t="shared" si="104"/>
      </c>
      <c r="CA52" s="200">
        <f t="shared" si="104"/>
      </c>
      <c r="CB52" s="200">
        <f t="shared" si="104"/>
      </c>
      <c r="CC52" s="933">
        <f t="shared" si="104"/>
      </c>
      <c r="CD52" s="933">
        <f t="shared" si="104"/>
      </c>
      <c r="CE52" s="933">
        <f t="shared" si="104"/>
      </c>
      <c r="CF52" s="933">
        <f t="shared" si="104"/>
      </c>
      <c r="CG52" s="24"/>
    </row>
    <row r="53" spans="1:85" s="589" customFormat="1" hidden="1" outlineLevel="1" x14ac:dyDescent="0.3">
      <c r="A53" s="310" t="s">
        <v>539</v>
      </c>
      <c r="B53" s="309"/>
      <c r="C53" s="935"/>
      <c r="D53" s="935"/>
      <c r="E53" s="935"/>
      <c r="F53" s="935"/>
      <c r="G53" s="58"/>
      <c r="H53" s="58"/>
      <c r="I53" s="58"/>
      <c r="J53" s="58"/>
      <c r="K53" s="935"/>
      <c r="L53" s="58"/>
      <c r="M53" s="58"/>
      <c r="N53" s="58"/>
      <c r="O53" s="58"/>
      <c r="P53" s="935"/>
      <c r="Q53" s="58"/>
      <c r="R53" s="58"/>
      <c r="S53" s="58"/>
      <c r="T53" s="58"/>
      <c r="U53" s="935"/>
      <c r="V53" s="58"/>
      <c r="W53" s="58"/>
      <c r="X53" s="58"/>
      <c r="Y53" s="58"/>
      <c r="Z53" s="935"/>
      <c r="AA53" s="58"/>
      <c r="AB53" s="308">
        <f>AB52/AA52-1</f>
      </c>
      <c r="AC53" s="308">
        <f>AC52/AB52-1</f>
      </c>
      <c r="AD53" s="308">
        <f>AD52/AC52-1</f>
      </c>
      <c r="AE53" s="935"/>
      <c r="AF53" s="308">
        <f>AF52/AD52-1</f>
      </c>
      <c r="AG53" s="308">
        <f>AG52/AF52-1</f>
      </c>
      <c r="AH53" s="308">
        <f>AH52/AG52-1</f>
      </c>
      <c r="AI53" s="308">
        <f>AI52/AH52-1</f>
      </c>
      <c r="AJ53" s="935"/>
      <c r="AK53" s="308">
        <f>AK52/AI52-1</f>
      </c>
      <c r="AL53" s="308">
        <f>AL52/AK52-1</f>
      </c>
      <c r="AM53" s="308">
        <f>AM52/AL52-1</f>
      </c>
      <c r="AN53" s="308">
        <f>AN52/AM52-1</f>
      </c>
      <c r="AO53" s="935"/>
      <c r="AP53" s="308">
        <f>AP52/AN52-1</f>
      </c>
      <c r="AQ53" s="308">
        <f>AQ52/AP52-1</f>
      </c>
      <c r="AR53" s="308">
        <f>AR52/AQ52-1</f>
      </c>
      <c r="AS53" s="308">
        <f>AS52/AR52-1</f>
      </c>
      <c r="AT53" s="935"/>
      <c r="AU53" s="308">
        <f>AU52/AS52-1</f>
      </c>
      <c r="AV53" s="308">
        <f>AV52/AU52-1</f>
      </c>
      <c r="AW53" s="308">
        <f>AW52/AV52-1</f>
      </c>
      <c r="AX53" s="308">
        <f>AX52/AW52-1</f>
      </c>
      <c r="AY53" s="935"/>
      <c r="AZ53" s="308">
        <f>AZ52/AX52-1</f>
      </c>
      <c r="BA53" s="308">
        <f>BA52/AZ52-1</f>
      </c>
      <c r="BB53" s="308">
        <f>BB52/BA52-1</f>
      </c>
      <c r="BC53" s="308">
        <f>BC52/BB52-1</f>
      </c>
      <c r="BD53" s="935"/>
      <c r="BE53" s="308">
        <f>BE52/BC52-1</f>
      </c>
      <c r="BF53" s="308">
        <f>BF52/BE52-1</f>
      </c>
      <c r="BG53" s="308">
        <f>BG52/BF52-1</f>
      </c>
      <c r="BH53" s="308">
        <f>BH52/BG52-1</f>
      </c>
      <c r="BI53" s="935"/>
      <c r="BJ53" s="308">
        <f>BJ52/BH52-1</f>
      </c>
      <c r="BK53" s="308">
        <f>BK52/BJ52-1</f>
      </c>
      <c r="BL53" s="308">
        <f>BL52/BK52-1</f>
      </c>
      <c r="BM53" s="308">
        <f>BM52/BL52-1</f>
      </c>
      <c r="BN53" s="935"/>
      <c r="BO53" s="308">
        <f>BO52/BM52-1</f>
      </c>
      <c r="BP53" s="308">
        <f>BP52/BO52-1</f>
      </c>
      <c r="BQ53" s="308">
        <f>BQ52/BP52-1</f>
      </c>
      <c r="BR53" s="308">
        <f>BR52/BQ52-1</f>
      </c>
      <c r="BS53" s="935"/>
      <c r="BT53" s="663">
        <f>BT52/BR52-1</f>
      </c>
      <c r="BU53" s="853">
        <v>0.01</v>
      </c>
      <c r="BV53" s="853">
        <v>0.02</v>
      </c>
      <c r="BW53" s="853">
        <v>0.01</v>
      </c>
      <c r="BX53" s="935"/>
      <c r="BY53" s="853">
        <v>5.0000000000000001E-3</v>
      </c>
      <c r="BZ53" s="853">
        <v>5.0000000000000001E-3</v>
      </c>
      <c r="CA53" s="853">
        <v>5.0000000000000001E-3</v>
      </c>
      <c r="CB53" s="853">
        <v>5.0000000000000001E-3</v>
      </c>
      <c r="CC53" s="935"/>
      <c r="CD53" s="935"/>
      <c r="CE53" s="935"/>
      <c r="CF53" s="935"/>
      <c r="CG53" s="24"/>
    </row>
    <row r="54" spans="1:85" s="583" customFormat="1" hidden="1" outlineLevel="1" x14ac:dyDescent="0.3">
      <c r="A54" s="767" t="s">
        <v>540</v>
      </c>
      <c r="B54" s="305"/>
      <c r="C54" s="936"/>
      <c r="D54" s="936"/>
      <c r="E54" s="936"/>
      <c r="F54" s="936"/>
      <c r="G54" s="446"/>
      <c r="H54" s="446"/>
      <c r="I54" s="446"/>
      <c r="J54" s="446"/>
      <c r="K54" s="936"/>
      <c r="L54" s="446"/>
      <c r="M54" s="446"/>
      <c r="N54" s="446"/>
      <c r="O54" s="446"/>
      <c r="P54" s="936"/>
      <c r="Q54" s="446"/>
      <c r="R54" s="446"/>
      <c r="S54" s="446"/>
      <c r="T54" s="446"/>
      <c r="U54" s="936"/>
      <c r="V54" s="446"/>
      <c r="W54" s="446"/>
      <c r="X54" s="446"/>
      <c r="Y54" s="446"/>
      <c r="Z54" s="936"/>
      <c r="AA54" s="446"/>
      <c r="AB54" s="446"/>
      <c r="AC54" s="446"/>
      <c r="AD54" s="446"/>
      <c r="AE54" s="936"/>
      <c r="AF54" s="446">
        <f t="shared" ref="AF54:AW54" si="105">+AF52/AA52-1</f>
      </c>
      <c r="AG54" s="446">
        <f t="shared" si="105"/>
      </c>
      <c r="AH54" s="446">
        <f t="shared" si="105"/>
      </c>
      <c r="AI54" s="446">
        <f t="shared" si="105"/>
      </c>
      <c r="AJ54" s="936">
        <f t="shared" si="105"/>
      </c>
      <c r="AK54" s="446">
        <f t="shared" si="105"/>
      </c>
      <c r="AL54" s="446">
        <f t="shared" si="105"/>
      </c>
      <c r="AM54" s="446">
        <f t="shared" si="105"/>
      </c>
      <c r="AN54" s="446">
        <f t="shared" si="105"/>
      </c>
      <c r="AO54" s="936">
        <f t="shared" si="105"/>
      </c>
      <c r="AP54" s="446">
        <f t="shared" si="105"/>
      </c>
      <c r="AQ54" s="446">
        <f t="shared" si="105"/>
      </c>
      <c r="AR54" s="446">
        <f t="shared" si="105"/>
      </c>
      <c r="AS54" s="446">
        <f t="shared" si="105"/>
      </c>
      <c r="AT54" s="936">
        <f t="shared" si="105"/>
      </c>
      <c r="AU54" s="446">
        <f t="shared" si="105"/>
      </c>
      <c r="AV54" s="446">
        <f t="shared" si="105"/>
      </c>
      <c r="AW54" s="446">
        <f t="shared" si="105"/>
      </c>
      <c r="AX54" s="446">
        <f t="shared" ref="AX54:BD54" si="106">+AX52/AS52-1</f>
      </c>
      <c r="AY54" s="936">
        <f t="shared" si="106"/>
      </c>
      <c r="AZ54" s="446">
        <f t="shared" si="106"/>
      </c>
      <c r="BA54" s="446">
        <f t="shared" si="106"/>
      </c>
      <c r="BB54" s="446">
        <f t="shared" si="106"/>
      </c>
      <c r="BC54" s="446">
        <f t="shared" si="106"/>
      </c>
      <c r="BD54" s="936">
        <f t="shared" si="106"/>
      </c>
      <c r="BE54" s="446">
        <f t="shared" ref="BE54:BI54" si="107">+BE52/AZ52-1</f>
      </c>
      <c r="BF54" s="446">
        <f t="shared" si="107"/>
      </c>
      <c r="BG54" s="446">
        <f t="shared" si="107"/>
      </c>
      <c r="BH54" s="446">
        <f t="shared" si="107"/>
      </c>
      <c r="BI54" s="936">
        <f t="shared" si="107"/>
      </c>
      <c r="BJ54" s="446">
        <f t="shared" ref="BJ54:BX54" si="108">+BJ52/BE52-1</f>
      </c>
      <c r="BK54" s="446">
        <f t="shared" si="108"/>
      </c>
      <c r="BL54" s="446">
        <f t="shared" si="108"/>
      </c>
      <c r="BM54" s="446">
        <f t="shared" si="108"/>
      </c>
      <c r="BN54" s="936">
        <f t="shared" si="108"/>
      </c>
      <c r="BO54" s="446">
        <f t="shared" ref="BO54:BW54" si="109">+BO52/BJ52-1</f>
      </c>
      <c r="BP54" s="446">
        <f t="shared" si="109"/>
      </c>
      <c r="BQ54" s="446">
        <f t="shared" si="109"/>
      </c>
      <c r="BR54" s="446">
        <f t="shared" si="109"/>
      </c>
      <c r="BS54" s="936">
        <f t="shared" si="109"/>
      </c>
      <c r="BT54" s="665">
        <f>+BT52/BO52-1</f>
      </c>
      <c r="BU54" s="446">
        <f t="shared" si="109"/>
      </c>
      <c r="BV54" s="446">
        <f t="shared" si="109"/>
      </c>
      <c r="BW54" s="446">
        <f t="shared" si="109"/>
      </c>
      <c r="BX54" s="936">
        <f t="shared" si="108"/>
      </c>
      <c r="BY54" s="446">
        <f>+BY52/BT52-1</f>
      </c>
      <c r="BZ54" s="446">
        <f>+BZ52/BU52-1</f>
      </c>
      <c r="CA54" s="446">
        <f>+CA52/BV52-1</f>
      </c>
      <c r="CB54" s="446">
        <f>+CB52/BW52-1</f>
      </c>
      <c r="CC54" s="936">
        <f>+CC52/BX52-1</f>
      </c>
      <c r="CD54" s="955">
        <v>0.05</v>
      </c>
      <c r="CE54" s="955">
        <v>0.05</v>
      </c>
      <c r="CF54" s="955">
        <v>0.05</v>
      </c>
      <c r="CG54" s="308"/>
    </row>
    <row r="55" spans="1:85" ht="7.5" hidden="1" customHeight="1" outlineLevel="1" x14ac:dyDescent="0.3">
      <c r="A55" s="239"/>
      <c r="B55" s="240"/>
      <c r="C55" s="938"/>
      <c r="D55" s="938"/>
      <c r="E55" s="938"/>
      <c r="F55" s="938"/>
      <c r="G55" s="241"/>
      <c r="H55" s="241"/>
      <c r="I55" s="241"/>
      <c r="J55" s="241"/>
      <c r="K55" s="938"/>
      <c r="L55" s="241"/>
      <c r="M55" s="241"/>
      <c r="N55" s="241"/>
      <c r="O55" s="241"/>
      <c r="P55" s="938"/>
      <c r="Q55" s="241"/>
      <c r="R55" s="241"/>
      <c r="S55" s="241"/>
      <c r="T55" s="241"/>
      <c r="U55" s="938"/>
      <c r="V55" s="241"/>
      <c r="W55" s="241"/>
      <c r="X55" s="241"/>
      <c r="Y55" s="241"/>
      <c r="Z55" s="938"/>
      <c r="AA55" s="241"/>
      <c r="AB55" s="241"/>
      <c r="AC55" s="241"/>
      <c r="AD55" s="241"/>
      <c r="AE55" s="938"/>
      <c r="AF55" s="241"/>
      <c r="AG55" s="241"/>
      <c r="AH55" s="241"/>
      <c r="AI55" s="241"/>
      <c r="AJ55" s="938"/>
      <c r="AK55" s="241"/>
      <c r="AL55" s="241"/>
      <c r="AM55" s="241"/>
      <c r="AN55" s="241"/>
      <c r="AO55" s="938"/>
      <c r="AP55" s="241"/>
      <c r="AQ55" s="241"/>
      <c r="AR55" s="241"/>
      <c r="AS55" s="241"/>
      <c r="AT55" s="938"/>
      <c r="AU55" s="241"/>
      <c r="AV55" s="241"/>
      <c r="AW55" s="241"/>
      <c r="AX55" s="241"/>
      <c r="AY55" s="938"/>
      <c r="AZ55" s="241"/>
      <c r="BA55" s="241"/>
      <c r="BB55" s="241"/>
      <c r="BC55" s="241"/>
      <c r="BD55" s="938"/>
      <c r="BE55" s="241"/>
      <c r="BF55" s="241"/>
      <c r="BG55" s="241"/>
      <c r="BH55" s="241"/>
      <c r="BI55" s="938"/>
      <c r="BJ55" s="241"/>
      <c r="BK55" s="241"/>
      <c r="BL55" s="241"/>
      <c r="BM55" s="241"/>
      <c r="BN55" s="938"/>
      <c r="BO55" s="241"/>
      <c r="BP55" s="241"/>
      <c r="BQ55" s="241"/>
      <c r="BR55" s="241"/>
      <c r="BS55" s="938"/>
      <c r="BT55" s="666"/>
      <c r="BU55" s="241"/>
      <c r="BV55" s="241"/>
      <c r="BW55" s="241"/>
      <c r="BX55" s="938"/>
      <c r="BY55" s="241"/>
      <c r="BZ55" s="241"/>
      <c r="CA55" s="241"/>
      <c r="CB55" s="241"/>
      <c r="CC55" s="938"/>
      <c r="CD55" s="938"/>
      <c r="CE55" s="938"/>
      <c r="CF55" s="938"/>
      <c r="CG55" s="191"/>
    </row>
    <row r="56" spans="1:85" s="582" customFormat="1" hidden="1" outlineLevel="1" x14ac:dyDescent="0.3">
      <c r="A56" s="255" t="s">
        <v>638</v>
      </c>
      <c r="B56" s="392"/>
      <c r="C56" s="956"/>
      <c r="D56" s="956"/>
      <c r="E56" s="956"/>
      <c r="F56" s="956"/>
      <c r="G56" s="257"/>
      <c r="H56" s="257"/>
      <c r="I56" s="257"/>
      <c r="J56" s="257"/>
      <c r="K56" s="956"/>
      <c r="L56" s="257"/>
      <c r="M56" s="257"/>
      <c r="N56" s="257"/>
      <c r="O56" s="257"/>
      <c r="P56" s="956"/>
      <c r="Q56" s="257"/>
      <c r="R56" s="257"/>
      <c r="S56" s="257"/>
      <c r="T56" s="257"/>
      <c r="U56" s="956"/>
      <c r="V56" s="257"/>
      <c r="W56" s="257"/>
      <c r="X56" s="257"/>
      <c r="Y56" s="257"/>
      <c r="Z56" s="956"/>
      <c r="AA56" s="854">
        <v>53743</v>
      </c>
      <c r="AB56" s="257">
        <f>AVERAGE(AB52,AB50)</f>
      </c>
      <c r="AC56" s="257">
        <f>AVERAGE(AC52,AC50)</f>
      </c>
      <c r="AD56" s="257">
        <f>AVERAGE(AD52,AD50)</f>
      </c>
      <c r="AE56" s="956">
        <f>AVERAGE(AA56,AB56,AC56,AD56)</f>
      </c>
      <c r="AF56" s="257">
        <f>AVERAGE(AF52,AF50)</f>
      </c>
      <c r="AG56" s="257">
        <f>AVERAGE(AG52,AG50)</f>
      </c>
      <c r="AH56" s="257">
        <f>AVERAGE(AH52,AH50)</f>
      </c>
      <c r="AI56" s="257">
        <f>AVERAGE(AI52,AI50)</f>
      </c>
      <c r="AJ56" s="956">
        <f>AVERAGE(AF56,AG56,AH56,AI56)</f>
      </c>
      <c r="AK56" s="257">
        <f>AVERAGE(AK52,AK50)</f>
      </c>
      <c r="AL56" s="257">
        <f>AVERAGE(AL52,AL50)</f>
      </c>
      <c r="AM56" s="257">
        <f>AVERAGE(AM52,AM50)</f>
      </c>
      <c r="AN56" s="257">
        <f>AVERAGE(AN52,AN50)</f>
      </c>
      <c r="AO56" s="956">
        <f>AVERAGE(AK56,AL56,AM56,AN56)</f>
      </c>
      <c r="AP56" s="257">
        <f>AVERAGE(AP52,AP50)</f>
      </c>
      <c r="AQ56" s="257">
        <f>AVERAGE(AQ52,AQ50)</f>
      </c>
      <c r="AR56" s="257">
        <f>AVERAGE(AR52,AR50)</f>
      </c>
      <c r="AS56" s="257">
        <f>AVERAGE(AS52,AS50)</f>
      </c>
      <c r="AT56" s="956">
        <f>AVERAGE(AP56,AQ56,AR56,AS56)</f>
      </c>
      <c r="AU56" s="257">
        <f>AVERAGE(AU52,AU50)</f>
      </c>
      <c r="AV56" s="257">
        <f>AVERAGE(AV52,AV50)</f>
      </c>
      <c r="AW56" s="257">
        <f>AVERAGE(AW52,AW50)</f>
      </c>
      <c r="AX56" s="257">
        <f>AVERAGE(AX52,AX50)</f>
      </c>
      <c r="AY56" s="956">
        <f>AVERAGE(AU56,AV56,AW56,AX56)</f>
      </c>
      <c r="AZ56" s="257">
        <f>AVERAGE(AZ52,AZ50)</f>
      </c>
      <c r="BA56" s="257">
        <f>AVERAGE(BA52,BA50)</f>
      </c>
      <c r="BB56" s="257">
        <f>AVERAGE(BB52,BB50)</f>
      </c>
      <c r="BC56" s="257">
        <f>AVERAGE(BC52,BC50)</f>
      </c>
      <c r="BD56" s="956">
        <f>AVERAGE(AZ56,BA56,BB56,BC56)</f>
      </c>
      <c r="BE56" s="257">
        <f>AVERAGE(BE52,BE50)</f>
      </c>
      <c r="BF56" s="257">
        <f>AVERAGE(BF52,BF50)</f>
      </c>
      <c r="BG56" s="257">
        <f>AVERAGE(BG52,BG50)</f>
      </c>
      <c r="BH56" s="257">
        <f>AVERAGE(BH52,BH50)</f>
      </c>
      <c r="BI56" s="956">
        <f>AVERAGE(BE56,BF56,BG56,BH56)</f>
      </c>
      <c r="BJ56" s="257">
        <f>AVERAGE(BJ52,BJ50)</f>
      </c>
      <c r="BK56" s="257">
        <f>AVERAGE(BK52,BK50)</f>
      </c>
      <c r="BL56" s="257">
        <f>AVERAGE(BL52,BL50)</f>
      </c>
      <c r="BM56" s="257">
        <f>AVERAGE(BM52,BM50)</f>
      </c>
      <c r="BN56" s="956">
        <f>AVERAGE(BJ56,BK56,BL56,BM56)</f>
      </c>
      <c r="BO56" s="257">
        <f>AVERAGE(BO52,BO50)</f>
      </c>
      <c r="BP56" s="257">
        <f>AVERAGE(BP52,BP50)</f>
      </c>
      <c r="BQ56" s="257">
        <f>AVERAGE(BQ52,BQ50)</f>
      </c>
      <c r="BR56" s="257">
        <f>AVERAGE(BR52,BR50)</f>
      </c>
      <c r="BS56" s="956">
        <f>AVERAGE(BO56,BP56,BQ56,BR56)</f>
      </c>
      <c r="BT56" s="671">
        <f>AVERAGE(BT52,BT50)</f>
      </c>
      <c r="BU56" s="257">
        <f>AVERAGE(BU52,BU50)</f>
      </c>
      <c r="BV56" s="257">
        <f>AVERAGE(BV52,BV50)</f>
      </c>
      <c r="BW56" s="257">
        <f>AVERAGE(BW52,BW50)</f>
      </c>
      <c r="BX56" s="956">
        <f>AVERAGE(BT56,BU56,BV56,BW56)</f>
      </c>
      <c r="BY56" s="257">
        <f>AVERAGE(BY52,BY50)</f>
      </c>
      <c r="BZ56" s="257">
        <f>AVERAGE(BZ52,BZ50)</f>
      </c>
      <c r="CA56" s="257">
        <f>AVERAGE(CA52,CA50)</f>
      </c>
      <c r="CB56" s="257">
        <f>AVERAGE(CB52,CB50)</f>
      </c>
      <c r="CC56" s="956">
        <f>AVERAGE(BY56,BZ56,CA56,CB56)</f>
      </c>
      <c r="CD56" s="956">
        <f>AVERAGE(CD52,CD50)</f>
      </c>
      <c r="CE56" s="956">
        <f>AVERAGE(CE52,CE50)</f>
      </c>
      <c r="CF56" s="956">
        <f>AVERAGE(CF52,CF50)</f>
      </c>
      <c r="CG56" s="131"/>
    </row>
    <row r="57" spans="1:85" s="581" customFormat="1" hidden="1" outlineLevel="1" x14ac:dyDescent="0.3">
      <c r="A57" s="327" t="s">
        <v>641</v>
      </c>
      <c r="B57" s="366"/>
      <c r="C57" s="936"/>
      <c r="D57" s="936"/>
      <c r="E57" s="936"/>
      <c r="F57" s="936"/>
      <c r="G57" s="446"/>
      <c r="H57" s="446"/>
      <c r="I57" s="446"/>
      <c r="J57" s="446"/>
      <c r="K57" s="936"/>
      <c r="L57" s="446"/>
      <c r="M57" s="446"/>
      <c r="N57" s="446"/>
      <c r="O57" s="446"/>
      <c r="P57" s="936"/>
      <c r="Q57" s="446"/>
      <c r="R57" s="446"/>
      <c r="S57" s="446"/>
      <c r="T57" s="446"/>
      <c r="U57" s="936"/>
      <c r="V57" s="446"/>
      <c r="W57" s="446"/>
      <c r="X57" s="446"/>
      <c r="Y57" s="446"/>
      <c r="Z57" s="936"/>
      <c r="AA57" s="446"/>
      <c r="AB57" s="446">
        <f>AB56/AA56-1</f>
      </c>
      <c r="AC57" s="446">
        <f>AC56/AB56-1</f>
      </c>
      <c r="AD57" s="446">
        <f>AD56/AC56-1</f>
      </c>
      <c r="AE57" s="936"/>
      <c r="AF57" s="446">
        <f>AF56/AD56-1</f>
      </c>
      <c r="AG57" s="446">
        <f>AG56/AF56-1</f>
      </c>
      <c r="AH57" s="446">
        <f>AH56/AG56-1</f>
      </c>
      <c r="AI57" s="446">
        <f>AI56/AH56-1</f>
      </c>
      <c r="AJ57" s="936"/>
      <c r="AK57" s="446">
        <f>AK56/AI56-1</f>
      </c>
      <c r="AL57" s="446">
        <f>AL56/AK56-1</f>
      </c>
      <c r="AM57" s="446">
        <f>AM56/AL56-1</f>
      </c>
      <c r="AN57" s="446">
        <f>AN56/AM56-1</f>
      </c>
      <c r="AO57" s="936"/>
      <c r="AP57" s="446">
        <f>AP56/AN56-1</f>
      </c>
      <c r="AQ57" s="446">
        <f>AQ56/AP56-1</f>
      </c>
      <c r="AR57" s="446">
        <f>AR56/AQ56-1</f>
      </c>
      <c r="AS57" s="446">
        <f>AS56/AR56-1</f>
      </c>
      <c r="AT57" s="936"/>
      <c r="AU57" s="446">
        <f>AU56/AS56-1</f>
      </c>
      <c r="AV57" s="446">
        <f>AV56/AU56-1</f>
      </c>
      <c r="AW57" s="446">
        <f>AW56/AV56-1</f>
      </c>
      <c r="AX57" s="446">
        <f>AX56/AW56-1</f>
      </c>
      <c r="AY57" s="936"/>
      <c r="AZ57" s="446">
        <f>AZ56/AX56-1</f>
      </c>
      <c r="BA57" s="446">
        <f>BA56/AZ56-1</f>
      </c>
      <c r="BB57" s="446">
        <f>BB56/BA56-1</f>
      </c>
      <c r="BC57" s="446">
        <f>BC56/BB56-1</f>
      </c>
      <c r="BD57" s="936"/>
      <c r="BE57" s="446">
        <f>BE56/BC56-1</f>
      </c>
      <c r="BF57" s="446">
        <f>BF56/BE56-1</f>
      </c>
      <c r="BG57" s="446">
        <f>BG56/BF56-1</f>
      </c>
      <c r="BH57" s="446">
        <f>BH56/BG56-1</f>
      </c>
      <c r="BI57" s="936"/>
      <c r="BJ57" s="446">
        <f>BJ56/BH56-1</f>
      </c>
      <c r="BK57" s="446">
        <f>BK56/BJ56-1</f>
      </c>
      <c r="BL57" s="446">
        <f>BL56/BK56-1</f>
      </c>
      <c r="BM57" s="446">
        <f>BM56/BL56-1</f>
      </c>
      <c r="BN57" s="936"/>
      <c r="BO57" s="446">
        <f>BO56/BM56-1</f>
      </c>
      <c r="BP57" s="446">
        <f>BP56/BO56-1</f>
      </c>
      <c r="BQ57" s="446">
        <f>BQ56/BP56-1</f>
      </c>
      <c r="BR57" s="446">
        <f>BR56/BQ56-1</f>
      </c>
      <c r="BS57" s="936"/>
      <c r="BT57" s="665">
        <f>BT56/BR56-1</f>
      </c>
      <c r="BU57" s="446">
        <f>BU56/BT56-1</f>
      </c>
      <c r="BV57" s="446">
        <f>BV56/BU56-1</f>
      </c>
      <c r="BW57" s="446">
        <f>BW56/BV56-1</f>
      </c>
      <c r="BX57" s="936"/>
      <c r="BY57" s="446">
        <f>BY56/BW56-1</f>
      </c>
      <c r="BZ57" s="446">
        <f>BZ56/BY56-1</f>
      </c>
      <c r="CA57" s="446">
        <f>CA56/BZ56-1</f>
      </c>
      <c r="CB57" s="446">
        <f>CB56/CA56-1</f>
      </c>
      <c r="CC57" s="936"/>
      <c r="CD57" s="936"/>
      <c r="CE57" s="936"/>
      <c r="CF57" s="936"/>
      <c r="CG57" s="24"/>
    </row>
    <row r="58" spans="1:85" s="590" customFormat="1" hidden="1" outlineLevel="1" x14ac:dyDescent="0.3">
      <c r="A58" s="69" t="s">
        <v>642</v>
      </c>
      <c r="B58" s="305"/>
      <c r="C58" s="936"/>
      <c r="D58" s="936"/>
      <c r="E58" s="936"/>
      <c r="F58" s="936"/>
      <c r="G58" s="446"/>
      <c r="H58" s="446"/>
      <c r="I58" s="446"/>
      <c r="J58" s="446"/>
      <c r="K58" s="936"/>
      <c r="L58" s="446"/>
      <c r="M58" s="446"/>
      <c r="N58" s="446"/>
      <c r="O58" s="446"/>
      <c r="P58" s="936"/>
      <c r="Q58" s="446"/>
      <c r="R58" s="446"/>
      <c r="S58" s="446"/>
      <c r="T58" s="446"/>
      <c r="U58" s="936"/>
      <c r="V58" s="446"/>
      <c r="W58" s="446"/>
      <c r="X58" s="446"/>
      <c r="Y58" s="446"/>
      <c r="Z58" s="936"/>
      <c r="AA58" s="446"/>
      <c r="AB58" s="446"/>
      <c r="AC58" s="446"/>
      <c r="AD58" s="446"/>
      <c r="AE58" s="936"/>
      <c r="AF58" s="446">
        <f t="shared" ref="AF58:AW58" si="110">AF56/AA56-1</f>
      </c>
      <c r="AG58" s="446">
        <f t="shared" si="110"/>
      </c>
      <c r="AH58" s="446">
        <f t="shared" si="110"/>
      </c>
      <c r="AI58" s="446">
        <f t="shared" si="110"/>
      </c>
      <c r="AJ58" s="936">
        <f t="shared" si="110"/>
      </c>
      <c r="AK58" s="446">
        <f t="shared" si="110"/>
      </c>
      <c r="AL58" s="446">
        <f t="shared" si="110"/>
      </c>
      <c r="AM58" s="446">
        <f t="shared" si="110"/>
      </c>
      <c r="AN58" s="446">
        <f t="shared" si="110"/>
      </c>
      <c r="AO58" s="936">
        <f t="shared" si="110"/>
      </c>
      <c r="AP58" s="446">
        <f t="shared" si="110"/>
      </c>
      <c r="AQ58" s="446">
        <f t="shared" si="110"/>
      </c>
      <c r="AR58" s="446">
        <f t="shared" si="110"/>
      </c>
      <c r="AS58" s="446">
        <f t="shared" si="110"/>
      </c>
      <c r="AT58" s="936">
        <f t="shared" si="110"/>
      </c>
      <c r="AU58" s="446">
        <f t="shared" si="110"/>
      </c>
      <c r="AV58" s="446">
        <f t="shared" si="110"/>
      </c>
      <c r="AW58" s="446">
        <f t="shared" si="110"/>
      </c>
      <c r="AX58" s="446">
        <f t="shared" ref="AX58:BD58" si="111">AX56/AS56-1</f>
      </c>
      <c r="AY58" s="936">
        <f t="shared" si="111"/>
      </c>
      <c r="AZ58" s="446">
        <f t="shared" si="111"/>
      </c>
      <c r="BA58" s="446">
        <f t="shared" si="111"/>
      </c>
      <c r="BB58" s="446">
        <f t="shared" si="111"/>
      </c>
      <c r="BC58" s="446">
        <f t="shared" si="111"/>
      </c>
      <c r="BD58" s="936">
        <f t="shared" si="111"/>
      </c>
      <c r="BE58" s="446">
        <f t="shared" ref="BE58:BI58" si="112">BE56/AZ56-1</f>
      </c>
      <c r="BF58" s="446">
        <f t="shared" si="112"/>
      </c>
      <c r="BG58" s="446">
        <f t="shared" si="112"/>
      </c>
      <c r="BH58" s="446">
        <f t="shared" si="112"/>
      </c>
      <c r="BI58" s="936">
        <f t="shared" si="112"/>
      </c>
      <c r="BJ58" s="446">
        <f t="shared" ref="BJ58:BX58" si="113">BJ56/BE56-1</f>
      </c>
      <c r="BK58" s="446">
        <f t="shared" si="113"/>
      </c>
      <c r="BL58" s="446">
        <f t="shared" si="113"/>
      </c>
      <c r="BM58" s="446">
        <f t="shared" si="113"/>
      </c>
      <c r="BN58" s="936">
        <f t="shared" si="113"/>
      </c>
      <c r="BO58" s="446">
        <f t="shared" ref="BO58:BW58" si="114">BO56/BJ56-1</f>
      </c>
      <c r="BP58" s="446">
        <f t="shared" si="114"/>
      </c>
      <c r="BQ58" s="446">
        <f t="shared" si="114"/>
      </c>
      <c r="BR58" s="446">
        <f t="shared" si="114"/>
      </c>
      <c r="BS58" s="936">
        <f t="shared" si="114"/>
      </c>
      <c r="BT58" s="665">
        <f>BT56/BO56-1</f>
      </c>
      <c r="BU58" s="446">
        <f t="shared" si="114"/>
      </c>
      <c r="BV58" s="446">
        <f t="shared" si="114"/>
      </c>
      <c r="BW58" s="446">
        <f t="shared" si="114"/>
      </c>
      <c r="BX58" s="936">
        <f t="shared" si="113"/>
      </c>
      <c r="BY58" s="446">
        <f>BY56/BT56-1</f>
      </c>
      <c r="BZ58" s="446">
        <f>BZ56/BU56-1</f>
      </c>
      <c r="CA58" s="446">
        <f>CA56/BV56-1</f>
      </c>
      <c r="CB58" s="446">
        <f>CB56/BW56-1</f>
      </c>
      <c r="CC58" s="936">
        <f>CC56/BX56-1</f>
      </c>
      <c r="CD58" s="936">
        <f>CD56/CC56-1</f>
      </c>
      <c r="CE58" s="936">
        <f>CE56/CD56-1</f>
      </c>
      <c r="CF58" s="936">
        <f>CF56/CE56-1</f>
      </c>
      <c r="CG58" s="308"/>
    </row>
    <row r="59" spans="1:85" ht="7.5" hidden="1" customHeight="1" outlineLevel="1" x14ac:dyDescent="0.3">
      <c r="A59" s="239"/>
      <c r="B59" s="240"/>
      <c r="C59" s="938"/>
      <c r="D59" s="938"/>
      <c r="E59" s="938"/>
      <c r="F59" s="938"/>
      <c r="G59" s="241"/>
      <c r="H59" s="241"/>
      <c r="I59" s="241"/>
      <c r="J59" s="241"/>
      <c r="K59" s="938"/>
      <c r="L59" s="241"/>
      <c r="M59" s="241"/>
      <c r="N59" s="241"/>
      <c r="O59" s="241"/>
      <c r="P59" s="938"/>
      <c r="Q59" s="241"/>
      <c r="R59" s="241"/>
      <c r="S59" s="241"/>
      <c r="T59" s="241"/>
      <c r="U59" s="938"/>
      <c r="V59" s="241"/>
      <c r="W59" s="241"/>
      <c r="X59" s="241"/>
      <c r="Y59" s="241"/>
      <c r="Z59" s="938"/>
      <c r="AA59" s="241"/>
      <c r="AB59" s="241"/>
      <c r="AC59" s="241"/>
      <c r="AD59" s="241"/>
      <c r="AE59" s="938"/>
      <c r="AF59" s="241"/>
      <c r="AG59" s="241"/>
      <c r="AH59" s="241"/>
      <c r="AI59" s="241"/>
      <c r="AJ59" s="938"/>
      <c r="AK59" s="241"/>
      <c r="AL59" s="241"/>
      <c r="AM59" s="241"/>
      <c r="AN59" s="241"/>
      <c r="AO59" s="938"/>
      <c r="AP59" s="241"/>
      <c r="AQ59" s="241"/>
      <c r="AR59" s="241"/>
      <c r="AS59" s="241"/>
      <c r="AT59" s="938"/>
      <c r="AU59" s="241"/>
      <c r="AV59" s="241"/>
      <c r="AW59" s="241"/>
      <c r="AX59" s="241"/>
      <c r="AY59" s="938"/>
      <c r="AZ59" s="241"/>
      <c r="BA59" s="241"/>
      <c r="BB59" s="241"/>
      <c r="BC59" s="241"/>
      <c r="BD59" s="938"/>
      <c r="BE59" s="241"/>
      <c r="BF59" s="241"/>
      <c r="BG59" s="241"/>
      <c r="BH59" s="241"/>
      <c r="BI59" s="938"/>
      <c r="BJ59" s="241"/>
      <c r="BK59" s="241"/>
      <c r="BL59" s="241"/>
      <c r="BM59" s="241"/>
      <c r="BN59" s="938"/>
      <c r="BO59" s="241"/>
      <c r="BP59" s="241"/>
      <c r="BQ59" s="241"/>
      <c r="BR59" s="241"/>
      <c r="BS59" s="938"/>
      <c r="BT59" s="666"/>
      <c r="BU59" s="241"/>
      <c r="BV59" s="241"/>
      <c r="BW59" s="241"/>
      <c r="BX59" s="938"/>
      <c r="BY59" s="241"/>
      <c r="BZ59" s="241"/>
      <c r="CA59" s="241"/>
      <c r="CB59" s="241"/>
      <c r="CC59" s="938"/>
      <c r="CD59" s="938"/>
      <c r="CE59" s="938"/>
      <c r="CF59" s="938"/>
      <c r="CG59" s="191"/>
    </row>
    <row r="60" spans="1:85" hidden="1" outlineLevel="2" x14ac:dyDescent="0.3">
      <c r="A60" s="312" t="s">
        <v>400</v>
      </c>
      <c r="B60" s="248"/>
      <c r="C60" s="957"/>
      <c r="D60" s="957"/>
      <c r="E60" s="957"/>
      <c r="F60" s="957"/>
      <c r="G60" s="18">
        <f>+G69*1000/(AVERAGE(G41,F41))/3</f>
      </c>
      <c r="H60" s="18">
        <f>+H69*1000/(AVERAGE(H41,G41))/3</f>
      </c>
      <c r="I60" s="18">
        <f>+I69*1000/(AVERAGE(I41,H41))/3</f>
      </c>
      <c r="J60" s="18">
        <f>+J69*1000/(AVERAGE(J41,I41))/3</f>
      </c>
      <c r="K60" s="958">
        <f>AVERAGE(G60,H60,I60,J60)</f>
      </c>
      <c r="L60" s="18">
        <f>+L69*1000/(AVERAGE(L41,K41))/3</f>
      </c>
      <c r="M60" s="18">
        <f>+M69*1000/(AVERAGE(M41,L41))/3</f>
      </c>
      <c r="N60" s="18">
        <f>+N69*1000/(AVERAGE(N41,M41))/3</f>
      </c>
      <c r="O60" s="18">
        <f>+O69*1000/(AVERAGE(O41,N41))/3</f>
      </c>
      <c r="P60" s="958">
        <f>AVERAGE(L60,M60,N60,O60)</f>
      </c>
      <c r="Q60" s="18">
        <f>+Q69*1000/(AVERAGE(Q41,P41))/3</f>
      </c>
      <c r="R60" s="18">
        <f>+R69*1000/(AVERAGE(R41,Q41))/3</f>
      </c>
      <c r="S60" s="18">
        <f>+S69*1000/(AVERAGE(S41,R41))/3</f>
      </c>
      <c r="T60" s="18">
        <f>+T69*1000/(AVERAGE(T41,S41))/3</f>
      </c>
      <c r="U60" s="958">
        <f>AVERAGE(Q60,R60,S60,T60)</f>
      </c>
      <c r="V60" s="18">
        <f>+V69*1000/(AVERAGE(V41,U41))/3</f>
      </c>
      <c r="W60" s="18">
        <f>+W69*1000/(AVERAGE(W41,V41))/3</f>
      </c>
      <c r="X60" s="18">
        <f>+X69*1000/(AVERAGE(X41,W41))/3</f>
      </c>
      <c r="Y60" s="18">
        <f>+Y69*1000/(AVERAGE(Y41,X41))/3</f>
      </c>
      <c r="Z60" s="958">
        <f>AVERAGE(V60,W60,X60,Y60)</f>
      </c>
      <c r="AA60" s="18">
        <f>+AA69*1000/(AVERAGE(AA41,Z41))/3</f>
      </c>
      <c r="AB60" s="18">
        <f>+AB69*1000/(AVERAGE(AB41,AA41))/3</f>
      </c>
      <c r="AC60" s="18">
        <f>+AC69*1000/(AVERAGE(AC41,AB41))/3</f>
      </c>
      <c r="AD60" s="18">
        <f>+AD69*1000/(AVERAGE(AD41,AC41))/3</f>
      </c>
      <c r="AE60" s="958">
        <f>AVERAGE(AA60,AB60,AC60,AD60)</f>
      </c>
      <c r="AF60" s="18">
        <f>+AF69*1000/(AVERAGE(AF41,AE41))/3</f>
      </c>
      <c r="AG60" s="18">
        <f>+AG69*1000/(AVERAGE(AG41,AF41))/3</f>
      </c>
      <c r="AH60" s="18">
        <f>+AH69*1000/(AVERAGE(AH41,AG41))/3</f>
      </c>
      <c r="AI60" s="18">
        <f>+AI69*1000/(AVERAGE(AI41,AH41))/3</f>
      </c>
      <c r="AJ60" s="958">
        <f>AVERAGE(AF60,AG60,AH60,AI60)</f>
      </c>
      <c r="AK60" s="18">
        <f>+AK69*1000/(AVERAGE(AK41,AJ41))/3</f>
      </c>
      <c r="AL60" s="18">
        <f>+AL69*1000/(AVERAGE(AL41,AK41))/3</f>
      </c>
      <c r="AM60" s="18">
        <f>+AM69*1000/(AVERAGE(AM41,AL41))/3</f>
      </c>
      <c r="AN60" s="18">
        <f>+AN69*1000/(AVERAGE(AN41,AM41))/3</f>
      </c>
      <c r="AO60" s="958">
        <f>AVERAGE(AK60,AL60,AM60,AN60)</f>
      </c>
      <c r="AP60" s="234"/>
      <c r="AQ60" s="234"/>
      <c r="AR60" s="234"/>
      <c r="AS60" s="234"/>
      <c r="AT60" s="957"/>
      <c r="AU60" s="234"/>
      <c r="AV60" s="234"/>
      <c r="AW60" s="234"/>
      <c r="AX60" s="234"/>
      <c r="AY60" s="957"/>
      <c r="AZ60" s="234"/>
      <c r="BA60" s="234"/>
      <c r="BB60" s="234"/>
      <c r="BC60" s="234"/>
      <c r="BD60" s="957"/>
      <c r="BE60" s="234"/>
      <c r="BF60" s="234"/>
      <c r="BG60" s="234"/>
      <c r="BH60" s="234"/>
      <c r="BI60" s="957"/>
      <c r="BJ60" s="234"/>
      <c r="BK60" s="234"/>
      <c r="BL60" s="234"/>
      <c r="BM60" s="234"/>
      <c r="BN60" s="957"/>
      <c r="BO60" s="234"/>
      <c r="BP60" s="234"/>
      <c r="BQ60" s="234"/>
      <c r="BR60" s="234"/>
      <c r="BS60" s="957"/>
      <c r="BT60" s="672"/>
      <c r="BU60" s="234"/>
      <c r="BV60" s="234"/>
      <c r="BW60" s="234"/>
      <c r="BX60" s="957"/>
      <c r="BY60" s="234"/>
      <c r="BZ60" s="234"/>
      <c r="CA60" s="234"/>
      <c r="CB60" s="234"/>
      <c r="CC60" s="957"/>
      <c r="CD60" s="957"/>
      <c r="CE60" s="957"/>
      <c r="CF60" s="957"/>
      <c r="CG60" s="18"/>
    </row>
    <row r="61" spans="1:85" s="583" customFormat="1" hidden="1" outlineLevel="2" x14ac:dyDescent="0.3">
      <c r="A61" s="394" t="s">
        <v>541</v>
      </c>
      <c r="B61" s="305"/>
      <c r="C61" s="936"/>
      <c r="D61" s="936"/>
      <c r="E61" s="936"/>
      <c r="F61" s="936"/>
      <c r="G61" s="446"/>
      <c r="H61" s="446"/>
      <c r="I61" s="446"/>
      <c r="J61" s="446"/>
      <c r="K61" s="936"/>
      <c r="L61" s="446">
        <f t="shared" ref="L61:AO61" si="115">+L60/G60-1</f>
      </c>
      <c r="M61" s="446">
        <f t="shared" si="115"/>
      </c>
      <c r="N61" s="446">
        <f t="shared" si="115"/>
      </c>
      <c r="O61" s="446">
        <f t="shared" si="115"/>
      </c>
      <c r="P61" s="936">
        <f t="shared" si="115"/>
      </c>
      <c r="Q61" s="446">
        <f t="shared" si="115"/>
      </c>
      <c r="R61" s="446">
        <f t="shared" si="115"/>
      </c>
      <c r="S61" s="446">
        <f t="shared" si="115"/>
      </c>
      <c r="T61" s="446">
        <f t="shared" si="115"/>
      </c>
      <c r="U61" s="936">
        <f t="shared" si="115"/>
      </c>
      <c r="V61" s="446">
        <f t="shared" si="115"/>
      </c>
      <c r="W61" s="446">
        <f t="shared" si="115"/>
      </c>
      <c r="X61" s="446">
        <f t="shared" si="115"/>
      </c>
      <c r="Y61" s="446">
        <f t="shared" si="115"/>
      </c>
      <c r="Z61" s="936">
        <f t="shared" si="115"/>
      </c>
      <c r="AA61" s="446">
        <f t="shared" si="115"/>
      </c>
      <c r="AB61" s="446">
        <f t="shared" si="115"/>
      </c>
      <c r="AC61" s="446">
        <f t="shared" si="115"/>
      </c>
      <c r="AD61" s="446">
        <f t="shared" si="115"/>
      </c>
      <c r="AE61" s="936">
        <f t="shared" si="115"/>
      </c>
      <c r="AF61" s="446">
        <f t="shared" si="115"/>
      </c>
      <c r="AG61" s="446">
        <f t="shared" si="115"/>
      </c>
      <c r="AH61" s="446">
        <f t="shared" si="115"/>
      </c>
      <c r="AI61" s="446">
        <f t="shared" si="115"/>
      </c>
      <c r="AJ61" s="936">
        <f t="shared" si="115"/>
      </c>
      <c r="AK61" s="446">
        <f t="shared" si="115"/>
      </c>
      <c r="AL61" s="446">
        <f t="shared" si="115"/>
      </c>
      <c r="AM61" s="446">
        <f t="shared" si="115"/>
      </c>
      <c r="AN61" s="446">
        <f t="shared" si="115"/>
      </c>
      <c r="AO61" s="936">
        <f t="shared" si="115"/>
      </c>
      <c r="AP61" s="446"/>
      <c r="AQ61" s="446"/>
      <c r="AR61" s="446"/>
      <c r="AS61" s="446"/>
      <c r="AT61" s="936"/>
      <c r="AU61" s="446"/>
      <c r="AV61" s="446"/>
      <c r="AW61" s="446"/>
      <c r="AX61" s="446"/>
      <c r="AY61" s="936"/>
      <c r="AZ61" s="446"/>
      <c r="BA61" s="446"/>
      <c r="BB61" s="446"/>
      <c r="BC61" s="446"/>
      <c r="BD61" s="936"/>
      <c r="BE61" s="446"/>
      <c r="BF61" s="446"/>
      <c r="BG61" s="446"/>
      <c r="BH61" s="446"/>
      <c r="BI61" s="936"/>
      <c r="BJ61" s="446"/>
      <c r="BK61" s="446"/>
      <c r="BL61" s="446"/>
      <c r="BM61" s="446"/>
      <c r="BN61" s="936"/>
      <c r="BO61" s="446"/>
      <c r="BP61" s="446"/>
      <c r="BQ61" s="446"/>
      <c r="BR61" s="446"/>
      <c r="BS61" s="936"/>
      <c r="BT61" s="665"/>
      <c r="BU61" s="446"/>
      <c r="BV61" s="446"/>
      <c r="BW61" s="446"/>
      <c r="BX61" s="936"/>
      <c r="BY61" s="446"/>
      <c r="BZ61" s="446"/>
      <c r="CA61" s="446"/>
      <c r="CB61" s="446"/>
      <c r="CC61" s="936"/>
      <c r="CD61" s="936"/>
      <c r="CE61" s="936"/>
      <c r="CF61" s="936"/>
      <c r="CG61" s="308"/>
    </row>
    <row r="62" spans="1:85" hidden="1" outlineLevel="2" x14ac:dyDescent="0.3">
      <c r="A62" s="312" t="s">
        <v>401</v>
      </c>
      <c r="B62" s="248"/>
      <c r="C62" s="957"/>
      <c r="D62" s="957"/>
      <c r="E62" s="957"/>
      <c r="F62" s="957"/>
      <c r="G62" s="234"/>
      <c r="H62" s="234"/>
      <c r="I62" s="234"/>
      <c r="J62" s="234"/>
      <c r="K62" s="957"/>
      <c r="L62" s="234"/>
      <c r="M62" s="234"/>
      <c r="N62" s="234"/>
      <c r="O62" s="234"/>
      <c r="P62" s="957"/>
      <c r="Q62" s="234"/>
      <c r="R62" s="234"/>
      <c r="S62" s="234"/>
      <c r="T62" s="234"/>
      <c r="U62" s="957"/>
      <c r="V62" s="234"/>
      <c r="W62" s="234"/>
      <c r="X62" s="234"/>
      <c r="Y62" s="234"/>
      <c r="Z62" s="957"/>
      <c r="AA62" s="18">
        <f>+AA71*1000/AVERAGE(AA45,Z45)/3</f>
      </c>
      <c r="AB62" s="18">
        <f>+AB71*1000/AVERAGE(AB45,AA45)/3</f>
      </c>
      <c r="AC62" s="18">
        <f>+AC71*1000/AVERAGE(AC45,AB45)/3</f>
      </c>
      <c r="AD62" s="18">
        <f>+AD71*1000/AVERAGE(AD45,AC45)/3</f>
      </c>
      <c r="AE62" s="958">
        <f>AVERAGE(AA62,AB62,AC62,AD62)</f>
      </c>
      <c r="AF62" s="18">
        <f>+AF71*1000/AVERAGE(AF45,AE45)/3</f>
      </c>
      <c r="AG62" s="18">
        <f>+AG71*1000/AVERAGE(AG45,AF45)/3</f>
      </c>
      <c r="AH62" s="18">
        <f>+AH71*1000/AVERAGE(AH45,AG45)/3</f>
      </c>
      <c r="AI62" s="18">
        <f>+AI71*1000/AVERAGE(AI45,AH45)/3</f>
      </c>
      <c r="AJ62" s="958">
        <f>AVERAGE(AF62,AG62,AH62,AI62)</f>
      </c>
      <c r="AK62" s="18">
        <f>+AK71*1000/AVERAGE(AK45,AJ45)/3</f>
      </c>
      <c r="AL62" s="18">
        <f>+AL71*1000/AVERAGE(AL45,AK45)/3</f>
      </c>
      <c r="AM62" s="18">
        <f>+AM71*1000/AVERAGE(AM45,AL45)/3</f>
      </c>
      <c r="AN62" s="18">
        <f>+AN71*1000/AVERAGE(AN45,AM45)/3</f>
      </c>
      <c r="AO62" s="958">
        <f>AVERAGE(AK62,AL62,AM62,AN62)</f>
      </c>
      <c r="AP62" s="234"/>
      <c r="AQ62" s="234"/>
      <c r="AR62" s="234"/>
      <c r="AS62" s="234"/>
      <c r="AT62" s="957"/>
      <c r="AU62" s="234"/>
      <c r="AV62" s="234"/>
      <c r="AW62" s="234"/>
      <c r="AX62" s="234"/>
      <c r="AY62" s="957"/>
      <c r="AZ62" s="234"/>
      <c r="BA62" s="234"/>
      <c r="BB62" s="234"/>
      <c r="BC62" s="234"/>
      <c r="BD62" s="957"/>
      <c r="BE62" s="234"/>
      <c r="BF62" s="234"/>
      <c r="BG62" s="234"/>
      <c r="BH62" s="234"/>
      <c r="BI62" s="957"/>
      <c r="BJ62" s="234"/>
      <c r="BK62" s="234"/>
      <c r="BL62" s="234"/>
      <c r="BM62" s="234"/>
      <c r="BN62" s="957"/>
      <c r="BO62" s="234"/>
      <c r="BP62" s="234"/>
      <c r="BQ62" s="234"/>
      <c r="BR62" s="234"/>
      <c r="BS62" s="957"/>
      <c r="BT62" s="672"/>
      <c r="BU62" s="234"/>
      <c r="BV62" s="234"/>
      <c r="BW62" s="234"/>
      <c r="BX62" s="957"/>
      <c r="BY62" s="234"/>
      <c r="BZ62" s="234"/>
      <c r="CA62" s="234"/>
      <c r="CB62" s="234"/>
      <c r="CC62" s="957"/>
      <c r="CD62" s="957"/>
      <c r="CE62" s="957"/>
      <c r="CF62" s="957"/>
      <c r="CG62" s="18"/>
    </row>
    <row r="63" spans="1:85" s="583" customFormat="1" hidden="1" outlineLevel="2" x14ac:dyDescent="0.3">
      <c r="A63" s="395" t="s">
        <v>542</v>
      </c>
      <c r="B63" s="361"/>
      <c r="C63" s="941"/>
      <c r="D63" s="941"/>
      <c r="E63" s="941"/>
      <c r="F63" s="941"/>
      <c r="G63" s="362"/>
      <c r="H63" s="362"/>
      <c r="I63" s="362"/>
      <c r="J63" s="362"/>
      <c r="K63" s="941"/>
      <c r="L63" s="362"/>
      <c r="M63" s="362"/>
      <c r="N63" s="362"/>
      <c r="O63" s="362"/>
      <c r="P63" s="941"/>
      <c r="Q63" s="362"/>
      <c r="R63" s="362"/>
      <c r="S63" s="362"/>
      <c r="T63" s="362"/>
      <c r="U63" s="941"/>
      <c r="V63" s="362"/>
      <c r="W63" s="362"/>
      <c r="X63" s="362"/>
      <c r="Y63" s="362"/>
      <c r="Z63" s="941"/>
      <c r="AA63" s="362"/>
      <c r="AB63" s="362"/>
      <c r="AC63" s="362"/>
      <c r="AD63" s="362"/>
      <c r="AE63" s="941"/>
      <c r="AF63" s="362">
        <f t="shared" ref="AF63:AO63" si="116">+AF62/AA62-1</f>
      </c>
      <c r="AG63" s="362">
        <f t="shared" si="116"/>
      </c>
      <c r="AH63" s="362">
        <f t="shared" si="116"/>
      </c>
      <c r="AI63" s="362">
        <f t="shared" si="116"/>
      </c>
      <c r="AJ63" s="941">
        <f t="shared" si="116"/>
      </c>
      <c r="AK63" s="362">
        <f t="shared" si="116"/>
      </c>
      <c r="AL63" s="362">
        <f t="shared" si="116"/>
      </c>
      <c r="AM63" s="362">
        <f t="shared" si="116"/>
      </c>
      <c r="AN63" s="362">
        <f t="shared" si="116"/>
      </c>
      <c r="AO63" s="941">
        <f t="shared" si="116"/>
      </c>
      <c r="AP63" s="362"/>
      <c r="AQ63" s="362"/>
      <c r="AR63" s="362"/>
      <c r="AS63" s="362"/>
      <c r="AT63" s="941"/>
      <c r="AU63" s="362"/>
      <c r="AV63" s="362"/>
      <c r="AW63" s="362"/>
      <c r="AX63" s="362"/>
      <c r="AY63" s="941"/>
      <c r="AZ63" s="362"/>
      <c r="BA63" s="362"/>
      <c r="BB63" s="362"/>
      <c r="BC63" s="362"/>
      <c r="BD63" s="941"/>
      <c r="BE63" s="362"/>
      <c r="BF63" s="362"/>
      <c r="BG63" s="362"/>
      <c r="BH63" s="362"/>
      <c r="BI63" s="941"/>
      <c r="BJ63" s="362"/>
      <c r="BK63" s="362"/>
      <c r="BL63" s="362"/>
      <c r="BM63" s="362"/>
      <c r="BN63" s="941"/>
      <c r="BO63" s="362"/>
      <c r="BP63" s="362"/>
      <c r="BQ63" s="362"/>
      <c r="BR63" s="362"/>
      <c r="BS63" s="941"/>
      <c r="BT63" s="668"/>
      <c r="BU63" s="362"/>
      <c r="BV63" s="362"/>
      <c r="BW63" s="362"/>
      <c r="BX63" s="941"/>
      <c r="BY63" s="362"/>
      <c r="BZ63" s="362"/>
      <c r="CA63" s="362"/>
      <c r="CB63" s="362"/>
      <c r="CC63" s="941"/>
      <c r="CD63" s="941"/>
      <c r="CE63" s="941"/>
      <c r="CF63" s="941"/>
      <c r="CG63" s="308"/>
    </row>
    <row r="64" spans="1:85" s="589" customFormat="1" hidden="1" outlineLevel="1" collapsed="1" x14ac:dyDescent="0.3">
      <c r="A64" s="316" t="s">
        <v>402</v>
      </c>
      <c r="B64" s="249"/>
      <c r="C64" s="959"/>
      <c r="D64" s="959"/>
      <c r="E64" s="959"/>
      <c r="F64" s="959"/>
      <c r="G64" s="70"/>
      <c r="H64" s="70"/>
      <c r="I64" s="70"/>
      <c r="J64" s="70"/>
      <c r="K64" s="959"/>
      <c r="L64" s="70"/>
      <c r="M64" s="70"/>
      <c r="N64" s="70"/>
      <c r="O64" s="70"/>
      <c r="P64" s="959"/>
      <c r="Q64" s="70"/>
      <c r="R64" s="70"/>
      <c r="S64" s="70"/>
      <c r="T64" s="70"/>
      <c r="U64" s="959"/>
      <c r="V64" s="70"/>
      <c r="W64" s="70"/>
      <c r="X64" s="70"/>
      <c r="Y64" s="70"/>
      <c r="Z64" s="959"/>
      <c r="AA64" s="855">
        <v>9.84</v>
      </c>
      <c r="AB64" s="855">
        <v>9.83</v>
      </c>
      <c r="AC64" s="855">
        <v>9.93</v>
      </c>
      <c r="AD64" s="855">
        <v>10.28</v>
      </c>
      <c r="AE64" s="960">
        <v>9.9700000000000006</v>
      </c>
      <c r="AF64" s="855">
        <v>11.04</v>
      </c>
      <c r="AG64" s="855">
        <v>11.13</v>
      </c>
      <c r="AH64" s="855">
        <v>11.18</v>
      </c>
      <c r="AI64" s="855">
        <v>11.28</v>
      </c>
      <c r="AJ64" s="960">
        <v>11.16</v>
      </c>
      <c r="AK64" s="855">
        <v>11.45</v>
      </c>
      <c r="AL64" s="855">
        <v>12.52</v>
      </c>
      <c r="AM64" s="855">
        <v>13.08</v>
      </c>
      <c r="AN64" s="855">
        <v>13.22</v>
      </c>
      <c r="AO64" s="960">
        <v>12.57</v>
      </c>
      <c r="AP64" s="855">
        <v>13.09</v>
      </c>
      <c r="AQ64" s="855">
        <v>13.25</v>
      </c>
      <c r="AR64" s="855">
        <v>13.4</v>
      </c>
      <c r="AS64" s="855">
        <v>13.51</v>
      </c>
      <c r="AT64" s="960">
        <v>13.32</v>
      </c>
      <c r="AU64" s="855">
        <v>14.25</v>
      </c>
      <c r="AV64" s="855">
        <v>14.54</v>
      </c>
      <c r="AW64" s="855">
        <v>14.68</v>
      </c>
      <c r="AX64" s="855">
        <v>14.78</v>
      </c>
      <c r="AY64" s="960">
        <v>14.56</v>
      </c>
      <c r="AZ64" s="855">
        <v>14.91</v>
      </c>
      <c r="BA64" s="855">
        <v>15.95</v>
      </c>
      <c r="BB64" s="855">
        <v>16.37</v>
      </c>
      <c r="BC64" s="855">
        <v>16.23</v>
      </c>
      <c r="BD64" s="960">
        <v>15.86</v>
      </c>
      <c r="BE64" s="855">
        <v>16.18</v>
      </c>
      <c r="BF64" s="855">
        <v>16</v>
      </c>
      <c r="BG64" s="855">
        <v>16.29</v>
      </c>
      <c r="BH64" s="855">
        <v>16.64</v>
      </c>
      <c r="BI64" s="960">
        <v>16.28</v>
      </c>
      <c r="BJ64" s="855">
        <v>17.3</v>
      </c>
      <c r="BK64" s="855">
        <v>17.170000000000002</v>
      </c>
      <c r="BL64" s="855">
        <v>17.059999999999999</v>
      </c>
      <c r="BM64" s="855">
        <v>17.260000000000002</v>
      </c>
      <c r="BN64" s="960">
        <v>17.2</v>
      </c>
      <c r="BO64" s="70">
        <f>BO73/BO56*1000/3</f>
      </c>
      <c r="BP64" s="70">
        <f t="shared" ref="BP64:BQ64" si="117">BP73/BP56*1000/3</f>
      </c>
      <c r="BQ64" s="70">
        <f t="shared" si="117"/>
      </c>
      <c r="BR64" s="70">
        <f>BR73/BR56*1000/3</f>
      </c>
      <c r="BS64" s="959">
        <f>BS73/BS56*1000/12</f>
      </c>
      <c r="BT64" s="856">
        <f>BT73/BT52*1000/3</f>
      </c>
      <c r="BU64" s="70">
        <f>BT64*(1+BU65)</f>
      </c>
      <c r="BV64" s="70">
        <f>BU64*(1+BV65)</f>
      </c>
      <c r="BW64" s="70">
        <f>BV64*(1+BW65)</f>
      </c>
      <c r="BX64" s="959">
        <f>AVERAGE(BT64,BU64,BV64,BW64)</f>
      </c>
      <c r="BY64" s="70">
        <f>BW64*(1+BY65)</f>
      </c>
      <c r="BZ64" s="70">
        <f>BY64*(1+BZ65)</f>
      </c>
      <c r="CA64" s="70">
        <f>BZ64*(1+CA65)</f>
      </c>
      <c r="CB64" s="70">
        <f>CA64*(1+CB65)</f>
      </c>
      <c r="CC64" s="959">
        <f>AVERAGE(BY64,BZ64,CA64,CB64)</f>
      </c>
      <c r="CD64" s="959">
        <f>+CC64*(1+CD67)</f>
      </c>
      <c r="CE64" s="959">
        <f>+CD64*(1+CE67)</f>
      </c>
      <c r="CF64" s="959">
        <f>+CE64*(1+CF67)</f>
      </c>
      <c r="CG64" s="20"/>
    </row>
    <row r="65" spans="1:85" s="589" customFormat="1" hidden="1" outlineLevel="1" x14ac:dyDescent="0.3">
      <c r="A65" s="319" t="s">
        <v>544</v>
      </c>
      <c r="B65" s="320"/>
      <c r="C65" s="935"/>
      <c r="D65" s="935"/>
      <c r="E65" s="935"/>
      <c r="F65" s="935"/>
      <c r="G65" s="58"/>
      <c r="H65" s="58"/>
      <c r="I65" s="58"/>
      <c r="J65" s="58"/>
      <c r="K65" s="935"/>
      <c r="L65" s="58"/>
      <c r="M65" s="58"/>
      <c r="N65" s="58"/>
      <c r="O65" s="58"/>
      <c r="P65" s="935"/>
      <c r="Q65" s="58"/>
      <c r="R65" s="58"/>
      <c r="S65" s="58"/>
      <c r="T65" s="58"/>
      <c r="U65" s="935"/>
      <c r="V65" s="58"/>
      <c r="W65" s="58"/>
      <c r="X65" s="58"/>
      <c r="Y65" s="58"/>
      <c r="Z65" s="935"/>
      <c r="AA65" s="58"/>
      <c r="AB65" s="308">
        <f>AB64/AA64-1</f>
      </c>
      <c r="AC65" s="308">
        <f>AC64/AB64-1</f>
      </c>
      <c r="AD65" s="308">
        <f>AD64/AC64-1</f>
      </c>
      <c r="AE65" s="935"/>
      <c r="AF65" s="308">
        <f>AF64/AD64-1</f>
      </c>
      <c r="AG65" s="308">
        <f>AG64/AF64-1</f>
      </c>
      <c r="AH65" s="308">
        <f>AH64/AG64-1</f>
      </c>
      <c r="AI65" s="308">
        <f>AI64/AH64-1</f>
      </c>
      <c r="AJ65" s="935"/>
      <c r="AK65" s="308">
        <f>AK64/AI64-1</f>
      </c>
      <c r="AL65" s="308">
        <f>AL64/AK64-1</f>
      </c>
      <c r="AM65" s="308">
        <f>AM64/AL64-1</f>
      </c>
      <c r="AN65" s="308">
        <f>AN64/AM64-1</f>
      </c>
      <c r="AO65" s="935"/>
      <c r="AP65" s="308">
        <f>AP64/AN64-1</f>
      </c>
      <c r="AQ65" s="308">
        <f>AQ64/AP64-1</f>
      </c>
      <c r="AR65" s="308">
        <f>AR64/AQ64-1</f>
      </c>
      <c r="AS65" s="308">
        <f>AS64/AR64-1</f>
      </c>
      <c r="AT65" s="935"/>
      <c r="AU65" s="308">
        <f>AU64/AS64-1</f>
      </c>
      <c r="AV65" s="308">
        <f>AV64/AU64-1</f>
      </c>
      <c r="AW65" s="308">
        <f>AW64/AV64-1</f>
      </c>
      <c r="AX65" s="308">
        <f>AX64/AW64-1</f>
      </c>
      <c r="AY65" s="935"/>
      <c r="AZ65" s="308">
        <f>AZ64/AX64-1</f>
      </c>
      <c r="BA65" s="308">
        <f>BA64/AZ64-1</f>
      </c>
      <c r="BB65" s="308">
        <f>BB64/BA64-1</f>
      </c>
      <c r="BC65" s="308">
        <f>BC64/BB64-1</f>
      </c>
      <c r="BD65" s="935"/>
      <c r="BE65" s="308">
        <f>BE64/BC64-1</f>
      </c>
      <c r="BF65" s="308">
        <f>BF64/BE64-1</f>
      </c>
      <c r="BG65" s="308">
        <f>BG64/BF64-1</f>
      </c>
      <c r="BH65" s="308">
        <f>BH64/BG64-1</f>
      </c>
      <c r="BI65" s="935"/>
      <c r="BJ65" s="308">
        <f>BJ64/BH64-1</f>
      </c>
      <c r="BK65" s="308">
        <f>BK64/BJ64-1</f>
      </c>
      <c r="BL65" s="308">
        <f>BL64/BK64-1</f>
      </c>
      <c r="BM65" s="308">
        <f>BM64/BL64-1</f>
      </c>
      <c r="BN65" s="935"/>
      <c r="BO65" s="308">
        <f>BO64/BM64-1</f>
      </c>
      <c r="BP65" s="308">
        <f>BP64/BO64-1</f>
      </c>
      <c r="BQ65" s="308">
        <f>BQ64/BP64-1</f>
      </c>
      <c r="BR65" s="308">
        <f>BR64/BQ64-1</f>
      </c>
      <c r="BS65" s="935"/>
      <c r="BT65" s="663">
        <f>BT64/BR64-1</f>
      </c>
      <c r="BU65" s="853">
        <v>0.02</v>
      </c>
      <c r="BV65" s="853">
        <v>0.02</v>
      </c>
      <c r="BW65" s="853">
        <v>0.01</v>
      </c>
      <c r="BX65" s="935"/>
      <c r="BY65" s="853">
        <v>0.01</v>
      </c>
      <c r="BZ65" s="853">
        <v>5.0000000000000001E-3</v>
      </c>
      <c r="CA65" s="853">
        <v>5.0000000000000001E-3</v>
      </c>
      <c r="CB65" s="853">
        <v>5.0000000000000001E-3</v>
      </c>
      <c r="CC65" s="935"/>
      <c r="CD65" s="935"/>
      <c r="CE65" s="935"/>
      <c r="CF65" s="935"/>
      <c r="CG65" s="20"/>
    </row>
    <row r="66" spans="1:85" s="583" customFormat="1" hidden="1" outlineLevel="1" x14ac:dyDescent="0.3">
      <c r="A66" s="47" t="s">
        <v>590</v>
      </c>
      <c r="B66" s="311"/>
      <c r="C66" s="935"/>
      <c r="D66" s="935"/>
      <c r="E66" s="935"/>
      <c r="F66" s="935"/>
      <c r="G66" s="58"/>
      <c r="H66" s="58"/>
      <c r="I66" s="58"/>
      <c r="J66" s="58"/>
      <c r="K66" s="935"/>
      <c r="L66" s="58"/>
      <c r="M66" s="58"/>
      <c r="N66" s="58"/>
      <c r="O66" s="58"/>
      <c r="P66" s="935"/>
      <c r="Q66" s="58"/>
      <c r="R66" s="58"/>
      <c r="S66" s="58"/>
      <c r="T66" s="58"/>
      <c r="U66" s="935"/>
      <c r="V66" s="58"/>
      <c r="W66" s="58"/>
      <c r="X66" s="58"/>
      <c r="Y66" s="58"/>
      <c r="Z66" s="935"/>
      <c r="AA66" s="853">
        <v>0.16</v>
      </c>
      <c r="AB66" s="853">
        <v>0.15</v>
      </c>
      <c r="AC66" s="853">
        <v>0.08</v>
      </c>
      <c r="AD66" s="853">
        <v>0.06</v>
      </c>
      <c r="AE66" s="961">
        <v>0.11</v>
      </c>
      <c r="AF66" s="853">
        <v>0.12</v>
      </c>
      <c r="AG66" s="853">
        <v>0.13</v>
      </c>
      <c r="AH66" s="853">
        <v>0.13</v>
      </c>
      <c r="AI66" s="853">
        <v>0.1</v>
      </c>
      <c r="AJ66" s="961">
        <v>0.12</v>
      </c>
      <c r="AK66" s="853">
        <v>0.04</v>
      </c>
      <c r="AL66" s="853">
        <v>0.13</v>
      </c>
      <c r="AM66" s="853">
        <v>0.17</v>
      </c>
      <c r="AN66" s="853">
        <v>0.17</v>
      </c>
      <c r="AO66" s="961">
        <v>0.13</v>
      </c>
      <c r="AP66" s="853">
        <v>0.14000000000000001</v>
      </c>
      <c r="AQ66" s="853">
        <v>0.06</v>
      </c>
      <c r="AR66" s="853">
        <v>0.03</v>
      </c>
      <c r="AS66" s="853">
        <v>0.02</v>
      </c>
      <c r="AT66" s="961">
        <v>0.06</v>
      </c>
      <c r="AU66" s="853">
        <v>0.09</v>
      </c>
      <c r="AV66" s="853">
        <v>0.09</v>
      </c>
      <c r="AW66" s="853">
        <v>0.09</v>
      </c>
      <c r="AX66" s="853">
        <v>0.09</v>
      </c>
      <c r="AY66" s="961">
        <v>0.09</v>
      </c>
      <c r="AZ66" s="853">
        <v>0.05</v>
      </c>
      <c r="BA66" s="853">
        <v>0.1</v>
      </c>
      <c r="BB66" s="853">
        <v>0.12</v>
      </c>
      <c r="BC66" s="853">
        <v>0.1</v>
      </c>
      <c r="BD66" s="961">
        <v>0.09</v>
      </c>
      <c r="BE66" s="853">
        <v>0.09</v>
      </c>
      <c r="BF66" s="853">
        <v>0.01</v>
      </c>
      <c r="BG66" s="853">
        <v>0</v>
      </c>
      <c r="BH66" s="853">
        <v>0.03</v>
      </c>
      <c r="BI66" s="961">
        <v>0.03</v>
      </c>
      <c r="BJ66" s="853">
        <v>7.0000000000000007E-2</v>
      </c>
      <c r="BK66" s="853">
        <v>7.0000000000000007E-2</v>
      </c>
      <c r="BL66" s="853">
        <v>0.05</v>
      </c>
      <c r="BM66" s="853">
        <v>0.04</v>
      </c>
      <c r="BN66" s="961">
        <v>0.06</v>
      </c>
      <c r="BO66" s="58"/>
      <c r="BP66" s="58"/>
      <c r="BQ66" s="58"/>
      <c r="BR66" s="58"/>
      <c r="BS66" s="935"/>
      <c r="BT66" s="669"/>
      <c r="BU66" s="58"/>
      <c r="BV66" s="58"/>
      <c r="BW66" s="58"/>
      <c r="BX66" s="935"/>
      <c r="BY66" s="58"/>
      <c r="BZ66" s="58"/>
      <c r="CA66" s="58"/>
      <c r="CB66" s="58"/>
      <c r="CC66" s="935"/>
      <c r="CD66" s="935"/>
      <c r="CE66" s="935"/>
      <c r="CF66" s="935"/>
      <c r="CG66" s="308"/>
    </row>
    <row r="67" spans="1:85" s="583" customFormat="1" hidden="1" outlineLevel="1" x14ac:dyDescent="0.3">
      <c r="A67" s="317" t="s">
        <v>543</v>
      </c>
      <c r="B67" s="305"/>
      <c r="C67" s="936"/>
      <c r="D67" s="936"/>
      <c r="E67" s="936"/>
      <c r="F67" s="936"/>
      <c r="G67" s="446"/>
      <c r="H67" s="446"/>
      <c r="I67" s="446"/>
      <c r="J67" s="446"/>
      <c r="K67" s="936"/>
      <c r="L67" s="446"/>
      <c r="M67" s="446"/>
      <c r="N67" s="446"/>
      <c r="O67" s="446"/>
      <c r="P67" s="936"/>
      <c r="Q67" s="446"/>
      <c r="R67" s="446"/>
      <c r="S67" s="446"/>
      <c r="T67" s="446"/>
      <c r="U67" s="936"/>
      <c r="V67" s="446"/>
      <c r="W67" s="446"/>
      <c r="X67" s="446"/>
      <c r="Y67" s="446"/>
      <c r="Z67" s="936"/>
      <c r="AA67" s="446"/>
      <c r="AB67" s="446"/>
      <c r="AC67" s="446"/>
      <c r="AD67" s="446"/>
      <c r="AE67" s="936"/>
      <c r="AF67" s="446">
        <f t="shared" ref="AF67:AW67" si="118">+AF64/AA64-1</f>
      </c>
      <c r="AG67" s="446">
        <f t="shared" si="118"/>
      </c>
      <c r="AH67" s="446">
        <f t="shared" si="118"/>
      </c>
      <c r="AI67" s="446">
        <f t="shared" si="118"/>
      </c>
      <c r="AJ67" s="936">
        <f t="shared" si="118"/>
      </c>
      <c r="AK67" s="446">
        <f t="shared" si="118"/>
      </c>
      <c r="AL67" s="446">
        <f t="shared" si="118"/>
      </c>
      <c r="AM67" s="446">
        <f t="shared" si="118"/>
      </c>
      <c r="AN67" s="446">
        <f t="shared" si="118"/>
      </c>
      <c r="AO67" s="936">
        <f t="shared" si="118"/>
      </c>
      <c r="AP67" s="446">
        <f t="shared" si="118"/>
      </c>
      <c r="AQ67" s="446">
        <f t="shared" si="118"/>
      </c>
      <c r="AR67" s="446">
        <f t="shared" si="118"/>
      </c>
      <c r="AS67" s="446">
        <f t="shared" si="118"/>
      </c>
      <c r="AT67" s="936">
        <f t="shared" si="118"/>
      </c>
      <c r="AU67" s="446">
        <f t="shared" si="118"/>
      </c>
      <c r="AV67" s="446">
        <f t="shared" si="118"/>
      </c>
      <c r="AW67" s="446">
        <f t="shared" si="118"/>
      </c>
      <c r="AX67" s="446">
        <f t="shared" ref="AX67:BD67" si="119">+AX64/AS64-1</f>
      </c>
      <c r="AY67" s="936">
        <f t="shared" si="119"/>
      </c>
      <c r="AZ67" s="446">
        <f t="shared" si="119"/>
      </c>
      <c r="BA67" s="446">
        <f t="shared" si="119"/>
      </c>
      <c r="BB67" s="446">
        <f t="shared" si="119"/>
      </c>
      <c r="BC67" s="446">
        <f t="shared" si="119"/>
      </c>
      <c r="BD67" s="936">
        <f t="shared" si="119"/>
      </c>
      <c r="BE67" s="446">
        <f t="shared" ref="BE67:BI67" si="120">+BE64/AZ64-1</f>
      </c>
      <c r="BF67" s="446">
        <f t="shared" si="120"/>
      </c>
      <c r="BG67" s="446">
        <f t="shared" si="120"/>
      </c>
      <c r="BH67" s="446">
        <f t="shared" si="120"/>
      </c>
      <c r="BI67" s="936">
        <f t="shared" si="120"/>
      </c>
      <c r="BJ67" s="446">
        <f t="shared" ref="BJ67:BX67" si="121">+BJ64/BE64-1</f>
      </c>
      <c r="BK67" s="446">
        <f t="shared" si="121"/>
      </c>
      <c r="BL67" s="446">
        <f t="shared" si="121"/>
      </c>
      <c r="BM67" s="446">
        <f t="shared" si="121"/>
      </c>
      <c r="BN67" s="936">
        <f t="shared" si="121"/>
      </c>
      <c r="BO67" s="446">
        <f t="shared" ref="BO67:BW67" si="122">+BO64/BJ64-1</f>
      </c>
      <c r="BP67" s="446">
        <f t="shared" si="122"/>
      </c>
      <c r="BQ67" s="446">
        <f t="shared" si="122"/>
      </c>
      <c r="BR67" s="446">
        <f t="shared" si="122"/>
      </c>
      <c r="BS67" s="936">
        <f t="shared" si="122"/>
      </c>
      <c r="BT67" s="665">
        <f>+BT64/BO64-1</f>
      </c>
      <c r="BU67" s="446">
        <f t="shared" si="122"/>
      </c>
      <c r="BV67" s="446">
        <f t="shared" si="122"/>
      </c>
      <c r="BW67" s="446">
        <f t="shared" si="122"/>
      </c>
      <c r="BX67" s="936">
        <f t="shared" si="121"/>
      </c>
      <c r="BY67" s="446">
        <f>+BY64/BT64-1</f>
      </c>
      <c r="BZ67" s="446">
        <f>+BZ64/BU64-1</f>
      </c>
      <c r="CA67" s="446">
        <f>+CA64/BV64-1</f>
      </c>
      <c r="CB67" s="446">
        <f>+CB64/BW64-1</f>
      </c>
      <c r="CC67" s="936">
        <f>+CC64/BX64-1</f>
      </c>
      <c r="CD67" s="955">
        <v>6.2E-2</v>
      </c>
      <c r="CE67" s="955">
        <v>6.2E-2</v>
      </c>
      <c r="CF67" s="955">
        <v>6.2E-2</v>
      </c>
      <c r="CG67" s="308"/>
    </row>
    <row r="68" spans="1:85" ht="7.5" hidden="1" customHeight="1" outlineLevel="1" x14ac:dyDescent="0.3">
      <c r="A68" s="239"/>
      <c r="B68" s="240"/>
      <c r="C68" s="938"/>
      <c r="D68" s="938"/>
      <c r="E68" s="938"/>
      <c r="F68" s="938"/>
      <c r="G68" s="241"/>
      <c r="H68" s="241"/>
      <c r="I68" s="241"/>
      <c r="J68" s="241"/>
      <c r="K68" s="938"/>
      <c r="L68" s="241"/>
      <c r="M68" s="241"/>
      <c r="N68" s="241"/>
      <c r="O68" s="241"/>
      <c r="P68" s="938"/>
      <c r="Q68" s="241"/>
      <c r="R68" s="241"/>
      <c r="S68" s="241"/>
      <c r="T68" s="241"/>
      <c r="U68" s="938"/>
      <c r="V68" s="241"/>
      <c r="W68" s="241"/>
      <c r="X68" s="241"/>
      <c r="Y68" s="241"/>
      <c r="Z68" s="938"/>
      <c r="AA68" s="241"/>
      <c r="AB68" s="241"/>
      <c r="AC68" s="241"/>
      <c r="AD68" s="241"/>
      <c r="AE68" s="938"/>
      <c r="AF68" s="241"/>
      <c r="AG68" s="241"/>
      <c r="AH68" s="241"/>
      <c r="AI68" s="241"/>
      <c r="AJ68" s="938"/>
      <c r="AK68" s="241"/>
      <c r="AL68" s="241"/>
      <c r="AM68" s="241"/>
      <c r="AN68" s="241"/>
      <c r="AO68" s="938"/>
      <c r="AP68" s="241"/>
      <c r="AQ68" s="241"/>
      <c r="AR68" s="241"/>
      <c r="AS68" s="241"/>
      <c r="AT68" s="938"/>
      <c r="AU68" s="241"/>
      <c r="AV68" s="241"/>
      <c r="AW68" s="241"/>
      <c r="AX68" s="241"/>
      <c r="AY68" s="938"/>
      <c r="AZ68" s="241"/>
      <c r="BA68" s="241"/>
      <c r="BB68" s="241"/>
      <c r="BC68" s="241"/>
      <c r="BD68" s="938"/>
      <c r="BE68" s="241"/>
      <c r="BF68" s="241"/>
      <c r="BG68" s="241"/>
      <c r="BH68" s="241"/>
      <c r="BI68" s="938"/>
      <c r="BJ68" s="241"/>
      <c r="BK68" s="241"/>
      <c r="BL68" s="241"/>
      <c r="BM68" s="241"/>
      <c r="BN68" s="938"/>
      <c r="BO68" s="241"/>
      <c r="BP68" s="241"/>
      <c r="BQ68" s="241"/>
      <c r="BR68" s="241"/>
      <c r="BS68" s="938"/>
      <c r="BT68" s="666"/>
      <c r="BU68" s="241"/>
      <c r="BV68" s="241"/>
      <c r="BW68" s="241"/>
      <c r="BX68" s="938"/>
      <c r="BY68" s="241"/>
      <c r="BZ68" s="241"/>
      <c r="CA68" s="241"/>
      <c r="CB68" s="241"/>
      <c r="CC68" s="938"/>
      <c r="CD68" s="938"/>
      <c r="CE68" s="938"/>
      <c r="CF68" s="938"/>
      <c r="CG68" s="191"/>
    </row>
    <row r="69" spans="1:85" hidden="1" outlineLevel="2" x14ac:dyDescent="0.3">
      <c r="A69" s="182" t="s">
        <v>529</v>
      </c>
      <c r="B69" s="430"/>
      <c r="C69" s="962"/>
      <c r="D69" s="962"/>
      <c r="E69" s="962"/>
      <c r="F69" s="963">
        <v>2184.8679999999999</v>
      </c>
      <c r="G69" s="857">
        <v>638.649</v>
      </c>
      <c r="H69" s="857">
        <v>671.08900000000006</v>
      </c>
      <c r="I69" s="857">
        <v>701.08299999999997</v>
      </c>
      <c r="J69" s="857">
        <v>740.55399999999997</v>
      </c>
      <c r="K69" s="963">
        <v>2751.375</v>
      </c>
      <c r="L69" s="857">
        <v>798.61699999999996</v>
      </c>
      <c r="M69" s="857">
        <v>838.22500000000002</v>
      </c>
      <c r="N69" s="857">
        <v>877.15</v>
      </c>
      <c r="O69" s="857">
        <v>917.44200000000023</v>
      </c>
      <c r="P69" s="963">
        <v>3431.4340000000002</v>
      </c>
      <c r="Q69" s="857">
        <v>984.53200000000004</v>
      </c>
      <c r="R69" s="857">
        <v>1025.913</v>
      </c>
      <c r="S69" s="857">
        <v>1063.961</v>
      </c>
      <c r="T69" s="857">
        <v>1105.9329999999998</v>
      </c>
      <c r="U69" s="963">
        <v>4180.3389999999999</v>
      </c>
      <c r="V69" s="857">
        <v>1161.241</v>
      </c>
      <c r="W69" s="857">
        <v>1208.271</v>
      </c>
      <c r="X69" s="857">
        <v>1304.3330000000001</v>
      </c>
      <c r="Y69" s="857">
        <v>1403.462</v>
      </c>
      <c r="Z69" s="963">
        <v>5077.3069999999998</v>
      </c>
      <c r="AA69" s="857">
        <v>1470.0419999999999</v>
      </c>
      <c r="AB69" s="857">
        <v>1505.499</v>
      </c>
      <c r="AC69" s="857">
        <v>1547.21</v>
      </c>
      <c r="AD69" s="857">
        <v>1630.2740000000003</v>
      </c>
      <c r="AE69" s="963">
        <v>6153.0249999999996</v>
      </c>
      <c r="AF69" s="857">
        <v>1820.019</v>
      </c>
      <c r="AG69" s="857">
        <v>1893.222</v>
      </c>
      <c r="AH69" s="857">
        <v>1937.3140000000001</v>
      </c>
      <c r="AI69" s="857">
        <v>1996.0919999999999</v>
      </c>
      <c r="AJ69" s="963">
        <v>7646.6469999999999</v>
      </c>
      <c r="AK69" s="857">
        <v>2073.5549999999998</v>
      </c>
      <c r="AL69" s="857">
        <v>2299.1889999999999</v>
      </c>
      <c r="AM69" s="857">
        <v>2412.598</v>
      </c>
      <c r="AN69" s="857">
        <v>2457.6629999999986</v>
      </c>
      <c r="AO69" s="963">
        <v>9243.0049999999992</v>
      </c>
      <c r="AP69" s="757"/>
      <c r="AQ69" s="757"/>
      <c r="AR69" s="757"/>
      <c r="AS69" s="757"/>
      <c r="AT69" s="962"/>
      <c r="AU69" s="757"/>
      <c r="AV69" s="757"/>
      <c r="AW69" s="757"/>
      <c r="AX69" s="757"/>
      <c r="AY69" s="962"/>
      <c r="AZ69" s="757"/>
      <c r="BA69" s="757"/>
      <c r="BB69" s="757"/>
      <c r="BC69" s="757"/>
      <c r="BD69" s="962"/>
      <c r="BE69" s="757"/>
      <c r="BF69" s="757"/>
      <c r="BG69" s="757"/>
      <c r="BH69" s="757"/>
      <c r="BI69" s="962"/>
      <c r="BJ69" s="757"/>
      <c r="BK69" s="757"/>
      <c r="BL69" s="757"/>
      <c r="BM69" s="757"/>
      <c r="BN69" s="962"/>
      <c r="BO69" s="757"/>
      <c r="BP69" s="757"/>
      <c r="BQ69" s="757"/>
      <c r="BR69" s="757"/>
      <c r="BS69" s="962"/>
      <c r="BT69" s="758"/>
      <c r="BU69" s="757"/>
      <c r="BV69" s="757"/>
      <c r="BW69" s="757"/>
      <c r="BX69" s="962"/>
      <c r="BY69" s="757"/>
      <c r="BZ69" s="757"/>
      <c r="CA69" s="757"/>
      <c r="CB69" s="757"/>
      <c r="CC69" s="962"/>
      <c r="CD69" s="962"/>
      <c r="CE69" s="962"/>
      <c r="CF69" s="962"/>
      <c r="CG69" s="459"/>
    </row>
    <row r="70" spans="1:85" s="583" customFormat="1" hidden="1" outlineLevel="2" x14ac:dyDescent="0.3">
      <c r="A70" s="396" t="s">
        <v>531</v>
      </c>
      <c r="B70" s="305"/>
      <c r="C70" s="936"/>
      <c r="D70" s="936"/>
      <c r="E70" s="936"/>
      <c r="F70" s="936"/>
      <c r="G70" s="446"/>
      <c r="H70" s="446"/>
      <c r="I70" s="446"/>
      <c r="J70" s="446"/>
      <c r="K70" s="936">
        <f t="shared" ref="K70:AO70" si="123">+K69/F69-1</f>
      </c>
      <c r="L70" s="446">
        <f t="shared" si="123"/>
      </c>
      <c r="M70" s="446">
        <f t="shared" si="123"/>
      </c>
      <c r="N70" s="446">
        <f t="shared" si="123"/>
      </c>
      <c r="O70" s="446">
        <f t="shared" si="123"/>
      </c>
      <c r="P70" s="936">
        <f t="shared" si="123"/>
      </c>
      <c r="Q70" s="446">
        <f t="shared" si="123"/>
      </c>
      <c r="R70" s="446">
        <f t="shared" si="123"/>
      </c>
      <c r="S70" s="446">
        <f t="shared" si="123"/>
      </c>
      <c r="T70" s="446">
        <f t="shared" si="123"/>
      </c>
      <c r="U70" s="936">
        <f t="shared" si="123"/>
      </c>
      <c r="V70" s="446">
        <f t="shared" si="123"/>
      </c>
      <c r="W70" s="446">
        <f t="shared" si="123"/>
      </c>
      <c r="X70" s="446">
        <f t="shared" si="123"/>
      </c>
      <c r="Y70" s="446">
        <f t="shared" si="123"/>
      </c>
      <c r="Z70" s="936">
        <f t="shared" si="123"/>
      </c>
      <c r="AA70" s="446">
        <f t="shared" si="123"/>
      </c>
      <c r="AB70" s="446">
        <f t="shared" si="123"/>
      </c>
      <c r="AC70" s="446">
        <f t="shared" si="123"/>
      </c>
      <c r="AD70" s="446">
        <f t="shared" si="123"/>
      </c>
      <c r="AE70" s="936">
        <f t="shared" si="123"/>
      </c>
      <c r="AF70" s="619">
        <f t="shared" si="123"/>
      </c>
      <c r="AG70" s="619">
        <f t="shared" si="123"/>
      </c>
      <c r="AH70" s="619">
        <f t="shared" si="123"/>
      </c>
      <c r="AI70" s="619">
        <f t="shared" si="123"/>
      </c>
      <c r="AJ70" s="937">
        <f t="shared" si="123"/>
      </c>
      <c r="AK70" s="619">
        <f t="shared" si="123"/>
      </c>
      <c r="AL70" s="619">
        <f t="shared" si="123"/>
      </c>
      <c r="AM70" s="619">
        <f t="shared" si="123"/>
      </c>
      <c r="AN70" s="619">
        <f t="shared" si="123"/>
      </c>
      <c r="AO70" s="937">
        <f t="shared" si="123"/>
      </c>
      <c r="AP70" s="446"/>
      <c r="AQ70" s="446"/>
      <c r="AR70" s="446"/>
      <c r="AS70" s="446"/>
      <c r="AT70" s="936"/>
      <c r="AU70" s="446"/>
      <c r="AV70" s="446"/>
      <c r="AW70" s="446"/>
      <c r="AX70" s="446"/>
      <c r="AY70" s="936"/>
      <c r="AZ70" s="446"/>
      <c r="BA70" s="446"/>
      <c r="BB70" s="446"/>
      <c r="BC70" s="446"/>
      <c r="BD70" s="936"/>
      <c r="BE70" s="446"/>
      <c r="BF70" s="446"/>
      <c r="BG70" s="446"/>
      <c r="BH70" s="446"/>
      <c r="BI70" s="936"/>
      <c r="BJ70" s="446"/>
      <c r="BK70" s="446"/>
      <c r="BL70" s="446"/>
      <c r="BM70" s="446"/>
      <c r="BN70" s="936"/>
      <c r="BO70" s="446"/>
      <c r="BP70" s="446"/>
      <c r="BQ70" s="446"/>
      <c r="BR70" s="446"/>
      <c r="BS70" s="936"/>
      <c r="BT70" s="665"/>
      <c r="BU70" s="446"/>
      <c r="BV70" s="446"/>
      <c r="BW70" s="446"/>
      <c r="BX70" s="936"/>
      <c r="BY70" s="446"/>
      <c r="BZ70" s="446"/>
      <c r="CA70" s="446"/>
      <c r="CB70" s="446"/>
      <c r="CC70" s="936"/>
      <c r="CD70" s="936"/>
      <c r="CE70" s="936"/>
      <c r="CF70" s="936"/>
      <c r="CG70" s="308"/>
    </row>
    <row r="71" spans="1:85" hidden="1" outlineLevel="2" x14ac:dyDescent="0.3">
      <c r="A71" s="182" t="s">
        <v>530</v>
      </c>
      <c r="B71" s="430"/>
      <c r="C71" s="962"/>
      <c r="D71" s="962"/>
      <c r="E71" s="962"/>
      <c r="F71" s="962"/>
      <c r="G71" s="757"/>
      <c r="H71" s="757"/>
      <c r="I71" s="757"/>
      <c r="J71" s="757"/>
      <c r="K71" s="962"/>
      <c r="L71" s="757"/>
      <c r="M71" s="757"/>
      <c r="N71" s="757"/>
      <c r="O71" s="757"/>
      <c r="P71" s="962"/>
      <c r="Q71" s="757"/>
      <c r="R71" s="757"/>
      <c r="S71" s="757"/>
      <c r="T71" s="757"/>
      <c r="U71" s="962"/>
      <c r="V71" s="757"/>
      <c r="W71" s="757"/>
      <c r="X71" s="757"/>
      <c r="Y71" s="757"/>
      <c r="Z71" s="962"/>
      <c r="AA71" s="459">
        <f t="shared" ref="AA71:AO71" si="124">+AA73-AA69</f>
      </c>
      <c r="AB71" s="459">
        <f t="shared" si="124"/>
      </c>
      <c r="AC71" s="459">
        <f t="shared" si="124"/>
      </c>
      <c r="AD71" s="459">
        <f t="shared" si="124"/>
      </c>
      <c r="AE71" s="964">
        <f t="shared" si="124"/>
      </c>
      <c r="AF71" s="459">
        <f t="shared" si="124"/>
      </c>
      <c r="AG71" s="459">
        <f t="shared" si="124"/>
      </c>
      <c r="AH71" s="459">
        <f t="shared" si="124"/>
      </c>
      <c r="AI71" s="459">
        <f t="shared" si="124"/>
      </c>
      <c r="AJ71" s="964">
        <f t="shared" si="124"/>
      </c>
      <c r="AK71" s="459">
        <f t="shared" si="124"/>
      </c>
      <c r="AL71" s="459">
        <f t="shared" si="124"/>
      </c>
      <c r="AM71" s="459">
        <f t="shared" si="124"/>
      </c>
      <c r="AN71" s="459">
        <f t="shared" si="124"/>
      </c>
      <c r="AO71" s="964">
        <f t="shared" si="124"/>
      </c>
      <c r="AP71" s="757"/>
      <c r="AQ71" s="757"/>
      <c r="AR71" s="757"/>
      <c r="AS71" s="757"/>
      <c r="AT71" s="962"/>
      <c r="AU71" s="757"/>
      <c r="AV71" s="757"/>
      <c r="AW71" s="757"/>
      <c r="AX71" s="757"/>
      <c r="AY71" s="962"/>
      <c r="AZ71" s="757"/>
      <c r="BA71" s="757"/>
      <c r="BB71" s="757"/>
      <c r="BC71" s="757"/>
      <c r="BD71" s="962"/>
      <c r="BE71" s="757"/>
      <c r="BF71" s="757"/>
      <c r="BG71" s="757"/>
      <c r="BH71" s="757"/>
      <c r="BI71" s="962"/>
      <c r="BJ71" s="757"/>
      <c r="BK71" s="757"/>
      <c r="BL71" s="757"/>
      <c r="BM71" s="757"/>
      <c r="BN71" s="962"/>
      <c r="BO71" s="757"/>
      <c r="BP71" s="757"/>
      <c r="BQ71" s="757"/>
      <c r="BR71" s="757"/>
      <c r="BS71" s="962"/>
      <c r="BT71" s="758"/>
      <c r="BU71" s="757"/>
      <c r="BV71" s="757"/>
      <c r="BW71" s="757"/>
      <c r="BX71" s="962"/>
      <c r="BY71" s="757"/>
      <c r="BZ71" s="757"/>
      <c r="CA71" s="757"/>
      <c r="CB71" s="757"/>
      <c r="CC71" s="962"/>
      <c r="CD71" s="962"/>
      <c r="CE71" s="962"/>
      <c r="CF71" s="962"/>
      <c r="CG71" s="459"/>
    </row>
    <row r="72" spans="1:85" s="583" customFormat="1" hidden="1" outlineLevel="2" x14ac:dyDescent="0.3">
      <c r="A72" s="396" t="s">
        <v>532</v>
      </c>
      <c r="B72" s="305"/>
      <c r="C72" s="936"/>
      <c r="D72" s="936"/>
      <c r="E72" s="936"/>
      <c r="F72" s="936"/>
      <c r="G72" s="446"/>
      <c r="H72" s="446"/>
      <c r="I72" s="446"/>
      <c r="J72" s="446"/>
      <c r="K72" s="936"/>
      <c r="L72" s="446"/>
      <c r="M72" s="446"/>
      <c r="N72" s="446"/>
      <c r="O72" s="446"/>
      <c r="P72" s="936"/>
      <c r="Q72" s="446"/>
      <c r="R72" s="446"/>
      <c r="S72" s="446"/>
      <c r="T72" s="446"/>
      <c r="U72" s="936"/>
      <c r="V72" s="446"/>
      <c r="W72" s="446"/>
      <c r="X72" s="446"/>
      <c r="Y72" s="446"/>
      <c r="Z72" s="936"/>
      <c r="AA72" s="446"/>
      <c r="AB72" s="446"/>
      <c r="AC72" s="446"/>
      <c r="AD72" s="446"/>
      <c r="AE72" s="936"/>
      <c r="AF72" s="619">
        <f t="shared" ref="AF72:AO72" si="125">+AF71/AA71-1</f>
      </c>
      <c r="AG72" s="619">
        <f t="shared" si="125"/>
      </c>
      <c r="AH72" s="619">
        <f t="shared" si="125"/>
      </c>
      <c r="AI72" s="619">
        <f t="shared" si="125"/>
      </c>
      <c r="AJ72" s="937">
        <f t="shared" si="125"/>
      </c>
      <c r="AK72" s="619">
        <f t="shared" si="125"/>
      </c>
      <c r="AL72" s="619">
        <f t="shared" si="125"/>
      </c>
      <c r="AM72" s="619">
        <f t="shared" si="125"/>
      </c>
      <c r="AN72" s="619">
        <f t="shared" si="125"/>
      </c>
      <c r="AO72" s="937">
        <f t="shared" si="125"/>
      </c>
      <c r="AP72" s="446"/>
      <c r="AQ72" s="446"/>
      <c r="AR72" s="446"/>
      <c r="AS72" s="446"/>
      <c r="AT72" s="936"/>
      <c r="AU72" s="446"/>
      <c r="AV72" s="446"/>
      <c r="AW72" s="446"/>
      <c r="AX72" s="446"/>
      <c r="AY72" s="936"/>
      <c r="AZ72" s="446"/>
      <c r="BA72" s="446"/>
      <c r="BB72" s="446"/>
      <c r="BC72" s="446"/>
      <c r="BD72" s="936"/>
      <c r="BE72" s="446"/>
      <c r="BF72" s="446"/>
      <c r="BG72" s="446"/>
      <c r="BH72" s="446"/>
      <c r="BI72" s="936"/>
      <c r="BJ72" s="446"/>
      <c r="BK72" s="446"/>
      <c r="BL72" s="446"/>
      <c r="BM72" s="446"/>
      <c r="BN72" s="936"/>
      <c r="BO72" s="446"/>
      <c r="BP72" s="446"/>
      <c r="BQ72" s="446"/>
      <c r="BR72" s="446"/>
      <c r="BS72" s="936"/>
      <c r="BT72" s="665"/>
      <c r="BU72" s="446"/>
      <c r="BV72" s="446"/>
      <c r="BW72" s="446"/>
      <c r="BX72" s="936"/>
      <c r="BY72" s="446"/>
      <c r="BZ72" s="446"/>
      <c r="CA72" s="446"/>
      <c r="CB72" s="446"/>
      <c r="CC72" s="936"/>
      <c r="CD72" s="936"/>
      <c r="CE72" s="936"/>
      <c r="CF72" s="936"/>
      <c r="CG72" s="308"/>
    </row>
    <row r="73" spans="1:85" s="589" customFormat="1" hidden="1" outlineLevel="1" collapsed="1" x14ac:dyDescent="0.3">
      <c r="A73" s="2" t="s">
        <v>397</v>
      </c>
      <c r="B73" s="426"/>
      <c r="C73" s="965"/>
      <c r="D73" s="965"/>
      <c r="E73" s="965"/>
      <c r="F73" s="965"/>
      <c r="G73" s="791"/>
      <c r="H73" s="791"/>
      <c r="I73" s="791"/>
      <c r="J73" s="791"/>
      <c r="K73" s="965"/>
      <c r="L73" s="791"/>
      <c r="M73" s="791"/>
      <c r="N73" s="791"/>
      <c r="O73" s="791"/>
      <c r="P73" s="965"/>
      <c r="Q73" s="791"/>
      <c r="R73" s="791"/>
      <c r="S73" s="791"/>
      <c r="T73" s="791"/>
      <c r="U73" s="965"/>
      <c r="V73" s="791"/>
      <c r="W73" s="791"/>
      <c r="X73" s="791"/>
      <c r="Y73" s="791"/>
      <c r="Z73" s="965"/>
      <c r="AA73" s="858">
        <v>1586.1669999999999</v>
      </c>
      <c r="AB73" s="858">
        <v>1624.3969999999999</v>
      </c>
      <c r="AC73" s="858">
        <v>1674.308</v>
      </c>
      <c r="AD73" s="858">
        <v>1775.9870000000001</v>
      </c>
      <c r="AE73" s="966">
        <v>6660.8589999999995</v>
      </c>
      <c r="AF73" s="858">
        <v>1976.1569999999999</v>
      </c>
      <c r="AG73" s="858">
        <v>2049.5459999999998</v>
      </c>
      <c r="AH73" s="858">
        <v>2094.85</v>
      </c>
      <c r="AI73" s="858">
        <v>2160.9789999999998</v>
      </c>
      <c r="AJ73" s="966">
        <v>8281.5319999999992</v>
      </c>
      <c r="AK73" s="858">
        <v>2256.8510000000001</v>
      </c>
      <c r="AL73" s="858">
        <v>2501.1990000000001</v>
      </c>
      <c r="AM73" s="858">
        <v>2621.25</v>
      </c>
      <c r="AN73" s="858">
        <v>2671.9079999999999</v>
      </c>
      <c r="AO73" s="966">
        <v>10051.208000000001</v>
      </c>
      <c r="AP73" s="858">
        <v>2702.7759999999998</v>
      </c>
      <c r="AQ73" s="858">
        <v>2839.67</v>
      </c>
      <c r="AR73" s="858">
        <v>2933.4450000000002</v>
      </c>
      <c r="AS73" s="792">
        <f>AT73-SUM(AP73,AQ73,AR73)</f>
      </c>
      <c r="AT73" s="966">
        <v>11455.396000000001</v>
      </c>
      <c r="AU73" s="858">
        <v>3170.9720000000002</v>
      </c>
      <c r="AV73" s="858">
        <v>3234.643</v>
      </c>
      <c r="AW73" s="858">
        <v>3257.6970000000001</v>
      </c>
      <c r="AX73" s="792">
        <f>AY73-SUM(AU73,AV73,AW73)</f>
      </c>
      <c r="AY73" s="966">
        <v>12972.1</v>
      </c>
      <c r="AZ73" s="858">
        <v>3350.424</v>
      </c>
      <c r="BA73" s="858">
        <v>3537.8629999999998</v>
      </c>
      <c r="BB73" s="858">
        <v>3601.5650000000001</v>
      </c>
      <c r="BC73" s="792">
        <f>BD73-SUM(AZ73,BA73,BB73)</f>
      </c>
      <c r="BD73" s="966">
        <v>14084.643</v>
      </c>
      <c r="BE73" s="858">
        <v>3608.645</v>
      </c>
      <c r="BF73" s="858">
        <v>3599.4479999999999</v>
      </c>
      <c r="BG73" s="858">
        <v>3735.1329999999998</v>
      </c>
      <c r="BH73" s="792">
        <f>BI73-SUM(BE73,BF73,BG73)</f>
      </c>
      <c r="BI73" s="966">
        <v>14873.782999999999</v>
      </c>
      <c r="BJ73" s="858">
        <v>4224.3149999999996</v>
      </c>
      <c r="BK73" s="858">
        <v>4295.5600000000004</v>
      </c>
      <c r="BL73" s="858">
        <v>4322.4759999999997</v>
      </c>
      <c r="BM73" s="792">
        <f>BN73-SUM(BJ73,BK73,BL73)</f>
      </c>
      <c r="BN73" s="966">
        <v>17359.368999999999</v>
      </c>
      <c r="BO73" s="858">
        <v>4617.098</v>
      </c>
      <c r="BP73" s="858">
        <v>4929.0029999999997</v>
      </c>
      <c r="BQ73" s="858">
        <v>5071.7809999999999</v>
      </c>
      <c r="BR73" s="792">
        <f>BS73-SUM(BO73,BP73,BQ73)</f>
      </c>
      <c r="BS73" s="966">
        <v>19957.151999999998</v>
      </c>
      <c r="BT73" s="859">
        <v>5245.2979999999998</v>
      </c>
      <c r="BU73" s="791">
        <f>BU56*BU64*3/1000</f>
      </c>
      <c r="BV73" s="791">
        <f>BV56*BV64*3/1000</f>
      </c>
      <c r="BW73" s="791">
        <f>BW56*BW64*3/1000</f>
      </c>
      <c r="BX73" s="965">
        <f>SUM(BT73,BU73,BV73,BW73)</f>
      </c>
      <c r="BY73" s="791">
        <f>BY56*BY64*3/1000</f>
      </c>
      <c r="BZ73" s="791">
        <f>BZ56*BZ64*3/1000</f>
      </c>
      <c r="CA73" s="791">
        <f>CA56*CA64*3/1000</f>
      </c>
      <c r="CB73" s="791">
        <f>CB56*CB64*3/1000</f>
      </c>
      <c r="CC73" s="965">
        <f>SUM(BY73,BZ73,CA73,CB73)</f>
      </c>
      <c r="CD73" s="965">
        <f>CD56*CD64*12/1000</f>
      </c>
      <c r="CE73" s="965">
        <f>CE56*CE64*12/1000</f>
      </c>
      <c r="CF73" s="965">
        <f>CF56*CF64*12/1000</f>
      </c>
      <c r="CG73" s="183"/>
    </row>
    <row r="74" spans="1:85" s="589" customFormat="1" hidden="1" outlineLevel="1" x14ac:dyDescent="0.3">
      <c r="A74" s="771" t="s">
        <v>534</v>
      </c>
      <c r="B74" s="318"/>
      <c r="C74" s="935"/>
      <c r="D74" s="935"/>
      <c r="E74" s="935"/>
      <c r="F74" s="935"/>
      <c r="G74" s="58"/>
      <c r="H74" s="58"/>
      <c r="I74" s="58"/>
      <c r="J74" s="58"/>
      <c r="K74" s="935"/>
      <c r="L74" s="58"/>
      <c r="M74" s="58"/>
      <c r="N74" s="58"/>
      <c r="O74" s="58"/>
      <c r="P74" s="935"/>
      <c r="Q74" s="58"/>
      <c r="R74" s="58"/>
      <c r="S74" s="58"/>
      <c r="T74" s="58"/>
      <c r="U74" s="935"/>
      <c r="V74" s="58"/>
      <c r="W74" s="58"/>
      <c r="X74" s="58"/>
      <c r="Y74" s="58"/>
      <c r="Z74" s="935"/>
      <c r="AA74" s="58"/>
      <c r="AB74" s="308">
        <f>AB73/AA73-1</f>
      </c>
      <c r="AC74" s="308">
        <f>AC73/AB73-1</f>
      </c>
      <c r="AD74" s="308">
        <f>AD73/AC73-1</f>
      </c>
      <c r="AE74" s="935"/>
      <c r="AF74" s="308">
        <f>AF73/AD73-1</f>
      </c>
      <c r="AG74" s="308">
        <f>AG73/AF73-1</f>
      </c>
      <c r="AH74" s="308">
        <f>AH73/AG73-1</f>
      </c>
      <c r="AI74" s="308">
        <f>AI73/AH73-1</f>
      </c>
      <c r="AJ74" s="935"/>
      <c r="AK74" s="308">
        <f>AK73/AI73-1</f>
      </c>
      <c r="AL74" s="308">
        <f>AL73/AK73-1</f>
      </c>
      <c r="AM74" s="308">
        <f>AM73/AL73-1</f>
      </c>
      <c r="AN74" s="308">
        <f>AN73/AM73-1</f>
      </c>
      <c r="AO74" s="935"/>
      <c r="AP74" s="308">
        <f>AP73/AN73-1</f>
      </c>
      <c r="AQ74" s="308">
        <f>AQ73/AP73-1</f>
      </c>
      <c r="AR74" s="308">
        <f>AR73/AQ73-1</f>
      </c>
      <c r="AS74" s="308">
        <f>AS73/AR73-1</f>
      </c>
      <c r="AT74" s="935"/>
      <c r="AU74" s="308">
        <f>AU73/AS73-1</f>
      </c>
      <c r="AV74" s="308">
        <f>AV73/AU73-1</f>
      </c>
      <c r="AW74" s="308">
        <f>AW73/AV73-1</f>
      </c>
      <c r="AX74" s="308">
        <f>AX73/AW73-1</f>
      </c>
      <c r="AY74" s="935"/>
      <c r="AZ74" s="308">
        <f>AZ73/AX73-1</f>
      </c>
      <c r="BA74" s="308">
        <f>BA73/AZ73-1</f>
      </c>
      <c r="BB74" s="308">
        <f>BB73/BA73-1</f>
      </c>
      <c r="BC74" s="308">
        <f>BC73/BB73-1</f>
      </c>
      <c r="BD74" s="935"/>
      <c r="BE74" s="308">
        <f>BE73/BC73-1</f>
      </c>
      <c r="BF74" s="308">
        <f>BF73/BE73-1</f>
      </c>
      <c r="BG74" s="308">
        <f>BG73/BF73-1</f>
      </c>
      <c r="BH74" s="308">
        <f>BH73/BG73-1</f>
      </c>
      <c r="BI74" s="935"/>
      <c r="BJ74" s="308">
        <f>BJ73/BH73-1</f>
      </c>
      <c r="BK74" s="308">
        <f>BK73/BJ73-1</f>
      </c>
      <c r="BL74" s="308">
        <f>BL73/BK73-1</f>
      </c>
      <c r="BM74" s="308">
        <f>BM73/BL73-1</f>
      </c>
      <c r="BN74" s="935"/>
      <c r="BO74" s="308">
        <f>BO73/BM73-1</f>
      </c>
      <c r="BP74" s="308">
        <f>BP73/BO73-1</f>
      </c>
      <c r="BQ74" s="308">
        <f>BQ73/BP73-1</f>
      </c>
      <c r="BR74" s="308">
        <f>BR73/BQ73-1</f>
      </c>
      <c r="BS74" s="935"/>
      <c r="BT74" s="663">
        <f>BT73/BR73-1</f>
      </c>
      <c r="BU74" s="58">
        <f>BU73/BT73-1</f>
      </c>
      <c r="BV74" s="58">
        <f>BV73/BU73-1</f>
      </c>
      <c r="BW74" s="58">
        <f>BW73/BV73-1</f>
      </c>
      <c r="BX74" s="935"/>
      <c r="BY74" s="58">
        <f>BY73/BW73-1</f>
      </c>
      <c r="BZ74" s="58">
        <f>BZ73/BY73-1</f>
      </c>
      <c r="CA74" s="58">
        <f>CA73/BZ73-1</f>
      </c>
      <c r="CB74" s="58">
        <f>CB73/CA73-1</f>
      </c>
      <c r="CC74" s="935"/>
      <c r="CD74" s="935"/>
      <c r="CE74" s="935"/>
      <c r="CF74" s="935"/>
      <c r="CG74" s="183"/>
    </row>
    <row r="75" spans="1:85" s="583" customFormat="1" hidden="1" outlineLevel="1" x14ac:dyDescent="0.3">
      <c r="A75" s="771" t="s">
        <v>533</v>
      </c>
      <c r="B75" s="305"/>
      <c r="C75" s="936"/>
      <c r="D75" s="936"/>
      <c r="E75" s="936"/>
      <c r="F75" s="936"/>
      <c r="G75" s="446"/>
      <c r="H75" s="446"/>
      <c r="I75" s="446"/>
      <c r="J75" s="446"/>
      <c r="K75" s="936"/>
      <c r="L75" s="446"/>
      <c r="M75" s="446"/>
      <c r="N75" s="446"/>
      <c r="O75" s="446"/>
      <c r="P75" s="936"/>
      <c r="Q75" s="446"/>
      <c r="R75" s="446"/>
      <c r="S75" s="446"/>
      <c r="T75" s="446"/>
      <c r="U75" s="936"/>
      <c r="V75" s="446"/>
      <c r="W75" s="446"/>
      <c r="X75" s="446"/>
      <c r="Y75" s="446"/>
      <c r="Z75" s="936"/>
      <c r="AA75" s="446"/>
      <c r="AB75" s="446"/>
      <c r="AC75" s="446"/>
      <c r="AD75" s="446"/>
      <c r="AE75" s="936"/>
      <c r="AF75" s="619">
        <f t="shared" ref="AF75:AW75" si="126">+AF73/AA73-1</f>
      </c>
      <c r="AG75" s="619">
        <f t="shared" si="126"/>
      </c>
      <c r="AH75" s="619">
        <f t="shared" si="126"/>
      </c>
      <c r="AI75" s="619">
        <f t="shared" si="126"/>
      </c>
      <c r="AJ75" s="937">
        <f t="shared" si="126"/>
      </c>
      <c r="AK75" s="619">
        <f t="shared" si="126"/>
      </c>
      <c r="AL75" s="619">
        <f t="shared" si="126"/>
      </c>
      <c r="AM75" s="619">
        <f t="shared" si="126"/>
      </c>
      <c r="AN75" s="619">
        <f t="shared" si="126"/>
      </c>
      <c r="AO75" s="937">
        <f t="shared" si="126"/>
      </c>
      <c r="AP75" s="619">
        <f t="shared" si="126"/>
      </c>
      <c r="AQ75" s="619">
        <f t="shared" si="126"/>
      </c>
      <c r="AR75" s="619">
        <f t="shared" si="126"/>
      </c>
      <c r="AS75" s="619">
        <f t="shared" si="126"/>
      </c>
      <c r="AT75" s="937">
        <f t="shared" si="126"/>
      </c>
      <c r="AU75" s="619">
        <f t="shared" si="126"/>
      </c>
      <c r="AV75" s="619">
        <f t="shared" si="126"/>
      </c>
      <c r="AW75" s="619">
        <f t="shared" si="126"/>
      </c>
      <c r="AX75" s="619">
        <f t="shared" ref="AX75:BD75" si="127">+AX73/AS73-1</f>
      </c>
      <c r="AY75" s="937">
        <f t="shared" si="127"/>
      </c>
      <c r="AZ75" s="619">
        <f t="shared" si="127"/>
      </c>
      <c r="BA75" s="619">
        <f t="shared" si="127"/>
      </c>
      <c r="BB75" s="619">
        <f t="shared" si="127"/>
      </c>
      <c r="BC75" s="619">
        <f t="shared" si="127"/>
      </c>
      <c r="BD75" s="937">
        <f t="shared" si="127"/>
      </c>
      <c r="BE75" s="619">
        <f t="shared" ref="BE75:BI75" si="128">+BE73/AZ73-1</f>
      </c>
      <c r="BF75" s="619">
        <f t="shared" si="128"/>
      </c>
      <c r="BG75" s="619">
        <f t="shared" si="128"/>
      </c>
      <c r="BH75" s="619">
        <f t="shared" si="128"/>
      </c>
      <c r="BI75" s="937">
        <f t="shared" si="128"/>
      </c>
      <c r="BJ75" s="619">
        <f t="shared" ref="BJ75:BX75" si="129">+BJ73/BE73-1</f>
      </c>
      <c r="BK75" s="619">
        <f t="shared" si="129"/>
      </c>
      <c r="BL75" s="619">
        <f t="shared" si="129"/>
      </c>
      <c r="BM75" s="619">
        <f t="shared" si="129"/>
      </c>
      <c r="BN75" s="937">
        <f t="shared" si="129"/>
      </c>
      <c r="BO75" s="619">
        <f t="shared" ref="BO75:BW75" si="130">+BO73/BJ73-1</f>
      </c>
      <c r="BP75" s="619">
        <f t="shared" si="130"/>
      </c>
      <c r="BQ75" s="619">
        <f t="shared" si="130"/>
      </c>
      <c r="BR75" s="619">
        <f t="shared" si="130"/>
      </c>
      <c r="BS75" s="937">
        <f t="shared" si="130"/>
      </c>
      <c r="BT75" s="664">
        <f>+BT73/BO73-1</f>
      </c>
      <c r="BU75" s="446">
        <f t="shared" si="130"/>
      </c>
      <c r="BV75" s="446">
        <f t="shared" si="130"/>
      </c>
      <c r="BW75" s="446">
        <f t="shared" si="130"/>
      </c>
      <c r="BX75" s="936">
        <f t="shared" si="129"/>
      </c>
      <c r="BY75" s="446">
        <f>+BY73/BT73-1</f>
      </c>
      <c r="BZ75" s="446">
        <f>+BZ73/BU73-1</f>
      </c>
      <c r="CA75" s="446">
        <f>+CA73/BV73-1</f>
      </c>
      <c r="CB75" s="446">
        <f>+CB73/BW73-1</f>
      </c>
      <c r="CC75" s="936">
        <f>+CC73/BX73-1</f>
      </c>
      <c r="CD75" s="936">
        <f>+CD73/CC73-1</f>
      </c>
      <c r="CE75" s="936">
        <f>+CE73/CD73-1</f>
      </c>
      <c r="CF75" s="936">
        <f>+CF73/CE73-1</f>
      </c>
      <c r="CG75" s="308"/>
    </row>
    <row r="76" spans="1:85" collapsed="1" x14ac:dyDescent="0.3">
      <c r="A76" s="239"/>
      <c r="B76" s="240"/>
      <c r="C76" s="938"/>
      <c r="D76" s="938"/>
      <c r="E76" s="938"/>
      <c r="F76" s="938"/>
      <c r="G76" s="241"/>
      <c r="H76" s="241"/>
      <c r="I76" s="241"/>
      <c r="J76" s="241"/>
      <c r="K76" s="938"/>
      <c r="L76" s="241"/>
      <c r="M76" s="241"/>
      <c r="N76" s="241"/>
      <c r="O76" s="241"/>
      <c r="P76" s="938"/>
      <c r="Q76" s="241"/>
      <c r="R76" s="241"/>
      <c r="S76" s="241"/>
      <c r="T76" s="241"/>
      <c r="U76" s="938"/>
      <c r="V76" s="241"/>
      <c r="W76" s="241"/>
      <c r="X76" s="241"/>
      <c r="Y76" s="241"/>
      <c r="Z76" s="938"/>
      <c r="AA76" s="241"/>
      <c r="AB76" s="241"/>
      <c r="AC76" s="241"/>
      <c r="AD76" s="241"/>
      <c r="AE76" s="938"/>
      <c r="AF76" s="241"/>
      <c r="AG76" s="241"/>
      <c r="AH76" s="241"/>
      <c r="AI76" s="241"/>
      <c r="AJ76" s="938"/>
      <c r="AK76" s="241"/>
      <c r="AL76" s="241"/>
      <c r="AM76" s="241"/>
      <c r="AN76" s="241"/>
      <c r="AO76" s="938"/>
      <c r="AP76" s="241"/>
      <c r="AQ76" s="241"/>
      <c r="AR76" s="241"/>
      <c r="AS76" s="241"/>
      <c r="AT76" s="938"/>
      <c r="AU76" s="241"/>
      <c r="AV76" s="241"/>
      <c r="AW76" s="241"/>
      <c r="AX76" s="241"/>
      <c r="AY76" s="938"/>
      <c r="AZ76" s="241"/>
      <c r="BA76" s="241"/>
      <c r="BB76" s="241"/>
      <c r="BC76" s="241"/>
      <c r="BD76" s="938"/>
      <c r="BE76" s="241"/>
      <c r="BF76" s="241"/>
      <c r="BG76" s="241"/>
      <c r="BH76" s="241"/>
      <c r="BI76" s="938"/>
      <c r="BJ76" s="241"/>
      <c r="BK76" s="241"/>
      <c r="BL76" s="241"/>
      <c r="BM76" s="241"/>
      <c r="BN76" s="938"/>
      <c r="BO76" s="241"/>
      <c r="BP76" s="241"/>
      <c r="BQ76" s="241"/>
      <c r="BR76" s="241"/>
      <c r="BS76" s="938"/>
      <c r="BT76" s="666"/>
      <c r="BU76" s="241"/>
      <c r="BV76" s="241"/>
      <c r="BW76" s="241"/>
      <c r="BX76" s="938"/>
      <c r="BY76" s="241"/>
      <c r="BZ76" s="241"/>
      <c r="CA76" s="241"/>
      <c r="CB76" s="241"/>
      <c r="CC76" s="938"/>
      <c r="CD76" s="938"/>
      <c r="CE76" s="938"/>
      <c r="CF76" s="938"/>
      <c r="CG76" s="191"/>
    </row>
    <row r="77" spans="1:85" x14ac:dyDescent="0.3">
      <c r="A77" s="754" t="s">
        <v>545</v>
      </c>
      <c r="B77" s="754"/>
      <c r="C77" s="754"/>
      <c r="D77" s="754"/>
      <c r="E77" s="754"/>
      <c r="F77" s="754"/>
      <c r="G77" s="754"/>
      <c r="H77" s="754"/>
      <c r="I77" s="754"/>
      <c r="J77" s="754"/>
      <c r="K77" s="754"/>
      <c r="L77" s="754"/>
      <c r="M77" s="754"/>
      <c r="N77" s="754"/>
      <c r="O77" s="754"/>
      <c r="P77" s="754"/>
      <c r="Q77" s="754"/>
      <c r="R77" s="754"/>
      <c r="S77" s="754"/>
      <c r="T77" s="754"/>
      <c r="U77" s="754"/>
      <c r="V77" s="754"/>
      <c r="W77" s="754"/>
      <c r="X77" s="754"/>
      <c r="Y77" s="754"/>
      <c r="Z77" s="754"/>
      <c r="AA77" s="754"/>
      <c r="AB77" s="754"/>
      <c r="AC77" s="754"/>
      <c r="AD77" s="754"/>
      <c r="AE77" s="754"/>
      <c r="AF77" s="754"/>
      <c r="AG77" s="754"/>
      <c r="AH77" s="754"/>
      <c r="AI77" s="754"/>
      <c r="AJ77" s="754"/>
      <c r="AK77" s="754"/>
      <c r="AL77" s="754"/>
      <c r="AM77" s="754"/>
      <c r="AN77" s="754"/>
      <c r="AO77" s="754"/>
      <c r="AP77" s="754"/>
      <c r="AQ77" s="754"/>
      <c r="AR77" s="754"/>
      <c r="AS77" s="754"/>
      <c r="AT77" s="754"/>
      <c r="AU77" s="754"/>
      <c r="AV77" s="754"/>
      <c r="AW77" s="754"/>
      <c r="AX77" s="754"/>
      <c r="AY77" s="754"/>
      <c r="AZ77" s="754"/>
      <c r="BA77" s="754"/>
      <c r="BB77" s="754"/>
      <c r="BC77" s="754"/>
      <c r="BD77" s="754"/>
      <c r="BE77" s="754"/>
      <c r="BF77" s="754"/>
      <c r="BG77" s="754"/>
      <c r="BH77" s="754"/>
      <c r="BI77" s="754"/>
      <c r="BJ77" s="754"/>
      <c r="BK77" s="754"/>
      <c r="BL77" s="754"/>
      <c r="BM77" s="754"/>
      <c r="BN77" s="754"/>
      <c r="BO77" s="754"/>
      <c r="BP77" s="754"/>
      <c r="BQ77" s="754"/>
      <c r="BR77" s="754"/>
      <c r="BS77" s="754"/>
      <c r="BT77" s="755"/>
      <c r="BU77" s="754"/>
      <c r="BV77" s="754"/>
      <c r="BW77" s="754"/>
      <c r="BX77" s="754"/>
      <c r="BY77" s="754"/>
      <c r="BZ77" s="754"/>
      <c r="CA77" s="754"/>
      <c r="CB77" s="754"/>
      <c r="CC77" s="754"/>
      <c r="CD77" s="754"/>
      <c r="CE77" s="754"/>
      <c r="CF77" s="754"/>
      <c r="CG77" s="183"/>
    </row>
    <row r="78" spans="1:85" s="589" customFormat="1" hidden="1" outlineLevel="1" x14ac:dyDescent="0.3">
      <c r="A78" s="188" t="s">
        <v>671</v>
      </c>
      <c r="B78" s="245"/>
      <c r="C78" s="933"/>
      <c r="D78" s="933"/>
      <c r="E78" s="933"/>
      <c r="F78" s="933"/>
      <c r="G78" s="200"/>
      <c r="H78" s="200"/>
      <c r="I78" s="200"/>
      <c r="J78" s="200"/>
      <c r="K78" s="933"/>
      <c r="L78" s="200"/>
      <c r="M78" s="200"/>
      <c r="N78" s="200"/>
      <c r="O78" s="200"/>
      <c r="P78" s="933"/>
      <c r="Q78" s="200"/>
      <c r="R78" s="200"/>
      <c r="S78" s="200"/>
      <c r="T78" s="200"/>
      <c r="U78" s="933"/>
      <c r="V78" s="200"/>
      <c r="W78" s="200"/>
      <c r="X78" s="200"/>
      <c r="Y78" s="200"/>
      <c r="Z78" s="933"/>
      <c r="AA78" s="200">
        <f>AA84*2-AA80</f>
      </c>
      <c r="AB78" s="200">
        <f>AA80</f>
      </c>
      <c r="AC78" s="200">
        <f>AB80</f>
      </c>
      <c r="AD78" s="200">
        <f>AC80</f>
      </c>
      <c r="AE78" s="933">
        <f>AA78</f>
      </c>
      <c r="AF78" s="24">
        <f>AE80</f>
      </c>
      <c r="AG78" s="24">
        <f>AF80</f>
      </c>
      <c r="AH78" s="24">
        <f>AG80</f>
      </c>
      <c r="AI78" s="24">
        <f>AH80</f>
      </c>
      <c r="AJ78" s="934">
        <f>AE80</f>
      </c>
      <c r="AK78" s="24">
        <f>AJ80</f>
      </c>
      <c r="AL78" s="24">
        <f>AK80</f>
      </c>
      <c r="AM78" s="24">
        <f>AL80</f>
      </c>
      <c r="AN78" s="24">
        <f>AM80</f>
      </c>
      <c r="AO78" s="934">
        <f>AJ80</f>
      </c>
      <c r="AP78" s="24">
        <f>AO80</f>
      </c>
      <c r="AQ78" s="24">
        <f>AP80</f>
      </c>
      <c r="AR78" s="24">
        <f>AQ80</f>
      </c>
      <c r="AS78" s="24">
        <f>AR80</f>
      </c>
      <c r="AT78" s="934">
        <f>AO80</f>
      </c>
      <c r="AU78" s="24">
        <f>AT80</f>
      </c>
      <c r="AV78" s="24">
        <f>AU80</f>
      </c>
      <c r="AW78" s="24">
        <f>AV80</f>
      </c>
      <c r="AX78" s="24">
        <f>AW80</f>
      </c>
      <c r="AY78" s="934">
        <f>AT80</f>
      </c>
      <c r="AZ78" s="24">
        <f>AY80</f>
      </c>
      <c r="BA78" s="24">
        <f>AZ80</f>
      </c>
      <c r="BB78" s="24">
        <f>BA80</f>
      </c>
      <c r="BC78" s="24">
        <f>BB80</f>
      </c>
      <c r="BD78" s="934">
        <f>AY80</f>
      </c>
      <c r="BE78" s="24">
        <f>BD80</f>
      </c>
      <c r="BF78" s="24">
        <f>BE80</f>
      </c>
      <c r="BG78" s="24">
        <f>BF80</f>
      </c>
      <c r="BH78" s="24">
        <f>BG80</f>
      </c>
      <c r="BI78" s="934">
        <f>BD80</f>
      </c>
      <c r="BJ78" s="24">
        <f>BI80</f>
      </c>
      <c r="BK78" s="24">
        <f>BJ80</f>
      </c>
      <c r="BL78" s="24">
        <f>BK80</f>
      </c>
      <c r="BM78" s="24">
        <f>BL80</f>
      </c>
      <c r="BN78" s="934">
        <f>BI80</f>
      </c>
      <c r="BO78" s="24">
        <f>BN80</f>
      </c>
      <c r="BP78" s="24">
        <f>BO80</f>
      </c>
      <c r="BQ78" s="24">
        <f>BP80</f>
      </c>
      <c r="BR78" s="24">
        <f>BQ80</f>
      </c>
      <c r="BS78" s="934">
        <f>BN80</f>
      </c>
      <c r="BT78" s="673">
        <f>BS80</f>
      </c>
      <c r="BU78" s="200">
        <f>BT80</f>
      </c>
      <c r="BV78" s="200">
        <f>BU80</f>
      </c>
      <c r="BW78" s="200">
        <f>BV80</f>
      </c>
      <c r="BX78" s="933">
        <f>BS80</f>
      </c>
      <c r="BY78" s="200">
        <f>BX80</f>
      </c>
      <c r="BZ78" s="200">
        <f>BY80</f>
      </c>
      <c r="CA78" s="200">
        <f>BZ80</f>
      </c>
      <c r="CB78" s="200">
        <f>CA80</f>
      </c>
      <c r="CC78" s="933">
        <f>BX80</f>
      </c>
      <c r="CD78" s="933">
        <f>CC80</f>
      </c>
      <c r="CE78" s="933">
        <f>CD80</f>
      </c>
      <c r="CF78" s="933">
        <f>CE80</f>
      </c>
      <c r="CG78" s="24"/>
    </row>
    <row r="79" spans="1:85" hidden="1" outlineLevel="1" x14ac:dyDescent="0.3">
      <c r="A79" s="201" t="s">
        <v>548</v>
      </c>
      <c r="B79" s="246"/>
      <c r="C79" s="953"/>
      <c r="D79" s="953"/>
      <c r="E79" s="953"/>
      <c r="F79" s="953"/>
      <c r="G79" s="247"/>
      <c r="H79" s="247"/>
      <c r="I79" s="247"/>
      <c r="J79" s="247"/>
      <c r="K79" s="953"/>
      <c r="L79" s="247"/>
      <c r="M79" s="247"/>
      <c r="N79" s="247"/>
      <c r="O79" s="247"/>
      <c r="P79" s="953"/>
      <c r="Q79" s="247"/>
      <c r="R79" s="247"/>
      <c r="S79" s="247"/>
      <c r="T79" s="247"/>
      <c r="U79" s="953"/>
      <c r="V79" s="247"/>
      <c r="W79" s="247"/>
      <c r="X79" s="247"/>
      <c r="Y79" s="247"/>
      <c r="Z79" s="953"/>
      <c r="AA79" s="247">
        <f>AA80-AA78</f>
      </c>
      <c r="AB79" s="247">
        <f>AB80-AB78</f>
      </c>
      <c r="AC79" s="247">
        <f>AC80-AC78</f>
      </c>
      <c r="AD79" s="247">
        <f>AD80-AD78</f>
      </c>
      <c r="AE79" s="953">
        <f>SUM(AA79,AB79,AC79,AD79)</f>
      </c>
      <c r="AF79" s="202">
        <f>AF80-AF78</f>
      </c>
      <c r="AG79" s="202">
        <f>AG80-AG78</f>
      </c>
      <c r="AH79" s="202">
        <f>AH80-AH78</f>
      </c>
      <c r="AI79" s="202">
        <f>AI80-AI78</f>
      </c>
      <c r="AJ79" s="954">
        <f>SUM(AF79,AG79,AH79,AI79)</f>
      </c>
      <c r="AK79" s="202">
        <f>AK80-AK78</f>
      </c>
      <c r="AL79" s="202">
        <f>AL80-AL78</f>
      </c>
      <c r="AM79" s="202">
        <f>AM80-AM78</f>
      </c>
      <c r="AN79" s="202">
        <f>AN80-AN78</f>
      </c>
      <c r="AO79" s="954">
        <f>SUM(AK79,AL79,AM79,AN79)</f>
      </c>
      <c r="AP79" s="202">
        <f>AP80-AP78</f>
      </c>
      <c r="AQ79" s="202">
        <f>AQ80-AQ78</f>
      </c>
      <c r="AR79" s="202">
        <f>AR80-AR78</f>
      </c>
      <c r="AS79" s="202">
        <f>AS80-AS78</f>
      </c>
      <c r="AT79" s="954">
        <f>SUM(AP79,AQ79,AR79,AS79)</f>
      </c>
      <c r="AU79" s="202">
        <f>AU80-AU78</f>
      </c>
      <c r="AV79" s="202">
        <f>AV80-AV78</f>
      </c>
      <c r="AW79" s="202">
        <f>AW80-AW78</f>
      </c>
      <c r="AX79" s="202">
        <f>AX80-AX78</f>
      </c>
      <c r="AY79" s="954">
        <f>SUM(AU79,AV79,AW79,AX79)</f>
      </c>
      <c r="AZ79" s="202">
        <f>AZ80-AZ78</f>
      </c>
      <c r="BA79" s="202">
        <f>BA80-BA78</f>
      </c>
      <c r="BB79" s="202">
        <f>BB80-BB78</f>
      </c>
      <c r="BC79" s="202">
        <f>BC80-BC78</f>
      </c>
      <c r="BD79" s="954">
        <f>SUM(AZ79,BA79,BB79,BC79)</f>
      </c>
      <c r="BE79" s="202">
        <f>BE80-BE78</f>
      </c>
      <c r="BF79" s="202">
        <f>BF80-BF78</f>
      </c>
      <c r="BG79" s="202">
        <f>BG80-BG78</f>
      </c>
      <c r="BH79" s="202">
        <f>BH80-BH78</f>
      </c>
      <c r="BI79" s="954">
        <f>SUM(BE79,BF79,BG79,BH79)</f>
      </c>
      <c r="BJ79" s="202">
        <f>BJ80-BJ78</f>
      </c>
      <c r="BK79" s="131">
        <f>BK80-BK78</f>
      </c>
      <c r="BL79" s="202">
        <f>BL80-BL78</f>
      </c>
      <c r="BM79" s="202">
        <f>BM80-BM78</f>
      </c>
      <c r="BN79" s="954">
        <f>SUM(BJ79,BK79,BL79,BM79)</f>
      </c>
      <c r="BO79" s="202">
        <f>BO80-BO78</f>
      </c>
      <c r="BP79" s="131">
        <f>BP80-BP78</f>
      </c>
      <c r="BQ79" s="202">
        <f>BQ80-BQ78</f>
      </c>
      <c r="BR79" s="202">
        <f>BR80-BR78</f>
      </c>
      <c r="BS79" s="954">
        <f>SUM(BO79,BP79,BQ79,BR79)</f>
      </c>
      <c r="BT79" s="670">
        <f>BT80-BT78</f>
      </c>
      <c r="BU79" s="247">
        <f>BU81*BU78</f>
      </c>
      <c r="BV79" s="247">
        <f>BV81*BV78</f>
      </c>
      <c r="BW79" s="247">
        <f>BW81*BW78</f>
      </c>
      <c r="BX79" s="953">
        <f>SUM(BT79,BU79,BV79,BW79)</f>
      </c>
      <c r="BY79" s="247">
        <f>BY81*BY78</f>
      </c>
      <c r="BZ79" s="247">
        <f>BZ81*BZ78</f>
      </c>
      <c r="CA79" s="247">
        <f>CA81*CA78</f>
      </c>
      <c r="CB79" s="247">
        <f>CB81*CB78</f>
      </c>
      <c r="CC79" s="953">
        <f>SUM(BY79,BZ79,CA79,CB79)</f>
      </c>
      <c r="CD79" s="953">
        <f>CD82*CD78</f>
      </c>
      <c r="CE79" s="953">
        <f>CE82*CE78</f>
      </c>
      <c r="CF79" s="953">
        <f>CF82*CF78</f>
      </c>
      <c r="CG79" s="131"/>
    </row>
    <row r="80" spans="1:85" s="589" customFormat="1" hidden="1" outlineLevel="1" x14ac:dyDescent="0.3">
      <c r="A80" s="188" t="s">
        <v>673</v>
      </c>
      <c r="B80" s="245"/>
      <c r="C80" s="933"/>
      <c r="D80" s="933"/>
      <c r="E80" s="933"/>
      <c r="F80" s="933"/>
      <c r="G80" s="200"/>
      <c r="H80" s="200"/>
      <c r="I80" s="200"/>
      <c r="J80" s="200"/>
      <c r="K80" s="933"/>
      <c r="L80" s="200"/>
      <c r="M80" s="200"/>
      <c r="N80" s="200"/>
      <c r="O80" s="200"/>
      <c r="P80" s="933"/>
      <c r="Q80" s="200"/>
      <c r="R80" s="200"/>
      <c r="S80" s="200"/>
      <c r="T80" s="200"/>
      <c r="U80" s="933"/>
      <c r="V80" s="200"/>
      <c r="W80" s="200"/>
      <c r="X80" s="200"/>
      <c r="Y80" s="200"/>
      <c r="Z80" s="933"/>
      <c r="AA80" s="847">
        <v>19699</v>
      </c>
      <c r="AB80" s="847">
        <v>21152</v>
      </c>
      <c r="AC80" s="847">
        <v>23135</v>
      </c>
      <c r="AD80" s="847">
        <v>26004</v>
      </c>
      <c r="AE80" s="934">
        <f>SUM(AE78:AE79)</f>
      </c>
      <c r="AF80" s="847">
        <v>29339</v>
      </c>
      <c r="AG80" s="847">
        <v>31317</v>
      </c>
      <c r="AH80" s="847">
        <v>33836</v>
      </c>
      <c r="AI80" s="847">
        <v>37818</v>
      </c>
      <c r="AJ80" s="934">
        <f>SUM(AJ78:AJ79)</f>
      </c>
      <c r="AK80" s="847">
        <v>42542</v>
      </c>
      <c r="AL80" s="847">
        <v>44229</v>
      </c>
      <c r="AM80" s="847">
        <v>47355</v>
      </c>
      <c r="AN80" s="847">
        <v>51778</v>
      </c>
      <c r="AO80" s="934">
        <f>SUM(AO78:AO79)</f>
      </c>
      <c r="AP80" s="847">
        <v>58734</v>
      </c>
      <c r="AQ80" s="847">
        <v>61483</v>
      </c>
      <c r="AR80" s="847">
        <v>62242</v>
      </c>
      <c r="AS80" s="847">
        <v>66698</v>
      </c>
      <c r="AT80" s="934">
        <f>SUM(AT78:AT79)</f>
      </c>
      <c r="AU80" s="847">
        <v>68508</v>
      </c>
      <c r="AV80" s="847">
        <v>68696</v>
      </c>
      <c r="AW80" s="847">
        <v>70500</v>
      </c>
      <c r="AX80" s="847">
        <v>74036</v>
      </c>
      <c r="AY80" s="934">
        <f>SUM(AY78:AY79)</f>
      </c>
      <c r="AZ80" s="847">
        <v>73733</v>
      </c>
      <c r="BA80" s="847">
        <v>72966</v>
      </c>
      <c r="BB80" s="847">
        <v>73534</v>
      </c>
      <c r="BC80" s="847">
        <v>76729</v>
      </c>
      <c r="BD80" s="934">
        <f>SUM(BD78:BD79)</f>
      </c>
      <c r="BE80" s="847">
        <v>77373</v>
      </c>
      <c r="BF80" s="847">
        <v>79807</v>
      </c>
      <c r="BG80" s="847">
        <v>83760</v>
      </c>
      <c r="BH80" s="847">
        <v>88813</v>
      </c>
      <c r="BI80" s="934">
        <f>SUM(BI78:BI79)</f>
      </c>
      <c r="BJ80" s="847">
        <v>91729</v>
      </c>
      <c r="BK80" s="851">
        <v>93964</v>
      </c>
      <c r="BL80" s="847">
        <v>96131</v>
      </c>
      <c r="BM80" s="847">
        <v>101133</v>
      </c>
      <c r="BN80" s="934">
        <f>SUM(BN78:BN79)</f>
      </c>
      <c r="BO80" s="847">
        <v>100000</v>
      </c>
      <c r="BP80" s="851">
        <v>102000</v>
      </c>
      <c r="BQ80" s="847">
        <v>105000</v>
      </c>
      <c r="BR80" s="847">
        <v>108000</v>
      </c>
      <c r="BS80" s="934">
        <f>SUM(BS78:BS79)</f>
      </c>
      <c r="BT80" s="852">
        <v>109000</v>
      </c>
      <c r="BU80" s="200">
        <f t="shared" ref="BU80:CF80" si="131">SUM(BU78:BU79)</f>
      </c>
      <c r="BV80" s="200">
        <f t="shared" si="131"/>
      </c>
      <c r="BW80" s="200">
        <f t="shared" si="131"/>
      </c>
      <c r="BX80" s="933">
        <f t="shared" si="131"/>
      </c>
      <c r="BY80" s="200">
        <f t="shared" si="131"/>
      </c>
      <c r="BZ80" s="200">
        <f t="shared" si="131"/>
      </c>
      <c r="CA80" s="200">
        <f t="shared" si="131"/>
      </c>
      <c r="CB80" s="200">
        <f t="shared" si="131"/>
      </c>
      <c r="CC80" s="933">
        <f t="shared" si="131"/>
      </c>
      <c r="CD80" s="933">
        <f t="shared" si="131"/>
      </c>
      <c r="CE80" s="933">
        <f t="shared" si="131"/>
      </c>
      <c r="CF80" s="933">
        <f t="shared" si="131"/>
      </c>
      <c r="CG80" s="24"/>
    </row>
    <row r="81" spans="1:85" s="589" customFormat="1" hidden="1" outlineLevel="1" x14ac:dyDescent="0.3">
      <c r="A81" s="310" t="s">
        <v>547</v>
      </c>
      <c r="B81" s="309"/>
      <c r="C81" s="935"/>
      <c r="D81" s="935"/>
      <c r="E81" s="935"/>
      <c r="F81" s="935"/>
      <c r="G81" s="58"/>
      <c r="H81" s="58"/>
      <c r="I81" s="58"/>
      <c r="J81" s="58"/>
      <c r="K81" s="935"/>
      <c r="L81" s="58"/>
      <c r="M81" s="58"/>
      <c r="N81" s="58"/>
      <c r="O81" s="58"/>
      <c r="P81" s="935"/>
      <c r="Q81" s="58"/>
      <c r="R81" s="58"/>
      <c r="S81" s="58"/>
      <c r="T81" s="58"/>
      <c r="U81" s="935"/>
      <c r="V81" s="58"/>
      <c r="W81" s="58"/>
      <c r="X81" s="58"/>
      <c r="Y81" s="58"/>
      <c r="Z81" s="935"/>
      <c r="AA81" s="58"/>
      <c r="AB81" s="308">
        <f>AB80/AA80-1</f>
      </c>
      <c r="AC81" s="308">
        <f>AC80/AB80-1</f>
      </c>
      <c r="AD81" s="308">
        <f>AD80/AC80-1</f>
      </c>
      <c r="AE81" s="935"/>
      <c r="AF81" s="308">
        <f>AF80/AD80-1</f>
      </c>
      <c r="AG81" s="308">
        <f>AG80/AF80-1</f>
      </c>
      <c r="AH81" s="308">
        <f>AH80/AG80-1</f>
      </c>
      <c r="AI81" s="308">
        <f>AI80/AH80-1</f>
      </c>
      <c r="AJ81" s="935"/>
      <c r="AK81" s="308">
        <f>AK80/AI80-1</f>
      </c>
      <c r="AL81" s="308">
        <f>AL80/AK80-1</f>
      </c>
      <c r="AM81" s="308">
        <f>AM80/AL80-1</f>
      </c>
      <c r="AN81" s="308">
        <f>AN80/AM80-1</f>
      </c>
      <c r="AO81" s="935"/>
      <c r="AP81" s="308">
        <f>AP80/AN80-1</f>
      </c>
      <c r="AQ81" s="308">
        <f>AQ80/AP80-1</f>
      </c>
      <c r="AR81" s="308">
        <f>AR80/AQ80-1</f>
      </c>
      <c r="AS81" s="308">
        <f>AS80/AR80-1</f>
      </c>
      <c r="AT81" s="935"/>
      <c r="AU81" s="308">
        <f>AU80/AS80-1</f>
      </c>
      <c r="AV81" s="308">
        <f>AV80/AU80-1</f>
      </c>
      <c r="AW81" s="308">
        <f>AW80/AV80-1</f>
      </c>
      <c r="AX81" s="308">
        <f>AX80/AW80-1</f>
      </c>
      <c r="AY81" s="935"/>
      <c r="AZ81" s="308">
        <f>AZ80/AX80-1</f>
      </c>
      <c r="BA81" s="308">
        <f>BA80/AZ80-1</f>
      </c>
      <c r="BB81" s="308">
        <f>BB80/BA80-1</f>
      </c>
      <c r="BC81" s="308">
        <f>BC80/BB80-1</f>
      </c>
      <c r="BD81" s="935"/>
      <c r="BE81" s="308">
        <f>BE80/BC80-1</f>
      </c>
      <c r="BF81" s="308">
        <f>BF80/BE80-1</f>
      </c>
      <c r="BG81" s="308">
        <f>BG80/BF80-1</f>
      </c>
      <c r="BH81" s="308">
        <f>BH80/BG80-1</f>
      </c>
      <c r="BI81" s="935"/>
      <c r="BJ81" s="308">
        <f>BJ80/BH80-1</f>
      </c>
      <c r="BK81" s="308">
        <f>BK80/BJ80-1</f>
      </c>
      <c r="BL81" s="308">
        <f>BL80/BK80-1</f>
      </c>
      <c r="BM81" s="308">
        <f>BM80/BL80-1</f>
      </c>
      <c r="BN81" s="935"/>
      <c r="BO81" s="308">
        <f>BO80/BM80-1</f>
      </c>
      <c r="BP81" s="308">
        <f>BP80/BO80-1</f>
      </c>
      <c r="BQ81" s="308">
        <f>BQ80/BP80-1</f>
      </c>
      <c r="BR81" s="308">
        <f>BR80/BQ80-1</f>
      </c>
      <c r="BS81" s="935"/>
      <c r="BT81" s="663">
        <f>BT80/BR80-1</f>
      </c>
      <c r="BU81" s="853">
        <v>0.02</v>
      </c>
      <c r="BV81" s="853">
        <v>0.03</v>
      </c>
      <c r="BW81" s="853">
        <v>0.02</v>
      </c>
      <c r="BX81" s="935"/>
      <c r="BY81" s="853">
        <v>0.02</v>
      </c>
      <c r="BZ81" s="853">
        <v>0.01</v>
      </c>
      <c r="CA81" s="853">
        <v>0.02</v>
      </c>
      <c r="CB81" s="853">
        <v>5.0000000000000001E-3</v>
      </c>
      <c r="CC81" s="935"/>
      <c r="CD81" s="935"/>
      <c r="CE81" s="935"/>
      <c r="CF81" s="935"/>
      <c r="CG81" s="24"/>
    </row>
    <row r="82" spans="1:85" s="583" customFormat="1" hidden="1" outlineLevel="1" x14ac:dyDescent="0.3">
      <c r="A82" s="767" t="s">
        <v>546</v>
      </c>
      <c r="B82" s="305"/>
      <c r="C82" s="936"/>
      <c r="D82" s="936"/>
      <c r="E82" s="936"/>
      <c r="F82" s="936"/>
      <c r="G82" s="446"/>
      <c r="H82" s="446"/>
      <c r="I82" s="446"/>
      <c r="J82" s="446"/>
      <c r="K82" s="936"/>
      <c r="L82" s="446"/>
      <c r="M82" s="446"/>
      <c r="N82" s="446"/>
      <c r="O82" s="446"/>
      <c r="P82" s="936"/>
      <c r="Q82" s="446"/>
      <c r="R82" s="446"/>
      <c r="S82" s="446"/>
      <c r="T82" s="446"/>
      <c r="U82" s="936"/>
      <c r="V82" s="446"/>
      <c r="W82" s="446"/>
      <c r="X82" s="446"/>
      <c r="Y82" s="446"/>
      <c r="Z82" s="936"/>
      <c r="AA82" s="446"/>
      <c r="AB82" s="446"/>
      <c r="AC82" s="446"/>
      <c r="AD82" s="446"/>
      <c r="AE82" s="936"/>
      <c r="AF82" s="446">
        <f t="shared" ref="AF82:AW82" si="132">+AF80/AA80-1</f>
      </c>
      <c r="AG82" s="446">
        <f t="shared" si="132"/>
      </c>
      <c r="AH82" s="446">
        <f t="shared" si="132"/>
      </c>
      <c r="AI82" s="446">
        <f t="shared" si="132"/>
      </c>
      <c r="AJ82" s="936">
        <f t="shared" si="132"/>
      </c>
      <c r="AK82" s="446">
        <f t="shared" si="132"/>
      </c>
      <c r="AL82" s="446">
        <f t="shared" si="132"/>
      </c>
      <c r="AM82" s="446">
        <f t="shared" si="132"/>
      </c>
      <c r="AN82" s="446">
        <f t="shared" si="132"/>
      </c>
      <c r="AO82" s="936">
        <f t="shared" si="132"/>
      </c>
      <c r="AP82" s="446">
        <f t="shared" si="132"/>
      </c>
      <c r="AQ82" s="446">
        <f t="shared" si="132"/>
      </c>
      <c r="AR82" s="446">
        <f t="shared" si="132"/>
      </c>
      <c r="AS82" s="446">
        <f t="shared" si="132"/>
      </c>
      <c r="AT82" s="936">
        <f t="shared" si="132"/>
      </c>
      <c r="AU82" s="446">
        <f t="shared" si="132"/>
      </c>
      <c r="AV82" s="446">
        <f t="shared" si="132"/>
      </c>
      <c r="AW82" s="619">
        <f t="shared" si="132"/>
      </c>
      <c r="AX82" s="446">
        <f t="shared" ref="AX82:BD82" si="133">+AX80/AS80-1</f>
      </c>
      <c r="AY82" s="936">
        <f t="shared" si="133"/>
      </c>
      <c r="AZ82" s="446">
        <f t="shared" si="133"/>
      </c>
      <c r="BA82" s="446">
        <f t="shared" si="133"/>
      </c>
      <c r="BB82" s="619">
        <f t="shared" si="133"/>
      </c>
      <c r="BC82" s="446">
        <f t="shared" si="133"/>
      </c>
      <c r="BD82" s="936">
        <f t="shared" si="133"/>
      </c>
      <c r="BE82" s="446">
        <f t="shared" ref="BE82:BI82" si="134">+BE80/AZ80-1</f>
      </c>
      <c r="BF82" s="446">
        <f t="shared" si="134"/>
      </c>
      <c r="BG82" s="619">
        <f t="shared" si="134"/>
      </c>
      <c r="BH82" s="446">
        <f t="shared" si="134"/>
      </c>
      <c r="BI82" s="936">
        <f t="shared" si="134"/>
      </c>
      <c r="BJ82" s="446">
        <f t="shared" ref="BJ82:BX82" si="135">+BJ80/BE80-1</f>
      </c>
      <c r="BK82" s="446">
        <f t="shared" si="135"/>
      </c>
      <c r="BL82" s="619">
        <f t="shared" si="135"/>
      </c>
      <c r="BM82" s="446">
        <f t="shared" si="135"/>
      </c>
      <c r="BN82" s="936">
        <f t="shared" si="135"/>
      </c>
      <c r="BO82" s="446">
        <f t="shared" ref="BO82:BW82" si="136">+BO80/BJ80-1</f>
      </c>
      <c r="BP82" s="446">
        <f t="shared" si="136"/>
      </c>
      <c r="BQ82" s="619">
        <f t="shared" si="136"/>
      </c>
      <c r="BR82" s="446">
        <f t="shared" si="136"/>
      </c>
      <c r="BS82" s="936">
        <f t="shared" si="136"/>
      </c>
      <c r="BT82" s="665">
        <f>+BT80/BO80-1</f>
      </c>
      <c r="BU82" s="446">
        <f t="shared" si="136"/>
      </c>
      <c r="BV82" s="446">
        <f t="shared" si="136"/>
      </c>
      <c r="BW82" s="446">
        <f t="shared" si="136"/>
      </c>
      <c r="BX82" s="936">
        <f t="shared" si="135"/>
      </c>
      <c r="BY82" s="446">
        <f>+BY80/BT80-1</f>
      </c>
      <c r="BZ82" s="446">
        <f>+BZ80/BU80-1</f>
      </c>
      <c r="CA82" s="446">
        <f>+CA80/BV80-1</f>
      </c>
      <c r="CB82" s="446">
        <f>+CB80/BW80-1</f>
      </c>
      <c r="CC82" s="936">
        <f>+CC80/BX80-1</f>
      </c>
      <c r="CD82" s="955">
        <v>3.5000000000000003E-2</v>
      </c>
      <c r="CE82" s="955">
        <v>0.02</v>
      </c>
      <c r="CF82" s="955">
        <v>3.5000000000000003E-2</v>
      </c>
      <c r="CG82" s="308"/>
    </row>
    <row r="83" spans="1:85" ht="7.5" hidden="1" customHeight="1" outlineLevel="1" x14ac:dyDescent="0.3">
      <c r="A83" s="239"/>
      <c r="B83" s="240"/>
      <c r="C83" s="938"/>
      <c r="D83" s="938"/>
      <c r="E83" s="938"/>
      <c r="F83" s="938"/>
      <c r="G83" s="241"/>
      <c r="H83" s="241"/>
      <c r="I83" s="241"/>
      <c r="J83" s="241"/>
      <c r="K83" s="938"/>
      <c r="L83" s="241"/>
      <c r="M83" s="241"/>
      <c r="N83" s="241"/>
      <c r="O83" s="241"/>
      <c r="P83" s="938"/>
      <c r="Q83" s="241"/>
      <c r="R83" s="241"/>
      <c r="S83" s="241"/>
      <c r="T83" s="241"/>
      <c r="U83" s="938"/>
      <c r="V83" s="241"/>
      <c r="W83" s="241"/>
      <c r="X83" s="241"/>
      <c r="Y83" s="241"/>
      <c r="Z83" s="938"/>
      <c r="AA83" s="241"/>
      <c r="AB83" s="241"/>
      <c r="AC83" s="241"/>
      <c r="AD83" s="241"/>
      <c r="AE83" s="938"/>
      <c r="AF83" s="241"/>
      <c r="AG83" s="241"/>
      <c r="AH83" s="241"/>
      <c r="AI83" s="241"/>
      <c r="AJ83" s="938"/>
      <c r="AK83" s="241"/>
      <c r="AL83" s="241"/>
      <c r="AM83" s="241"/>
      <c r="AN83" s="241"/>
      <c r="AO83" s="938"/>
      <c r="AP83" s="241"/>
      <c r="AQ83" s="241"/>
      <c r="AR83" s="241"/>
      <c r="AS83" s="241"/>
      <c r="AT83" s="938"/>
      <c r="AU83" s="241"/>
      <c r="AV83" s="241"/>
      <c r="AW83" s="241"/>
      <c r="AX83" s="241"/>
      <c r="AY83" s="938"/>
      <c r="AZ83" s="241"/>
      <c r="BA83" s="241"/>
      <c r="BB83" s="241"/>
      <c r="BC83" s="241"/>
      <c r="BD83" s="938"/>
      <c r="BE83" s="241"/>
      <c r="BF83" s="241"/>
      <c r="BG83" s="241"/>
      <c r="BH83" s="241"/>
      <c r="BI83" s="938"/>
      <c r="BJ83" s="241"/>
      <c r="BK83" s="241"/>
      <c r="BL83" s="241"/>
      <c r="BM83" s="241"/>
      <c r="BN83" s="938"/>
      <c r="BO83" s="241"/>
      <c r="BP83" s="241"/>
      <c r="BQ83" s="241"/>
      <c r="BR83" s="241"/>
      <c r="BS83" s="938"/>
      <c r="BT83" s="666"/>
      <c r="BU83" s="241"/>
      <c r="BV83" s="241"/>
      <c r="BW83" s="241"/>
      <c r="BX83" s="938"/>
      <c r="BY83" s="241"/>
      <c r="BZ83" s="241"/>
      <c r="CA83" s="241"/>
      <c r="CB83" s="241"/>
      <c r="CC83" s="938"/>
      <c r="CD83" s="938"/>
      <c r="CE83" s="938"/>
      <c r="CF83" s="938"/>
      <c r="CG83" s="191"/>
    </row>
    <row r="84" spans="1:85" s="582" customFormat="1" hidden="1" outlineLevel="1" x14ac:dyDescent="0.3">
      <c r="A84" s="255" t="s">
        <v>639</v>
      </c>
      <c r="B84" s="392"/>
      <c r="C84" s="956"/>
      <c r="D84" s="956"/>
      <c r="E84" s="956"/>
      <c r="F84" s="956"/>
      <c r="G84" s="257"/>
      <c r="H84" s="257"/>
      <c r="I84" s="257"/>
      <c r="J84" s="257"/>
      <c r="K84" s="956"/>
      <c r="L84" s="257"/>
      <c r="M84" s="257"/>
      <c r="N84" s="257"/>
      <c r="O84" s="257"/>
      <c r="P84" s="956"/>
      <c r="Q84" s="257"/>
      <c r="R84" s="257"/>
      <c r="S84" s="257"/>
      <c r="T84" s="257"/>
      <c r="U84" s="956"/>
      <c r="V84" s="257"/>
      <c r="W84" s="257"/>
      <c r="X84" s="257"/>
      <c r="Y84" s="257"/>
      <c r="Z84" s="956"/>
      <c r="AA84" s="854">
        <v>18765</v>
      </c>
      <c r="AB84" s="257">
        <f>AVERAGE(AB80,AB78)</f>
      </c>
      <c r="AC84" s="257">
        <f>AVERAGE(AC80,AC78)</f>
      </c>
      <c r="AD84" s="257">
        <f>AVERAGE(AD80,AD78)</f>
      </c>
      <c r="AE84" s="956">
        <f>AVERAGE(AA84,AB84,AC84,AD84)</f>
      </c>
      <c r="AF84" s="257">
        <f>AVERAGE(AF80,AF78)</f>
      </c>
      <c r="AG84" s="257">
        <f>AVERAGE(AG80,AG78)</f>
      </c>
      <c r="AH84" s="257">
        <f>AVERAGE(AH80,AH78)</f>
      </c>
      <c r="AI84" s="257">
        <f>AVERAGE(AI80,AI78)</f>
      </c>
      <c r="AJ84" s="956">
        <f>AVERAGE(AF84,AG84,AH84,AI84)</f>
      </c>
      <c r="AK84" s="257">
        <f>AVERAGE(AK80,AK78)</f>
      </c>
      <c r="AL84" s="257">
        <f>AVERAGE(AL80,AL78)</f>
      </c>
      <c r="AM84" s="257">
        <f>AVERAGE(AM80,AM78)</f>
      </c>
      <c r="AN84" s="257">
        <f>AVERAGE(AN80,AN78)</f>
      </c>
      <c r="AO84" s="956">
        <f>AVERAGE(AK84,AL84,AM84,AN84)</f>
      </c>
      <c r="AP84" s="257">
        <f>AVERAGE(AP80,AP78)</f>
      </c>
      <c r="AQ84" s="257">
        <f>AVERAGE(AQ80,AQ78)</f>
      </c>
      <c r="AR84" s="257">
        <f>AVERAGE(AR80,AR78)</f>
      </c>
      <c r="AS84" s="257">
        <f>AVERAGE(AS80,AS78)</f>
      </c>
      <c r="AT84" s="956">
        <f>AVERAGE(AP84,AQ84,AR84,AS84)</f>
      </c>
      <c r="AU84" s="257">
        <f>AVERAGE(AU80,AU78)</f>
      </c>
      <c r="AV84" s="257">
        <f>AVERAGE(AV80,AV78)</f>
      </c>
      <c r="AW84" s="257">
        <f>AVERAGE(AW80,AW78)</f>
      </c>
      <c r="AX84" s="257">
        <f>AVERAGE(AX80,AX78)</f>
      </c>
      <c r="AY84" s="956">
        <f>AVERAGE(AU84,AV84,AW84,AX84)</f>
      </c>
      <c r="AZ84" s="257">
        <f>AVERAGE(AZ80,AZ78)</f>
      </c>
      <c r="BA84" s="257">
        <f>AVERAGE(BA80,BA78)</f>
      </c>
      <c r="BB84" s="257">
        <f>AVERAGE(BB80,BB78)</f>
      </c>
      <c r="BC84" s="257">
        <f>AVERAGE(BC80,BC78)</f>
      </c>
      <c r="BD84" s="956">
        <f>AVERAGE(AZ84,BA84,BB84,BC84)</f>
      </c>
      <c r="BE84" s="257">
        <f>AVERAGE(BE80,BE78)</f>
      </c>
      <c r="BF84" s="257">
        <f>AVERAGE(BF80,BF78)</f>
      </c>
      <c r="BG84" s="257">
        <f>AVERAGE(BG80,BG78)</f>
      </c>
      <c r="BH84" s="257">
        <f>AVERAGE(BH80,BH78)</f>
      </c>
      <c r="BI84" s="956">
        <f>AVERAGE(BE84,BF84,BG84,BH84)</f>
      </c>
      <c r="BJ84" s="257">
        <f>AVERAGE(BJ80,BJ78)</f>
      </c>
      <c r="BK84" s="257">
        <f>AVERAGE(BK80,BK78)</f>
      </c>
      <c r="BL84" s="257">
        <f>AVERAGE(BL80,BL78)</f>
      </c>
      <c r="BM84" s="257">
        <f>AVERAGE(BM80,BM78)</f>
      </c>
      <c r="BN84" s="956">
        <f>AVERAGE(BJ84,BK84,BL84,BM84)</f>
      </c>
      <c r="BO84" s="257">
        <f>AVERAGE(BO80,BO78)</f>
      </c>
      <c r="BP84" s="257">
        <f>AVERAGE(BP80,BP78)</f>
      </c>
      <c r="BQ84" s="257">
        <f>AVERAGE(BQ80,BQ78)</f>
      </c>
      <c r="BR84" s="257">
        <f>AVERAGE(BR80,BR78)</f>
      </c>
      <c r="BS84" s="956">
        <f>AVERAGE(BO84,BP84,BQ84,BR84)</f>
      </c>
      <c r="BT84" s="671">
        <f>AVERAGE(BT80,BT78)</f>
      </c>
      <c r="BU84" s="257">
        <f>AVERAGE(BU80,BU78)</f>
      </c>
      <c r="BV84" s="257">
        <f>AVERAGE(BV80,BV78)</f>
      </c>
      <c r="BW84" s="257">
        <f>AVERAGE(BW80,BW78)</f>
      </c>
      <c r="BX84" s="956">
        <f>AVERAGE(BT84,BU84,BV84,BW84)</f>
      </c>
      <c r="BY84" s="257">
        <f>AVERAGE(BY80,BY78)</f>
      </c>
      <c r="BZ84" s="257">
        <f>AVERAGE(BZ80,BZ78)</f>
      </c>
      <c r="CA84" s="257">
        <f>AVERAGE(CA80,CA78)</f>
      </c>
      <c r="CB84" s="257">
        <f>AVERAGE(CB80,CB78)</f>
      </c>
      <c r="CC84" s="956">
        <f>AVERAGE(BY84,BZ84,CA84,CB84)</f>
      </c>
      <c r="CD84" s="956">
        <f>AVERAGE(CD80,CD78)</f>
      </c>
      <c r="CE84" s="956">
        <f>AVERAGE(CE80,CE78)</f>
      </c>
      <c r="CF84" s="956">
        <f>AVERAGE(CF80,CF78)</f>
      </c>
      <c r="CG84" s="131"/>
    </row>
    <row r="85" spans="1:85" s="582" customFormat="1" hidden="1" outlineLevel="1" x14ac:dyDescent="0.3">
      <c r="A85" s="327" t="s">
        <v>643</v>
      </c>
      <c r="B85" s="366"/>
      <c r="C85" s="936"/>
      <c r="D85" s="936"/>
      <c r="E85" s="936"/>
      <c r="F85" s="936"/>
      <c r="G85" s="446"/>
      <c r="H85" s="446"/>
      <c r="I85" s="446"/>
      <c r="J85" s="446"/>
      <c r="K85" s="936"/>
      <c r="L85" s="446"/>
      <c r="M85" s="446"/>
      <c r="N85" s="446"/>
      <c r="O85" s="446"/>
      <c r="P85" s="936"/>
      <c r="Q85" s="446"/>
      <c r="R85" s="446"/>
      <c r="S85" s="446"/>
      <c r="T85" s="446"/>
      <c r="U85" s="936"/>
      <c r="V85" s="446"/>
      <c r="W85" s="446"/>
      <c r="X85" s="446"/>
      <c r="Y85" s="446"/>
      <c r="Z85" s="936"/>
      <c r="AA85" s="446"/>
      <c r="AB85" s="446">
        <f>AB84/AA84-1</f>
      </c>
      <c r="AC85" s="446">
        <f>AC84/AB84-1</f>
      </c>
      <c r="AD85" s="446">
        <f>AD84/AC84-1</f>
      </c>
      <c r="AE85" s="936"/>
      <c r="AF85" s="446">
        <f>AF84/AD84-1</f>
      </c>
      <c r="AG85" s="446">
        <f>AG84/AF84-1</f>
      </c>
      <c r="AH85" s="446">
        <f>AH84/AG84-1</f>
      </c>
      <c r="AI85" s="446">
        <f>AI84/AH84-1</f>
      </c>
      <c r="AJ85" s="936"/>
      <c r="AK85" s="446">
        <f>AK84/AI84-1</f>
      </c>
      <c r="AL85" s="446">
        <f>AL84/AK84-1</f>
      </c>
      <c r="AM85" s="446">
        <f>AM84/AL84-1</f>
      </c>
      <c r="AN85" s="446">
        <f>AN84/AM84-1</f>
      </c>
      <c r="AO85" s="936"/>
      <c r="AP85" s="446">
        <f>AP84/AN84-1</f>
      </c>
      <c r="AQ85" s="446">
        <f>AQ84/AP84-1</f>
      </c>
      <c r="AR85" s="446">
        <f>AR84/AQ84-1</f>
      </c>
      <c r="AS85" s="446">
        <f>AS84/AR84-1</f>
      </c>
      <c r="AT85" s="936"/>
      <c r="AU85" s="446">
        <f>AU84/AS84-1</f>
      </c>
      <c r="AV85" s="446">
        <f>AV84/AU84-1</f>
      </c>
      <c r="AW85" s="446">
        <f>AW84/AV84-1</f>
      </c>
      <c r="AX85" s="446">
        <f>AX84/AW84-1</f>
      </c>
      <c r="AY85" s="936"/>
      <c r="AZ85" s="446">
        <f>AZ84/AX84-1</f>
      </c>
      <c r="BA85" s="446">
        <f>BA84/AZ84-1</f>
      </c>
      <c r="BB85" s="446">
        <f>BB84/BA84-1</f>
      </c>
      <c r="BC85" s="446">
        <f>BC84/BB84-1</f>
      </c>
      <c r="BD85" s="936"/>
      <c r="BE85" s="446">
        <f>BE84/BC84-1</f>
      </c>
      <c r="BF85" s="446">
        <f>BF84/BE84-1</f>
      </c>
      <c r="BG85" s="446">
        <f>BG84/BF84-1</f>
      </c>
      <c r="BH85" s="446">
        <f>BH84/BG84-1</f>
      </c>
      <c r="BI85" s="936"/>
      <c r="BJ85" s="446">
        <f>BJ84/BH84-1</f>
      </c>
      <c r="BK85" s="446">
        <f>BK84/BJ84-1</f>
      </c>
      <c r="BL85" s="446">
        <f>BL84/BK84-1</f>
      </c>
      <c r="BM85" s="446">
        <f>BM84/BL84-1</f>
      </c>
      <c r="BN85" s="936"/>
      <c r="BO85" s="446">
        <f>BO84/BM84-1</f>
      </c>
      <c r="BP85" s="446">
        <f>BP84/BO84-1</f>
      </c>
      <c r="BQ85" s="446">
        <f>BQ84/BP84-1</f>
      </c>
      <c r="BR85" s="446">
        <f>BR84/BQ84-1</f>
      </c>
      <c r="BS85" s="936"/>
      <c r="BT85" s="665">
        <f>BT84/BR84-1</f>
      </c>
      <c r="BU85" s="446">
        <f>BU84/BT84-1</f>
      </c>
      <c r="BV85" s="446">
        <f>BV84/BU84-1</f>
      </c>
      <c r="BW85" s="446">
        <f>BW84/BV84-1</f>
      </c>
      <c r="BX85" s="936"/>
      <c r="BY85" s="446">
        <f>BY84/BW84-1</f>
      </c>
      <c r="BZ85" s="446">
        <f>BZ84/BY84-1</f>
      </c>
      <c r="CA85" s="446">
        <f>CA84/BZ84-1</f>
      </c>
      <c r="CB85" s="446">
        <f>CB84/CA84-1</f>
      </c>
      <c r="CC85" s="936"/>
      <c r="CD85" s="936"/>
      <c r="CE85" s="936"/>
      <c r="CF85" s="936"/>
      <c r="CG85" s="24"/>
    </row>
    <row r="86" spans="1:85" s="590" customFormat="1" hidden="1" outlineLevel="1" x14ac:dyDescent="0.3">
      <c r="A86" s="69" t="s">
        <v>644</v>
      </c>
      <c r="B86" s="305"/>
      <c r="C86" s="936"/>
      <c r="D86" s="936"/>
      <c r="E86" s="936"/>
      <c r="F86" s="936"/>
      <c r="G86" s="446"/>
      <c r="H86" s="446"/>
      <c r="I86" s="446"/>
      <c r="J86" s="446"/>
      <c r="K86" s="936"/>
      <c r="L86" s="446"/>
      <c r="M86" s="446"/>
      <c r="N86" s="446"/>
      <c r="O86" s="446"/>
      <c r="P86" s="936"/>
      <c r="Q86" s="446"/>
      <c r="R86" s="446"/>
      <c r="S86" s="446"/>
      <c r="T86" s="446"/>
      <c r="U86" s="936"/>
      <c r="V86" s="446"/>
      <c r="W86" s="446"/>
      <c r="X86" s="446"/>
      <c r="Y86" s="446"/>
      <c r="Z86" s="936"/>
      <c r="AA86" s="446"/>
      <c r="AB86" s="446"/>
      <c r="AC86" s="446"/>
      <c r="AD86" s="446"/>
      <c r="AE86" s="936"/>
      <c r="AF86" s="446">
        <f t="shared" ref="AF86:AW86" si="137">AF84/AA84-1</f>
      </c>
      <c r="AG86" s="446">
        <f t="shared" si="137"/>
      </c>
      <c r="AH86" s="446">
        <f t="shared" si="137"/>
      </c>
      <c r="AI86" s="446">
        <f t="shared" si="137"/>
      </c>
      <c r="AJ86" s="936">
        <f t="shared" si="137"/>
      </c>
      <c r="AK86" s="446">
        <f t="shared" si="137"/>
      </c>
      <c r="AL86" s="446">
        <f t="shared" si="137"/>
      </c>
      <c r="AM86" s="446">
        <f t="shared" si="137"/>
      </c>
      <c r="AN86" s="446">
        <f t="shared" si="137"/>
      </c>
      <c r="AO86" s="936">
        <f t="shared" si="137"/>
      </c>
      <c r="AP86" s="446">
        <f t="shared" si="137"/>
      </c>
      <c r="AQ86" s="446">
        <f t="shared" si="137"/>
      </c>
      <c r="AR86" s="446">
        <f t="shared" si="137"/>
      </c>
      <c r="AS86" s="446">
        <f t="shared" si="137"/>
      </c>
      <c r="AT86" s="936">
        <f t="shared" si="137"/>
      </c>
      <c r="AU86" s="446">
        <f t="shared" si="137"/>
      </c>
      <c r="AV86" s="446">
        <f t="shared" si="137"/>
      </c>
      <c r="AW86" s="446">
        <f t="shared" si="137"/>
      </c>
      <c r="AX86" s="446">
        <f t="shared" ref="AX86:BD86" si="138">AX84/AS84-1</f>
      </c>
      <c r="AY86" s="936">
        <f t="shared" si="138"/>
      </c>
      <c r="AZ86" s="446">
        <f t="shared" si="138"/>
      </c>
      <c r="BA86" s="446">
        <f t="shared" si="138"/>
      </c>
      <c r="BB86" s="446">
        <f t="shared" si="138"/>
      </c>
      <c r="BC86" s="446">
        <f t="shared" si="138"/>
      </c>
      <c r="BD86" s="936">
        <f t="shared" si="138"/>
      </c>
      <c r="BE86" s="446">
        <f t="shared" ref="BE86:BI86" si="139">BE84/AZ84-1</f>
      </c>
      <c r="BF86" s="446">
        <f t="shared" si="139"/>
      </c>
      <c r="BG86" s="446">
        <f t="shared" si="139"/>
      </c>
      <c r="BH86" s="446">
        <f t="shared" si="139"/>
      </c>
      <c r="BI86" s="936">
        <f t="shared" si="139"/>
      </c>
      <c r="BJ86" s="446">
        <f t="shared" ref="BJ86:BX86" si="140">BJ84/BE84-1</f>
      </c>
      <c r="BK86" s="446">
        <f t="shared" si="140"/>
      </c>
      <c r="BL86" s="446">
        <f t="shared" si="140"/>
      </c>
      <c r="BM86" s="446">
        <f t="shared" si="140"/>
      </c>
      <c r="BN86" s="936">
        <f t="shared" si="140"/>
      </c>
      <c r="BO86" s="446">
        <f t="shared" ref="BO86:BW86" si="141">BO84/BJ84-1</f>
      </c>
      <c r="BP86" s="446">
        <f t="shared" si="141"/>
      </c>
      <c r="BQ86" s="446">
        <f t="shared" si="141"/>
      </c>
      <c r="BR86" s="446">
        <f t="shared" si="141"/>
      </c>
      <c r="BS86" s="936">
        <f t="shared" si="141"/>
      </c>
      <c r="BT86" s="665">
        <f>BT84/BO84-1</f>
      </c>
      <c r="BU86" s="446">
        <f t="shared" si="141"/>
      </c>
      <c r="BV86" s="446">
        <f t="shared" si="141"/>
      </c>
      <c r="BW86" s="446">
        <f t="shared" si="141"/>
      </c>
      <c r="BX86" s="936">
        <f t="shared" si="140"/>
      </c>
      <c r="BY86" s="446">
        <f>BY84/BT84-1</f>
      </c>
      <c r="BZ86" s="446">
        <f>BZ84/BU84-1</f>
      </c>
      <c r="CA86" s="446">
        <f>CA84/BV84-1</f>
      </c>
      <c r="CB86" s="446">
        <f>CB84/BW84-1</f>
      </c>
      <c r="CC86" s="936">
        <f>CC84/BX84-1</f>
      </c>
      <c r="CD86" s="936">
        <f>CD84/CC84-1</f>
      </c>
      <c r="CE86" s="936">
        <f>CE84/CD84-1</f>
      </c>
      <c r="CF86" s="936">
        <f>CF84/CE84-1</f>
      </c>
      <c r="CG86" s="308"/>
    </row>
    <row r="87" spans="1:85" ht="7.5" hidden="1" customHeight="1" outlineLevel="1" x14ac:dyDescent="0.3">
      <c r="A87" s="239"/>
      <c r="B87" s="240"/>
      <c r="C87" s="938"/>
      <c r="D87" s="938"/>
      <c r="E87" s="938"/>
      <c r="F87" s="938"/>
      <c r="G87" s="241"/>
      <c r="H87" s="241"/>
      <c r="I87" s="241"/>
      <c r="J87" s="241"/>
      <c r="K87" s="938"/>
      <c r="L87" s="241"/>
      <c r="M87" s="241"/>
      <c r="N87" s="241"/>
      <c r="O87" s="241"/>
      <c r="P87" s="938"/>
      <c r="Q87" s="241"/>
      <c r="R87" s="241"/>
      <c r="S87" s="241"/>
      <c r="T87" s="241"/>
      <c r="U87" s="938"/>
      <c r="V87" s="241"/>
      <c r="W87" s="241"/>
      <c r="X87" s="241"/>
      <c r="Y87" s="241"/>
      <c r="Z87" s="938"/>
      <c r="AA87" s="241"/>
      <c r="AB87" s="241"/>
      <c r="AC87" s="241"/>
      <c r="AD87" s="241"/>
      <c r="AE87" s="938"/>
      <c r="AF87" s="241"/>
      <c r="AG87" s="241"/>
      <c r="AH87" s="241"/>
      <c r="AI87" s="241"/>
      <c r="AJ87" s="938"/>
      <c r="AK87" s="241"/>
      <c r="AL87" s="241"/>
      <c r="AM87" s="241"/>
      <c r="AN87" s="241"/>
      <c r="AO87" s="938"/>
      <c r="AP87" s="241"/>
      <c r="AQ87" s="241"/>
      <c r="AR87" s="241"/>
      <c r="AS87" s="241"/>
      <c r="AT87" s="938"/>
      <c r="AU87" s="241"/>
      <c r="AV87" s="241"/>
      <c r="AW87" s="241"/>
      <c r="AX87" s="241"/>
      <c r="AY87" s="938"/>
      <c r="AZ87" s="241"/>
      <c r="BA87" s="241"/>
      <c r="BB87" s="241"/>
      <c r="BC87" s="241"/>
      <c r="BD87" s="938"/>
      <c r="BE87" s="241"/>
      <c r="BF87" s="241"/>
      <c r="BG87" s="241"/>
      <c r="BH87" s="241"/>
      <c r="BI87" s="938"/>
      <c r="BJ87" s="241"/>
      <c r="BK87" s="241"/>
      <c r="BL87" s="241"/>
      <c r="BM87" s="241"/>
      <c r="BN87" s="938"/>
      <c r="BO87" s="241"/>
      <c r="BP87" s="241"/>
      <c r="BQ87" s="241"/>
      <c r="BR87" s="241"/>
      <c r="BS87" s="938"/>
      <c r="BT87" s="666"/>
      <c r="BU87" s="241"/>
      <c r="BV87" s="241"/>
      <c r="BW87" s="241"/>
      <c r="BX87" s="938"/>
      <c r="BY87" s="241"/>
      <c r="BZ87" s="241"/>
      <c r="CA87" s="241"/>
      <c r="CB87" s="241"/>
      <c r="CC87" s="938"/>
      <c r="CD87" s="938"/>
      <c r="CE87" s="938"/>
      <c r="CF87" s="938"/>
      <c r="CG87" s="191"/>
    </row>
    <row r="88" spans="1:85" s="589" customFormat="1" hidden="1" outlineLevel="1" x14ac:dyDescent="0.3">
      <c r="A88" s="316" t="s">
        <v>549</v>
      </c>
      <c r="B88" s="249"/>
      <c r="C88" s="959"/>
      <c r="D88" s="959"/>
      <c r="E88" s="959"/>
      <c r="F88" s="959"/>
      <c r="G88" s="70"/>
      <c r="H88" s="70"/>
      <c r="I88" s="70"/>
      <c r="J88" s="70"/>
      <c r="K88" s="959"/>
      <c r="L88" s="70"/>
      <c r="M88" s="70"/>
      <c r="N88" s="70"/>
      <c r="O88" s="70"/>
      <c r="P88" s="959"/>
      <c r="Q88" s="70"/>
      <c r="R88" s="70"/>
      <c r="S88" s="70"/>
      <c r="T88" s="70"/>
      <c r="U88" s="959"/>
      <c r="V88" s="70"/>
      <c r="W88" s="70"/>
      <c r="X88" s="70"/>
      <c r="Y88" s="70"/>
      <c r="Z88" s="959"/>
      <c r="AA88" s="855">
        <v>8.57</v>
      </c>
      <c r="AB88" s="855">
        <v>8.6999999999999993</v>
      </c>
      <c r="AC88" s="855">
        <v>9.25</v>
      </c>
      <c r="AD88" s="855">
        <v>9.94</v>
      </c>
      <c r="AE88" s="960">
        <v>9.17</v>
      </c>
      <c r="AF88" s="855">
        <v>10.68</v>
      </c>
      <c r="AG88" s="855">
        <v>10.72</v>
      </c>
      <c r="AH88" s="855">
        <v>10.28</v>
      </c>
      <c r="AI88" s="855">
        <v>10.199999999999999</v>
      </c>
      <c r="AJ88" s="960">
        <v>10.45</v>
      </c>
      <c r="AK88" s="855">
        <v>10.23</v>
      </c>
      <c r="AL88" s="855">
        <v>10.130000000000001</v>
      </c>
      <c r="AM88" s="855">
        <v>10.4</v>
      </c>
      <c r="AN88" s="855">
        <v>10.51</v>
      </c>
      <c r="AO88" s="960">
        <v>10.33</v>
      </c>
      <c r="AP88" s="855">
        <v>10.4</v>
      </c>
      <c r="AQ88" s="855">
        <v>10.5</v>
      </c>
      <c r="AR88" s="855">
        <v>10.88</v>
      </c>
      <c r="AS88" s="855">
        <v>11.05</v>
      </c>
      <c r="AT88" s="960">
        <v>10.72</v>
      </c>
      <c r="AU88" s="855">
        <v>11.56</v>
      </c>
      <c r="AV88" s="855">
        <v>11.66</v>
      </c>
      <c r="AW88" s="855">
        <v>11.65</v>
      </c>
      <c r="AX88" s="855">
        <v>11.64</v>
      </c>
      <c r="AY88" s="960">
        <v>11.63</v>
      </c>
      <c r="AZ88" s="855">
        <v>11.56</v>
      </c>
      <c r="BA88" s="855">
        <v>11.17</v>
      </c>
      <c r="BB88" s="855">
        <v>10.81</v>
      </c>
      <c r="BC88" s="855">
        <v>10.43</v>
      </c>
      <c r="BD88" s="960">
        <v>10.99</v>
      </c>
      <c r="BE88" s="855">
        <v>10.89</v>
      </c>
      <c r="BF88" s="855">
        <v>10.87</v>
      </c>
      <c r="BG88" s="855">
        <v>10.98</v>
      </c>
      <c r="BH88" s="855">
        <v>10.75</v>
      </c>
      <c r="BI88" s="960">
        <v>10.87</v>
      </c>
      <c r="BJ88" s="855">
        <v>10.92</v>
      </c>
      <c r="BK88" s="855">
        <v>10.8</v>
      </c>
      <c r="BL88" s="855">
        <v>10.99</v>
      </c>
      <c r="BM88" s="855">
        <v>11.11</v>
      </c>
      <c r="BN88" s="960">
        <v>10.96</v>
      </c>
      <c r="BO88" s="70">
        <f>BO93/BO84*1000/3</f>
      </c>
      <c r="BP88" s="70">
        <f t="shared" ref="BP88:BR88" si="142">BP93/BP84*1000/3</f>
      </c>
      <c r="BQ88" s="70">
        <f t="shared" si="142"/>
      </c>
      <c r="BR88" s="70">
        <f t="shared" si="142"/>
      </c>
      <c r="BS88" s="959">
        <f>BS93/BS84*1000/12</f>
      </c>
      <c r="BT88" s="856">
        <f>BT93/BT80*1000/3</f>
      </c>
      <c r="BU88" s="70">
        <f>BT88*(1+BU89)</f>
      </c>
      <c r="BV88" s="70">
        <f>BU88*(1+BV89)</f>
      </c>
      <c r="BW88" s="70">
        <f>BV88*(1+BW89)</f>
      </c>
      <c r="BX88" s="959">
        <f>AVERAGE(BT88,BU88,BV88,BW88)</f>
      </c>
      <c r="BY88" s="70">
        <f>BW88*(1+BY89)</f>
      </c>
      <c r="BZ88" s="70">
        <f>BY88*(1+BZ89)</f>
      </c>
      <c r="CA88" s="70">
        <f>BZ88*(1+CA89)</f>
      </c>
      <c r="CB88" s="70">
        <f>CA88*(1+CB89)</f>
      </c>
      <c r="CC88" s="959">
        <f>AVERAGE(BY88,BZ88,CA88,CB88)</f>
      </c>
      <c r="CD88" s="959">
        <f>+CC88*(1+CD91)</f>
      </c>
      <c r="CE88" s="959">
        <f>+CD88*(1+CE91)</f>
      </c>
      <c r="CF88" s="959">
        <f>+CE88*(1+CF91)</f>
      </c>
      <c r="CG88" s="20"/>
    </row>
    <row r="89" spans="1:85" s="589" customFormat="1" hidden="1" outlineLevel="1" x14ac:dyDescent="0.3">
      <c r="A89" s="319" t="s">
        <v>551</v>
      </c>
      <c r="B89" s="320"/>
      <c r="C89" s="935"/>
      <c r="D89" s="935"/>
      <c r="E89" s="935"/>
      <c r="F89" s="935"/>
      <c r="G89" s="58"/>
      <c r="H89" s="58"/>
      <c r="I89" s="58"/>
      <c r="J89" s="58"/>
      <c r="K89" s="935"/>
      <c r="L89" s="58"/>
      <c r="M89" s="58"/>
      <c r="N89" s="58"/>
      <c r="O89" s="58"/>
      <c r="P89" s="935"/>
      <c r="Q89" s="58"/>
      <c r="R89" s="58"/>
      <c r="S89" s="58"/>
      <c r="T89" s="58"/>
      <c r="U89" s="935"/>
      <c r="V89" s="58"/>
      <c r="W89" s="58"/>
      <c r="X89" s="58"/>
      <c r="Y89" s="58"/>
      <c r="Z89" s="935"/>
      <c r="AA89" s="58"/>
      <c r="AB89" s="308">
        <f>AB88/AA88-1</f>
      </c>
      <c r="AC89" s="308">
        <f>AC88/AB88-1</f>
      </c>
      <c r="AD89" s="308">
        <f>AD88/AC88-1</f>
      </c>
      <c r="AE89" s="935"/>
      <c r="AF89" s="308">
        <f>AF88/AD88-1</f>
      </c>
      <c r="AG89" s="308">
        <f>AG88/AF88-1</f>
      </c>
      <c r="AH89" s="308">
        <f>AH88/AG88-1</f>
      </c>
      <c r="AI89" s="308">
        <f>AI88/AH88-1</f>
      </c>
      <c r="AJ89" s="935"/>
      <c r="AK89" s="308">
        <f>AK88/AI88-1</f>
      </c>
      <c r="AL89" s="308">
        <f>AL88/AK88-1</f>
      </c>
      <c r="AM89" s="308">
        <f>AM88/AL88-1</f>
      </c>
      <c r="AN89" s="308">
        <f>AN88/AM88-1</f>
      </c>
      <c r="AO89" s="935"/>
      <c r="AP89" s="308">
        <f>AP88/AN88-1</f>
      </c>
      <c r="AQ89" s="308">
        <f>AQ88/AP88-1</f>
      </c>
      <c r="AR89" s="308">
        <f>AR88/AQ88-1</f>
      </c>
      <c r="AS89" s="308">
        <f>AS88/AR88-1</f>
      </c>
      <c r="AT89" s="935"/>
      <c r="AU89" s="308">
        <f>AU88/AS88-1</f>
      </c>
      <c r="AV89" s="308">
        <f>AV88/AU88-1</f>
      </c>
      <c r="AW89" s="308">
        <f>AW88/AV88-1</f>
      </c>
      <c r="AX89" s="308">
        <f>AX88/AW88-1</f>
      </c>
      <c r="AY89" s="935"/>
      <c r="AZ89" s="308">
        <f>AZ88/AX88-1</f>
      </c>
      <c r="BA89" s="308">
        <f>BA88/AZ88-1</f>
      </c>
      <c r="BB89" s="308">
        <f>BB88/BA88-1</f>
      </c>
      <c r="BC89" s="308">
        <f>BC88/BB88-1</f>
      </c>
      <c r="BD89" s="935"/>
      <c r="BE89" s="308">
        <f>BE88/BC88-1</f>
      </c>
      <c r="BF89" s="308">
        <f>BF88/BE88-1</f>
      </c>
      <c r="BG89" s="308">
        <f>BG88/BF88-1</f>
      </c>
      <c r="BH89" s="308">
        <f>BH88/BG88-1</f>
      </c>
      <c r="BI89" s="935"/>
      <c r="BJ89" s="308">
        <f>BJ88/BH88-1</f>
      </c>
      <c r="BK89" s="308">
        <f>BK88/BJ88-1</f>
      </c>
      <c r="BL89" s="308">
        <f>BL88/BK88-1</f>
      </c>
      <c r="BM89" s="308">
        <f>BM88/BL88-1</f>
      </c>
      <c r="BN89" s="935"/>
      <c r="BO89" s="308">
        <f>BO88/BM88-1</f>
      </c>
      <c r="BP89" s="308">
        <f>BP88/BO88-1</f>
      </c>
      <c r="BQ89" s="308">
        <f>BQ88/BP88-1</f>
      </c>
      <c r="BR89" s="308">
        <f>BR88/BQ88-1</f>
      </c>
      <c r="BS89" s="935"/>
      <c r="BT89" s="663">
        <f>BT88/BR88-1</f>
      </c>
      <c r="BU89" s="853">
        <v>0.01</v>
      </c>
      <c r="BV89" s="853">
        <v>1.7500000000000002E-2</v>
      </c>
      <c r="BW89" s="853">
        <v>1.4999999999999999E-2</v>
      </c>
      <c r="BX89" s="935"/>
      <c r="BY89" s="853">
        <v>3.5999999999999997E-2</v>
      </c>
      <c r="BZ89" s="853">
        <v>-6.0000000000000001E-3</v>
      </c>
      <c r="CA89" s="853">
        <v>1.7500000000000002E-2</v>
      </c>
      <c r="CB89" s="853">
        <v>-0.02</v>
      </c>
      <c r="CC89" s="935"/>
      <c r="CD89" s="935"/>
      <c r="CE89" s="935"/>
      <c r="CF89" s="935"/>
      <c r="CG89" s="20"/>
    </row>
    <row r="90" spans="1:85" s="583" customFormat="1" hidden="1" outlineLevel="1" x14ac:dyDescent="0.3">
      <c r="A90" s="47" t="s">
        <v>591</v>
      </c>
      <c r="B90" s="311"/>
      <c r="C90" s="935"/>
      <c r="D90" s="935"/>
      <c r="E90" s="935"/>
      <c r="F90" s="935"/>
      <c r="G90" s="58"/>
      <c r="H90" s="58"/>
      <c r="I90" s="58"/>
      <c r="J90" s="58"/>
      <c r="K90" s="935"/>
      <c r="L90" s="58"/>
      <c r="M90" s="58"/>
      <c r="N90" s="58"/>
      <c r="O90" s="58"/>
      <c r="P90" s="935"/>
      <c r="Q90" s="58"/>
      <c r="R90" s="58"/>
      <c r="S90" s="58"/>
      <c r="T90" s="58"/>
      <c r="U90" s="935"/>
      <c r="V90" s="58"/>
      <c r="W90" s="58"/>
      <c r="X90" s="58"/>
      <c r="Y90" s="58"/>
      <c r="Z90" s="935"/>
      <c r="AA90" s="853">
        <v>0.11</v>
      </c>
      <c r="AB90" s="853">
        <v>0.08</v>
      </c>
      <c r="AC90" s="853">
        <v>0.05</v>
      </c>
      <c r="AD90" s="853">
        <v>0.09</v>
      </c>
      <c r="AE90" s="961">
        <v>0.08</v>
      </c>
      <c r="AF90" s="853">
        <v>0.11</v>
      </c>
      <c r="AG90" s="853">
        <v>0.11</v>
      </c>
      <c r="AH90" s="853">
        <v>0.1</v>
      </c>
      <c r="AI90" s="853">
        <v>0.06</v>
      </c>
      <c r="AJ90" s="961">
        <v>0.09</v>
      </c>
      <c r="AK90" s="853">
        <v>0.02</v>
      </c>
      <c r="AL90" s="853">
        <v>0.03</v>
      </c>
      <c r="AM90" s="853">
        <v>0.06</v>
      </c>
      <c r="AN90" s="853">
        <v>7.0000000000000007E-2</v>
      </c>
      <c r="AO90" s="961">
        <v>0.04</v>
      </c>
      <c r="AP90" s="853">
        <v>0.04</v>
      </c>
      <c r="AQ90" s="853">
        <v>0.08</v>
      </c>
      <c r="AR90" s="853">
        <v>0.03</v>
      </c>
      <c r="AS90" s="853">
        <v>0</v>
      </c>
      <c r="AT90" s="961">
        <v>0.03</v>
      </c>
      <c r="AU90" s="853">
        <v>0.04</v>
      </c>
      <c r="AV90" s="853">
        <v>0.02</v>
      </c>
      <c r="AW90" s="853">
        <v>0.03</v>
      </c>
      <c r="AX90" s="853">
        <v>0.06</v>
      </c>
      <c r="AY90" s="961">
        <v>0.04</v>
      </c>
      <c r="AZ90" s="853">
        <v>0.06</v>
      </c>
      <c r="BA90" s="853">
        <v>0.06</v>
      </c>
      <c r="BB90" s="853">
        <v>7.0000000000000007E-2</v>
      </c>
      <c r="BC90" s="853">
        <v>0.05</v>
      </c>
      <c r="BD90" s="961">
        <v>0.06</v>
      </c>
      <c r="BE90" s="853">
        <v>0.01</v>
      </c>
      <c r="BF90" s="853">
        <v>-0.01</v>
      </c>
      <c r="BG90" s="853">
        <v>-0.02</v>
      </c>
      <c r="BH90" s="853">
        <v>-0.01</v>
      </c>
      <c r="BI90" s="961">
        <v>-0.01</v>
      </c>
      <c r="BJ90" s="853">
        <v>0</v>
      </c>
      <c r="BK90" s="853">
        <v>0.01</v>
      </c>
      <c r="BL90" s="853">
        <v>0.01</v>
      </c>
      <c r="BM90" s="853">
        <v>0.01</v>
      </c>
      <c r="BN90" s="961">
        <v>0.01</v>
      </c>
      <c r="BO90" s="58"/>
      <c r="BP90" s="58"/>
      <c r="BQ90" s="58"/>
      <c r="BR90" s="58"/>
      <c r="BS90" s="935"/>
      <c r="BT90" s="669"/>
      <c r="BU90" s="58"/>
      <c r="BV90" s="58"/>
      <c r="BW90" s="58"/>
      <c r="BX90" s="935"/>
      <c r="BY90" s="58"/>
      <c r="BZ90" s="58"/>
      <c r="CA90" s="58"/>
      <c r="CB90" s="58"/>
      <c r="CC90" s="935"/>
      <c r="CD90" s="935"/>
      <c r="CE90" s="935"/>
      <c r="CF90" s="935"/>
      <c r="CG90" s="308"/>
    </row>
    <row r="91" spans="1:85" s="583" customFormat="1" hidden="1" outlineLevel="1" x14ac:dyDescent="0.3">
      <c r="A91" s="317" t="s">
        <v>550</v>
      </c>
      <c r="B91" s="305"/>
      <c r="C91" s="936"/>
      <c r="D91" s="936"/>
      <c r="E91" s="936"/>
      <c r="F91" s="936"/>
      <c r="G91" s="446"/>
      <c r="H91" s="446"/>
      <c r="I91" s="446"/>
      <c r="J91" s="446"/>
      <c r="K91" s="936"/>
      <c r="L91" s="446"/>
      <c r="M91" s="446"/>
      <c r="N91" s="446"/>
      <c r="O91" s="446"/>
      <c r="P91" s="936"/>
      <c r="Q91" s="446"/>
      <c r="R91" s="446"/>
      <c r="S91" s="446"/>
      <c r="T91" s="446"/>
      <c r="U91" s="936"/>
      <c r="V91" s="446"/>
      <c r="W91" s="446"/>
      <c r="X91" s="446"/>
      <c r="Y91" s="446"/>
      <c r="Z91" s="936"/>
      <c r="AA91" s="446"/>
      <c r="AB91" s="446"/>
      <c r="AC91" s="446"/>
      <c r="AD91" s="446"/>
      <c r="AE91" s="936"/>
      <c r="AF91" s="446">
        <f t="shared" ref="AF91:AW91" si="143">+AF88/AA88-1</f>
      </c>
      <c r="AG91" s="446">
        <f t="shared" si="143"/>
      </c>
      <c r="AH91" s="446">
        <f t="shared" si="143"/>
      </c>
      <c r="AI91" s="446">
        <f t="shared" si="143"/>
      </c>
      <c r="AJ91" s="936">
        <f t="shared" si="143"/>
      </c>
      <c r="AK91" s="446">
        <f t="shared" si="143"/>
      </c>
      <c r="AL91" s="446">
        <f t="shared" si="143"/>
      </c>
      <c r="AM91" s="446">
        <f t="shared" si="143"/>
      </c>
      <c r="AN91" s="446">
        <f t="shared" si="143"/>
      </c>
      <c r="AO91" s="936">
        <f t="shared" si="143"/>
      </c>
      <c r="AP91" s="446">
        <f t="shared" si="143"/>
      </c>
      <c r="AQ91" s="446">
        <f t="shared" si="143"/>
      </c>
      <c r="AR91" s="446">
        <f t="shared" si="143"/>
      </c>
      <c r="AS91" s="446">
        <f t="shared" si="143"/>
      </c>
      <c r="AT91" s="936">
        <f t="shared" si="143"/>
      </c>
      <c r="AU91" s="446">
        <f t="shared" si="143"/>
      </c>
      <c r="AV91" s="446">
        <f t="shared" si="143"/>
      </c>
      <c r="AW91" s="446">
        <f t="shared" si="143"/>
      </c>
      <c r="AX91" s="446">
        <f t="shared" ref="AX91:BD91" si="144">+AX88/AS88-1</f>
      </c>
      <c r="AY91" s="936">
        <f t="shared" si="144"/>
      </c>
      <c r="AZ91" s="446">
        <f t="shared" si="144"/>
      </c>
      <c r="BA91" s="446">
        <f t="shared" si="144"/>
      </c>
      <c r="BB91" s="446">
        <f t="shared" si="144"/>
      </c>
      <c r="BC91" s="446">
        <f t="shared" si="144"/>
      </c>
      <c r="BD91" s="936">
        <f t="shared" si="144"/>
      </c>
      <c r="BE91" s="446">
        <f t="shared" ref="BE91:BI91" si="145">+BE88/AZ88-1</f>
      </c>
      <c r="BF91" s="446">
        <f t="shared" si="145"/>
      </c>
      <c r="BG91" s="446">
        <f t="shared" si="145"/>
      </c>
      <c r="BH91" s="446">
        <f t="shared" si="145"/>
      </c>
      <c r="BI91" s="936">
        <f t="shared" si="145"/>
      </c>
      <c r="BJ91" s="446">
        <f t="shared" ref="BJ91:BX91" si="146">+BJ88/BE88-1</f>
      </c>
      <c r="BK91" s="446">
        <f t="shared" si="146"/>
      </c>
      <c r="BL91" s="446">
        <f t="shared" si="146"/>
      </c>
      <c r="BM91" s="446">
        <f t="shared" si="146"/>
      </c>
      <c r="BN91" s="936">
        <f t="shared" si="146"/>
      </c>
      <c r="BO91" s="446">
        <f t="shared" ref="BO91:BW91" si="147">+BO88/BJ88-1</f>
      </c>
      <c r="BP91" s="446">
        <f t="shared" si="147"/>
      </c>
      <c r="BQ91" s="446">
        <f t="shared" si="147"/>
      </c>
      <c r="BR91" s="446">
        <f t="shared" si="147"/>
      </c>
      <c r="BS91" s="936">
        <f t="shared" si="147"/>
      </c>
      <c r="BT91" s="665">
        <f>+BT88/BO88-1</f>
      </c>
      <c r="BU91" s="446">
        <f t="shared" si="147"/>
      </c>
      <c r="BV91" s="446">
        <f t="shared" si="147"/>
      </c>
      <c r="BW91" s="446">
        <f t="shared" si="147"/>
      </c>
      <c r="BX91" s="936">
        <f t="shared" si="146"/>
      </c>
      <c r="BY91" s="446">
        <f>+BY88/BT88-1</f>
      </c>
      <c r="BZ91" s="446">
        <f>+BZ88/BU88-1</f>
      </c>
      <c r="CA91" s="446">
        <f>+CA88/BV88-1</f>
      </c>
      <c r="CB91" s="446">
        <f>+CB88/BW88-1</f>
      </c>
      <c r="CC91" s="936">
        <f>+CC88/BX88-1</f>
      </c>
      <c r="CD91" s="955">
        <v>5.5E-2</v>
      </c>
      <c r="CE91" s="955">
        <v>0.02</v>
      </c>
      <c r="CF91" s="955">
        <v>5.5E-2</v>
      </c>
      <c r="CG91" s="308"/>
    </row>
    <row r="92" spans="1:85" ht="7.5" hidden="1" customHeight="1" outlineLevel="1" x14ac:dyDescent="0.3">
      <c r="A92" s="239"/>
      <c r="B92" s="240"/>
      <c r="C92" s="938"/>
      <c r="D92" s="938"/>
      <c r="E92" s="938"/>
      <c r="F92" s="938"/>
      <c r="G92" s="241"/>
      <c r="H92" s="241"/>
      <c r="I92" s="241"/>
      <c r="J92" s="241"/>
      <c r="K92" s="938"/>
      <c r="L92" s="241"/>
      <c r="M92" s="241"/>
      <c r="N92" s="241"/>
      <c r="O92" s="241"/>
      <c r="P92" s="938"/>
      <c r="Q92" s="241"/>
      <c r="R92" s="241"/>
      <c r="S92" s="241"/>
      <c r="T92" s="241"/>
      <c r="U92" s="938"/>
      <c r="V92" s="241"/>
      <c r="W92" s="241"/>
      <c r="X92" s="241"/>
      <c r="Y92" s="241"/>
      <c r="Z92" s="938"/>
      <c r="AA92" s="241"/>
      <c r="AB92" s="241"/>
      <c r="AC92" s="241"/>
      <c r="AD92" s="241"/>
      <c r="AE92" s="938"/>
      <c r="AF92" s="241"/>
      <c r="AG92" s="241"/>
      <c r="AH92" s="241"/>
      <c r="AI92" s="241"/>
      <c r="AJ92" s="938"/>
      <c r="AK92" s="241"/>
      <c r="AL92" s="241"/>
      <c r="AM92" s="241"/>
      <c r="AN92" s="241"/>
      <c r="AO92" s="938"/>
      <c r="AP92" s="241"/>
      <c r="AQ92" s="241"/>
      <c r="AR92" s="241"/>
      <c r="AS92" s="241"/>
      <c r="AT92" s="938"/>
      <c r="AU92" s="241"/>
      <c r="AV92" s="241"/>
      <c r="AW92" s="241"/>
      <c r="AX92" s="241"/>
      <c r="AY92" s="938"/>
      <c r="AZ92" s="241"/>
      <c r="BA92" s="241"/>
      <c r="BB92" s="241"/>
      <c r="BC92" s="241"/>
      <c r="BD92" s="938"/>
      <c r="BE92" s="241"/>
      <c r="BF92" s="241"/>
      <c r="BG92" s="241"/>
      <c r="BH92" s="241"/>
      <c r="BI92" s="938"/>
      <c r="BJ92" s="241"/>
      <c r="BK92" s="241"/>
      <c r="BL92" s="241"/>
      <c r="BM92" s="241"/>
      <c r="BN92" s="938"/>
      <c r="BO92" s="241"/>
      <c r="BP92" s="241"/>
      <c r="BQ92" s="241"/>
      <c r="BR92" s="241"/>
      <c r="BS92" s="938"/>
      <c r="BT92" s="666"/>
      <c r="BU92" s="241"/>
      <c r="BV92" s="241"/>
      <c r="BW92" s="241"/>
      <c r="BX92" s="938"/>
      <c r="BY92" s="241"/>
      <c r="BZ92" s="241"/>
      <c r="CA92" s="241"/>
      <c r="CB92" s="241"/>
      <c r="CC92" s="938"/>
      <c r="CD92" s="938"/>
      <c r="CE92" s="938"/>
      <c r="CF92" s="938"/>
      <c r="CG92" s="191"/>
    </row>
    <row r="93" spans="1:85" s="589" customFormat="1" hidden="1" outlineLevel="1" x14ac:dyDescent="0.3">
      <c r="A93" s="2" t="s">
        <v>552</v>
      </c>
      <c r="B93" s="426"/>
      <c r="C93" s="965"/>
      <c r="D93" s="965"/>
      <c r="E93" s="965"/>
      <c r="F93" s="965"/>
      <c r="G93" s="791"/>
      <c r="H93" s="791"/>
      <c r="I93" s="791"/>
      <c r="J93" s="791"/>
      <c r="K93" s="965"/>
      <c r="L93" s="791"/>
      <c r="M93" s="791"/>
      <c r="N93" s="791"/>
      <c r="O93" s="791"/>
      <c r="P93" s="965"/>
      <c r="Q93" s="791"/>
      <c r="R93" s="791"/>
      <c r="S93" s="791"/>
      <c r="T93" s="791"/>
      <c r="U93" s="965"/>
      <c r="V93" s="791"/>
      <c r="W93" s="791"/>
      <c r="X93" s="791"/>
      <c r="Y93" s="791"/>
      <c r="Z93" s="965"/>
      <c r="AA93" s="858">
        <v>482.28199999999998</v>
      </c>
      <c r="AB93" s="858">
        <v>533.09799999999996</v>
      </c>
      <c r="AC93" s="858">
        <v>614.70699999999999</v>
      </c>
      <c r="AD93" s="858">
        <v>732.726</v>
      </c>
      <c r="AE93" s="966">
        <v>2362.8130000000001</v>
      </c>
      <c r="AF93" s="858">
        <v>886.649</v>
      </c>
      <c r="AG93" s="858">
        <v>975.49699999999996</v>
      </c>
      <c r="AH93" s="858">
        <v>1004.749</v>
      </c>
      <c r="AI93" s="858">
        <v>1096.8119999999999</v>
      </c>
      <c r="AJ93" s="966">
        <v>3963.7069999999999</v>
      </c>
      <c r="AK93" s="858">
        <v>1233.3789999999999</v>
      </c>
      <c r="AL93" s="858">
        <v>1319.087</v>
      </c>
      <c r="AM93" s="858">
        <v>1428.04</v>
      </c>
      <c r="AN93" s="858">
        <v>1562.5609999999999</v>
      </c>
      <c r="AO93" s="966">
        <v>5543.067</v>
      </c>
      <c r="AP93" s="858">
        <v>1723.4739999999999</v>
      </c>
      <c r="AQ93" s="858">
        <v>1892.537</v>
      </c>
      <c r="AR93" s="858">
        <v>2019.0830000000001</v>
      </c>
      <c r="AS93" s="792">
        <f>AT93-SUM(AP93,AQ93,AR93)</f>
      </c>
      <c r="AT93" s="966">
        <v>7772.2520000000004</v>
      </c>
      <c r="AU93" s="858">
        <v>2343.674</v>
      </c>
      <c r="AV93" s="858">
        <v>2400.48</v>
      </c>
      <c r="AW93" s="858">
        <v>2432.239</v>
      </c>
      <c r="AX93" s="792">
        <f>AY93-SUM(AU93,AV93,AW93)</f>
      </c>
      <c r="AY93" s="966">
        <v>9699.8189999999995</v>
      </c>
      <c r="AZ93" s="858">
        <v>2561.8310000000001</v>
      </c>
      <c r="BA93" s="858">
        <v>2457.2350000000001</v>
      </c>
      <c r="BB93" s="858">
        <v>2375.8139999999999</v>
      </c>
      <c r="BC93" s="792">
        <f>BD93-SUM(AZ93,BA93,BB93)</f>
      </c>
      <c r="BD93" s="966">
        <v>9745.0149999999994</v>
      </c>
      <c r="BE93" s="858">
        <v>2517.6410000000001</v>
      </c>
      <c r="BF93" s="858">
        <v>2562.17</v>
      </c>
      <c r="BG93" s="858">
        <v>2693.1460000000002</v>
      </c>
      <c r="BH93" s="792">
        <f>BI93-SUM(BE93,BF93,BG93)</f>
      </c>
      <c r="BI93" s="966">
        <v>10556.486999999999</v>
      </c>
      <c r="BJ93" s="858">
        <v>2958.1930000000002</v>
      </c>
      <c r="BK93" s="858">
        <v>3007.7719999999999</v>
      </c>
      <c r="BL93" s="858">
        <v>3133.4659999999999</v>
      </c>
      <c r="BM93" s="792">
        <f>BN93-SUM(BJ93,BK93,BL93)</f>
      </c>
      <c r="BN93" s="966">
        <v>12387.035</v>
      </c>
      <c r="BO93" s="858">
        <v>3404.6759999999999</v>
      </c>
      <c r="BP93" s="858">
        <v>3538.1750000000002</v>
      </c>
      <c r="BQ93" s="858">
        <v>3699.0520000000001</v>
      </c>
      <c r="BR93" s="792">
        <f>BS93-SUM(BO93,BP93,BQ93)</f>
      </c>
      <c r="BS93" s="966">
        <v>14514.646000000001</v>
      </c>
      <c r="BT93" s="859">
        <v>3998.4189999999999</v>
      </c>
      <c r="BU93" s="791">
        <f>BU84*BU88*3/1000</f>
      </c>
      <c r="BV93" s="791">
        <f>BV84*BV88*3/1000</f>
      </c>
      <c r="BW93" s="791">
        <f>BW84*BW88*3/1000</f>
      </c>
      <c r="BX93" s="965">
        <f>SUM(BT93,BU93,BV93,BW93)</f>
      </c>
      <c r="BY93" s="791">
        <f>BY84*BY88*3/1000</f>
      </c>
      <c r="BZ93" s="791">
        <f>BZ84*BZ88*3/1000</f>
      </c>
      <c r="CA93" s="791">
        <f>CA84*CA88*3/1000</f>
      </c>
      <c r="CB93" s="791">
        <f>CB84*CB88*3/1000</f>
      </c>
      <c r="CC93" s="965">
        <f>SUM(BY93,BZ93,CA93,CB93)</f>
      </c>
      <c r="CD93" s="965">
        <f>CD84*CD88*12/1000</f>
      </c>
      <c r="CE93" s="965">
        <f>CE84*CE88*12/1000</f>
      </c>
      <c r="CF93" s="965">
        <f>CF84*CF88*12/1000</f>
      </c>
      <c r="CG93" s="183"/>
    </row>
    <row r="94" spans="1:85" s="589" customFormat="1" hidden="1" outlineLevel="1" x14ac:dyDescent="0.3">
      <c r="A94" s="771" t="s">
        <v>554</v>
      </c>
      <c r="B94" s="318"/>
      <c r="C94" s="935"/>
      <c r="D94" s="935"/>
      <c r="E94" s="935"/>
      <c r="F94" s="935"/>
      <c r="G94" s="58"/>
      <c r="H94" s="58"/>
      <c r="I94" s="58"/>
      <c r="J94" s="58"/>
      <c r="K94" s="935"/>
      <c r="L94" s="58"/>
      <c r="M94" s="58"/>
      <c r="N94" s="58"/>
      <c r="O94" s="58"/>
      <c r="P94" s="935"/>
      <c r="Q94" s="58"/>
      <c r="R94" s="58"/>
      <c r="S94" s="58"/>
      <c r="T94" s="58"/>
      <c r="U94" s="935"/>
      <c r="V94" s="58"/>
      <c r="W94" s="58"/>
      <c r="X94" s="58"/>
      <c r="Y94" s="58"/>
      <c r="Z94" s="935"/>
      <c r="AA94" s="58"/>
      <c r="AB94" s="308">
        <f>AB93/AA93-1</f>
      </c>
      <c r="AC94" s="308">
        <f>AC93/AB93-1</f>
      </c>
      <c r="AD94" s="308">
        <f>AD93/AC93-1</f>
      </c>
      <c r="AE94" s="935"/>
      <c r="AF94" s="308">
        <f>AF93/AD93-1</f>
      </c>
      <c r="AG94" s="308">
        <f>AG93/AF93-1</f>
      </c>
      <c r="AH94" s="308">
        <f>AH93/AG93-1</f>
      </c>
      <c r="AI94" s="308">
        <f>AI93/AH93-1</f>
      </c>
      <c r="AJ94" s="935"/>
      <c r="AK94" s="308">
        <f>AK93/AI93-1</f>
      </c>
      <c r="AL94" s="308">
        <f>AL93/AK93-1</f>
      </c>
      <c r="AM94" s="308">
        <f>AM93/AL93-1</f>
      </c>
      <c r="AN94" s="308">
        <f>AN93/AM93-1</f>
      </c>
      <c r="AO94" s="935"/>
      <c r="AP94" s="308">
        <f>AP93/AN93-1</f>
      </c>
      <c r="AQ94" s="308">
        <f>AQ93/AP93-1</f>
      </c>
      <c r="AR94" s="308">
        <f>AR93/AQ93-1</f>
      </c>
      <c r="AS94" s="308">
        <f>AS93/AR93-1</f>
      </c>
      <c r="AT94" s="935"/>
      <c r="AU94" s="308">
        <f>AU93/AS93-1</f>
      </c>
      <c r="AV94" s="308">
        <f>AV93/AU93-1</f>
      </c>
      <c r="AW94" s="308">
        <f>AW93/AV93-1</f>
      </c>
      <c r="AX94" s="308">
        <f>AX93/AW93-1</f>
      </c>
      <c r="AY94" s="935"/>
      <c r="AZ94" s="308">
        <f>AZ93/AX93-1</f>
      </c>
      <c r="BA94" s="308">
        <f>BA93/AZ93-1</f>
      </c>
      <c r="BB94" s="308">
        <f>BB93/BA93-1</f>
      </c>
      <c r="BC94" s="308">
        <f>BC93/BB93-1</f>
      </c>
      <c r="BD94" s="935"/>
      <c r="BE94" s="308">
        <f>BE93/BC93-1</f>
      </c>
      <c r="BF94" s="308">
        <f>BF93/BE93-1</f>
      </c>
      <c r="BG94" s="308">
        <f>BG93/BF93-1</f>
      </c>
      <c r="BH94" s="308">
        <f>BH93/BG93-1</f>
      </c>
      <c r="BI94" s="935"/>
      <c r="BJ94" s="308">
        <f>BJ93/BH93-1</f>
      </c>
      <c r="BK94" s="308">
        <f>BK93/BJ93-1</f>
      </c>
      <c r="BL94" s="308">
        <f>BL93/BK93-1</f>
      </c>
      <c r="BM94" s="308">
        <f>BM93/BL93-1</f>
      </c>
      <c r="BN94" s="935"/>
      <c r="BO94" s="308">
        <f>BO93/BM93-1</f>
      </c>
      <c r="BP94" s="308">
        <f>BP93/BO93-1</f>
      </c>
      <c r="BQ94" s="308">
        <f>BQ93/BP93-1</f>
      </c>
      <c r="BR94" s="308">
        <f>BR93/BQ93-1</f>
      </c>
      <c r="BS94" s="935"/>
      <c r="BT94" s="663">
        <f>BT93/BR93-1</f>
      </c>
      <c r="BU94" s="58">
        <f>BU93/BT93-1</f>
      </c>
      <c r="BV94" s="58">
        <f>BV93/BU93-1</f>
      </c>
      <c r="BW94" s="58">
        <f>BW93/BV93-1</f>
      </c>
      <c r="BX94" s="935"/>
      <c r="BY94" s="58">
        <f>BY93/BW93-1</f>
      </c>
      <c r="BZ94" s="58">
        <f>BZ93/BY93-1</f>
      </c>
      <c r="CA94" s="58">
        <f>CA93/BZ93-1</f>
      </c>
      <c r="CB94" s="58">
        <f>CB93/CA93-1</f>
      </c>
      <c r="CC94" s="935"/>
      <c r="CD94" s="935"/>
      <c r="CE94" s="935"/>
      <c r="CF94" s="935"/>
      <c r="CG94" s="183"/>
    </row>
    <row r="95" spans="1:85" s="583" customFormat="1" hidden="1" outlineLevel="1" x14ac:dyDescent="0.3">
      <c r="A95" s="771" t="s">
        <v>553</v>
      </c>
      <c r="B95" s="305"/>
      <c r="C95" s="936"/>
      <c r="D95" s="936"/>
      <c r="E95" s="936"/>
      <c r="F95" s="936"/>
      <c r="G95" s="446"/>
      <c r="H95" s="446"/>
      <c r="I95" s="446"/>
      <c r="J95" s="446"/>
      <c r="K95" s="936"/>
      <c r="L95" s="446"/>
      <c r="M95" s="446"/>
      <c r="N95" s="446"/>
      <c r="O95" s="446"/>
      <c r="P95" s="936"/>
      <c r="Q95" s="446"/>
      <c r="R95" s="446"/>
      <c r="S95" s="446"/>
      <c r="T95" s="446"/>
      <c r="U95" s="936"/>
      <c r="V95" s="446"/>
      <c r="W95" s="446"/>
      <c r="X95" s="446"/>
      <c r="Y95" s="446"/>
      <c r="Z95" s="936"/>
      <c r="AA95" s="446"/>
      <c r="AB95" s="446"/>
      <c r="AC95" s="446"/>
      <c r="AD95" s="446"/>
      <c r="AE95" s="936"/>
      <c r="AF95" s="619">
        <f t="shared" ref="AF95:AW95" si="148">+AF93/AA93-1</f>
      </c>
      <c r="AG95" s="619">
        <f t="shared" si="148"/>
      </c>
      <c r="AH95" s="619">
        <f t="shared" si="148"/>
      </c>
      <c r="AI95" s="619">
        <f t="shared" si="148"/>
      </c>
      <c r="AJ95" s="937">
        <f t="shared" si="148"/>
      </c>
      <c r="AK95" s="619">
        <f t="shared" si="148"/>
      </c>
      <c r="AL95" s="619">
        <f t="shared" si="148"/>
      </c>
      <c r="AM95" s="619">
        <f t="shared" si="148"/>
      </c>
      <c r="AN95" s="619">
        <f t="shared" si="148"/>
      </c>
      <c r="AO95" s="937">
        <f t="shared" si="148"/>
      </c>
      <c r="AP95" s="619">
        <f t="shared" si="148"/>
      </c>
      <c r="AQ95" s="619">
        <f t="shared" si="148"/>
      </c>
      <c r="AR95" s="619">
        <f t="shared" si="148"/>
      </c>
      <c r="AS95" s="619">
        <f t="shared" si="148"/>
      </c>
      <c r="AT95" s="937">
        <f t="shared" si="148"/>
      </c>
      <c r="AU95" s="619">
        <f t="shared" si="148"/>
      </c>
      <c r="AV95" s="619">
        <f t="shared" si="148"/>
      </c>
      <c r="AW95" s="619">
        <f t="shared" si="148"/>
      </c>
      <c r="AX95" s="619">
        <f t="shared" ref="AX95:BD95" si="149">+AX93/AS93-1</f>
      </c>
      <c r="AY95" s="937">
        <f t="shared" si="149"/>
      </c>
      <c r="AZ95" s="619">
        <f t="shared" si="149"/>
      </c>
      <c r="BA95" s="619">
        <f t="shared" si="149"/>
      </c>
      <c r="BB95" s="619">
        <f t="shared" si="149"/>
      </c>
      <c r="BC95" s="619">
        <f t="shared" si="149"/>
      </c>
      <c r="BD95" s="937">
        <f t="shared" si="149"/>
      </c>
      <c r="BE95" s="619">
        <f t="shared" ref="BE95:BI95" si="150">+BE93/AZ93-1</f>
      </c>
      <c r="BF95" s="619">
        <f t="shared" si="150"/>
      </c>
      <c r="BG95" s="619">
        <f t="shared" si="150"/>
      </c>
      <c r="BH95" s="619">
        <f t="shared" si="150"/>
      </c>
      <c r="BI95" s="937">
        <f t="shared" si="150"/>
      </c>
      <c r="BJ95" s="619">
        <f t="shared" ref="BJ95:BX95" si="151">+BJ93/BE93-1</f>
      </c>
      <c r="BK95" s="619">
        <f t="shared" si="151"/>
      </c>
      <c r="BL95" s="619">
        <f t="shared" si="151"/>
      </c>
      <c r="BM95" s="619">
        <f t="shared" si="151"/>
      </c>
      <c r="BN95" s="937">
        <f t="shared" si="151"/>
      </c>
      <c r="BO95" s="619">
        <f t="shared" ref="BO95:BW95" si="152">+BO93/BJ93-1</f>
      </c>
      <c r="BP95" s="619">
        <f t="shared" si="152"/>
      </c>
      <c r="BQ95" s="619">
        <f t="shared" si="152"/>
      </c>
      <c r="BR95" s="619">
        <f t="shared" si="152"/>
      </c>
      <c r="BS95" s="937">
        <f t="shared" si="152"/>
      </c>
      <c r="BT95" s="664">
        <f>+BT93/BO93-1</f>
      </c>
      <c r="BU95" s="446">
        <f t="shared" si="152"/>
      </c>
      <c r="BV95" s="446">
        <f t="shared" si="152"/>
      </c>
      <c r="BW95" s="446">
        <f t="shared" si="152"/>
      </c>
      <c r="BX95" s="936">
        <f t="shared" si="151"/>
      </c>
      <c r="BY95" s="446">
        <f>+BY93/BT93-1</f>
      </c>
      <c r="BZ95" s="446">
        <f>+BZ93/BU93-1</f>
      </c>
      <c r="CA95" s="446">
        <f>+CA93/BV93-1</f>
      </c>
      <c r="CB95" s="446">
        <f>+CB93/BW93-1</f>
      </c>
      <c r="CC95" s="936">
        <f>+CC93/BX93-1</f>
      </c>
      <c r="CD95" s="936">
        <f>+CD93/CC93-1</f>
      </c>
      <c r="CE95" s="936">
        <f>+CE93/CD93-1</f>
      </c>
      <c r="CF95" s="936">
        <f>+CF93/CE93-1</f>
      </c>
      <c r="CG95" s="308"/>
    </row>
    <row r="96" spans="1:85" s="587" customFormat="1" collapsed="1" x14ac:dyDescent="0.3">
      <c r="A96" s="239"/>
      <c r="B96" s="384"/>
      <c r="C96" s="949"/>
      <c r="D96" s="949"/>
      <c r="E96" s="949"/>
      <c r="F96" s="949"/>
      <c r="G96" s="789"/>
      <c r="H96" s="789"/>
      <c r="I96" s="789"/>
      <c r="J96" s="789"/>
      <c r="K96" s="949"/>
      <c r="L96" s="789"/>
      <c r="M96" s="789"/>
      <c r="N96" s="789"/>
      <c r="O96" s="789"/>
      <c r="P96" s="949"/>
      <c r="Q96" s="789"/>
      <c r="R96" s="789"/>
      <c r="S96" s="789"/>
      <c r="T96" s="789"/>
      <c r="U96" s="949"/>
      <c r="V96" s="789"/>
      <c r="W96" s="789"/>
      <c r="X96" s="789"/>
      <c r="Y96" s="789"/>
      <c r="Z96" s="949"/>
      <c r="AA96" s="789"/>
      <c r="AB96" s="789"/>
      <c r="AC96" s="789"/>
      <c r="AD96" s="789"/>
      <c r="AE96" s="949"/>
      <c r="AF96" s="789"/>
      <c r="AG96" s="789"/>
      <c r="AH96" s="789"/>
      <c r="AI96" s="789"/>
      <c r="AJ96" s="949"/>
      <c r="AK96" s="789"/>
      <c r="AL96" s="789"/>
      <c r="AM96" s="789"/>
      <c r="AN96" s="789"/>
      <c r="AO96" s="949"/>
      <c r="AP96" s="789"/>
      <c r="AQ96" s="789"/>
      <c r="AR96" s="789"/>
      <c r="AS96" s="789"/>
      <c r="AT96" s="949"/>
      <c r="AU96" s="789"/>
      <c r="AV96" s="789"/>
      <c r="AW96" s="789"/>
      <c r="AX96" s="789"/>
      <c r="AY96" s="949"/>
      <c r="AZ96" s="789"/>
      <c r="BA96" s="789"/>
      <c r="BB96" s="789"/>
      <c r="BC96" s="789"/>
      <c r="BD96" s="949"/>
      <c r="BE96" s="789"/>
      <c r="BF96" s="789"/>
      <c r="BG96" s="789"/>
      <c r="BH96" s="789"/>
      <c r="BI96" s="949"/>
      <c r="BJ96" s="789"/>
      <c r="BK96" s="789"/>
      <c r="BL96" s="789"/>
      <c r="BM96" s="789"/>
      <c r="BN96" s="949"/>
      <c r="BO96" s="789"/>
      <c r="BP96" s="789"/>
      <c r="BQ96" s="789"/>
      <c r="BR96" s="789"/>
      <c r="BS96" s="949"/>
      <c r="BT96" s="790"/>
      <c r="BU96" s="789"/>
      <c r="BV96" s="789"/>
      <c r="BW96" s="789"/>
      <c r="BX96" s="949"/>
      <c r="BY96" s="789"/>
      <c r="BZ96" s="789"/>
      <c r="CA96" s="789"/>
      <c r="CB96" s="789"/>
      <c r="CC96" s="949"/>
      <c r="CD96" s="949"/>
      <c r="CE96" s="949"/>
      <c r="CF96" s="949"/>
      <c r="CG96" s="385"/>
    </row>
    <row r="97" spans="1:85" x14ac:dyDescent="0.3">
      <c r="A97" s="754" t="s">
        <v>555</v>
      </c>
      <c r="B97" s="754"/>
      <c r="C97" s="754"/>
      <c r="D97" s="754"/>
      <c r="E97" s="754"/>
      <c r="F97" s="754"/>
      <c r="G97" s="754"/>
      <c r="H97" s="754"/>
      <c r="I97" s="754"/>
      <c r="J97" s="754"/>
      <c r="K97" s="754"/>
      <c r="L97" s="754"/>
      <c r="M97" s="754"/>
      <c r="N97" s="754"/>
      <c r="O97" s="754"/>
      <c r="P97" s="754"/>
      <c r="Q97" s="754"/>
      <c r="R97" s="754"/>
      <c r="S97" s="754"/>
      <c r="T97" s="754"/>
      <c r="U97" s="754"/>
      <c r="V97" s="754"/>
      <c r="W97" s="754"/>
      <c r="X97" s="754"/>
      <c r="Y97" s="754"/>
      <c r="Z97" s="754"/>
      <c r="AA97" s="754"/>
      <c r="AB97" s="754"/>
      <c r="AC97" s="754"/>
      <c r="AD97" s="754"/>
      <c r="AE97" s="754"/>
      <c r="AF97" s="754"/>
      <c r="AG97" s="754"/>
      <c r="AH97" s="754"/>
      <c r="AI97" s="754"/>
      <c r="AJ97" s="754"/>
      <c r="AK97" s="754"/>
      <c r="AL97" s="754"/>
      <c r="AM97" s="754"/>
      <c r="AN97" s="754"/>
      <c r="AO97" s="754"/>
      <c r="AP97" s="754"/>
      <c r="AQ97" s="754"/>
      <c r="AR97" s="754"/>
      <c r="AS97" s="754"/>
      <c r="AT97" s="754"/>
      <c r="AU97" s="754"/>
      <c r="AV97" s="754"/>
      <c r="AW97" s="754"/>
      <c r="AX97" s="754"/>
      <c r="AY97" s="754"/>
      <c r="AZ97" s="754"/>
      <c r="BA97" s="754"/>
      <c r="BB97" s="754"/>
      <c r="BC97" s="754"/>
      <c r="BD97" s="754"/>
      <c r="BE97" s="754"/>
      <c r="BF97" s="754"/>
      <c r="BG97" s="754"/>
      <c r="BH97" s="754"/>
      <c r="BI97" s="754"/>
      <c r="BJ97" s="754"/>
      <c r="BK97" s="754"/>
      <c r="BL97" s="754"/>
      <c r="BM97" s="754"/>
      <c r="BN97" s="754"/>
      <c r="BO97" s="754"/>
      <c r="BP97" s="754"/>
      <c r="BQ97" s="754"/>
      <c r="BR97" s="754"/>
      <c r="BS97" s="754"/>
      <c r="BT97" s="755"/>
      <c r="BU97" s="754"/>
      <c r="BV97" s="754"/>
      <c r="BW97" s="754"/>
      <c r="BX97" s="754"/>
      <c r="BY97" s="754"/>
      <c r="BZ97" s="754"/>
      <c r="CA97" s="754"/>
      <c r="CB97" s="754"/>
      <c r="CC97" s="754"/>
      <c r="CD97" s="754"/>
      <c r="CE97" s="754"/>
      <c r="CF97" s="754"/>
      <c r="CG97" s="183"/>
    </row>
    <row r="98" spans="1:85" s="589" customFormat="1" hidden="1" outlineLevel="1" x14ac:dyDescent="0.3">
      <c r="A98" s="188" t="s">
        <v>672</v>
      </c>
      <c r="B98" s="245"/>
      <c r="C98" s="933"/>
      <c r="D98" s="933"/>
      <c r="E98" s="933"/>
      <c r="F98" s="933"/>
      <c r="G98" s="200"/>
      <c r="H98" s="200"/>
      <c r="I98" s="200"/>
      <c r="J98" s="200"/>
      <c r="K98" s="933"/>
      <c r="L98" s="200"/>
      <c r="M98" s="200"/>
      <c r="N98" s="200"/>
      <c r="O98" s="200"/>
      <c r="P98" s="933"/>
      <c r="Q98" s="200"/>
      <c r="R98" s="200"/>
      <c r="S98" s="200"/>
      <c r="T98" s="200"/>
      <c r="U98" s="933"/>
      <c r="V98" s="200"/>
      <c r="W98" s="200"/>
      <c r="X98" s="200"/>
      <c r="Y98" s="200"/>
      <c r="Z98" s="933"/>
      <c r="AA98" s="200">
        <f>AA104*2-AA100</f>
      </c>
      <c r="AB98" s="200">
        <f>AA100</f>
      </c>
      <c r="AC98" s="200">
        <f>AB100</f>
      </c>
      <c r="AD98" s="200">
        <f>AC100</f>
      </c>
      <c r="AE98" s="933">
        <f>AA98</f>
      </c>
      <c r="AF98" s="24">
        <f>AE100</f>
      </c>
      <c r="AG98" s="24">
        <f>AF100</f>
      </c>
      <c r="AH98" s="24">
        <f>AG100</f>
      </c>
      <c r="AI98" s="24">
        <f>AH100</f>
      </c>
      <c r="AJ98" s="934">
        <f>AE100</f>
      </c>
      <c r="AK98" s="24">
        <f>AJ100</f>
      </c>
      <c r="AL98" s="24">
        <f>AK100</f>
      </c>
      <c r="AM98" s="24">
        <f>AL100</f>
      </c>
      <c r="AN98" s="24">
        <f>AM100</f>
      </c>
      <c r="AO98" s="934">
        <f>AJ100</f>
      </c>
      <c r="AP98" s="24">
        <f>AO100</f>
      </c>
      <c r="AQ98" s="24">
        <f>AP100</f>
      </c>
      <c r="AR98" s="24">
        <f>AQ100</f>
      </c>
      <c r="AS98" s="24">
        <f>AR100</f>
      </c>
      <c r="AT98" s="934">
        <f>AO100</f>
      </c>
      <c r="AU98" s="24">
        <f>AT100</f>
      </c>
      <c r="AV98" s="24">
        <f>AU100</f>
      </c>
      <c r="AW98" s="24">
        <f>AV100</f>
      </c>
      <c r="AX98" s="24">
        <f>AW100</f>
      </c>
      <c r="AY98" s="934">
        <f>AT100</f>
      </c>
      <c r="AZ98" s="24">
        <f>AY100</f>
      </c>
      <c r="BA98" s="24">
        <f>AZ100</f>
      </c>
      <c r="BB98" s="24">
        <f>BA100</f>
      </c>
      <c r="BC98" s="24">
        <f>BB100</f>
      </c>
      <c r="BD98" s="934">
        <f>AY100</f>
      </c>
      <c r="BE98" s="24">
        <f>BD100</f>
      </c>
      <c r="BF98" s="24">
        <f>BE100</f>
      </c>
      <c r="BG98" s="24">
        <f>BF100</f>
      </c>
      <c r="BH98" s="24">
        <f>BG100</f>
      </c>
      <c r="BI98" s="934">
        <f>BD100</f>
      </c>
      <c r="BJ98" s="24">
        <f>BI100</f>
      </c>
      <c r="BK98" s="24">
        <f>BJ100</f>
      </c>
      <c r="BL98" s="24">
        <f>BK100</f>
      </c>
      <c r="BM98" s="24">
        <f>BL100</f>
      </c>
      <c r="BN98" s="934">
        <f>BI100</f>
      </c>
      <c r="BO98" s="24">
        <f>BN100</f>
      </c>
      <c r="BP98" s="24">
        <f>BO100</f>
      </c>
      <c r="BQ98" s="24">
        <f>BP100</f>
      </c>
      <c r="BR98" s="24">
        <f>BQ100</f>
      </c>
      <c r="BS98" s="934">
        <f>BN100</f>
      </c>
      <c r="BT98" s="673">
        <f>BS100</f>
      </c>
      <c r="BU98" s="200">
        <f>BT100</f>
      </c>
      <c r="BV98" s="200">
        <f>BU100</f>
      </c>
      <c r="BW98" s="200">
        <f>BV100</f>
      </c>
      <c r="BX98" s="933">
        <f>BS100</f>
      </c>
      <c r="BY98" s="200">
        <f>BX100</f>
      </c>
      <c r="BZ98" s="200">
        <f>BY100</f>
      </c>
      <c r="CA98" s="200">
        <f>BZ100</f>
      </c>
      <c r="CB98" s="200">
        <f>CA100</f>
      </c>
      <c r="CC98" s="933">
        <f>BX100</f>
      </c>
      <c r="CD98" s="933">
        <f>CC100</f>
      </c>
      <c r="CE98" s="933">
        <f>CD100</f>
      </c>
      <c r="CF98" s="933">
        <f>CE100</f>
      </c>
      <c r="CG98" s="24"/>
    </row>
    <row r="99" spans="1:85" hidden="1" outlineLevel="1" x14ac:dyDescent="0.3">
      <c r="A99" s="201" t="s">
        <v>558</v>
      </c>
      <c r="B99" s="246"/>
      <c r="C99" s="953"/>
      <c r="D99" s="953"/>
      <c r="E99" s="953"/>
      <c r="F99" s="953"/>
      <c r="G99" s="247"/>
      <c r="H99" s="247"/>
      <c r="I99" s="247"/>
      <c r="J99" s="247"/>
      <c r="K99" s="953"/>
      <c r="L99" s="247"/>
      <c r="M99" s="247"/>
      <c r="N99" s="247"/>
      <c r="O99" s="247"/>
      <c r="P99" s="953"/>
      <c r="Q99" s="247"/>
      <c r="R99" s="247"/>
      <c r="S99" s="247"/>
      <c r="T99" s="247"/>
      <c r="U99" s="953"/>
      <c r="V99" s="247"/>
      <c r="W99" s="247"/>
      <c r="X99" s="247"/>
      <c r="Y99" s="247"/>
      <c r="Z99" s="953"/>
      <c r="AA99" s="247">
        <f>AA100-AA98</f>
      </c>
      <c r="AB99" s="247">
        <f>AB100-AB98</f>
      </c>
      <c r="AC99" s="247">
        <f>AC100-AC98</f>
      </c>
      <c r="AD99" s="247">
        <f>AD100-AD98</f>
      </c>
      <c r="AE99" s="953">
        <f>SUM(AA99,AB99,AC99,AD99)</f>
      </c>
      <c r="AF99" s="202">
        <f>AF100-AF98</f>
      </c>
      <c r="AG99" s="202">
        <f>AG100-AG98</f>
      </c>
      <c r="AH99" s="202">
        <f>AH100-AH98</f>
      </c>
      <c r="AI99" s="202">
        <f>AI100-AI98</f>
      </c>
      <c r="AJ99" s="954">
        <f>SUM(AF99,AG99,AH99,AI99)</f>
      </c>
      <c r="AK99" s="202">
        <f>AK100-AK98</f>
      </c>
      <c r="AL99" s="202">
        <f>AL100-AL98</f>
      </c>
      <c r="AM99" s="202">
        <f>AM100-AM98</f>
      </c>
      <c r="AN99" s="202">
        <f>AN100-AN98</f>
      </c>
      <c r="AO99" s="954">
        <f>SUM(AK99,AL99,AM99,AN99)</f>
      </c>
      <c r="AP99" s="202">
        <f>AP100-AP98</f>
      </c>
      <c r="AQ99" s="202">
        <f>AQ100-AQ98</f>
      </c>
      <c r="AR99" s="202">
        <f>AR100-AR98</f>
      </c>
      <c r="AS99" s="202">
        <f>AS100-AS98</f>
      </c>
      <c r="AT99" s="954">
        <f>SUM(AP99,AQ99,AR99,AS99)</f>
      </c>
      <c r="AU99" s="202">
        <f>AU100-AU98</f>
      </c>
      <c r="AV99" s="202">
        <f>AV100-AV98</f>
      </c>
      <c r="AW99" s="202">
        <f>AW100-AW98</f>
      </c>
      <c r="AX99" s="202">
        <f>AX100-AX98</f>
      </c>
      <c r="AY99" s="954">
        <f>SUM(AU99,AV99,AW99,AX99)</f>
      </c>
      <c r="AZ99" s="202">
        <f>AZ100-AZ98</f>
      </c>
      <c r="BA99" s="202">
        <f>BA100-BA98</f>
      </c>
      <c r="BB99" s="202">
        <f>BB100-BB98</f>
      </c>
      <c r="BC99" s="202">
        <f>BC100-BC98</f>
      </c>
      <c r="BD99" s="954">
        <f>SUM(AZ99,BA99,BB99,BC99)</f>
      </c>
      <c r="BE99" s="202">
        <f>BE100-BE98</f>
      </c>
      <c r="BF99" s="202">
        <f>BF100-BF98</f>
      </c>
      <c r="BG99" s="202">
        <f>BG100-BG98</f>
      </c>
      <c r="BH99" s="202">
        <f>BH100-BH98</f>
      </c>
      <c r="BI99" s="954">
        <f>SUM(BE99,BF99,BG99,BH99)</f>
      </c>
      <c r="BJ99" s="202">
        <f>BJ100-BJ98</f>
      </c>
      <c r="BK99" s="131">
        <f>BK100-BK98</f>
      </c>
      <c r="BL99" s="202">
        <f>BL100-BL98</f>
      </c>
      <c r="BM99" s="202">
        <f>BM100-BM98</f>
      </c>
      <c r="BN99" s="954">
        <f>SUM(BJ99,BK99,BL99,BM99)</f>
      </c>
      <c r="BO99" s="202">
        <f>BO100-BO98</f>
      </c>
      <c r="BP99" s="131">
        <f>BP100-BP98</f>
      </c>
      <c r="BQ99" s="202">
        <f>BQ100-BQ98</f>
      </c>
      <c r="BR99" s="202">
        <f>BR100-BR98</f>
      </c>
      <c r="BS99" s="954">
        <f>SUM(BO99,BP99,BQ99,BR99)</f>
      </c>
      <c r="BT99" s="670">
        <f>BT100-BT98</f>
      </c>
      <c r="BU99" s="247">
        <f>BU101*BU98</f>
      </c>
      <c r="BV99" s="247">
        <f>BV101*BV98</f>
      </c>
      <c r="BW99" s="247">
        <f>BW101*BW98</f>
      </c>
      <c r="BX99" s="953">
        <f>SUM(BT99,BU99,BV99,BW99)</f>
      </c>
      <c r="BY99" s="247">
        <f>BY101*BY98</f>
      </c>
      <c r="BZ99" s="247">
        <f>BZ101*BZ98</f>
      </c>
      <c r="CA99" s="247">
        <f>CA101*CA98</f>
      </c>
      <c r="CB99" s="247">
        <f>CB101*CB98</f>
      </c>
      <c r="CC99" s="953">
        <f>SUM(BY99,BZ99,CA99,CB99)</f>
      </c>
      <c r="CD99" s="953">
        <f>CD102*CD98</f>
      </c>
      <c r="CE99" s="953">
        <f>CE102*CE98</f>
      </c>
      <c r="CF99" s="953">
        <f>CF102*CF98</f>
      </c>
      <c r="CG99" s="131"/>
    </row>
    <row r="100" spans="1:85" s="589" customFormat="1" hidden="1" outlineLevel="1" x14ac:dyDescent="0.3">
      <c r="A100" s="188" t="s">
        <v>675</v>
      </c>
      <c r="B100" s="245"/>
      <c r="C100" s="933"/>
      <c r="D100" s="933"/>
      <c r="E100" s="933"/>
      <c r="F100" s="933"/>
      <c r="G100" s="200"/>
      <c r="H100" s="200"/>
      <c r="I100" s="200"/>
      <c r="J100" s="200"/>
      <c r="K100" s="933"/>
      <c r="L100" s="200"/>
      <c r="M100" s="200"/>
      <c r="N100" s="200"/>
      <c r="O100" s="200"/>
      <c r="P100" s="933"/>
      <c r="Q100" s="200"/>
      <c r="R100" s="200"/>
      <c r="S100" s="200"/>
      <c r="T100" s="200"/>
      <c r="U100" s="933"/>
      <c r="V100" s="200"/>
      <c r="W100" s="200"/>
      <c r="X100" s="200"/>
      <c r="Y100" s="200"/>
      <c r="Z100" s="933"/>
      <c r="AA100" s="847">
        <v>15425</v>
      </c>
      <c r="AB100" s="847">
        <v>17013</v>
      </c>
      <c r="AC100" s="847">
        <v>18267</v>
      </c>
      <c r="AD100" s="847">
        <v>19717</v>
      </c>
      <c r="AE100" s="934">
        <f>SUM(AE98:AE99)</f>
      </c>
      <c r="AF100" s="847">
        <v>21260</v>
      </c>
      <c r="AG100" s="847">
        <v>22795</v>
      </c>
      <c r="AH100" s="847">
        <v>24115</v>
      </c>
      <c r="AI100" s="847">
        <v>26077</v>
      </c>
      <c r="AJ100" s="934">
        <f>SUM(AJ98:AJ99)</f>
      </c>
      <c r="AK100" s="847">
        <v>27547</v>
      </c>
      <c r="AL100" s="847">
        <v>27890</v>
      </c>
      <c r="AM100" s="847">
        <v>29380</v>
      </c>
      <c r="AN100" s="847">
        <v>31417</v>
      </c>
      <c r="AO100" s="934">
        <f>SUM(AO98:AO99)</f>
      </c>
      <c r="AP100" s="847">
        <v>34318</v>
      </c>
      <c r="AQ100" s="847">
        <v>36068</v>
      </c>
      <c r="AR100" s="847">
        <v>36324</v>
      </c>
      <c r="AS100" s="847">
        <v>37537</v>
      </c>
      <c r="AT100" s="934">
        <f>SUM(AT98:AT99)</f>
      </c>
      <c r="AU100" s="847">
        <v>37894</v>
      </c>
      <c r="AV100" s="847">
        <v>38658</v>
      </c>
      <c r="AW100" s="847">
        <v>38988</v>
      </c>
      <c r="AX100" s="847">
        <v>39961</v>
      </c>
      <c r="AY100" s="934">
        <f>SUM(AY98:AY99)</f>
      </c>
      <c r="AZ100" s="847">
        <v>39610</v>
      </c>
      <c r="BA100" s="847">
        <v>39624</v>
      </c>
      <c r="BB100" s="847">
        <v>39936</v>
      </c>
      <c r="BC100" s="847">
        <v>41699</v>
      </c>
      <c r="BD100" s="934">
        <f>SUM(BD98:BD99)</f>
      </c>
      <c r="BE100" s="847">
        <v>41249</v>
      </c>
      <c r="BF100" s="847">
        <v>42466</v>
      </c>
      <c r="BG100" s="847">
        <v>43645</v>
      </c>
      <c r="BH100" s="847">
        <v>45997</v>
      </c>
      <c r="BI100" s="934">
        <f>SUM(BI98:BI99)</f>
      </c>
      <c r="BJ100" s="847">
        <v>47720</v>
      </c>
      <c r="BK100" s="851">
        <v>49250</v>
      </c>
      <c r="BL100" s="847">
        <v>49182</v>
      </c>
      <c r="BM100" s="847">
        <v>53327</v>
      </c>
      <c r="BN100" s="934">
        <f>SUM(BN98:BN99)</f>
      </c>
      <c r="BO100" s="847">
        <v>52000</v>
      </c>
      <c r="BP100" s="851">
        <v>53000</v>
      </c>
      <c r="BQ100" s="847">
        <v>55000</v>
      </c>
      <c r="BR100" s="847">
        <v>57000</v>
      </c>
      <c r="BS100" s="934">
        <f>SUM(BS98:BS99)</f>
      </c>
      <c r="BT100" s="852">
        <v>58000</v>
      </c>
      <c r="BU100" s="200">
        <f t="shared" ref="BU100:CF100" si="153">SUM(BU98:BU99)</f>
      </c>
      <c r="BV100" s="200">
        <f t="shared" si="153"/>
      </c>
      <c r="BW100" s="200">
        <f t="shared" si="153"/>
      </c>
      <c r="BX100" s="933">
        <f t="shared" si="153"/>
      </c>
      <c r="BY100" s="200">
        <f t="shared" si="153"/>
      </c>
      <c r="BZ100" s="200">
        <f t="shared" si="153"/>
      </c>
      <c r="CA100" s="200">
        <f t="shared" si="153"/>
      </c>
      <c r="CB100" s="200">
        <f t="shared" si="153"/>
      </c>
      <c r="CC100" s="933">
        <f t="shared" si="153"/>
      </c>
      <c r="CD100" s="933">
        <f t="shared" si="153"/>
      </c>
      <c r="CE100" s="933">
        <f t="shared" si="153"/>
      </c>
      <c r="CF100" s="933">
        <f t="shared" si="153"/>
      </c>
      <c r="CG100" s="24"/>
    </row>
    <row r="101" spans="1:85" s="589" customFormat="1" hidden="1" outlineLevel="1" x14ac:dyDescent="0.3">
      <c r="A101" s="310" t="s">
        <v>557</v>
      </c>
      <c r="B101" s="309"/>
      <c r="C101" s="935"/>
      <c r="D101" s="935"/>
      <c r="E101" s="935"/>
      <c r="F101" s="935"/>
      <c r="G101" s="58"/>
      <c r="H101" s="58"/>
      <c r="I101" s="58"/>
      <c r="J101" s="58"/>
      <c r="K101" s="935"/>
      <c r="L101" s="58"/>
      <c r="M101" s="58"/>
      <c r="N101" s="58"/>
      <c r="O101" s="58"/>
      <c r="P101" s="935"/>
      <c r="Q101" s="58"/>
      <c r="R101" s="58"/>
      <c r="S101" s="58"/>
      <c r="T101" s="58"/>
      <c r="U101" s="935"/>
      <c r="V101" s="58"/>
      <c r="W101" s="58"/>
      <c r="X101" s="58"/>
      <c r="Y101" s="58"/>
      <c r="Z101" s="935"/>
      <c r="AA101" s="58"/>
      <c r="AB101" s="308">
        <f>AB100/AA100-1</f>
      </c>
      <c r="AC101" s="308">
        <f>AC100/AB100-1</f>
      </c>
      <c r="AD101" s="308">
        <f>AD100/AC100-1</f>
      </c>
      <c r="AE101" s="935"/>
      <c r="AF101" s="308">
        <f>AF100/AD100-1</f>
      </c>
      <c r="AG101" s="308">
        <f>AG100/AF100-1</f>
      </c>
      <c r="AH101" s="308">
        <f>AH100/AG100-1</f>
      </c>
      <c r="AI101" s="308">
        <f>AI100/AH100-1</f>
      </c>
      <c r="AJ101" s="935"/>
      <c r="AK101" s="308">
        <f>AK100/AI100-1</f>
      </c>
      <c r="AL101" s="308">
        <f>AL100/AK100-1</f>
      </c>
      <c r="AM101" s="308">
        <f>AM100/AL100-1</f>
      </c>
      <c r="AN101" s="308">
        <f>AN100/AM100-1</f>
      </c>
      <c r="AO101" s="935"/>
      <c r="AP101" s="308">
        <f>AP100/AN100-1</f>
      </c>
      <c r="AQ101" s="308">
        <f>AQ100/AP100-1</f>
      </c>
      <c r="AR101" s="308">
        <f>AR100/AQ100-1</f>
      </c>
      <c r="AS101" s="308">
        <f>AS100/AR100-1</f>
      </c>
      <c r="AT101" s="935"/>
      <c r="AU101" s="308">
        <f>AU100/AS100-1</f>
      </c>
      <c r="AV101" s="308">
        <f>AV100/AU100-1</f>
      </c>
      <c r="AW101" s="308">
        <f>AW100/AV100-1</f>
      </c>
      <c r="AX101" s="308">
        <f>AX100/AW100-1</f>
      </c>
      <c r="AY101" s="935"/>
      <c r="AZ101" s="308">
        <f>AZ100/AX100-1</f>
      </c>
      <c r="BA101" s="308">
        <f>BA100/AZ100-1</f>
      </c>
      <c r="BB101" s="308">
        <f>BB100/BA100-1</f>
      </c>
      <c r="BC101" s="308">
        <f>BC100/BB100-1</f>
      </c>
      <c r="BD101" s="935"/>
      <c r="BE101" s="308">
        <f>BE100/BC100-1</f>
      </c>
      <c r="BF101" s="308">
        <f>BF100/BE100-1</f>
      </c>
      <c r="BG101" s="308">
        <f>BG100/BF100-1</f>
      </c>
      <c r="BH101" s="308">
        <f>BH100/BG100-1</f>
      </c>
      <c r="BI101" s="935"/>
      <c r="BJ101" s="308">
        <f>BJ100/BH100-1</f>
      </c>
      <c r="BK101" s="308">
        <f>BK100/BJ100-1</f>
      </c>
      <c r="BL101" s="308">
        <f>BL100/BK100-1</f>
      </c>
      <c r="BM101" s="308">
        <f>BM100/BL100-1</f>
      </c>
      <c r="BN101" s="935"/>
      <c r="BO101" s="308">
        <f>BO100/BM100-1</f>
      </c>
      <c r="BP101" s="308">
        <f>BP100/BO100-1</f>
      </c>
      <c r="BQ101" s="308">
        <f>BQ100/BP100-1</f>
      </c>
      <c r="BR101" s="308">
        <f>BR100/BQ100-1</f>
      </c>
      <c r="BS101" s="935"/>
      <c r="BT101" s="663">
        <f>BT100/BR100-1</f>
      </c>
      <c r="BU101" s="853">
        <v>0.01</v>
      </c>
      <c r="BV101" s="853">
        <v>4.0000000000000001E-3</v>
      </c>
      <c r="BW101" s="853">
        <v>0.01</v>
      </c>
      <c r="BX101" s="935"/>
      <c r="BY101" s="853">
        <v>0.05</v>
      </c>
      <c r="BZ101" s="853">
        <v>4.0000000000000001E-3</v>
      </c>
      <c r="CA101" s="853">
        <v>4.0000000000000001E-3</v>
      </c>
      <c r="CB101" s="853">
        <v>-0.02</v>
      </c>
      <c r="CC101" s="935"/>
      <c r="CD101" s="935"/>
      <c r="CE101" s="935"/>
      <c r="CF101" s="935"/>
      <c r="CG101" s="24"/>
    </row>
    <row r="102" spans="1:85" s="583" customFormat="1" hidden="1" outlineLevel="1" x14ac:dyDescent="0.3">
      <c r="A102" s="767" t="s">
        <v>556</v>
      </c>
      <c r="B102" s="305"/>
      <c r="C102" s="936"/>
      <c r="D102" s="936"/>
      <c r="E102" s="936"/>
      <c r="F102" s="936"/>
      <c r="G102" s="446"/>
      <c r="H102" s="446"/>
      <c r="I102" s="446"/>
      <c r="J102" s="446"/>
      <c r="K102" s="936"/>
      <c r="L102" s="446"/>
      <c r="M102" s="446"/>
      <c r="N102" s="446"/>
      <c r="O102" s="446"/>
      <c r="P102" s="936"/>
      <c r="Q102" s="446"/>
      <c r="R102" s="446"/>
      <c r="S102" s="446"/>
      <c r="T102" s="446"/>
      <c r="U102" s="936"/>
      <c r="V102" s="446"/>
      <c r="W102" s="446"/>
      <c r="X102" s="446"/>
      <c r="Y102" s="446"/>
      <c r="Z102" s="936"/>
      <c r="AA102" s="446"/>
      <c r="AB102" s="446"/>
      <c r="AC102" s="446"/>
      <c r="AD102" s="446"/>
      <c r="AE102" s="936"/>
      <c r="AF102" s="446">
        <f t="shared" ref="AF102:AW102" si="154">+AF100/AA100-1</f>
      </c>
      <c r="AG102" s="446">
        <f t="shared" si="154"/>
      </c>
      <c r="AH102" s="446">
        <f t="shared" si="154"/>
      </c>
      <c r="AI102" s="446">
        <f t="shared" si="154"/>
      </c>
      <c r="AJ102" s="936">
        <f t="shared" si="154"/>
      </c>
      <c r="AK102" s="446">
        <f t="shared" si="154"/>
      </c>
      <c r="AL102" s="446">
        <f t="shared" si="154"/>
      </c>
      <c r="AM102" s="446">
        <f t="shared" si="154"/>
      </c>
      <c r="AN102" s="446">
        <f t="shared" si="154"/>
      </c>
      <c r="AO102" s="936">
        <f t="shared" si="154"/>
      </c>
      <c r="AP102" s="446">
        <f t="shared" si="154"/>
      </c>
      <c r="AQ102" s="446">
        <f t="shared" si="154"/>
      </c>
      <c r="AR102" s="446">
        <f t="shared" si="154"/>
      </c>
      <c r="AS102" s="446">
        <f t="shared" si="154"/>
      </c>
      <c r="AT102" s="936">
        <f t="shared" si="154"/>
      </c>
      <c r="AU102" s="446">
        <f t="shared" si="154"/>
      </c>
      <c r="AV102" s="446">
        <f t="shared" si="154"/>
      </c>
      <c r="AW102" s="446">
        <f t="shared" si="154"/>
      </c>
      <c r="AX102" s="446">
        <f t="shared" ref="AX102:BD102" si="155">+AX100/AS100-1</f>
      </c>
      <c r="AY102" s="936">
        <f t="shared" si="155"/>
      </c>
      <c r="AZ102" s="446">
        <f t="shared" si="155"/>
      </c>
      <c r="BA102" s="446">
        <f t="shared" si="155"/>
      </c>
      <c r="BB102" s="446">
        <f t="shared" si="155"/>
      </c>
      <c r="BC102" s="446">
        <f t="shared" si="155"/>
      </c>
      <c r="BD102" s="936">
        <f t="shared" si="155"/>
      </c>
      <c r="BE102" s="446">
        <f t="shared" ref="BE102:BI102" si="156">+BE100/AZ100-1</f>
      </c>
      <c r="BF102" s="446">
        <f t="shared" si="156"/>
      </c>
      <c r="BG102" s="446">
        <f t="shared" si="156"/>
      </c>
      <c r="BH102" s="446">
        <f t="shared" si="156"/>
      </c>
      <c r="BI102" s="936">
        <f t="shared" si="156"/>
      </c>
      <c r="BJ102" s="446">
        <f t="shared" ref="BJ102:BX102" si="157">+BJ100/BE100-1</f>
      </c>
      <c r="BK102" s="446">
        <f t="shared" si="157"/>
      </c>
      <c r="BL102" s="446">
        <f t="shared" si="157"/>
      </c>
      <c r="BM102" s="446">
        <f t="shared" si="157"/>
      </c>
      <c r="BN102" s="936">
        <f t="shared" si="157"/>
      </c>
      <c r="BO102" s="446">
        <f t="shared" ref="BO102:BW102" si="158">+BO100/BJ100-1</f>
      </c>
      <c r="BP102" s="446">
        <f t="shared" si="158"/>
      </c>
      <c r="BQ102" s="446">
        <f t="shared" si="158"/>
      </c>
      <c r="BR102" s="446">
        <f t="shared" si="158"/>
      </c>
      <c r="BS102" s="936">
        <f t="shared" si="158"/>
      </c>
      <c r="BT102" s="665">
        <f>+BT100/BO100-1</f>
      </c>
      <c r="BU102" s="446">
        <f t="shared" si="158"/>
      </c>
      <c r="BV102" s="446">
        <f t="shared" si="158"/>
      </c>
      <c r="BW102" s="446">
        <f t="shared" si="158"/>
      </c>
      <c r="BX102" s="936">
        <f t="shared" si="157"/>
      </c>
      <c r="BY102" s="446">
        <f>+BY100/BT100-1</f>
      </c>
      <c r="BZ102" s="446">
        <f>+BZ100/BU100-1</f>
      </c>
      <c r="CA102" s="446">
        <f>+CA100/BV100-1</f>
      </c>
      <c r="CB102" s="446">
        <f>+CB100/BW100-1</f>
      </c>
      <c r="CC102" s="936">
        <f>+CC100/BX100-1</f>
      </c>
      <c r="CD102" s="955">
        <v>0.04</v>
      </c>
      <c r="CE102" s="955">
        <v>0.04</v>
      </c>
      <c r="CF102" s="955">
        <v>0.04</v>
      </c>
      <c r="CG102" s="308"/>
    </row>
    <row r="103" spans="1:85" ht="7.5" hidden="1" customHeight="1" outlineLevel="1" x14ac:dyDescent="0.3">
      <c r="A103" s="239"/>
      <c r="B103" s="240"/>
      <c r="C103" s="938"/>
      <c r="D103" s="938"/>
      <c r="E103" s="938"/>
      <c r="F103" s="938"/>
      <c r="G103" s="241"/>
      <c r="H103" s="241"/>
      <c r="I103" s="241"/>
      <c r="J103" s="241"/>
      <c r="K103" s="938"/>
      <c r="L103" s="241"/>
      <c r="M103" s="241"/>
      <c r="N103" s="241"/>
      <c r="O103" s="241"/>
      <c r="P103" s="938"/>
      <c r="Q103" s="241"/>
      <c r="R103" s="241"/>
      <c r="S103" s="241"/>
      <c r="T103" s="241"/>
      <c r="U103" s="938"/>
      <c r="V103" s="241"/>
      <c r="W103" s="241"/>
      <c r="X103" s="241"/>
      <c r="Y103" s="241"/>
      <c r="Z103" s="938"/>
      <c r="AA103" s="241"/>
      <c r="AB103" s="241"/>
      <c r="AC103" s="241"/>
      <c r="AD103" s="241"/>
      <c r="AE103" s="938"/>
      <c r="AF103" s="241"/>
      <c r="AG103" s="241"/>
      <c r="AH103" s="241"/>
      <c r="AI103" s="241"/>
      <c r="AJ103" s="938"/>
      <c r="AK103" s="241"/>
      <c r="AL103" s="241"/>
      <c r="AM103" s="241"/>
      <c r="AN103" s="241"/>
      <c r="AO103" s="938"/>
      <c r="AP103" s="241"/>
      <c r="AQ103" s="241"/>
      <c r="AR103" s="241"/>
      <c r="AS103" s="241"/>
      <c r="AT103" s="938"/>
      <c r="AU103" s="241"/>
      <c r="AV103" s="241"/>
      <c r="AW103" s="241"/>
      <c r="AX103" s="241"/>
      <c r="AY103" s="938"/>
      <c r="AZ103" s="241"/>
      <c r="BA103" s="241"/>
      <c r="BB103" s="241"/>
      <c r="BC103" s="241"/>
      <c r="BD103" s="938"/>
      <c r="BE103" s="241"/>
      <c r="BF103" s="241"/>
      <c r="BG103" s="241"/>
      <c r="BH103" s="241"/>
      <c r="BI103" s="938"/>
      <c r="BJ103" s="241"/>
      <c r="BK103" s="241"/>
      <c r="BL103" s="241"/>
      <c r="BM103" s="241"/>
      <c r="BN103" s="938"/>
      <c r="BO103" s="241"/>
      <c r="BP103" s="241"/>
      <c r="BQ103" s="241"/>
      <c r="BR103" s="241"/>
      <c r="BS103" s="938"/>
      <c r="BT103" s="666"/>
      <c r="BU103" s="241"/>
      <c r="BV103" s="241"/>
      <c r="BW103" s="241"/>
      <c r="BX103" s="938"/>
      <c r="BY103" s="241"/>
      <c r="BZ103" s="241"/>
      <c r="CA103" s="241"/>
      <c r="CB103" s="241"/>
      <c r="CC103" s="938"/>
      <c r="CD103" s="938"/>
      <c r="CE103" s="938"/>
      <c r="CF103" s="938"/>
      <c r="CG103" s="191"/>
    </row>
    <row r="104" spans="1:85" s="582" customFormat="1" hidden="1" outlineLevel="1" x14ac:dyDescent="0.3">
      <c r="A104" s="255" t="s">
        <v>640</v>
      </c>
      <c r="B104" s="392"/>
      <c r="C104" s="956"/>
      <c r="D104" s="956"/>
      <c r="E104" s="956"/>
      <c r="F104" s="956"/>
      <c r="G104" s="257"/>
      <c r="H104" s="257"/>
      <c r="I104" s="257"/>
      <c r="J104" s="257"/>
      <c r="K104" s="956"/>
      <c r="L104" s="257"/>
      <c r="M104" s="257"/>
      <c r="N104" s="257"/>
      <c r="O104" s="257"/>
      <c r="P104" s="956"/>
      <c r="Q104" s="257"/>
      <c r="R104" s="257"/>
      <c r="S104" s="257"/>
      <c r="T104" s="257"/>
      <c r="U104" s="956"/>
      <c r="V104" s="257"/>
      <c r="W104" s="257"/>
      <c r="X104" s="257"/>
      <c r="Y104" s="257"/>
      <c r="Z104" s="956"/>
      <c r="AA104" s="854">
        <v>14817</v>
      </c>
      <c r="AB104" s="257">
        <f>AVERAGE(AB100,AB98)</f>
      </c>
      <c r="AC104" s="257">
        <f>AVERAGE(AC100,AC98)</f>
      </c>
      <c r="AD104" s="257">
        <f>AVERAGE(AD100,AD98)</f>
      </c>
      <c r="AE104" s="956">
        <f>AVERAGE(AA104,AB104,AC104,AD104)</f>
      </c>
      <c r="AF104" s="257">
        <f>AVERAGE(AF100,AF98)</f>
      </c>
      <c r="AG104" s="257">
        <f>AVERAGE(AG100,AG98)</f>
      </c>
      <c r="AH104" s="257">
        <f>AVERAGE(AH100,AH98)</f>
      </c>
      <c r="AI104" s="257">
        <f>AVERAGE(AI100,AI98)</f>
      </c>
      <c r="AJ104" s="956">
        <f>AVERAGE(AF104,AG104,AH104,AI104)</f>
      </c>
      <c r="AK104" s="257">
        <f>AVERAGE(AK100,AK98)</f>
      </c>
      <c r="AL104" s="257">
        <f>AVERAGE(AL100,AL98)</f>
      </c>
      <c r="AM104" s="257">
        <f>AVERAGE(AM100,AM98)</f>
      </c>
      <c r="AN104" s="257">
        <f>AVERAGE(AN100,AN98)</f>
      </c>
      <c r="AO104" s="956">
        <f>AVERAGE(AK104,AL104,AM104,AN104)</f>
      </c>
      <c r="AP104" s="257">
        <f>AVERAGE(AP100,AP98)</f>
      </c>
      <c r="AQ104" s="257">
        <f>AVERAGE(AQ100,AQ98)</f>
      </c>
      <c r="AR104" s="257">
        <f>AVERAGE(AR100,AR98)</f>
      </c>
      <c r="AS104" s="257">
        <f>AVERAGE(AS100,AS98)</f>
      </c>
      <c r="AT104" s="956">
        <f>AVERAGE(AP104,AQ104,AR104,AS104)</f>
      </c>
      <c r="AU104" s="257">
        <f>AVERAGE(AU100,AU98)</f>
      </c>
      <c r="AV104" s="257">
        <f>AVERAGE(AV100,AV98)</f>
      </c>
      <c r="AW104" s="257">
        <f>AVERAGE(AW100,AW98)</f>
      </c>
      <c r="AX104" s="257">
        <f>AVERAGE(AX100,AX98)</f>
      </c>
      <c r="AY104" s="956">
        <f>AVERAGE(AU104,AV104,AW104,AX104)</f>
      </c>
      <c r="AZ104" s="257">
        <f>AVERAGE(AZ100,AZ98)</f>
      </c>
      <c r="BA104" s="257">
        <f>AVERAGE(BA100,BA98)</f>
      </c>
      <c r="BB104" s="257">
        <f>AVERAGE(BB100,BB98)</f>
      </c>
      <c r="BC104" s="257">
        <f>AVERAGE(BC100,BC98)</f>
      </c>
      <c r="BD104" s="956">
        <f>AVERAGE(AZ104,BA104,BB104,BC104)</f>
      </c>
      <c r="BE104" s="257">
        <f>AVERAGE(BE100,BE98)</f>
      </c>
      <c r="BF104" s="257">
        <f>AVERAGE(BF100,BF98)</f>
      </c>
      <c r="BG104" s="257">
        <f>AVERAGE(BG100,BG98)</f>
      </c>
      <c r="BH104" s="257">
        <f>AVERAGE(BH100,BH98)</f>
      </c>
      <c r="BI104" s="956">
        <f>AVERAGE(BE104,BF104,BG104,BH104)</f>
      </c>
      <c r="BJ104" s="257">
        <f>AVERAGE(BJ100,BJ98)</f>
      </c>
      <c r="BK104" s="257">
        <f>AVERAGE(BK100,BK98)</f>
      </c>
      <c r="BL104" s="257">
        <f>AVERAGE(BL100,BL98)</f>
      </c>
      <c r="BM104" s="257">
        <f>AVERAGE(BM100,BM98)</f>
      </c>
      <c r="BN104" s="956">
        <f>AVERAGE(BJ104,BK104,BL104,BM104)</f>
      </c>
      <c r="BO104" s="257">
        <f>AVERAGE(BO100,BO98)</f>
      </c>
      <c r="BP104" s="257">
        <f>AVERAGE(BP100,BP98)</f>
      </c>
      <c r="BQ104" s="257">
        <f>AVERAGE(BQ100,BQ98)</f>
      </c>
      <c r="BR104" s="257">
        <f>AVERAGE(BR100,BR98)</f>
      </c>
      <c r="BS104" s="956">
        <f>AVERAGE(BO104,BP104,BQ104,BR104)</f>
      </c>
      <c r="BT104" s="671">
        <f>AVERAGE(BT100,BT98)</f>
      </c>
      <c r="BU104" s="257">
        <f>AVERAGE(BU100,BU98)</f>
      </c>
      <c r="BV104" s="257">
        <f>AVERAGE(BV100,BV98)</f>
      </c>
      <c r="BW104" s="257">
        <f>AVERAGE(BW100,BW98)</f>
      </c>
      <c r="BX104" s="956">
        <f>AVERAGE(BT104,BU104,BV104,BW104)</f>
      </c>
      <c r="BY104" s="257">
        <f>AVERAGE(BY100,BY98)</f>
      </c>
      <c r="BZ104" s="257">
        <f>AVERAGE(BZ100,BZ98)</f>
      </c>
      <c r="CA104" s="257">
        <f>AVERAGE(CA100,CA98)</f>
      </c>
      <c r="CB104" s="257">
        <f>AVERAGE(CB100,CB98)</f>
      </c>
      <c r="CC104" s="956">
        <f>AVERAGE(BY104,BZ104,CA104,CB104)</f>
      </c>
      <c r="CD104" s="956">
        <f>AVERAGE(CD100,CD98)</f>
      </c>
      <c r="CE104" s="956">
        <f>AVERAGE(CE100,CE98)</f>
      </c>
      <c r="CF104" s="956">
        <f>AVERAGE(CF100,CF98)</f>
      </c>
      <c r="CG104" s="131"/>
    </row>
    <row r="105" spans="1:85" s="582" customFormat="1" hidden="1" outlineLevel="1" x14ac:dyDescent="0.3">
      <c r="A105" s="327" t="s">
        <v>645</v>
      </c>
      <c r="B105" s="366"/>
      <c r="C105" s="936"/>
      <c r="D105" s="936"/>
      <c r="E105" s="936"/>
      <c r="F105" s="936"/>
      <c r="G105" s="446"/>
      <c r="H105" s="446"/>
      <c r="I105" s="446"/>
      <c r="J105" s="446"/>
      <c r="K105" s="936"/>
      <c r="L105" s="446"/>
      <c r="M105" s="446"/>
      <c r="N105" s="446"/>
      <c r="O105" s="446"/>
      <c r="P105" s="936"/>
      <c r="Q105" s="446"/>
      <c r="R105" s="446"/>
      <c r="S105" s="446"/>
      <c r="T105" s="446"/>
      <c r="U105" s="936"/>
      <c r="V105" s="446"/>
      <c r="W105" s="446"/>
      <c r="X105" s="446"/>
      <c r="Y105" s="446"/>
      <c r="Z105" s="936"/>
      <c r="AA105" s="446"/>
      <c r="AB105" s="446">
        <f>AB104/AA104-1</f>
      </c>
      <c r="AC105" s="446">
        <f>AC104/AB104-1</f>
      </c>
      <c r="AD105" s="446">
        <f>AD104/AC104-1</f>
      </c>
      <c r="AE105" s="936"/>
      <c r="AF105" s="446">
        <f>AF104/AD104-1</f>
      </c>
      <c r="AG105" s="446">
        <f>AG104/AF104-1</f>
      </c>
      <c r="AH105" s="446">
        <f>AH104/AG104-1</f>
      </c>
      <c r="AI105" s="446">
        <f>AI104/AH104-1</f>
      </c>
      <c r="AJ105" s="936"/>
      <c r="AK105" s="446">
        <f>AK104/AI104-1</f>
      </c>
      <c r="AL105" s="446">
        <f>AL104/AK104-1</f>
      </c>
      <c r="AM105" s="446">
        <f>AM104/AL104-1</f>
      </c>
      <c r="AN105" s="446">
        <f>AN104/AM104-1</f>
      </c>
      <c r="AO105" s="936"/>
      <c r="AP105" s="446">
        <f>AP104/AN104-1</f>
      </c>
      <c r="AQ105" s="446">
        <f>AQ104/AP104-1</f>
      </c>
      <c r="AR105" s="446">
        <f>AR104/AQ104-1</f>
      </c>
      <c r="AS105" s="446">
        <f>AS104/AR104-1</f>
      </c>
      <c r="AT105" s="936"/>
      <c r="AU105" s="446">
        <f>AU104/AS104-1</f>
      </c>
      <c r="AV105" s="446">
        <f>AV104/AU104-1</f>
      </c>
      <c r="AW105" s="446">
        <f>AW104/AV104-1</f>
      </c>
      <c r="AX105" s="446">
        <f>AX104/AW104-1</f>
      </c>
      <c r="AY105" s="936"/>
      <c r="AZ105" s="446">
        <f>AZ104/AX104-1</f>
      </c>
      <c r="BA105" s="446">
        <f>BA104/AZ104-1</f>
      </c>
      <c r="BB105" s="446">
        <f>BB104/BA104-1</f>
      </c>
      <c r="BC105" s="446">
        <f>BC104/BB104-1</f>
      </c>
      <c r="BD105" s="936"/>
      <c r="BE105" s="446">
        <f>BE104/BC104-1</f>
      </c>
      <c r="BF105" s="446">
        <f>BF104/BE104-1</f>
      </c>
      <c r="BG105" s="446">
        <f>BG104/BF104-1</f>
      </c>
      <c r="BH105" s="446">
        <f>BH104/BG104-1</f>
      </c>
      <c r="BI105" s="936"/>
      <c r="BJ105" s="446">
        <f>BJ104/BH104-1</f>
      </c>
      <c r="BK105" s="446">
        <f>BK104/BJ104-1</f>
      </c>
      <c r="BL105" s="446">
        <f>BL104/BK104-1</f>
      </c>
      <c r="BM105" s="446">
        <f>BM104/BL104-1</f>
      </c>
      <c r="BN105" s="936"/>
      <c r="BO105" s="446">
        <f>BO104/BM104-1</f>
      </c>
      <c r="BP105" s="446">
        <f>BP104/BO104-1</f>
      </c>
      <c r="BQ105" s="446">
        <f>BQ104/BP104-1</f>
      </c>
      <c r="BR105" s="446">
        <f>BR104/BQ104-1</f>
      </c>
      <c r="BS105" s="936"/>
      <c r="BT105" s="665">
        <f>BT104/BR104-1</f>
      </c>
      <c r="BU105" s="446">
        <f>BU104/BT104-1</f>
      </c>
      <c r="BV105" s="446">
        <f>BV104/BU104-1</f>
      </c>
      <c r="BW105" s="446">
        <f>BW104/BV104-1</f>
      </c>
      <c r="BX105" s="936"/>
      <c r="BY105" s="446">
        <f>BY104/BW104-1</f>
      </c>
      <c r="BZ105" s="446">
        <f>BZ104/BY104-1</f>
      </c>
      <c r="CA105" s="446">
        <f>CA104/BZ104-1</f>
      </c>
      <c r="CB105" s="446">
        <f>CB104/CA104-1</f>
      </c>
      <c r="CC105" s="936"/>
      <c r="CD105" s="936"/>
      <c r="CE105" s="936"/>
      <c r="CF105" s="936"/>
      <c r="CG105" s="24"/>
    </row>
    <row r="106" spans="1:85" s="590" customFormat="1" hidden="1" outlineLevel="1" x14ac:dyDescent="0.3">
      <c r="A106" s="69" t="s">
        <v>646</v>
      </c>
      <c r="B106" s="305"/>
      <c r="C106" s="936"/>
      <c r="D106" s="936"/>
      <c r="E106" s="936"/>
      <c r="F106" s="936"/>
      <c r="G106" s="446"/>
      <c r="H106" s="446"/>
      <c r="I106" s="446"/>
      <c r="J106" s="446"/>
      <c r="K106" s="936"/>
      <c r="L106" s="446"/>
      <c r="M106" s="446"/>
      <c r="N106" s="446"/>
      <c r="O106" s="446"/>
      <c r="P106" s="936"/>
      <c r="Q106" s="446"/>
      <c r="R106" s="446"/>
      <c r="S106" s="446"/>
      <c r="T106" s="446"/>
      <c r="U106" s="936"/>
      <c r="V106" s="446"/>
      <c r="W106" s="446"/>
      <c r="X106" s="446"/>
      <c r="Y106" s="446"/>
      <c r="Z106" s="936"/>
      <c r="AA106" s="446"/>
      <c r="AB106" s="446"/>
      <c r="AC106" s="446"/>
      <c r="AD106" s="446"/>
      <c r="AE106" s="936"/>
      <c r="AF106" s="446">
        <f t="shared" ref="AF106:AW106" si="159">AF104/AA104-1</f>
      </c>
      <c r="AG106" s="446">
        <f t="shared" si="159"/>
      </c>
      <c r="AH106" s="446">
        <f t="shared" si="159"/>
      </c>
      <c r="AI106" s="446">
        <f t="shared" si="159"/>
      </c>
      <c r="AJ106" s="936">
        <f t="shared" si="159"/>
      </c>
      <c r="AK106" s="446">
        <f t="shared" si="159"/>
      </c>
      <c r="AL106" s="446">
        <f t="shared" si="159"/>
      </c>
      <c r="AM106" s="446">
        <f t="shared" si="159"/>
      </c>
      <c r="AN106" s="446">
        <f t="shared" si="159"/>
      </c>
      <c r="AO106" s="936">
        <f t="shared" si="159"/>
      </c>
      <c r="AP106" s="446">
        <f t="shared" si="159"/>
      </c>
      <c r="AQ106" s="446">
        <f t="shared" si="159"/>
      </c>
      <c r="AR106" s="446">
        <f t="shared" si="159"/>
      </c>
      <c r="AS106" s="446">
        <f t="shared" si="159"/>
      </c>
      <c r="AT106" s="936">
        <f t="shared" si="159"/>
      </c>
      <c r="AU106" s="446">
        <f t="shared" si="159"/>
      </c>
      <c r="AV106" s="446">
        <f t="shared" si="159"/>
      </c>
      <c r="AW106" s="446">
        <f t="shared" si="159"/>
      </c>
      <c r="AX106" s="446">
        <f t="shared" ref="AX106:BD106" si="160">AX104/AS104-1</f>
      </c>
      <c r="AY106" s="936">
        <f t="shared" si="160"/>
      </c>
      <c r="AZ106" s="446">
        <f t="shared" si="160"/>
      </c>
      <c r="BA106" s="446">
        <f t="shared" si="160"/>
      </c>
      <c r="BB106" s="446">
        <f t="shared" si="160"/>
      </c>
      <c r="BC106" s="446">
        <f t="shared" si="160"/>
      </c>
      <c r="BD106" s="936">
        <f t="shared" si="160"/>
      </c>
      <c r="BE106" s="446">
        <f t="shared" ref="BE106:BI106" si="161">BE104/AZ104-1</f>
      </c>
      <c r="BF106" s="446">
        <f t="shared" si="161"/>
      </c>
      <c r="BG106" s="446">
        <f t="shared" si="161"/>
      </c>
      <c r="BH106" s="446">
        <f t="shared" si="161"/>
      </c>
      <c r="BI106" s="936">
        <f t="shared" si="161"/>
      </c>
      <c r="BJ106" s="446">
        <f t="shared" ref="BJ106:BX106" si="162">BJ104/BE104-1</f>
      </c>
      <c r="BK106" s="446">
        <f t="shared" si="162"/>
      </c>
      <c r="BL106" s="446">
        <f t="shared" si="162"/>
      </c>
      <c r="BM106" s="446">
        <f t="shared" si="162"/>
      </c>
      <c r="BN106" s="936">
        <f t="shared" si="162"/>
      </c>
      <c r="BO106" s="446">
        <f t="shared" ref="BO106:BW106" si="163">BO104/BJ104-1</f>
      </c>
      <c r="BP106" s="446">
        <f t="shared" si="163"/>
      </c>
      <c r="BQ106" s="446">
        <f t="shared" si="163"/>
      </c>
      <c r="BR106" s="446">
        <f t="shared" si="163"/>
      </c>
      <c r="BS106" s="936">
        <f t="shared" si="163"/>
      </c>
      <c r="BT106" s="665">
        <f>BT104/BO104-1</f>
      </c>
      <c r="BU106" s="446">
        <f t="shared" si="163"/>
      </c>
      <c r="BV106" s="446">
        <f t="shared" si="163"/>
      </c>
      <c r="BW106" s="446">
        <f t="shared" si="163"/>
      </c>
      <c r="BX106" s="936">
        <f t="shared" si="162"/>
      </c>
      <c r="BY106" s="446">
        <f>BY104/BT104-1</f>
      </c>
      <c r="BZ106" s="446">
        <f>BZ104/BU104-1</f>
      </c>
      <c r="CA106" s="446">
        <f>CA104/BV104-1</f>
      </c>
      <c r="CB106" s="446">
        <f>CB104/BW104-1</f>
      </c>
      <c r="CC106" s="936">
        <f>CC104/BX104-1</f>
      </c>
      <c r="CD106" s="936">
        <f>CD104/CC104-1</f>
      </c>
      <c r="CE106" s="936">
        <f>CE104/CD104-1</f>
      </c>
      <c r="CF106" s="936">
        <f>CF104/CE104-1</f>
      </c>
      <c r="CG106" s="308"/>
    </row>
    <row r="107" spans="1:85" ht="7.5" hidden="1" customHeight="1" outlineLevel="1" x14ac:dyDescent="0.3">
      <c r="A107" s="239"/>
      <c r="B107" s="240"/>
      <c r="C107" s="938"/>
      <c r="D107" s="938"/>
      <c r="E107" s="938"/>
      <c r="F107" s="938"/>
      <c r="G107" s="241"/>
      <c r="H107" s="241"/>
      <c r="I107" s="241"/>
      <c r="J107" s="241"/>
      <c r="K107" s="938"/>
      <c r="L107" s="241"/>
      <c r="M107" s="241"/>
      <c r="N107" s="241"/>
      <c r="O107" s="241"/>
      <c r="P107" s="938"/>
      <c r="Q107" s="241"/>
      <c r="R107" s="241"/>
      <c r="S107" s="241"/>
      <c r="T107" s="241"/>
      <c r="U107" s="938"/>
      <c r="V107" s="241"/>
      <c r="W107" s="241"/>
      <c r="X107" s="241"/>
      <c r="Y107" s="241"/>
      <c r="Z107" s="938"/>
      <c r="AA107" s="241"/>
      <c r="AB107" s="241"/>
      <c r="AC107" s="241"/>
      <c r="AD107" s="241"/>
      <c r="AE107" s="938"/>
      <c r="AF107" s="241"/>
      <c r="AG107" s="241"/>
      <c r="AH107" s="241"/>
      <c r="AI107" s="241"/>
      <c r="AJ107" s="938"/>
      <c r="AK107" s="241"/>
      <c r="AL107" s="241"/>
      <c r="AM107" s="241"/>
      <c r="AN107" s="241"/>
      <c r="AO107" s="938"/>
      <c r="AP107" s="241"/>
      <c r="AQ107" s="241"/>
      <c r="AR107" s="241"/>
      <c r="AS107" s="241"/>
      <c r="AT107" s="938"/>
      <c r="AU107" s="241"/>
      <c r="AV107" s="241"/>
      <c r="AW107" s="241"/>
      <c r="AX107" s="241"/>
      <c r="AY107" s="938"/>
      <c r="AZ107" s="241"/>
      <c r="BA107" s="241"/>
      <c r="BB107" s="241"/>
      <c r="BC107" s="241"/>
      <c r="BD107" s="938"/>
      <c r="BE107" s="241"/>
      <c r="BF107" s="241"/>
      <c r="BG107" s="241"/>
      <c r="BH107" s="241"/>
      <c r="BI107" s="938"/>
      <c r="BJ107" s="241"/>
      <c r="BK107" s="241"/>
      <c r="BL107" s="241"/>
      <c r="BM107" s="241"/>
      <c r="BN107" s="938"/>
      <c r="BO107" s="241"/>
      <c r="BP107" s="241"/>
      <c r="BQ107" s="241"/>
      <c r="BR107" s="241"/>
      <c r="BS107" s="938"/>
      <c r="BT107" s="666"/>
      <c r="BU107" s="241"/>
      <c r="BV107" s="241"/>
      <c r="BW107" s="241"/>
      <c r="BX107" s="938"/>
      <c r="BY107" s="241"/>
      <c r="BZ107" s="241"/>
      <c r="CA107" s="241"/>
      <c r="CB107" s="241"/>
      <c r="CC107" s="938"/>
      <c r="CD107" s="938"/>
      <c r="CE107" s="938"/>
      <c r="CF107" s="938"/>
      <c r="CG107" s="191"/>
    </row>
    <row r="108" spans="1:85" s="589" customFormat="1" hidden="1" outlineLevel="1" x14ac:dyDescent="0.3">
      <c r="A108" s="316" t="s">
        <v>403</v>
      </c>
      <c r="B108" s="249"/>
      <c r="C108" s="959"/>
      <c r="D108" s="959"/>
      <c r="E108" s="959"/>
      <c r="F108" s="959"/>
      <c r="G108" s="70"/>
      <c r="H108" s="70"/>
      <c r="I108" s="70"/>
      <c r="J108" s="70"/>
      <c r="K108" s="959"/>
      <c r="L108" s="70"/>
      <c r="M108" s="70"/>
      <c r="N108" s="70"/>
      <c r="O108" s="70"/>
      <c r="P108" s="959"/>
      <c r="Q108" s="70"/>
      <c r="R108" s="70"/>
      <c r="S108" s="70"/>
      <c r="T108" s="70"/>
      <c r="U108" s="959"/>
      <c r="V108" s="70"/>
      <c r="W108" s="70"/>
      <c r="X108" s="70"/>
      <c r="Y108" s="70"/>
      <c r="Z108" s="959"/>
      <c r="AA108" s="855">
        <v>7.46</v>
      </c>
      <c r="AB108" s="855">
        <v>7.84</v>
      </c>
      <c r="AC108" s="855">
        <v>8.2100000000000009</v>
      </c>
      <c r="AD108" s="855">
        <v>8.69</v>
      </c>
      <c r="AE108" s="960">
        <v>8.09</v>
      </c>
      <c r="AF108" s="855">
        <v>8.7899999999999991</v>
      </c>
      <c r="AG108" s="855">
        <v>8.6</v>
      </c>
      <c r="AH108" s="855">
        <v>7.99</v>
      </c>
      <c r="AI108" s="855">
        <v>7.53</v>
      </c>
      <c r="AJ108" s="960">
        <v>8.19</v>
      </c>
      <c r="AK108" s="855">
        <v>7.84</v>
      </c>
      <c r="AL108" s="855">
        <v>8.14</v>
      </c>
      <c r="AM108" s="855">
        <v>8.6300000000000008</v>
      </c>
      <c r="AN108" s="855">
        <v>8.18</v>
      </c>
      <c r="AO108" s="960">
        <v>8.2100000000000009</v>
      </c>
      <c r="AP108" s="855">
        <v>8.0500000000000007</v>
      </c>
      <c r="AQ108" s="855">
        <v>7.44</v>
      </c>
      <c r="AR108" s="855">
        <v>7.27</v>
      </c>
      <c r="AS108" s="855">
        <v>7.12</v>
      </c>
      <c r="AT108" s="960">
        <v>7.45</v>
      </c>
      <c r="AU108" s="855">
        <v>7.39</v>
      </c>
      <c r="AV108" s="855">
        <v>7.5</v>
      </c>
      <c r="AW108" s="855">
        <v>7.86</v>
      </c>
      <c r="AX108" s="855">
        <v>8.14</v>
      </c>
      <c r="AY108" s="960">
        <v>7.73</v>
      </c>
      <c r="AZ108" s="855">
        <v>8.3699999999999992</v>
      </c>
      <c r="BA108" s="855">
        <v>8.67</v>
      </c>
      <c r="BB108" s="855">
        <v>8.58</v>
      </c>
      <c r="BC108" s="855">
        <v>8.3000000000000007</v>
      </c>
      <c r="BD108" s="960">
        <v>8.48</v>
      </c>
      <c r="BE108" s="855">
        <v>8.6</v>
      </c>
      <c r="BF108" s="855">
        <v>8.58</v>
      </c>
      <c r="BG108" s="855">
        <v>8.85</v>
      </c>
      <c r="BH108" s="855">
        <v>8.6</v>
      </c>
      <c r="BI108" s="960">
        <v>8.66</v>
      </c>
      <c r="BJ108" s="855">
        <v>8.2899999999999991</v>
      </c>
      <c r="BK108" s="855">
        <v>8.2799999999999994</v>
      </c>
      <c r="BL108" s="855">
        <v>8.4</v>
      </c>
      <c r="BM108" s="855">
        <v>8</v>
      </c>
      <c r="BN108" s="960">
        <v>8.24</v>
      </c>
      <c r="BO108" s="70">
        <f>BO113/BO104*1000/3</f>
      </c>
      <c r="BP108" s="70">
        <f t="shared" ref="BP108:BR108" si="164">BP113/BP104*1000/3</f>
      </c>
      <c r="BQ108" s="70">
        <f t="shared" si="164"/>
      </c>
      <c r="BR108" s="70">
        <f t="shared" si="164"/>
      </c>
      <c r="BS108" s="959">
        <f>BS113/BS104*1000/12</f>
      </c>
      <c r="BT108" s="856">
        <f>BT113/BT100*1000/3</f>
      </c>
      <c r="BU108" s="70">
        <f>BT108*(1+BU109)</f>
      </c>
      <c r="BV108" s="70">
        <f>BU108*(1+BV109)</f>
      </c>
      <c r="BW108" s="70">
        <f>BV108*(1+BW109)</f>
      </c>
      <c r="BX108" s="959">
        <f>AVERAGE(BT108,BU108,BV108,BW108)</f>
      </c>
      <c r="BY108" s="70">
        <f>BW108*(1+BY109)</f>
      </c>
      <c r="BZ108" s="70">
        <f>BY108*(1+BZ109)</f>
      </c>
      <c r="CA108" s="70">
        <f>BZ108*(1+CA109)</f>
      </c>
      <c r="CB108" s="70">
        <f>CA108*(1+CB109)</f>
      </c>
      <c r="CC108" s="959">
        <f>AVERAGE(BY108,BZ108,CA108,CB108)</f>
      </c>
      <c r="CD108" s="959">
        <f>+CC108*(1+CD111)</f>
      </c>
      <c r="CE108" s="959">
        <f>+CD108*(1+CE111)</f>
      </c>
      <c r="CF108" s="959">
        <f>+CE108*(1+CF111)</f>
      </c>
      <c r="CG108" s="20"/>
    </row>
    <row r="109" spans="1:85" s="589" customFormat="1" hidden="1" outlineLevel="1" x14ac:dyDescent="0.3">
      <c r="A109" s="319" t="s">
        <v>560</v>
      </c>
      <c r="B109" s="320"/>
      <c r="C109" s="935"/>
      <c r="D109" s="935"/>
      <c r="E109" s="935"/>
      <c r="F109" s="935"/>
      <c r="G109" s="58"/>
      <c r="H109" s="58"/>
      <c r="I109" s="58"/>
      <c r="J109" s="58"/>
      <c r="K109" s="935"/>
      <c r="L109" s="58"/>
      <c r="M109" s="58"/>
      <c r="N109" s="58"/>
      <c r="O109" s="58"/>
      <c r="P109" s="935"/>
      <c r="Q109" s="58"/>
      <c r="R109" s="58"/>
      <c r="S109" s="58"/>
      <c r="T109" s="58"/>
      <c r="U109" s="935"/>
      <c r="V109" s="58"/>
      <c r="W109" s="58"/>
      <c r="X109" s="58"/>
      <c r="Y109" s="58"/>
      <c r="Z109" s="935"/>
      <c r="AA109" s="58"/>
      <c r="AB109" s="308">
        <f>AB108/AA108-1</f>
      </c>
      <c r="AC109" s="308">
        <f>AC108/AB108-1</f>
      </c>
      <c r="AD109" s="308">
        <f>AD108/AC108-1</f>
      </c>
      <c r="AE109" s="935"/>
      <c r="AF109" s="308">
        <f>AF108/AD108-1</f>
      </c>
      <c r="AG109" s="308">
        <f>AG108/AF108-1</f>
      </c>
      <c r="AH109" s="308">
        <f>AH108/AG108-1</f>
      </c>
      <c r="AI109" s="308">
        <f>AI108/AH108-1</f>
      </c>
      <c r="AJ109" s="935"/>
      <c r="AK109" s="308">
        <f>AK108/AI108-1</f>
      </c>
      <c r="AL109" s="308">
        <f>AL108/AK108-1</f>
      </c>
      <c r="AM109" s="308">
        <f>AM108/AL108-1</f>
      </c>
      <c r="AN109" s="308">
        <f>AN108/AM108-1</f>
      </c>
      <c r="AO109" s="935"/>
      <c r="AP109" s="308">
        <f>AP108/AN108-1</f>
      </c>
      <c r="AQ109" s="308">
        <f>AQ108/AP108-1</f>
      </c>
      <c r="AR109" s="308">
        <f>AR108/AQ108-1</f>
      </c>
      <c r="AS109" s="308">
        <f>AS108/AR108-1</f>
      </c>
      <c r="AT109" s="935"/>
      <c r="AU109" s="308">
        <f>AU108/AS108-1</f>
      </c>
      <c r="AV109" s="308">
        <f>AV108/AU108-1</f>
      </c>
      <c r="AW109" s="308">
        <f>AW108/AV108-1</f>
      </c>
      <c r="AX109" s="308">
        <f>AX108/AW108-1</f>
      </c>
      <c r="AY109" s="935"/>
      <c r="AZ109" s="308">
        <f>AZ108/AX108-1</f>
      </c>
      <c r="BA109" s="308">
        <f>BA108/AZ108-1</f>
      </c>
      <c r="BB109" s="308">
        <f>BB108/BA108-1</f>
      </c>
      <c r="BC109" s="308">
        <f>BC108/BB108-1</f>
      </c>
      <c r="BD109" s="935"/>
      <c r="BE109" s="308">
        <f>BE108/BC108-1</f>
      </c>
      <c r="BF109" s="308">
        <f>BF108/BE108-1</f>
      </c>
      <c r="BG109" s="308">
        <f>BG108/BF108-1</f>
      </c>
      <c r="BH109" s="308">
        <f>BH108/BG108-1</f>
      </c>
      <c r="BI109" s="935"/>
      <c r="BJ109" s="308">
        <f>BJ108/BH108-1</f>
      </c>
      <c r="BK109" s="308">
        <f>BK108/BJ108-1</f>
      </c>
      <c r="BL109" s="308">
        <f>BL108/BK108-1</f>
      </c>
      <c r="BM109" s="308">
        <f>BM108/BL108-1</f>
      </c>
      <c r="BN109" s="935"/>
      <c r="BO109" s="308">
        <f>BO108/BM108-1</f>
      </c>
      <c r="BP109" s="308">
        <f>BP108/BO108-1</f>
      </c>
      <c r="BQ109" s="308">
        <f>BQ108/BP108-1</f>
      </c>
      <c r="BR109" s="308">
        <f>BR108/BQ108-1</f>
      </c>
      <c r="BS109" s="935"/>
      <c r="BT109" s="663">
        <f>BT108/BR108-1</f>
      </c>
      <c r="BU109" s="853">
        <v>0.01</v>
      </c>
      <c r="BV109" s="853">
        <v>0.01</v>
      </c>
      <c r="BW109" s="853">
        <v>0.01</v>
      </c>
      <c r="BX109" s="935"/>
      <c r="BY109" s="853">
        <v>0.05</v>
      </c>
      <c r="BZ109" s="853">
        <v>0</v>
      </c>
      <c r="CA109" s="853">
        <v>0.01</v>
      </c>
      <c r="CB109" s="853">
        <v>-0.02</v>
      </c>
      <c r="CC109" s="935"/>
      <c r="CD109" s="935"/>
      <c r="CE109" s="935"/>
      <c r="CF109" s="935"/>
      <c r="CG109" s="20"/>
    </row>
    <row r="110" spans="1:85" s="583" customFormat="1" hidden="1" outlineLevel="1" x14ac:dyDescent="0.3">
      <c r="A110" s="47" t="s">
        <v>592</v>
      </c>
      <c r="B110" s="311"/>
      <c r="C110" s="935"/>
      <c r="D110" s="935"/>
      <c r="E110" s="935"/>
      <c r="F110" s="935"/>
      <c r="G110" s="58"/>
      <c r="H110" s="58"/>
      <c r="I110" s="58"/>
      <c r="J110" s="58"/>
      <c r="K110" s="935"/>
      <c r="L110" s="58"/>
      <c r="M110" s="58"/>
      <c r="N110" s="58"/>
      <c r="O110" s="58"/>
      <c r="P110" s="935"/>
      <c r="Q110" s="58"/>
      <c r="R110" s="58"/>
      <c r="S110" s="58"/>
      <c r="T110" s="58"/>
      <c r="U110" s="935"/>
      <c r="V110" s="58"/>
      <c r="W110" s="58"/>
      <c r="X110" s="58"/>
      <c r="Y110" s="58"/>
      <c r="Z110" s="935"/>
      <c r="AA110" s="853">
        <v>0.15</v>
      </c>
      <c r="AB110" s="853">
        <v>0.15</v>
      </c>
      <c r="AC110" s="853">
        <v>0.13</v>
      </c>
      <c r="AD110" s="853">
        <v>0.17</v>
      </c>
      <c r="AE110" s="961">
        <v>0.15</v>
      </c>
      <c r="AF110" s="853">
        <v>0.18</v>
      </c>
      <c r="AG110" s="853">
        <v>0.18</v>
      </c>
      <c r="AH110" s="853">
        <v>0.14000000000000001</v>
      </c>
      <c r="AI110" s="853">
        <v>0.06</v>
      </c>
      <c r="AJ110" s="961">
        <v>0.13</v>
      </c>
      <c r="AK110" s="853">
        <v>7.0000000000000007E-2</v>
      </c>
      <c r="AL110" s="853">
        <v>0.12</v>
      </c>
      <c r="AM110" s="853">
        <v>0.17</v>
      </c>
      <c r="AN110" s="853">
        <v>0.18</v>
      </c>
      <c r="AO110" s="961">
        <v>0.13</v>
      </c>
      <c r="AP110" s="853">
        <v>0.12</v>
      </c>
      <c r="AQ110" s="853">
        <v>0.13</v>
      </c>
      <c r="AR110" s="853">
        <v>0.05</v>
      </c>
      <c r="AS110" s="853">
        <v>0.04</v>
      </c>
      <c r="AT110" s="961">
        <v>0.08</v>
      </c>
      <c r="AU110" s="853">
        <v>0.05</v>
      </c>
      <c r="AV110" s="853">
        <v>0.02</v>
      </c>
      <c r="AW110" s="853">
        <v>0.08</v>
      </c>
      <c r="AX110" s="853">
        <v>0.17</v>
      </c>
      <c r="AY110" s="961">
        <v>0.08</v>
      </c>
      <c r="AZ110" s="853">
        <v>0.2</v>
      </c>
      <c r="BA110" s="853">
        <v>0.15</v>
      </c>
      <c r="BB110" s="853">
        <v>0.16</v>
      </c>
      <c r="BC110" s="853">
        <v>7.0000000000000007E-2</v>
      </c>
      <c r="BD110" s="961">
        <v>0.14000000000000001</v>
      </c>
      <c r="BE110" s="853">
        <v>0.08</v>
      </c>
      <c r="BF110" s="853">
        <v>0.08</v>
      </c>
      <c r="BG110" s="853">
        <v>0.08</v>
      </c>
      <c r="BH110" s="853">
        <v>0.16</v>
      </c>
      <c r="BI110" s="961">
        <v>0.1</v>
      </c>
      <c r="BJ110" s="853">
        <v>0.16</v>
      </c>
      <c r="BK110" s="853">
        <v>0.24</v>
      </c>
      <c r="BL110" s="853">
        <v>0.27</v>
      </c>
      <c r="BM110" s="853">
        <v>0.18</v>
      </c>
      <c r="BN110" s="961">
        <v>0.21</v>
      </c>
      <c r="BO110" s="58"/>
      <c r="BP110" s="58"/>
      <c r="BQ110" s="58"/>
      <c r="BR110" s="58"/>
      <c r="BS110" s="935"/>
      <c r="BT110" s="669"/>
      <c r="BU110" s="58"/>
      <c r="BV110" s="58"/>
      <c r="BW110" s="58"/>
      <c r="BX110" s="935"/>
      <c r="BY110" s="58"/>
      <c r="BZ110" s="58"/>
      <c r="CA110" s="58"/>
      <c r="CB110" s="58"/>
      <c r="CC110" s="935"/>
      <c r="CD110" s="935"/>
      <c r="CE110" s="935"/>
      <c r="CF110" s="935"/>
      <c r="CG110" s="308"/>
    </row>
    <row r="111" spans="1:85" s="583" customFormat="1" hidden="1" outlineLevel="1" x14ac:dyDescent="0.3">
      <c r="A111" s="317" t="s">
        <v>559</v>
      </c>
      <c r="B111" s="305"/>
      <c r="C111" s="936"/>
      <c r="D111" s="936"/>
      <c r="E111" s="936"/>
      <c r="F111" s="936"/>
      <c r="G111" s="446"/>
      <c r="H111" s="446"/>
      <c r="I111" s="446"/>
      <c r="J111" s="446"/>
      <c r="K111" s="936"/>
      <c r="L111" s="446"/>
      <c r="M111" s="446"/>
      <c r="N111" s="446"/>
      <c r="O111" s="446"/>
      <c r="P111" s="936"/>
      <c r="Q111" s="446"/>
      <c r="R111" s="446"/>
      <c r="S111" s="446"/>
      <c r="T111" s="446"/>
      <c r="U111" s="936"/>
      <c r="V111" s="446"/>
      <c r="W111" s="446"/>
      <c r="X111" s="446"/>
      <c r="Y111" s="446"/>
      <c r="Z111" s="936"/>
      <c r="AA111" s="446"/>
      <c r="AB111" s="446"/>
      <c r="AC111" s="446"/>
      <c r="AD111" s="446"/>
      <c r="AE111" s="936"/>
      <c r="AF111" s="446">
        <f t="shared" ref="AF111:AW111" si="165">+AF108/AA108-1</f>
      </c>
      <c r="AG111" s="446">
        <f t="shared" si="165"/>
      </c>
      <c r="AH111" s="446">
        <f t="shared" si="165"/>
      </c>
      <c r="AI111" s="446">
        <f t="shared" si="165"/>
      </c>
      <c r="AJ111" s="936">
        <f t="shared" si="165"/>
      </c>
      <c r="AK111" s="446">
        <f t="shared" si="165"/>
      </c>
      <c r="AL111" s="446">
        <f t="shared" si="165"/>
      </c>
      <c r="AM111" s="446">
        <f t="shared" si="165"/>
      </c>
      <c r="AN111" s="446">
        <f t="shared" si="165"/>
      </c>
      <c r="AO111" s="936">
        <f t="shared" si="165"/>
      </c>
      <c r="AP111" s="446">
        <f t="shared" si="165"/>
      </c>
      <c r="AQ111" s="446">
        <f t="shared" si="165"/>
      </c>
      <c r="AR111" s="446">
        <f t="shared" si="165"/>
      </c>
      <c r="AS111" s="446">
        <f t="shared" si="165"/>
      </c>
      <c r="AT111" s="936">
        <f t="shared" si="165"/>
      </c>
      <c r="AU111" s="446">
        <f t="shared" si="165"/>
      </c>
      <c r="AV111" s="446">
        <f t="shared" si="165"/>
      </c>
      <c r="AW111" s="619">
        <f t="shared" si="165"/>
      </c>
      <c r="AX111" s="446">
        <f t="shared" ref="AX111:BD111" si="166">+AX108/AS108-1</f>
      </c>
      <c r="AY111" s="936">
        <f t="shared" si="166"/>
      </c>
      <c r="AZ111" s="446">
        <f t="shared" si="166"/>
      </c>
      <c r="BA111" s="446">
        <f t="shared" si="166"/>
      </c>
      <c r="BB111" s="619">
        <f t="shared" si="166"/>
      </c>
      <c r="BC111" s="446">
        <f t="shared" si="166"/>
      </c>
      <c r="BD111" s="936">
        <f t="shared" si="166"/>
      </c>
      <c r="BE111" s="446">
        <f t="shared" ref="BE111:BI111" si="167">+BE108/AZ108-1</f>
      </c>
      <c r="BF111" s="446">
        <f t="shared" si="167"/>
      </c>
      <c r="BG111" s="619">
        <f t="shared" si="167"/>
      </c>
      <c r="BH111" s="446">
        <f t="shared" si="167"/>
      </c>
      <c r="BI111" s="936">
        <f t="shared" si="167"/>
      </c>
      <c r="BJ111" s="446">
        <f t="shared" ref="BJ111:BX111" si="168">+BJ108/BE108-1</f>
      </c>
      <c r="BK111" s="446">
        <f t="shared" si="168"/>
      </c>
      <c r="BL111" s="619">
        <f t="shared" si="168"/>
      </c>
      <c r="BM111" s="446">
        <f t="shared" si="168"/>
      </c>
      <c r="BN111" s="936">
        <f t="shared" si="168"/>
      </c>
      <c r="BO111" s="446">
        <f t="shared" ref="BO111:BW111" si="169">+BO108/BJ108-1</f>
      </c>
      <c r="BP111" s="446">
        <f t="shared" si="169"/>
      </c>
      <c r="BQ111" s="619">
        <f t="shared" si="169"/>
      </c>
      <c r="BR111" s="446">
        <f t="shared" si="169"/>
      </c>
      <c r="BS111" s="936">
        <f t="shared" si="169"/>
      </c>
      <c r="BT111" s="665">
        <f>+BT108/BO108-1</f>
      </c>
      <c r="BU111" s="446">
        <f t="shared" si="169"/>
      </c>
      <c r="BV111" s="446">
        <f t="shared" si="169"/>
      </c>
      <c r="BW111" s="446">
        <f t="shared" si="169"/>
      </c>
      <c r="BX111" s="936">
        <f t="shared" si="168"/>
      </c>
      <c r="BY111" s="446">
        <f>+BY108/BT108-1</f>
      </c>
      <c r="BZ111" s="446">
        <f>+BZ108/BU108-1</f>
      </c>
      <c r="CA111" s="446">
        <f>+CA108/BV108-1</f>
      </c>
      <c r="CB111" s="446">
        <f>+CB108/BW108-1</f>
      </c>
      <c r="CC111" s="936">
        <f>+CC108/BX108-1</f>
      </c>
      <c r="CD111" s="955">
        <v>0.05</v>
      </c>
      <c r="CE111" s="955">
        <v>0.05</v>
      </c>
      <c r="CF111" s="955">
        <v>0.05</v>
      </c>
      <c r="CG111" s="308"/>
    </row>
    <row r="112" spans="1:85" ht="7.5" hidden="1" customHeight="1" outlineLevel="1" x14ac:dyDescent="0.3">
      <c r="A112" s="239"/>
      <c r="B112" s="240"/>
      <c r="C112" s="938"/>
      <c r="D112" s="938"/>
      <c r="E112" s="938"/>
      <c r="F112" s="938"/>
      <c r="G112" s="241"/>
      <c r="H112" s="241"/>
      <c r="I112" s="241"/>
      <c r="J112" s="241"/>
      <c r="K112" s="938"/>
      <c r="L112" s="241"/>
      <c r="M112" s="241"/>
      <c r="N112" s="241"/>
      <c r="O112" s="241"/>
      <c r="P112" s="938"/>
      <c r="Q112" s="241"/>
      <c r="R112" s="241"/>
      <c r="S112" s="241"/>
      <c r="T112" s="241"/>
      <c r="U112" s="938"/>
      <c r="V112" s="241"/>
      <c r="W112" s="241"/>
      <c r="X112" s="241"/>
      <c r="Y112" s="241"/>
      <c r="Z112" s="938"/>
      <c r="AA112" s="241"/>
      <c r="AB112" s="241"/>
      <c r="AC112" s="241"/>
      <c r="AD112" s="241"/>
      <c r="AE112" s="938"/>
      <c r="AF112" s="241"/>
      <c r="AG112" s="241"/>
      <c r="AH112" s="241"/>
      <c r="AI112" s="241"/>
      <c r="AJ112" s="938"/>
      <c r="AK112" s="241"/>
      <c r="AL112" s="241"/>
      <c r="AM112" s="241"/>
      <c r="AN112" s="241"/>
      <c r="AO112" s="938"/>
      <c r="AP112" s="241"/>
      <c r="AQ112" s="241"/>
      <c r="AR112" s="241"/>
      <c r="AS112" s="241"/>
      <c r="AT112" s="938"/>
      <c r="AU112" s="241"/>
      <c r="AV112" s="241"/>
      <c r="AW112" s="241"/>
      <c r="AX112" s="241"/>
      <c r="AY112" s="938"/>
      <c r="AZ112" s="241"/>
      <c r="BA112" s="241"/>
      <c r="BB112" s="241"/>
      <c r="BC112" s="241"/>
      <c r="BD112" s="938"/>
      <c r="BE112" s="241"/>
      <c r="BF112" s="241"/>
      <c r="BG112" s="241"/>
      <c r="BH112" s="241"/>
      <c r="BI112" s="938"/>
      <c r="BJ112" s="241"/>
      <c r="BK112" s="241"/>
      <c r="BL112" s="241"/>
      <c r="BM112" s="241"/>
      <c r="BN112" s="938"/>
      <c r="BO112" s="241"/>
      <c r="BP112" s="241"/>
      <c r="BQ112" s="241"/>
      <c r="BR112" s="241"/>
      <c r="BS112" s="938"/>
      <c r="BT112" s="666"/>
      <c r="BU112" s="241"/>
      <c r="BV112" s="241"/>
      <c r="BW112" s="241"/>
      <c r="BX112" s="938"/>
      <c r="BY112" s="241"/>
      <c r="BZ112" s="241"/>
      <c r="CA112" s="241"/>
      <c r="CB112" s="241"/>
      <c r="CC112" s="938"/>
      <c r="CD112" s="938"/>
      <c r="CE112" s="938"/>
      <c r="CF112" s="938"/>
      <c r="CG112" s="191"/>
    </row>
    <row r="113" spans="1:85" s="589" customFormat="1" hidden="1" outlineLevel="1" x14ac:dyDescent="0.3">
      <c r="A113" s="2" t="s">
        <v>408</v>
      </c>
      <c r="B113" s="426"/>
      <c r="C113" s="965"/>
      <c r="D113" s="965"/>
      <c r="E113" s="965"/>
      <c r="F113" s="965"/>
      <c r="G113" s="791"/>
      <c r="H113" s="791"/>
      <c r="I113" s="791"/>
      <c r="J113" s="791"/>
      <c r="K113" s="965"/>
      <c r="L113" s="791"/>
      <c r="M113" s="791"/>
      <c r="N113" s="791"/>
      <c r="O113" s="791"/>
      <c r="P113" s="965"/>
      <c r="Q113" s="791"/>
      <c r="R113" s="791"/>
      <c r="S113" s="791"/>
      <c r="T113" s="791"/>
      <c r="U113" s="965"/>
      <c r="V113" s="791"/>
      <c r="W113" s="791"/>
      <c r="X113" s="791"/>
      <c r="Y113" s="791"/>
      <c r="Z113" s="965"/>
      <c r="AA113" s="858">
        <v>331.45299999999997</v>
      </c>
      <c r="AB113" s="858">
        <v>381.459</v>
      </c>
      <c r="AC113" s="858">
        <v>434.637</v>
      </c>
      <c r="AD113" s="858">
        <v>495.06700000000001</v>
      </c>
      <c r="AE113" s="966">
        <v>1642.616</v>
      </c>
      <c r="AF113" s="858">
        <v>540.18200000000002</v>
      </c>
      <c r="AG113" s="858">
        <v>568.07100000000003</v>
      </c>
      <c r="AH113" s="858">
        <v>562.30700000000002</v>
      </c>
      <c r="AI113" s="858">
        <v>567.13699999999994</v>
      </c>
      <c r="AJ113" s="966">
        <v>2237.6970000000001</v>
      </c>
      <c r="AK113" s="858">
        <v>630.47199999999998</v>
      </c>
      <c r="AL113" s="858">
        <v>677.13599999999997</v>
      </c>
      <c r="AM113" s="858">
        <v>741.43399999999997</v>
      </c>
      <c r="AN113" s="858">
        <v>746.39200000000005</v>
      </c>
      <c r="AO113" s="966">
        <v>2795.4340000000002</v>
      </c>
      <c r="AP113" s="858">
        <v>793.45299999999997</v>
      </c>
      <c r="AQ113" s="858">
        <v>785.36800000000005</v>
      </c>
      <c r="AR113" s="858">
        <v>789.38400000000001</v>
      </c>
      <c r="AS113" s="792">
        <f>AT113-SUM(AP113,AQ113,AR113)</f>
      </c>
      <c r="AT113" s="966">
        <v>3156.7269999999999</v>
      </c>
      <c r="AU113" s="858">
        <v>836.64700000000005</v>
      </c>
      <c r="AV113" s="858">
        <v>860.88199999999995</v>
      </c>
      <c r="AW113" s="858">
        <v>915.29700000000003</v>
      </c>
      <c r="AX113" s="792">
        <f>AY113-SUM(AU113,AV113,AW113)</f>
      </c>
      <c r="AY113" s="966">
        <v>3576.9760000000001</v>
      </c>
      <c r="AZ113" s="858">
        <v>998.94799999999998</v>
      </c>
      <c r="BA113" s="858">
        <v>1030.2339999999999</v>
      </c>
      <c r="BB113" s="858">
        <v>1023.9450000000001</v>
      </c>
      <c r="BC113" s="792">
        <f>BD113-SUM(AZ113,BA113,BB113)</f>
      </c>
      <c r="BD113" s="966">
        <v>4069.973</v>
      </c>
      <c r="BE113" s="858">
        <v>1070.192</v>
      </c>
      <c r="BF113" s="858">
        <v>1077.4349999999999</v>
      </c>
      <c r="BG113" s="858">
        <v>1142.8109999999999</v>
      </c>
      <c r="BH113" s="792">
        <f>BI113-SUM(BE113,BF113,BG113)</f>
      </c>
      <c r="BI113" s="966">
        <v>4446.4610000000002</v>
      </c>
      <c r="BJ113" s="858">
        <v>1165.008</v>
      </c>
      <c r="BK113" s="858">
        <v>1204.145</v>
      </c>
      <c r="BL113" s="858">
        <v>1240.8920000000001</v>
      </c>
      <c r="BM113" s="792">
        <f>BN113-SUM(BJ113,BK113,BL113)</f>
      </c>
      <c r="BN113" s="966">
        <v>4839.8159999999998</v>
      </c>
      <c r="BO113" s="858">
        <v>1261.934</v>
      </c>
      <c r="BP113" s="858">
        <v>1306.7349999999999</v>
      </c>
      <c r="BQ113" s="858">
        <v>1370.913</v>
      </c>
      <c r="BR113" s="792">
        <f>BS113-SUM(BO113,BP113,BQ113)</f>
      </c>
      <c r="BS113" s="966">
        <v>5357.5209999999997</v>
      </c>
      <c r="BT113" s="859">
        <v>1497.058</v>
      </c>
      <c r="BU113" s="791">
        <f>BU104*BU108*3/1000</f>
      </c>
      <c r="BV113" s="791">
        <f>BV104*BV108*3/1000</f>
      </c>
      <c r="BW113" s="791">
        <f>BW104*BW108*3/1000</f>
      </c>
      <c r="BX113" s="965">
        <f>SUM(BT113,BU113,BV113,BW113)</f>
      </c>
      <c r="BY113" s="791">
        <f>BY104*BY108*3/1000</f>
      </c>
      <c r="BZ113" s="791">
        <f>BZ104*BZ108*3/1000</f>
      </c>
      <c r="CA113" s="791">
        <f>CA104*CA108*3/1000</f>
      </c>
      <c r="CB113" s="791">
        <f>CB104*CB108*3/1000</f>
      </c>
      <c r="CC113" s="965">
        <f>SUM(BY113,BZ113,CA113,CB113)</f>
      </c>
      <c r="CD113" s="965">
        <f>CD104*CD108*12/1000</f>
      </c>
      <c r="CE113" s="965">
        <f>CE104*CE108*12/1000</f>
      </c>
      <c r="CF113" s="965">
        <f>CF104*CF108*12/1000</f>
      </c>
      <c r="CG113" s="183"/>
    </row>
    <row r="114" spans="1:85" s="589" customFormat="1" hidden="1" outlineLevel="1" x14ac:dyDescent="0.3">
      <c r="A114" s="771" t="s">
        <v>563</v>
      </c>
      <c r="B114" s="318"/>
      <c r="C114" s="935"/>
      <c r="D114" s="935"/>
      <c r="E114" s="935"/>
      <c r="F114" s="935"/>
      <c r="G114" s="58"/>
      <c r="H114" s="58"/>
      <c r="I114" s="58"/>
      <c r="J114" s="58"/>
      <c r="K114" s="935"/>
      <c r="L114" s="58"/>
      <c r="M114" s="58"/>
      <c r="N114" s="58"/>
      <c r="O114" s="58"/>
      <c r="P114" s="935"/>
      <c r="Q114" s="58"/>
      <c r="R114" s="58"/>
      <c r="S114" s="58"/>
      <c r="T114" s="58"/>
      <c r="U114" s="935"/>
      <c r="V114" s="58"/>
      <c r="W114" s="58"/>
      <c r="X114" s="58"/>
      <c r="Y114" s="58"/>
      <c r="Z114" s="935"/>
      <c r="AA114" s="58"/>
      <c r="AB114" s="308">
        <f>AB113/AA113-1</f>
      </c>
      <c r="AC114" s="308">
        <f>AC113/AB113-1</f>
      </c>
      <c r="AD114" s="308">
        <f>AD113/AC113-1</f>
      </c>
      <c r="AE114" s="935"/>
      <c r="AF114" s="308">
        <f>AF113/AD113-1</f>
      </c>
      <c r="AG114" s="308">
        <f>AG113/AF113-1</f>
      </c>
      <c r="AH114" s="308">
        <f>AH113/AG113-1</f>
      </c>
      <c r="AI114" s="308">
        <f>AI113/AH113-1</f>
      </c>
      <c r="AJ114" s="935"/>
      <c r="AK114" s="308">
        <f>AK113/AI113-1</f>
      </c>
      <c r="AL114" s="308">
        <f>AL113/AK113-1</f>
      </c>
      <c r="AM114" s="308">
        <f>AM113/AL113-1</f>
      </c>
      <c r="AN114" s="308">
        <f>AN113/AM113-1</f>
      </c>
      <c r="AO114" s="935"/>
      <c r="AP114" s="308">
        <f>AP113/AN113-1</f>
      </c>
      <c r="AQ114" s="308">
        <f>AQ113/AP113-1</f>
      </c>
      <c r="AR114" s="308">
        <f>AR113/AQ113-1</f>
      </c>
      <c r="AS114" s="308">
        <f>AS113/AR113-1</f>
      </c>
      <c r="AT114" s="935"/>
      <c r="AU114" s="308">
        <f>AU113/AS113-1</f>
      </c>
      <c r="AV114" s="308">
        <f>AV113/AU113-1</f>
      </c>
      <c r="AW114" s="308">
        <f>AW113/AV113-1</f>
      </c>
      <c r="AX114" s="308">
        <f>AX113/AW113-1</f>
      </c>
      <c r="AY114" s="935"/>
      <c r="AZ114" s="308">
        <f>AZ113/AX113-1</f>
      </c>
      <c r="BA114" s="308">
        <f>BA113/AZ113-1</f>
      </c>
      <c r="BB114" s="308">
        <f>BB113/BA113-1</f>
      </c>
      <c r="BC114" s="308">
        <f>BC113/BB113-1</f>
      </c>
      <c r="BD114" s="935"/>
      <c r="BE114" s="308">
        <f>BE113/BC113-1</f>
      </c>
      <c r="BF114" s="308">
        <f>BF113/BE113-1</f>
      </c>
      <c r="BG114" s="308">
        <f>BG113/BF113-1</f>
      </c>
      <c r="BH114" s="308">
        <f>BH113/BG113-1</f>
      </c>
      <c r="BI114" s="935"/>
      <c r="BJ114" s="308">
        <f>BJ113/BH113-1</f>
      </c>
      <c r="BK114" s="308">
        <f>BK113/BJ113-1</f>
      </c>
      <c r="BL114" s="308">
        <f>BL113/BK113-1</f>
      </c>
      <c r="BM114" s="308">
        <f>BM113/BL113-1</f>
      </c>
      <c r="BN114" s="935"/>
      <c r="BO114" s="308">
        <f>BO113/BM113-1</f>
      </c>
      <c r="BP114" s="308">
        <f>BP113/BO113-1</f>
      </c>
      <c r="BQ114" s="308">
        <f>BQ113/BP113-1</f>
      </c>
      <c r="BR114" s="308">
        <f>BR113/BQ113-1</f>
      </c>
      <c r="BS114" s="935"/>
      <c r="BT114" s="663">
        <f>BT113/BR113-1</f>
      </c>
      <c r="BU114" s="58">
        <f>BU113/BT113-1</f>
      </c>
      <c r="BV114" s="58">
        <f>BV113/BU113-1</f>
      </c>
      <c r="BW114" s="58">
        <f>BW113/BV113-1</f>
      </c>
      <c r="BX114" s="935"/>
      <c r="BY114" s="58">
        <f>BY113/BW113-1</f>
      </c>
      <c r="BZ114" s="58">
        <f>BZ113/BY113-1</f>
      </c>
      <c r="CA114" s="58">
        <f>CA113/BZ113-1</f>
      </c>
      <c r="CB114" s="58">
        <f>CB113/CA113-1</f>
      </c>
      <c r="CC114" s="935"/>
      <c r="CD114" s="935"/>
      <c r="CE114" s="935"/>
      <c r="CF114" s="935"/>
      <c r="CG114" s="183"/>
    </row>
    <row r="115" spans="1:85" s="591" customFormat="1" hidden="1" outlineLevel="1" x14ac:dyDescent="0.3">
      <c r="A115" s="771" t="s">
        <v>561</v>
      </c>
      <c r="B115" s="322"/>
      <c r="C115" s="967"/>
      <c r="D115" s="967"/>
      <c r="E115" s="967"/>
      <c r="F115" s="967"/>
      <c r="G115" s="323"/>
      <c r="H115" s="323"/>
      <c r="I115" s="323"/>
      <c r="J115" s="323"/>
      <c r="K115" s="967"/>
      <c r="L115" s="323"/>
      <c r="M115" s="323"/>
      <c r="N115" s="323"/>
      <c r="O115" s="323"/>
      <c r="P115" s="967"/>
      <c r="Q115" s="323"/>
      <c r="R115" s="323"/>
      <c r="S115" s="323"/>
      <c r="T115" s="323"/>
      <c r="U115" s="967"/>
      <c r="V115" s="323"/>
      <c r="W115" s="323"/>
      <c r="X115" s="323"/>
      <c r="Y115" s="323"/>
      <c r="Z115" s="967"/>
      <c r="AA115" s="323"/>
      <c r="AB115" s="323"/>
      <c r="AC115" s="323"/>
      <c r="AD115" s="323"/>
      <c r="AE115" s="967"/>
      <c r="AF115" s="321">
        <f t="shared" ref="AF115:AW115" si="170">+AF113/AA113-1</f>
      </c>
      <c r="AG115" s="321">
        <f t="shared" si="170"/>
      </c>
      <c r="AH115" s="321">
        <f t="shared" si="170"/>
      </c>
      <c r="AI115" s="321">
        <f t="shared" si="170"/>
      </c>
      <c r="AJ115" s="968">
        <f t="shared" si="170"/>
      </c>
      <c r="AK115" s="321">
        <f t="shared" si="170"/>
      </c>
      <c r="AL115" s="321">
        <f t="shared" si="170"/>
      </c>
      <c r="AM115" s="321">
        <f t="shared" si="170"/>
      </c>
      <c r="AN115" s="321">
        <f t="shared" si="170"/>
      </c>
      <c r="AO115" s="968">
        <f t="shared" si="170"/>
      </c>
      <c r="AP115" s="321">
        <f t="shared" si="170"/>
      </c>
      <c r="AQ115" s="321">
        <f t="shared" si="170"/>
      </c>
      <c r="AR115" s="321">
        <f t="shared" si="170"/>
      </c>
      <c r="AS115" s="321">
        <f t="shared" si="170"/>
      </c>
      <c r="AT115" s="968">
        <f t="shared" si="170"/>
      </c>
      <c r="AU115" s="321">
        <f t="shared" si="170"/>
      </c>
      <c r="AV115" s="321">
        <f t="shared" si="170"/>
      </c>
      <c r="AW115" s="321">
        <f t="shared" si="170"/>
      </c>
      <c r="AX115" s="321">
        <f t="shared" ref="AX115:BD115" si="171">+AX113/AS113-1</f>
      </c>
      <c r="AY115" s="968">
        <f t="shared" si="171"/>
      </c>
      <c r="AZ115" s="321">
        <f t="shared" si="171"/>
      </c>
      <c r="BA115" s="321">
        <f t="shared" si="171"/>
      </c>
      <c r="BB115" s="321">
        <f t="shared" si="171"/>
      </c>
      <c r="BC115" s="321">
        <f t="shared" si="171"/>
      </c>
      <c r="BD115" s="968">
        <f t="shared" si="171"/>
      </c>
      <c r="BE115" s="321">
        <f t="shared" ref="BE115:BI115" si="172">+BE113/AZ113-1</f>
      </c>
      <c r="BF115" s="321">
        <f t="shared" si="172"/>
      </c>
      <c r="BG115" s="321">
        <f t="shared" si="172"/>
      </c>
      <c r="BH115" s="321">
        <f t="shared" si="172"/>
      </c>
      <c r="BI115" s="968">
        <f t="shared" si="172"/>
      </c>
      <c r="BJ115" s="321">
        <f t="shared" ref="BJ115:BX115" si="173">+BJ113/BE113-1</f>
      </c>
      <c r="BK115" s="321">
        <f t="shared" si="173"/>
      </c>
      <c r="BL115" s="321">
        <f t="shared" si="173"/>
      </c>
      <c r="BM115" s="321">
        <f t="shared" si="173"/>
      </c>
      <c r="BN115" s="968">
        <f t="shared" si="173"/>
      </c>
      <c r="BO115" s="321">
        <f t="shared" ref="BO115:BW115" si="174">+BO113/BJ113-1</f>
      </c>
      <c r="BP115" s="321">
        <f t="shared" si="174"/>
      </c>
      <c r="BQ115" s="321">
        <f t="shared" si="174"/>
      </c>
      <c r="BR115" s="321">
        <f t="shared" si="174"/>
      </c>
      <c r="BS115" s="968">
        <f t="shared" si="174"/>
      </c>
      <c r="BT115" s="674">
        <f>+BT113/BO113-1</f>
      </c>
      <c r="BU115" s="323">
        <f t="shared" si="174"/>
      </c>
      <c r="BV115" s="323">
        <f t="shared" si="174"/>
      </c>
      <c r="BW115" s="323">
        <f t="shared" si="174"/>
      </c>
      <c r="BX115" s="967">
        <f t="shared" si="173"/>
      </c>
      <c r="BY115" s="323">
        <f>+BY113/BT113-1</f>
      </c>
      <c r="BZ115" s="323">
        <f>+BZ113/BU113-1</f>
      </c>
      <c r="CA115" s="323">
        <f>+CA113/BV113-1</f>
      </c>
      <c r="CB115" s="323">
        <f>+CB113/BW113-1</f>
      </c>
      <c r="CC115" s="967">
        <f>+CC113/BX113-1</f>
      </c>
      <c r="CD115" s="967">
        <f>+CD113/CC113-1</f>
      </c>
      <c r="CE115" s="967">
        <f>+CE113/CD113-1</f>
      </c>
      <c r="CF115" s="967">
        <f>+CF113/CE113-1</f>
      </c>
      <c r="CG115" s="321"/>
    </row>
    <row r="116" spans="1:85" collapsed="1" x14ac:dyDescent="0.3">
      <c r="A116" s="239"/>
      <c r="B116" s="240"/>
      <c r="C116" s="938"/>
      <c r="D116" s="938"/>
      <c r="E116" s="938"/>
      <c r="F116" s="938"/>
      <c r="G116" s="241"/>
      <c r="H116" s="241"/>
      <c r="I116" s="241"/>
      <c r="J116" s="241"/>
      <c r="K116" s="938"/>
      <c r="L116" s="241"/>
      <c r="M116" s="241"/>
      <c r="N116" s="241"/>
      <c r="O116" s="241"/>
      <c r="P116" s="938"/>
      <c r="Q116" s="241"/>
      <c r="R116" s="241"/>
      <c r="S116" s="241"/>
      <c r="T116" s="241"/>
      <c r="U116" s="938"/>
      <c r="V116" s="241"/>
      <c r="W116" s="241"/>
      <c r="X116" s="241"/>
      <c r="Y116" s="241"/>
      <c r="Z116" s="938"/>
      <c r="AA116" s="241"/>
      <c r="AB116" s="241"/>
      <c r="AC116" s="241"/>
      <c r="AD116" s="241"/>
      <c r="AE116" s="938"/>
      <c r="AF116" s="241"/>
      <c r="AG116" s="241"/>
      <c r="AH116" s="241"/>
      <c r="AI116" s="241"/>
      <c r="AJ116" s="938"/>
      <c r="AK116" s="241"/>
      <c r="AL116" s="241"/>
      <c r="AM116" s="241"/>
      <c r="AN116" s="241"/>
      <c r="AO116" s="938"/>
      <c r="AP116" s="241"/>
      <c r="AQ116" s="241"/>
      <c r="AR116" s="241"/>
      <c r="AS116" s="241"/>
      <c r="AT116" s="938"/>
      <c r="AU116" s="241"/>
      <c r="AV116" s="241"/>
      <c r="AW116" s="241"/>
      <c r="AX116" s="241"/>
      <c r="AY116" s="938"/>
      <c r="AZ116" s="241"/>
      <c r="BA116" s="241"/>
      <c r="BB116" s="241"/>
      <c r="BC116" s="241"/>
      <c r="BD116" s="938"/>
      <c r="BE116" s="241"/>
      <c r="BF116" s="241"/>
      <c r="BG116" s="241"/>
      <c r="BH116" s="241"/>
      <c r="BI116" s="938"/>
      <c r="BJ116" s="241"/>
      <c r="BK116" s="241"/>
      <c r="BL116" s="241"/>
      <c r="BM116" s="241"/>
      <c r="BN116" s="938"/>
      <c r="BO116" s="241"/>
      <c r="BP116" s="241"/>
      <c r="BQ116" s="241"/>
      <c r="BR116" s="241"/>
      <c r="BS116" s="938"/>
      <c r="BT116" s="666"/>
      <c r="BU116" s="241"/>
      <c r="BV116" s="241"/>
      <c r="BW116" s="241"/>
      <c r="BX116" s="938"/>
      <c r="BY116" s="241"/>
      <c r="BZ116" s="241"/>
      <c r="CA116" s="241"/>
      <c r="CB116" s="241"/>
      <c r="CC116" s="938"/>
      <c r="CD116" s="938"/>
      <c r="CE116" s="938"/>
      <c r="CF116" s="938"/>
      <c r="CG116" s="191"/>
    </row>
    <row r="117" spans="1:85" x14ac:dyDescent="0.3">
      <c r="A117" s="754" t="s">
        <v>562</v>
      </c>
      <c r="B117" s="754"/>
      <c r="C117" s="754"/>
      <c r="D117" s="754"/>
      <c r="E117" s="754"/>
      <c r="F117" s="754"/>
      <c r="G117" s="754"/>
      <c r="H117" s="754"/>
      <c r="I117" s="754"/>
      <c r="J117" s="754"/>
      <c r="K117" s="754"/>
      <c r="L117" s="754"/>
      <c r="M117" s="754"/>
      <c r="N117" s="754"/>
      <c r="O117" s="754"/>
      <c r="P117" s="754"/>
      <c r="Q117" s="754"/>
      <c r="R117" s="754"/>
      <c r="S117" s="754"/>
      <c r="T117" s="754"/>
      <c r="U117" s="754"/>
      <c r="V117" s="754"/>
      <c r="W117" s="754"/>
      <c r="X117" s="754"/>
      <c r="Y117" s="754"/>
      <c r="Z117" s="754"/>
      <c r="AA117" s="754"/>
      <c r="AB117" s="754"/>
      <c r="AC117" s="754"/>
      <c r="AD117" s="754"/>
      <c r="AE117" s="754"/>
      <c r="AF117" s="754"/>
      <c r="AG117" s="754"/>
      <c r="AH117" s="754"/>
      <c r="AI117" s="754"/>
      <c r="AJ117" s="754"/>
      <c r="AK117" s="754"/>
      <c r="AL117" s="754"/>
      <c r="AM117" s="754"/>
      <c r="AN117" s="754"/>
      <c r="AO117" s="754"/>
      <c r="AP117" s="754"/>
      <c r="AQ117" s="754"/>
      <c r="AR117" s="754"/>
      <c r="AS117" s="754"/>
      <c r="AT117" s="754"/>
      <c r="AU117" s="754"/>
      <c r="AV117" s="754"/>
      <c r="AW117" s="754"/>
      <c r="AX117" s="754"/>
      <c r="AY117" s="754"/>
      <c r="AZ117" s="754"/>
      <c r="BA117" s="754"/>
      <c r="BB117" s="754"/>
      <c r="BC117" s="754"/>
      <c r="BD117" s="754"/>
      <c r="BE117" s="754"/>
      <c r="BF117" s="754"/>
      <c r="BG117" s="754"/>
      <c r="BH117" s="754"/>
      <c r="BI117" s="754"/>
      <c r="BJ117" s="754"/>
      <c r="BK117" s="754"/>
      <c r="BL117" s="754"/>
      <c r="BM117" s="754"/>
      <c r="BN117" s="754"/>
      <c r="BO117" s="754"/>
      <c r="BP117" s="754"/>
      <c r="BQ117" s="754"/>
      <c r="BR117" s="754"/>
      <c r="BS117" s="754"/>
      <c r="BT117" s="755"/>
      <c r="BU117" s="754"/>
      <c r="BV117" s="754"/>
      <c r="BW117" s="754"/>
      <c r="BX117" s="754"/>
      <c r="BY117" s="754"/>
      <c r="BZ117" s="754"/>
      <c r="CA117" s="754"/>
      <c r="CB117" s="754"/>
      <c r="CC117" s="754"/>
      <c r="CD117" s="754"/>
      <c r="CE117" s="754"/>
      <c r="CF117" s="754"/>
      <c r="CG117" s="183"/>
    </row>
    <row r="118" spans="1:85" s="589" customFormat="1" hidden="1" outlineLevel="1" x14ac:dyDescent="0.3">
      <c r="A118" s="188" t="s">
        <v>676</v>
      </c>
      <c r="B118" s="245"/>
      <c r="C118" s="933"/>
      <c r="D118" s="933"/>
      <c r="E118" s="933"/>
      <c r="F118" s="933"/>
      <c r="G118" s="200"/>
      <c r="H118" s="200"/>
      <c r="I118" s="200"/>
      <c r="J118" s="200"/>
      <c r="K118" s="933"/>
      <c r="L118" s="200"/>
      <c r="M118" s="200"/>
      <c r="N118" s="200"/>
      <c r="O118" s="200"/>
      <c r="P118" s="933"/>
      <c r="Q118" s="200"/>
      <c r="R118" s="200"/>
      <c r="S118" s="200"/>
      <c r="T118" s="200"/>
      <c r="U118" s="933"/>
      <c r="V118" s="200"/>
      <c r="W118" s="200"/>
      <c r="X118" s="200"/>
      <c r="Y118" s="200"/>
      <c r="Z118" s="933"/>
      <c r="AA118" s="200">
        <f>AA124*2-AA120</f>
      </c>
      <c r="AB118" s="200">
        <f>AA120</f>
      </c>
      <c r="AC118" s="200">
        <f>AB120</f>
      </c>
      <c r="AD118" s="200">
        <f>AC120</f>
      </c>
      <c r="AE118" s="933">
        <f>AA118</f>
      </c>
      <c r="AF118" s="24">
        <f>AE120</f>
      </c>
      <c r="AG118" s="24">
        <f>AF120</f>
      </c>
      <c r="AH118" s="24">
        <f>AG120</f>
      </c>
      <c r="AI118" s="24">
        <f>AH120</f>
      </c>
      <c r="AJ118" s="934">
        <f>AE120</f>
      </c>
      <c r="AK118" s="24">
        <f>AJ120</f>
      </c>
      <c r="AL118" s="24">
        <f>AK120</f>
      </c>
      <c r="AM118" s="24">
        <f>AL120</f>
      </c>
      <c r="AN118" s="24">
        <f>AM120</f>
      </c>
      <c r="AO118" s="934">
        <f>AJ120</f>
      </c>
      <c r="AP118" s="24">
        <f>AO120</f>
      </c>
      <c r="AQ118" s="24">
        <f>AP120</f>
      </c>
      <c r="AR118" s="24">
        <f>AQ120</f>
      </c>
      <c r="AS118" s="24">
        <f>AR120</f>
      </c>
      <c r="AT118" s="934">
        <f>AO120</f>
      </c>
      <c r="AU118" s="24">
        <f>AT120</f>
      </c>
      <c r="AV118" s="24">
        <f>AU120</f>
      </c>
      <c r="AW118" s="24">
        <f>AV120</f>
      </c>
      <c r="AX118" s="24">
        <f>AW120</f>
      </c>
      <c r="AY118" s="934">
        <f>AT120</f>
      </c>
      <c r="AZ118" s="24">
        <f>AY120</f>
      </c>
      <c r="BA118" s="24">
        <f>AZ120</f>
      </c>
      <c r="BB118" s="24">
        <f>BA120</f>
      </c>
      <c r="BC118" s="24">
        <f>BB120</f>
      </c>
      <c r="BD118" s="934">
        <f>AY120</f>
      </c>
      <c r="BE118" s="24">
        <f>BD120</f>
      </c>
      <c r="BF118" s="24">
        <f>BE120</f>
      </c>
      <c r="BG118" s="24">
        <f>BF120</f>
      </c>
      <c r="BH118" s="24">
        <f>BG120</f>
      </c>
      <c r="BI118" s="934">
        <f>BD120</f>
      </c>
      <c r="BJ118" s="24">
        <f>BI120</f>
      </c>
      <c r="BK118" s="24">
        <f>BJ120</f>
      </c>
      <c r="BL118" s="24">
        <f>BK120</f>
      </c>
      <c r="BM118" s="24">
        <f>BL120</f>
      </c>
      <c r="BN118" s="934">
        <f>BI120</f>
      </c>
      <c r="BO118" s="24">
        <f>BN120</f>
      </c>
      <c r="BP118" s="24">
        <f>BO120</f>
      </c>
      <c r="BQ118" s="24">
        <f>BP120</f>
      </c>
      <c r="BR118" s="24">
        <f>BQ120</f>
      </c>
      <c r="BS118" s="934">
        <f>BN120</f>
      </c>
      <c r="BT118" s="673">
        <f>BS120</f>
      </c>
      <c r="BU118" s="200">
        <f>BT120</f>
      </c>
      <c r="BV118" s="200">
        <f>BU120</f>
      </c>
      <c r="BW118" s="200">
        <f>BV120</f>
      </c>
      <c r="BX118" s="933">
        <f>BS120</f>
      </c>
      <c r="BY118" s="200">
        <f>BX120</f>
      </c>
      <c r="BZ118" s="200">
        <f>BY120</f>
      </c>
      <c r="CA118" s="200">
        <f>BZ120</f>
      </c>
      <c r="CB118" s="200">
        <f>CA120</f>
      </c>
      <c r="CC118" s="933">
        <f>BX120</f>
      </c>
      <c r="CD118" s="933">
        <f>CC120</f>
      </c>
      <c r="CE118" s="933">
        <f>CD120</f>
      </c>
      <c r="CF118" s="933">
        <f>CE120</f>
      </c>
      <c r="CG118" s="24"/>
    </row>
    <row r="119" spans="1:85" hidden="1" outlineLevel="1" x14ac:dyDescent="0.3">
      <c r="A119" s="201" t="s">
        <v>564</v>
      </c>
      <c r="B119" s="246"/>
      <c r="C119" s="953"/>
      <c r="D119" s="953"/>
      <c r="E119" s="953"/>
      <c r="F119" s="953"/>
      <c r="G119" s="247"/>
      <c r="H119" s="247"/>
      <c r="I119" s="247"/>
      <c r="J119" s="247"/>
      <c r="K119" s="953"/>
      <c r="L119" s="247"/>
      <c r="M119" s="247"/>
      <c r="N119" s="247"/>
      <c r="O119" s="247"/>
      <c r="P119" s="953"/>
      <c r="Q119" s="247"/>
      <c r="R119" s="247"/>
      <c r="S119" s="247"/>
      <c r="T119" s="247"/>
      <c r="U119" s="953"/>
      <c r="V119" s="247"/>
      <c r="W119" s="247"/>
      <c r="X119" s="247"/>
      <c r="Y119" s="247"/>
      <c r="Z119" s="953"/>
      <c r="AA119" s="247">
        <f>AA120-AA118</f>
      </c>
      <c r="AB119" s="247">
        <f>AB120-AB118</f>
      </c>
      <c r="AC119" s="247">
        <f>AC120-AC118</f>
      </c>
      <c r="AD119" s="247">
        <f>AD120-AD118</f>
      </c>
      <c r="AE119" s="953">
        <f>SUM(AA119,AB119,AC119,AD119)</f>
      </c>
      <c r="AF119" s="202">
        <f>AF120-AF118</f>
      </c>
      <c r="AG119" s="202">
        <f>AG120-AG118</f>
      </c>
      <c r="AH119" s="202">
        <f>AH120-AH118</f>
      </c>
      <c r="AI119" s="202">
        <f>AI120-AI118</f>
      </c>
      <c r="AJ119" s="954">
        <f>SUM(AF119,AG119,AH119,AI119)</f>
      </c>
      <c r="AK119" s="202">
        <f>AK120-AK118</f>
      </c>
      <c r="AL119" s="202">
        <f>AL120-AL118</f>
      </c>
      <c r="AM119" s="202">
        <f>AM120-AM118</f>
      </c>
      <c r="AN119" s="202">
        <f>AN120-AN118</f>
      </c>
      <c r="AO119" s="954">
        <f>SUM(AK119,AL119,AM119,AN119)</f>
      </c>
      <c r="AP119" s="202">
        <f>AP120-AP118</f>
      </c>
      <c r="AQ119" s="202">
        <f>AQ120-AQ118</f>
      </c>
      <c r="AR119" s="202">
        <f>AR120-AR118</f>
      </c>
      <c r="AS119" s="202">
        <f>AS120-AS118</f>
      </c>
      <c r="AT119" s="954">
        <f>SUM(AP119,AQ119,AR119,AS119)</f>
      </c>
      <c r="AU119" s="202">
        <f>AU120-AU118</f>
      </c>
      <c r="AV119" s="202">
        <f>AV120-AV118</f>
      </c>
      <c r="AW119" s="202">
        <f>AW120-AW118</f>
      </c>
      <c r="AX119" s="202">
        <f>AX120-AX118</f>
      </c>
      <c r="AY119" s="954">
        <f>SUM(AU119,AV119,AW119,AX119)</f>
      </c>
      <c r="AZ119" s="202">
        <f>AZ120-AZ118</f>
      </c>
      <c r="BA119" s="202">
        <f>BA120-BA118</f>
      </c>
      <c r="BB119" s="202">
        <f>BB120-BB118</f>
      </c>
      <c r="BC119" s="202">
        <f>BC120-BC118</f>
      </c>
      <c r="BD119" s="954">
        <f>SUM(AZ119,BA119,BB119,BC119)</f>
      </c>
      <c r="BE119" s="202">
        <f>BE120-BE118</f>
      </c>
      <c r="BF119" s="202">
        <f>BF120-BF118</f>
      </c>
      <c r="BG119" s="202">
        <f>BG120-BG118</f>
      </c>
      <c r="BH119" s="202">
        <f>BH120-BH118</f>
      </c>
      <c r="BI119" s="954">
        <f>SUM(BE119,BF119,BG119,BH119)</f>
      </c>
      <c r="BJ119" s="202">
        <f>BJ120-BJ118</f>
      </c>
      <c r="BK119" s="131">
        <f>BK120-BK118</f>
      </c>
      <c r="BL119" s="202">
        <f>BL120-BL118</f>
      </c>
      <c r="BM119" s="202">
        <f>BM120-BM118</f>
      </c>
      <c r="BN119" s="954">
        <f>SUM(BJ119,BK119,BL119,BM119)</f>
      </c>
      <c r="BO119" s="202">
        <f>BO120-BO118</f>
      </c>
      <c r="BP119" s="131">
        <f>BP120-BP118</f>
      </c>
      <c r="BQ119" s="202">
        <f>BQ120-BQ118</f>
      </c>
      <c r="BR119" s="202">
        <f>BR120-BR118</f>
      </c>
      <c r="BS119" s="954">
        <f>SUM(BO119,BP119,BQ119,BR119)</f>
      </c>
      <c r="BT119" s="670">
        <f>BT120-BT118</f>
      </c>
      <c r="BU119" s="247">
        <f>BU121*BU118</f>
      </c>
      <c r="BV119" s="247">
        <f>BV121*BV118</f>
      </c>
      <c r="BW119" s="247">
        <f>BW121*BW118</f>
      </c>
      <c r="BX119" s="953">
        <f>SUM(BT119,BU119,BV119,BW119)</f>
      </c>
      <c r="BY119" s="247">
        <f>BY121*BY118</f>
      </c>
      <c r="BZ119" s="247">
        <f>BZ121*BZ118</f>
      </c>
      <c r="CA119" s="247">
        <f>CA121*CA118</f>
      </c>
      <c r="CB119" s="247">
        <f>CB121*CB118</f>
      </c>
      <c r="CC119" s="953">
        <f>SUM(BY119,BZ119,CA119,CB119)</f>
      </c>
      <c r="CD119" s="953">
        <f>CD122*CD118</f>
      </c>
      <c r="CE119" s="953">
        <f>CE122*CE118</f>
      </c>
      <c r="CF119" s="953">
        <f>CF122*CF118</f>
      </c>
      <c r="CG119" s="131"/>
    </row>
    <row r="120" spans="1:85" s="589" customFormat="1" hidden="1" outlineLevel="1" x14ac:dyDescent="0.3">
      <c r="A120" s="188" t="s">
        <v>677</v>
      </c>
      <c r="B120" s="245"/>
      <c r="C120" s="933"/>
      <c r="D120" s="933"/>
      <c r="E120" s="933"/>
      <c r="F120" s="933"/>
      <c r="G120" s="200"/>
      <c r="H120" s="200"/>
      <c r="I120" s="200"/>
      <c r="J120" s="200"/>
      <c r="K120" s="933"/>
      <c r="L120" s="200"/>
      <c r="M120" s="200"/>
      <c r="N120" s="200"/>
      <c r="O120" s="200"/>
      <c r="P120" s="933"/>
      <c r="Q120" s="200"/>
      <c r="R120" s="200"/>
      <c r="S120" s="200"/>
      <c r="T120" s="200"/>
      <c r="U120" s="933"/>
      <c r="V120" s="200"/>
      <c r="W120" s="200"/>
      <c r="X120" s="200"/>
      <c r="Y120" s="200"/>
      <c r="Z120" s="933"/>
      <c r="AA120" s="847">
        <v>4664</v>
      </c>
      <c r="AB120" s="847">
        <v>5254</v>
      </c>
      <c r="AC120" s="847">
        <v>5842</v>
      </c>
      <c r="AD120" s="847">
        <v>6501</v>
      </c>
      <c r="AE120" s="934">
        <f>SUM(AE118:AE119)</f>
      </c>
      <c r="AF120" s="847">
        <v>7394</v>
      </c>
      <c r="AG120" s="847">
        <v>8372</v>
      </c>
      <c r="AH120" s="847">
        <v>9461</v>
      </c>
      <c r="AI120" s="847">
        <v>10607</v>
      </c>
      <c r="AJ120" s="934">
        <f>SUM(AJ118:AJ119)</f>
      </c>
      <c r="AK120" s="847">
        <v>12141</v>
      </c>
      <c r="AL120" s="847">
        <v>12942</v>
      </c>
      <c r="AM120" s="847">
        <v>14485</v>
      </c>
      <c r="AN120" s="847">
        <v>16233</v>
      </c>
      <c r="AO120" s="934">
        <f>SUM(AO118:AO119)</f>
      </c>
      <c r="AP120" s="847">
        <v>19835</v>
      </c>
      <c r="AQ120" s="847">
        <v>22492</v>
      </c>
      <c r="AR120" s="847">
        <v>23504</v>
      </c>
      <c r="AS120" s="847">
        <v>25492</v>
      </c>
      <c r="AT120" s="934">
        <f>SUM(AT118:AT119)</f>
      </c>
      <c r="AU120" s="847">
        <v>26853</v>
      </c>
      <c r="AV120" s="847">
        <v>27875</v>
      </c>
      <c r="AW120" s="847">
        <v>30051</v>
      </c>
      <c r="AX120" s="847">
        <v>32632</v>
      </c>
      <c r="AY120" s="934">
        <f>SUM(AY118:AY119)</f>
      </c>
      <c r="AZ120" s="847">
        <v>33719</v>
      </c>
      <c r="BA120" s="847">
        <v>34799</v>
      </c>
      <c r="BB120" s="847">
        <v>36228</v>
      </c>
      <c r="BC120" s="847">
        <v>38023</v>
      </c>
      <c r="BD120" s="934">
        <f>SUM(BD118:BD119)</f>
      </c>
      <c r="BE120" s="847">
        <v>39478</v>
      </c>
      <c r="BF120" s="847">
        <v>40546</v>
      </c>
      <c r="BG120" s="847">
        <v>42427</v>
      </c>
      <c r="BH120" s="847">
        <v>45338</v>
      </c>
      <c r="BI120" s="934">
        <f>SUM(BI118:BI119)</f>
      </c>
      <c r="BJ120" s="847">
        <v>47495</v>
      </c>
      <c r="BK120" s="851">
        <v>50324</v>
      </c>
      <c r="BL120" s="847">
        <v>52604</v>
      </c>
      <c r="BM120" s="847">
        <v>57541</v>
      </c>
      <c r="BN120" s="934">
        <f>SUM(BN118:BN119)</f>
      </c>
      <c r="BO120" s="847">
        <v>56000</v>
      </c>
      <c r="BP120" s="851">
        <v>57000</v>
      </c>
      <c r="BQ120" s="847">
        <v>59000</v>
      </c>
      <c r="BR120" s="24">
        <f>BR9-BR52-BR80-BR100</f>
      </c>
      <c r="BS120" s="934">
        <f>SUM(BS118:BS119)</f>
      </c>
      <c r="BT120" s="852">
        <v>68000</v>
      </c>
      <c r="BU120" s="200">
        <f t="shared" ref="BU120:CF120" si="175">SUM(BU118:BU119)</f>
      </c>
      <c r="BV120" s="200">
        <f t="shared" si="175"/>
      </c>
      <c r="BW120" s="200">
        <f t="shared" si="175"/>
      </c>
      <c r="BX120" s="933">
        <f t="shared" si="175"/>
      </c>
      <c r="BY120" s="200">
        <f t="shared" si="175"/>
      </c>
      <c r="BZ120" s="200">
        <f t="shared" si="175"/>
      </c>
      <c r="CA120" s="200">
        <f t="shared" si="175"/>
      </c>
      <c r="CB120" s="200">
        <f t="shared" si="175"/>
      </c>
      <c r="CC120" s="933">
        <f t="shared" si="175"/>
      </c>
      <c r="CD120" s="933">
        <f t="shared" si="175"/>
      </c>
      <c r="CE120" s="933">
        <f t="shared" si="175"/>
      </c>
      <c r="CF120" s="933">
        <f t="shared" si="175"/>
      </c>
      <c r="CG120" s="24"/>
    </row>
    <row r="121" spans="1:85" s="589" customFormat="1" hidden="1" outlineLevel="1" x14ac:dyDescent="0.3">
      <c r="A121" s="310" t="s">
        <v>565</v>
      </c>
      <c r="B121" s="309"/>
      <c r="C121" s="935"/>
      <c r="D121" s="935"/>
      <c r="E121" s="935"/>
      <c r="F121" s="935"/>
      <c r="G121" s="58"/>
      <c r="H121" s="58"/>
      <c r="I121" s="58"/>
      <c r="J121" s="58"/>
      <c r="K121" s="935"/>
      <c r="L121" s="58"/>
      <c r="M121" s="58"/>
      <c r="N121" s="58"/>
      <c r="O121" s="58"/>
      <c r="P121" s="935"/>
      <c r="Q121" s="58"/>
      <c r="R121" s="58"/>
      <c r="S121" s="58"/>
      <c r="T121" s="58"/>
      <c r="U121" s="935"/>
      <c r="V121" s="58"/>
      <c r="W121" s="58"/>
      <c r="X121" s="58"/>
      <c r="Y121" s="58"/>
      <c r="Z121" s="935"/>
      <c r="AA121" s="58"/>
      <c r="AB121" s="308">
        <f>AB120/AA120-1</f>
      </c>
      <c r="AC121" s="308">
        <f>AC120/AB120-1</f>
      </c>
      <c r="AD121" s="308">
        <f>AD120/AC120-1</f>
      </c>
      <c r="AE121" s="935"/>
      <c r="AF121" s="308">
        <f>AF120/AD120-1</f>
      </c>
      <c r="AG121" s="308">
        <f>AG120/AF120-1</f>
      </c>
      <c r="AH121" s="308">
        <f>AH120/AG120-1</f>
      </c>
      <c r="AI121" s="308">
        <f>AI120/AH120-1</f>
      </c>
      <c r="AJ121" s="935"/>
      <c r="AK121" s="308">
        <f>AK120/AI120-1</f>
      </c>
      <c r="AL121" s="308">
        <f>AL120/AK120-1</f>
      </c>
      <c r="AM121" s="308">
        <f>AM120/AL120-1</f>
      </c>
      <c r="AN121" s="308">
        <f>AN120/AM120-1</f>
      </c>
      <c r="AO121" s="935"/>
      <c r="AP121" s="308">
        <f>AP120/AN120-1</f>
      </c>
      <c r="AQ121" s="308">
        <f>AQ120/AP120-1</f>
      </c>
      <c r="AR121" s="308">
        <f>AR120/AQ120-1</f>
      </c>
      <c r="AS121" s="308">
        <f>AS120/AR120-1</f>
      </c>
      <c r="AT121" s="935"/>
      <c r="AU121" s="308">
        <f>AU120/AS120-1</f>
      </c>
      <c r="AV121" s="308">
        <f>AV120/AU120-1</f>
      </c>
      <c r="AW121" s="308">
        <f>AW120/AV120-1</f>
      </c>
      <c r="AX121" s="308">
        <f>AX120/AW120-1</f>
      </c>
      <c r="AY121" s="935"/>
      <c r="AZ121" s="308">
        <f>AZ120/AX120-1</f>
      </c>
      <c r="BA121" s="308">
        <f>BA120/AZ120-1</f>
      </c>
      <c r="BB121" s="308">
        <f>BB120/BA120-1</f>
      </c>
      <c r="BC121" s="308">
        <f>BC120/BB120-1</f>
      </c>
      <c r="BD121" s="935"/>
      <c r="BE121" s="308">
        <f>BE120/BC120-1</f>
      </c>
      <c r="BF121" s="308">
        <f>BF120/BE120-1</f>
      </c>
      <c r="BG121" s="308">
        <f>BG120/BF120-1</f>
      </c>
      <c r="BH121" s="308">
        <f>BH120/BG120-1</f>
      </c>
      <c r="BI121" s="935"/>
      <c r="BJ121" s="308">
        <f>BJ120/BH120-1</f>
      </c>
      <c r="BK121" s="308">
        <f>BK120/BJ120-1</f>
      </c>
      <c r="BL121" s="308">
        <f>BL120/BK120-1</f>
      </c>
      <c r="BM121" s="308">
        <f>BM120/BL120-1</f>
      </c>
      <c r="BN121" s="935"/>
      <c r="BO121" s="308">
        <f>BO120/BM120-1</f>
      </c>
      <c r="BP121" s="308">
        <f>BP120/BO120-1</f>
      </c>
      <c r="BQ121" s="308">
        <f>BQ120/BP120-1</f>
      </c>
      <c r="BR121" s="308">
        <f>BR120/BQ120-1</f>
      </c>
      <c r="BS121" s="935"/>
      <c r="BT121" s="663">
        <f>BT120/BR120-1</f>
      </c>
      <c r="BU121" s="853">
        <v>0.03</v>
      </c>
      <c r="BV121" s="853">
        <v>0.03</v>
      </c>
      <c r="BW121" s="853">
        <v>0.03</v>
      </c>
      <c r="BX121" s="935"/>
      <c r="BY121" s="853">
        <v>0.05</v>
      </c>
      <c r="BZ121" s="853">
        <v>0.03</v>
      </c>
      <c r="CA121" s="853">
        <v>0.03</v>
      </c>
      <c r="CB121" s="853">
        <v>-0.01</v>
      </c>
      <c r="CC121" s="935"/>
      <c r="CD121" s="935"/>
      <c r="CE121" s="935"/>
      <c r="CF121" s="935"/>
      <c r="CG121" s="24"/>
    </row>
    <row r="122" spans="1:85" s="583" customFormat="1" hidden="1" outlineLevel="1" x14ac:dyDescent="0.3">
      <c r="A122" s="767" t="s">
        <v>566</v>
      </c>
      <c r="B122" s="305"/>
      <c r="C122" s="936"/>
      <c r="D122" s="936"/>
      <c r="E122" s="936"/>
      <c r="F122" s="936"/>
      <c r="G122" s="446"/>
      <c r="H122" s="446"/>
      <c r="I122" s="446"/>
      <c r="J122" s="446"/>
      <c r="K122" s="936"/>
      <c r="L122" s="446"/>
      <c r="M122" s="446"/>
      <c r="N122" s="446"/>
      <c r="O122" s="446"/>
      <c r="P122" s="936"/>
      <c r="Q122" s="446"/>
      <c r="R122" s="446"/>
      <c r="S122" s="446"/>
      <c r="T122" s="446"/>
      <c r="U122" s="936"/>
      <c r="V122" s="446"/>
      <c r="W122" s="446"/>
      <c r="X122" s="446"/>
      <c r="Y122" s="446"/>
      <c r="Z122" s="936"/>
      <c r="AA122" s="446"/>
      <c r="AB122" s="446"/>
      <c r="AC122" s="446"/>
      <c r="AD122" s="446"/>
      <c r="AE122" s="936"/>
      <c r="AF122" s="446">
        <f t="shared" ref="AF122:AW122" si="176">+AF120/AA120-1</f>
      </c>
      <c r="AG122" s="446">
        <f t="shared" si="176"/>
      </c>
      <c r="AH122" s="446">
        <f t="shared" si="176"/>
      </c>
      <c r="AI122" s="446">
        <f t="shared" si="176"/>
      </c>
      <c r="AJ122" s="936">
        <f t="shared" si="176"/>
      </c>
      <c r="AK122" s="446">
        <f t="shared" si="176"/>
      </c>
      <c r="AL122" s="446">
        <f t="shared" si="176"/>
      </c>
      <c r="AM122" s="446">
        <f t="shared" si="176"/>
      </c>
      <c r="AN122" s="446">
        <f t="shared" si="176"/>
      </c>
      <c r="AO122" s="936">
        <f t="shared" si="176"/>
      </c>
      <c r="AP122" s="446">
        <f t="shared" si="176"/>
      </c>
      <c r="AQ122" s="446">
        <f t="shared" si="176"/>
      </c>
      <c r="AR122" s="446">
        <f t="shared" si="176"/>
      </c>
      <c r="AS122" s="446">
        <f t="shared" si="176"/>
      </c>
      <c r="AT122" s="936">
        <f t="shared" si="176"/>
      </c>
      <c r="AU122" s="446">
        <f t="shared" si="176"/>
      </c>
      <c r="AV122" s="446">
        <f t="shared" si="176"/>
      </c>
      <c r="AW122" s="446">
        <f t="shared" si="176"/>
      </c>
      <c r="AX122" s="446">
        <f t="shared" ref="AX122:BD122" si="177">+AX120/AS120-1</f>
      </c>
      <c r="AY122" s="936">
        <f t="shared" si="177"/>
      </c>
      <c r="AZ122" s="446">
        <f t="shared" si="177"/>
      </c>
      <c r="BA122" s="446">
        <f t="shared" si="177"/>
      </c>
      <c r="BB122" s="446">
        <f t="shared" si="177"/>
      </c>
      <c r="BC122" s="446">
        <f t="shared" si="177"/>
      </c>
      <c r="BD122" s="936">
        <f t="shared" si="177"/>
      </c>
      <c r="BE122" s="446">
        <f t="shared" ref="BE122:BI122" si="178">+BE120/AZ120-1</f>
      </c>
      <c r="BF122" s="446">
        <f t="shared" si="178"/>
      </c>
      <c r="BG122" s="446">
        <f t="shared" si="178"/>
      </c>
      <c r="BH122" s="446">
        <f t="shared" si="178"/>
      </c>
      <c r="BI122" s="936">
        <f t="shared" si="178"/>
      </c>
      <c r="BJ122" s="446">
        <f t="shared" ref="BJ122:BX122" si="179">+BJ120/BE120-1</f>
      </c>
      <c r="BK122" s="446">
        <f t="shared" si="179"/>
      </c>
      <c r="BL122" s="446">
        <f t="shared" si="179"/>
      </c>
      <c r="BM122" s="446">
        <f t="shared" si="179"/>
      </c>
      <c r="BN122" s="936">
        <f t="shared" si="179"/>
      </c>
      <c r="BO122" s="446">
        <f t="shared" ref="BO122:BW122" si="180">+BO120/BJ120-1</f>
      </c>
      <c r="BP122" s="446">
        <f t="shared" si="180"/>
      </c>
      <c r="BQ122" s="446">
        <f t="shared" si="180"/>
      </c>
      <c r="BR122" s="446">
        <f t="shared" si="180"/>
      </c>
      <c r="BS122" s="936">
        <f t="shared" si="180"/>
      </c>
      <c r="BT122" s="665">
        <f>+BT120/BO120-1</f>
      </c>
      <c r="BU122" s="446">
        <f t="shared" si="180"/>
      </c>
      <c r="BV122" s="446">
        <f t="shared" si="180"/>
      </c>
      <c r="BW122" s="446">
        <f t="shared" si="180"/>
      </c>
      <c r="BX122" s="936">
        <f t="shared" si="179"/>
      </c>
      <c r="BY122" s="446">
        <f>+BY120/BT120-1</f>
      </c>
      <c r="BZ122" s="446">
        <f>+BZ120/BU120-1</f>
      </c>
      <c r="CA122" s="446">
        <f>+CA120/BV120-1</f>
      </c>
      <c r="CB122" s="446">
        <f>+CB120/BW120-1</f>
      </c>
      <c r="CC122" s="936">
        <f>+CC120/BX120-1</f>
      </c>
      <c r="CD122" s="955">
        <v>0.12</v>
      </c>
      <c r="CE122" s="955">
        <v>0.12</v>
      </c>
      <c r="CF122" s="955">
        <v>0.12</v>
      </c>
      <c r="CG122" s="308"/>
    </row>
    <row r="123" spans="1:85" ht="7.5" hidden="1" customHeight="1" outlineLevel="1" x14ac:dyDescent="0.3">
      <c r="A123" s="239"/>
      <c r="B123" s="240"/>
      <c r="C123" s="938"/>
      <c r="D123" s="938"/>
      <c r="E123" s="938"/>
      <c r="F123" s="938"/>
      <c r="G123" s="241"/>
      <c r="H123" s="241"/>
      <c r="I123" s="241"/>
      <c r="J123" s="241"/>
      <c r="K123" s="938"/>
      <c r="L123" s="241"/>
      <c r="M123" s="241"/>
      <c r="N123" s="241"/>
      <c r="O123" s="241"/>
      <c r="P123" s="938"/>
      <c r="Q123" s="241"/>
      <c r="R123" s="241"/>
      <c r="S123" s="241"/>
      <c r="T123" s="241"/>
      <c r="U123" s="938"/>
      <c r="V123" s="241"/>
      <c r="W123" s="241"/>
      <c r="X123" s="241"/>
      <c r="Y123" s="241"/>
      <c r="Z123" s="938"/>
      <c r="AA123" s="241"/>
      <c r="AB123" s="241"/>
      <c r="AC123" s="241"/>
      <c r="AD123" s="241"/>
      <c r="AE123" s="938"/>
      <c r="AF123" s="241"/>
      <c r="AG123" s="241"/>
      <c r="AH123" s="241"/>
      <c r="AI123" s="241"/>
      <c r="AJ123" s="938"/>
      <c r="AK123" s="241"/>
      <c r="AL123" s="241"/>
      <c r="AM123" s="241"/>
      <c r="AN123" s="241"/>
      <c r="AO123" s="938"/>
      <c r="AP123" s="241"/>
      <c r="AQ123" s="241"/>
      <c r="AR123" s="241"/>
      <c r="AS123" s="241"/>
      <c r="AT123" s="938"/>
      <c r="AU123" s="241"/>
      <c r="AV123" s="241"/>
      <c r="AW123" s="241"/>
      <c r="AX123" s="241"/>
      <c r="AY123" s="938"/>
      <c r="AZ123" s="241"/>
      <c r="BA123" s="241"/>
      <c r="BB123" s="241"/>
      <c r="BC123" s="241"/>
      <c r="BD123" s="938"/>
      <c r="BE123" s="241"/>
      <c r="BF123" s="241"/>
      <c r="BG123" s="241"/>
      <c r="BH123" s="241"/>
      <c r="BI123" s="938"/>
      <c r="BJ123" s="241"/>
      <c r="BK123" s="241"/>
      <c r="BL123" s="241"/>
      <c r="BM123" s="241"/>
      <c r="BN123" s="938"/>
      <c r="BO123" s="241"/>
      <c r="BP123" s="241"/>
      <c r="BQ123" s="241"/>
      <c r="BR123" s="241"/>
      <c r="BS123" s="938"/>
      <c r="BT123" s="666"/>
      <c r="BU123" s="241"/>
      <c r="BV123" s="241"/>
      <c r="BW123" s="241"/>
      <c r="BX123" s="938"/>
      <c r="BY123" s="241"/>
      <c r="BZ123" s="241"/>
      <c r="CA123" s="241"/>
      <c r="CB123" s="241"/>
      <c r="CC123" s="938"/>
      <c r="CD123" s="938"/>
      <c r="CE123" s="938"/>
      <c r="CF123" s="938"/>
      <c r="CG123" s="191"/>
    </row>
    <row r="124" spans="1:85" s="582" customFormat="1" hidden="1" outlineLevel="1" x14ac:dyDescent="0.3">
      <c r="A124" s="255" t="s">
        <v>651</v>
      </c>
      <c r="B124" s="392"/>
      <c r="C124" s="956"/>
      <c r="D124" s="956"/>
      <c r="E124" s="956"/>
      <c r="F124" s="956"/>
      <c r="G124" s="257"/>
      <c r="H124" s="257"/>
      <c r="I124" s="257"/>
      <c r="J124" s="257"/>
      <c r="K124" s="956"/>
      <c r="L124" s="257"/>
      <c r="M124" s="257"/>
      <c r="N124" s="257"/>
      <c r="O124" s="257"/>
      <c r="P124" s="956"/>
      <c r="Q124" s="257"/>
      <c r="R124" s="257"/>
      <c r="S124" s="257"/>
      <c r="T124" s="257"/>
      <c r="U124" s="956"/>
      <c r="V124" s="257"/>
      <c r="W124" s="257"/>
      <c r="X124" s="257"/>
      <c r="Y124" s="257"/>
      <c r="Z124" s="956"/>
      <c r="AA124" s="854">
        <v>4403</v>
      </c>
      <c r="AB124" s="257">
        <f>AVERAGE(AB120,AB118)</f>
      </c>
      <c r="AC124" s="257">
        <f>AVERAGE(AC120,AC118)</f>
      </c>
      <c r="AD124" s="257">
        <f>AVERAGE(AD120,AD118)</f>
      </c>
      <c r="AE124" s="956">
        <f>AVERAGE(AA124,AB124,AC124,AD124)</f>
      </c>
      <c r="AF124" s="257">
        <f>AVERAGE(AF120,AF118)</f>
      </c>
      <c r="AG124" s="257">
        <f>AVERAGE(AG120,AG118)</f>
      </c>
      <c r="AH124" s="257">
        <f>AVERAGE(AH120,AH118)</f>
      </c>
      <c r="AI124" s="257">
        <f>AVERAGE(AI120,AI118)</f>
      </c>
      <c r="AJ124" s="956">
        <f>AVERAGE(AF124,AG124,AH124,AI124)</f>
      </c>
      <c r="AK124" s="257">
        <f>AVERAGE(AK120,AK118)</f>
      </c>
      <c r="AL124" s="257">
        <f>AVERAGE(AL120,AL118)</f>
      </c>
      <c r="AM124" s="257">
        <f>AVERAGE(AM120,AM118)</f>
      </c>
      <c r="AN124" s="257">
        <f>AVERAGE(AN120,AN118)</f>
      </c>
      <c r="AO124" s="956">
        <f>AVERAGE(AK124,AL124,AM124,AN124)</f>
      </c>
      <c r="AP124" s="257">
        <f>AVERAGE(AP120,AP118)</f>
      </c>
      <c r="AQ124" s="257">
        <f>AVERAGE(AQ120,AQ118)</f>
      </c>
      <c r="AR124" s="257">
        <f>AVERAGE(AR120,AR118)</f>
      </c>
      <c r="AS124" s="257">
        <f>AVERAGE(AS120,AS118)</f>
      </c>
      <c r="AT124" s="956">
        <f>AVERAGE(AP124,AQ124,AR124,AS124)</f>
      </c>
      <c r="AU124" s="257">
        <f>AVERAGE(AU120,AU118)</f>
      </c>
      <c r="AV124" s="257">
        <f>AVERAGE(AV120,AV118)</f>
      </c>
      <c r="AW124" s="257">
        <f>AVERAGE(AW120,AW118)</f>
      </c>
      <c r="AX124" s="257">
        <f>AVERAGE(AX120,AX118)</f>
      </c>
      <c r="AY124" s="956">
        <f>AVERAGE(AU124,AV124,AW124,AX124)</f>
      </c>
      <c r="AZ124" s="257">
        <f>AVERAGE(AZ120,AZ118)</f>
      </c>
      <c r="BA124" s="257">
        <f>AVERAGE(BA120,BA118)</f>
      </c>
      <c r="BB124" s="257">
        <f>AVERAGE(BB120,BB118)</f>
      </c>
      <c r="BC124" s="257">
        <f>AVERAGE(BC120,BC118)</f>
      </c>
      <c r="BD124" s="956">
        <f>AVERAGE(AZ124,BA124,BB124,BC124)</f>
      </c>
      <c r="BE124" s="257">
        <f>AVERAGE(BE120,BE118)</f>
      </c>
      <c r="BF124" s="257">
        <f>AVERAGE(BF120,BF118)</f>
      </c>
      <c r="BG124" s="257">
        <f>AVERAGE(BG120,BG118)</f>
      </c>
      <c r="BH124" s="257">
        <f>AVERAGE(BH120,BH118)</f>
      </c>
      <c r="BI124" s="956">
        <f>AVERAGE(BE124,BF124,BG124,BH124)</f>
      </c>
      <c r="BJ124" s="257">
        <f>AVERAGE(BJ120,BJ118)</f>
      </c>
      <c r="BK124" s="257">
        <f>AVERAGE(BK120,BK118)</f>
      </c>
      <c r="BL124" s="257">
        <f>AVERAGE(BL120,BL118)</f>
      </c>
      <c r="BM124" s="257">
        <f>AVERAGE(BM120,BM118)</f>
      </c>
      <c r="BN124" s="956">
        <f>AVERAGE(BJ124,BK124,BL124,BM124)</f>
      </c>
      <c r="BO124" s="257">
        <f>AVERAGE(BO120,BO118)</f>
      </c>
      <c r="BP124" s="257">
        <f>AVERAGE(BP120,BP118)</f>
      </c>
      <c r="BQ124" s="257">
        <f>AVERAGE(BQ120,BQ118)</f>
      </c>
      <c r="BR124" s="257">
        <f>AVERAGE(BR120,BR118)</f>
      </c>
      <c r="BS124" s="956">
        <f>AVERAGE(BO124,BP124,BQ124,BR124)</f>
      </c>
      <c r="BT124" s="671">
        <f>AVERAGE(BT120,BT118)</f>
      </c>
      <c r="BU124" s="257">
        <f>AVERAGE(BU120,BU118)</f>
      </c>
      <c r="BV124" s="257">
        <f>AVERAGE(BV120,BV118)</f>
      </c>
      <c r="BW124" s="257">
        <f>AVERAGE(BW120,BW118)</f>
      </c>
      <c r="BX124" s="956">
        <f>AVERAGE(BT124,BU124,BV124,BW124)</f>
      </c>
      <c r="BY124" s="257">
        <f>AVERAGE(BY120,BY118)</f>
      </c>
      <c r="BZ124" s="257">
        <f>AVERAGE(BZ120,BZ118)</f>
      </c>
      <c r="CA124" s="257">
        <f>AVERAGE(CA120,CA118)</f>
      </c>
      <c r="CB124" s="257">
        <f>AVERAGE(CB120,CB118)</f>
      </c>
      <c r="CC124" s="956">
        <f>AVERAGE(BY124,BZ124,CA124,CB124)</f>
      </c>
      <c r="CD124" s="956">
        <f>AVERAGE(CD120,CD118)</f>
      </c>
      <c r="CE124" s="956">
        <f>AVERAGE(CE120,CE118)</f>
      </c>
      <c r="CF124" s="956">
        <f>AVERAGE(CF120,CF118)</f>
      </c>
      <c r="CG124" s="131"/>
    </row>
    <row r="125" spans="1:85" s="582" customFormat="1" hidden="1" outlineLevel="1" x14ac:dyDescent="0.3">
      <c r="A125" s="327" t="s">
        <v>652</v>
      </c>
      <c r="B125" s="366"/>
      <c r="C125" s="936"/>
      <c r="D125" s="936"/>
      <c r="E125" s="936"/>
      <c r="F125" s="936"/>
      <c r="G125" s="446"/>
      <c r="H125" s="446"/>
      <c r="I125" s="446"/>
      <c r="J125" s="446"/>
      <c r="K125" s="936"/>
      <c r="L125" s="446"/>
      <c r="M125" s="446"/>
      <c r="N125" s="446"/>
      <c r="O125" s="446"/>
      <c r="P125" s="936"/>
      <c r="Q125" s="446"/>
      <c r="R125" s="446"/>
      <c r="S125" s="446"/>
      <c r="T125" s="446"/>
      <c r="U125" s="936"/>
      <c r="V125" s="446"/>
      <c r="W125" s="446"/>
      <c r="X125" s="446"/>
      <c r="Y125" s="446"/>
      <c r="Z125" s="936"/>
      <c r="AA125" s="446"/>
      <c r="AB125" s="446">
        <f>AB124/AA124-1</f>
      </c>
      <c r="AC125" s="446">
        <f>AC124/AB124-1</f>
      </c>
      <c r="AD125" s="446">
        <f>AD124/AC124-1</f>
      </c>
      <c r="AE125" s="936"/>
      <c r="AF125" s="446">
        <f>AF124/AD124-1</f>
      </c>
      <c r="AG125" s="446">
        <f>AG124/AF124-1</f>
      </c>
      <c r="AH125" s="446">
        <f>AH124/AG124-1</f>
      </c>
      <c r="AI125" s="446">
        <f>AI124/AH124-1</f>
      </c>
      <c r="AJ125" s="936"/>
      <c r="AK125" s="446">
        <f>AK124/AI124-1</f>
      </c>
      <c r="AL125" s="446">
        <f>AL124/AK124-1</f>
      </c>
      <c r="AM125" s="446">
        <f>AM124/AL124-1</f>
      </c>
      <c r="AN125" s="446">
        <f>AN124/AM124-1</f>
      </c>
      <c r="AO125" s="936"/>
      <c r="AP125" s="446">
        <f>AP124/AN124-1</f>
      </c>
      <c r="AQ125" s="446">
        <f>AQ124/AP124-1</f>
      </c>
      <c r="AR125" s="446">
        <f>AR124/AQ124-1</f>
      </c>
      <c r="AS125" s="446">
        <f>AS124/AR124-1</f>
      </c>
      <c r="AT125" s="936"/>
      <c r="AU125" s="446">
        <f>AU124/AS124-1</f>
      </c>
      <c r="AV125" s="446">
        <f>AV124/AU124-1</f>
      </c>
      <c r="AW125" s="446">
        <f>AW124/AV124-1</f>
      </c>
      <c r="AX125" s="446">
        <f>AX124/AW124-1</f>
      </c>
      <c r="AY125" s="936"/>
      <c r="AZ125" s="446">
        <f>AZ124/AX124-1</f>
      </c>
      <c r="BA125" s="446">
        <f>BA124/AZ124-1</f>
      </c>
      <c r="BB125" s="446">
        <f>BB124/BA124-1</f>
      </c>
      <c r="BC125" s="446">
        <f>BC124/BB124-1</f>
      </c>
      <c r="BD125" s="936"/>
      <c r="BE125" s="446">
        <f>BE124/BC124-1</f>
      </c>
      <c r="BF125" s="446">
        <f>BF124/BE124-1</f>
      </c>
      <c r="BG125" s="446">
        <f>BG124/BF124-1</f>
      </c>
      <c r="BH125" s="446">
        <f>BH124/BG124-1</f>
      </c>
      <c r="BI125" s="936"/>
      <c r="BJ125" s="446">
        <f>BJ124/BH124-1</f>
      </c>
      <c r="BK125" s="446">
        <f>BK124/BJ124-1</f>
      </c>
      <c r="BL125" s="446">
        <f>BL124/BK124-1</f>
      </c>
      <c r="BM125" s="446">
        <f>BM124/BL124-1</f>
      </c>
      <c r="BN125" s="936"/>
      <c r="BO125" s="446">
        <f>BO124/BM124-1</f>
      </c>
      <c r="BP125" s="446">
        <f>BP124/BO124-1</f>
      </c>
      <c r="BQ125" s="446">
        <f>BQ124/BP124-1</f>
      </c>
      <c r="BR125" s="446">
        <f>BR124/BQ124-1</f>
      </c>
      <c r="BS125" s="936"/>
      <c r="BT125" s="665">
        <f>BT124/BR124-1</f>
      </c>
      <c r="BU125" s="446">
        <f>BU124/BT124-1</f>
      </c>
      <c r="BV125" s="446">
        <f>BV124/BU124-1</f>
      </c>
      <c r="BW125" s="446">
        <f>BW124/BV124-1</f>
      </c>
      <c r="BX125" s="936"/>
      <c r="BY125" s="446">
        <f>BY124/BW124-1</f>
      </c>
      <c r="BZ125" s="446">
        <f>BZ124/BY124-1</f>
      </c>
      <c r="CA125" s="446">
        <f>CA124/BZ124-1</f>
      </c>
      <c r="CB125" s="446">
        <f>CB124/CA124-1</f>
      </c>
      <c r="CC125" s="936"/>
      <c r="CD125" s="936"/>
      <c r="CE125" s="936"/>
      <c r="CF125" s="936"/>
      <c r="CG125" s="24"/>
    </row>
    <row r="126" spans="1:85" hidden="1" outlineLevel="1" x14ac:dyDescent="0.3">
      <c r="A126" s="767" t="s">
        <v>653</v>
      </c>
      <c r="B126" s="305"/>
      <c r="C126" s="936"/>
      <c r="D126" s="936"/>
      <c r="E126" s="936"/>
      <c r="F126" s="936"/>
      <c r="G126" s="446"/>
      <c r="H126" s="446"/>
      <c r="I126" s="446"/>
      <c r="J126" s="446"/>
      <c r="K126" s="936"/>
      <c r="L126" s="446"/>
      <c r="M126" s="446"/>
      <c r="N126" s="446"/>
      <c r="O126" s="446"/>
      <c r="P126" s="936"/>
      <c r="Q126" s="446"/>
      <c r="R126" s="446"/>
      <c r="S126" s="446"/>
      <c r="T126" s="446"/>
      <c r="U126" s="936"/>
      <c r="V126" s="446"/>
      <c r="W126" s="446"/>
      <c r="X126" s="446"/>
      <c r="Y126" s="446"/>
      <c r="Z126" s="936"/>
      <c r="AA126" s="446"/>
      <c r="AB126" s="446"/>
      <c r="AC126" s="446"/>
      <c r="AD126" s="446"/>
      <c r="AE126" s="936"/>
      <c r="AF126" s="446">
        <f t="shared" ref="AF126:AW126" si="181">AF124/AA124-1</f>
      </c>
      <c r="AG126" s="446">
        <f t="shared" si="181"/>
      </c>
      <c r="AH126" s="446">
        <f t="shared" si="181"/>
      </c>
      <c r="AI126" s="446">
        <f t="shared" si="181"/>
      </c>
      <c r="AJ126" s="936">
        <f t="shared" si="181"/>
      </c>
      <c r="AK126" s="446">
        <f t="shared" si="181"/>
      </c>
      <c r="AL126" s="446">
        <f t="shared" si="181"/>
      </c>
      <c r="AM126" s="446">
        <f t="shared" si="181"/>
      </c>
      <c r="AN126" s="446">
        <f t="shared" si="181"/>
      </c>
      <c r="AO126" s="936">
        <f t="shared" si="181"/>
      </c>
      <c r="AP126" s="446">
        <f t="shared" si="181"/>
      </c>
      <c r="AQ126" s="446">
        <f t="shared" si="181"/>
      </c>
      <c r="AR126" s="446">
        <f t="shared" si="181"/>
      </c>
      <c r="AS126" s="446">
        <f t="shared" si="181"/>
      </c>
      <c r="AT126" s="936">
        <f t="shared" si="181"/>
      </c>
      <c r="AU126" s="446">
        <f t="shared" si="181"/>
      </c>
      <c r="AV126" s="446">
        <f t="shared" si="181"/>
      </c>
      <c r="AW126" s="446">
        <f t="shared" si="181"/>
      </c>
      <c r="AX126" s="446">
        <f t="shared" ref="AX126:BD126" si="182">AX124/AS124-1</f>
      </c>
      <c r="AY126" s="936">
        <f t="shared" si="182"/>
      </c>
      <c r="AZ126" s="446">
        <f t="shared" si="182"/>
      </c>
      <c r="BA126" s="446">
        <f t="shared" si="182"/>
      </c>
      <c r="BB126" s="446">
        <f t="shared" si="182"/>
      </c>
      <c r="BC126" s="446">
        <f t="shared" si="182"/>
      </c>
      <c r="BD126" s="936">
        <f t="shared" si="182"/>
      </c>
      <c r="BE126" s="446">
        <f t="shared" ref="BE126:BI126" si="183">BE124/AZ124-1</f>
      </c>
      <c r="BF126" s="446">
        <f t="shared" si="183"/>
      </c>
      <c r="BG126" s="446">
        <f t="shared" si="183"/>
      </c>
      <c r="BH126" s="446">
        <f t="shared" si="183"/>
      </c>
      <c r="BI126" s="936">
        <f t="shared" si="183"/>
      </c>
      <c r="BJ126" s="446">
        <f t="shared" ref="BJ126:BX126" si="184">BJ124/BE124-1</f>
      </c>
      <c r="BK126" s="446">
        <f t="shared" si="184"/>
      </c>
      <c r="BL126" s="446">
        <f t="shared" si="184"/>
      </c>
      <c r="BM126" s="446">
        <f t="shared" si="184"/>
      </c>
      <c r="BN126" s="936">
        <f t="shared" si="184"/>
      </c>
      <c r="BO126" s="446">
        <f t="shared" ref="BO126:BW126" si="185">BO124/BJ124-1</f>
      </c>
      <c r="BP126" s="446">
        <f t="shared" si="185"/>
      </c>
      <c r="BQ126" s="446">
        <f t="shared" si="185"/>
      </c>
      <c r="BR126" s="446">
        <f t="shared" si="185"/>
      </c>
      <c r="BS126" s="936">
        <f t="shared" si="185"/>
      </c>
      <c r="BT126" s="665">
        <f>BT124/BO124-1</f>
      </c>
      <c r="BU126" s="446">
        <f t="shared" si="185"/>
      </c>
      <c r="BV126" s="446">
        <f t="shared" si="185"/>
      </c>
      <c r="BW126" s="446">
        <f t="shared" si="185"/>
      </c>
      <c r="BX126" s="936">
        <f t="shared" si="184"/>
      </c>
      <c r="BY126" s="446">
        <f>BY124/BT124-1</f>
      </c>
      <c r="BZ126" s="446">
        <f>BZ124/BU124-1</f>
      </c>
      <c r="CA126" s="446">
        <f>CA124/BV124-1</f>
      </c>
      <c r="CB126" s="446">
        <f>CB124/BW124-1</f>
      </c>
      <c r="CC126" s="936">
        <f>CC124/BX124-1</f>
      </c>
      <c r="CD126" s="936">
        <f>CD124/CC124-1</f>
      </c>
      <c r="CE126" s="936">
        <f>CE124/CD124-1</f>
      </c>
      <c r="CF126" s="936">
        <f>CF124/CE124-1</f>
      </c>
      <c r="CG126" s="308"/>
    </row>
    <row r="127" spans="1:85" ht="7.5" hidden="1" customHeight="1" outlineLevel="1" x14ac:dyDescent="0.3">
      <c r="A127" s="239"/>
      <c r="B127" s="240"/>
      <c r="C127" s="938"/>
      <c r="D127" s="938"/>
      <c r="E127" s="938"/>
      <c r="F127" s="938"/>
      <c r="G127" s="241"/>
      <c r="H127" s="241"/>
      <c r="I127" s="241"/>
      <c r="J127" s="241"/>
      <c r="K127" s="938"/>
      <c r="L127" s="241"/>
      <c r="M127" s="241"/>
      <c r="N127" s="241"/>
      <c r="O127" s="241"/>
      <c r="P127" s="938"/>
      <c r="Q127" s="241"/>
      <c r="R127" s="241"/>
      <c r="S127" s="241"/>
      <c r="T127" s="241"/>
      <c r="U127" s="938"/>
      <c r="V127" s="241"/>
      <c r="W127" s="241"/>
      <c r="X127" s="241"/>
      <c r="Y127" s="241"/>
      <c r="Z127" s="938"/>
      <c r="AA127" s="241"/>
      <c r="AB127" s="241"/>
      <c r="AC127" s="241"/>
      <c r="AD127" s="241"/>
      <c r="AE127" s="938"/>
      <c r="AF127" s="241"/>
      <c r="AG127" s="241"/>
      <c r="AH127" s="241"/>
      <c r="AI127" s="241"/>
      <c r="AJ127" s="938"/>
      <c r="AK127" s="241"/>
      <c r="AL127" s="241"/>
      <c r="AM127" s="241"/>
      <c r="AN127" s="241"/>
      <c r="AO127" s="938"/>
      <c r="AP127" s="241"/>
      <c r="AQ127" s="241"/>
      <c r="AR127" s="241"/>
      <c r="AS127" s="241"/>
      <c r="AT127" s="938"/>
      <c r="AU127" s="241"/>
      <c r="AV127" s="241"/>
      <c r="AW127" s="241"/>
      <c r="AX127" s="241"/>
      <c r="AY127" s="938"/>
      <c r="AZ127" s="241"/>
      <c r="BA127" s="241"/>
      <c r="BB127" s="241"/>
      <c r="BC127" s="241"/>
      <c r="BD127" s="938"/>
      <c r="BE127" s="241"/>
      <c r="BF127" s="241"/>
      <c r="BG127" s="241"/>
      <c r="BH127" s="241"/>
      <c r="BI127" s="938"/>
      <c r="BJ127" s="241"/>
      <c r="BK127" s="241"/>
      <c r="BL127" s="241"/>
      <c r="BM127" s="241"/>
      <c r="BN127" s="938"/>
      <c r="BO127" s="241"/>
      <c r="BP127" s="241"/>
      <c r="BQ127" s="241"/>
      <c r="BR127" s="241"/>
      <c r="BS127" s="938"/>
      <c r="BT127" s="666"/>
      <c r="BU127" s="241"/>
      <c r="BV127" s="241"/>
      <c r="BW127" s="241"/>
      <c r="BX127" s="938"/>
      <c r="BY127" s="241"/>
      <c r="BZ127" s="241"/>
      <c r="CA127" s="241"/>
      <c r="CB127" s="241"/>
      <c r="CC127" s="938"/>
      <c r="CD127" s="938"/>
      <c r="CE127" s="938"/>
      <c r="CF127" s="938"/>
      <c r="CG127" s="191"/>
    </row>
    <row r="128" spans="1:85" s="589" customFormat="1" hidden="1" outlineLevel="1" x14ac:dyDescent="0.3">
      <c r="A128" s="316" t="s">
        <v>404</v>
      </c>
      <c r="B128" s="249"/>
      <c r="C128" s="959"/>
      <c r="D128" s="959"/>
      <c r="E128" s="959"/>
      <c r="F128" s="959"/>
      <c r="G128" s="70"/>
      <c r="H128" s="70"/>
      <c r="I128" s="70"/>
      <c r="J128" s="70"/>
      <c r="K128" s="959"/>
      <c r="L128" s="70"/>
      <c r="M128" s="70"/>
      <c r="N128" s="70"/>
      <c r="O128" s="70"/>
      <c r="P128" s="959"/>
      <c r="Q128" s="70"/>
      <c r="R128" s="70"/>
      <c r="S128" s="70"/>
      <c r="T128" s="70"/>
      <c r="U128" s="959"/>
      <c r="V128" s="70"/>
      <c r="W128" s="70"/>
      <c r="X128" s="70"/>
      <c r="Y128" s="70"/>
      <c r="Z128" s="959"/>
      <c r="AA128" s="855">
        <v>8.81</v>
      </c>
      <c r="AB128" s="855">
        <v>8.86</v>
      </c>
      <c r="AC128" s="855">
        <v>9.07</v>
      </c>
      <c r="AD128" s="855">
        <v>9.5500000000000007</v>
      </c>
      <c r="AE128" s="960">
        <v>9.11</v>
      </c>
      <c r="AF128" s="855">
        <v>9.5500000000000007</v>
      </c>
      <c r="AG128" s="855">
        <v>9.36</v>
      </c>
      <c r="AH128" s="855">
        <v>9.3000000000000007</v>
      </c>
      <c r="AI128" s="855">
        <v>9.19</v>
      </c>
      <c r="AJ128" s="960">
        <v>9.33</v>
      </c>
      <c r="AK128" s="855">
        <v>9.3699999999999992</v>
      </c>
      <c r="AL128" s="855">
        <v>9.2899999999999991</v>
      </c>
      <c r="AM128" s="855">
        <v>9.2899999999999991</v>
      </c>
      <c r="AN128" s="855">
        <v>9.07</v>
      </c>
      <c r="AO128" s="960">
        <v>9.24</v>
      </c>
      <c r="AP128" s="855">
        <v>8.94</v>
      </c>
      <c r="AQ128" s="855">
        <v>8.9600000000000009</v>
      </c>
      <c r="AR128" s="855">
        <v>9.1999999999999993</v>
      </c>
      <c r="AS128" s="855">
        <v>9.32</v>
      </c>
      <c r="AT128" s="960">
        <v>9.1199999999999992</v>
      </c>
      <c r="AU128" s="855">
        <v>9.7100000000000009</v>
      </c>
      <c r="AV128" s="855">
        <v>9.74</v>
      </c>
      <c r="AW128" s="855">
        <v>9.6</v>
      </c>
      <c r="AX128" s="855">
        <v>9.26</v>
      </c>
      <c r="AY128" s="960">
        <v>9.56</v>
      </c>
      <c r="AZ128" s="855">
        <v>9.2100000000000009</v>
      </c>
      <c r="BA128" s="855">
        <v>8.83</v>
      </c>
      <c r="BB128" s="855">
        <v>8.34</v>
      </c>
      <c r="BC128" s="855">
        <v>7.69</v>
      </c>
      <c r="BD128" s="960">
        <v>8.5</v>
      </c>
      <c r="BE128" s="855">
        <v>8.0299999999999994</v>
      </c>
      <c r="BF128" s="855">
        <v>7.66</v>
      </c>
      <c r="BG128" s="855">
        <v>7.62</v>
      </c>
      <c r="BH128" s="855">
        <v>7.31</v>
      </c>
      <c r="BI128" s="960">
        <v>7.64</v>
      </c>
      <c r="BJ128" s="855">
        <v>7.35</v>
      </c>
      <c r="BK128" s="855">
        <v>7.17</v>
      </c>
      <c r="BL128" s="855">
        <v>7.31</v>
      </c>
      <c r="BM128" s="855">
        <v>7.34</v>
      </c>
      <c r="BN128" s="960">
        <v>7.29</v>
      </c>
      <c r="BO128" s="70">
        <f>BO133/BO124*1000/3</f>
      </c>
      <c r="BP128" s="70">
        <f t="shared" ref="BP128:BR128" si="186">BP133/BP124*1000/3</f>
      </c>
      <c r="BQ128" s="70">
        <f t="shared" si="186"/>
      </c>
      <c r="BR128" s="70">
        <f t="shared" si="186"/>
      </c>
      <c r="BS128" s="959">
        <f>BS133/BS124*1000/12</f>
      </c>
      <c r="BT128" s="856">
        <f>BT133/BT120*1000/3</f>
      </c>
      <c r="BU128" s="70">
        <f>BT128*(1+BU129)</f>
      </c>
      <c r="BV128" s="70">
        <f>BU128*(1+BV129)</f>
      </c>
      <c r="BW128" s="70">
        <f>BV128*(1+BW129)</f>
      </c>
      <c r="BX128" s="959">
        <f>AVERAGE(BT128,BU128,BV128,BW128)</f>
      </c>
      <c r="BY128" s="70">
        <f>BW128*(1+BY129)</f>
      </c>
      <c r="BZ128" s="70">
        <f>BY128*(1+BZ129)</f>
      </c>
      <c r="CA128" s="70">
        <f>BZ128*(1+CA129)</f>
      </c>
      <c r="CB128" s="70">
        <f>CA128*(1+CB129)</f>
      </c>
      <c r="CC128" s="959">
        <f>AVERAGE(BY128,BZ128,CA128,CB128)</f>
      </c>
      <c r="CD128" s="959">
        <f>+CC128*(1+CD131)</f>
      </c>
      <c r="CE128" s="959">
        <f>+CD128*(1+CE131)</f>
      </c>
      <c r="CF128" s="959">
        <f>+CE128*(1+CF131)</f>
      </c>
      <c r="CG128" s="20"/>
    </row>
    <row r="129" spans="1:85" s="589" customFormat="1" hidden="1" outlineLevel="1" x14ac:dyDescent="0.3">
      <c r="A129" s="319" t="s">
        <v>568</v>
      </c>
      <c r="B129" s="320"/>
      <c r="C129" s="935"/>
      <c r="D129" s="935"/>
      <c r="E129" s="935"/>
      <c r="F129" s="935"/>
      <c r="G129" s="58"/>
      <c r="H129" s="58"/>
      <c r="I129" s="58"/>
      <c r="J129" s="58"/>
      <c r="K129" s="935"/>
      <c r="L129" s="58"/>
      <c r="M129" s="58"/>
      <c r="N129" s="58"/>
      <c r="O129" s="58"/>
      <c r="P129" s="935"/>
      <c r="Q129" s="58"/>
      <c r="R129" s="58"/>
      <c r="S129" s="58"/>
      <c r="T129" s="58"/>
      <c r="U129" s="935"/>
      <c r="V129" s="58"/>
      <c r="W129" s="58"/>
      <c r="X129" s="58"/>
      <c r="Y129" s="58"/>
      <c r="Z129" s="935"/>
      <c r="AA129" s="58"/>
      <c r="AB129" s="308">
        <f>AB128/AA128-1</f>
      </c>
      <c r="AC129" s="308">
        <f>AC128/AB128-1</f>
      </c>
      <c r="AD129" s="308">
        <f>AD128/AC128-1</f>
      </c>
      <c r="AE129" s="935"/>
      <c r="AF129" s="308">
        <f>AF128/AD128-1</f>
      </c>
      <c r="AG129" s="308">
        <f>AG128/AF128-1</f>
      </c>
      <c r="AH129" s="308">
        <f>AH128/AG128-1</f>
      </c>
      <c r="AI129" s="308">
        <f>AI128/AH128-1</f>
      </c>
      <c r="AJ129" s="935"/>
      <c r="AK129" s="308">
        <f>AK128/AI128-1</f>
      </c>
      <c r="AL129" s="308">
        <f>AL128/AK128-1</f>
      </c>
      <c r="AM129" s="308">
        <f>AM128/AL128-1</f>
      </c>
      <c r="AN129" s="308">
        <f>AN128/AM128-1</f>
      </c>
      <c r="AO129" s="935"/>
      <c r="AP129" s="308">
        <f>AP128/AN128-1</f>
      </c>
      <c r="AQ129" s="308">
        <f>AQ128/AP128-1</f>
      </c>
      <c r="AR129" s="308">
        <f>AR128/AQ128-1</f>
      </c>
      <c r="AS129" s="308">
        <f>AS128/AR128-1</f>
      </c>
      <c r="AT129" s="935"/>
      <c r="AU129" s="308">
        <f>AU128/AS128-1</f>
      </c>
      <c r="AV129" s="308">
        <f>AV128/AU128-1</f>
      </c>
      <c r="AW129" s="308">
        <f>AW128/AV128-1</f>
      </c>
      <c r="AX129" s="308">
        <f>AX128/AW128-1</f>
      </c>
      <c r="AY129" s="935"/>
      <c r="AZ129" s="308">
        <f>AZ128/AX128-1</f>
      </c>
      <c r="BA129" s="308">
        <f>BA128/AZ128-1</f>
      </c>
      <c r="BB129" s="308">
        <f>BB128/BA128-1</f>
      </c>
      <c r="BC129" s="308">
        <f>BC128/BB128-1</f>
      </c>
      <c r="BD129" s="935"/>
      <c r="BE129" s="308">
        <f>BE128/BC128-1</f>
      </c>
      <c r="BF129" s="308">
        <f>BF128/BE128-1</f>
      </c>
      <c r="BG129" s="308">
        <f>BG128/BF128-1</f>
      </c>
      <c r="BH129" s="308">
        <f>BH128/BG128-1</f>
      </c>
      <c r="BI129" s="935"/>
      <c r="BJ129" s="308">
        <f>BJ128/BH128-1</f>
      </c>
      <c r="BK129" s="308">
        <f>BK128/BJ128-1</f>
      </c>
      <c r="BL129" s="308">
        <f>BL128/BK128-1</f>
      </c>
      <c r="BM129" s="308">
        <f>BM128/BL128-1</f>
      </c>
      <c r="BN129" s="935"/>
      <c r="BO129" s="308">
        <f>BO128/BM128-1</f>
      </c>
      <c r="BP129" s="308">
        <f>BP128/BO128-1</f>
      </c>
      <c r="BQ129" s="308">
        <f>BQ128/BP128-1</f>
      </c>
      <c r="BR129" s="308">
        <f>BR128/BQ128-1</f>
      </c>
      <c r="BS129" s="935"/>
      <c r="BT129" s="663">
        <f>BT128/BR128-1</f>
      </c>
      <c r="BU129" s="853">
        <v>0.03</v>
      </c>
      <c r="BV129" s="853">
        <v>0.02</v>
      </c>
      <c r="BW129" s="853">
        <v>0.01</v>
      </c>
      <c r="BX129" s="935"/>
      <c r="BY129" s="853">
        <v>6.5000000000000002E-2</v>
      </c>
      <c r="BZ129" s="853">
        <v>0.01</v>
      </c>
      <c r="CA129" s="853">
        <v>0.02</v>
      </c>
      <c r="CB129" s="853">
        <v>0.01</v>
      </c>
      <c r="CC129" s="935"/>
      <c r="CD129" s="935"/>
      <c r="CE129" s="935"/>
      <c r="CF129" s="935"/>
      <c r="CG129" s="20"/>
    </row>
    <row r="130" spans="1:85" s="583" customFormat="1" hidden="1" outlineLevel="1" x14ac:dyDescent="0.3">
      <c r="A130" s="47" t="s">
        <v>593</v>
      </c>
      <c r="B130" s="311"/>
      <c r="C130" s="935"/>
      <c r="D130" s="935"/>
      <c r="E130" s="935"/>
      <c r="F130" s="935"/>
      <c r="G130" s="58"/>
      <c r="H130" s="58"/>
      <c r="I130" s="58"/>
      <c r="J130" s="58"/>
      <c r="K130" s="935"/>
      <c r="L130" s="58"/>
      <c r="M130" s="58"/>
      <c r="N130" s="58"/>
      <c r="O130" s="58"/>
      <c r="P130" s="935"/>
      <c r="Q130" s="58"/>
      <c r="R130" s="58"/>
      <c r="S130" s="58"/>
      <c r="T130" s="58"/>
      <c r="U130" s="935"/>
      <c r="V130" s="58"/>
      <c r="W130" s="58"/>
      <c r="X130" s="58"/>
      <c r="Y130" s="58"/>
      <c r="Z130" s="935"/>
      <c r="AA130" s="853">
        <v>0.06</v>
      </c>
      <c r="AB130" s="853">
        <v>0.02</v>
      </c>
      <c r="AC130" s="853">
        <v>0.02</v>
      </c>
      <c r="AD130" s="853">
        <v>7.0000000000000007E-2</v>
      </c>
      <c r="AE130" s="961">
        <v>0.04</v>
      </c>
      <c r="AF130" s="853">
        <v>0.04</v>
      </c>
      <c r="AG130" s="853">
        <v>0.03</v>
      </c>
      <c r="AH130" s="853">
        <v>0.05</v>
      </c>
      <c r="AI130" s="853">
        <v>0.02</v>
      </c>
      <c r="AJ130" s="961">
        <v>0.03</v>
      </c>
      <c r="AK130" s="853">
        <v>0.03</v>
      </c>
      <c r="AL130" s="853">
        <v>0.05</v>
      </c>
      <c r="AM130" s="853">
        <v>0.03</v>
      </c>
      <c r="AN130" s="853">
        <v>0</v>
      </c>
      <c r="AO130" s="961">
        <v>0.03</v>
      </c>
      <c r="AP130" s="853">
        <v>-0.03</v>
      </c>
      <c r="AQ130" s="853">
        <v>0.01</v>
      </c>
      <c r="AR130" s="853">
        <v>-0.01</v>
      </c>
      <c r="AS130" s="853">
        <v>0</v>
      </c>
      <c r="AT130" s="961">
        <v>-0.01</v>
      </c>
      <c r="AU130" s="853">
        <v>0.03</v>
      </c>
      <c r="AV130" s="853">
        <v>0.01</v>
      </c>
      <c r="AW130" s="853">
        <v>0.02</v>
      </c>
      <c r="AX130" s="853">
        <v>0.02</v>
      </c>
      <c r="AY130" s="961">
        <v>0.02</v>
      </c>
      <c r="AZ130" s="853">
        <v>0.01</v>
      </c>
      <c r="BA130" s="853">
        <v>-0.02</v>
      </c>
      <c r="BB130" s="853">
        <v>-0.03</v>
      </c>
      <c r="BC130" s="853">
        <v>-0.04</v>
      </c>
      <c r="BD130" s="961">
        <v>-0.02</v>
      </c>
      <c r="BE130" s="853">
        <v>-0.06</v>
      </c>
      <c r="BF130" s="853">
        <v>-7.0000000000000007E-2</v>
      </c>
      <c r="BG130" s="853">
        <v>-0.06</v>
      </c>
      <c r="BH130" s="853">
        <v>-0.04</v>
      </c>
      <c r="BI130" s="961">
        <v>-0.06</v>
      </c>
      <c r="BJ130" s="853">
        <v>-0.04</v>
      </c>
      <c r="BK130" s="853">
        <v>-0.03</v>
      </c>
      <c r="BL130" s="853">
        <v>-0.02</v>
      </c>
      <c r="BM130" s="853">
        <v>-0.01</v>
      </c>
      <c r="BN130" s="961">
        <v>-0.03</v>
      </c>
      <c r="BO130" s="58"/>
      <c r="BP130" s="58"/>
      <c r="BQ130" s="58"/>
      <c r="BR130" s="58"/>
      <c r="BS130" s="935"/>
      <c r="BT130" s="669"/>
      <c r="BU130" s="58"/>
      <c r="BV130" s="58"/>
      <c r="BW130" s="58"/>
      <c r="BX130" s="935"/>
      <c r="BY130" s="58"/>
      <c r="BZ130" s="58"/>
      <c r="CA130" s="58"/>
      <c r="CB130" s="58"/>
      <c r="CC130" s="935"/>
      <c r="CD130" s="935"/>
      <c r="CE130" s="935"/>
      <c r="CF130" s="935"/>
      <c r="CG130" s="308"/>
    </row>
    <row r="131" spans="1:85" s="583" customFormat="1" hidden="1" outlineLevel="1" x14ac:dyDescent="0.3">
      <c r="A131" s="317" t="s">
        <v>567</v>
      </c>
      <c r="B131" s="305"/>
      <c r="C131" s="936"/>
      <c r="D131" s="936"/>
      <c r="E131" s="936"/>
      <c r="F131" s="936"/>
      <c r="G131" s="446"/>
      <c r="H131" s="446"/>
      <c r="I131" s="446"/>
      <c r="J131" s="446"/>
      <c r="K131" s="936"/>
      <c r="L131" s="446"/>
      <c r="M131" s="446"/>
      <c r="N131" s="446"/>
      <c r="O131" s="446"/>
      <c r="P131" s="936"/>
      <c r="Q131" s="446"/>
      <c r="R131" s="446"/>
      <c r="S131" s="446"/>
      <c r="T131" s="446"/>
      <c r="U131" s="936"/>
      <c r="V131" s="446"/>
      <c r="W131" s="446"/>
      <c r="X131" s="446"/>
      <c r="Y131" s="446"/>
      <c r="Z131" s="936"/>
      <c r="AA131" s="446"/>
      <c r="AB131" s="446"/>
      <c r="AC131" s="446"/>
      <c r="AD131" s="446"/>
      <c r="AE131" s="936"/>
      <c r="AF131" s="446">
        <f t="shared" ref="AF131:AW131" si="187">+AF128/AA128-1</f>
      </c>
      <c r="AG131" s="446">
        <f t="shared" si="187"/>
      </c>
      <c r="AH131" s="446">
        <f t="shared" si="187"/>
      </c>
      <c r="AI131" s="446">
        <f t="shared" si="187"/>
      </c>
      <c r="AJ131" s="936">
        <f t="shared" si="187"/>
      </c>
      <c r="AK131" s="446">
        <f t="shared" si="187"/>
      </c>
      <c r="AL131" s="446">
        <f t="shared" si="187"/>
      </c>
      <c r="AM131" s="446">
        <f t="shared" si="187"/>
      </c>
      <c r="AN131" s="446">
        <f t="shared" si="187"/>
      </c>
      <c r="AO131" s="936">
        <f t="shared" si="187"/>
      </c>
      <c r="AP131" s="446">
        <f t="shared" si="187"/>
      </c>
      <c r="AQ131" s="446">
        <f t="shared" si="187"/>
      </c>
      <c r="AR131" s="446">
        <f t="shared" si="187"/>
      </c>
      <c r="AS131" s="446">
        <f t="shared" si="187"/>
      </c>
      <c r="AT131" s="936">
        <f t="shared" si="187"/>
      </c>
      <c r="AU131" s="446">
        <f t="shared" si="187"/>
      </c>
      <c r="AV131" s="446">
        <f t="shared" si="187"/>
      </c>
      <c r="AW131" s="446">
        <f t="shared" si="187"/>
      </c>
      <c r="AX131" s="446">
        <f t="shared" ref="AX131:BD131" si="188">+AX128/AS128-1</f>
      </c>
      <c r="AY131" s="936">
        <f t="shared" si="188"/>
      </c>
      <c r="AZ131" s="446">
        <f t="shared" si="188"/>
      </c>
      <c r="BA131" s="446">
        <f t="shared" si="188"/>
      </c>
      <c r="BB131" s="446">
        <f t="shared" si="188"/>
      </c>
      <c r="BC131" s="446">
        <f t="shared" si="188"/>
      </c>
      <c r="BD131" s="936">
        <f t="shared" si="188"/>
      </c>
      <c r="BE131" s="446">
        <f t="shared" ref="BE131:BI131" si="189">+BE128/AZ128-1</f>
      </c>
      <c r="BF131" s="446">
        <f t="shared" si="189"/>
      </c>
      <c r="BG131" s="446">
        <f t="shared" si="189"/>
      </c>
      <c r="BH131" s="446">
        <f t="shared" si="189"/>
      </c>
      <c r="BI131" s="936">
        <f t="shared" si="189"/>
      </c>
      <c r="BJ131" s="446">
        <f t="shared" ref="BJ131:BX131" si="190">+BJ128/BE128-1</f>
      </c>
      <c r="BK131" s="446">
        <f t="shared" si="190"/>
      </c>
      <c r="BL131" s="446">
        <f t="shared" si="190"/>
      </c>
      <c r="BM131" s="446">
        <f t="shared" si="190"/>
      </c>
      <c r="BN131" s="936">
        <f t="shared" si="190"/>
      </c>
      <c r="BO131" s="446">
        <f t="shared" ref="BO131:BW131" si="191">+BO128/BJ128-1</f>
      </c>
      <c r="BP131" s="446">
        <f t="shared" si="191"/>
      </c>
      <c r="BQ131" s="446">
        <f t="shared" si="191"/>
      </c>
      <c r="BR131" s="446">
        <f t="shared" si="191"/>
      </c>
      <c r="BS131" s="936">
        <f t="shared" si="191"/>
      </c>
      <c r="BT131" s="665">
        <f>+BT128/BO128-1</f>
      </c>
      <c r="BU131" s="446">
        <f t="shared" si="191"/>
      </c>
      <c r="BV131" s="446">
        <f t="shared" si="191"/>
      </c>
      <c r="BW131" s="446">
        <f t="shared" si="191"/>
      </c>
      <c r="BX131" s="936">
        <f t="shared" si="190"/>
      </c>
      <c r="BY131" s="446">
        <f>+BY128/BT128-1</f>
      </c>
      <c r="BZ131" s="446">
        <f>+BZ128/BU128-1</f>
      </c>
      <c r="CA131" s="446">
        <f>+CA128/BV128-1</f>
      </c>
      <c r="CB131" s="446">
        <f>+CB128/BW128-1</f>
      </c>
      <c r="CC131" s="936">
        <f>+CC128/BX128-1</f>
      </c>
      <c r="CD131" s="955">
        <v>0.03</v>
      </c>
      <c r="CE131" s="955">
        <v>0.03</v>
      </c>
      <c r="CF131" s="955">
        <v>0.03</v>
      </c>
      <c r="CG131" s="308"/>
    </row>
    <row r="132" spans="1:85" ht="7.5" hidden="1" customHeight="1" outlineLevel="1" x14ac:dyDescent="0.3">
      <c r="A132" s="239"/>
      <c r="B132" s="240"/>
      <c r="C132" s="938"/>
      <c r="D132" s="938"/>
      <c r="E132" s="938"/>
      <c r="F132" s="938"/>
      <c r="G132" s="241"/>
      <c r="H132" s="241"/>
      <c r="I132" s="241"/>
      <c r="J132" s="241"/>
      <c r="K132" s="938"/>
      <c r="L132" s="241"/>
      <c r="M132" s="241"/>
      <c r="N132" s="241"/>
      <c r="O132" s="241"/>
      <c r="P132" s="938"/>
      <c r="Q132" s="241"/>
      <c r="R132" s="241"/>
      <c r="S132" s="241"/>
      <c r="T132" s="241"/>
      <c r="U132" s="938"/>
      <c r="V132" s="241"/>
      <c r="W132" s="241"/>
      <c r="X132" s="241"/>
      <c r="Y132" s="241"/>
      <c r="Z132" s="938"/>
      <c r="AA132" s="241"/>
      <c r="AB132" s="241"/>
      <c r="AC132" s="241"/>
      <c r="AD132" s="241"/>
      <c r="AE132" s="938"/>
      <c r="AF132" s="241"/>
      <c r="AG132" s="241"/>
      <c r="AH132" s="241"/>
      <c r="AI132" s="241"/>
      <c r="AJ132" s="938"/>
      <c r="AK132" s="241"/>
      <c r="AL132" s="241"/>
      <c r="AM132" s="241"/>
      <c r="AN132" s="241"/>
      <c r="AO132" s="938"/>
      <c r="AP132" s="241"/>
      <c r="AQ132" s="241"/>
      <c r="AR132" s="241"/>
      <c r="AS132" s="241"/>
      <c r="AT132" s="938"/>
      <c r="AU132" s="241"/>
      <c r="AV132" s="241"/>
      <c r="AW132" s="241"/>
      <c r="AX132" s="241"/>
      <c r="AY132" s="938"/>
      <c r="AZ132" s="241"/>
      <c r="BA132" s="241"/>
      <c r="BB132" s="241"/>
      <c r="BC132" s="241"/>
      <c r="BD132" s="938"/>
      <c r="BE132" s="241"/>
      <c r="BF132" s="241"/>
      <c r="BG132" s="241"/>
      <c r="BH132" s="241"/>
      <c r="BI132" s="938"/>
      <c r="BJ132" s="241"/>
      <c r="BK132" s="241"/>
      <c r="BL132" s="241"/>
      <c r="BM132" s="241"/>
      <c r="BN132" s="938"/>
      <c r="BO132" s="241"/>
      <c r="BP132" s="241"/>
      <c r="BQ132" s="241"/>
      <c r="BR132" s="241"/>
      <c r="BS132" s="938"/>
      <c r="BT132" s="666"/>
      <c r="BU132" s="241"/>
      <c r="BV132" s="241"/>
      <c r="BW132" s="241"/>
      <c r="BX132" s="938"/>
      <c r="BY132" s="241"/>
      <c r="BZ132" s="241"/>
      <c r="CA132" s="241"/>
      <c r="CB132" s="241"/>
      <c r="CC132" s="938"/>
      <c r="CD132" s="938"/>
      <c r="CE132" s="938"/>
      <c r="CF132" s="938"/>
      <c r="CG132" s="191"/>
    </row>
    <row r="133" spans="1:85" s="589" customFormat="1" hidden="1" outlineLevel="1" x14ac:dyDescent="0.3">
      <c r="A133" s="2" t="s">
        <v>394</v>
      </c>
      <c r="B133" s="426"/>
      <c r="C133" s="965"/>
      <c r="D133" s="965"/>
      <c r="E133" s="965"/>
      <c r="F133" s="965"/>
      <c r="G133" s="791"/>
      <c r="H133" s="791"/>
      <c r="I133" s="791"/>
      <c r="J133" s="791"/>
      <c r="K133" s="965"/>
      <c r="L133" s="791"/>
      <c r="M133" s="791"/>
      <c r="N133" s="791"/>
      <c r="O133" s="791"/>
      <c r="P133" s="965"/>
      <c r="Q133" s="791"/>
      <c r="R133" s="791"/>
      <c r="S133" s="791"/>
      <c r="T133" s="791"/>
      <c r="U133" s="965"/>
      <c r="V133" s="791"/>
      <c r="W133" s="791"/>
      <c r="X133" s="791"/>
      <c r="Y133" s="791"/>
      <c r="Z133" s="965"/>
      <c r="AA133" s="858">
        <v>116.339</v>
      </c>
      <c r="AB133" s="858">
        <v>131.773</v>
      </c>
      <c r="AC133" s="858">
        <v>150.99299999999999</v>
      </c>
      <c r="AD133" s="858">
        <v>176.82300000000001</v>
      </c>
      <c r="AE133" s="966">
        <v>575.928</v>
      </c>
      <c r="AF133" s="858">
        <v>199.11699999999999</v>
      </c>
      <c r="AG133" s="858">
        <v>221.25200000000001</v>
      </c>
      <c r="AH133" s="858">
        <v>248.691</v>
      </c>
      <c r="AI133" s="858">
        <v>276.75599999999997</v>
      </c>
      <c r="AJ133" s="966">
        <v>945.81600000000003</v>
      </c>
      <c r="AK133" s="858">
        <v>319.60199999999998</v>
      </c>
      <c r="AL133" s="858">
        <v>349.49400000000003</v>
      </c>
      <c r="AM133" s="858">
        <v>382.30399999999997</v>
      </c>
      <c r="AN133" s="858">
        <v>418.12099999999998</v>
      </c>
      <c r="AO133" s="966">
        <v>1469.5210000000002</v>
      </c>
      <c r="AP133" s="858">
        <v>483.66</v>
      </c>
      <c r="AQ133" s="858">
        <v>569.14</v>
      </c>
      <c r="AR133" s="858">
        <v>634.89099999999996</v>
      </c>
      <c r="AS133" s="792">
        <f>AT133-SUM(AP133,AQ133,AR133)</f>
      </c>
      <c r="AT133" s="966">
        <v>2372.3000000000002</v>
      </c>
      <c r="AU133" s="858">
        <v>762.41399999999999</v>
      </c>
      <c r="AV133" s="858">
        <v>799.48</v>
      </c>
      <c r="AW133" s="858">
        <v>834.00199999999995</v>
      </c>
      <c r="AX133" s="792">
        <f>AY133-SUM(AU133,AV133,AW133)</f>
      </c>
      <c r="AY133" s="966">
        <v>3266.6010000000001</v>
      </c>
      <c r="AZ133" s="858">
        <v>916.75400000000002</v>
      </c>
      <c r="BA133" s="858">
        <v>907.71900000000005</v>
      </c>
      <c r="BB133" s="858">
        <v>889.03700000000003</v>
      </c>
      <c r="BC133" s="792">
        <f>BD133-SUM(AZ133,BA133,BB133)</f>
      </c>
      <c r="BD133" s="966">
        <v>3570.221</v>
      </c>
      <c r="BE133" s="858">
        <v>933.52300000000002</v>
      </c>
      <c r="BF133" s="858">
        <v>919.27300000000002</v>
      </c>
      <c r="BG133" s="858">
        <v>948.21600000000001</v>
      </c>
      <c r="BH133" s="792">
        <f>BI133-SUM(BE133,BF133,BG133)</f>
      </c>
      <c r="BI133" s="966">
        <v>3763.7269999999999</v>
      </c>
      <c r="BJ133" s="858">
        <v>1022.924</v>
      </c>
      <c r="BK133" s="858">
        <v>1051.8330000000001</v>
      </c>
      <c r="BL133" s="858">
        <v>1127.8689999999999</v>
      </c>
      <c r="BM133" s="792">
        <f>BN133-SUM(BJ133,BK133,BL133)</f>
      </c>
      <c r="BN133" s="966">
        <v>4414.7460000000001</v>
      </c>
      <c r="BO133" s="858">
        <v>1259.0930000000001</v>
      </c>
      <c r="BP133" s="858">
        <v>1305.2529999999999</v>
      </c>
      <c r="BQ133" s="858">
        <v>1368.5609999999999</v>
      </c>
      <c r="BR133" s="792">
        <f>BS133-SUM(BO133,BP133,BQ133)</f>
      </c>
      <c r="BS133" s="966">
        <v>5353.7169999999996</v>
      </c>
      <c r="BT133" s="859">
        <v>1508.982</v>
      </c>
      <c r="BU133" s="791">
        <f>BU124*BU128*3/1000</f>
      </c>
      <c r="BV133" s="791">
        <f>BV124*BV128*3/1000</f>
      </c>
      <c r="BW133" s="791">
        <f>BW124*BW128*3/1000</f>
      </c>
      <c r="BX133" s="965">
        <f>SUM(BT133,BU133,BV133,BW133)</f>
      </c>
      <c r="BY133" s="791">
        <f>BY124*BY128*3/1000</f>
      </c>
      <c r="BZ133" s="791">
        <f>BZ124*BZ128*3/1000</f>
      </c>
      <c r="CA133" s="791">
        <f>CA124*CA128*3/1000</f>
      </c>
      <c r="CB133" s="791">
        <f>CB124*CB128*3/1000</f>
      </c>
      <c r="CC133" s="965">
        <f>SUM(BY133,BZ133,CA133,CB133)</f>
      </c>
      <c r="CD133" s="965">
        <f>CD124*CD128*12/1000</f>
      </c>
      <c r="CE133" s="965">
        <f>CE124*CE128*12/1000</f>
      </c>
      <c r="CF133" s="965">
        <f>CF124*CF128*12/1000</f>
      </c>
      <c r="CG133" s="183"/>
    </row>
    <row r="134" spans="1:85" s="589" customFormat="1" hidden="1" outlineLevel="1" x14ac:dyDescent="0.3">
      <c r="A134" s="771" t="s">
        <v>678</v>
      </c>
      <c r="B134" s="318"/>
      <c r="C134" s="935"/>
      <c r="D134" s="935"/>
      <c r="E134" s="935"/>
      <c r="F134" s="935"/>
      <c r="G134" s="58"/>
      <c r="H134" s="58"/>
      <c r="I134" s="58"/>
      <c r="J134" s="58"/>
      <c r="K134" s="935"/>
      <c r="L134" s="58"/>
      <c r="M134" s="58"/>
      <c r="N134" s="58"/>
      <c r="O134" s="58"/>
      <c r="P134" s="935"/>
      <c r="Q134" s="58"/>
      <c r="R134" s="58"/>
      <c r="S134" s="58"/>
      <c r="T134" s="58"/>
      <c r="U134" s="935"/>
      <c r="V134" s="58"/>
      <c r="W134" s="58"/>
      <c r="X134" s="58"/>
      <c r="Y134" s="58"/>
      <c r="Z134" s="935"/>
      <c r="AA134" s="58"/>
      <c r="AB134" s="308">
        <f>AB133/AA133-1</f>
      </c>
      <c r="AC134" s="308">
        <f>AC133/AB133-1</f>
      </c>
      <c r="AD134" s="308">
        <f>AD133/AC133-1</f>
      </c>
      <c r="AE134" s="935"/>
      <c r="AF134" s="308">
        <f>AF133/AD133-1</f>
      </c>
      <c r="AG134" s="308">
        <f>AG133/AF133-1</f>
      </c>
      <c r="AH134" s="308">
        <f>AH133/AG133-1</f>
      </c>
      <c r="AI134" s="308">
        <f>AI133/AH133-1</f>
      </c>
      <c r="AJ134" s="935"/>
      <c r="AK134" s="308">
        <f>AK133/AI133-1</f>
      </c>
      <c r="AL134" s="308">
        <f>AL133/AK133-1</f>
      </c>
      <c r="AM134" s="308">
        <f>AM133/AL133-1</f>
      </c>
      <c r="AN134" s="308">
        <f>AN133/AM133-1</f>
      </c>
      <c r="AO134" s="935"/>
      <c r="AP134" s="308">
        <f>AP133/AN133-1</f>
      </c>
      <c r="AQ134" s="308">
        <f>AQ133/AP133-1</f>
      </c>
      <c r="AR134" s="308">
        <f>AR133/AQ133-1</f>
      </c>
      <c r="AS134" s="308">
        <f>AS133/AR133-1</f>
      </c>
      <c r="AT134" s="935"/>
      <c r="AU134" s="308">
        <f>AU133/AS133-1</f>
      </c>
      <c r="AV134" s="308">
        <f>AV133/AU133-1</f>
      </c>
      <c r="AW134" s="308">
        <f>AW133/AV133-1</f>
      </c>
      <c r="AX134" s="308">
        <f>AX133/AW133-1</f>
      </c>
      <c r="AY134" s="935"/>
      <c r="AZ134" s="308">
        <f>AZ133/AX133-1</f>
      </c>
      <c r="BA134" s="308">
        <f>BA133/AZ133-1</f>
      </c>
      <c r="BB134" s="308">
        <f>BB133/BA133-1</f>
      </c>
      <c r="BC134" s="308">
        <f>BC133/BB133-1</f>
      </c>
      <c r="BD134" s="935"/>
      <c r="BE134" s="308">
        <f>BE133/BC133-1</f>
      </c>
      <c r="BF134" s="308">
        <f>BF133/BE133-1</f>
      </c>
      <c r="BG134" s="308">
        <f>BG133/BF133-1</f>
      </c>
      <c r="BH134" s="308">
        <f>BH133/BG133-1</f>
      </c>
      <c r="BI134" s="935"/>
      <c r="BJ134" s="308">
        <f>BJ133/BH133-1</f>
      </c>
      <c r="BK134" s="308">
        <f>BK133/BJ133-1</f>
      </c>
      <c r="BL134" s="308">
        <f>BL133/BK133-1</f>
      </c>
      <c r="BM134" s="308">
        <f>BM133/BL133-1</f>
      </c>
      <c r="BN134" s="935"/>
      <c r="BO134" s="308">
        <f>BO133/BM133-1</f>
      </c>
      <c r="BP134" s="308">
        <f>BP133/BO133-1</f>
      </c>
      <c r="BQ134" s="308">
        <f>BQ133/BP133-1</f>
      </c>
      <c r="BR134" s="308">
        <f>BR133/BQ133-1</f>
      </c>
      <c r="BS134" s="935"/>
      <c r="BT134" s="663">
        <f>BT133/BR133-1</f>
      </c>
      <c r="BU134" s="58">
        <f>BU133/BT133-1</f>
      </c>
      <c r="BV134" s="58">
        <f>BV133/BU133-1</f>
      </c>
      <c r="BW134" s="58">
        <f>BW133/BV133-1</f>
      </c>
      <c r="BX134" s="935"/>
      <c r="BY134" s="58">
        <f>BY133/BW133-1</f>
      </c>
      <c r="BZ134" s="58">
        <f>BZ133/BY133-1</f>
      </c>
      <c r="CA134" s="58">
        <f>CA133/BZ133-1</f>
      </c>
      <c r="CB134" s="58">
        <f>CB133/CA133-1</f>
      </c>
      <c r="CC134" s="935"/>
      <c r="CD134" s="935"/>
      <c r="CE134" s="935"/>
      <c r="CF134" s="935"/>
      <c r="CG134" s="183"/>
    </row>
    <row r="135" spans="1:85" s="583" customFormat="1" hidden="1" outlineLevel="1" x14ac:dyDescent="0.3">
      <c r="A135" s="771" t="s">
        <v>569</v>
      </c>
      <c r="B135" s="305"/>
      <c r="C135" s="936"/>
      <c r="D135" s="936"/>
      <c r="E135" s="936"/>
      <c r="F135" s="936"/>
      <c r="G135" s="446"/>
      <c r="H135" s="446"/>
      <c r="I135" s="446"/>
      <c r="J135" s="446"/>
      <c r="K135" s="936"/>
      <c r="L135" s="446"/>
      <c r="M135" s="446"/>
      <c r="N135" s="446"/>
      <c r="O135" s="446"/>
      <c r="P135" s="936"/>
      <c r="Q135" s="446"/>
      <c r="R135" s="446"/>
      <c r="S135" s="446"/>
      <c r="T135" s="446"/>
      <c r="U135" s="936"/>
      <c r="V135" s="446"/>
      <c r="W135" s="446"/>
      <c r="X135" s="446"/>
      <c r="Y135" s="446"/>
      <c r="Z135" s="936"/>
      <c r="AA135" s="446"/>
      <c r="AB135" s="446"/>
      <c r="AC135" s="446"/>
      <c r="AD135" s="446"/>
      <c r="AE135" s="936"/>
      <c r="AF135" s="619">
        <f t="shared" ref="AF135:AW135" si="192">+AF133/AA133-1</f>
      </c>
      <c r="AG135" s="619">
        <f t="shared" si="192"/>
      </c>
      <c r="AH135" s="619">
        <f t="shared" si="192"/>
      </c>
      <c r="AI135" s="619">
        <f t="shared" si="192"/>
      </c>
      <c r="AJ135" s="937">
        <f t="shared" si="192"/>
      </c>
      <c r="AK135" s="619">
        <f t="shared" si="192"/>
      </c>
      <c r="AL135" s="619">
        <f t="shared" si="192"/>
      </c>
      <c r="AM135" s="619">
        <f t="shared" si="192"/>
      </c>
      <c r="AN135" s="619">
        <f t="shared" si="192"/>
      </c>
      <c r="AO135" s="937">
        <f t="shared" si="192"/>
      </c>
      <c r="AP135" s="619">
        <f t="shared" si="192"/>
      </c>
      <c r="AQ135" s="619">
        <f t="shared" si="192"/>
      </c>
      <c r="AR135" s="619">
        <f t="shared" si="192"/>
      </c>
      <c r="AS135" s="619">
        <f t="shared" si="192"/>
      </c>
      <c r="AT135" s="937">
        <f t="shared" si="192"/>
      </c>
      <c r="AU135" s="619">
        <f t="shared" si="192"/>
      </c>
      <c r="AV135" s="619">
        <f t="shared" si="192"/>
      </c>
      <c r="AW135" s="619">
        <f t="shared" si="192"/>
      </c>
      <c r="AX135" s="619">
        <f t="shared" ref="AX135:BD135" si="193">+AX133/AS133-1</f>
      </c>
      <c r="AY135" s="937">
        <f t="shared" si="193"/>
      </c>
      <c r="AZ135" s="619">
        <f t="shared" si="193"/>
      </c>
      <c r="BA135" s="619">
        <f t="shared" si="193"/>
      </c>
      <c r="BB135" s="619">
        <f t="shared" si="193"/>
      </c>
      <c r="BC135" s="619">
        <f t="shared" si="193"/>
      </c>
      <c r="BD135" s="937">
        <f t="shared" si="193"/>
      </c>
      <c r="BE135" s="619">
        <f t="shared" ref="BE135:BI135" si="194">+BE133/AZ133-1</f>
      </c>
      <c r="BF135" s="619">
        <f t="shared" si="194"/>
      </c>
      <c r="BG135" s="619">
        <f t="shared" si="194"/>
      </c>
      <c r="BH135" s="619">
        <f t="shared" si="194"/>
      </c>
      <c r="BI135" s="937">
        <f t="shared" si="194"/>
      </c>
      <c r="BJ135" s="619">
        <f t="shared" ref="BJ135:BX135" si="195">+BJ133/BE133-1</f>
      </c>
      <c r="BK135" s="619">
        <f t="shared" si="195"/>
      </c>
      <c r="BL135" s="619">
        <f t="shared" si="195"/>
      </c>
      <c r="BM135" s="619">
        <f t="shared" si="195"/>
      </c>
      <c r="BN135" s="937">
        <f t="shared" si="195"/>
      </c>
      <c r="BO135" s="619">
        <f t="shared" ref="BO135:BW135" si="196">+BO133/BJ133-1</f>
      </c>
      <c r="BP135" s="619">
        <f t="shared" si="196"/>
      </c>
      <c r="BQ135" s="619">
        <f t="shared" si="196"/>
      </c>
      <c r="BR135" s="619">
        <f t="shared" si="196"/>
      </c>
      <c r="BS135" s="937">
        <f t="shared" si="196"/>
      </c>
      <c r="BT135" s="664">
        <f>+BT133/BO133-1</f>
      </c>
      <c r="BU135" s="446">
        <f t="shared" si="196"/>
      </c>
      <c r="BV135" s="446">
        <f t="shared" si="196"/>
      </c>
      <c r="BW135" s="446">
        <f t="shared" si="196"/>
      </c>
      <c r="BX135" s="936">
        <f t="shared" si="195"/>
      </c>
      <c r="BY135" s="446">
        <f>+BY133/BT133-1</f>
      </c>
      <c r="BZ135" s="446">
        <f>+BZ133/BU133-1</f>
      </c>
      <c r="CA135" s="446">
        <f>+CA133/BV133-1</f>
      </c>
      <c r="CB135" s="446">
        <f>+CB133/BW133-1</f>
      </c>
      <c r="CC135" s="936">
        <f>+CC133/BX133-1</f>
      </c>
      <c r="CD135" s="936">
        <f>+CD133/CC133-1</f>
      </c>
      <c r="CE135" s="936">
        <f>+CE133/CD133-1</f>
      </c>
      <c r="CF135" s="936">
        <f>+CF133/CE133-1</f>
      </c>
      <c r="CG135" s="308"/>
    </row>
    <row r="136" spans="1:85" s="587" customFormat="1" collapsed="1" x14ac:dyDescent="0.3">
      <c r="A136" s="239"/>
      <c r="B136" s="384"/>
      <c r="C136" s="949"/>
      <c r="D136" s="949"/>
      <c r="E136" s="949"/>
      <c r="F136" s="949"/>
      <c r="G136" s="789"/>
      <c r="H136" s="789"/>
      <c r="I136" s="789"/>
      <c r="J136" s="789"/>
      <c r="K136" s="949"/>
      <c r="L136" s="789"/>
      <c r="M136" s="789"/>
      <c r="N136" s="789"/>
      <c r="O136" s="789"/>
      <c r="P136" s="949"/>
      <c r="Q136" s="789"/>
      <c r="R136" s="789"/>
      <c r="S136" s="789"/>
      <c r="T136" s="789"/>
      <c r="U136" s="949"/>
      <c r="V136" s="789"/>
      <c r="W136" s="789"/>
      <c r="X136" s="789"/>
      <c r="Y136" s="789"/>
      <c r="Z136" s="949"/>
      <c r="AA136" s="789"/>
      <c r="AB136" s="789"/>
      <c r="AC136" s="789"/>
      <c r="AD136" s="789"/>
      <c r="AE136" s="949"/>
      <c r="AF136" s="789"/>
      <c r="AG136" s="789"/>
      <c r="AH136" s="789"/>
      <c r="AI136" s="789"/>
      <c r="AJ136" s="949"/>
      <c r="AK136" s="789"/>
      <c r="AL136" s="789"/>
      <c r="AM136" s="789"/>
      <c r="AN136" s="789"/>
      <c r="AO136" s="949"/>
      <c r="AP136" s="789"/>
      <c r="AQ136" s="789"/>
      <c r="AR136" s="789"/>
      <c r="AS136" s="789"/>
      <c r="AT136" s="949"/>
      <c r="AU136" s="789"/>
      <c r="AV136" s="789"/>
      <c r="AW136" s="789"/>
      <c r="AX136" s="789"/>
      <c r="AY136" s="949"/>
      <c r="AZ136" s="789"/>
      <c r="BA136" s="789"/>
      <c r="BB136" s="789"/>
      <c r="BC136" s="789"/>
      <c r="BD136" s="949"/>
      <c r="BE136" s="789"/>
      <c r="BF136" s="789"/>
      <c r="BG136" s="789"/>
      <c r="BH136" s="789"/>
      <c r="BI136" s="949"/>
      <c r="BJ136" s="789"/>
      <c r="BK136" s="789"/>
      <c r="BL136" s="789"/>
      <c r="BM136" s="789"/>
      <c r="BN136" s="949"/>
      <c r="BO136" s="789"/>
      <c r="BP136" s="789"/>
      <c r="BQ136" s="789"/>
      <c r="BR136" s="789"/>
      <c r="BS136" s="949"/>
      <c r="BT136" s="790"/>
      <c r="BU136" s="789"/>
      <c r="BV136" s="789"/>
      <c r="BW136" s="789"/>
      <c r="BX136" s="949"/>
      <c r="BY136" s="789"/>
      <c r="BZ136" s="789"/>
      <c r="CA136" s="789"/>
      <c r="CB136" s="789"/>
      <c r="CC136" s="949"/>
      <c r="CD136" s="949"/>
      <c r="CE136" s="949"/>
      <c r="CF136" s="949"/>
      <c r="CG136" s="385"/>
    </row>
    <row r="137" spans="1:85" x14ac:dyDescent="0.3">
      <c r="A137" s="754" t="s">
        <v>576</v>
      </c>
      <c r="B137" s="754"/>
      <c r="C137" s="754"/>
      <c r="D137" s="754"/>
      <c r="E137" s="754"/>
      <c r="F137" s="754"/>
      <c r="G137" s="754"/>
      <c r="H137" s="754"/>
      <c r="I137" s="754"/>
      <c r="J137" s="754"/>
      <c r="K137" s="754"/>
      <c r="L137" s="754"/>
      <c r="M137" s="754"/>
      <c r="N137" s="754"/>
      <c r="O137" s="754"/>
      <c r="P137" s="754"/>
      <c r="Q137" s="754"/>
      <c r="R137" s="754"/>
      <c r="S137" s="754"/>
      <c r="T137" s="754"/>
      <c r="U137" s="754"/>
      <c r="V137" s="754"/>
      <c r="W137" s="754"/>
      <c r="X137" s="754"/>
      <c r="Y137" s="754"/>
      <c r="Z137" s="754"/>
      <c r="AA137" s="754"/>
      <c r="AB137" s="754"/>
      <c r="AC137" s="754"/>
      <c r="AD137" s="754"/>
      <c r="AE137" s="754"/>
      <c r="AF137" s="754"/>
      <c r="AG137" s="754"/>
      <c r="AH137" s="754"/>
      <c r="AI137" s="754"/>
      <c r="AJ137" s="754"/>
      <c r="AK137" s="754"/>
      <c r="AL137" s="754"/>
      <c r="AM137" s="754"/>
      <c r="AN137" s="754"/>
      <c r="AO137" s="754"/>
      <c r="AP137" s="754"/>
      <c r="AQ137" s="754"/>
      <c r="AR137" s="754"/>
      <c r="AS137" s="754"/>
      <c r="AT137" s="754"/>
      <c r="AU137" s="754"/>
      <c r="AV137" s="754"/>
      <c r="AW137" s="754"/>
      <c r="AX137" s="754"/>
      <c r="AY137" s="754"/>
      <c r="AZ137" s="754"/>
      <c r="BA137" s="754"/>
      <c r="BB137" s="754"/>
      <c r="BC137" s="754"/>
      <c r="BD137" s="754"/>
      <c r="BE137" s="754"/>
      <c r="BF137" s="754"/>
      <c r="BG137" s="754"/>
      <c r="BH137" s="754"/>
      <c r="BI137" s="754"/>
      <c r="BJ137" s="754"/>
      <c r="BK137" s="754"/>
      <c r="BL137" s="754"/>
      <c r="BM137" s="754"/>
      <c r="BN137" s="754"/>
      <c r="BO137" s="754"/>
      <c r="BP137" s="754"/>
      <c r="BQ137" s="754"/>
      <c r="BR137" s="754"/>
      <c r="BS137" s="754"/>
      <c r="BT137" s="755"/>
      <c r="BU137" s="754"/>
      <c r="BV137" s="754"/>
      <c r="BW137" s="754"/>
      <c r="BX137" s="754"/>
      <c r="BY137" s="754"/>
      <c r="BZ137" s="754"/>
      <c r="CA137" s="754"/>
      <c r="CB137" s="754"/>
      <c r="CC137" s="754"/>
      <c r="CD137" s="754"/>
      <c r="CE137" s="754"/>
      <c r="CF137" s="754"/>
      <c r="CG137" s="183"/>
    </row>
    <row r="138" spans="1:85" hidden="1" outlineLevel="1" x14ac:dyDescent="0.3">
      <c r="A138" s="4" t="s">
        <v>396</v>
      </c>
      <c r="B138" s="250"/>
      <c r="C138" s="969"/>
      <c r="D138" s="969"/>
      <c r="E138" s="969"/>
      <c r="F138" s="970">
        <f>'Supplemental Data'!F30</f>
      </c>
      <c r="G138" s="860">
        <f>'Supplemental Data'!G30</f>
      </c>
      <c r="H138" s="860">
        <f>'Supplemental Data'!H30</f>
      </c>
      <c r="I138" s="860">
        <f>'Supplemental Data'!I30</f>
      </c>
      <c r="J138" s="860">
        <f>'Supplemental Data'!J30</f>
      </c>
      <c r="K138" s="970">
        <f>'Supplemental Data'!K30</f>
      </c>
      <c r="L138" s="860">
        <f>'Supplemental Data'!L30</f>
      </c>
      <c r="M138" s="860">
        <f>'Supplemental Data'!M30</f>
      </c>
      <c r="N138" s="860">
        <f>'Supplemental Data'!N30</f>
      </c>
      <c r="O138" s="860">
        <f>'Supplemental Data'!O30</f>
      </c>
      <c r="P138" s="970">
        <f>'Supplemental Data'!P30</f>
      </c>
      <c r="Q138" s="860">
        <f>'Supplemental Data'!Q30</f>
      </c>
      <c r="R138" s="860">
        <f>'Supplemental Data'!R30</f>
      </c>
      <c r="S138" s="860">
        <f>'Supplemental Data'!S30</f>
      </c>
      <c r="T138" s="860">
        <f>'Supplemental Data'!T30</f>
      </c>
      <c r="U138" s="970">
        <f>'Supplemental Data'!U30</f>
      </c>
      <c r="V138" s="860">
        <f>'Supplemental Data'!V30</f>
      </c>
      <c r="W138" s="860">
        <f>'Supplemental Data'!W30</f>
      </c>
      <c r="X138" s="860">
        <f>'Supplemental Data'!X30</f>
      </c>
      <c r="Y138" s="860">
        <f>'Supplemental Data'!Y30</f>
      </c>
      <c r="Z138" s="970">
        <f>'Supplemental Data'!Z30</f>
      </c>
      <c r="AA138" s="860">
        <f>+'Supplemental Data'!AA30</f>
      </c>
      <c r="AB138" s="860">
        <f>+'Supplemental Data'!AB30</f>
      </c>
      <c r="AC138" s="860">
        <f>+'Supplemental Data'!AC30</f>
      </c>
      <c r="AD138" s="860">
        <f>+'Supplemental Data'!AD30</f>
      </c>
      <c r="AE138" s="970">
        <f>+'Supplemental Data'!AE30</f>
      </c>
      <c r="AF138" s="860">
        <f>+'Supplemental Data'!AF30</f>
      </c>
      <c r="AG138" s="860">
        <f>+'Supplemental Data'!AG30</f>
      </c>
      <c r="AH138" s="860">
        <f>+'Supplemental Data'!AH30</f>
      </c>
      <c r="AI138" s="860">
        <f>+'Supplemental Data'!AI30</f>
      </c>
      <c r="AJ138" s="970">
        <f>+'Supplemental Data'!AJ30</f>
      </c>
      <c r="AK138" s="860">
        <f>+'Supplemental Data'!AK30</f>
      </c>
      <c r="AL138" s="860">
        <f>+'Supplemental Data'!AL30</f>
      </c>
      <c r="AM138" s="860">
        <f>+'Supplemental Data'!AM30</f>
      </c>
      <c r="AN138" s="860">
        <f>+'Supplemental Data'!AN30</f>
      </c>
      <c r="AO138" s="970">
        <f>+'Supplemental Data'!AO30</f>
      </c>
      <c r="AP138" s="861">
        <v>64.328000000000003</v>
      </c>
      <c r="AQ138" s="861">
        <v>61.570999999999998</v>
      </c>
      <c r="AR138" s="861">
        <v>58.834000000000003</v>
      </c>
      <c r="AS138" s="183">
        <f>AT138-SUM(AP138,AQ138,AR138)</f>
      </c>
      <c r="AT138" s="971">
        <v>239.381</v>
      </c>
      <c r="AU138" s="861">
        <v>49.575000000000003</v>
      </c>
      <c r="AV138" s="861">
        <v>46.292000000000002</v>
      </c>
      <c r="AW138" s="861">
        <v>44.231999999999999</v>
      </c>
      <c r="AX138" s="183">
        <f>AY138-SUM(AU138,AV138,AW138)</f>
      </c>
      <c r="AY138" s="971">
        <v>182.34800000000001</v>
      </c>
      <c r="AZ138" s="861">
        <v>39.81</v>
      </c>
      <c r="BA138" s="861">
        <v>37.090000000000003</v>
      </c>
      <c r="BB138" s="861">
        <v>35.228000000000002</v>
      </c>
      <c r="BC138" s="183">
        <f>BD138-SUM(AZ138,BA138,BB138)</f>
      </c>
      <c r="BD138" s="971">
        <v>145.69800000000001</v>
      </c>
      <c r="BE138" s="861">
        <v>31.501999999999999</v>
      </c>
      <c r="BF138" s="861">
        <v>28.975000000000001</v>
      </c>
      <c r="BG138" s="861">
        <v>22.361999999999998</v>
      </c>
      <c r="BH138" s="183">
        <f>BI138-SUM(BE138,BF138,BG138)</f>
      </c>
      <c r="BI138" s="971">
        <v>82.838999999999999</v>
      </c>
      <c r="BJ138" s="759"/>
      <c r="BK138" s="759"/>
      <c r="BL138" s="759"/>
      <c r="BM138" s="759"/>
      <c r="BN138" s="969"/>
      <c r="BO138" s="759"/>
      <c r="BP138" s="759"/>
      <c r="BQ138" s="759"/>
      <c r="BR138" s="759"/>
      <c r="BS138" s="969"/>
      <c r="BT138" s="760"/>
      <c r="BU138" s="759"/>
      <c r="BV138" s="759"/>
      <c r="BW138" s="759"/>
      <c r="BX138" s="969"/>
      <c r="BY138" s="759"/>
      <c r="BZ138" s="759"/>
      <c r="CA138" s="759"/>
      <c r="CB138" s="759"/>
      <c r="CC138" s="969"/>
      <c r="CD138" s="969"/>
      <c r="CE138" s="969"/>
      <c r="CF138" s="969"/>
      <c r="CG138" s="183"/>
    </row>
    <row r="139" spans="1:85" hidden="1" outlineLevel="1" x14ac:dyDescent="0.3">
      <c r="A139" s="771" t="s">
        <v>578</v>
      </c>
      <c r="B139" s="318"/>
      <c r="C139" s="935"/>
      <c r="D139" s="935"/>
      <c r="E139" s="935"/>
      <c r="F139" s="935"/>
      <c r="G139" s="58"/>
      <c r="H139" s="308">
        <f>H138/G138-1</f>
      </c>
      <c r="I139" s="308">
        <f>I138/H138-1</f>
      </c>
      <c r="J139" s="308">
        <f>J138/I138-1</f>
      </c>
      <c r="K139" s="935"/>
      <c r="L139" s="308">
        <f>L138/J138-1</f>
      </c>
      <c r="M139" s="308">
        <f>M138/L138-1</f>
      </c>
      <c r="N139" s="308">
        <f>N138/M138-1</f>
      </c>
      <c r="O139" s="308">
        <f>O138/N138-1</f>
      </c>
      <c r="P139" s="935"/>
      <c r="Q139" s="308">
        <f>Q138/O138-1</f>
      </c>
      <c r="R139" s="308">
        <f>R138/Q138-1</f>
      </c>
      <c r="S139" s="308">
        <f>S138/R138-1</f>
      </c>
      <c r="T139" s="308">
        <f>T138/S138-1</f>
      </c>
      <c r="U139" s="935"/>
      <c r="V139" s="308">
        <f>V138/T138-1</f>
      </c>
      <c r="W139" s="308">
        <f>W138/V138-1</f>
      </c>
      <c r="X139" s="308">
        <f>X138/W138-1</f>
      </c>
      <c r="Y139" s="308">
        <f>Y138/X138-1</f>
      </c>
      <c r="Z139" s="935"/>
      <c r="AA139" s="308">
        <f>AA138/Y138-1</f>
      </c>
      <c r="AB139" s="308">
        <f>AB138/AA138-1</f>
      </c>
      <c r="AC139" s="308">
        <f>AC138/AB138-1</f>
      </c>
      <c r="AD139" s="308">
        <f>AD138/AC138-1</f>
      </c>
      <c r="AE139" s="935"/>
      <c r="AF139" s="308">
        <f>AF138/AD138-1</f>
      </c>
      <c r="AG139" s="308">
        <f>AG138/AF138-1</f>
      </c>
      <c r="AH139" s="308">
        <f>AH138/AG138-1</f>
      </c>
      <c r="AI139" s="308">
        <f>AI138/AH138-1</f>
      </c>
      <c r="AJ139" s="935"/>
      <c r="AK139" s="308">
        <f>AK138/AI138-1</f>
      </c>
      <c r="AL139" s="308">
        <f>AL138/AK138-1</f>
      </c>
      <c r="AM139" s="308">
        <f>AM138/AL138-1</f>
      </c>
      <c r="AN139" s="308">
        <f>AN138/AM138-1</f>
      </c>
      <c r="AO139" s="935"/>
      <c r="AP139" s="308">
        <f>AP138/AN138-1</f>
      </c>
      <c r="AQ139" s="308">
        <f>AQ138/AP138-1</f>
      </c>
      <c r="AR139" s="308">
        <f>AR138/AQ138-1</f>
      </c>
      <c r="AS139" s="308">
        <f>AS138/AR138-1</f>
      </c>
      <c r="AT139" s="935"/>
      <c r="AU139" s="308">
        <f>AU138/AS138-1</f>
      </c>
      <c r="AV139" s="308">
        <f>AV138/AU138-1</f>
      </c>
      <c r="AW139" s="308">
        <f>AW138/AV138-1</f>
      </c>
      <c r="AX139" s="308">
        <f>AX138/AW138-1</f>
      </c>
      <c r="AY139" s="935"/>
      <c r="AZ139" s="308">
        <f>AZ138/AX138-1</f>
      </c>
      <c r="BA139" s="308">
        <f>BA138/AZ138-1</f>
      </c>
      <c r="BB139" s="308">
        <f>BB138/BA138-1</f>
      </c>
      <c r="BC139" s="308">
        <f>BC138/BB138-1</f>
      </c>
      <c r="BD139" s="935"/>
      <c r="BE139" s="308">
        <f>BE138/BC138-1</f>
      </c>
      <c r="BF139" s="308">
        <f>BF138/BE138-1</f>
      </c>
      <c r="BG139" s="308">
        <f>BG138/BF138-1</f>
      </c>
      <c r="BH139" s="58"/>
      <c r="BI139" s="935"/>
      <c r="BJ139" s="58"/>
      <c r="BK139" s="58"/>
      <c r="BL139" s="58"/>
      <c r="BM139" s="58"/>
      <c r="BN139" s="935"/>
      <c r="BO139" s="58"/>
      <c r="BP139" s="58"/>
      <c r="BQ139" s="58"/>
      <c r="BR139" s="58"/>
      <c r="BS139" s="935"/>
      <c r="BT139" s="669"/>
      <c r="BU139" s="58"/>
      <c r="BV139" s="58"/>
      <c r="BW139" s="58"/>
      <c r="BX139" s="935"/>
      <c r="BY139" s="58"/>
      <c r="BZ139" s="58"/>
      <c r="CA139" s="58"/>
      <c r="CB139" s="58"/>
      <c r="CC139" s="935"/>
      <c r="CD139" s="935"/>
      <c r="CE139" s="935"/>
      <c r="CF139" s="935"/>
      <c r="CG139" s="183"/>
    </row>
    <row r="140" spans="1:85" s="583" customFormat="1" hidden="1" outlineLevel="1" x14ac:dyDescent="0.3">
      <c r="A140" s="767" t="s">
        <v>577</v>
      </c>
      <c r="B140" s="305"/>
      <c r="C140" s="936"/>
      <c r="D140" s="936"/>
      <c r="E140" s="936"/>
      <c r="F140" s="936"/>
      <c r="G140" s="446"/>
      <c r="H140" s="446"/>
      <c r="I140" s="446"/>
      <c r="J140" s="446"/>
      <c r="K140" s="936">
        <f t="shared" ref="K140:AW140" si="197">+K138/F138-1</f>
      </c>
      <c r="L140" s="446">
        <f t="shared" si="197"/>
      </c>
      <c r="M140" s="446">
        <f t="shared" si="197"/>
      </c>
      <c r="N140" s="446">
        <f t="shared" si="197"/>
      </c>
      <c r="O140" s="446">
        <f t="shared" si="197"/>
      </c>
      <c r="P140" s="936">
        <f t="shared" si="197"/>
      </c>
      <c r="Q140" s="446">
        <f t="shared" si="197"/>
      </c>
      <c r="R140" s="446">
        <f t="shared" si="197"/>
      </c>
      <c r="S140" s="446">
        <f t="shared" si="197"/>
      </c>
      <c r="T140" s="446">
        <f t="shared" si="197"/>
      </c>
      <c r="U140" s="936">
        <f t="shared" si="197"/>
      </c>
      <c r="V140" s="446">
        <f t="shared" si="197"/>
      </c>
      <c r="W140" s="446">
        <f t="shared" si="197"/>
      </c>
      <c r="X140" s="446">
        <f t="shared" si="197"/>
      </c>
      <c r="Y140" s="446">
        <f t="shared" si="197"/>
      </c>
      <c r="Z140" s="936">
        <f t="shared" si="197"/>
      </c>
      <c r="AA140" s="446">
        <f t="shared" si="197"/>
      </c>
      <c r="AB140" s="446">
        <f t="shared" si="197"/>
      </c>
      <c r="AC140" s="446">
        <f t="shared" si="197"/>
      </c>
      <c r="AD140" s="446">
        <f t="shared" si="197"/>
      </c>
      <c r="AE140" s="936">
        <f t="shared" si="197"/>
      </c>
      <c r="AF140" s="446">
        <f t="shared" si="197"/>
      </c>
      <c r="AG140" s="446">
        <f t="shared" si="197"/>
      </c>
      <c r="AH140" s="446">
        <f t="shared" si="197"/>
      </c>
      <c r="AI140" s="446">
        <f t="shared" si="197"/>
      </c>
      <c r="AJ140" s="936">
        <f t="shared" si="197"/>
      </c>
      <c r="AK140" s="446">
        <f t="shared" si="197"/>
      </c>
      <c r="AL140" s="446">
        <f t="shared" si="197"/>
      </c>
      <c r="AM140" s="446">
        <f t="shared" si="197"/>
      </c>
      <c r="AN140" s="446">
        <f t="shared" si="197"/>
      </c>
      <c r="AO140" s="936">
        <f t="shared" si="197"/>
      </c>
      <c r="AP140" s="446">
        <f t="shared" si="197"/>
      </c>
      <c r="AQ140" s="446">
        <f t="shared" si="197"/>
      </c>
      <c r="AR140" s="446">
        <f t="shared" si="197"/>
      </c>
      <c r="AS140" s="446">
        <f t="shared" si="197"/>
      </c>
      <c r="AT140" s="936">
        <f t="shared" si="197"/>
      </c>
      <c r="AU140" s="446">
        <f t="shared" si="197"/>
      </c>
      <c r="AV140" s="446">
        <f t="shared" si="197"/>
      </c>
      <c r="AW140" s="446">
        <f t="shared" si="197"/>
      </c>
      <c r="AX140" s="446">
        <f t="shared" ref="AX140:BD140" si="198">+AX138/AS138-1</f>
      </c>
      <c r="AY140" s="936">
        <f t="shared" si="198"/>
      </c>
      <c r="AZ140" s="446">
        <f t="shared" si="198"/>
      </c>
      <c r="BA140" s="446">
        <f t="shared" si="198"/>
      </c>
      <c r="BB140" s="446">
        <f t="shared" si="198"/>
      </c>
      <c r="BC140" s="446">
        <f t="shared" si="198"/>
      </c>
      <c r="BD140" s="936">
        <f t="shared" si="198"/>
      </c>
      <c r="BE140" s="446">
        <f t="shared" ref="BE140:BI140" si="199">+BE138/AZ138-1</f>
      </c>
      <c r="BF140" s="446">
        <f t="shared" si="199"/>
      </c>
      <c r="BG140" s="446">
        <f t="shared" si="199"/>
      </c>
      <c r="BH140" s="446"/>
      <c r="BI140" s="936">
        <f t="shared" si="199"/>
      </c>
      <c r="BJ140" s="446"/>
      <c r="BK140" s="446"/>
      <c r="BL140" s="446"/>
      <c r="BM140" s="446"/>
      <c r="BN140" s="936"/>
      <c r="BO140" s="446"/>
      <c r="BP140" s="446"/>
      <c r="BQ140" s="446"/>
      <c r="BR140" s="446"/>
      <c r="BS140" s="936"/>
      <c r="BT140" s="665"/>
      <c r="BU140" s="446"/>
      <c r="BV140" s="446"/>
      <c r="BW140" s="446"/>
      <c r="BX140" s="936"/>
      <c r="BY140" s="446"/>
      <c r="BZ140" s="446"/>
      <c r="CA140" s="446"/>
      <c r="CB140" s="446"/>
      <c r="CC140" s="936"/>
      <c r="CD140" s="936"/>
      <c r="CE140" s="936"/>
      <c r="CF140" s="936"/>
      <c r="CG140" s="308"/>
    </row>
    <row r="141" spans="1:85" s="583" customFormat="1" collapsed="1" x14ac:dyDescent="0.3">
      <c r="A141" s="327"/>
      <c r="B141" s="305"/>
      <c r="C141" s="936"/>
      <c r="D141" s="936"/>
      <c r="E141" s="936"/>
      <c r="F141" s="936"/>
      <c r="G141" s="446"/>
      <c r="H141" s="446"/>
      <c r="I141" s="446"/>
      <c r="J141" s="446"/>
      <c r="K141" s="936"/>
      <c r="L141" s="446"/>
      <c r="M141" s="446"/>
      <c r="N141" s="446"/>
      <c r="O141" s="446"/>
      <c r="P141" s="936"/>
      <c r="Q141" s="446"/>
      <c r="R141" s="446"/>
      <c r="S141" s="446"/>
      <c r="T141" s="446"/>
      <c r="U141" s="936"/>
      <c r="V141" s="446"/>
      <c r="W141" s="446"/>
      <c r="X141" s="446"/>
      <c r="Y141" s="446"/>
      <c r="Z141" s="936"/>
      <c r="AA141" s="446"/>
      <c r="AB141" s="446"/>
      <c r="AC141" s="446"/>
      <c r="AD141" s="446"/>
      <c r="AE141" s="936"/>
      <c r="AF141" s="446"/>
      <c r="AG141" s="446"/>
      <c r="AH141" s="446"/>
      <c r="AI141" s="446"/>
      <c r="AJ141" s="936"/>
      <c r="AK141" s="446"/>
      <c r="AL141" s="446"/>
      <c r="AM141" s="446"/>
      <c r="AN141" s="446"/>
      <c r="AO141" s="936"/>
      <c r="AP141" s="446"/>
      <c r="AQ141" s="446"/>
      <c r="AR141" s="446"/>
      <c r="AS141" s="446"/>
      <c r="AT141" s="936"/>
      <c r="AU141" s="446"/>
      <c r="AV141" s="446"/>
      <c r="AW141" s="446"/>
      <c r="AX141" s="446"/>
      <c r="AY141" s="936"/>
      <c r="AZ141" s="446"/>
      <c r="BA141" s="446"/>
      <c r="BB141" s="446"/>
      <c r="BC141" s="446"/>
      <c r="BD141" s="936"/>
      <c r="BE141" s="446"/>
      <c r="BF141" s="446"/>
      <c r="BG141" s="446"/>
      <c r="BH141" s="446"/>
      <c r="BI141" s="936"/>
      <c r="BJ141" s="446"/>
      <c r="BK141" s="446"/>
      <c r="BL141" s="446"/>
      <c r="BM141" s="446"/>
      <c r="BN141" s="936"/>
      <c r="BO141" s="446"/>
      <c r="BP141" s="446"/>
      <c r="BQ141" s="446"/>
      <c r="BR141" s="446"/>
      <c r="BS141" s="936"/>
      <c r="BT141" s="665"/>
      <c r="BU141" s="446"/>
      <c r="BV141" s="446"/>
      <c r="BW141" s="446"/>
      <c r="BX141" s="936"/>
      <c r="BY141" s="446"/>
      <c r="BZ141" s="446"/>
      <c r="CA141" s="446"/>
      <c r="CB141" s="446"/>
      <c r="CC141" s="936"/>
      <c r="CD141" s="936"/>
      <c r="CE141" s="936"/>
      <c r="CF141" s="936"/>
      <c r="CG141" s="308"/>
    </row>
    <row r="142" spans="1:85" x14ac:dyDescent="0.3">
      <c r="A142" s="754" t="s">
        <v>570</v>
      </c>
      <c r="B142" s="754"/>
      <c r="C142" s="754"/>
      <c r="D142" s="754"/>
      <c r="E142" s="754"/>
      <c r="F142" s="754"/>
      <c r="G142" s="754"/>
      <c r="H142" s="754"/>
      <c r="I142" s="754"/>
      <c r="J142" s="754"/>
      <c r="K142" s="754"/>
      <c r="L142" s="754"/>
      <c r="M142" s="754"/>
      <c r="N142" s="754"/>
      <c r="O142" s="754"/>
      <c r="P142" s="754"/>
      <c r="Q142" s="754"/>
      <c r="R142" s="754"/>
      <c r="S142" s="754"/>
      <c r="T142" s="754"/>
      <c r="U142" s="754"/>
      <c r="V142" s="754"/>
      <c r="W142" s="754"/>
      <c r="X142" s="754"/>
      <c r="Y142" s="754"/>
      <c r="Z142" s="754"/>
      <c r="AA142" s="754"/>
      <c r="AB142" s="754"/>
      <c r="AC142" s="754"/>
      <c r="AD142" s="754"/>
      <c r="AE142" s="754"/>
      <c r="AF142" s="754"/>
      <c r="AG142" s="754"/>
      <c r="AH142" s="754"/>
      <c r="AI142" s="754"/>
      <c r="AJ142" s="754"/>
      <c r="AK142" s="754"/>
      <c r="AL142" s="754"/>
      <c r="AM142" s="754"/>
      <c r="AN142" s="754"/>
      <c r="AO142" s="754"/>
      <c r="AP142" s="754"/>
      <c r="AQ142" s="754"/>
      <c r="AR142" s="754"/>
      <c r="AS142" s="754"/>
      <c r="AT142" s="754"/>
      <c r="AU142" s="754"/>
      <c r="AV142" s="754"/>
      <c r="AW142" s="754"/>
      <c r="AX142" s="754"/>
      <c r="AY142" s="754"/>
      <c r="AZ142" s="754"/>
      <c r="BA142" s="754"/>
      <c r="BB142" s="754"/>
      <c r="BC142" s="754"/>
      <c r="BD142" s="754"/>
      <c r="BE142" s="754"/>
      <c r="BF142" s="754"/>
      <c r="BG142" s="754"/>
      <c r="BH142" s="754"/>
      <c r="BI142" s="754"/>
      <c r="BJ142" s="754"/>
      <c r="BK142" s="754"/>
      <c r="BL142" s="754"/>
      <c r="BM142" s="754"/>
      <c r="BN142" s="754"/>
      <c r="BO142" s="754"/>
      <c r="BP142" s="754"/>
      <c r="BQ142" s="754"/>
      <c r="BR142" s="754"/>
      <c r="BS142" s="754"/>
      <c r="BT142" s="755"/>
      <c r="BU142" s="754"/>
      <c r="BV142" s="754"/>
      <c r="BW142" s="754"/>
      <c r="BX142" s="754"/>
      <c r="BY142" s="754"/>
      <c r="BZ142" s="754"/>
      <c r="CA142" s="754"/>
      <c r="CB142" s="754"/>
      <c r="CC142" s="754"/>
      <c r="CD142" s="754"/>
      <c r="CE142" s="754"/>
      <c r="CF142" s="754"/>
      <c r="CG142" s="183"/>
    </row>
    <row r="143" spans="1:85" hidden="1" outlineLevel="1" x14ac:dyDescent="0.3">
      <c r="A143" s="130" t="s">
        <v>574</v>
      </c>
      <c r="B143" s="242"/>
      <c r="C143" s="950"/>
      <c r="D143" s="950"/>
      <c r="E143" s="950"/>
      <c r="F143" s="972">
        <f>'Supplemental Data'!F63</f>
      </c>
      <c r="G143" s="862">
        <f>'Supplemental Data'!G63</f>
      </c>
      <c r="H143" s="862">
        <f>'Supplemental Data'!H63</f>
      </c>
      <c r="I143" s="862">
        <f>'Supplemental Data'!I63</f>
      </c>
      <c r="J143" s="862">
        <f>'Supplemental Data'!J63</f>
      </c>
      <c r="K143" s="972">
        <f>'Supplemental Data'!K63</f>
      </c>
      <c r="L143" s="862">
        <f>'Supplemental Data'!L63</f>
      </c>
      <c r="M143" s="862">
        <f>'Supplemental Data'!M63</f>
      </c>
      <c r="N143" s="862">
        <f>'Supplemental Data'!N63</f>
      </c>
      <c r="O143" s="862">
        <f>'Supplemental Data'!O63</f>
      </c>
      <c r="P143" s="972">
        <f>'Supplemental Data'!P63</f>
      </c>
      <c r="Q143" s="862">
        <f>'Supplemental Data'!Q63</f>
      </c>
      <c r="R143" s="862">
        <f>'Supplemental Data'!R63</f>
      </c>
      <c r="S143" s="862">
        <f>'Supplemental Data'!S63</f>
      </c>
      <c r="T143" s="862">
        <f>'Supplemental Data'!T63</f>
      </c>
      <c r="U143" s="972">
        <f>'Supplemental Data'!U63</f>
      </c>
      <c r="V143" s="862">
        <f>'Supplemental Data'!V63</f>
      </c>
      <c r="W143" s="862">
        <f>'Supplemental Data'!W63</f>
      </c>
      <c r="X143" s="862">
        <f>'Supplemental Data'!X63</f>
      </c>
      <c r="Y143" s="862">
        <f>'Supplemental Data'!Y63</f>
      </c>
      <c r="Z143" s="972">
        <f>'Supplemental Data'!Z63</f>
      </c>
      <c r="AA143" s="204"/>
      <c r="AB143" s="204"/>
      <c r="AC143" s="204"/>
      <c r="AD143" s="204"/>
      <c r="AE143" s="950"/>
      <c r="AF143" s="204"/>
      <c r="AG143" s="204"/>
      <c r="AH143" s="204"/>
      <c r="AI143" s="204"/>
      <c r="AJ143" s="950"/>
      <c r="AK143" s="204"/>
      <c r="AL143" s="204"/>
      <c r="AM143" s="204"/>
      <c r="AN143" s="204"/>
      <c r="AO143" s="950"/>
      <c r="AP143" s="204"/>
      <c r="AQ143" s="204"/>
      <c r="AR143" s="204"/>
      <c r="AS143" s="204"/>
      <c r="AT143" s="950"/>
      <c r="AU143" s="204"/>
      <c r="AV143" s="204"/>
      <c r="AW143" s="204"/>
      <c r="AX143" s="204"/>
      <c r="AY143" s="950"/>
      <c r="AZ143" s="204"/>
      <c r="BA143" s="204"/>
      <c r="BB143" s="204"/>
      <c r="BC143" s="204"/>
      <c r="BD143" s="950"/>
      <c r="BE143" s="204"/>
      <c r="BF143" s="204"/>
      <c r="BG143" s="204"/>
      <c r="BH143" s="204"/>
      <c r="BI143" s="950"/>
      <c r="BJ143" s="204"/>
      <c r="BK143" s="204"/>
      <c r="BL143" s="204"/>
      <c r="BM143" s="204"/>
      <c r="BN143" s="950"/>
      <c r="BO143" s="204"/>
      <c r="BP143" s="204"/>
      <c r="BQ143" s="204"/>
      <c r="BR143" s="204"/>
      <c r="BS143" s="950"/>
      <c r="BT143" s="294"/>
      <c r="BU143" s="204"/>
      <c r="BV143" s="204"/>
      <c r="BW143" s="204"/>
      <c r="BX143" s="950"/>
      <c r="BY143" s="204"/>
      <c r="BZ143" s="204"/>
      <c r="CA143" s="204"/>
      <c r="CB143" s="204"/>
      <c r="CC143" s="950"/>
      <c r="CD143" s="950"/>
      <c r="CE143" s="950"/>
      <c r="CF143" s="950"/>
      <c r="CG143" s="131"/>
    </row>
    <row r="144" spans="1:85" hidden="1" outlineLevel="1" x14ac:dyDescent="0.3">
      <c r="A144" s="192" t="str">
        <f>A41</f>
      </c>
      <c r="B144" s="242"/>
      <c r="C144" s="950"/>
      <c r="D144" s="950"/>
      <c r="E144" s="950"/>
      <c r="F144" s="950">
        <f t="shared" ref="F144:AO144" si="200">F41</f>
      </c>
      <c r="G144" s="204">
        <f t="shared" si="200"/>
      </c>
      <c r="H144" s="204">
        <f t="shared" si="200"/>
      </c>
      <c r="I144" s="204">
        <f t="shared" si="200"/>
      </c>
      <c r="J144" s="204">
        <f t="shared" si="200"/>
      </c>
      <c r="K144" s="950">
        <f t="shared" si="200"/>
      </c>
      <c r="L144" s="204">
        <f t="shared" si="200"/>
      </c>
      <c r="M144" s="204">
        <f t="shared" si="200"/>
      </c>
      <c r="N144" s="204">
        <f t="shared" si="200"/>
      </c>
      <c r="O144" s="204">
        <f t="shared" si="200"/>
      </c>
      <c r="P144" s="950">
        <f t="shared" si="200"/>
      </c>
      <c r="Q144" s="204">
        <f t="shared" si="200"/>
      </c>
      <c r="R144" s="204">
        <f t="shared" si="200"/>
      </c>
      <c r="S144" s="204">
        <f t="shared" si="200"/>
      </c>
      <c r="T144" s="204">
        <f t="shared" si="200"/>
      </c>
      <c r="U144" s="950">
        <f t="shared" si="200"/>
      </c>
      <c r="V144" s="204">
        <f t="shared" si="200"/>
      </c>
      <c r="W144" s="204">
        <f t="shared" si="200"/>
      </c>
      <c r="X144" s="204">
        <f t="shared" si="200"/>
      </c>
      <c r="Y144" s="204">
        <f t="shared" si="200"/>
      </c>
      <c r="Z144" s="950">
        <f t="shared" si="200"/>
      </c>
      <c r="AA144" s="131">
        <f t="shared" si="200"/>
      </c>
      <c r="AB144" s="131">
        <f t="shared" si="200"/>
      </c>
      <c r="AC144" s="131">
        <f t="shared" si="200"/>
      </c>
      <c r="AD144" s="131">
        <f t="shared" si="200"/>
      </c>
      <c r="AE144" s="952">
        <f t="shared" si="200"/>
      </c>
      <c r="AF144" s="131">
        <f t="shared" si="200"/>
      </c>
      <c r="AG144" s="131">
        <f t="shared" si="200"/>
      </c>
      <c r="AH144" s="131">
        <f t="shared" si="200"/>
      </c>
      <c r="AI144" s="131">
        <f t="shared" si="200"/>
      </c>
      <c r="AJ144" s="952">
        <f t="shared" si="200"/>
      </c>
      <c r="AK144" s="131">
        <f t="shared" si="200"/>
      </c>
      <c r="AL144" s="131">
        <f t="shared" si="200"/>
      </c>
      <c r="AM144" s="131">
        <f t="shared" si="200"/>
      </c>
      <c r="AN144" s="131">
        <f t="shared" si="200"/>
      </c>
      <c r="AO144" s="952">
        <f t="shared" si="200"/>
      </c>
      <c r="AP144" s="204"/>
      <c r="AQ144" s="204"/>
      <c r="AR144" s="204"/>
      <c r="AS144" s="204"/>
      <c r="AT144" s="950"/>
      <c r="AU144" s="204"/>
      <c r="AV144" s="204"/>
      <c r="AW144" s="204"/>
      <c r="AX144" s="204"/>
      <c r="AY144" s="950"/>
      <c r="AZ144" s="204"/>
      <c r="BA144" s="204"/>
      <c r="BB144" s="204"/>
      <c r="BC144" s="204"/>
      <c r="BD144" s="950"/>
      <c r="BE144" s="204"/>
      <c r="BF144" s="204"/>
      <c r="BG144" s="204"/>
      <c r="BH144" s="204"/>
      <c r="BI144" s="950"/>
      <c r="BJ144" s="204"/>
      <c r="BK144" s="204"/>
      <c r="BL144" s="204"/>
      <c r="BM144" s="204"/>
      <c r="BN144" s="950"/>
      <c r="BO144" s="204"/>
      <c r="BP144" s="204"/>
      <c r="BQ144" s="204"/>
      <c r="BR144" s="204"/>
      <c r="BS144" s="950"/>
      <c r="BT144" s="294"/>
      <c r="BU144" s="204"/>
      <c r="BV144" s="204"/>
      <c r="BW144" s="204"/>
      <c r="BX144" s="950"/>
      <c r="BY144" s="204"/>
      <c r="BZ144" s="204"/>
      <c r="CA144" s="204"/>
      <c r="CB144" s="204"/>
      <c r="CC144" s="950"/>
      <c r="CD144" s="950"/>
      <c r="CE144" s="950"/>
      <c r="CF144" s="950"/>
      <c r="CG144" s="131"/>
    </row>
    <row r="145" spans="1:85" hidden="1" outlineLevel="1" x14ac:dyDescent="0.3">
      <c r="A145" s="209" t="str">
        <f>A45</f>
      </c>
      <c r="B145" s="246"/>
      <c r="C145" s="953"/>
      <c r="D145" s="953"/>
      <c r="E145" s="953"/>
      <c r="F145" s="953"/>
      <c r="G145" s="247"/>
      <c r="H145" s="247"/>
      <c r="I145" s="247"/>
      <c r="J145" s="247"/>
      <c r="K145" s="953"/>
      <c r="L145" s="247"/>
      <c r="M145" s="247"/>
      <c r="N145" s="247"/>
      <c r="O145" s="247"/>
      <c r="P145" s="953"/>
      <c r="Q145" s="247"/>
      <c r="R145" s="247"/>
      <c r="S145" s="247"/>
      <c r="T145" s="247"/>
      <c r="U145" s="953"/>
      <c r="V145" s="247"/>
      <c r="W145" s="247"/>
      <c r="X145" s="247"/>
      <c r="Y145" s="247"/>
      <c r="Z145" s="953"/>
      <c r="AA145" s="202">
        <f t="shared" ref="AA145:AO145" si="201">AA45</f>
      </c>
      <c r="AB145" s="202">
        <f t="shared" si="201"/>
      </c>
      <c r="AC145" s="202">
        <f t="shared" si="201"/>
      </c>
      <c r="AD145" s="202">
        <f t="shared" si="201"/>
      </c>
      <c r="AE145" s="954">
        <f t="shared" si="201"/>
      </c>
      <c r="AF145" s="202">
        <f t="shared" si="201"/>
      </c>
      <c r="AG145" s="202">
        <f t="shared" si="201"/>
      </c>
      <c r="AH145" s="202">
        <f t="shared" si="201"/>
      </c>
      <c r="AI145" s="202">
        <f t="shared" si="201"/>
      </c>
      <c r="AJ145" s="954">
        <f t="shared" si="201"/>
      </c>
      <c r="AK145" s="202">
        <f t="shared" si="201"/>
      </c>
      <c r="AL145" s="202">
        <f t="shared" si="201"/>
      </c>
      <c r="AM145" s="202">
        <f t="shared" si="201"/>
      </c>
      <c r="AN145" s="202">
        <f t="shared" si="201"/>
      </c>
      <c r="AO145" s="954">
        <f t="shared" si="201"/>
      </c>
      <c r="AP145" s="247"/>
      <c r="AQ145" s="247"/>
      <c r="AR145" s="247"/>
      <c r="AS145" s="247"/>
      <c r="AT145" s="953"/>
      <c r="AU145" s="247"/>
      <c r="AV145" s="247"/>
      <c r="AW145" s="247"/>
      <c r="AX145" s="247"/>
      <c r="AY145" s="953"/>
      <c r="AZ145" s="247"/>
      <c r="BA145" s="247"/>
      <c r="BB145" s="247"/>
      <c r="BC145" s="247"/>
      <c r="BD145" s="953"/>
      <c r="BE145" s="247"/>
      <c r="BF145" s="247"/>
      <c r="BG145" s="247"/>
      <c r="BH145" s="247"/>
      <c r="BI145" s="953"/>
      <c r="BJ145" s="247"/>
      <c r="BK145" s="247"/>
      <c r="BL145" s="247"/>
      <c r="BM145" s="247"/>
      <c r="BN145" s="953"/>
      <c r="BO145" s="247"/>
      <c r="BP145" s="247"/>
      <c r="BQ145" s="247"/>
      <c r="BR145" s="247"/>
      <c r="BS145" s="953"/>
      <c r="BT145" s="497"/>
      <c r="BU145" s="247"/>
      <c r="BV145" s="247"/>
      <c r="BW145" s="247"/>
      <c r="BX145" s="953"/>
      <c r="BY145" s="247"/>
      <c r="BZ145" s="247"/>
      <c r="CA145" s="247"/>
      <c r="CB145" s="247"/>
      <c r="CC145" s="953"/>
      <c r="CD145" s="953"/>
      <c r="CE145" s="953"/>
      <c r="CF145" s="953"/>
      <c r="CG145" s="131"/>
    </row>
    <row r="146" spans="1:85" collapsed="1" x14ac:dyDescent="0.3">
      <c r="A146" s="130" t="str">
        <f>A52</f>
      </c>
      <c r="B146" s="242"/>
      <c r="C146" s="950"/>
      <c r="D146" s="950"/>
      <c r="E146" s="950"/>
      <c r="F146" s="950"/>
      <c r="G146" s="204"/>
      <c r="H146" s="204"/>
      <c r="I146" s="204"/>
      <c r="J146" s="204"/>
      <c r="K146" s="950"/>
      <c r="L146" s="204"/>
      <c r="M146" s="204"/>
      <c r="N146" s="204"/>
      <c r="O146" s="204"/>
      <c r="P146" s="950"/>
      <c r="Q146" s="204"/>
      <c r="R146" s="204"/>
      <c r="S146" s="204"/>
      <c r="T146" s="204"/>
      <c r="U146" s="950"/>
      <c r="V146" s="204"/>
      <c r="W146" s="204"/>
      <c r="X146" s="204"/>
      <c r="Y146" s="204"/>
      <c r="Z146" s="950"/>
      <c r="AA146" s="131">
        <f t="shared" ref="AA146:AW146" si="202">AA52</f>
      </c>
      <c r="AB146" s="131">
        <f t="shared" si="202"/>
      </c>
      <c r="AC146" s="131">
        <f t="shared" si="202"/>
      </c>
      <c r="AD146" s="131">
        <f t="shared" si="202"/>
      </c>
      <c r="AE146" s="952">
        <f t="shared" si="202"/>
      </c>
      <c r="AF146" s="131">
        <f t="shared" si="202"/>
      </c>
      <c r="AG146" s="131">
        <f t="shared" si="202"/>
      </c>
      <c r="AH146" s="131">
        <f t="shared" si="202"/>
      </c>
      <c r="AI146" s="131">
        <f t="shared" si="202"/>
      </c>
      <c r="AJ146" s="952">
        <f t="shared" si="202"/>
      </c>
      <c r="AK146" s="131">
        <f t="shared" si="202"/>
      </c>
      <c r="AL146" s="131">
        <f t="shared" si="202"/>
      </c>
      <c r="AM146" s="131">
        <f t="shared" si="202"/>
      </c>
      <c r="AN146" s="131">
        <f t="shared" si="202"/>
      </c>
      <c r="AO146" s="952">
        <f t="shared" si="202"/>
      </c>
      <c r="AP146" s="131">
        <f t="shared" si="202"/>
      </c>
      <c r="AQ146" s="131">
        <f t="shared" si="202"/>
      </c>
      <c r="AR146" s="131">
        <f t="shared" si="202"/>
      </c>
      <c r="AS146" s="131">
        <f t="shared" si="202"/>
      </c>
      <c r="AT146" s="952">
        <f t="shared" si="202"/>
      </c>
      <c r="AU146" s="131">
        <f t="shared" si="202"/>
      </c>
      <c r="AV146" s="131">
        <f t="shared" si="202"/>
      </c>
      <c r="AW146" s="131">
        <f t="shared" si="202"/>
      </c>
      <c r="AX146" s="131">
        <f t="shared" ref="AX146:BD146" si="203">AX52</f>
      </c>
      <c r="AY146" s="952">
        <f t="shared" si="203"/>
      </c>
      <c r="AZ146" s="131">
        <f t="shared" si="203"/>
      </c>
      <c r="BA146" s="131">
        <f t="shared" si="203"/>
      </c>
      <c r="BB146" s="131">
        <f t="shared" si="203"/>
      </c>
      <c r="BC146" s="131">
        <f t="shared" si="203"/>
      </c>
      <c r="BD146" s="952">
        <f t="shared" si="203"/>
      </c>
      <c r="BE146" s="131">
        <f t="shared" ref="BE146:BI146" si="204">BE52</f>
      </c>
      <c r="BF146" s="131">
        <f t="shared" si="204"/>
      </c>
      <c r="BG146" s="131">
        <f t="shared" si="204"/>
      </c>
      <c r="BH146" s="131">
        <f t="shared" si="204"/>
      </c>
      <c r="BI146" s="952">
        <f t="shared" si="204"/>
      </c>
      <c r="BJ146" s="131">
        <f t="shared" ref="BJ146:BX146" si="205">BJ52</f>
      </c>
      <c r="BK146" s="131">
        <f t="shared" si="205"/>
      </c>
      <c r="BL146" s="131">
        <f t="shared" si="205"/>
      </c>
      <c r="BM146" s="131">
        <f t="shared" si="205"/>
      </c>
      <c r="BN146" s="952">
        <f t="shared" si="205"/>
      </c>
      <c r="BO146" s="204">
        <f t="shared" ref="BO146:BW146" si="206">BO52</f>
      </c>
      <c r="BP146" s="204">
        <f t="shared" si="206"/>
      </c>
      <c r="BQ146" s="204">
        <f t="shared" si="206"/>
      </c>
      <c r="BR146" s="204">
        <f t="shared" si="206"/>
      </c>
      <c r="BS146" s="950">
        <f t="shared" si="206"/>
      </c>
      <c r="BT146" s="294">
        <f>BT52</f>
      </c>
      <c r="BU146" s="204">
        <f t="shared" si="206"/>
      </c>
      <c r="BV146" s="204">
        <f t="shared" si="206"/>
      </c>
      <c r="BW146" s="204">
        <f t="shared" si="206"/>
      </c>
      <c r="BX146" s="950">
        <f t="shared" si="205"/>
      </c>
      <c r="BY146" s="204">
        <f t="shared" ref="BY146:CF146" si="207">BY52</f>
      </c>
      <c r="BZ146" s="204">
        <f t="shared" si="207"/>
      </c>
      <c r="CA146" s="204">
        <f t="shared" si="207"/>
      </c>
      <c r="CB146" s="204">
        <f t="shared" si="207"/>
      </c>
      <c r="CC146" s="950">
        <f t="shared" si="207"/>
      </c>
      <c r="CD146" s="950">
        <f t="shared" si="207"/>
      </c>
      <c r="CE146" s="950">
        <f t="shared" si="207"/>
      </c>
      <c r="CF146" s="950">
        <f t="shared" si="207"/>
      </c>
      <c r="CG146" s="131"/>
    </row>
    <row r="147" spans="1:85" x14ac:dyDescent="0.3">
      <c r="A147" s="130" t="str">
        <f>A80</f>
      </c>
      <c r="B147" s="242"/>
      <c r="C147" s="950"/>
      <c r="D147" s="950"/>
      <c r="E147" s="950"/>
      <c r="F147" s="950"/>
      <c r="G147" s="204"/>
      <c r="H147" s="204"/>
      <c r="I147" s="204"/>
      <c r="J147" s="204"/>
      <c r="K147" s="950"/>
      <c r="L147" s="204"/>
      <c r="M147" s="204"/>
      <c r="N147" s="204"/>
      <c r="O147" s="204"/>
      <c r="P147" s="950"/>
      <c r="Q147" s="204"/>
      <c r="R147" s="204"/>
      <c r="S147" s="204"/>
      <c r="T147" s="204"/>
      <c r="U147" s="950"/>
      <c r="V147" s="204"/>
      <c r="W147" s="204"/>
      <c r="X147" s="204"/>
      <c r="Y147" s="204"/>
      <c r="Z147" s="950"/>
      <c r="AA147" s="131">
        <f t="shared" ref="AA147:AW147" si="208">AA80</f>
      </c>
      <c r="AB147" s="131">
        <f t="shared" si="208"/>
      </c>
      <c r="AC147" s="131">
        <f t="shared" si="208"/>
      </c>
      <c r="AD147" s="131">
        <f t="shared" si="208"/>
      </c>
      <c r="AE147" s="952">
        <f t="shared" si="208"/>
      </c>
      <c r="AF147" s="131">
        <f t="shared" si="208"/>
      </c>
      <c r="AG147" s="131">
        <f t="shared" si="208"/>
      </c>
      <c r="AH147" s="131">
        <f t="shared" si="208"/>
      </c>
      <c r="AI147" s="131">
        <f t="shared" si="208"/>
      </c>
      <c r="AJ147" s="952">
        <f t="shared" si="208"/>
      </c>
      <c r="AK147" s="131">
        <f t="shared" si="208"/>
      </c>
      <c r="AL147" s="131">
        <f t="shared" si="208"/>
      </c>
      <c r="AM147" s="131">
        <f t="shared" si="208"/>
      </c>
      <c r="AN147" s="131">
        <f t="shared" si="208"/>
      </c>
      <c r="AO147" s="952">
        <f t="shared" si="208"/>
      </c>
      <c r="AP147" s="131">
        <f t="shared" si="208"/>
      </c>
      <c r="AQ147" s="131">
        <f t="shared" si="208"/>
      </c>
      <c r="AR147" s="131">
        <f t="shared" si="208"/>
      </c>
      <c r="AS147" s="131">
        <f t="shared" si="208"/>
      </c>
      <c r="AT147" s="952">
        <f t="shared" si="208"/>
      </c>
      <c r="AU147" s="131">
        <f t="shared" si="208"/>
      </c>
      <c r="AV147" s="131">
        <f t="shared" si="208"/>
      </c>
      <c r="AW147" s="131">
        <f t="shared" si="208"/>
      </c>
      <c r="AX147" s="131">
        <f t="shared" ref="AX147:BD147" si="209">AX80</f>
      </c>
      <c r="AY147" s="952">
        <f t="shared" si="209"/>
      </c>
      <c r="AZ147" s="131">
        <f t="shared" si="209"/>
      </c>
      <c r="BA147" s="131">
        <f t="shared" si="209"/>
      </c>
      <c r="BB147" s="131">
        <f t="shared" si="209"/>
      </c>
      <c r="BC147" s="131">
        <f t="shared" si="209"/>
      </c>
      <c r="BD147" s="952">
        <f t="shared" si="209"/>
      </c>
      <c r="BE147" s="131">
        <f t="shared" ref="BE147:BI147" si="210">BE80</f>
      </c>
      <c r="BF147" s="131">
        <f t="shared" si="210"/>
      </c>
      <c r="BG147" s="131">
        <f t="shared" si="210"/>
      </c>
      <c r="BH147" s="131">
        <f t="shared" si="210"/>
      </c>
      <c r="BI147" s="952">
        <f t="shared" si="210"/>
      </c>
      <c r="BJ147" s="131">
        <f t="shared" ref="BJ147:BX147" si="211">BJ80</f>
      </c>
      <c r="BK147" s="131">
        <f t="shared" si="211"/>
      </c>
      <c r="BL147" s="131">
        <f t="shared" si="211"/>
      </c>
      <c r="BM147" s="131">
        <f t="shared" si="211"/>
      </c>
      <c r="BN147" s="952">
        <f t="shared" si="211"/>
      </c>
      <c r="BO147" s="204">
        <f t="shared" ref="BO147:BW147" si="212">BO80</f>
      </c>
      <c r="BP147" s="204">
        <f t="shared" si="212"/>
      </c>
      <c r="BQ147" s="204">
        <f t="shared" si="212"/>
      </c>
      <c r="BR147" s="204">
        <f t="shared" si="212"/>
      </c>
      <c r="BS147" s="950">
        <f t="shared" si="212"/>
      </c>
      <c r="BT147" s="294">
        <f>BT80</f>
      </c>
      <c r="BU147" s="204">
        <f t="shared" si="212"/>
      </c>
      <c r="BV147" s="204">
        <f t="shared" si="212"/>
      </c>
      <c r="BW147" s="204">
        <f t="shared" si="212"/>
      </c>
      <c r="BX147" s="950">
        <f t="shared" si="211"/>
      </c>
      <c r="BY147" s="204">
        <f t="shared" ref="BY147:CF147" si="213">BY80</f>
      </c>
      <c r="BZ147" s="204">
        <f t="shared" si="213"/>
      </c>
      <c r="CA147" s="204">
        <f t="shared" si="213"/>
      </c>
      <c r="CB147" s="204">
        <f t="shared" si="213"/>
      </c>
      <c r="CC147" s="950">
        <f t="shared" si="213"/>
      </c>
      <c r="CD147" s="950">
        <f t="shared" si="213"/>
      </c>
      <c r="CE147" s="950">
        <f t="shared" si="213"/>
      </c>
      <c r="CF147" s="950">
        <f t="shared" si="213"/>
      </c>
      <c r="CG147" s="131"/>
    </row>
    <row r="148" spans="1:85" x14ac:dyDescent="0.3">
      <c r="A148" s="130" t="str">
        <f>A100</f>
      </c>
      <c r="B148" s="242"/>
      <c r="C148" s="950"/>
      <c r="D148" s="950"/>
      <c r="E148" s="950"/>
      <c r="F148" s="950"/>
      <c r="G148" s="204"/>
      <c r="H148" s="204"/>
      <c r="I148" s="204"/>
      <c r="J148" s="204"/>
      <c r="K148" s="950"/>
      <c r="L148" s="204"/>
      <c r="M148" s="204"/>
      <c r="N148" s="204"/>
      <c r="O148" s="204"/>
      <c r="P148" s="950"/>
      <c r="Q148" s="204"/>
      <c r="R148" s="204"/>
      <c r="S148" s="204"/>
      <c r="T148" s="204"/>
      <c r="U148" s="950"/>
      <c r="V148" s="204"/>
      <c r="W148" s="204"/>
      <c r="X148" s="204"/>
      <c r="Y148" s="204"/>
      <c r="Z148" s="950"/>
      <c r="AA148" s="131">
        <f t="shared" ref="AA148:AW148" si="214">AA100</f>
      </c>
      <c r="AB148" s="131">
        <f t="shared" si="214"/>
      </c>
      <c r="AC148" s="131">
        <f t="shared" si="214"/>
      </c>
      <c r="AD148" s="131">
        <f t="shared" si="214"/>
      </c>
      <c r="AE148" s="952">
        <f t="shared" si="214"/>
      </c>
      <c r="AF148" s="131">
        <f t="shared" si="214"/>
      </c>
      <c r="AG148" s="131">
        <f t="shared" si="214"/>
      </c>
      <c r="AH148" s="131">
        <f t="shared" si="214"/>
      </c>
      <c r="AI148" s="131">
        <f t="shared" si="214"/>
      </c>
      <c r="AJ148" s="952">
        <f t="shared" si="214"/>
      </c>
      <c r="AK148" s="131">
        <f t="shared" si="214"/>
      </c>
      <c r="AL148" s="131">
        <f t="shared" si="214"/>
      </c>
      <c r="AM148" s="131">
        <f t="shared" si="214"/>
      </c>
      <c r="AN148" s="131">
        <f t="shared" si="214"/>
      </c>
      <c r="AO148" s="952">
        <f t="shared" si="214"/>
      </c>
      <c r="AP148" s="131">
        <f t="shared" si="214"/>
      </c>
      <c r="AQ148" s="131">
        <f t="shared" si="214"/>
      </c>
      <c r="AR148" s="131">
        <f t="shared" si="214"/>
      </c>
      <c r="AS148" s="131">
        <f t="shared" si="214"/>
      </c>
      <c r="AT148" s="952">
        <f t="shared" si="214"/>
      </c>
      <c r="AU148" s="131">
        <f t="shared" si="214"/>
      </c>
      <c r="AV148" s="131">
        <f t="shared" si="214"/>
      </c>
      <c r="AW148" s="131">
        <f t="shared" si="214"/>
      </c>
      <c r="AX148" s="131">
        <f t="shared" ref="AX148:BD148" si="215">AX100</f>
      </c>
      <c r="AY148" s="952">
        <f t="shared" si="215"/>
      </c>
      <c r="AZ148" s="131">
        <f t="shared" si="215"/>
      </c>
      <c r="BA148" s="131">
        <f t="shared" si="215"/>
      </c>
      <c r="BB148" s="131">
        <f t="shared" si="215"/>
      </c>
      <c r="BC148" s="131">
        <f t="shared" si="215"/>
      </c>
      <c r="BD148" s="952">
        <f t="shared" si="215"/>
      </c>
      <c r="BE148" s="131">
        <f t="shared" ref="BE148:BI148" si="216">BE100</f>
      </c>
      <c r="BF148" s="131">
        <f t="shared" si="216"/>
      </c>
      <c r="BG148" s="131">
        <f t="shared" si="216"/>
      </c>
      <c r="BH148" s="131">
        <f t="shared" si="216"/>
      </c>
      <c r="BI148" s="952">
        <f t="shared" si="216"/>
      </c>
      <c r="BJ148" s="131">
        <f t="shared" ref="BJ148:BX148" si="217">BJ100</f>
      </c>
      <c r="BK148" s="131">
        <f t="shared" si="217"/>
      </c>
      <c r="BL148" s="131">
        <f t="shared" si="217"/>
      </c>
      <c r="BM148" s="131">
        <f t="shared" si="217"/>
      </c>
      <c r="BN148" s="952">
        <f t="shared" si="217"/>
      </c>
      <c r="BO148" s="204">
        <f t="shared" ref="BO148:BW148" si="218">BO100</f>
      </c>
      <c r="BP148" s="204">
        <f t="shared" si="218"/>
      </c>
      <c r="BQ148" s="204">
        <f t="shared" si="218"/>
      </c>
      <c r="BR148" s="204">
        <f t="shared" si="218"/>
      </c>
      <c r="BS148" s="950">
        <f t="shared" si="218"/>
      </c>
      <c r="BT148" s="294">
        <f>BT100</f>
      </c>
      <c r="BU148" s="204">
        <f t="shared" si="218"/>
      </c>
      <c r="BV148" s="204">
        <f t="shared" si="218"/>
      </c>
      <c r="BW148" s="204">
        <f t="shared" si="218"/>
      </c>
      <c r="BX148" s="950">
        <f t="shared" si="217"/>
      </c>
      <c r="BY148" s="204">
        <f t="shared" ref="BY148:CF148" si="219">BY100</f>
      </c>
      <c r="BZ148" s="204">
        <f t="shared" si="219"/>
      </c>
      <c r="CA148" s="204">
        <f t="shared" si="219"/>
      </c>
      <c r="CB148" s="204">
        <f t="shared" si="219"/>
      </c>
      <c r="CC148" s="950">
        <f t="shared" si="219"/>
      </c>
      <c r="CD148" s="950">
        <f t="shared" si="219"/>
      </c>
      <c r="CE148" s="950">
        <f t="shared" si="219"/>
      </c>
      <c r="CF148" s="950">
        <f t="shared" si="219"/>
      </c>
      <c r="CG148" s="131"/>
    </row>
    <row r="149" spans="1:85" x14ac:dyDescent="0.3">
      <c r="A149" s="201" t="str">
        <f>A120</f>
      </c>
      <c r="B149" s="246"/>
      <c r="C149" s="953"/>
      <c r="D149" s="953"/>
      <c r="E149" s="953"/>
      <c r="F149" s="953"/>
      <c r="G149" s="247"/>
      <c r="H149" s="247"/>
      <c r="I149" s="247"/>
      <c r="J149" s="247"/>
      <c r="K149" s="953"/>
      <c r="L149" s="247"/>
      <c r="M149" s="247"/>
      <c r="N149" s="247"/>
      <c r="O149" s="247"/>
      <c r="P149" s="953"/>
      <c r="Q149" s="247"/>
      <c r="R149" s="247"/>
      <c r="S149" s="247"/>
      <c r="T149" s="247"/>
      <c r="U149" s="953"/>
      <c r="V149" s="247"/>
      <c r="W149" s="247"/>
      <c r="X149" s="247"/>
      <c r="Y149" s="247"/>
      <c r="Z149" s="953"/>
      <c r="AA149" s="202">
        <f t="shared" ref="AA149:AW149" si="220">AA120</f>
      </c>
      <c r="AB149" s="202">
        <f t="shared" si="220"/>
      </c>
      <c r="AC149" s="202">
        <f t="shared" si="220"/>
      </c>
      <c r="AD149" s="202">
        <f t="shared" si="220"/>
      </c>
      <c r="AE149" s="954">
        <f t="shared" si="220"/>
      </c>
      <c r="AF149" s="202">
        <f t="shared" si="220"/>
      </c>
      <c r="AG149" s="202">
        <f t="shared" si="220"/>
      </c>
      <c r="AH149" s="202">
        <f t="shared" si="220"/>
      </c>
      <c r="AI149" s="202">
        <f t="shared" si="220"/>
      </c>
      <c r="AJ149" s="954">
        <f t="shared" si="220"/>
      </c>
      <c r="AK149" s="202">
        <f t="shared" si="220"/>
      </c>
      <c r="AL149" s="202">
        <f t="shared" si="220"/>
      </c>
      <c r="AM149" s="202">
        <f t="shared" si="220"/>
      </c>
      <c r="AN149" s="202">
        <f t="shared" si="220"/>
      </c>
      <c r="AO149" s="954">
        <f t="shared" si="220"/>
      </c>
      <c r="AP149" s="202">
        <f t="shared" si="220"/>
      </c>
      <c r="AQ149" s="202">
        <f t="shared" si="220"/>
      </c>
      <c r="AR149" s="202">
        <f t="shared" si="220"/>
      </c>
      <c r="AS149" s="202">
        <f t="shared" si="220"/>
      </c>
      <c r="AT149" s="954">
        <f t="shared" si="220"/>
      </c>
      <c r="AU149" s="202">
        <f t="shared" si="220"/>
      </c>
      <c r="AV149" s="202">
        <f t="shared" si="220"/>
      </c>
      <c r="AW149" s="202">
        <f t="shared" si="220"/>
      </c>
      <c r="AX149" s="202">
        <f t="shared" ref="AX149:BD149" si="221">AX120</f>
      </c>
      <c r="AY149" s="954">
        <f t="shared" si="221"/>
      </c>
      <c r="AZ149" s="202">
        <f t="shared" si="221"/>
      </c>
      <c r="BA149" s="202">
        <f t="shared" si="221"/>
      </c>
      <c r="BB149" s="202">
        <f t="shared" si="221"/>
      </c>
      <c r="BC149" s="202">
        <f t="shared" si="221"/>
      </c>
      <c r="BD149" s="954">
        <f t="shared" si="221"/>
      </c>
      <c r="BE149" s="202">
        <f t="shared" ref="BE149:BI149" si="222">BE120</f>
      </c>
      <c r="BF149" s="202">
        <f t="shared" si="222"/>
      </c>
      <c r="BG149" s="202">
        <f t="shared" si="222"/>
      </c>
      <c r="BH149" s="202">
        <f t="shared" si="222"/>
      </c>
      <c r="BI149" s="954">
        <f t="shared" si="222"/>
      </c>
      <c r="BJ149" s="202">
        <f t="shared" ref="BJ149:BX149" si="223">BJ120</f>
      </c>
      <c r="BK149" s="202">
        <f t="shared" si="223"/>
      </c>
      <c r="BL149" s="202">
        <f t="shared" si="223"/>
      </c>
      <c r="BM149" s="202">
        <f t="shared" si="223"/>
      </c>
      <c r="BN149" s="954">
        <f t="shared" si="223"/>
      </c>
      <c r="BO149" s="247">
        <f t="shared" ref="BO149:BW149" si="224">BO120</f>
      </c>
      <c r="BP149" s="247">
        <f t="shared" si="224"/>
      </c>
      <c r="BQ149" s="247">
        <f t="shared" si="224"/>
      </c>
      <c r="BR149" s="247">
        <f t="shared" si="224"/>
      </c>
      <c r="BS149" s="953">
        <f t="shared" si="224"/>
      </c>
      <c r="BT149" s="497">
        <f>BT120</f>
      </c>
      <c r="BU149" s="247">
        <f t="shared" si="224"/>
      </c>
      <c r="BV149" s="247">
        <f t="shared" si="224"/>
      </c>
      <c r="BW149" s="247">
        <f t="shared" si="224"/>
      </c>
      <c r="BX149" s="953">
        <f t="shared" si="223"/>
      </c>
      <c r="BY149" s="247">
        <f t="shared" ref="BY149:CF149" si="225">BY120</f>
      </c>
      <c r="BZ149" s="247">
        <f t="shared" si="225"/>
      </c>
      <c r="CA149" s="247">
        <f t="shared" si="225"/>
      </c>
      <c r="CB149" s="247">
        <f t="shared" si="225"/>
      </c>
      <c r="CC149" s="953">
        <f t="shared" si="225"/>
      </c>
      <c r="CD149" s="953">
        <f t="shared" si="225"/>
      </c>
      <c r="CE149" s="953">
        <f t="shared" si="225"/>
      </c>
      <c r="CF149" s="953">
        <f t="shared" si="225"/>
      </c>
      <c r="CG149" s="131"/>
    </row>
    <row r="150" spans="1:85" x14ac:dyDescent="0.3">
      <c r="A150" s="188" t="s">
        <v>610</v>
      </c>
      <c r="B150" s="245"/>
      <c r="C150" s="933"/>
      <c r="D150" s="933"/>
      <c r="E150" s="933"/>
      <c r="F150" s="933">
        <f t="shared" ref="F150:Z150" si="226">F143+F144</f>
      </c>
      <c r="G150" s="200">
        <f t="shared" si="226"/>
      </c>
      <c r="H150" s="200">
        <f t="shared" si="226"/>
      </c>
      <c r="I150" s="200">
        <f t="shared" si="226"/>
      </c>
      <c r="J150" s="200">
        <f t="shared" si="226"/>
      </c>
      <c r="K150" s="933">
        <f t="shared" si="226"/>
      </c>
      <c r="L150" s="200">
        <f t="shared" si="226"/>
      </c>
      <c r="M150" s="200">
        <f t="shared" si="226"/>
      </c>
      <c r="N150" s="200">
        <f t="shared" si="226"/>
      </c>
      <c r="O150" s="200">
        <f t="shared" si="226"/>
      </c>
      <c r="P150" s="933">
        <f t="shared" si="226"/>
      </c>
      <c r="Q150" s="200">
        <f t="shared" si="226"/>
      </c>
      <c r="R150" s="200">
        <f t="shared" si="226"/>
      </c>
      <c r="S150" s="200">
        <f t="shared" si="226"/>
      </c>
      <c r="T150" s="200">
        <f t="shared" si="226"/>
      </c>
      <c r="U150" s="933">
        <f t="shared" si="226"/>
      </c>
      <c r="V150" s="200">
        <f t="shared" si="226"/>
      </c>
      <c r="W150" s="200">
        <f t="shared" si="226"/>
      </c>
      <c r="X150" s="200">
        <f t="shared" si="226"/>
      </c>
      <c r="Y150" s="200">
        <f t="shared" si="226"/>
      </c>
      <c r="Z150" s="933">
        <f t="shared" si="226"/>
      </c>
      <c r="AA150" s="24">
        <f t="shared" ref="AA150:AW150" si="227">SUM(AA146:AA149)</f>
      </c>
      <c r="AB150" s="24">
        <f t="shared" si="227"/>
      </c>
      <c r="AC150" s="24">
        <f t="shared" si="227"/>
      </c>
      <c r="AD150" s="24">
        <f t="shared" si="227"/>
      </c>
      <c r="AE150" s="934">
        <f t="shared" si="227"/>
      </c>
      <c r="AF150" s="24">
        <f t="shared" si="227"/>
      </c>
      <c r="AG150" s="24">
        <f t="shared" si="227"/>
      </c>
      <c r="AH150" s="24">
        <f t="shared" si="227"/>
      </c>
      <c r="AI150" s="24">
        <f t="shared" si="227"/>
      </c>
      <c r="AJ150" s="934">
        <f t="shared" si="227"/>
      </c>
      <c r="AK150" s="24">
        <f t="shared" si="227"/>
      </c>
      <c r="AL150" s="24">
        <f t="shared" si="227"/>
      </c>
      <c r="AM150" s="24">
        <f t="shared" si="227"/>
      </c>
      <c r="AN150" s="24">
        <f t="shared" si="227"/>
      </c>
      <c r="AO150" s="934">
        <f t="shared" si="227"/>
      </c>
      <c r="AP150" s="24">
        <f t="shared" si="227"/>
      </c>
      <c r="AQ150" s="24">
        <f t="shared" si="227"/>
      </c>
      <c r="AR150" s="24">
        <f t="shared" si="227"/>
      </c>
      <c r="AS150" s="24">
        <f t="shared" si="227"/>
      </c>
      <c r="AT150" s="934">
        <f t="shared" si="227"/>
      </c>
      <c r="AU150" s="24">
        <f t="shared" si="227"/>
      </c>
      <c r="AV150" s="24">
        <f t="shared" si="227"/>
      </c>
      <c r="AW150" s="24">
        <f t="shared" si="227"/>
      </c>
      <c r="AX150" s="24">
        <f t="shared" ref="AX150:BD150" si="228">SUM(AX146:AX149)</f>
      </c>
      <c r="AY150" s="934">
        <f t="shared" si="228"/>
      </c>
      <c r="AZ150" s="24">
        <f t="shared" si="228"/>
      </c>
      <c r="BA150" s="24">
        <f t="shared" si="228"/>
      </c>
      <c r="BB150" s="24">
        <f t="shared" si="228"/>
      </c>
      <c r="BC150" s="24">
        <f t="shared" si="228"/>
      </c>
      <c r="BD150" s="934">
        <f t="shared" si="228"/>
      </c>
      <c r="BE150" s="24">
        <f t="shared" ref="BE150:BI150" si="229">SUM(BE146:BE149)</f>
      </c>
      <c r="BF150" s="24">
        <f t="shared" si="229"/>
      </c>
      <c r="BG150" s="24">
        <f t="shared" si="229"/>
      </c>
      <c r="BH150" s="24">
        <f t="shared" si="229"/>
      </c>
      <c r="BI150" s="934">
        <f t="shared" si="229"/>
      </c>
      <c r="BJ150" s="24">
        <f t="shared" ref="BJ150:BX150" si="230">SUM(BJ146:BJ149)</f>
      </c>
      <c r="BK150" s="24">
        <f t="shared" si="230"/>
      </c>
      <c r="BL150" s="24">
        <f t="shared" si="230"/>
      </c>
      <c r="BM150" s="24">
        <f t="shared" si="230"/>
      </c>
      <c r="BN150" s="934">
        <f t="shared" si="230"/>
      </c>
      <c r="BO150" s="24">
        <f t="shared" ref="BO150:BW150" si="231">SUM(BO146:BO149)</f>
      </c>
      <c r="BP150" s="24">
        <f t="shared" si="231"/>
      </c>
      <c r="BQ150" s="24">
        <f t="shared" si="231"/>
      </c>
      <c r="BR150" s="24">
        <f t="shared" si="231"/>
      </c>
      <c r="BS150" s="934">
        <f t="shared" si="231"/>
      </c>
      <c r="BT150" s="673">
        <f>SUM(BT146:BT149)</f>
      </c>
      <c r="BU150" s="200">
        <f t="shared" si="231"/>
      </c>
      <c r="BV150" s="200">
        <f t="shared" si="231"/>
      </c>
      <c r="BW150" s="200">
        <f t="shared" si="231"/>
      </c>
      <c r="BX150" s="933">
        <f t="shared" si="230"/>
      </c>
      <c r="BY150" s="200">
        <f t="shared" ref="BY150:CF150" si="232">SUM(BY146:BY149)</f>
      </c>
      <c r="BZ150" s="200">
        <f t="shared" si="232"/>
      </c>
      <c r="CA150" s="200">
        <f t="shared" si="232"/>
      </c>
      <c r="CB150" s="200">
        <f t="shared" si="232"/>
      </c>
      <c r="CC150" s="933">
        <f t="shared" si="232"/>
      </c>
      <c r="CD150" s="933">
        <f t="shared" si="232"/>
      </c>
      <c r="CE150" s="933">
        <f t="shared" si="232"/>
      </c>
      <c r="CF150" s="933">
        <f t="shared" si="232"/>
      </c>
      <c r="CG150" s="24"/>
    </row>
    <row r="151" spans="1:85" hidden="1" outlineLevel="1" x14ac:dyDescent="0.3">
      <c r="A151" s="244"/>
      <c r="B151" s="245"/>
      <c r="C151" s="933"/>
      <c r="D151" s="933"/>
      <c r="E151" s="933"/>
      <c r="F151" s="933"/>
      <c r="G151" s="200"/>
      <c r="H151" s="200"/>
      <c r="I151" s="200"/>
      <c r="J151" s="200"/>
      <c r="K151" s="933"/>
      <c r="L151" s="200"/>
      <c r="M151" s="200"/>
      <c r="N151" s="200"/>
      <c r="O151" s="200"/>
      <c r="P151" s="933"/>
      <c r="Q151" s="200"/>
      <c r="R151" s="200"/>
      <c r="S151" s="200"/>
      <c r="T151" s="200"/>
      <c r="U151" s="933"/>
      <c r="V151" s="200"/>
      <c r="W151" s="200"/>
      <c r="X151" s="200"/>
      <c r="Y151" s="200"/>
      <c r="Z151" s="933"/>
      <c r="AA151" s="200"/>
      <c r="AB151" s="200"/>
      <c r="AC151" s="200"/>
      <c r="AD151" s="200"/>
      <c r="AE151" s="933"/>
      <c r="AF151" s="200"/>
      <c r="AG151" s="200"/>
      <c r="AH151" s="200"/>
      <c r="AI151" s="200"/>
      <c r="AJ151" s="933"/>
      <c r="AK151" s="200"/>
      <c r="AL151" s="200"/>
      <c r="AM151" s="200"/>
      <c r="AN151" s="200"/>
      <c r="AO151" s="933"/>
      <c r="AP151" s="200"/>
      <c r="AQ151" s="200"/>
      <c r="AR151" s="200"/>
      <c r="AS151" s="200"/>
      <c r="AT151" s="933"/>
      <c r="AU151" s="200"/>
      <c r="AV151" s="200"/>
      <c r="AW151" s="200"/>
      <c r="AX151" s="200"/>
      <c r="AY151" s="933"/>
      <c r="AZ151" s="200"/>
      <c r="BA151" s="200"/>
      <c r="BB151" s="200"/>
      <c r="BC151" s="200"/>
      <c r="BD151" s="933"/>
      <c r="BE151" s="200"/>
      <c r="BF151" s="200"/>
      <c r="BG151" s="200"/>
      <c r="BH151" s="200"/>
      <c r="BI151" s="933"/>
      <c r="BJ151" s="200"/>
      <c r="BK151" s="200"/>
      <c r="BL151" s="200"/>
      <c r="BM151" s="200"/>
      <c r="BN151" s="933"/>
      <c r="BO151" s="200"/>
      <c r="BP151" s="200"/>
      <c r="BQ151" s="200"/>
      <c r="BR151" s="200"/>
      <c r="BS151" s="933"/>
      <c r="BT151" s="295"/>
      <c r="BU151" s="200"/>
      <c r="BV151" s="200"/>
      <c r="BW151" s="200"/>
      <c r="BX151" s="933"/>
      <c r="BY151" s="200"/>
      <c r="BZ151" s="200"/>
      <c r="CA151" s="200"/>
      <c r="CB151" s="200"/>
      <c r="CC151" s="933"/>
      <c r="CD151" s="933"/>
      <c r="CE151" s="933"/>
      <c r="CF151" s="933"/>
      <c r="CG151" s="24"/>
    </row>
    <row r="152" spans="1:85" s="590" customFormat="1" hidden="1" outlineLevel="2" x14ac:dyDescent="0.3">
      <c r="A152" s="60" t="s">
        <v>575</v>
      </c>
      <c r="B152" s="251"/>
      <c r="C152" s="973"/>
      <c r="D152" s="973"/>
      <c r="E152" s="973"/>
      <c r="F152" s="973">
        <f t="shared" ref="F152:Z152" si="233">F143/F150</f>
      </c>
      <c r="G152" s="59">
        <f t="shared" si="233"/>
      </c>
      <c r="H152" s="59">
        <f t="shared" si="233"/>
      </c>
      <c r="I152" s="59">
        <f t="shared" si="233"/>
      </c>
      <c r="J152" s="59">
        <f t="shared" si="233"/>
      </c>
      <c r="K152" s="973">
        <f t="shared" si="233"/>
      </c>
      <c r="L152" s="59">
        <f t="shared" si="233"/>
      </c>
      <c r="M152" s="59">
        <f t="shared" si="233"/>
      </c>
      <c r="N152" s="59">
        <f t="shared" si="233"/>
      </c>
      <c r="O152" s="59">
        <f t="shared" si="233"/>
      </c>
      <c r="P152" s="973">
        <f t="shared" si="233"/>
      </c>
      <c r="Q152" s="59">
        <f t="shared" si="233"/>
      </c>
      <c r="R152" s="59">
        <f t="shared" si="233"/>
      </c>
      <c r="S152" s="59">
        <f t="shared" si="233"/>
      </c>
      <c r="T152" s="59">
        <f t="shared" si="233"/>
      </c>
      <c r="U152" s="973">
        <f t="shared" si="233"/>
      </c>
      <c r="V152" s="59">
        <f t="shared" si="233"/>
      </c>
      <c r="W152" s="59">
        <f t="shared" si="233"/>
      </c>
      <c r="X152" s="59">
        <f t="shared" si="233"/>
      </c>
      <c r="Y152" s="59">
        <f t="shared" si="233"/>
      </c>
      <c r="Z152" s="973">
        <f t="shared" si="233"/>
      </c>
      <c r="AA152" s="59"/>
      <c r="AB152" s="59"/>
      <c r="AC152" s="59"/>
      <c r="AD152" s="59"/>
      <c r="AE152" s="973"/>
      <c r="AF152" s="59"/>
      <c r="AG152" s="59"/>
      <c r="AH152" s="59"/>
      <c r="AI152" s="59"/>
      <c r="AJ152" s="973"/>
      <c r="AK152" s="59"/>
      <c r="AL152" s="59"/>
      <c r="AM152" s="59"/>
      <c r="AN152" s="59"/>
      <c r="AO152" s="973"/>
      <c r="AP152" s="59"/>
      <c r="AQ152" s="59"/>
      <c r="AR152" s="59"/>
      <c r="AS152" s="59"/>
      <c r="AT152" s="973"/>
      <c r="AU152" s="59"/>
      <c r="AV152" s="59"/>
      <c r="AW152" s="59"/>
      <c r="AX152" s="59"/>
      <c r="AY152" s="973"/>
      <c r="AZ152" s="59"/>
      <c r="BA152" s="59"/>
      <c r="BB152" s="59"/>
      <c r="BC152" s="59"/>
      <c r="BD152" s="973"/>
      <c r="BE152" s="59"/>
      <c r="BF152" s="59"/>
      <c r="BG152" s="59"/>
      <c r="BH152" s="59"/>
      <c r="BI152" s="973"/>
      <c r="BJ152" s="59"/>
      <c r="BK152" s="59"/>
      <c r="BL152" s="59"/>
      <c r="BM152" s="59"/>
      <c r="BN152" s="973"/>
      <c r="BO152" s="59"/>
      <c r="BP152" s="59"/>
      <c r="BQ152" s="59"/>
      <c r="BR152" s="59"/>
      <c r="BS152" s="973"/>
      <c r="BT152" s="675"/>
      <c r="BU152" s="59"/>
      <c r="BV152" s="59"/>
      <c r="BW152" s="59"/>
      <c r="BX152" s="973"/>
      <c r="BY152" s="59"/>
      <c r="BZ152" s="59"/>
      <c r="CA152" s="59"/>
      <c r="CB152" s="59"/>
      <c r="CC152" s="973"/>
      <c r="CD152" s="973"/>
      <c r="CE152" s="973"/>
      <c r="CF152" s="973"/>
      <c r="CG152" s="8"/>
    </row>
    <row r="153" spans="1:85" s="590" customFormat="1" hidden="1" outlineLevel="2" x14ac:dyDescent="0.3">
      <c r="A153" s="65" t="s">
        <v>571</v>
      </c>
      <c r="B153" s="251"/>
      <c r="C153" s="973"/>
      <c r="D153" s="973"/>
      <c r="E153" s="973"/>
      <c r="F153" s="973">
        <f t="shared" ref="F153:AO153" si="234">F144/F$150</f>
      </c>
      <c r="G153" s="59">
        <f t="shared" si="234"/>
      </c>
      <c r="H153" s="59">
        <f t="shared" si="234"/>
      </c>
      <c r="I153" s="59">
        <f t="shared" si="234"/>
      </c>
      <c r="J153" s="59">
        <f t="shared" si="234"/>
      </c>
      <c r="K153" s="973">
        <f t="shared" si="234"/>
      </c>
      <c r="L153" s="59">
        <f t="shared" si="234"/>
      </c>
      <c r="M153" s="59">
        <f t="shared" si="234"/>
      </c>
      <c r="N153" s="59">
        <f t="shared" si="234"/>
      </c>
      <c r="O153" s="59">
        <f t="shared" si="234"/>
      </c>
      <c r="P153" s="973">
        <f t="shared" si="234"/>
      </c>
      <c r="Q153" s="59">
        <f t="shared" si="234"/>
      </c>
      <c r="R153" s="59">
        <f t="shared" si="234"/>
      </c>
      <c r="S153" s="59">
        <f t="shared" si="234"/>
      </c>
      <c r="T153" s="59">
        <f t="shared" si="234"/>
      </c>
      <c r="U153" s="973">
        <f t="shared" si="234"/>
      </c>
      <c r="V153" s="59">
        <f t="shared" si="234"/>
      </c>
      <c r="W153" s="59">
        <f t="shared" si="234"/>
      </c>
      <c r="X153" s="59">
        <f t="shared" si="234"/>
      </c>
      <c r="Y153" s="59">
        <f t="shared" si="234"/>
      </c>
      <c r="Z153" s="973">
        <f t="shared" si="234"/>
      </c>
      <c r="AA153" s="8">
        <f t="shared" si="234"/>
      </c>
      <c r="AB153" s="8">
        <f t="shared" si="234"/>
      </c>
      <c r="AC153" s="8">
        <f t="shared" si="234"/>
      </c>
      <c r="AD153" s="8">
        <f t="shared" si="234"/>
      </c>
      <c r="AE153" s="974">
        <f t="shared" si="234"/>
      </c>
      <c r="AF153" s="8">
        <f t="shared" si="234"/>
      </c>
      <c r="AG153" s="8">
        <f t="shared" si="234"/>
      </c>
      <c r="AH153" s="8">
        <f t="shared" si="234"/>
      </c>
      <c r="AI153" s="8">
        <f t="shared" si="234"/>
      </c>
      <c r="AJ153" s="974">
        <f t="shared" si="234"/>
      </c>
      <c r="AK153" s="8">
        <f t="shared" si="234"/>
      </c>
      <c r="AL153" s="8">
        <f t="shared" si="234"/>
      </c>
      <c r="AM153" s="8">
        <f t="shared" si="234"/>
      </c>
      <c r="AN153" s="8">
        <f t="shared" si="234"/>
      </c>
      <c r="AO153" s="974">
        <f t="shared" si="234"/>
      </c>
      <c r="AP153" s="59"/>
      <c r="AQ153" s="59"/>
      <c r="AR153" s="59"/>
      <c r="AS153" s="59"/>
      <c r="AT153" s="973"/>
      <c r="AU153" s="59"/>
      <c r="AV153" s="59"/>
      <c r="AW153" s="59"/>
      <c r="AX153" s="59"/>
      <c r="AY153" s="973"/>
      <c r="AZ153" s="59"/>
      <c r="BA153" s="59"/>
      <c r="BB153" s="59"/>
      <c r="BC153" s="59"/>
      <c r="BD153" s="973"/>
      <c r="BE153" s="59"/>
      <c r="BF153" s="59"/>
      <c r="BG153" s="59"/>
      <c r="BH153" s="59"/>
      <c r="BI153" s="973"/>
      <c r="BJ153" s="59"/>
      <c r="BK153" s="59"/>
      <c r="BL153" s="59"/>
      <c r="BM153" s="59"/>
      <c r="BN153" s="973"/>
      <c r="BO153" s="59"/>
      <c r="BP153" s="59"/>
      <c r="BQ153" s="59"/>
      <c r="BR153" s="59"/>
      <c r="BS153" s="973"/>
      <c r="BT153" s="675"/>
      <c r="BU153" s="59"/>
      <c r="BV153" s="59"/>
      <c r="BW153" s="59"/>
      <c r="BX153" s="973"/>
      <c r="BY153" s="59"/>
      <c r="BZ153" s="59"/>
      <c r="CA153" s="59"/>
      <c r="CB153" s="59"/>
      <c r="CC153" s="973"/>
      <c r="CD153" s="973"/>
      <c r="CE153" s="973"/>
      <c r="CF153" s="973"/>
      <c r="CG153" s="8"/>
    </row>
    <row r="154" spans="1:85" s="590" customFormat="1" hidden="1" outlineLevel="2" x14ac:dyDescent="0.3">
      <c r="A154" s="7" t="s">
        <v>572</v>
      </c>
      <c r="B154" s="253"/>
      <c r="C154" s="975"/>
      <c r="D154" s="975"/>
      <c r="E154" s="975"/>
      <c r="F154" s="975"/>
      <c r="G154" s="157"/>
      <c r="H154" s="157"/>
      <c r="I154" s="157"/>
      <c r="J154" s="157"/>
      <c r="K154" s="975"/>
      <c r="L154" s="157"/>
      <c r="M154" s="157"/>
      <c r="N154" s="157"/>
      <c r="O154" s="157"/>
      <c r="P154" s="975"/>
      <c r="Q154" s="157"/>
      <c r="R154" s="157"/>
      <c r="S154" s="157"/>
      <c r="T154" s="157"/>
      <c r="U154" s="975"/>
      <c r="V154" s="157"/>
      <c r="W154" s="157"/>
      <c r="X154" s="157"/>
      <c r="Y154" s="157"/>
      <c r="Z154" s="975"/>
      <c r="AA154" s="156">
        <f t="shared" ref="AA154:AO154" si="235">AA145/AA$150</f>
      </c>
      <c r="AB154" s="156">
        <f t="shared" si="235"/>
      </c>
      <c r="AC154" s="156">
        <f t="shared" si="235"/>
      </c>
      <c r="AD154" s="156">
        <f t="shared" si="235"/>
      </c>
      <c r="AE154" s="976">
        <f t="shared" si="235"/>
      </c>
      <c r="AF154" s="156">
        <f t="shared" si="235"/>
      </c>
      <c r="AG154" s="156">
        <f t="shared" si="235"/>
      </c>
      <c r="AH154" s="156">
        <f t="shared" si="235"/>
      </c>
      <c r="AI154" s="156">
        <f t="shared" si="235"/>
      </c>
      <c r="AJ154" s="976">
        <f t="shared" si="235"/>
      </c>
      <c r="AK154" s="156">
        <f t="shared" si="235"/>
      </c>
      <c r="AL154" s="156">
        <f t="shared" si="235"/>
      </c>
      <c r="AM154" s="156">
        <f t="shared" si="235"/>
      </c>
      <c r="AN154" s="156">
        <f t="shared" si="235"/>
      </c>
      <c r="AO154" s="976">
        <f t="shared" si="235"/>
      </c>
      <c r="AP154" s="157"/>
      <c r="AQ154" s="157"/>
      <c r="AR154" s="157"/>
      <c r="AS154" s="157"/>
      <c r="AT154" s="975"/>
      <c r="AU154" s="157"/>
      <c r="AV154" s="157"/>
      <c r="AW154" s="157"/>
      <c r="AX154" s="157"/>
      <c r="AY154" s="975"/>
      <c r="AZ154" s="157"/>
      <c r="BA154" s="157"/>
      <c r="BB154" s="157"/>
      <c r="BC154" s="157"/>
      <c r="BD154" s="975"/>
      <c r="BE154" s="157"/>
      <c r="BF154" s="157"/>
      <c r="BG154" s="157"/>
      <c r="BH154" s="157"/>
      <c r="BI154" s="975"/>
      <c r="BJ154" s="157"/>
      <c r="BK154" s="157"/>
      <c r="BL154" s="157"/>
      <c r="BM154" s="157"/>
      <c r="BN154" s="975"/>
      <c r="BO154" s="157"/>
      <c r="BP154" s="157"/>
      <c r="BQ154" s="157"/>
      <c r="BR154" s="157"/>
      <c r="BS154" s="975"/>
      <c r="BT154" s="676"/>
      <c r="BU154" s="157"/>
      <c r="BV154" s="157"/>
      <c r="BW154" s="157"/>
      <c r="BX154" s="975"/>
      <c r="BY154" s="157"/>
      <c r="BZ154" s="157"/>
      <c r="CA154" s="157"/>
      <c r="CB154" s="157"/>
      <c r="CC154" s="975"/>
      <c r="CD154" s="975"/>
      <c r="CE154" s="975"/>
      <c r="CF154" s="975"/>
      <c r="CG154" s="8"/>
    </row>
    <row r="155" spans="1:85" s="590" customFormat="1" hidden="1" outlineLevel="1" collapsed="1" x14ac:dyDescent="0.3">
      <c r="A155" s="60" t="s">
        <v>683</v>
      </c>
      <c r="B155" s="251"/>
      <c r="C155" s="973"/>
      <c r="D155" s="973"/>
      <c r="E155" s="973"/>
      <c r="F155" s="973"/>
      <c r="G155" s="59"/>
      <c r="H155" s="59"/>
      <c r="I155" s="59"/>
      <c r="J155" s="59"/>
      <c r="K155" s="973"/>
      <c r="L155" s="59"/>
      <c r="M155" s="59"/>
      <c r="N155" s="59"/>
      <c r="O155" s="59"/>
      <c r="P155" s="973"/>
      <c r="Q155" s="59"/>
      <c r="R155" s="59"/>
      <c r="S155" s="59"/>
      <c r="T155" s="59"/>
      <c r="U155" s="973"/>
      <c r="V155" s="59"/>
      <c r="W155" s="59"/>
      <c r="X155" s="59"/>
      <c r="Y155" s="59"/>
      <c r="Z155" s="973"/>
      <c r="AA155" s="8">
        <f t="shared" ref="AA155:AO155" si="236">AA146/AA$150</f>
      </c>
      <c r="AB155" s="8">
        <f t="shared" si="236"/>
      </c>
      <c r="AC155" s="8">
        <f t="shared" si="236"/>
      </c>
      <c r="AD155" s="8">
        <f t="shared" si="236"/>
      </c>
      <c r="AE155" s="974">
        <f t="shared" si="236"/>
      </c>
      <c r="AF155" s="8">
        <f t="shared" si="236"/>
      </c>
      <c r="AG155" s="8">
        <f t="shared" si="236"/>
      </c>
      <c r="AH155" s="8">
        <f t="shared" si="236"/>
      </c>
      <c r="AI155" s="8">
        <f t="shared" si="236"/>
      </c>
      <c r="AJ155" s="974">
        <f t="shared" si="236"/>
      </c>
      <c r="AK155" s="8">
        <f t="shared" si="236"/>
      </c>
      <c r="AL155" s="8">
        <f t="shared" si="236"/>
      </c>
      <c r="AM155" s="8">
        <f t="shared" si="236"/>
      </c>
      <c r="AN155" s="8">
        <f t="shared" si="236"/>
      </c>
      <c r="AO155" s="974">
        <f t="shared" si="236"/>
      </c>
      <c r="AP155" s="8">
        <f t="shared" ref="AP155:AW155" si="237">AP146/AP$150</f>
      </c>
      <c r="AQ155" s="8">
        <f t="shared" si="237"/>
      </c>
      <c r="AR155" s="8">
        <f t="shared" si="237"/>
      </c>
      <c r="AS155" s="8">
        <f t="shared" si="237"/>
      </c>
      <c r="AT155" s="974">
        <f t="shared" si="237"/>
      </c>
      <c r="AU155" s="8">
        <f t="shared" si="237"/>
      </c>
      <c r="AV155" s="8">
        <f t="shared" si="237"/>
      </c>
      <c r="AW155" s="8">
        <f t="shared" si="237"/>
      </c>
      <c r="AX155" s="8">
        <f t="shared" ref="AX155:AY158" si="238">AX146/AX$150</f>
      </c>
      <c r="AY155" s="974">
        <f t="shared" si="238"/>
      </c>
      <c r="AZ155" s="8">
        <f t="shared" ref="AZ155:BA158" si="239">AZ146/AZ$150</f>
      </c>
      <c r="BA155" s="8">
        <f t="shared" si="239"/>
      </c>
      <c r="BB155" s="8">
        <f t="shared" ref="BB155:BD158" si="240">BB146/BB$150</f>
      </c>
      <c r="BC155" s="8">
        <f t="shared" si="240"/>
      </c>
      <c r="BD155" s="974">
        <f t="shared" si="240"/>
      </c>
      <c r="BE155" s="8">
        <f t="shared" ref="BE155:BF158" si="241">BE146/BE$150</f>
      </c>
      <c r="BF155" s="8">
        <f t="shared" si="241"/>
      </c>
      <c r="BG155" s="8">
        <f t="shared" ref="BG155:BI158" si="242">BG146/BG$150</f>
      </c>
      <c r="BH155" s="8">
        <f t="shared" si="242"/>
      </c>
      <c r="BI155" s="974">
        <f t="shared" si="242"/>
      </c>
      <c r="BJ155" s="8">
        <f t="shared" ref="BJ155:BK158" si="243">BJ146/BJ$150</f>
      </c>
      <c r="BK155" s="8">
        <f t="shared" si="243"/>
      </c>
      <c r="BL155" s="8">
        <f t="shared" ref="BL155:BN158" si="244">BL146/BL$150</f>
      </c>
      <c r="BM155" s="8">
        <f t="shared" si="244"/>
      </c>
      <c r="BN155" s="974">
        <f t="shared" si="244"/>
      </c>
      <c r="BO155" s="8">
        <f t="shared" ref="BO155:BP158" si="245">BO146/BO$150</f>
      </c>
      <c r="BP155" s="8">
        <f t="shared" si="245"/>
      </c>
      <c r="BQ155" s="8">
        <f t="shared" ref="BQ155:BW158" si="246">BQ146/BQ$150</f>
      </c>
      <c r="BR155" s="8">
        <f t="shared" si="246"/>
      </c>
      <c r="BS155" s="974">
        <f t="shared" si="246"/>
      </c>
      <c r="BT155" s="677">
        <f>BT146/BT$150</f>
      </c>
      <c r="BU155" s="59">
        <f t="shared" si="246"/>
      </c>
      <c r="BV155" s="59">
        <f t="shared" si="246"/>
      </c>
      <c r="BW155" s="59">
        <f t="shared" si="246"/>
      </c>
      <c r="BX155" s="973">
        <f t="shared" ref="BX155:BX158" si="247">BX146/BX$150</f>
      </c>
      <c r="BY155" s="59">
        <f t="shared" ref="BY155:CF158" si="248">BY146/BY$150</f>
      </c>
      <c r="BZ155" s="59">
        <f t="shared" si="248"/>
      </c>
      <c r="CA155" s="59">
        <f t="shared" si="248"/>
      </c>
      <c r="CB155" s="59">
        <f t="shared" si="248"/>
      </c>
      <c r="CC155" s="973">
        <f t="shared" si="248"/>
      </c>
      <c r="CD155" s="973">
        <f t="shared" si="248"/>
      </c>
      <c r="CE155" s="973">
        <f t="shared" si="248"/>
      </c>
      <c r="CF155" s="973">
        <f t="shared" si="248"/>
      </c>
      <c r="CG155" s="8"/>
    </row>
    <row r="156" spans="1:85" s="590" customFormat="1" hidden="1" outlineLevel="1" x14ac:dyDescent="0.3">
      <c r="A156" s="262" t="s">
        <v>684</v>
      </c>
      <c r="B156" s="251"/>
      <c r="C156" s="973"/>
      <c r="D156" s="973"/>
      <c r="E156" s="973"/>
      <c r="F156" s="973"/>
      <c r="G156" s="59"/>
      <c r="H156" s="59"/>
      <c r="I156" s="59"/>
      <c r="J156" s="59"/>
      <c r="K156" s="973"/>
      <c r="L156" s="59"/>
      <c r="M156" s="59"/>
      <c r="N156" s="59"/>
      <c r="O156" s="59"/>
      <c r="P156" s="973"/>
      <c r="Q156" s="59"/>
      <c r="R156" s="59"/>
      <c r="S156" s="59"/>
      <c r="T156" s="59"/>
      <c r="U156" s="973"/>
      <c r="V156" s="59"/>
      <c r="W156" s="59"/>
      <c r="X156" s="59"/>
      <c r="Y156" s="59"/>
      <c r="Z156" s="973"/>
      <c r="AA156" s="59">
        <f t="shared" ref="AA156:AO156" si="249">AA147/AA$150</f>
      </c>
      <c r="AB156" s="59">
        <f t="shared" si="249"/>
      </c>
      <c r="AC156" s="59">
        <f t="shared" si="249"/>
      </c>
      <c r="AD156" s="59">
        <f t="shared" si="249"/>
      </c>
      <c r="AE156" s="973">
        <f t="shared" si="249"/>
      </c>
      <c r="AF156" s="59">
        <f t="shared" si="249"/>
      </c>
      <c r="AG156" s="59">
        <f t="shared" si="249"/>
      </c>
      <c r="AH156" s="59">
        <f t="shared" si="249"/>
      </c>
      <c r="AI156" s="59">
        <f t="shared" si="249"/>
      </c>
      <c r="AJ156" s="973">
        <f t="shared" si="249"/>
      </c>
      <c r="AK156" s="59">
        <f t="shared" si="249"/>
      </c>
      <c r="AL156" s="59">
        <f t="shared" si="249"/>
      </c>
      <c r="AM156" s="59">
        <f t="shared" si="249"/>
      </c>
      <c r="AN156" s="59">
        <f t="shared" si="249"/>
      </c>
      <c r="AO156" s="973">
        <f t="shared" si="249"/>
      </c>
      <c r="AP156" s="59">
        <f t="shared" ref="AP156:AW156" si="250">AP147/AP$150</f>
      </c>
      <c r="AQ156" s="59">
        <f t="shared" si="250"/>
      </c>
      <c r="AR156" s="59">
        <f t="shared" si="250"/>
      </c>
      <c r="AS156" s="59">
        <f t="shared" si="250"/>
      </c>
      <c r="AT156" s="973">
        <f t="shared" si="250"/>
      </c>
      <c r="AU156" s="59">
        <f t="shared" si="250"/>
      </c>
      <c r="AV156" s="59">
        <f t="shared" si="250"/>
      </c>
      <c r="AW156" s="59">
        <f t="shared" si="250"/>
      </c>
      <c r="AX156" s="59">
        <f t="shared" si="238"/>
      </c>
      <c r="AY156" s="973">
        <f t="shared" si="238"/>
      </c>
      <c r="AZ156" s="59">
        <f t="shared" si="239"/>
      </c>
      <c r="BA156" s="59">
        <f t="shared" si="239"/>
      </c>
      <c r="BB156" s="59">
        <f t="shared" si="240"/>
      </c>
      <c r="BC156" s="59">
        <f t="shared" si="240"/>
      </c>
      <c r="BD156" s="973">
        <f t="shared" si="240"/>
      </c>
      <c r="BE156" s="59">
        <f t="shared" si="241"/>
      </c>
      <c r="BF156" s="59">
        <f t="shared" si="241"/>
      </c>
      <c r="BG156" s="59">
        <f t="shared" si="242"/>
      </c>
      <c r="BH156" s="59">
        <f t="shared" si="242"/>
      </c>
      <c r="BI156" s="973">
        <f t="shared" si="242"/>
      </c>
      <c r="BJ156" s="59">
        <f t="shared" si="243"/>
      </c>
      <c r="BK156" s="59">
        <f t="shared" si="243"/>
      </c>
      <c r="BL156" s="59">
        <f t="shared" si="244"/>
      </c>
      <c r="BM156" s="59">
        <f t="shared" si="244"/>
      </c>
      <c r="BN156" s="973">
        <f t="shared" si="244"/>
      </c>
      <c r="BO156" s="59">
        <f t="shared" si="245"/>
      </c>
      <c r="BP156" s="59">
        <f t="shared" si="245"/>
      </c>
      <c r="BQ156" s="59">
        <f t="shared" si="246"/>
      </c>
      <c r="BR156" s="59">
        <f t="shared" si="246"/>
      </c>
      <c r="BS156" s="973">
        <f t="shared" si="246"/>
      </c>
      <c r="BT156" s="675">
        <f>BT147/BT$150</f>
      </c>
      <c r="BU156" s="59">
        <f t="shared" si="246"/>
      </c>
      <c r="BV156" s="59">
        <f t="shared" si="246"/>
      </c>
      <c r="BW156" s="59">
        <f t="shared" si="246"/>
      </c>
      <c r="BX156" s="973">
        <f t="shared" si="247"/>
      </c>
      <c r="BY156" s="59">
        <f t="shared" si="248"/>
      </c>
      <c r="BZ156" s="59">
        <f t="shared" si="248"/>
      </c>
      <c r="CA156" s="59">
        <f t="shared" si="248"/>
      </c>
      <c r="CB156" s="59">
        <f t="shared" si="248"/>
      </c>
      <c r="CC156" s="973">
        <f t="shared" si="248"/>
      </c>
      <c r="CD156" s="973">
        <f t="shared" si="248"/>
      </c>
      <c r="CE156" s="973">
        <f t="shared" si="248"/>
      </c>
      <c r="CF156" s="973">
        <f t="shared" si="248"/>
      </c>
      <c r="CG156" s="8"/>
    </row>
    <row r="157" spans="1:85" s="590" customFormat="1" hidden="1" outlineLevel="1" x14ac:dyDescent="0.3">
      <c r="A157" s="262" t="s">
        <v>685</v>
      </c>
      <c r="B157" s="251"/>
      <c r="C157" s="973"/>
      <c r="D157" s="973"/>
      <c r="E157" s="973"/>
      <c r="F157" s="973"/>
      <c r="G157" s="59"/>
      <c r="H157" s="59"/>
      <c r="I157" s="59"/>
      <c r="J157" s="59"/>
      <c r="K157" s="973"/>
      <c r="L157" s="59"/>
      <c r="M157" s="59"/>
      <c r="N157" s="59"/>
      <c r="O157" s="59"/>
      <c r="P157" s="973"/>
      <c r="Q157" s="59"/>
      <c r="R157" s="59"/>
      <c r="S157" s="59"/>
      <c r="T157" s="59"/>
      <c r="U157" s="973"/>
      <c r="V157" s="59"/>
      <c r="W157" s="59"/>
      <c r="X157" s="59"/>
      <c r="Y157" s="59"/>
      <c r="Z157" s="973"/>
      <c r="AA157" s="59">
        <f t="shared" ref="AA157:AO157" si="251">AA148/AA$150</f>
      </c>
      <c r="AB157" s="59">
        <f t="shared" si="251"/>
      </c>
      <c r="AC157" s="59">
        <f t="shared" si="251"/>
      </c>
      <c r="AD157" s="59">
        <f t="shared" si="251"/>
      </c>
      <c r="AE157" s="973">
        <f t="shared" si="251"/>
      </c>
      <c r="AF157" s="59">
        <f t="shared" si="251"/>
      </c>
      <c r="AG157" s="59">
        <f t="shared" si="251"/>
      </c>
      <c r="AH157" s="59">
        <f t="shared" si="251"/>
      </c>
      <c r="AI157" s="59">
        <f t="shared" si="251"/>
      </c>
      <c r="AJ157" s="973">
        <f t="shared" si="251"/>
      </c>
      <c r="AK157" s="59">
        <f t="shared" si="251"/>
      </c>
      <c r="AL157" s="59">
        <f t="shared" si="251"/>
      </c>
      <c r="AM157" s="59">
        <f t="shared" si="251"/>
      </c>
      <c r="AN157" s="59">
        <f t="shared" si="251"/>
      </c>
      <c r="AO157" s="973">
        <f t="shared" si="251"/>
      </c>
      <c r="AP157" s="59">
        <f t="shared" ref="AP157:AW157" si="252">AP148/AP$150</f>
      </c>
      <c r="AQ157" s="59">
        <f t="shared" si="252"/>
      </c>
      <c r="AR157" s="59">
        <f t="shared" si="252"/>
      </c>
      <c r="AS157" s="59">
        <f t="shared" si="252"/>
      </c>
      <c r="AT157" s="973">
        <f t="shared" si="252"/>
      </c>
      <c r="AU157" s="59">
        <f t="shared" si="252"/>
      </c>
      <c r="AV157" s="59">
        <f t="shared" si="252"/>
      </c>
      <c r="AW157" s="59">
        <f t="shared" si="252"/>
      </c>
      <c r="AX157" s="59">
        <f t="shared" si="238"/>
      </c>
      <c r="AY157" s="973">
        <f t="shared" si="238"/>
      </c>
      <c r="AZ157" s="59">
        <f t="shared" si="239"/>
      </c>
      <c r="BA157" s="59">
        <f t="shared" si="239"/>
      </c>
      <c r="BB157" s="59">
        <f t="shared" si="240"/>
      </c>
      <c r="BC157" s="59">
        <f t="shared" si="240"/>
      </c>
      <c r="BD157" s="973">
        <f t="shared" si="240"/>
      </c>
      <c r="BE157" s="59">
        <f t="shared" si="241"/>
      </c>
      <c r="BF157" s="59">
        <f t="shared" si="241"/>
      </c>
      <c r="BG157" s="59">
        <f t="shared" si="242"/>
      </c>
      <c r="BH157" s="59">
        <f t="shared" si="242"/>
      </c>
      <c r="BI157" s="973">
        <f t="shared" si="242"/>
      </c>
      <c r="BJ157" s="59">
        <f t="shared" si="243"/>
      </c>
      <c r="BK157" s="59">
        <f t="shared" si="243"/>
      </c>
      <c r="BL157" s="59">
        <f t="shared" si="244"/>
      </c>
      <c r="BM157" s="59">
        <f t="shared" si="244"/>
      </c>
      <c r="BN157" s="973">
        <f t="shared" si="244"/>
      </c>
      <c r="BO157" s="59">
        <f t="shared" si="245"/>
      </c>
      <c r="BP157" s="59">
        <f t="shared" si="245"/>
      </c>
      <c r="BQ157" s="59">
        <f t="shared" si="246"/>
      </c>
      <c r="BR157" s="59">
        <f t="shared" si="246"/>
      </c>
      <c r="BS157" s="973">
        <f t="shared" si="246"/>
      </c>
      <c r="BT157" s="675">
        <f>BT148/BT$150</f>
      </c>
      <c r="BU157" s="59">
        <f t="shared" si="246"/>
      </c>
      <c r="BV157" s="59">
        <f t="shared" si="246"/>
      </c>
      <c r="BW157" s="59">
        <f t="shared" si="246"/>
      </c>
      <c r="BX157" s="973">
        <f t="shared" si="247"/>
      </c>
      <c r="BY157" s="59">
        <f t="shared" si="248"/>
      </c>
      <c r="BZ157" s="59">
        <f t="shared" si="248"/>
      </c>
      <c r="CA157" s="59">
        <f t="shared" si="248"/>
      </c>
      <c r="CB157" s="59">
        <f t="shared" si="248"/>
      </c>
      <c r="CC157" s="973">
        <f t="shared" si="248"/>
      </c>
      <c r="CD157" s="973">
        <f t="shared" si="248"/>
      </c>
      <c r="CE157" s="973">
        <f t="shared" si="248"/>
      </c>
      <c r="CF157" s="973">
        <f t="shared" si="248"/>
      </c>
      <c r="CG157" s="8"/>
    </row>
    <row r="158" spans="1:85" s="590" customFormat="1" hidden="1" outlineLevel="1" x14ac:dyDescent="0.3">
      <c r="A158" s="324" t="s">
        <v>686</v>
      </c>
      <c r="B158" s="253"/>
      <c r="C158" s="975"/>
      <c r="D158" s="975"/>
      <c r="E158" s="975"/>
      <c r="F158" s="975"/>
      <c r="G158" s="157"/>
      <c r="H158" s="157"/>
      <c r="I158" s="157"/>
      <c r="J158" s="157"/>
      <c r="K158" s="975"/>
      <c r="L158" s="157"/>
      <c r="M158" s="157"/>
      <c r="N158" s="157"/>
      <c r="O158" s="157"/>
      <c r="P158" s="975"/>
      <c r="Q158" s="157"/>
      <c r="R158" s="157"/>
      <c r="S158" s="157"/>
      <c r="T158" s="157"/>
      <c r="U158" s="975"/>
      <c r="V158" s="157"/>
      <c r="W158" s="157"/>
      <c r="X158" s="157"/>
      <c r="Y158" s="157"/>
      <c r="Z158" s="975"/>
      <c r="AA158" s="157">
        <f t="shared" ref="AA158:AO158" si="253">AA149/AA$150</f>
      </c>
      <c r="AB158" s="157">
        <f t="shared" si="253"/>
      </c>
      <c r="AC158" s="157">
        <f t="shared" si="253"/>
      </c>
      <c r="AD158" s="157">
        <f t="shared" si="253"/>
      </c>
      <c r="AE158" s="975">
        <f t="shared" si="253"/>
      </c>
      <c r="AF158" s="157">
        <f t="shared" si="253"/>
      </c>
      <c r="AG158" s="157">
        <f t="shared" si="253"/>
      </c>
      <c r="AH158" s="157">
        <f t="shared" si="253"/>
      </c>
      <c r="AI158" s="157">
        <f t="shared" si="253"/>
      </c>
      <c r="AJ158" s="975">
        <f t="shared" si="253"/>
      </c>
      <c r="AK158" s="157">
        <f t="shared" si="253"/>
      </c>
      <c r="AL158" s="157">
        <f t="shared" si="253"/>
      </c>
      <c r="AM158" s="157">
        <f t="shared" si="253"/>
      </c>
      <c r="AN158" s="157">
        <f t="shared" si="253"/>
      </c>
      <c r="AO158" s="975">
        <f t="shared" si="253"/>
      </c>
      <c r="AP158" s="157">
        <f t="shared" ref="AP158:AW158" si="254">AP149/AP$150</f>
      </c>
      <c r="AQ158" s="157">
        <f t="shared" si="254"/>
      </c>
      <c r="AR158" s="157">
        <f t="shared" si="254"/>
      </c>
      <c r="AS158" s="157">
        <f t="shared" si="254"/>
      </c>
      <c r="AT158" s="975">
        <f t="shared" si="254"/>
      </c>
      <c r="AU158" s="157">
        <f t="shared" si="254"/>
      </c>
      <c r="AV158" s="157">
        <f t="shared" si="254"/>
      </c>
      <c r="AW158" s="157">
        <f t="shared" si="254"/>
      </c>
      <c r="AX158" s="157">
        <f t="shared" si="238"/>
      </c>
      <c r="AY158" s="975">
        <f t="shared" si="238"/>
      </c>
      <c r="AZ158" s="157">
        <f t="shared" si="239"/>
      </c>
      <c r="BA158" s="157">
        <f t="shared" si="239"/>
      </c>
      <c r="BB158" s="157">
        <f t="shared" si="240"/>
      </c>
      <c r="BC158" s="157">
        <f t="shared" si="240"/>
      </c>
      <c r="BD158" s="975">
        <f t="shared" si="240"/>
      </c>
      <c r="BE158" s="157">
        <f t="shared" si="241"/>
      </c>
      <c r="BF158" s="157">
        <f t="shared" si="241"/>
      </c>
      <c r="BG158" s="157">
        <f t="shared" si="242"/>
      </c>
      <c r="BH158" s="157">
        <f t="shared" si="242"/>
      </c>
      <c r="BI158" s="975">
        <f t="shared" si="242"/>
      </c>
      <c r="BJ158" s="157">
        <f t="shared" si="243"/>
      </c>
      <c r="BK158" s="157">
        <f t="shared" si="243"/>
      </c>
      <c r="BL158" s="157">
        <f t="shared" si="244"/>
      </c>
      <c r="BM158" s="157">
        <f t="shared" si="244"/>
      </c>
      <c r="BN158" s="975">
        <f t="shared" si="244"/>
      </c>
      <c r="BO158" s="157">
        <f t="shared" si="245"/>
      </c>
      <c r="BP158" s="157">
        <f t="shared" si="245"/>
      </c>
      <c r="BQ158" s="157">
        <f t="shared" si="246"/>
      </c>
      <c r="BR158" s="157">
        <f t="shared" si="246"/>
      </c>
      <c r="BS158" s="975">
        <f t="shared" si="246"/>
      </c>
      <c r="BT158" s="676">
        <f>BT149/BT$150</f>
      </c>
      <c r="BU158" s="157">
        <f t="shared" si="246"/>
      </c>
      <c r="BV158" s="157">
        <f t="shared" si="246"/>
      </c>
      <c r="BW158" s="157">
        <f t="shared" si="246"/>
      </c>
      <c r="BX158" s="975">
        <f t="shared" si="247"/>
      </c>
      <c r="BY158" s="157">
        <f t="shared" si="248"/>
      </c>
      <c r="BZ158" s="157">
        <f t="shared" si="248"/>
      </c>
      <c r="CA158" s="157">
        <f t="shared" si="248"/>
      </c>
      <c r="CB158" s="157">
        <f t="shared" si="248"/>
      </c>
      <c r="CC158" s="975">
        <f t="shared" si="248"/>
      </c>
      <c r="CD158" s="975">
        <f t="shared" si="248"/>
      </c>
      <c r="CE158" s="975">
        <f t="shared" si="248"/>
      </c>
      <c r="CF158" s="975">
        <f t="shared" si="248"/>
      </c>
      <c r="CG158" s="8"/>
    </row>
    <row r="159" spans="1:85" s="590" customFormat="1" hidden="1" outlineLevel="1" x14ac:dyDescent="0.3">
      <c r="A159" s="325" t="s">
        <v>573</v>
      </c>
      <c r="B159" s="326"/>
      <c r="C159" s="977"/>
      <c r="D159" s="977"/>
      <c r="E159" s="977"/>
      <c r="F159" s="977">
        <f t="shared" ref="F159:Z159" si="255">F152+F153</f>
      </c>
      <c r="G159" s="184">
        <f t="shared" si="255"/>
      </c>
      <c r="H159" s="184">
        <f t="shared" si="255"/>
      </c>
      <c r="I159" s="184">
        <f t="shared" si="255"/>
      </c>
      <c r="J159" s="184">
        <f t="shared" si="255"/>
      </c>
      <c r="K159" s="977">
        <f t="shared" si="255"/>
      </c>
      <c r="L159" s="184">
        <f t="shared" si="255"/>
      </c>
      <c r="M159" s="184">
        <f t="shared" si="255"/>
      </c>
      <c r="N159" s="184">
        <f t="shared" si="255"/>
      </c>
      <c r="O159" s="184">
        <f t="shared" si="255"/>
      </c>
      <c r="P159" s="977">
        <f t="shared" si="255"/>
      </c>
      <c r="Q159" s="184">
        <f t="shared" si="255"/>
      </c>
      <c r="R159" s="184">
        <f t="shared" si="255"/>
      </c>
      <c r="S159" s="184">
        <f t="shared" si="255"/>
      </c>
      <c r="T159" s="184">
        <f t="shared" si="255"/>
      </c>
      <c r="U159" s="977">
        <f t="shared" si="255"/>
      </c>
      <c r="V159" s="184">
        <f t="shared" si="255"/>
      </c>
      <c r="W159" s="184">
        <f t="shared" si="255"/>
      </c>
      <c r="X159" s="184">
        <f t="shared" si="255"/>
      </c>
      <c r="Y159" s="184">
        <f t="shared" si="255"/>
      </c>
      <c r="Z159" s="977">
        <f t="shared" si="255"/>
      </c>
      <c r="AA159" s="184">
        <f t="shared" ref="AA159:AW159" si="256">SUM(AA155:AA158)</f>
      </c>
      <c r="AB159" s="184">
        <f t="shared" si="256"/>
      </c>
      <c r="AC159" s="184">
        <f t="shared" si="256"/>
      </c>
      <c r="AD159" s="184">
        <f t="shared" si="256"/>
      </c>
      <c r="AE159" s="977">
        <f t="shared" si="256"/>
      </c>
      <c r="AF159" s="184">
        <f t="shared" si="256"/>
      </c>
      <c r="AG159" s="184">
        <f t="shared" si="256"/>
      </c>
      <c r="AH159" s="184">
        <f t="shared" si="256"/>
      </c>
      <c r="AI159" s="184">
        <f t="shared" si="256"/>
      </c>
      <c r="AJ159" s="977">
        <f t="shared" si="256"/>
      </c>
      <c r="AK159" s="184">
        <f t="shared" si="256"/>
      </c>
      <c r="AL159" s="184">
        <f t="shared" si="256"/>
      </c>
      <c r="AM159" s="184">
        <f t="shared" si="256"/>
      </c>
      <c r="AN159" s="184">
        <f t="shared" si="256"/>
      </c>
      <c r="AO159" s="977">
        <f t="shared" si="256"/>
      </c>
      <c r="AP159" s="184">
        <f t="shared" si="256"/>
      </c>
      <c r="AQ159" s="184">
        <f t="shared" si="256"/>
      </c>
      <c r="AR159" s="184">
        <f t="shared" si="256"/>
      </c>
      <c r="AS159" s="184">
        <f t="shared" si="256"/>
      </c>
      <c r="AT159" s="977">
        <f t="shared" si="256"/>
      </c>
      <c r="AU159" s="184">
        <f t="shared" si="256"/>
      </c>
      <c r="AV159" s="184">
        <f t="shared" si="256"/>
      </c>
      <c r="AW159" s="184">
        <f t="shared" si="256"/>
      </c>
      <c r="AX159" s="184">
        <f t="shared" ref="AX159:BD159" si="257">SUM(AX155:AX158)</f>
      </c>
      <c r="AY159" s="977">
        <f t="shared" si="257"/>
      </c>
      <c r="AZ159" s="184">
        <f t="shared" si="257"/>
      </c>
      <c r="BA159" s="184">
        <f t="shared" si="257"/>
      </c>
      <c r="BB159" s="184">
        <f t="shared" si="257"/>
      </c>
      <c r="BC159" s="184">
        <f t="shared" si="257"/>
      </c>
      <c r="BD159" s="977">
        <f t="shared" si="257"/>
      </c>
      <c r="BE159" s="184">
        <f t="shared" ref="BE159:BI159" si="258">SUM(BE155:BE158)</f>
      </c>
      <c r="BF159" s="184">
        <f t="shared" si="258"/>
      </c>
      <c r="BG159" s="184">
        <f t="shared" si="258"/>
      </c>
      <c r="BH159" s="184">
        <f t="shared" si="258"/>
      </c>
      <c r="BI159" s="977">
        <f t="shared" si="258"/>
      </c>
      <c r="BJ159" s="184">
        <f t="shared" ref="BJ159:BX159" si="259">SUM(BJ155:BJ158)</f>
      </c>
      <c r="BK159" s="184">
        <f t="shared" si="259"/>
      </c>
      <c r="BL159" s="184">
        <f t="shared" si="259"/>
      </c>
      <c r="BM159" s="184">
        <f t="shared" si="259"/>
      </c>
      <c r="BN159" s="977">
        <f t="shared" si="259"/>
      </c>
      <c r="BO159" s="184">
        <f t="shared" ref="BO159:BW159" si="260">SUM(BO155:BO158)</f>
      </c>
      <c r="BP159" s="184">
        <f t="shared" si="260"/>
      </c>
      <c r="BQ159" s="184">
        <f t="shared" si="260"/>
      </c>
      <c r="BR159" s="184">
        <f t="shared" si="260"/>
      </c>
      <c r="BS159" s="977">
        <f t="shared" si="260"/>
      </c>
      <c r="BT159" s="678">
        <f>SUM(BT155:BT158)</f>
      </c>
      <c r="BU159" s="184">
        <f t="shared" si="260"/>
      </c>
      <c r="BV159" s="184">
        <f t="shared" si="260"/>
      </c>
      <c r="BW159" s="184">
        <f t="shared" si="260"/>
      </c>
      <c r="BX159" s="977">
        <f t="shared" si="259"/>
      </c>
      <c r="BY159" s="184">
        <f t="shared" ref="BY159:CF159" si="261">SUM(BY155:BY158)</f>
      </c>
      <c r="BZ159" s="184">
        <f t="shared" si="261"/>
      </c>
      <c r="CA159" s="184">
        <f t="shared" si="261"/>
      </c>
      <c r="CB159" s="184">
        <f t="shared" si="261"/>
      </c>
      <c r="CC159" s="977">
        <f t="shared" si="261"/>
      </c>
      <c r="CD159" s="977">
        <f t="shared" si="261"/>
      </c>
      <c r="CE159" s="977">
        <f t="shared" si="261"/>
      </c>
      <c r="CF159" s="977">
        <f t="shared" si="261"/>
      </c>
      <c r="CG159" s="11"/>
    </row>
    <row r="160" spans="1:85" collapsed="1" x14ac:dyDescent="0.3">
      <c r="A160" s="244"/>
      <c r="B160" s="245"/>
      <c r="C160" s="933"/>
      <c r="D160" s="933"/>
      <c r="E160" s="933"/>
      <c r="F160" s="933"/>
      <c r="G160" s="200"/>
      <c r="H160" s="200"/>
      <c r="I160" s="200"/>
      <c r="J160" s="200"/>
      <c r="K160" s="933"/>
      <c r="L160" s="200"/>
      <c r="M160" s="200"/>
      <c r="N160" s="200"/>
      <c r="O160" s="200"/>
      <c r="P160" s="933"/>
      <c r="Q160" s="200"/>
      <c r="R160" s="200"/>
      <c r="S160" s="200"/>
      <c r="T160" s="200"/>
      <c r="U160" s="933"/>
      <c r="V160" s="200"/>
      <c r="W160" s="200"/>
      <c r="X160" s="200"/>
      <c r="Y160" s="200"/>
      <c r="Z160" s="933"/>
      <c r="AA160" s="200"/>
      <c r="AB160" s="200"/>
      <c r="AC160" s="200"/>
      <c r="AD160" s="200"/>
      <c r="AE160" s="933"/>
      <c r="AF160" s="200"/>
      <c r="AG160" s="200"/>
      <c r="AH160" s="200"/>
      <c r="AI160" s="200"/>
      <c r="AJ160" s="933"/>
      <c r="AK160" s="200"/>
      <c r="AL160" s="200"/>
      <c r="AM160" s="200"/>
      <c r="AN160" s="200"/>
      <c r="AO160" s="933"/>
      <c r="AP160" s="200"/>
      <c r="AQ160" s="200"/>
      <c r="AR160" s="200"/>
      <c r="AS160" s="200"/>
      <c r="AT160" s="933"/>
      <c r="AU160" s="200"/>
      <c r="AV160" s="200"/>
      <c r="AW160" s="200"/>
      <c r="AX160" s="200"/>
      <c r="AY160" s="933"/>
      <c r="AZ160" s="200"/>
      <c r="BA160" s="200"/>
      <c r="BB160" s="200"/>
      <c r="BC160" s="200"/>
      <c r="BD160" s="933"/>
      <c r="BE160" s="200"/>
      <c r="BF160" s="200"/>
      <c r="BG160" s="200"/>
      <c r="BH160" s="200"/>
      <c r="BI160" s="933"/>
      <c r="BJ160" s="200"/>
      <c r="BK160" s="200"/>
      <c r="BL160" s="200"/>
      <c r="BM160" s="200"/>
      <c r="BN160" s="933"/>
      <c r="BO160" s="200"/>
      <c r="BP160" s="200"/>
      <c r="BQ160" s="200"/>
      <c r="BR160" s="200"/>
      <c r="BS160" s="933"/>
      <c r="BT160" s="295"/>
      <c r="BU160" s="200"/>
      <c r="BV160" s="200"/>
      <c r="BW160" s="200"/>
      <c r="BX160" s="933"/>
      <c r="BY160" s="200"/>
      <c r="BZ160" s="200"/>
      <c r="CA160" s="200"/>
      <c r="CB160" s="200"/>
      <c r="CC160" s="933"/>
      <c r="CD160" s="933"/>
      <c r="CE160" s="933"/>
      <c r="CF160" s="933"/>
      <c r="CG160" s="24"/>
    </row>
    <row r="161" spans="1:85" hidden="1" outlineLevel="1" x14ac:dyDescent="0.3">
      <c r="A161" s="210" t="str">
        <f>A44</f>
      </c>
      <c r="B161" s="242"/>
      <c r="C161" s="950"/>
      <c r="D161" s="950"/>
      <c r="E161" s="950"/>
      <c r="F161" s="950"/>
      <c r="G161" s="204">
        <f t="shared" ref="G161:AO161" si="262">G44</f>
      </c>
      <c r="H161" s="204">
        <f t="shared" si="262"/>
      </c>
      <c r="I161" s="204">
        <f t="shared" si="262"/>
      </c>
      <c r="J161" s="204">
        <f t="shared" si="262"/>
      </c>
      <c r="K161" s="950">
        <f t="shared" si="262"/>
      </c>
      <c r="L161" s="204">
        <f t="shared" si="262"/>
      </c>
      <c r="M161" s="204">
        <f t="shared" si="262"/>
      </c>
      <c r="N161" s="204">
        <f t="shared" si="262"/>
      </c>
      <c r="O161" s="204">
        <f t="shared" si="262"/>
      </c>
      <c r="P161" s="950">
        <f t="shared" si="262"/>
      </c>
      <c r="Q161" s="204">
        <f t="shared" si="262"/>
      </c>
      <c r="R161" s="204">
        <f t="shared" si="262"/>
      </c>
      <c r="S161" s="204">
        <f t="shared" si="262"/>
      </c>
      <c r="T161" s="204">
        <f t="shared" si="262"/>
      </c>
      <c r="U161" s="950">
        <f t="shared" si="262"/>
      </c>
      <c r="V161" s="204">
        <f t="shared" si="262"/>
      </c>
      <c r="W161" s="204">
        <f t="shared" si="262"/>
      </c>
      <c r="X161" s="204">
        <f t="shared" si="262"/>
      </c>
      <c r="Y161" s="204">
        <f t="shared" si="262"/>
      </c>
      <c r="Z161" s="950">
        <f t="shared" si="262"/>
      </c>
      <c r="AA161" s="204">
        <f t="shared" si="262"/>
      </c>
      <c r="AB161" s="204">
        <f t="shared" si="262"/>
      </c>
      <c r="AC161" s="204">
        <f t="shared" si="262"/>
      </c>
      <c r="AD161" s="204">
        <f t="shared" si="262"/>
      </c>
      <c r="AE161" s="950">
        <f t="shared" si="262"/>
      </c>
      <c r="AF161" s="204">
        <f t="shared" si="262"/>
      </c>
      <c r="AG161" s="204">
        <f t="shared" si="262"/>
      </c>
      <c r="AH161" s="204">
        <f t="shared" si="262"/>
      </c>
      <c r="AI161" s="204">
        <f t="shared" si="262"/>
      </c>
      <c r="AJ161" s="950">
        <f t="shared" si="262"/>
      </c>
      <c r="AK161" s="204">
        <f t="shared" si="262"/>
      </c>
      <c r="AL161" s="204">
        <f t="shared" si="262"/>
      </c>
      <c r="AM161" s="204">
        <f t="shared" si="262"/>
      </c>
      <c r="AN161" s="204">
        <f t="shared" si="262"/>
      </c>
      <c r="AO161" s="950">
        <f t="shared" si="262"/>
      </c>
      <c r="AP161" s="204"/>
      <c r="AQ161" s="204"/>
      <c r="AR161" s="204"/>
      <c r="AS161" s="204"/>
      <c r="AT161" s="950"/>
      <c r="AU161" s="204"/>
      <c r="AV161" s="204"/>
      <c r="AW161" s="204"/>
      <c r="AX161" s="204"/>
      <c r="AY161" s="950"/>
      <c r="AZ161" s="204"/>
      <c r="BA161" s="204"/>
      <c r="BB161" s="204"/>
      <c r="BC161" s="204"/>
      <c r="BD161" s="950"/>
      <c r="BE161" s="204"/>
      <c r="BF161" s="204"/>
      <c r="BG161" s="204"/>
      <c r="BH161" s="204"/>
      <c r="BI161" s="950"/>
      <c r="BJ161" s="204"/>
      <c r="BK161" s="204"/>
      <c r="BL161" s="204"/>
      <c r="BM161" s="204"/>
      <c r="BN161" s="950"/>
      <c r="BO161" s="204"/>
      <c r="BP161" s="204"/>
      <c r="BQ161" s="204"/>
      <c r="BR161" s="204"/>
      <c r="BS161" s="950"/>
      <c r="BT161" s="294"/>
      <c r="BU161" s="204"/>
      <c r="BV161" s="204"/>
      <c r="BW161" s="204"/>
      <c r="BX161" s="950"/>
      <c r="BY161" s="204"/>
      <c r="BZ161" s="204"/>
      <c r="CA161" s="204"/>
      <c r="CB161" s="204"/>
      <c r="CC161" s="950"/>
      <c r="CD161" s="950"/>
      <c r="CE161" s="950"/>
      <c r="CF161" s="950"/>
      <c r="CG161" s="131"/>
    </row>
    <row r="162" spans="1:85" hidden="1" outlineLevel="1" x14ac:dyDescent="0.3">
      <c r="A162" s="330" t="str">
        <f>A48</f>
      </c>
      <c r="B162" s="246"/>
      <c r="C162" s="953"/>
      <c r="D162" s="953"/>
      <c r="E162" s="953"/>
      <c r="F162" s="953"/>
      <c r="G162" s="247"/>
      <c r="H162" s="247"/>
      <c r="I162" s="247"/>
      <c r="J162" s="247"/>
      <c r="K162" s="953"/>
      <c r="L162" s="247"/>
      <c r="M162" s="247"/>
      <c r="N162" s="247"/>
      <c r="O162" s="247"/>
      <c r="P162" s="953"/>
      <c r="Q162" s="247"/>
      <c r="R162" s="247"/>
      <c r="S162" s="247"/>
      <c r="T162" s="247"/>
      <c r="U162" s="953"/>
      <c r="V162" s="247"/>
      <c r="W162" s="247"/>
      <c r="X162" s="247"/>
      <c r="Y162" s="247"/>
      <c r="Z162" s="953"/>
      <c r="AA162" s="247">
        <f t="shared" ref="AA162:AO162" si="263">AA48</f>
      </c>
      <c r="AB162" s="247">
        <f t="shared" si="263"/>
      </c>
      <c r="AC162" s="247">
        <f t="shared" si="263"/>
      </c>
      <c r="AD162" s="247">
        <f t="shared" si="263"/>
      </c>
      <c r="AE162" s="953">
        <f t="shared" si="263"/>
      </c>
      <c r="AF162" s="247">
        <f t="shared" si="263"/>
      </c>
      <c r="AG162" s="247">
        <f t="shared" si="263"/>
      </c>
      <c r="AH162" s="247">
        <f t="shared" si="263"/>
      </c>
      <c r="AI162" s="247">
        <f t="shared" si="263"/>
      </c>
      <c r="AJ162" s="953">
        <f t="shared" si="263"/>
      </c>
      <c r="AK162" s="247">
        <f t="shared" si="263"/>
      </c>
      <c r="AL162" s="247">
        <f t="shared" si="263"/>
      </c>
      <c r="AM162" s="247">
        <f t="shared" si="263"/>
      </c>
      <c r="AN162" s="247">
        <f t="shared" si="263"/>
      </c>
      <c r="AO162" s="953">
        <f t="shared" si="263"/>
      </c>
      <c r="AP162" s="247"/>
      <c r="AQ162" s="247"/>
      <c r="AR162" s="247"/>
      <c r="AS162" s="247"/>
      <c r="AT162" s="953"/>
      <c r="AU162" s="247"/>
      <c r="AV162" s="247"/>
      <c r="AW162" s="247"/>
      <c r="AX162" s="247"/>
      <c r="AY162" s="953"/>
      <c r="AZ162" s="247"/>
      <c r="BA162" s="247"/>
      <c r="BB162" s="247"/>
      <c r="BC162" s="247"/>
      <c r="BD162" s="953"/>
      <c r="BE162" s="247"/>
      <c r="BF162" s="247"/>
      <c r="BG162" s="247"/>
      <c r="BH162" s="247"/>
      <c r="BI162" s="953"/>
      <c r="BJ162" s="247"/>
      <c r="BK162" s="247"/>
      <c r="BL162" s="247"/>
      <c r="BM162" s="247"/>
      <c r="BN162" s="953"/>
      <c r="BO162" s="247"/>
      <c r="BP162" s="247"/>
      <c r="BQ162" s="247"/>
      <c r="BR162" s="247"/>
      <c r="BS162" s="953"/>
      <c r="BT162" s="497"/>
      <c r="BU162" s="247"/>
      <c r="BV162" s="247"/>
      <c r="BW162" s="247"/>
      <c r="BX162" s="953"/>
      <c r="BY162" s="247"/>
      <c r="BZ162" s="247"/>
      <c r="CA162" s="247"/>
      <c r="CB162" s="247"/>
      <c r="CC162" s="953"/>
      <c r="CD162" s="953"/>
      <c r="CE162" s="953"/>
      <c r="CF162" s="953"/>
      <c r="CG162" s="131"/>
    </row>
    <row r="163" spans="1:85" collapsed="1" x14ac:dyDescent="0.3">
      <c r="A163" s="328" t="str">
        <f>A51</f>
      </c>
      <c r="B163" s="242"/>
      <c r="C163" s="950"/>
      <c r="D163" s="950"/>
      <c r="E163" s="950"/>
      <c r="F163" s="950"/>
      <c r="G163" s="204"/>
      <c r="H163" s="204"/>
      <c r="I163" s="204"/>
      <c r="J163" s="204"/>
      <c r="K163" s="950"/>
      <c r="L163" s="204"/>
      <c r="M163" s="204"/>
      <c r="N163" s="204"/>
      <c r="O163" s="204"/>
      <c r="P163" s="950"/>
      <c r="Q163" s="204"/>
      <c r="R163" s="204"/>
      <c r="S163" s="204"/>
      <c r="T163" s="204"/>
      <c r="U163" s="950"/>
      <c r="V163" s="204"/>
      <c r="W163" s="204"/>
      <c r="X163" s="204"/>
      <c r="Y163" s="204"/>
      <c r="Z163" s="950"/>
      <c r="AA163" s="204">
        <f t="shared" ref="AA163:AW163" si="264">AA51</f>
      </c>
      <c r="AB163" s="204">
        <f t="shared" si="264"/>
      </c>
      <c r="AC163" s="204">
        <f t="shared" si="264"/>
      </c>
      <c r="AD163" s="204">
        <f t="shared" si="264"/>
      </c>
      <c r="AE163" s="950">
        <f t="shared" si="264"/>
      </c>
      <c r="AF163" s="204">
        <f t="shared" si="264"/>
      </c>
      <c r="AG163" s="204">
        <f t="shared" si="264"/>
      </c>
      <c r="AH163" s="204">
        <f t="shared" si="264"/>
      </c>
      <c r="AI163" s="204">
        <f t="shared" si="264"/>
      </c>
      <c r="AJ163" s="950">
        <f t="shared" si="264"/>
      </c>
      <c r="AK163" s="204">
        <f t="shared" si="264"/>
      </c>
      <c r="AL163" s="204">
        <f t="shared" si="264"/>
      </c>
      <c r="AM163" s="204">
        <f t="shared" si="264"/>
      </c>
      <c r="AN163" s="204">
        <f t="shared" si="264"/>
      </c>
      <c r="AO163" s="950">
        <f t="shared" si="264"/>
      </c>
      <c r="AP163" s="204">
        <f t="shared" si="264"/>
      </c>
      <c r="AQ163" s="204">
        <f t="shared" si="264"/>
      </c>
      <c r="AR163" s="204">
        <f t="shared" si="264"/>
      </c>
      <c r="AS163" s="204">
        <f t="shared" si="264"/>
      </c>
      <c r="AT163" s="950">
        <f t="shared" si="264"/>
      </c>
      <c r="AU163" s="204">
        <f t="shared" si="264"/>
      </c>
      <c r="AV163" s="204">
        <f t="shared" si="264"/>
      </c>
      <c r="AW163" s="204">
        <f t="shared" si="264"/>
      </c>
      <c r="AX163" s="204">
        <f t="shared" ref="AX163:BD163" si="265">AX51</f>
      </c>
      <c r="AY163" s="950">
        <f t="shared" si="265"/>
      </c>
      <c r="AZ163" s="204">
        <f t="shared" si="265"/>
      </c>
      <c r="BA163" s="204">
        <f t="shared" si="265"/>
      </c>
      <c r="BB163" s="204">
        <f t="shared" si="265"/>
      </c>
      <c r="BC163" s="204">
        <f t="shared" si="265"/>
      </c>
      <c r="BD163" s="950">
        <f t="shared" si="265"/>
      </c>
      <c r="BE163" s="204">
        <f t="shared" ref="BE163:BI163" si="266">BE51</f>
      </c>
      <c r="BF163" s="204">
        <f t="shared" si="266"/>
      </c>
      <c r="BG163" s="204">
        <f t="shared" si="266"/>
      </c>
      <c r="BH163" s="204">
        <f t="shared" si="266"/>
      </c>
      <c r="BI163" s="950">
        <f t="shared" si="266"/>
      </c>
      <c r="BJ163" s="204">
        <f t="shared" ref="BJ163:BX163" si="267">BJ51</f>
      </c>
      <c r="BK163" s="204">
        <f t="shared" si="267"/>
      </c>
      <c r="BL163" s="204">
        <f t="shared" si="267"/>
      </c>
      <c r="BM163" s="204">
        <f t="shared" si="267"/>
      </c>
      <c r="BN163" s="950">
        <f t="shared" si="267"/>
      </c>
      <c r="BO163" s="204">
        <f t="shared" ref="BO163:BW163" si="268">BO51</f>
      </c>
      <c r="BP163" s="204">
        <f t="shared" si="268"/>
      </c>
      <c r="BQ163" s="204">
        <f t="shared" si="268"/>
      </c>
      <c r="BR163" s="204">
        <f t="shared" si="268"/>
      </c>
      <c r="BS163" s="950">
        <f t="shared" si="268"/>
      </c>
      <c r="BT163" s="294">
        <f>BT51</f>
      </c>
      <c r="BU163" s="204">
        <f t="shared" si="268"/>
      </c>
      <c r="BV163" s="204">
        <f t="shared" si="268"/>
      </c>
      <c r="BW163" s="204">
        <f t="shared" si="268"/>
      </c>
      <c r="BX163" s="950">
        <f t="shared" si="267"/>
      </c>
      <c r="BY163" s="204">
        <f t="shared" ref="BY163:CF163" si="269">BY51</f>
      </c>
      <c r="BZ163" s="204">
        <f t="shared" si="269"/>
      </c>
      <c r="CA163" s="204">
        <f t="shared" si="269"/>
      </c>
      <c r="CB163" s="204">
        <f t="shared" si="269"/>
      </c>
      <c r="CC163" s="950">
        <f t="shared" si="269"/>
      </c>
      <c r="CD163" s="950">
        <f t="shared" si="269"/>
      </c>
      <c r="CE163" s="950">
        <f t="shared" si="269"/>
      </c>
      <c r="CF163" s="950">
        <f t="shared" si="269"/>
      </c>
      <c r="CG163" s="131"/>
    </row>
    <row r="164" spans="1:85" x14ac:dyDescent="0.3">
      <c r="A164" s="328" t="str">
        <f>A79</f>
      </c>
      <c r="B164" s="242"/>
      <c r="C164" s="950"/>
      <c r="D164" s="950"/>
      <c r="E164" s="950"/>
      <c r="F164" s="950"/>
      <c r="G164" s="204"/>
      <c r="H164" s="204"/>
      <c r="I164" s="204"/>
      <c r="J164" s="204"/>
      <c r="K164" s="950"/>
      <c r="L164" s="204"/>
      <c r="M164" s="204"/>
      <c r="N164" s="204"/>
      <c r="O164" s="204"/>
      <c r="P164" s="950"/>
      <c r="Q164" s="204"/>
      <c r="R164" s="204"/>
      <c r="S164" s="204"/>
      <c r="T164" s="204"/>
      <c r="U164" s="950"/>
      <c r="V164" s="204"/>
      <c r="W164" s="204"/>
      <c r="X164" s="204"/>
      <c r="Y164" s="204"/>
      <c r="Z164" s="950"/>
      <c r="AA164" s="204">
        <f t="shared" ref="AA164:AW164" si="270">AA79</f>
      </c>
      <c r="AB164" s="204">
        <f t="shared" si="270"/>
      </c>
      <c r="AC164" s="204">
        <f t="shared" si="270"/>
      </c>
      <c r="AD164" s="204">
        <f t="shared" si="270"/>
      </c>
      <c r="AE164" s="950">
        <f t="shared" si="270"/>
      </c>
      <c r="AF164" s="204">
        <f t="shared" si="270"/>
      </c>
      <c r="AG164" s="204">
        <f t="shared" si="270"/>
      </c>
      <c r="AH164" s="204">
        <f t="shared" si="270"/>
      </c>
      <c r="AI164" s="204">
        <f t="shared" si="270"/>
      </c>
      <c r="AJ164" s="950">
        <f t="shared" si="270"/>
      </c>
      <c r="AK164" s="204">
        <f t="shared" si="270"/>
      </c>
      <c r="AL164" s="204">
        <f t="shared" si="270"/>
      </c>
      <c r="AM164" s="204">
        <f t="shared" si="270"/>
      </c>
      <c r="AN164" s="204">
        <f t="shared" si="270"/>
      </c>
      <c r="AO164" s="950">
        <f t="shared" si="270"/>
      </c>
      <c r="AP164" s="204">
        <f t="shared" si="270"/>
      </c>
      <c r="AQ164" s="204">
        <f t="shared" si="270"/>
      </c>
      <c r="AR164" s="204">
        <f t="shared" si="270"/>
      </c>
      <c r="AS164" s="204">
        <f t="shared" si="270"/>
      </c>
      <c r="AT164" s="950">
        <f t="shared" si="270"/>
      </c>
      <c r="AU164" s="204">
        <f t="shared" si="270"/>
      </c>
      <c r="AV164" s="204">
        <f t="shared" si="270"/>
      </c>
      <c r="AW164" s="204">
        <f t="shared" si="270"/>
      </c>
      <c r="AX164" s="204">
        <f t="shared" ref="AX164:BD164" si="271">AX79</f>
      </c>
      <c r="AY164" s="950">
        <f t="shared" si="271"/>
      </c>
      <c r="AZ164" s="204">
        <f t="shared" si="271"/>
      </c>
      <c r="BA164" s="204">
        <f t="shared" si="271"/>
      </c>
      <c r="BB164" s="204">
        <f t="shared" si="271"/>
      </c>
      <c r="BC164" s="204">
        <f t="shared" si="271"/>
      </c>
      <c r="BD164" s="950">
        <f t="shared" si="271"/>
      </c>
      <c r="BE164" s="204">
        <f t="shared" ref="BE164:BI164" si="272">BE79</f>
      </c>
      <c r="BF164" s="204">
        <f t="shared" si="272"/>
      </c>
      <c r="BG164" s="204">
        <f t="shared" si="272"/>
      </c>
      <c r="BH164" s="204">
        <f t="shared" si="272"/>
      </c>
      <c r="BI164" s="950">
        <f t="shared" si="272"/>
      </c>
      <c r="BJ164" s="204">
        <f t="shared" ref="BJ164:BX164" si="273">BJ79</f>
      </c>
      <c r="BK164" s="204">
        <f t="shared" si="273"/>
      </c>
      <c r="BL164" s="204">
        <f t="shared" si="273"/>
      </c>
      <c r="BM164" s="204">
        <f t="shared" si="273"/>
      </c>
      <c r="BN164" s="950">
        <f t="shared" si="273"/>
      </c>
      <c r="BO164" s="204">
        <f t="shared" ref="BO164:BW164" si="274">BO79</f>
      </c>
      <c r="BP164" s="204">
        <f t="shared" si="274"/>
      </c>
      <c r="BQ164" s="204">
        <f t="shared" si="274"/>
      </c>
      <c r="BR164" s="204">
        <f t="shared" si="274"/>
      </c>
      <c r="BS164" s="950">
        <f t="shared" si="274"/>
      </c>
      <c r="BT164" s="294">
        <f>BT79</f>
      </c>
      <c r="BU164" s="204">
        <f t="shared" si="274"/>
      </c>
      <c r="BV164" s="204">
        <f t="shared" si="274"/>
      </c>
      <c r="BW164" s="204">
        <f t="shared" si="274"/>
      </c>
      <c r="BX164" s="950">
        <f t="shared" si="273"/>
      </c>
      <c r="BY164" s="204">
        <f t="shared" ref="BY164:CF164" si="275">BY79</f>
      </c>
      <c r="BZ164" s="204">
        <f t="shared" si="275"/>
      </c>
      <c r="CA164" s="204">
        <f t="shared" si="275"/>
      </c>
      <c r="CB164" s="204">
        <f t="shared" si="275"/>
      </c>
      <c r="CC164" s="950">
        <f t="shared" si="275"/>
      </c>
      <c r="CD164" s="950">
        <f t="shared" si="275"/>
      </c>
      <c r="CE164" s="950">
        <f t="shared" si="275"/>
      </c>
      <c r="CF164" s="950">
        <f t="shared" si="275"/>
      </c>
      <c r="CG164" s="131"/>
    </row>
    <row r="165" spans="1:85" x14ac:dyDescent="0.3">
      <c r="A165" s="328" t="str">
        <f>A99</f>
      </c>
      <c r="B165" s="242"/>
      <c r="C165" s="950"/>
      <c r="D165" s="950"/>
      <c r="E165" s="950"/>
      <c r="F165" s="950"/>
      <c r="G165" s="204"/>
      <c r="H165" s="204"/>
      <c r="I165" s="204"/>
      <c r="J165" s="204"/>
      <c r="K165" s="950"/>
      <c r="L165" s="204"/>
      <c r="M165" s="204"/>
      <c r="N165" s="204"/>
      <c r="O165" s="204"/>
      <c r="P165" s="950"/>
      <c r="Q165" s="204"/>
      <c r="R165" s="204"/>
      <c r="S165" s="204"/>
      <c r="T165" s="204"/>
      <c r="U165" s="950"/>
      <c r="V165" s="204"/>
      <c r="W165" s="204"/>
      <c r="X165" s="204"/>
      <c r="Y165" s="204"/>
      <c r="Z165" s="950"/>
      <c r="AA165" s="204">
        <f t="shared" ref="AA165:AW165" si="276">AA99</f>
      </c>
      <c r="AB165" s="204">
        <f t="shared" si="276"/>
      </c>
      <c r="AC165" s="204">
        <f t="shared" si="276"/>
      </c>
      <c r="AD165" s="204">
        <f t="shared" si="276"/>
      </c>
      <c r="AE165" s="950">
        <f t="shared" si="276"/>
      </c>
      <c r="AF165" s="204">
        <f t="shared" si="276"/>
      </c>
      <c r="AG165" s="204">
        <f t="shared" si="276"/>
      </c>
      <c r="AH165" s="204">
        <f t="shared" si="276"/>
      </c>
      <c r="AI165" s="204">
        <f t="shared" si="276"/>
      </c>
      <c r="AJ165" s="950">
        <f t="shared" si="276"/>
      </c>
      <c r="AK165" s="204">
        <f t="shared" si="276"/>
      </c>
      <c r="AL165" s="204">
        <f t="shared" si="276"/>
      </c>
      <c r="AM165" s="204">
        <f t="shared" si="276"/>
      </c>
      <c r="AN165" s="204">
        <f t="shared" si="276"/>
      </c>
      <c r="AO165" s="950">
        <f t="shared" si="276"/>
      </c>
      <c r="AP165" s="204">
        <f t="shared" si="276"/>
      </c>
      <c r="AQ165" s="204">
        <f t="shared" si="276"/>
      </c>
      <c r="AR165" s="204">
        <f t="shared" si="276"/>
      </c>
      <c r="AS165" s="204">
        <f t="shared" si="276"/>
      </c>
      <c r="AT165" s="950">
        <f t="shared" si="276"/>
      </c>
      <c r="AU165" s="204">
        <f t="shared" si="276"/>
      </c>
      <c r="AV165" s="204">
        <f t="shared" si="276"/>
      </c>
      <c r="AW165" s="204">
        <f t="shared" si="276"/>
      </c>
      <c r="AX165" s="204">
        <f t="shared" ref="AX165:BD165" si="277">AX99</f>
      </c>
      <c r="AY165" s="950">
        <f t="shared" si="277"/>
      </c>
      <c r="AZ165" s="204">
        <f t="shared" si="277"/>
      </c>
      <c r="BA165" s="204">
        <f t="shared" si="277"/>
      </c>
      <c r="BB165" s="204">
        <f t="shared" si="277"/>
      </c>
      <c r="BC165" s="204">
        <f t="shared" si="277"/>
      </c>
      <c r="BD165" s="950">
        <f t="shared" si="277"/>
      </c>
      <c r="BE165" s="204">
        <f t="shared" ref="BE165:BI165" si="278">BE99</f>
      </c>
      <c r="BF165" s="204">
        <f t="shared" si="278"/>
      </c>
      <c r="BG165" s="204">
        <f t="shared" si="278"/>
      </c>
      <c r="BH165" s="204">
        <f t="shared" si="278"/>
      </c>
      <c r="BI165" s="950">
        <f t="shared" si="278"/>
      </c>
      <c r="BJ165" s="204">
        <f t="shared" ref="BJ165:BX165" si="279">BJ99</f>
      </c>
      <c r="BK165" s="204">
        <f t="shared" si="279"/>
      </c>
      <c r="BL165" s="204">
        <f t="shared" si="279"/>
      </c>
      <c r="BM165" s="204">
        <f t="shared" si="279"/>
      </c>
      <c r="BN165" s="950">
        <f t="shared" si="279"/>
      </c>
      <c r="BO165" s="204">
        <f t="shared" ref="BO165:BW165" si="280">BO99</f>
      </c>
      <c r="BP165" s="204">
        <f t="shared" si="280"/>
      </c>
      <c r="BQ165" s="204">
        <f t="shared" si="280"/>
      </c>
      <c r="BR165" s="204">
        <f t="shared" si="280"/>
      </c>
      <c r="BS165" s="950">
        <f t="shared" si="280"/>
      </c>
      <c r="BT165" s="294">
        <f>BT99</f>
      </c>
      <c r="BU165" s="204">
        <f t="shared" si="280"/>
      </c>
      <c r="BV165" s="204">
        <f t="shared" si="280"/>
      </c>
      <c r="BW165" s="204">
        <f t="shared" si="280"/>
      </c>
      <c r="BX165" s="950">
        <f t="shared" si="279"/>
      </c>
      <c r="BY165" s="204">
        <f t="shared" ref="BY165:CF165" si="281">BY99</f>
      </c>
      <c r="BZ165" s="204">
        <f t="shared" si="281"/>
      </c>
      <c r="CA165" s="204">
        <f t="shared" si="281"/>
      </c>
      <c r="CB165" s="204">
        <f t="shared" si="281"/>
      </c>
      <c r="CC165" s="950">
        <f t="shared" si="281"/>
      </c>
      <c r="CD165" s="950">
        <f t="shared" si="281"/>
      </c>
      <c r="CE165" s="950">
        <f t="shared" si="281"/>
      </c>
      <c r="CF165" s="950">
        <f t="shared" si="281"/>
      </c>
      <c r="CG165" s="131"/>
    </row>
    <row r="166" spans="1:85" x14ac:dyDescent="0.3">
      <c r="A166" s="329" t="str">
        <f>A119</f>
      </c>
      <c r="B166" s="246"/>
      <c r="C166" s="953"/>
      <c r="D166" s="953"/>
      <c r="E166" s="953"/>
      <c r="F166" s="953"/>
      <c r="G166" s="247"/>
      <c r="H166" s="247"/>
      <c r="I166" s="247"/>
      <c r="J166" s="247"/>
      <c r="K166" s="953"/>
      <c r="L166" s="247"/>
      <c r="M166" s="247"/>
      <c r="N166" s="247"/>
      <c r="O166" s="247"/>
      <c r="P166" s="953"/>
      <c r="Q166" s="247"/>
      <c r="R166" s="247"/>
      <c r="S166" s="247"/>
      <c r="T166" s="247"/>
      <c r="U166" s="953"/>
      <c r="V166" s="247"/>
      <c r="W166" s="247"/>
      <c r="X166" s="247"/>
      <c r="Y166" s="247"/>
      <c r="Z166" s="953"/>
      <c r="AA166" s="247">
        <f t="shared" ref="AA166:AW166" si="282">AA119</f>
      </c>
      <c r="AB166" s="247">
        <f t="shared" si="282"/>
      </c>
      <c r="AC166" s="247">
        <f t="shared" si="282"/>
      </c>
      <c r="AD166" s="247">
        <f t="shared" si="282"/>
      </c>
      <c r="AE166" s="953">
        <f t="shared" si="282"/>
      </c>
      <c r="AF166" s="247">
        <f t="shared" si="282"/>
      </c>
      <c r="AG166" s="247">
        <f t="shared" si="282"/>
      </c>
      <c r="AH166" s="247">
        <f t="shared" si="282"/>
      </c>
      <c r="AI166" s="247">
        <f t="shared" si="282"/>
      </c>
      <c r="AJ166" s="953">
        <f t="shared" si="282"/>
      </c>
      <c r="AK166" s="247">
        <f t="shared" si="282"/>
      </c>
      <c r="AL166" s="247">
        <f t="shared" si="282"/>
      </c>
      <c r="AM166" s="247">
        <f t="shared" si="282"/>
      </c>
      <c r="AN166" s="247">
        <f t="shared" si="282"/>
      </c>
      <c r="AO166" s="953">
        <f t="shared" si="282"/>
      </c>
      <c r="AP166" s="247">
        <f t="shared" si="282"/>
      </c>
      <c r="AQ166" s="247">
        <f t="shared" si="282"/>
      </c>
      <c r="AR166" s="247">
        <f t="shared" si="282"/>
      </c>
      <c r="AS166" s="247">
        <f t="shared" si="282"/>
      </c>
      <c r="AT166" s="953">
        <f t="shared" si="282"/>
      </c>
      <c r="AU166" s="247">
        <f t="shared" si="282"/>
      </c>
      <c r="AV166" s="247">
        <f t="shared" si="282"/>
      </c>
      <c r="AW166" s="247">
        <f t="shared" si="282"/>
      </c>
      <c r="AX166" s="247">
        <f t="shared" ref="AX166:BD166" si="283">AX119</f>
      </c>
      <c r="AY166" s="953">
        <f t="shared" si="283"/>
      </c>
      <c r="AZ166" s="247">
        <f t="shared" si="283"/>
      </c>
      <c r="BA166" s="247">
        <f t="shared" si="283"/>
      </c>
      <c r="BB166" s="247">
        <f t="shared" si="283"/>
      </c>
      <c r="BC166" s="247">
        <f t="shared" si="283"/>
      </c>
      <c r="BD166" s="953">
        <f t="shared" si="283"/>
      </c>
      <c r="BE166" s="247">
        <f t="shared" ref="BE166:BI166" si="284">BE119</f>
      </c>
      <c r="BF166" s="247">
        <f t="shared" si="284"/>
      </c>
      <c r="BG166" s="247">
        <f t="shared" si="284"/>
      </c>
      <c r="BH166" s="247">
        <f t="shared" si="284"/>
      </c>
      <c r="BI166" s="953">
        <f t="shared" si="284"/>
      </c>
      <c r="BJ166" s="247">
        <f t="shared" ref="BJ166:BX166" si="285">BJ119</f>
      </c>
      <c r="BK166" s="247">
        <f t="shared" si="285"/>
      </c>
      <c r="BL166" s="247">
        <f t="shared" si="285"/>
      </c>
      <c r="BM166" s="247">
        <f t="shared" si="285"/>
      </c>
      <c r="BN166" s="953">
        <f t="shared" si="285"/>
      </c>
      <c r="BO166" s="247">
        <f t="shared" ref="BO166:BW166" si="286">BO119</f>
      </c>
      <c r="BP166" s="247">
        <f t="shared" si="286"/>
      </c>
      <c r="BQ166" s="247">
        <f t="shared" si="286"/>
      </c>
      <c r="BR166" s="247">
        <f t="shared" si="286"/>
      </c>
      <c r="BS166" s="953">
        <f t="shared" si="286"/>
      </c>
      <c r="BT166" s="497">
        <f>BT119</f>
      </c>
      <c r="BU166" s="247">
        <f t="shared" si="286"/>
      </c>
      <c r="BV166" s="247">
        <f t="shared" si="286"/>
      </c>
      <c r="BW166" s="247">
        <f t="shared" si="286"/>
      </c>
      <c r="BX166" s="953">
        <f t="shared" si="285"/>
      </c>
      <c r="BY166" s="247">
        <f t="shared" ref="BY166:CF166" si="287">BY119</f>
      </c>
      <c r="BZ166" s="247">
        <f t="shared" si="287"/>
      </c>
      <c r="CA166" s="247">
        <f t="shared" si="287"/>
      </c>
      <c r="CB166" s="247">
        <f t="shared" si="287"/>
      </c>
      <c r="CC166" s="953">
        <f t="shared" si="287"/>
      </c>
      <c r="CD166" s="953">
        <f t="shared" si="287"/>
      </c>
      <c r="CE166" s="953">
        <f t="shared" si="287"/>
      </c>
      <c r="CF166" s="953">
        <f t="shared" si="287"/>
      </c>
      <c r="CG166" s="131"/>
    </row>
    <row r="167" spans="1:85" x14ac:dyDescent="0.3">
      <c r="A167" s="188" t="s">
        <v>579</v>
      </c>
      <c r="B167" s="245"/>
      <c r="C167" s="933"/>
      <c r="D167" s="933"/>
      <c r="E167" s="933"/>
      <c r="F167" s="933"/>
      <c r="G167" s="200"/>
      <c r="H167" s="200"/>
      <c r="I167" s="200"/>
      <c r="J167" s="200"/>
      <c r="K167" s="933"/>
      <c r="L167" s="200"/>
      <c r="M167" s="200"/>
      <c r="N167" s="200"/>
      <c r="O167" s="200"/>
      <c r="P167" s="933"/>
      <c r="Q167" s="200"/>
      <c r="R167" s="200"/>
      <c r="S167" s="200"/>
      <c r="T167" s="200"/>
      <c r="U167" s="933"/>
      <c r="V167" s="200"/>
      <c r="W167" s="200"/>
      <c r="X167" s="200"/>
      <c r="Y167" s="200"/>
      <c r="Z167" s="933"/>
      <c r="AA167" s="200">
        <f t="shared" ref="AA167:AW167" si="288">SUM(AA163:AA166)</f>
      </c>
      <c r="AB167" s="200">
        <f t="shared" si="288"/>
      </c>
      <c r="AC167" s="200">
        <f t="shared" si="288"/>
      </c>
      <c r="AD167" s="200">
        <f t="shared" si="288"/>
      </c>
      <c r="AE167" s="933">
        <f t="shared" si="288"/>
      </c>
      <c r="AF167" s="24">
        <f t="shared" si="288"/>
      </c>
      <c r="AG167" s="24">
        <f t="shared" si="288"/>
      </c>
      <c r="AH167" s="24">
        <f t="shared" si="288"/>
      </c>
      <c r="AI167" s="24">
        <f t="shared" si="288"/>
      </c>
      <c r="AJ167" s="934">
        <f t="shared" si="288"/>
      </c>
      <c r="AK167" s="24">
        <f t="shared" si="288"/>
      </c>
      <c r="AL167" s="24">
        <f t="shared" si="288"/>
      </c>
      <c r="AM167" s="24">
        <f t="shared" si="288"/>
      </c>
      <c r="AN167" s="24">
        <f t="shared" si="288"/>
      </c>
      <c r="AO167" s="934">
        <f t="shared" si="288"/>
      </c>
      <c r="AP167" s="24">
        <f t="shared" si="288"/>
      </c>
      <c r="AQ167" s="24">
        <f t="shared" si="288"/>
      </c>
      <c r="AR167" s="24">
        <f t="shared" si="288"/>
      </c>
      <c r="AS167" s="24">
        <f t="shared" si="288"/>
      </c>
      <c r="AT167" s="934">
        <f t="shared" si="288"/>
      </c>
      <c r="AU167" s="24">
        <f t="shared" si="288"/>
      </c>
      <c r="AV167" s="24">
        <f t="shared" si="288"/>
      </c>
      <c r="AW167" s="24">
        <f t="shared" si="288"/>
      </c>
      <c r="AX167" s="24">
        <f t="shared" ref="AX167:BD167" si="289">SUM(AX163:AX166)</f>
      </c>
      <c r="AY167" s="934">
        <f t="shared" si="289"/>
      </c>
      <c r="AZ167" s="24">
        <f t="shared" si="289"/>
      </c>
      <c r="BA167" s="24">
        <f t="shared" si="289"/>
      </c>
      <c r="BB167" s="24">
        <f t="shared" si="289"/>
      </c>
      <c r="BC167" s="24">
        <f t="shared" si="289"/>
      </c>
      <c r="BD167" s="934">
        <f t="shared" si="289"/>
      </c>
      <c r="BE167" s="24">
        <f t="shared" ref="BE167:BI167" si="290">SUM(BE163:BE166)</f>
      </c>
      <c r="BF167" s="24">
        <f t="shared" si="290"/>
      </c>
      <c r="BG167" s="24">
        <f t="shared" si="290"/>
      </c>
      <c r="BH167" s="24">
        <f t="shared" si="290"/>
      </c>
      <c r="BI167" s="934">
        <f t="shared" si="290"/>
      </c>
      <c r="BJ167" s="24">
        <f t="shared" ref="BJ167:BX167" si="291">SUM(BJ163:BJ166)</f>
      </c>
      <c r="BK167" s="24">
        <f t="shared" si="291"/>
      </c>
      <c r="BL167" s="24">
        <f t="shared" si="291"/>
      </c>
      <c r="BM167" s="24">
        <f t="shared" si="291"/>
      </c>
      <c r="BN167" s="934">
        <f t="shared" si="291"/>
      </c>
      <c r="BO167" s="24">
        <f t="shared" ref="BO167:BW167" si="292">SUM(BO163:BO166)</f>
      </c>
      <c r="BP167" s="24">
        <f t="shared" si="292"/>
      </c>
      <c r="BQ167" s="24">
        <f t="shared" si="292"/>
      </c>
      <c r="BR167" s="24">
        <f t="shared" si="292"/>
      </c>
      <c r="BS167" s="934">
        <f t="shared" si="292"/>
      </c>
      <c r="BT167" s="673">
        <f>SUM(BT163:BT166)</f>
      </c>
      <c r="BU167" s="200">
        <f t="shared" si="292"/>
      </c>
      <c r="BV167" s="200">
        <f t="shared" si="292"/>
      </c>
      <c r="BW167" s="200">
        <f t="shared" si="292"/>
      </c>
      <c r="BX167" s="933">
        <f t="shared" si="291"/>
      </c>
      <c r="BY167" s="200">
        <f t="shared" ref="BY167:CF167" si="293">SUM(BY163:BY166)</f>
      </c>
      <c r="BZ167" s="200">
        <f t="shared" si="293"/>
      </c>
      <c r="CA167" s="200">
        <f t="shared" si="293"/>
      </c>
      <c r="CB167" s="200">
        <f t="shared" si="293"/>
      </c>
      <c r="CC167" s="933">
        <f t="shared" si="293"/>
      </c>
      <c r="CD167" s="933">
        <f t="shared" si="293"/>
      </c>
      <c r="CE167" s="933">
        <f t="shared" si="293"/>
      </c>
      <c r="CF167" s="933">
        <f t="shared" si="293"/>
      </c>
      <c r="CG167" s="24"/>
    </row>
    <row r="168" spans="1:85" hidden="1" outlineLevel="1" x14ac:dyDescent="0.3">
      <c r="A168" s="244"/>
      <c r="B168" s="245"/>
      <c r="C168" s="933"/>
      <c r="D168" s="933"/>
      <c r="E168" s="933"/>
      <c r="F168" s="933"/>
      <c r="G168" s="200"/>
      <c r="H168" s="200"/>
      <c r="I168" s="200"/>
      <c r="J168" s="200"/>
      <c r="K168" s="933"/>
      <c r="L168" s="200"/>
      <c r="M168" s="200"/>
      <c r="N168" s="200"/>
      <c r="O168" s="200"/>
      <c r="P168" s="933"/>
      <c r="Q168" s="200"/>
      <c r="R168" s="200"/>
      <c r="S168" s="200"/>
      <c r="T168" s="200"/>
      <c r="U168" s="933"/>
      <c r="V168" s="200"/>
      <c r="W168" s="200"/>
      <c r="X168" s="200"/>
      <c r="Y168" s="200"/>
      <c r="Z168" s="933"/>
      <c r="AA168" s="200"/>
      <c r="AB168" s="200"/>
      <c r="AC168" s="200"/>
      <c r="AD168" s="200"/>
      <c r="AE168" s="933"/>
      <c r="AF168" s="200"/>
      <c r="AG168" s="200"/>
      <c r="AH168" s="200"/>
      <c r="AI168" s="200"/>
      <c r="AJ168" s="933"/>
      <c r="AK168" s="200"/>
      <c r="AL168" s="200"/>
      <c r="AM168" s="200"/>
      <c r="AN168" s="200"/>
      <c r="AO168" s="933"/>
      <c r="AP168" s="200"/>
      <c r="AQ168" s="200"/>
      <c r="AR168" s="200"/>
      <c r="AS168" s="200"/>
      <c r="AT168" s="933"/>
      <c r="AU168" s="200"/>
      <c r="AV168" s="200"/>
      <c r="AW168" s="200"/>
      <c r="AX168" s="200"/>
      <c r="AY168" s="933"/>
      <c r="AZ168" s="200"/>
      <c r="BA168" s="200"/>
      <c r="BB168" s="200"/>
      <c r="BC168" s="200"/>
      <c r="BD168" s="933"/>
      <c r="BE168" s="200"/>
      <c r="BF168" s="200"/>
      <c r="BG168" s="200"/>
      <c r="BH168" s="200"/>
      <c r="BI168" s="933"/>
      <c r="BJ168" s="200"/>
      <c r="BK168" s="200"/>
      <c r="BL168" s="200"/>
      <c r="BM168" s="200"/>
      <c r="BN168" s="933"/>
      <c r="BO168" s="200"/>
      <c r="BP168" s="200"/>
      <c r="BQ168" s="200"/>
      <c r="BR168" s="200"/>
      <c r="BS168" s="933"/>
      <c r="BT168" s="295"/>
      <c r="BU168" s="200"/>
      <c r="BV168" s="200"/>
      <c r="BW168" s="200"/>
      <c r="BX168" s="933"/>
      <c r="BY168" s="200"/>
      <c r="BZ168" s="200"/>
      <c r="CA168" s="200"/>
      <c r="CB168" s="200"/>
      <c r="CC168" s="933"/>
      <c r="CD168" s="933"/>
      <c r="CE168" s="933"/>
      <c r="CF168" s="933"/>
      <c r="CG168" s="24"/>
    </row>
    <row r="169" spans="1:85" s="590" customFormat="1" hidden="1" outlineLevel="2" x14ac:dyDescent="0.3">
      <c r="A169" s="389" t="s">
        <v>679</v>
      </c>
      <c r="B169" s="115"/>
      <c r="C169" s="978"/>
      <c r="D169" s="978"/>
      <c r="E169" s="978"/>
      <c r="F169" s="978"/>
      <c r="G169" s="68"/>
      <c r="H169" s="68"/>
      <c r="I169" s="68"/>
      <c r="J169" s="68"/>
      <c r="K169" s="978"/>
      <c r="L169" s="68"/>
      <c r="M169" s="68"/>
      <c r="N169" s="68"/>
      <c r="O169" s="68"/>
      <c r="P169" s="978"/>
      <c r="Q169" s="68"/>
      <c r="R169" s="68"/>
      <c r="S169" s="68"/>
      <c r="T169" s="68"/>
      <c r="U169" s="978"/>
      <c r="V169" s="68"/>
      <c r="W169" s="68"/>
      <c r="X169" s="68"/>
      <c r="Y169" s="68"/>
      <c r="Z169" s="978"/>
      <c r="AA169" s="68">
        <f t="shared" ref="AA169:AO169" si="294">AA161/AA$167</f>
      </c>
      <c r="AB169" s="68">
        <f t="shared" si="294"/>
      </c>
      <c r="AC169" s="68">
        <f t="shared" si="294"/>
      </c>
      <c r="AD169" s="68">
        <f t="shared" si="294"/>
      </c>
      <c r="AE169" s="978">
        <f t="shared" si="294"/>
      </c>
      <c r="AF169" s="68">
        <f t="shared" si="294"/>
      </c>
      <c r="AG169" s="68">
        <f t="shared" si="294"/>
      </c>
      <c r="AH169" s="68">
        <f t="shared" si="294"/>
      </c>
      <c r="AI169" s="68">
        <f t="shared" si="294"/>
      </c>
      <c r="AJ169" s="978">
        <f t="shared" si="294"/>
      </c>
      <c r="AK169" s="68">
        <f t="shared" si="294"/>
      </c>
      <c r="AL169" s="68">
        <f t="shared" si="294"/>
      </c>
      <c r="AM169" s="68">
        <f t="shared" si="294"/>
      </c>
      <c r="AN169" s="68">
        <f t="shared" si="294"/>
      </c>
      <c r="AO169" s="978">
        <f t="shared" si="294"/>
      </c>
      <c r="AP169" s="68"/>
      <c r="AQ169" s="68"/>
      <c r="AR169" s="68"/>
      <c r="AS169" s="68"/>
      <c r="AT169" s="978"/>
      <c r="AU169" s="68"/>
      <c r="AV169" s="68"/>
      <c r="AW169" s="68"/>
      <c r="AX169" s="68"/>
      <c r="AY169" s="978"/>
      <c r="AZ169" s="68"/>
      <c r="BA169" s="68"/>
      <c r="BB169" s="68"/>
      <c r="BC169" s="68"/>
      <c r="BD169" s="978"/>
      <c r="BE169" s="68"/>
      <c r="BF169" s="68"/>
      <c r="BG169" s="68"/>
      <c r="BH169" s="68"/>
      <c r="BI169" s="978"/>
      <c r="BJ169" s="68"/>
      <c r="BK169" s="68"/>
      <c r="BL169" s="68"/>
      <c r="BM169" s="68"/>
      <c r="BN169" s="978"/>
      <c r="BO169" s="68"/>
      <c r="BP169" s="68"/>
      <c r="BQ169" s="68"/>
      <c r="BR169" s="68"/>
      <c r="BS169" s="978"/>
      <c r="BT169" s="541"/>
      <c r="BU169" s="68"/>
      <c r="BV169" s="68"/>
      <c r="BW169" s="68"/>
      <c r="BX169" s="978"/>
      <c r="BY169" s="68"/>
      <c r="BZ169" s="68"/>
      <c r="CA169" s="68"/>
      <c r="CB169" s="68"/>
      <c r="CC169" s="978"/>
      <c r="CD169" s="978"/>
      <c r="CE169" s="978"/>
      <c r="CF169" s="978"/>
      <c r="CG169" s="8"/>
    </row>
    <row r="170" spans="1:85" s="590" customFormat="1" hidden="1" outlineLevel="2" x14ac:dyDescent="0.3">
      <c r="A170" s="390" t="s">
        <v>680</v>
      </c>
      <c r="B170" s="177"/>
      <c r="C170" s="979"/>
      <c r="D170" s="979"/>
      <c r="E170" s="979"/>
      <c r="F170" s="979"/>
      <c r="G170" s="155"/>
      <c r="H170" s="155"/>
      <c r="I170" s="155"/>
      <c r="J170" s="155"/>
      <c r="K170" s="979"/>
      <c r="L170" s="155"/>
      <c r="M170" s="155"/>
      <c r="N170" s="155"/>
      <c r="O170" s="155"/>
      <c r="P170" s="979"/>
      <c r="Q170" s="155"/>
      <c r="R170" s="155"/>
      <c r="S170" s="155"/>
      <c r="T170" s="155"/>
      <c r="U170" s="979"/>
      <c r="V170" s="155"/>
      <c r="W170" s="155"/>
      <c r="X170" s="155"/>
      <c r="Y170" s="155"/>
      <c r="Z170" s="979"/>
      <c r="AA170" s="155">
        <f t="shared" ref="AA170:AO170" si="295">AA162/AA$167</f>
      </c>
      <c r="AB170" s="155">
        <f t="shared" si="295"/>
      </c>
      <c r="AC170" s="155">
        <f t="shared" si="295"/>
      </c>
      <c r="AD170" s="155">
        <f t="shared" si="295"/>
      </c>
      <c r="AE170" s="979">
        <f t="shared" si="295"/>
      </c>
      <c r="AF170" s="155">
        <f t="shared" si="295"/>
      </c>
      <c r="AG170" s="155">
        <f t="shared" si="295"/>
      </c>
      <c r="AH170" s="155">
        <f t="shared" si="295"/>
      </c>
      <c r="AI170" s="155">
        <f t="shared" si="295"/>
      </c>
      <c r="AJ170" s="979">
        <f t="shared" si="295"/>
      </c>
      <c r="AK170" s="155">
        <f t="shared" si="295"/>
      </c>
      <c r="AL170" s="155">
        <f t="shared" si="295"/>
      </c>
      <c r="AM170" s="155">
        <f t="shared" si="295"/>
      </c>
      <c r="AN170" s="155">
        <f t="shared" si="295"/>
      </c>
      <c r="AO170" s="979">
        <f t="shared" si="295"/>
      </c>
      <c r="AP170" s="155"/>
      <c r="AQ170" s="155"/>
      <c r="AR170" s="155"/>
      <c r="AS170" s="155"/>
      <c r="AT170" s="979"/>
      <c r="AU170" s="155"/>
      <c r="AV170" s="155"/>
      <c r="AW170" s="155"/>
      <c r="AX170" s="155"/>
      <c r="AY170" s="979"/>
      <c r="AZ170" s="155"/>
      <c r="BA170" s="155"/>
      <c r="BB170" s="155"/>
      <c r="BC170" s="155"/>
      <c r="BD170" s="979"/>
      <c r="BE170" s="155"/>
      <c r="BF170" s="155"/>
      <c r="BG170" s="155"/>
      <c r="BH170" s="155"/>
      <c r="BI170" s="979"/>
      <c r="BJ170" s="155"/>
      <c r="BK170" s="155"/>
      <c r="BL170" s="155"/>
      <c r="BM170" s="155"/>
      <c r="BN170" s="979"/>
      <c r="BO170" s="155"/>
      <c r="BP170" s="155"/>
      <c r="BQ170" s="155"/>
      <c r="BR170" s="155"/>
      <c r="BS170" s="979"/>
      <c r="BT170" s="679"/>
      <c r="BU170" s="155"/>
      <c r="BV170" s="155"/>
      <c r="BW170" s="155"/>
      <c r="BX170" s="979"/>
      <c r="BY170" s="155"/>
      <c r="BZ170" s="155"/>
      <c r="CA170" s="155"/>
      <c r="CB170" s="155"/>
      <c r="CC170" s="979"/>
      <c r="CD170" s="979"/>
      <c r="CE170" s="979"/>
      <c r="CF170" s="979"/>
      <c r="CG170" s="8"/>
    </row>
    <row r="171" spans="1:85" s="590" customFormat="1" hidden="1" outlineLevel="1" collapsed="1" x14ac:dyDescent="0.3">
      <c r="A171" s="262" t="s">
        <v>682</v>
      </c>
      <c r="B171" s="115"/>
      <c r="C171" s="978"/>
      <c r="D171" s="978"/>
      <c r="E171" s="978"/>
      <c r="F171" s="978"/>
      <c r="G171" s="68"/>
      <c r="H171" s="68"/>
      <c r="I171" s="68"/>
      <c r="J171" s="68"/>
      <c r="K171" s="978"/>
      <c r="L171" s="68"/>
      <c r="M171" s="68"/>
      <c r="N171" s="68"/>
      <c r="O171" s="68"/>
      <c r="P171" s="978"/>
      <c r="Q171" s="68"/>
      <c r="R171" s="68"/>
      <c r="S171" s="68"/>
      <c r="T171" s="68"/>
      <c r="U171" s="978"/>
      <c r="V171" s="68"/>
      <c r="W171" s="68"/>
      <c r="X171" s="68"/>
      <c r="Y171" s="68"/>
      <c r="Z171" s="978"/>
      <c r="AA171" s="68">
        <f t="shared" ref="AA171:AO171" si="296">AA163/AA$167</f>
      </c>
      <c r="AB171" s="68">
        <f t="shared" si="296"/>
      </c>
      <c r="AC171" s="68">
        <f t="shared" si="296"/>
      </c>
      <c r="AD171" s="68">
        <f t="shared" si="296"/>
      </c>
      <c r="AE171" s="978">
        <f t="shared" si="296"/>
      </c>
      <c r="AF171" s="68">
        <f t="shared" si="296"/>
      </c>
      <c r="AG171" s="68">
        <f t="shared" si="296"/>
      </c>
      <c r="AH171" s="68">
        <f t="shared" si="296"/>
      </c>
      <c r="AI171" s="68">
        <f t="shared" si="296"/>
      </c>
      <c r="AJ171" s="978">
        <f t="shared" si="296"/>
      </c>
      <c r="AK171" s="68">
        <f t="shared" si="296"/>
      </c>
      <c r="AL171" s="68">
        <f t="shared" si="296"/>
      </c>
      <c r="AM171" s="68">
        <f t="shared" si="296"/>
      </c>
      <c r="AN171" s="68">
        <f t="shared" si="296"/>
      </c>
      <c r="AO171" s="978">
        <f t="shared" si="296"/>
      </c>
      <c r="AP171" s="68">
        <f t="shared" ref="AP171:AW171" si="297">AP163/AP$167</f>
      </c>
      <c r="AQ171" s="68">
        <f t="shared" si="297"/>
      </c>
      <c r="AR171" s="68">
        <f t="shared" si="297"/>
      </c>
      <c r="AS171" s="68">
        <f t="shared" si="297"/>
      </c>
      <c r="AT171" s="978">
        <f t="shared" si="297"/>
      </c>
      <c r="AU171" s="68">
        <f t="shared" si="297"/>
      </c>
      <c r="AV171" s="68">
        <f t="shared" si="297"/>
      </c>
      <c r="AW171" s="68">
        <f t="shared" si="297"/>
      </c>
      <c r="AX171" s="68">
        <f t="shared" ref="AX171:AY174" si="298">AX163/AX$167</f>
      </c>
      <c r="AY171" s="978">
        <f t="shared" si="298"/>
      </c>
      <c r="AZ171" s="68">
        <f t="shared" ref="AZ171:BA174" si="299">AZ163/AZ$167</f>
      </c>
      <c r="BA171" s="68">
        <f t="shared" si="299"/>
      </c>
      <c r="BB171" s="68">
        <f t="shared" ref="BB171:BD174" si="300">BB163/BB$167</f>
      </c>
      <c r="BC171" s="68">
        <f t="shared" si="300"/>
      </c>
      <c r="BD171" s="978">
        <f t="shared" si="300"/>
      </c>
      <c r="BE171" s="68">
        <f t="shared" ref="BE171:BF174" si="301">BE163/BE$167</f>
      </c>
      <c r="BF171" s="68">
        <f t="shared" si="301"/>
      </c>
      <c r="BG171" s="68">
        <f t="shared" ref="BG171:BI174" si="302">BG163/BG$167</f>
      </c>
      <c r="BH171" s="68">
        <f t="shared" si="302"/>
      </c>
      <c r="BI171" s="978">
        <f t="shared" si="302"/>
      </c>
      <c r="BJ171" s="68">
        <f t="shared" ref="BJ171:BK174" si="303">BJ163/BJ$167</f>
      </c>
      <c r="BK171" s="68">
        <f t="shared" si="303"/>
      </c>
      <c r="BL171" s="68">
        <f t="shared" ref="BL171:BN174" si="304">BL163/BL$167</f>
      </c>
      <c r="BM171" s="68">
        <f t="shared" si="304"/>
      </c>
      <c r="BN171" s="978">
        <f t="shared" si="304"/>
      </c>
      <c r="BO171" s="68">
        <f t="shared" ref="BO171:BP174" si="305">BO163/BO$167</f>
      </c>
      <c r="BP171" s="68">
        <f t="shared" si="305"/>
      </c>
      <c r="BQ171" s="68">
        <f t="shared" ref="BQ171:BW174" si="306">BQ163/BQ$167</f>
      </c>
      <c r="BR171" s="68">
        <f t="shared" si="306"/>
      </c>
      <c r="BS171" s="978">
        <f t="shared" si="306"/>
      </c>
      <c r="BT171" s="541">
        <f>BT163/BT$167</f>
      </c>
      <c r="BU171" s="68">
        <f t="shared" si="306"/>
      </c>
      <c r="BV171" s="68">
        <f t="shared" si="306"/>
      </c>
      <c r="BW171" s="68">
        <f t="shared" si="306"/>
      </c>
      <c r="BX171" s="978">
        <f t="shared" ref="BX171:BX174" si="307">BX163/BX$167</f>
      </c>
      <c r="BY171" s="68">
        <f t="shared" ref="BY171:CF174" si="308">BY163/BY$167</f>
      </c>
      <c r="BZ171" s="68">
        <f t="shared" si="308"/>
      </c>
      <c r="CA171" s="68">
        <f t="shared" si="308"/>
      </c>
      <c r="CB171" s="68">
        <f t="shared" si="308"/>
      </c>
      <c r="CC171" s="978">
        <f t="shared" si="308"/>
      </c>
      <c r="CD171" s="978">
        <f t="shared" si="308"/>
      </c>
      <c r="CE171" s="978">
        <f t="shared" si="308"/>
      </c>
      <c r="CF171" s="978">
        <f t="shared" si="308"/>
      </c>
      <c r="CG171" s="8"/>
    </row>
    <row r="172" spans="1:85" s="590" customFormat="1" hidden="1" outlineLevel="1" x14ac:dyDescent="0.3">
      <c r="A172" s="262" t="s">
        <v>687</v>
      </c>
      <c r="B172" s="115"/>
      <c r="C172" s="978"/>
      <c r="D172" s="978"/>
      <c r="E172" s="978"/>
      <c r="F172" s="978"/>
      <c r="G172" s="68"/>
      <c r="H172" s="68"/>
      <c r="I172" s="68"/>
      <c r="J172" s="68"/>
      <c r="K172" s="978"/>
      <c r="L172" s="68"/>
      <c r="M172" s="68"/>
      <c r="N172" s="68"/>
      <c r="O172" s="68"/>
      <c r="P172" s="978"/>
      <c r="Q172" s="68"/>
      <c r="R172" s="68"/>
      <c r="S172" s="68"/>
      <c r="T172" s="68"/>
      <c r="U172" s="978"/>
      <c r="V172" s="68"/>
      <c r="W172" s="68"/>
      <c r="X172" s="68"/>
      <c r="Y172" s="68"/>
      <c r="Z172" s="978"/>
      <c r="AA172" s="68">
        <f t="shared" ref="AA172:AO172" si="309">AA164/AA$167</f>
      </c>
      <c r="AB172" s="68">
        <f t="shared" si="309"/>
      </c>
      <c r="AC172" s="68">
        <f t="shared" si="309"/>
      </c>
      <c r="AD172" s="68">
        <f t="shared" si="309"/>
      </c>
      <c r="AE172" s="978">
        <f t="shared" si="309"/>
      </c>
      <c r="AF172" s="68">
        <f t="shared" si="309"/>
      </c>
      <c r="AG172" s="68">
        <f t="shared" si="309"/>
      </c>
      <c r="AH172" s="68">
        <f t="shared" si="309"/>
      </c>
      <c r="AI172" s="68">
        <f t="shared" si="309"/>
      </c>
      <c r="AJ172" s="978">
        <f t="shared" si="309"/>
      </c>
      <c r="AK172" s="68">
        <f t="shared" si="309"/>
      </c>
      <c r="AL172" s="68">
        <f t="shared" si="309"/>
      </c>
      <c r="AM172" s="68">
        <f t="shared" si="309"/>
      </c>
      <c r="AN172" s="68">
        <f t="shared" si="309"/>
      </c>
      <c r="AO172" s="978">
        <f t="shared" si="309"/>
      </c>
      <c r="AP172" s="68">
        <f t="shared" ref="AP172:AW172" si="310">AP164/AP$167</f>
      </c>
      <c r="AQ172" s="68">
        <f t="shared" si="310"/>
      </c>
      <c r="AR172" s="68">
        <f t="shared" si="310"/>
      </c>
      <c r="AS172" s="68">
        <f t="shared" si="310"/>
      </c>
      <c r="AT172" s="978">
        <f t="shared" si="310"/>
      </c>
      <c r="AU172" s="68">
        <f t="shared" si="310"/>
      </c>
      <c r="AV172" s="68">
        <f t="shared" si="310"/>
      </c>
      <c r="AW172" s="68">
        <f t="shared" si="310"/>
      </c>
      <c r="AX172" s="68">
        <f t="shared" si="298"/>
      </c>
      <c r="AY172" s="978">
        <f t="shared" si="298"/>
      </c>
      <c r="AZ172" s="68">
        <f t="shared" si="299"/>
      </c>
      <c r="BA172" s="68">
        <f t="shared" si="299"/>
      </c>
      <c r="BB172" s="68">
        <f t="shared" si="300"/>
      </c>
      <c r="BC172" s="68">
        <f t="shared" si="300"/>
      </c>
      <c r="BD172" s="978">
        <f t="shared" si="300"/>
      </c>
      <c r="BE172" s="68">
        <f t="shared" si="301"/>
      </c>
      <c r="BF172" s="68">
        <f t="shared" si="301"/>
      </c>
      <c r="BG172" s="68">
        <f t="shared" si="302"/>
      </c>
      <c r="BH172" s="68">
        <f t="shared" si="302"/>
      </c>
      <c r="BI172" s="978">
        <f t="shared" si="302"/>
      </c>
      <c r="BJ172" s="68">
        <f t="shared" si="303"/>
      </c>
      <c r="BK172" s="68">
        <f t="shared" si="303"/>
      </c>
      <c r="BL172" s="68">
        <f t="shared" si="304"/>
      </c>
      <c r="BM172" s="68">
        <f t="shared" si="304"/>
      </c>
      <c r="BN172" s="978">
        <f t="shared" si="304"/>
      </c>
      <c r="BO172" s="68">
        <f t="shared" si="305"/>
      </c>
      <c r="BP172" s="68">
        <f t="shared" si="305"/>
      </c>
      <c r="BQ172" s="68">
        <f t="shared" si="306"/>
      </c>
      <c r="BR172" s="68">
        <f t="shared" si="306"/>
      </c>
      <c r="BS172" s="978">
        <f t="shared" si="306"/>
      </c>
      <c r="BT172" s="541">
        <f>BT164/BT$167</f>
      </c>
      <c r="BU172" s="68">
        <f t="shared" si="306"/>
      </c>
      <c r="BV172" s="68">
        <f t="shared" si="306"/>
      </c>
      <c r="BW172" s="68">
        <f t="shared" si="306"/>
      </c>
      <c r="BX172" s="978">
        <f t="shared" si="307"/>
      </c>
      <c r="BY172" s="68">
        <f t="shared" si="308"/>
      </c>
      <c r="BZ172" s="68">
        <f t="shared" si="308"/>
      </c>
      <c r="CA172" s="68">
        <f t="shared" si="308"/>
      </c>
      <c r="CB172" s="68">
        <f t="shared" si="308"/>
      </c>
      <c r="CC172" s="978">
        <f t="shared" si="308"/>
      </c>
      <c r="CD172" s="978">
        <f t="shared" si="308"/>
      </c>
      <c r="CE172" s="978">
        <f t="shared" si="308"/>
      </c>
      <c r="CF172" s="978">
        <f t="shared" si="308"/>
      </c>
      <c r="CG172" s="8"/>
    </row>
    <row r="173" spans="1:85" s="590" customFormat="1" hidden="1" outlineLevel="1" x14ac:dyDescent="0.3">
      <c r="A173" s="262" t="s">
        <v>688</v>
      </c>
      <c r="B173" s="115"/>
      <c r="C173" s="978"/>
      <c r="D173" s="978"/>
      <c r="E173" s="978"/>
      <c r="F173" s="978"/>
      <c r="G173" s="68"/>
      <c r="H173" s="68"/>
      <c r="I173" s="68"/>
      <c r="J173" s="68"/>
      <c r="K173" s="978"/>
      <c r="L173" s="68"/>
      <c r="M173" s="68"/>
      <c r="N173" s="68"/>
      <c r="O173" s="68"/>
      <c r="P173" s="978"/>
      <c r="Q173" s="68"/>
      <c r="R173" s="68"/>
      <c r="S173" s="68"/>
      <c r="T173" s="68"/>
      <c r="U173" s="978"/>
      <c r="V173" s="68"/>
      <c r="W173" s="68"/>
      <c r="X173" s="68"/>
      <c r="Y173" s="68"/>
      <c r="Z173" s="978"/>
      <c r="AA173" s="68">
        <f t="shared" ref="AA173:AO173" si="311">AA165/AA$167</f>
      </c>
      <c r="AB173" s="68">
        <f t="shared" si="311"/>
      </c>
      <c r="AC173" s="68">
        <f t="shared" si="311"/>
      </c>
      <c r="AD173" s="68">
        <f t="shared" si="311"/>
      </c>
      <c r="AE173" s="978">
        <f t="shared" si="311"/>
      </c>
      <c r="AF173" s="68">
        <f t="shared" si="311"/>
      </c>
      <c r="AG173" s="68">
        <f t="shared" si="311"/>
      </c>
      <c r="AH173" s="68">
        <f t="shared" si="311"/>
      </c>
      <c r="AI173" s="68">
        <f t="shared" si="311"/>
      </c>
      <c r="AJ173" s="978">
        <f t="shared" si="311"/>
      </c>
      <c r="AK173" s="68">
        <f t="shared" si="311"/>
      </c>
      <c r="AL173" s="68">
        <f t="shared" si="311"/>
      </c>
      <c r="AM173" s="68">
        <f t="shared" si="311"/>
      </c>
      <c r="AN173" s="68">
        <f t="shared" si="311"/>
      </c>
      <c r="AO173" s="978">
        <f t="shared" si="311"/>
      </c>
      <c r="AP173" s="68">
        <f t="shared" ref="AP173:AW173" si="312">AP165/AP$167</f>
      </c>
      <c r="AQ173" s="68">
        <f t="shared" si="312"/>
      </c>
      <c r="AR173" s="68">
        <f t="shared" si="312"/>
      </c>
      <c r="AS173" s="68">
        <f t="shared" si="312"/>
      </c>
      <c r="AT173" s="978">
        <f t="shared" si="312"/>
      </c>
      <c r="AU173" s="68">
        <f t="shared" si="312"/>
      </c>
      <c r="AV173" s="68">
        <f t="shared" si="312"/>
      </c>
      <c r="AW173" s="68">
        <f t="shared" si="312"/>
      </c>
      <c r="AX173" s="68">
        <f t="shared" si="298"/>
      </c>
      <c r="AY173" s="978">
        <f t="shared" si="298"/>
      </c>
      <c r="AZ173" s="68">
        <f t="shared" si="299"/>
      </c>
      <c r="BA173" s="68">
        <f t="shared" si="299"/>
      </c>
      <c r="BB173" s="68">
        <f t="shared" si="300"/>
      </c>
      <c r="BC173" s="68">
        <f t="shared" si="300"/>
      </c>
      <c r="BD173" s="978">
        <f t="shared" si="300"/>
      </c>
      <c r="BE173" s="68">
        <f t="shared" si="301"/>
      </c>
      <c r="BF173" s="68">
        <f t="shared" si="301"/>
      </c>
      <c r="BG173" s="68">
        <f t="shared" si="302"/>
      </c>
      <c r="BH173" s="68">
        <f t="shared" si="302"/>
      </c>
      <c r="BI173" s="978">
        <f t="shared" si="302"/>
      </c>
      <c r="BJ173" s="68">
        <f t="shared" si="303"/>
      </c>
      <c r="BK173" s="68">
        <f t="shared" si="303"/>
      </c>
      <c r="BL173" s="68">
        <f t="shared" si="304"/>
      </c>
      <c r="BM173" s="68">
        <f t="shared" si="304"/>
      </c>
      <c r="BN173" s="978">
        <f t="shared" si="304"/>
      </c>
      <c r="BO173" s="68">
        <f t="shared" si="305"/>
      </c>
      <c r="BP173" s="68">
        <f t="shared" si="305"/>
      </c>
      <c r="BQ173" s="68">
        <f t="shared" si="306"/>
      </c>
      <c r="BR173" s="68">
        <f t="shared" si="306"/>
      </c>
      <c r="BS173" s="978">
        <f t="shared" si="306"/>
      </c>
      <c r="BT173" s="541">
        <f>BT165/BT$167</f>
      </c>
      <c r="BU173" s="68">
        <f t="shared" si="306"/>
      </c>
      <c r="BV173" s="68">
        <f t="shared" si="306"/>
      </c>
      <c r="BW173" s="68">
        <f t="shared" si="306"/>
      </c>
      <c r="BX173" s="978">
        <f t="shared" si="307"/>
      </c>
      <c r="BY173" s="68">
        <f t="shared" si="308"/>
      </c>
      <c r="BZ173" s="68">
        <f t="shared" si="308"/>
      </c>
      <c r="CA173" s="68">
        <f t="shared" si="308"/>
      </c>
      <c r="CB173" s="68">
        <f t="shared" si="308"/>
      </c>
      <c r="CC173" s="978">
        <f t="shared" si="308"/>
      </c>
      <c r="CD173" s="978">
        <f t="shared" si="308"/>
      </c>
      <c r="CE173" s="978">
        <f t="shared" si="308"/>
      </c>
      <c r="CF173" s="978">
        <f t="shared" si="308"/>
      </c>
      <c r="CG173" s="8"/>
    </row>
    <row r="174" spans="1:85" s="590" customFormat="1" hidden="1" outlineLevel="1" x14ac:dyDescent="0.3">
      <c r="A174" s="324" t="s">
        <v>689</v>
      </c>
      <c r="B174" s="177"/>
      <c r="C174" s="979"/>
      <c r="D174" s="979"/>
      <c r="E174" s="979"/>
      <c r="F174" s="979"/>
      <c r="G174" s="155"/>
      <c r="H174" s="155"/>
      <c r="I174" s="155"/>
      <c r="J174" s="155"/>
      <c r="K174" s="979"/>
      <c r="L174" s="155"/>
      <c r="M174" s="155"/>
      <c r="N174" s="155"/>
      <c r="O174" s="155"/>
      <c r="P174" s="979"/>
      <c r="Q174" s="155"/>
      <c r="R174" s="155"/>
      <c r="S174" s="155"/>
      <c r="T174" s="155"/>
      <c r="U174" s="979"/>
      <c r="V174" s="155"/>
      <c r="W174" s="155"/>
      <c r="X174" s="155"/>
      <c r="Y174" s="155"/>
      <c r="Z174" s="979"/>
      <c r="AA174" s="155">
        <f t="shared" ref="AA174:AO174" si="313">AA166/AA$167</f>
      </c>
      <c r="AB174" s="155">
        <f t="shared" si="313"/>
      </c>
      <c r="AC174" s="155">
        <f t="shared" si="313"/>
      </c>
      <c r="AD174" s="155">
        <f t="shared" si="313"/>
      </c>
      <c r="AE174" s="979">
        <f t="shared" si="313"/>
      </c>
      <c r="AF174" s="155">
        <f t="shared" si="313"/>
      </c>
      <c r="AG174" s="155">
        <f t="shared" si="313"/>
      </c>
      <c r="AH174" s="155">
        <f t="shared" si="313"/>
      </c>
      <c r="AI174" s="155">
        <f t="shared" si="313"/>
      </c>
      <c r="AJ174" s="979">
        <f t="shared" si="313"/>
      </c>
      <c r="AK174" s="155">
        <f t="shared" si="313"/>
      </c>
      <c r="AL174" s="155">
        <f t="shared" si="313"/>
      </c>
      <c r="AM174" s="155">
        <f t="shared" si="313"/>
      </c>
      <c r="AN174" s="155">
        <f t="shared" si="313"/>
      </c>
      <c r="AO174" s="979">
        <f t="shared" si="313"/>
      </c>
      <c r="AP174" s="155">
        <f t="shared" ref="AP174:AW174" si="314">AP166/AP$167</f>
      </c>
      <c r="AQ174" s="155">
        <f t="shared" si="314"/>
      </c>
      <c r="AR174" s="155">
        <f t="shared" si="314"/>
      </c>
      <c r="AS174" s="155">
        <f t="shared" si="314"/>
      </c>
      <c r="AT174" s="979">
        <f t="shared" si="314"/>
      </c>
      <c r="AU174" s="155">
        <f t="shared" si="314"/>
      </c>
      <c r="AV174" s="155">
        <f t="shared" si="314"/>
      </c>
      <c r="AW174" s="155">
        <f t="shared" si="314"/>
      </c>
      <c r="AX174" s="155">
        <f t="shared" si="298"/>
      </c>
      <c r="AY174" s="979">
        <f t="shared" si="298"/>
      </c>
      <c r="AZ174" s="155">
        <f t="shared" si="299"/>
      </c>
      <c r="BA174" s="155">
        <f t="shared" si="299"/>
      </c>
      <c r="BB174" s="155">
        <f t="shared" si="300"/>
      </c>
      <c r="BC174" s="155">
        <f t="shared" si="300"/>
      </c>
      <c r="BD174" s="979">
        <f t="shared" si="300"/>
      </c>
      <c r="BE174" s="155">
        <f t="shared" si="301"/>
      </c>
      <c r="BF174" s="155">
        <f t="shared" si="301"/>
      </c>
      <c r="BG174" s="155">
        <f t="shared" si="302"/>
      </c>
      <c r="BH174" s="155">
        <f t="shared" si="302"/>
      </c>
      <c r="BI174" s="979">
        <f t="shared" si="302"/>
      </c>
      <c r="BJ174" s="155">
        <f t="shared" si="303"/>
      </c>
      <c r="BK174" s="155">
        <f t="shared" si="303"/>
      </c>
      <c r="BL174" s="155">
        <f t="shared" si="304"/>
      </c>
      <c r="BM174" s="155">
        <f t="shared" si="304"/>
      </c>
      <c r="BN174" s="979">
        <f t="shared" si="304"/>
      </c>
      <c r="BO174" s="155">
        <f t="shared" si="305"/>
      </c>
      <c r="BP174" s="155">
        <f t="shared" si="305"/>
      </c>
      <c r="BQ174" s="155">
        <f t="shared" si="306"/>
      </c>
      <c r="BR174" s="155">
        <f t="shared" si="306"/>
      </c>
      <c r="BS174" s="979">
        <f t="shared" si="306"/>
      </c>
      <c r="BT174" s="679">
        <f>BT166/BT$167</f>
      </c>
      <c r="BU174" s="155">
        <f t="shared" si="306"/>
      </c>
      <c r="BV174" s="155">
        <f t="shared" si="306"/>
      </c>
      <c r="BW174" s="155">
        <f t="shared" si="306"/>
      </c>
      <c r="BX174" s="979">
        <f t="shared" si="307"/>
      </c>
      <c r="BY174" s="155">
        <f t="shared" si="308"/>
      </c>
      <c r="BZ174" s="155">
        <f t="shared" si="308"/>
      </c>
      <c r="CA174" s="155">
        <f t="shared" si="308"/>
      </c>
      <c r="CB174" s="155">
        <f t="shared" si="308"/>
      </c>
      <c r="CC174" s="979">
        <f t="shared" si="308"/>
      </c>
      <c r="CD174" s="979">
        <f t="shared" si="308"/>
      </c>
      <c r="CE174" s="979">
        <f t="shared" si="308"/>
      </c>
      <c r="CF174" s="979">
        <f t="shared" si="308"/>
      </c>
      <c r="CG174" s="8"/>
    </row>
    <row r="175" spans="1:85" s="592" customFormat="1" hidden="1" outlineLevel="1" x14ac:dyDescent="0.3">
      <c r="A175" s="325" t="s">
        <v>681</v>
      </c>
      <c r="B175" s="55"/>
      <c r="C175" s="980"/>
      <c r="D175" s="980"/>
      <c r="E175" s="980"/>
      <c r="F175" s="980"/>
      <c r="G175" s="26"/>
      <c r="H175" s="26"/>
      <c r="I175" s="26"/>
      <c r="J175" s="26"/>
      <c r="K175" s="980"/>
      <c r="L175" s="26"/>
      <c r="M175" s="26"/>
      <c r="N175" s="26"/>
      <c r="O175" s="26"/>
      <c r="P175" s="980"/>
      <c r="Q175" s="26"/>
      <c r="R175" s="26"/>
      <c r="S175" s="26"/>
      <c r="T175" s="26"/>
      <c r="U175" s="980"/>
      <c r="V175" s="26"/>
      <c r="W175" s="26"/>
      <c r="X175" s="26"/>
      <c r="Y175" s="26"/>
      <c r="Z175" s="980"/>
      <c r="AA175" s="26">
        <f t="shared" ref="AA175:AW175" si="315">SUM(AA171:AA174)</f>
      </c>
      <c r="AB175" s="26">
        <f t="shared" si="315"/>
      </c>
      <c r="AC175" s="26">
        <f t="shared" si="315"/>
      </c>
      <c r="AD175" s="26">
        <f t="shared" si="315"/>
      </c>
      <c r="AE175" s="980">
        <f t="shared" si="315"/>
      </c>
      <c r="AF175" s="26">
        <f t="shared" si="315"/>
      </c>
      <c r="AG175" s="26">
        <f t="shared" si="315"/>
      </c>
      <c r="AH175" s="26">
        <f t="shared" si="315"/>
      </c>
      <c r="AI175" s="26">
        <f t="shared" si="315"/>
      </c>
      <c r="AJ175" s="980">
        <f t="shared" si="315"/>
      </c>
      <c r="AK175" s="26">
        <f t="shared" si="315"/>
      </c>
      <c r="AL175" s="26">
        <f t="shared" si="315"/>
      </c>
      <c r="AM175" s="26">
        <f t="shared" si="315"/>
      </c>
      <c r="AN175" s="26">
        <f t="shared" si="315"/>
      </c>
      <c r="AO175" s="980">
        <f t="shared" si="315"/>
      </c>
      <c r="AP175" s="26">
        <f t="shared" si="315"/>
      </c>
      <c r="AQ175" s="26">
        <f t="shared" si="315"/>
      </c>
      <c r="AR175" s="26">
        <f t="shared" si="315"/>
      </c>
      <c r="AS175" s="26">
        <f t="shared" si="315"/>
      </c>
      <c r="AT175" s="980">
        <f t="shared" si="315"/>
      </c>
      <c r="AU175" s="26">
        <f t="shared" si="315"/>
      </c>
      <c r="AV175" s="26">
        <f t="shared" si="315"/>
      </c>
      <c r="AW175" s="26">
        <f t="shared" si="315"/>
      </c>
      <c r="AX175" s="26">
        <f t="shared" ref="AX175:BD175" si="316">SUM(AX171:AX174)</f>
      </c>
      <c r="AY175" s="980">
        <f t="shared" si="316"/>
      </c>
      <c r="AZ175" s="26">
        <f t="shared" si="316"/>
      </c>
      <c r="BA175" s="26">
        <f t="shared" si="316"/>
      </c>
      <c r="BB175" s="26">
        <f t="shared" si="316"/>
      </c>
      <c r="BC175" s="26">
        <f t="shared" si="316"/>
      </c>
      <c r="BD175" s="980">
        <f t="shared" si="316"/>
      </c>
      <c r="BE175" s="26">
        <f t="shared" ref="BE175:BI175" si="317">SUM(BE171:BE174)</f>
      </c>
      <c r="BF175" s="26">
        <f t="shared" si="317"/>
      </c>
      <c r="BG175" s="26">
        <f t="shared" si="317"/>
      </c>
      <c r="BH175" s="26">
        <f t="shared" si="317"/>
      </c>
      <c r="BI175" s="980">
        <f t="shared" si="317"/>
      </c>
      <c r="BJ175" s="26">
        <f t="shared" ref="BJ175:BX175" si="318">SUM(BJ171:BJ174)</f>
      </c>
      <c r="BK175" s="26">
        <f t="shared" si="318"/>
      </c>
      <c r="BL175" s="26">
        <f t="shared" si="318"/>
      </c>
      <c r="BM175" s="26">
        <f t="shared" si="318"/>
      </c>
      <c r="BN175" s="980">
        <f t="shared" si="318"/>
      </c>
      <c r="BO175" s="26">
        <f t="shared" ref="BO175:BW175" si="319">SUM(BO171:BO174)</f>
      </c>
      <c r="BP175" s="26">
        <f t="shared" si="319"/>
      </c>
      <c r="BQ175" s="26">
        <f t="shared" si="319"/>
      </c>
      <c r="BR175" s="26">
        <f t="shared" si="319"/>
      </c>
      <c r="BS175" s="980">
        <f t="shared" si="319"/>
      </c>
      <c r="BT175" s="680">
        <f>SUM(BT171:BT174)</f>
      </c>
      <c r="BU175" s="26">
        <f t="shared" si="319"/>
      </c>
      <c r="BV175" s="26">
        <f t="shared" si="319"/>
      </c>
      <c r="BW175" s="26">
        <f t="shared" si="319"/>
      </c>
      <c r="BX175" s="980">
        <f t="shared" si="318"/>
      </c>
      <c r="BY175" s="26">
        <f t="shared" ref="BY175:CF175" si="320">SUM(BY171:BY174)</f>
      </c>
      <c r="BZ175" s="26">
        <f t="shared" si="320"/>
      </c>
      <c r="CA175" s="26">
        <f t="shared" si="320"/>
      </c>
      <c r="CB175" s="26">
        <f t="shared" si="320"/>
      </c>
      <c r="CC175" s="980">
        <f t="shared" si="320"/>
      </c>
      <c r="CD175" s="980">
        <f t="shared" si="320"/>
      </c>
      <c r="CE175" s="980">
        <f t="shared" si="320"/>
      </c>
      <c r="CF175" s="980">
        <f t="shared" si="320"/>
      </c>
      <c r="CG175" s="11"/>
    </row>
    <row r="176" spans="1:85" s="587" customFormat="1" collapsed="1" x14ac:dyDescent="0.3">
      <c r="A176" s="239"/>
      <c r="B176" s="384"/>
      <c r="C176" s="949"/>
      <c r="D176" s="949"/>
      <c r="E176" s="949"/>
      <c r="F176" s="949"/>
      <c r="G176" s="789"/>
      <c r="H176" s="789"/>
      <c r="I176" s="789"/>
      <c r="J176" s="789"/>
      <c r="K176" s="949"/>
      <c r="L176" s="789"/>
      <c r="M176" s="789"/>
      <c r="N176" s="789"/>
      <c r="O176" s="789"/>
      <c r="P176" s="949"/>
      <c r="Q176" s="789"/>
      <c r="R176" s="789"/>
      <c r="S176" s="789"/>
      <c r="T176" s="789"/>
      <c r="U176" s="949"/>
      <c r="V176" s="789"/>
      <c r="W176" s="789"/>
      <c r="X176" s="789"/>
      <c r="Y176" s="789"/>
      <c r="Z176" s="949"/>
      <c r="AA176" s="789"/>
      <c r="AB176" s="789"/>
      <c r="AC176" s="789"/>
      <c r="AD176" s="789"/>
      <c r="AE176" s="949"/>
      <c r="AF176" s="789"/>
      <c r="AG176" s="789"/>
      <c r="AH176" s="789"/>
      <c r="AI176" s="789"/>
      <c r="AJ176" s="949"/>
      <c r="AK176" s="789"/>
      <c r="AL176" s="789"/>
      <c r="AM176" s="789"/>
      <c r="AN176" s="789"/>
      <c r="AO176" s="949"/>
      <c r="AP176" s="789"/>
      <c r="AQ176" s="789"/>
      <c r="AR176" s="789"/>
      <c r="AS176" s="789"/>
      <c r="AT176" s="949"/>
      <c r="AU176" s="789"/>
      <c r="AV176" s="789"/>
      <c r="AW176" s="789"/>
      <c r="AX176" s="789"/>
      <c r="AY176" s="949"/>
      <c r="AZ176" s="789"/>
      <c r="BA176" s="789"/>
      <c r="BB176" s="789"/>
      <c r="BC176" s="789"/>
      <c r="BD176" s="949"/>
      <c r="BE176" s="789"/>
      <c r="BF176" s="789"/>
      <c r="BG176" s="789"/>
      <c r="BH176" s="789"/>
      <c r="BI176" s="949"/>
      <c r="BJ176" s="789"/>
      <c r="BK176" s="789"/>
      <c r="BL176" s="789"/>
      <c r="BM176" s="789"/>
      <c r="BN176" s="949"/>
      <c r="BO176" s="789"/>
      <c r="BP176" s="789"/>
      <c r="BQ176" s="789"/>
      <c r="BR176" s="789"/>
      <c r="BS176" s="949"/>
      <c r="BT176" s="790"/>
      <c r="BU176" s="789"/>
      <c r="BV176" s="789"/>
      <c r="BW176" s="789"/>
      <c r="BX176" s="949"/>
      <c r="BY176" s="789"/>
      <c r="BZ176" s="789"/>
      <c r="CA176" s="789"/>
      <c r="CB176" s="789"/>
      <c r="CC176" s="949"/>
      <c r="CD176" s="949"/>
      <c r="CE176" s="949"/>
      <c r="CF176" s="949"/>
      <c r="CG176" s="385"/>
    </row>
    <row r="177" spans="1:85" s="584" customFormat="1" hidden="1" outlineLevel="1" x14ac:dyDescent="0.3">
      <c r="A177" s="331" t="str">
        <f>A60</f>
      </c>
      <c r="B177" s="313"/>
      <c r="C177" s="981"/>
      <c r="D177" s="981"/>
      <c r="E177" s="981"/>
      <c r="F177" s="981"/>
      <c r="G177" s="314"/>
      <c r="H177" s="314"/>
      <c r="I177" s="314"/>
      <c r="J177" s="314"/>
      <c r="K177" s="981"/>
      <c r="L177" s="314"/>
      <c r="M177" s="314"/>
      <c r="N177" s="314"/>
      <c r="O177" s="314"/>
      <c r="P177" s="981"/>
      <c r="Q177" s="314"/>
      <c r="R177" s="314"/>
      <c r="S177" s="314"/>
      <c r="T177" s="314"/>
      <c r="U177" s="981"/>
      <c r="V177" s="314"/>
      <c r="W177" s="314"/>
      <c r="X177" s="314"/>
      <c r="Y177" s="314"/>
      <c r="Z177" s="981"/>
      <c r="AA177" s="314">
        <f t="shared" ref="AA177:AO177" si="321">AA60</f>
      </c>
      <c r="AB177" s="314">
        <f t="shared" si="321"/>
      </c>
      <c r="AC177" s="314">
        <f t="shared" si="321"/>
      </c>
      <c r="AD177" s="314">
        <f t="shared" si="321"/>
      </c>
      <c r="AE177" s="981">
        <f t="shared" si="321"/>
      </c>
      <c r="AF177" s="314">
        <f t="shared" si="321"/>
      </c>
      <c r="AG177" s="314">
        <f t="shared" si="321"/>
      </c>
      <c r="AH177" s="314">
        <f t="shared" si="321"/>
      </c>
      <c r="AI177" s="314">
        <f t="shared" si="321"/>
      </c>
      <c r="AJ177" s="981">
        <f t="shared" si="321"/>
      </c>
      <c r="AK177" s="314">
        <f t="shared" si="321"/>
      </c>
      <c r="AL177" s="314">
        <f t="shared" si="321"/>
      </c>
      <c r="AM177" s="314">
        <f t="shared" si="321"/>
      </c>
      <c r="AN177" s="314">
        <f t="shared" si="321"/>
      </c>
      <c r="AO177" s="981">
        <f t="shared" si="321"/>
      </c>
      <c r="AP177" s="314"/>
      <c r="AQ177" s="314"/>
      <c r="AR177" s="314"/>
      <c r="AS177" s="314"/>
      <c r="AT177" s="981"/>
      <c r="AU177" s="314"/>
      <c r="AV177" s="314"/>
      <c r="AW177" s="314"/>
      <c r="AX177" s="314"/>
      <c r="AY177" s="981"/>
      <c r="AZ177" s="314"/>
      <c r="BA177" s="314"/>
      <c r="BB177" s="314"/>
      <c r="BC177" s="314"/>
      <c r="BD177" s="981"/>
      <c r="BE177" s="314"/>
      <c r="BF177" s="314"/>
      <c r="BG177" s="314"/>
      <c r="BH177" s="314"/>
      <c r="BI177" s="981"/>
      <c r="BJ177" s="314"/>
      <c r="BK177" s="314"/>
      <c r="BL177" s="314"/>
      <c r="BM177" s="314"/>
      <c r="BN177" s="981"/>
      <c r="BO177" s="314"/>
      <c r="BP177" s="314"/>
      <c r="BQ177" s="314"/>
      <c r="BR177" s="314"/>
      <c r="BS177" s="981"/>
      <c r="BT177" s="681"/>
      <c r="BU177" s="314"/>
      <c r="BV177" s="314"/>
      <c r="BW177" s="314"/>
      <c r="BX177" s="981"/>
      <c r="BY177" s="314"/>
      <c r="BZ177" s="314"/>
      <c r="CA177" s="314"/>
      <c r="CB177" s="314"/>
      <c r="CC177" s="981"/>
      <c r="CD177" s="981"/>
      <c r="CE177" s="981"/>
      <c r="CF177" s="981"/>
      <c r="CG177" s="315"/>
    </row>
    <row r="178" spans="1:85" s="584" customFormat="1" hidden="1" outlineLevel="1" x14ac:dyDescent="0.3">
      <c r="A178" s="332" t="str">
        <f>A62</f>
      </c>
      <c r="B178" s="333"/>
      <c r="C178" s="982"/>
      <c r="D178" s="982"/>
      <c r="E178" s="982"/>
      <c r="F178" s="982"/>
      <c r="G178" s="334"/>
      <c r="H178" s="334"/>
      <c r="I178" s="334"/>
      <c r="J178" s="334"/>
      <c r="K178" s="982"/>
      <c r="L178" s="334"/>
      <c r="M178" s="334"/>
      <c r="N178" s="334"/>
      <c r="O178" s="334"/>
      <c r="P178" s="982"/>
      <c r="Q178" s="334"/>
      <c r="R178" s="334"/>
      <c r="S178" s="334"/>
      <c r="T178" s="334"/>
      <c r="U178" s="982"/>
      <c r="V178" s="334"/>
      <c r="W178" s="334"/>
      <c r="X178" s="334"/>
      <c r="Y178" s="334"/>
      <c r="Z178" s="982"/>
      <c r="AA178" s="334">
        <f t="shared" ref="AA178:AO178" si="322">AA62</f>
      </c>
      <c r="AB178" s="334">
        <f t="shared" si="322"/>
      </c>
      <c r="AC178" s="334">
        <f t="shared" si="322"/>
      </c>
      <c r="AD178" s="334">
        <f t="shared" si="322"/>
      </c>
      <c r="AE178" s="982">
        <f t="shared" si="322"/>
      </c>
      <c r="AF178" s="334">
        <f t="shared" si="322"/>
      </c>
      <c r="AG178" s="334">
        <f t="shared" si="322"/>
      </c>
      <c r="AH178" s="334">
        <f t="shared" si="322"/>
      </c>
      <c r="AI178" s="334">
        <f t="shared" si="322"/>
      </c>
      <c r="AJ178" s="982">
        <f t="shared" si="322"/>
      </c>
      <c r="AK178" s="334">
        <f t="shared" si="322"/>
      </c>
      <c r="AL178" s="334">
        <f t="shared" si="322"/>
      </c>
      <c r="AM178" s="334">
        <f t="shared" si="322"/>
      </c>
      <c r="AN178" s="334">
        <f t="shared" si="322"/>
      </c>
      <c r="AO178" s="982">
        <f t="shared" si="322"/>
      </c>
      <c r="AP178" s="334"/>
      <c r="AQ178" s="334"/>
      <c r="AR178" s="334"/>
      <c r="AS178" s="334"/>
      <c r="AT178" s="982"/>
      <c r="AU178" s="334"/>
      <c r="AV178" s="334"/>
      <c r="AW178" s="334"/>
      <c r="AX178" s="334"/>
      <c r="AY178" s="982"/>
      <c r="AZ178" s="334"/>
      <c r="BA178" s="334"/>
      <c r="BB178" s="334"/>
      <c r="BC178" s="334"/>
      <c r="BD178" s="982"/>
      <c r="BE178" s="334"/>
      <c r="BF178" s="334"/>
      <c r="BG178" s="334"/>
      <c r="BH178" s="334"/>
      <c r="BI178" s="982"/>
      <c r="BJ178" s="334"/>
      <c r="BK178" s="334"/>
      <c r="BL178" s="334"/>
      <c r="BM178" s="334"/>
      <c r="BN178" s="982"/>
      <c r="BO178" s="334"/>
      <c r="BP178" s="334"/>
      <c r="BQ178" s="334"/>
      <c r="BR178" s="334"/>
      <c r="BS178" s="982"/>
      <c r="BT178" s="682"/>
      <c r="BU178" s="334"/>
      <c r="BV178" s="334"/>
      <c r="BW178" s="334"/>
      <c r="BX178" s="982"/>
      <c r="BY178" s="334"/>
      <c r="BZ178" s="334"/>
      <c r="CA178" s="334"/>
      <c r="CB178" s="334"/>
      <c r="CC178" s="982"/>
      <c r="CD178" s="982"/>
      <c r="CE178" s="982"/>
      <c r="CF178" s="982"/>
      <c r="CG178" s="315"/>
    </row>
    <row r="179" spans="1:85" s="584" customFormat="1" collapsed="1" x14ac:dyDescent="0.3">
      <c r="A179" s="335" t="str">
        <f>A64</f>
      </c>
      <c r="B179" s="313"/>
      <c r="C179" s="981"/>
      <c r="D179" s="981"/>
      <c r="E179" s="981"/>
      <c r="F179" s="981"/>
      <c r="G179" s="314"/>
      <c r="H179" s="314"/>
      <c r="I179" s="314"/>
      <c r="J179" s="314"/>
      <c r="K179" s="981"/>
      <c r="L179" s="314"/>
      <c r="M179" s="314"/>
      <c r="N179" s="314"/>
      <c r="O179" s="314"/>
      <c r="P179" s="981"/>
      <c r="Q179" s="314"/>
      <c r="R179" s="314"/>
      <c r="S179" s="314"/>
      <c r="T179" s="314"/>
      <c r="U179" s="981"/>
      <c r="V179" s="314"/>
      <c r="W179" s="314"/>
      <c r="X179" s="314"/>
      <c r="Y179" s="314"/>
      <c r="Z179" s="981"/>
      <c r="AA179" s="314">
        <f t="shared" ref="AA179:AW179" si="323">AA64</f>
      </c>
      <c r="AB179" s="314">
        <f t="shared" si="323"/>
      </c>
      <c r="AC179" s="314">
        <f t="shared" si="323"/>
      </c>
      <c r="AD179" s="314">
        <f t="shared" si="323"/>
      </c>
      <c r="AE179" s="981">
        <f t="shared" si="323"/>
      </c>
      <c r="AF179" s="314">
        <f t="shared" si="323"/>
      </c>
      <c r="AG179" s="314">
        <f t="shared" si="323"/>
      </c>
      <c r="AH179" s="314">
        <f t="shared" si="323"/>
      </c>
      <c r="AI179" s="314">
        <f t="shared" si="323"/>
      </c>
      <c r="AJ179" s="981">
        <f t="shared" si="323"/>
      </c>
      <c r="AK179" s="314">
        <f t="shared" si="323"/>
      </c>
      <c r="AL179" s="314">
        <f t="shared" si="323"/>
      </c>
      <c r="AM179" s="314">
        <f t="shared" si="323"/>
      </c>
      <c r="AN179" s="314">
        <f t="shared" si="323"/>
      </c>
      <c r="AO179" s="981">
        <f t="shared" si="323"/>
      </c>
      <c r="AP179" s="314">
        <f t="shared" si="323"/>
      </c>
      <c r="AQ179" s="314">
        <f t="shared" si="323"/>
      </c>
      <c r="AR179" s="314">
        <f t="shared" si="323"/>
      </c>
      <c r="AS179" s="314">
        <f t="shared" si="323"/>
      </c>
      <c r="AT179" s="981">
        <f t="shared" si="323"/>
      </c>
      <c r="AU179" s="314">
        <f t="shared" si="323"/>
      </c>
      <c r="AV179" s="314">
        <f t="shared" si="323"/>
      </c>
      <c r="AW179" s="314">
        <f t="shared" si="323"/>
      </c>
      <c r="AX179" s="314">
        <f t="shared" ref="AX179:BD179" si="324">AX64</f>
      </c>
      <c r="AY179" s="981">
        <f t="shared" si="324"/>
      </c>
      <c r="AZ179" s="314">
        <f t="shared" si="324"/>
      </c>
      <c r="BA179" s="314">
        <f t="shared" si="324"/>
      </c>
      <c r="BB179" s="314">
        <f t="shared" si="324"/>
      </c>
      <c r="BC179" s="314">
        <f t="shared" si="324"/>
      </c>
      <c r="BD179" s="981">
        <f t="shared" si="324"/>
      </c>
      <c r="BE179" s="314">
        <f t="shared" ref="BE179:BI179" si="325">BE64</f>
      </c>
      <c r="BF179" s="314">
        <f t="shared" si="325"/>
      </c>
      <c r="BG179" s="314">
        <f t="shared" si="325"/>
      </c>
      <c r="BH179" s="314">
        <f t="shared" si="325"/>
      </c>
      <c r="BI179" s="981">
        <f t="shared" si="325"/>
      </c>
      <c r="BJ179" s="314">
        <f t="shared" ref="BJ179:BX179" si="326">BJ64</f>
      </c>
      <c r="BK179" s="314">
        <f t="shared" si="326"/>
      </c>
      <c r="BL179" s="314">
        <f t="shared" si="326"/>
      </c>
      <c r="BM179" s="314">
        <f t="shared" si="326"/>
      </c>
      <c r="BN179" s="981">
        <f t="shared" si="326"/>
      </c>
      <c r="BO179" s="314">
        <f t="shared" ref="BO179:BW179" si="327">BO64</f>
      </c>
      <c r="BP179" s="314">
        <f t="shared" si="327"/>
      </c>
      <c r="BQ179" s="314">
        <f t="shared" si="327"/>
      </c>
      <c r="BR179" s="314">
        <f t="shared" si="327"/>
      </c>
      <c r="BS179" s="981">
        <f t="shared" si="327"/>
      </c>
      <c r="BT179" s="681">
        <f>BT64</f>
      </c>
      <c r="BU179" s="314">
        <f t="shared" si="327"/>
      </c>
      <c r="BV179" s="314">
        <f t="shared" si="327"/>
      </c>
      <c r="BW179" s="314">
        <f t="shared" si="327"/>
      </c>
      <c r="BX179" s="981">
        <f t="shared" si="326"/>
      </c>
      <c r="BY179" s="314">
        <f t="shared" ref="BY179:CF179" si="328">BY64</f>
      </c>
      <c r="BZ179" s="314">
        <f t="shared" si="328"/>
      </c>
      <c r="CA179" s="314">
        <f t="shared" si="328"/>
      </c>
      <c r="CB179" s="314">
        <f t="shared" si="328"/>
      </c>
      <c r="CC179" s="981">
        <f t="shared" si="328"/>
      </c>
      <c r="CD179" s="981">
        <f t="shared" si="328"/>
      </c>
      <c r="CE179" s="981">
        <f t="shared" si="328"/>
      </c>
      <c r="CF179" s="981">
        <f t="shared" si="328"/>
      </c>
      <c r="CG179" s="315"/>
    </row>
    <row r="180" spans="1:85" s="584" customFormat="1" x14ac:dyDescent="0.3">
      <c r="A180" s="335" t="str">
        <f>A88</f>
      </c>
      <c r="B180" s="313"/>
      <c r="C180" s="981"/>
      <c r="D180" s="981"/>
      <c r="E180" s="981"/>
      <c r="F180" s="981"/>
      <c r="G180" s="314"/>
      <c r="H180" s="314"/>
      <c r="I180" s="314"/>
      <c r="J180" s="314"/>
      <c r="K180" s="981"/>
      <c r="L180" s="314"/>
      <c r="M180" s="314"/>
      <c r="N180" s="314"/>
      <c r="O180" s="314"/>
      <c r="P180" s="981"/>
      <c r="Q180" s="314"/>
      <c r="R180" s="314"/>
      <c r="S180" s="314"/>
      <c r="T180" s="314"/>
      <c r="U180" s="981"/>
      <c r="V180" s="314"/>
      <c r="W180" s="314"/>
      <c r="X180" s="314"/>
      <c r="Y180" s="314"/>
      <c r="Z180" s="981"/>
      <c r="AA180" s="314">
        <f t="shared" ref="AA180:AW180" si="329">AA88</f>
      </c>
      <c r="AB180" s="314">
        <f t="shared" si="329"/>
      </c>
      <c r="AC180" s="314">
        <f t="shared" si="329"/>
      </c>
      <c r="AD180" s="314">
        <f t="shared" si="329"/>
      </c>
      <c r="AE180" s="981">
        <f t="shared" si="329"/>
      </c>
      <c r="AF180" s="314">
        <f t="shared" si="329"/>
      </c>
      <c r="AG180" s="314">
        <f t="shared" si="329"/>
      </c>
      <c r="AH180" s="314">
        <f t="shared" si="329"/>
      </c>
      <c r="AI180" s="314">
        <f t="shared" si="329"/>
      </c>
      <c r="AJ180" s="981">
        <f t="shared" si="329"/>
      </c>
      <c r="AK180" s="314">
        <f t="shared" si="329"/>
      </c>
      <c r="AL180" s="314">
        <f t="shared" si="329"/>
      </c>
      <c r="AM180" s="314">
        <f t="shared" si="329"/>
      </c>
      <c r="AN180" s="314">
        <f t="shared" si="329"/>
      </c>
      <c r="AO180" s="981">
        <f t="shared" si="329"/>
      </c>
      <c r="AP180" s="314">
        <f t="shared" si="329"/>
      </c>
      <c r="AQ180" s="314">
        <f t="shared" si="329"/>
      </c>
      <c r="AR180" s="314">
        <f t="shared" si="329"/>
      </c>
      <c r="AS180" s="314">
        <f t="shared" si="329"/>
      </c>
      <c r="AT180" s="981">
        <f t="shared" si="329"/>
      </c>
      <c r="AU180" s="314">
        <f t="shared" si="329"/>
      </c>
      <c r="AV180" s="314">
        <f t="shared" si="329"/>
      </c>
      <c r="AW180" s="314">
        <f t="shared" si="329"/>
      </c>
      <c r="AX180" s="314">
        <f t="shared" ref="AX180:BD180" si="330">AX88</f>
      </c>
      <c r="AY180" s="981">
        <f t="shared" si="330"/>
      </c>
      <c r="AZ180" s="314">
        <f t="shared" si="330"/>
      </c>
      <c r="BA180" s="314">
        <f t="shared" si="330"/>
      </c>
      <c r="BB180" s="314">
        <f t="shared" si="330"/>
      </c>
      <c r="BC180" s="314">
        <f t="shared" si="330"/>
      </c>
      <c r="BD180" s="981">
        <f t="shared" si="330"/>
      </c>
      <c r="BE180" s="314">
        <f t="shared" ref="BE180:BI180" si="331">BE88</f>
      </c>
      <c r="BF180" s="314">
        <f t="shared" si="331"/>
      </c>
      <c r="BG180" s="314">
        <f t="shared" si="331"/>
      </c>
      <c r="BH180" s="314">
        <f t="shared" si="331"/>
      </c>
      <c r="BI180" s="981">
        <f t="shared" si="331"/>
      </c>
      <c r="BJ180" s="314">
        <f t="shared" ref="BJ180:BX180" si="332">BJ88</f>
      </c>
      <c r="BK180" s="314">
        <f t="shared" si="332"/>
      </c>
      <c r="BL180" s="314">
        <f t="shared" si="332"/>
      </c>
      <c r="BM180" s="314">
        <f t="shared" si="332"/>
      </c>
      <c r="BN180" s="981">
        <f t="shared" si="332"/>
      </c>
      <c r="BO180" s="314">
        <f t="shared" ref="BO180:BW180" si="333">BO88</f>
      </c>
      <c r="BP180" s="314">
        <f t="shared" si="333"/>
      </c>
      <c r="BQ180" s="314">
        <f t="shared" si="333"/>
      </c>
      <c r="BR180" s="314">
        <f t="shared" si="333"/>
      </c>
      <c r="BS180" s="981">
        <f t="shared" si="333"/>
      </c>
      <c r="BT180" s="681">
        <f>BT88</f>
      </c>
      <c r="BU180" s="314">
        <f t="shared" si="333"/>
      </c>
      <c r="BV180" s="314">
        <f t="shared" si="333"/>
      </c>
      <c r="BW180" s="314">
        <f t="shared" si="333"/>
      </c>
      <c r="BX180" s="981">
        <f t="shared" si="332"/>
      </c>
      <c r="BY180" s="314">
        <f t="shared" ref="BY180:CF180" si="334">BY88</f>
      </c>
      <c r="BZ180" s="314">
        <f t="shared" si="334"/>
      </c>
      <c r="CA180" s="314">
        <f t="shared" si="334"/>
      </c>
      <c r="CB180" s="314">
        <f t="shared" si="334"/>
      </c>
      <c r="CC180" s="981">
        <f t="shared" si="334"/>
      </c>
      <c r="CD180" s="981">
        <f t="shared" si="334"/>
      </c>
      <c r="CE180" s="981">
        <f t="shared" si="334"/>
      </c>
      <c r="CF180" s="981">
        <f t="shared" si="334"/>
      </c>
      <c r="CG180" s="315"/>
    </row>
    <row r="181" spans="1:85" s="584" customFormat="1" x14ac:dyDescent="0.3">
      <c r="A181" s="335" t="str">
        <f>A108</f>
      </c>
      <c r="B181" s="313"/>
      <c r="C181" s="981"/>
      <c r="D181" s="981"/>
      <c r="E181" s="981"/>
      <c r="F181" s="981"/>
      <c r="G181" s="314"/>
      <c r="H181" s="314"/>
      <c r="I181" s="314"/>
      <c r="J181" s="314"/>
      <c r="K181" s="981"/>
      <c r="L181" s="314"/>
      <c r="M181" s="314"/>
      <c r="N181" s="314"/>
      <c r="O181" s="314"/>
      <c r="P181" s="981"/>
      <c r="Q181" s="314"/>
      <c r="R181" s="314"/>
      <c r="S181" s="314"/>
      <c r="T181" s="314"/>
      <c r="U181" s="981"/>
      <c r="V181" s="314"/>
      <c r="W181" s="314"/>
      <c r="X181" s="314"/>
      <c r="Y181" s="314"/>
      <c r="Z181" s="981"/>
      <c r="AA181" s="314">
        <f t="shared" ref="AA181:AW181" si="335">AA108</f>
      </c>
      <c r="AB181" s="314">
        <f t="shared" si="335"/>
      </c>
      <c r="AC181" s="314">
        <f t="shared" si="335"/>
      </c>
      <c r="AD181" s="314">
        <f t="shared" si="335"/>
      </c>
      <c r="AE181" s="981">
        <f t="shared" si="335"/>
      </c>
      <c r="AF181" s="314">
        <f t="shared" si="335"/>
      </c>
      <c r="AG181" s="314">
        <f t="shared" si="335"/>
      </c>
      <c r="AH181" s="314">
        <f t="shared" si="335"/>
      </c>
      <c r="AI181" s="314">
        <f t="shared" si="335"/>
      </c>
      <c r="AJ181" s="981">
        <f t="shared" si="335"/>
      </c>
      <c r="AK181" s="314">
        <f t="shared" si="335"/>
      </c>
      <c r="AL181" s="314">
        <f t="shared" si="335"/>
      </c>
      <c r="AM181" s="314">
        <f t="shared" si="335"/>
      </c>
      <c r="AN181" s="314">
        <f t="shared" si="335"/>
      </c>
      <c r="AO181" s="981">
        <f t="shared" si="335"/>
      </c>
      <c r="AP181" s="314">
        <f t="shared" si="335"/>
      </c>
      <c r="AQ181" s="314">
        <f t="shared" si="335"/>
      </c>
      <c r="AR181" s="314">
        <f t="shared" si="335"/>
      </c>
      <c r="AS181" s="314">
        <f t="shared" si="335"/>
      </c>
      <c r="AT181" s="981">
        <f t="shared" si="335"/>
      </c>
      <c r="AU181" s="314">
        <f t="shared" si="335"/>
      </c>
      <c r="AV181" s="314">
        <f t="shared" si="335"/>
      </c>
      <c r="AW181" s="314">
        <f t="shared" si="335"/>
      </c>
      <c r="AX181" s="314">
        <f t="shared" ref="AX181:BD181" si="336">AX108</f>
      </c>
      <c r="AY181" s="981">
        <f t="shared" si="336"/>
      </c>
      <c r="AZ181" s="314">
        <f t="shared" si="336"/>
      </c>
      <c r="BA181" s="314">
        <f t="shared" si="336"/>
      </c>
      <c r="BB181" s="314">
        <f t="shared" si="336"/>
      </c>
      <c r="BC181" s="314">
        <f t="shared" si="336"/>
      </c>
      <c r="BD181" s="981">
        <f t="shared" si="336"/>
      </c>
      <c r="BE181" s="314">
        <f t="shared" ref="BE181:BI181" si="337">BE108</f>
      </c>
      <c r="BF181" s="314">
        <f t="shared" si="337"/>
      </c>
      <c r="BG181" s="314">
        <f t="shared" si="337"/>
      </c>
      <c r="BH181" s="314">
        <f t="shared" si="337"/>
      </c>
      <c r="BI181" s="981">
        <f t="shared" si="337"/>
      </c>
      <c r="BJ181" s="314">
        <f t="shared" ref="BJ181:BX181" si="338">BJ108</f>
      </c>
      <c r="BK181" s="314">
        <f t="shared" si="338"/>
      </c>
      <c r="BL181" s="314">
        <f t="shared" si="338"/>
      </c>
      <c r="BM181" s="314">
        <f t="shared" si="338"/>
      </c>
      <c r="BN181" s="981">
        <f t="shared" si="338"/>
      </c>
      <c r="BO181" s="314">
        <f t="shared" ref="BO181:BW181" si="339">BO108</f>
      </c>
      <c r="BP181" s="314">
        <f t="shared" si="339"/>
      </c>
      <c r="BQ181" s="314">
        <f t="shared" si="339"/>
      </c>
      <c r="BR181" s="314">
        <f t="shared" si="339"/>
      </c>
      <c r="BS181" s="981">
        <f t="shared" si="339"/>
      </c>
      <c r="BT181" s="681">
        <f>BT108</f>
      </c>
      <c r="BU181" s="314">
        <f t="shared" si="339"/>
      </c>
      <c r="BV181" s="314">
        <f t="shared" si="339"/>
      </c>
      <c r="BW181" s="314">
        <f t="shared" si="339"/>
      </c>
      <c r="BX181" s="981">
        <f t="shared" si="338"/>
      </c>
      <c r="BY181" s="314">
        <f t="shared" ref="BY181:CF181" si="340">BY108</f>
      </c>
      <c r="BZ181" s="314">
        <f t="shared" si="340"/>
      </c>
      <c r="CA181" s="314">
        <f t="shared" si="340"/>
      </c>
      <c r="CB181" s="314">
        <f t="shared" si="340"/>
      </c>
      <c r="CC181" s="981">
        <f t="shared" si="340"/>
      </c>
      <c r="CD181" s="981">
        <f t="shared" si="340"/>
      </c>
      <c r="CE181" s="981">
        <f t="shared" si="340"/>
      </c>
      <c r="CF181" s="981">
        <f t="shared" si="340"/>
      </c>
      <c r="CG181" s="315"/>
    </row>
    <row r="182" spans="1:85" s="584" customFormat="1" x14ac:dyDescent="0.3">
      <c r="A182" s="336" t="str">
        <f>A128</f>
      </c>
      <c r="B182" s="333"/>
      <c r="C182" s="982"/>
      <c r="D182" s="982"/>
      <c r="E182" s="982"/>
      <c r="F182" s="982"/>
      <c r="G182" s="334"/>
      <c r="H182" s="334"/>
      <c r="I182" s="334"/>
      <c r="J182" s="334"/>
      <c r="K182" s="982"/>
      <c r="L182" s="334"/>
      <c r="M182" s="334"/>
      <c r="N182" s="334"/>
      <c r="O182" s="334"/>
      <c r="P182" s="982"/>
      <c r="Q182" s="334"/>
      <c r="R182" s="334"/>
      <c r="S182" s="334"/>
      <c r="T182" s="334"/>
      <c r="U182" s="982"/>
      <c r="V182" s="334"/>
      <c r="W182" s="334"/>
      <c r="X182" s="334"/>
      <c r="Y182" s="334"/>
      <c r="Z182" s="982"/>
      <c r="AA182" s="334">
        <f t="shared" ref="AA182:AW182" si="341">AA128</f>
      </c>
      <c r="AB182" s="334">
        <f t="shared" si="341"/>
      </c>
      <c r="AC182" s="334">
        <f t="shared" si="341"/>
      </c>
      <c r="AD182" s="334">
        <f t="shared" si="341"/>
      </c>
      <c r="AE182" s="982">
        <f t="shared" si="341"/>
      </c>
      <c r="AF182" s="334">
        <f t="shared" si="341"/>
      </c>
      <c r="AG182" s="334">
        <f t="shared" si="341"/>
      </c>
      <c r="AH182" s="334">
        <f t="shared" si="341"/>
      </c>
      <c r="AI182" s="334">
        <f t="shared" si="341"/>
      </c>
      <c r="AJ182" s="982">
        <f t="shared" si="341"/>
      </c>
      <c r="AK182" s="334">
        <f t="shared" si="341"/>
      </c>
      <c r="AL182" s="334">
        <f t="shared" si="341"/>
      </c>
      <c r="AM182" s="334">
        <f t="shared" si="341"/>
      </c>
      <c r="AN182" s="334">
        <f t="shared" si="341"/>
      </c>
      <c r="AO182" s="982">
        <f t="shared" si="341"/>
      </c>
      <c r="AP182" s="334">
        <f t="shared" si="341"/>
      </c>
      <c r="AQ182" s="334">
        <f t="shared" si="341"/>
      </c>
      <c r="AR182" s="334">
        <f t="shared" si="341"/>
      </c>
      <c r="AS182" s="334">
        <f t="shared" si="341"/>
      </c>
      <c r="AT182" s="982">
        <f t="shared" si="341"/>
      </c>
      <c r="AU182" s="334">
        <f t="shared" si="341"/>
      </c>
      <c r="AV182" s="334">
        <f t="shared" si="341"/>
      </c>
      <c r="AW182" s="334">
        <f t="shared" si="341"/>
      </c>
      <c r="AX182" s="334">
        <f t="shared" ref="AX182:BD182" si="342">AX128</f>
      </c>
      <c r="AY182" s="982">
        <f t="shared" si="342"/>
      </c>
      <c r="AZ182" s="334">
        <f t="shared" si="342"/>
      </c>
      <c r="BA182" s="334">
        <f t="shared" si="342"/>
      </c>
      <c r="BB182" s="334">
        <f t="shared" si="342"/>
      </c>
      <c r="BC182" s="334">
        <f t="shared" si="342"/>
      </c>
      <c r="BD182" s="982">
        <f t="shared" si="342"/>
      </c>
      <c r="BE182" s="334">
        <f t="shared" ref="BE182:BI182" si="343">BE128</f>
      </c>
      <c r="BF182" s="334">
        <f t="shared" si="343"/>
      </c>
      <c r="BG182" s="334">
        <f t="shared" si="343"/>
      </c>
      <c r="BH182" s="334">
        <f t="shared" si="343"/>
      </c>
      <c r="BI182" s="982">
        <f t="shared" si="343"/>
      </c>
      <c r="BJ182" s="334">
        <f t="shared" ref="BJ182:BX182" si="344">BJ128</f>
      </c>
      <c r="BK182" s="334">
        <f t="shared" si="344"/>
      </c>
      <c r="BL182" s="334">
        <f t="shared" si="344"/>
      </c>
      <c r="BM182" s="334">
        <f t="shared" si="344"/>
      </c>
      <c r="BN182" s="982">
        <f t="shared" si="344"/>
      </c>
      <c r="BO182" s="334">
        <f t="shared" ref="BO182:BW182" si="345">BO128</f>
      </c>
      <c r="BP182" s="334">
        <f t="shared" si="345"/>
      </c>
      <c r="BQ182" s="334">
        <f t="shared" si="345"/>
      </c>
      <c r="BR182" s="334">
        <f t="shared" si="345"/>
      </c>
      <c r="BS182" s="982">
        <f t="shared" si="345"/>
      </c>
      <c r="BT182" s="682">
        <f>BT128</f>
      </c>
      <c r="BU182" s="334">
        <f t="shared" si="345"/>
      </c>
      <c r="BV182" s="334">
        <f t="shared" si="345"/>
      </c>
      <c r="BW182" s="334">
        <f t="shared" si="345"/>
      </c>
      <c r="BX182" s="982">
        <f t="shared" si="344"/>
      </c>
      <c r="BY182" s="334">
        <f t="shared" ref="BY182:CF182" si="346">BY128</f>
      </c>
      <c r="BZ182" s="334">
        <f t="shared" si="346"/>
      </c>
      <c r="CA182" s="334">
        <f t="shared" si="346"/>
      </c>
      <c r="CB182" s="334">
        <f t="shared" si="346"/>
      </c>
      <c r="CC182" s="982">
        <f t="shared" si="346"/>
      </c>
      <c r="CD182" s="982">
        <f t="shared" si="346"/>
      </c>
      <c r="CE182" s="982">
        <f t="shared" si="346"/>
      </c>
      <c r="CF182" s="982">
        <f t="shared" si="346"/>
      </c>
      <c r="CG182" s="315"/>
    </row>
    <row r="183" spans="1:85" s="589" customFormat="1" x14ac:dyDescent="0.3">
      <c r="A183" s="316" t="s">
        <v>580</v>
      </c>
      <c r="B183" s="249"/>
      <c r="C183" s="959"/>
      <c r="D183" s="959"/>
      <c r="E183" s="959"/>
      <c r="F183" s="959"/>
      <c r="G183" s="70"/>
      <c r="H183" s="70"/>
      <c r="I183" s="70"/>
      <c r="J183" s="70"/>
      <c r="K183" s="959"/>
      <c r="L183" s="70"/>
      <c r="M183" s="70"/>
      <c r="N183" s="70"/>
      <c r="O183" s="70"/>
      <c r="P183" s="959"/>
      <c r="Q183" s="70"/>
      <c r="R183" s="70"/>
      <c r="S183" s="70"/>
      <c r="T183" s="70"/>
      <c r="U183" s="959"/>
      <c r="V183" s="70"/>
      <c r="W183" s="70"/>
      <c r="X183" s="70"/>
      <c r="Y183" s="70"/>
      <c r="Z183" s="959"/>
      <c r="AA183" s="20">
        <f>+AA192*1000/(AVERAGE(AA150,Z150))/3</f>
      </c>
      <c r="AB183" s="20">
        <f>+AB192*1000/(AVERAGE(AB150,AA150))/3</f>
      </c>
      <c r="AC183" s="20">
        <f>+AC192*1000/(AVERAGE(AC150,AB150))/3</f>
      </c>
      <c r="AD183" s="20">
        <f>+AD192*1000/(AVERAGE(AD150,AC150))/3</f>
      </c>
      <c r="AE183" s="983">
        <f>AVERAGE(AA183,AB183,AC183,AD183)</f>
      </c>
      <c r="AF183" s="20">
        <f>+AF192*1000/(AVERAGE(AF150,AE150))/3</f>
      </c>
      <c r="AG183" s="20">
        <f>+AG192*1000/(AVERAGE(AG150,AF150))/3</f>
      </c>
      <c r="AH183" s="20">
        <f>+AH192*1000/(AVERAGE(AH150,AG150))/3</f>
      </c>
      <c r="AI183" s="20">
        <f>+AI192*1000/(AVERAGE(AI150,AH150))/3</f>
      </c>
      <c r="AJ183" s="983">
        <f>AVERAGE(AF183,AG183,AH183,AI183)</f>
      </c>
      <c r="AK183" s="20">
        <f>+AK192*1000/(AVERAGE(AK150,AJ150))/3</f>
      </c>
      <c r="AL183" s="20">
        <f>+AL192*1000/(AVERAGE(AL150,AK150))/3</f>
      </c>
      <c r="AM183" s="20">
        <f>+AM192*1000/(AVERAGE(AM150,AL150))/3</f>
      </c>
      <c r="AN183" s="20">
        <f>+AN192*1000/(AVERAGE(AN150,AM150))/3</f>
      </c>
      <c r="AO183" s="983">
        <f>AVERAGE(AK183,AL183,AM183,AN183)</f>
      </c>
      <c r="AP183" s="20">
        <f>+AP192*1000/(AVERAGE(AP150,AO150))/3</f>
      </c>
      <c r="AQ183" s="20">
        <f>+AQ192*1000/(AVERAGE(AQ150,AP150))/3</f>
      </c>
      <c r="AR183" s="20">
        <f>+AR192*1000/(AVERAGE(AR150,AQ150))/3</f>
      </c>
      <c r="AS183" s="20">
        <f>+AS192*1000/(AVERAGE(AS150,AR150))/3</f>
      </c>
      <c r="AT183" s="983">
        <f>AVERAGE(AP183,AQ183,AR183,AS183)</f>
      </c>
      <c r="AU183" s="20">
        <f>+AU192*1000/(AVERAGE(AU150,AT150))/3</f>
      </c>
      <c r="AV183" s="20">
        <f>+AV192*1000/(AVERAGE(AV150,AU150))/3</f>
      </c>
      <c r="AW183" s="20">
        <f>+AW192*1000/(AVERAGE(AW150,AV150))/3</f>
      </c>
      <c r="AX183" s="20">
        <f>+AX192*1000/(AVERAGE(AX150,AW150))/3</f>
      </c>
      <c r="AY183" s="983">
        <f>AVERAGE(AU183,AV183,AW183,AX183)</f>
      </c>
      <c r="AZ183" s="20">
        <f>+AZ192*1000/(AVERAGE(AZ150,AY150))/3</f>
      </c>
      <c r="BA183" s="20">
        <f>+BA192*1000/(AVERAGE(BA150,AZ150))/3</f>
      </c>
      <c r="BB183" s="20">
        <f>+BB192*1000/(AVERAGE(BB150,BA150))/3</f>
      </c>
      <c r="BC183" s="20">
        <f>+BC192*1000/(AVERAGE(BC150,BB150))/3</f>
      </c>
      <c r="BD183" s="983">
        <f>AVERAGE(AZ183,BA183,BB183,BC183)</f>
      </c>
      <c r="BE183" s="20">
        <f>+BE192*1000/(AVERAGE(BE150,BD150))/3</f>
      </c>
      <c r="BF183" s="20">
        <f>+BF192*1000/(AVERAGE(BF150,BE150))/3</f>
      </c>
      <c r="BG183" s="20">
        <f>+BG192*1000/(AVERAGE(BG150,BF150))/3</f>
      </c>
      <c r="BH183" s="20">
        <f>+BH192*1000/(AVERAGE(BH150,BG150))/3</f>
      </c>
      <c r="BI183" s="983">
        <f>AVERAGE(BE183,BF183,BG183,BH183)</f>
      </c>
      <c r="BJ183" s="20">
        <f>+BJ192*1000/(AVERAGE(BJ150,BI150))/3</f>
      </c>
      <c r="BK183" s="20">
        <f>+BK192*1000/(AVERAGE(BK150,BJ150))/3</f>
      </c>
      <c r="BL183" s="20">
        <f>+BL192*1000/(AVERAGE(BL150,BK150))/3</f>
      </c>
      <c r="BM183" s="20">
        <f>+BM192*1000/(AVERAGE(BM150,BL150))/3</f>
      </c>
      <c r="BN183" s="983">
        <f>AVERAGE(BJ183,BK183,BL183,BM183)</f>
      </c>
      <c r="BO183" s="20">
        <f>+BO192*1000/(AVERAGE(BO150,BN150))/3</f>
      </c>
      <c r="BP183" s="20">
        <f>+BP192*1000/(AVERAGE(BP150,BO150))/3</f>
      </c>
      <c r="BQ183" s="20">
        <f>+BQ192*1000/(AVERAGE(BQ150,BP150))/3</f>
      </c>
      <c r="BR183" s="20">
        <f>+BR192*1000/(AVERAGE(BR150,BQ150))/3</f>
      </c>
      <c r="BS183" s="983">
        <f>AVERAGE(BO183,BP183,BQ183,BR183)</f>
      </c>
      <c r="BT183" s="683">
        <f>+BT192*1000/(AVERAGE(BT150,BS150))/3</f>
      </c>
      <c r="BU183" s="70">
        <f>+BU192*1000/(AVERAGE(BU150,BT150))/3</f>
      </c>
      <c r="BV183" s="70">
        <f>+BV192*1000/(AVERAGE(BV150,BU150))/3</f>
      </c>
      <c r="BW183" s="70">
        <f>+BW192*1000/(AVERAGE(BW150,BV150))/3</f>
      </c>
      <c r="BX183" s="959">
        <f>AVERAGE(BT183,BU183,BV183,BW183)</f>
      </c>
      <c r="BY183" s="70">
        <f>+BY192*1000/(AVERAGE(BY150,BX150))/3</f>
      </c>
      <c r="BZ183" s="70">
        <f>+BZ192*1000/(AVERAGE(BZ150,BY150))/3</f>
      </c>
      <c r="CA183" s="70">
        <f>+CA192*1000/(AVERAGE(CA150,BZ150))/3</f>
      </c>
      <c r="CB183" s="70">
        <f>+CB192*1000/(AVERAGE(CB150,CA150))/3</f>
      </c>
      <c r="CC183" s="959">
        <f>AVERAGE(BY183,BZ183,CA183,CB183)</f>
      </c>
      <c r="CD183" s="959">
        <f>+CD192*1000/(AVERAGE(CD150,CC150))/12</f>
      </c>
      <c r="CE183" s="959">
        <f>+CE192*1000/(AVERAGE(CE150,CD150))/12</f>
      </c>
      <c r="CF183" s="959">
        <f>+CF192*1000/(AVERAGE(CF150,CE150))/12</f>
      </c>
      <c r="CG183" s="20"/>
    </row>
    <row r="184" spans="1:85" x14ac:dyDescent="0.3">
      <c r="A184" s="244"/>
      <c r="B184" s="245"/>
      <c r="C184" s="933"/>
      <c r="D184" s="933"/>
      <c r="E184" s="933"/>
      <c r="F184" s="933"/>
      <c r="G184" s="200"/>
      <c r="H184" s="200"/>
      <c r="I184" s="200"/>
      <c r="J184" s="200"/>
      <c r="K184" s="933"/>
      <c r="L184" s="200"/>
      <c r="M184" s="200"/>
      <c r="N184" s="200"/>
      <c r="O184" s="200"/>
      <c r="P184" s="933"/>
      <c r="Q184" s="200"/>
      <c r="R184" s="200"/>
      <c r="S184" s="200"/>
      <c r="T184" s="200"/>
      <c r="U184" s="933"/>
      <c r="V184" s="200"/>
      <c r="W184" s="200"/>
      <c r="X184" s="200"/>
      <c r="Y184" s="200"/>
      <c r="Z184" s="933"/>
      <c r="AA184" s="200"/>
      <c r="AB184" s="200"/>
      <c r="AC184" s="200"/>
      <c r="AD184" s="200"/>
      <c r="AE184" s="933"/>
      <c r="AF184" s="200"/>
      <c r="AG184" s="200"/>
      <c r="AH184" s="200"/>
      <c r="AI184" s="200"/>
      <c r="AJ184" s="933"/>
      <c r="AK184" s="200"/>
      <c r="AL184" s="200"/>
      <c r="AM184" s="200"/>
      <c r="AN184" s="200"/>
      <c r="AO184" s="933"/>
      <c r="AP184" s="200"/>
      <c r="AQ184" s="200"/>
      <c r="AR184" s="200"/>
      <c r="AS184" s="200"/>
      <c r="AT184" s="933"/>
      <c r="AU184" s="200"/>
      <c r="AV184" s="200"/>
      <c r="AW184" s="200"/>
      <c r="AX184" s="200"/>
      <c r="AY184" s="933"/>
      <c r="AZ184" s="200"/>
      <c r="BA184" s="200"/>
      <c r="BB184" s="200"/>
      <c r="BC184" s="200"/>
      <c r="BD184" s="933"/>
      <c r="BE184" s="200"/>
      <c r="BF184" s="200"/>
      <c r="BG184" s="200"/>
      <c r="BH184" s="200"/>
      <c r="BI184" s="933"/>
      <c r="BJ184" s="200"/>
      <c r="BK184" s="200"/>
      <c r="BL184" s="200"/>
      <c r="BM184" s="200"/>
      <c r="BN184" s="933"/>
      <c r="BO184" s="200"/>
      <c r="BP184" s="200"/>
      <c r="BQ184" s="200"/>
      <c r="BR184" s="200"/>
      <c r="BS184" s="933"/>
      <c r="BT184" s="295"/>
      <c r="BU184" s="200"/>
      <c r="BV184" s="200"/>
      <c r="BW184" s="200"/>
      <c r="BX184" s="933"/>
      <c r="BY184" s="200"/>
      <c r="BZ184" s="200"/>
      <c r="CA184" s="200"/>
      <c r="CB184" s="200"/>
      <c r="CC184" s="933"/>
      <c r="CD184" s="933"/>
      <c r="CE184" s="933"/>
      <c r="CF184" s="933"/>
      <c r="CG184" s="24"/>
    </row>
    <row r="185" spans="1:85" hidden="1" outlineLevel="1" x14ac:dyDescent="0.3">
      <c r="A185" s="337" t="str">
        <f>'Supplemental Data'!A28</f>
      </c>
      <c r="B185" s="242"/>
      <c r="C185" s="950"/>
      <c r="D185" s="950"/>
      <c r="E185" s="950"/>
      <c r="F185" s="972">
        <f>'Supplemental Data'!F28</f>
      </c>
      <c r="G185" s="862">
        <f>'Supplemental Data'!G28</f>
      </c>
      <c r="H185" s="862">
        <f>'Supplemental Data'!H28</f>
      </c>
      <c r="I185" s="862">
        <f>'Supplemental Data'!I28</f>
      </c>
      <c r="J185" s="862">
        <f>'Supplemental Data'!J28</f>
      </c>
      <c r="K185" s="972">
        <f>'Supplemental Data'!K28</f>
      </c>
      <c r="L185" s="862">
        <f>'Supplemental Data'!L28</f>
      </c>
      <c r="M185" s="862">
        <f>'Supplemental Data'!M28</f>
      </c>
      <c r="N185" s="862">
        <f>'Supplemental Data'!N28</f>
      </c>
      <c r="O185" s="862">
        <f>'Supplemental Data'!O28</f>
      </c>
      <c r="P185" s="972">
        <f>'Supplemental Data'!P28</f>
      </c>
      <c r="Q185" s="862">
        <f>'Supplemental Data'!Q28</f>
      </c>
      <c r="R185" s="862">
        <f>'Supplemental Data'!R28</f>
      </c>
      <c r="S185" s="862">
        <f>'Supplemental Data'!S28</f>
      </c>
      <c r="T185" s="862">
        <f>'Supplemental Data'!T28</f>
      </c>
      <c r="U185" s="972">
        <f>'Supplemental Data'!U28</f>
      </c>
      <c r="V185" s="862">
        <f>'Supplemental Data'!V28</f>
      </c>
      <c r="W185" s="862">
        <f>'Supplemental Data'!W28</f>
      </c>
      <c r="X185" s="862">
        <f>'Supplemental Data'!X28</f>
      </c>
      <c r="Y185" s="862">
        <f>'Supplemental Data'!Y28</f>
      </c>
      <c r="Z185" s="972">
        <f>'Supplemental Data'!Z28</f>
      </c>
      <c r="AA185" s="204"/>
      <c r="AB185" s="204"/>
      <c r="AC185" s="204"/>
      <c r="AD185" s="204"/>
      <c r="AE185" s="950"/>
      <c r="AF185" s="204"/>
      <c r="AG185" s="204"/>
      <c r="AH185" s="204"/>
      <c r="AI185" s="204"/>
      <c r="AJ185" s="950"/>
      <c r="AK185" s="204"/>
      <c r="AL185" s="204"/>
      <c r="AM185" s="204"/>
      <c r="AN185" s="204"/>
      <c r="AO185" s="950"/>
      <c r="AP185" s="204"/>
      <c r="AQ185" s="204"/>
      <c r="AR185" s="204"/>
      <c r="AS185" s="204"/>
      <c r="AT185" s="950"/>
      <c r="AU185" s="204"/>
      <c r="AV185" s="204"/>
      <c r="AW185" s="204"/>
      <c r="AX185" s="204"/>
      <c r="AY185" s="950"/>
      <c r="AZ185" s="204"/>
      <c r="BA185" s="204"/>
      <c r="BB185" s="204"/>
      <c r="BC185" s="204"/>
      <c r="BD185" s="950"/>
      <c r="BE185" s="204"/>
      <c r="BF185" s="204"/>
      <c r="BG185" s="204"/>
      <c r="BH185" s="204"/>
      <c r="BI185" s="950"/>
      <c r="BJ185" s="204"/>
      <c r="BK185" s="204"/>
      <c r="BL185" s="204"/>
      <c r="BM185" s="204"/>
      <c r="BN185" s="950"/>
      <c r="BO185" s="204"/>
      <c r="BP185" s="204"/>
      <c r="BQ185" s="204"/>
      <c r="BR185" s="204"/>
      <c r="BS185" s="950"/>
      <c r="BT185" s="294"/>
      <c r="BU185" s="204"/>
      <c r="BV185" s="204"/>
      <c r="BW185" s="204"/>
      <c r="BX185" s="950"/>
      <c r="BY185" s="204"/>
      <c r="BZ185" s="204"/>
      <c r="CA185" s="204"/>
      <c r="CB185" s="204"/>
      <c r="CC185" s="950"/>
      <c r="CD185" s="950"/>
      <c r="CE185" s="950"/>
      <c r="CF185" s="950"/>
      <c r="CG185" s="131"/>
    </row>
    <row r="186" spans="1:85" hidden="1" outlineLevel="1" x14ac:dyDescent="0.3">
      <c r="A186" s="337" t="str">
        <f>A69</f>
      </c>
      <c r="B186" s="242"/>
      <c r="C186" s="950"/>
      <c r="D186" s="950"/>
      <c r="E186" s="950"/>
      <c r="F186" s="950">
        <f t="shared" ref="F186:AO186" si="347">F69</f>
      </c>
      <c r="G186" s="204">
        <f t="shared" si="347"/>
      </c>
      <c r="H186" s="204">
        <f t="shared" si="347"/>
      </c>
      <c r="I186" s="204">
        <f t="shared" si="347"/>
      </c>
      <c r="J186" s="204">
        <f t="shared" si="347"/>
      </c>
      <c r="K186" s="950">
        <f t="shared" si="347"/>
      </c>
      <c r="L186" s="204">
        <f t="shared" si="347"/>
      </c>
      <c r="M186" s="204">
        <f t="shared" si="347"/>
      </c>
      <c r="N186" s="204">
        <f t="shared" si="347"/>
      </c>
      <c r="O186" s="204">
        <f t="shared" si="347"/>
      </c>
      <c r="P186" s="950">
        <f t="shared" si="347"/>
      </c>
      <c r="Q186" s="204">
        <f t="shared" si="347"/>
      </c>
      <c r="R186" s="204">
        <f t="shared" si="347"/>
      </c>
      <c r="S186" s="204">
        <f t="shared" si="347"/>
      </c>
      <c r="T186" s="204">
        <f t="shared" si="347"/>
      </c>
      <c r="U186" s="950">
        <f t="shared" si="347"/>
      </c>
      <c r="V186" s="204">
        <f t="shared" si="347"/>
      </c>
      <c r="W186" s="204">
        <f t="shared" si="347"/>
      </c>
      <c r="X186" s="204">
        <f t="shared" si="347"/>
      </c>
      <c r="Y186" s="204">
        <f t="shared" si="347"/>
      </c>
      <c r="Z186" s="950">
        <f t="shared" si="347"/>
      </c>
      <c r="AA186" s="204">
        <f t="shared" si="347"/>
      </c>
      <c r="AB186" s="204">
        <f t="shared" si="347"/>
      </c>
      <c r="AC186" s="204">
        <f t="shared" si="347"/>
      </c>
      <c r="AD186" s="204">
        <f t="shared" si="347"/>
      </c>
      <c r="AE186" s="950">
        <f t="shared" si="347"/>
      </c>
      <c r="AF186" s="204">
        <f t="shared" si="347"/>
      </c>
      <c r="AG186" s="204">
        <f t="shared" si="347"/>
      </c>
      <c r="AH186" s="204">
        <f t="shared" si="347"/>
      </c>
      <c r="AI186" s="204">
        <f t="shared" si="347"/>
      </c>
      <c r="AJ186" s="950">
        <f t="shared" si="347"/>
      </c>
      <c r="AK186" s="204">
        <f t="shared" si="347"/>
      </c>
      <c r="AL186" s="204">
        <f t="shared" si="347"/>
      </c>
      <c r="AM186" s="204">
        <f t="shared" si="347"/>
      </c>
      <c r="AN186" s="204">
        <f t="shared" si="347"/>
      </c>
      <c r="AO186" s="950">
        <f t="shared" si="347"/>
      </c>
      <c r="AP186" s="204"/>
      <c r="AQ186" s="204"/>
      <c r="AR186" s="204"/>
      <c r="AS186" s="204"/>
      <c r="AT186" s="950"/>
      <c r="AU186" s="204"/>
      <c r="AV186" s="204"/>
      <c r="AW186" s="204"/>
      <c r="AX186" s="204"/>
      <c r="AY186" s="950"/>
      <c r="AZ186" s="204"/>
      <c r="BA186" s="204"/>
      <c r="BB186" s="204"/>
      <c r="BC186" s="204"/>
      <c r="BD186" s="950"/>
      <c r="BE186" s="204"/>
      <c r="BF186" s="204"/>
      <c r="BG186" s="204"/>
      <c r="BH186" s="204"/>
      <c r="BI186" s="950"/>
      <c r="BJ186" s="204"/>
      <c r="BK186" s="204"/>
      <c r="BL186" s="204"/>
      <c r="BM186" s="204"/>
      <c r="BN186" s="950"/>
      <c r="BO186" s="204"/>
      <c r="BP186" s="204"/>
      <c r="BQ186" s="204"/>
      <c r="BR186" s="204"/>
      <c r="BS186" s="950"/>
      <c r="BT186" s="294"/>
      <c r="BU186" s="204"/>
      <c r="BV186" s="204"/>
      <c r="BW186" s="204"/>
      <c r="BX186" s="950"/>
      <c r="BY186" s="204"/>
      <c r="BZ186" s="204"/>
      <c r="CA186" s="204"/>
      <c r="CB186" s="204"/>
      <c r="CC186" s="950"/>
      <c r="CD186" s="950"/>
      <c r="CE186" s="950"/>
      <c r="CF186" s="950"/>
      <c r="CG186" s="131"/>
    </row>
    <row r="187" spans="1:85" hidden="1" outlineLevel="1" x14ac:dyDescent="0.3">
      <c r="A187" s="338" t="str">
        <f>A71</f>
      </c>
      <c r="B187" s="246"/>
      <c r="C187" s="953"/>
      <c r="D187" s="953"/>
      <c r="E187" s="953"/>
      <c r="F187" s="953"/>
      <c r="G187" s="247"/>
      <c r="H187" s="247"/>
      <c r="I187" s="247"/>
      <c r="J187" s="247"/>
      <c r="K187" s="953"/>
      <c r="L187" s="247"/>
      <c r="M187" s="247"/>
      <c r="N187" s="247"/>
      <c r="O187" s="247"/>
      <c r="P187" s="953"/>
      <c r="Q187" s="247"/>
      <c r="R187" s="247"/>
      <c r="S187" s="247"/>
      <c r="T187" s="247"/>
      <c r="U187" s="953"/>
      <c r="V187" s="247"/>
      <c r="W187" s="247"/>
      <c r="X187" s="247"/>
      <c r="Y187" s="247"/>
      <c r="Z187" s="953"/>
      <c r="AA187" s="247">
        <f t="shared" ref="AA187:AO187" si="348">AA71</f>
      </c>
      <c r="AB187" s="247">
        <f t="shared" si="348"/>
      </c>
      <c r="AC187" s="247">
        <f t="shared" si="348"/>
      </c>
      <c r="AD187" s="247">
        <f t="shared" si="348"/>
      </c>
      <c r="AE187" s="953">
        <f t="shared" si="348"/>
      </c>
      <c r="AF187" s="247">
        <f t="shared" si="348"/>
      </c>
      <c r="AG187" s="247">
        <f t="shared" si="348"/>
      </c>
      <c r="AH187" s="247">
        <f t="shared" si="348"/>
      </c>
      <c r="AI187" s="247">
        <f t="shared" si="348"/>
      </c>
      <c r="AJ187" s="953">
        <f t="shared" si="348"/>
      </c>
      <c r="AK187" s="247">
        <f t="shared" si="348"/>
      </c>
      <c r="AL187" s="247">
        <f t="shared" si="348"/>
      </c>
      <c r="AM187" s="247">
        <f t="shared" si="348"/>
      </c>
      <c r="AN187" s="247">
        <f t="shared" si="348"/>
      </c>
      <c r="AO187" s="953">
        <f t="shared" si="348"/>
      </c>
      <c r="AP187" s="247"/>
      <c r="AQ187" s="247"/>
      <c r="AR187" s="247"/>
      <c r="AS187" s="247"/>
      <c r="AT187" s="953"/>
      <c r="AU187" s="247"/>
      <c r="AV187" s="247"/>
      <c r="AW187" s="247"/>
      <c r="AX187" s="247"/>
      <c r="AY187" s="953"/>
      <c r="AZ187" s="247"/>
      <c r="BA187" s="247"/>
      <c r="BB187" s="247"/>
      <c r="BC187" s="247"/>
      <c r="BD187" s="953"/>
      <c r="BE187" s="247"/>
      <c r="BF187" s="247"/>
      <c r="BG187" s="247"/>
      <c r="BH187" s="247"/>
      <c r="BI187" s="953"/>
      <c r="BJ187" s="247"/>
      <c r="BK187" s="247"/>
      <c r="BL187" s="247"/>
      <c r="BM187" s="247"/>
      <c r="BN187" s="953"/>
      <c r="BO187" s="247"/>
      <c r="BP187" s="247"/>
      <c r="BQ187" s="247"/>
      <c r="BR187" s="247"/>
      <c r="BS187" s="953"/>
      <c r="BT187" s="497"/>
      <c r="BU187" s="247"/>
      <c r="BV187" s="247"/>
      <c r="BW187" s="247"/>
      <c r="BX187" s="953"/>
      <c r="BY187" s="247"/>
      <c r="BZ187" s="247"/>
      <c r="CA187" s="247"/>
      <c r="CB187" s="247"/>
      <c r="CC187" s="953"/>
      <c r="CD187" s="953"/>
      <c r="CE187" s="953"/>
      <c r="CF187" s="953"/>
      <c r="CG187" s="131"/>
    </row>
    <row r="188" spans="1:85" s="587" customFormat="1" collapsed="1" x14ac:dyDescent="0.3">
      <c r="A188" s="208" t="str">
        <f>A73</f>
      </c>
      <c r="B188" s="430"/>
      <c r="C188" s="962"/>
      <c r="D188" s="962"/>
      <c r="E188" s="962"/>
      <c r="F188" s="962"/>
      <c r="G188" s="757"/>
      <c r="H188" s="757"/>
      <c r="I188" s="757"/>
      <c r="J188" s="757"/>
      <c r="K188" s="962"/>
      <c r="L188" s="757"/>
      <c r="M188" s="757"/>
      <c r="N188" s="757"/>
      <c r="O188" s="757"/>
      <c r="P188" s="962"/>
      <c r="Q188" s="757"/>
      <c r="R188" s="757"/>
      <c r="S188" s="757"/>
      <c r="T188" s="757"/>
      <c r="U188" s="962"/>
      <c r="V188" s="757"/>
      <c r="W188" s="757"/>
      <c r="X188" s="757"/>
      <c r="Y188" s="757"/>
      <c r="Z188" s="962"/>
      <c r="AA188" s="757">
        <f t="shared" ref="AA188:AW188" si="349">AA73</f>
      </c>
      <c r="AB188" s="757">
        <f t="shared" si="349"/>
      </c>
      <c r="AC188" s="757">
        <f t="shared" si="349"/>
      </c>
      <c r="AD188" s="757">
        <f t="shared" si="349"/>
      </c>
      <c r="AE188" s="962">
        <f t="shared" si="349"/>
      </c>
      <c r="AF188" s="757">
        <f t="shared" si="349"/>
      </c>
      <c r="AG188" s="757">
        <f t="shared" si="349"/>
      </c>
      <c r="AH188" s="757">
        <f t="shared" si="349"/>
      </c>
      <c r="AI188" s="757">
        <f t="shared" si="349"/>
      </c>
      <c r="AJ188" s="962">
        <f t="shared" si="349"/>
      </c>
      <c r="AK188" s="757">
        <f t="shared" si="349"/>
      </c>
      <c r="AL188" s="757">
        <f t="shared" si="349"/>
      </c>
      <c r="AM188" s="757">
        <f t="shared" si="349"/>
      </c>
      <c r="AN188" s="757">
        <f t="shared" si="349"/>
      </c>
      <c r="AO188" s="962">
        <f t="shared" si="349"/>
      </c>
      <c r="AP188" s="757">
        <f t="shared" si="349"/>
      </c>
      <c r="AQ188" s="757">
        <f t="shared" si="349"/>
      </c>
      <c r="AR188" s="757">
        <f t="shared" si="349"/>
      </c>
      <c r="AS188" s="757">
        <f t="shared" si="349"/>
      </c>
      <c r="AT188" s="962">
        <f t="shared" si="349"/>
      </c>
      <c r="AU188" s="757">
        <f t="shared" si="349"/>
      </c>
      <c r="AV188" s="757">
        <f t="shared" si="349"/>
      </c>
      <c r="AW188" s="757">
        <f t="shared" si="349"/>
      </c>
      <c r="AX188" s="757">
        <f t="shared" ref="AX188:BD188" si="350">AX73</f>
      </c>
      <c r="AY188" s="962">
        <f t="shared" si="350"/>
      </c>
      <c r="AZ188" s="757">
        <f t="shared" si="350"/>
      </c>
      <c r="BA188" s="757">
        <f t="shared" si="350"/>
      </c>
      <c r="BB188" s="757">
        <f t="shared" si="350"/>
      </c>
      <c r="BC188" s="757">
        <f t="shared" si="350"/>
      </c>
      <c r="BD188" s="962">
        <f t="shared" si="350"/>
      </c>
      <c r="BE188" s="757">
        <f t="shared" ref="BE188:BI188" si="351">BE73</f>
      </c>
      <c r="BF188" s="757">
        <f t="shared" si="351"/>
      </c>
      <c r="BG188" s="757">
        <f t="shared" si="351"/>
      </c>
      <c r="BH188" s="757">
        <f t="shared" si="351"/>
      </c>
      <c r="BI188" s="962">
        <f t="shared" si="351"/>
      </c>
      <c r="BJ188" s="757">
        <f t="shared" ref="BJ188:BX188" si="352">BJ73</f>
      </c>
      <c r="BK188" s="757">
        <f t="shared" si="352"/>
      </c>
      <c r="BL188" s="757">
        <f t="shared" si="352"/>
      </c>
      <c r="BM188" s="757">
        <f t="shared" si="352"/>
      </c>
      <c r="BN188" s="962">
        <f t="shared" si="352"/>
      </c>
      <c r="BO188" s="757">
        <f t="shared" ref="BO188:BW188" si="353">BO73</f>
      </c>
      <c r="BP188" s="757">
        <f t="shared" si="353"/>
      </c>
      <c r="BQ188" s="757">
        <f t="shared" si="353"/>
      </c>
      <c r="BR188" s="757">
        <f t="shared" si="353"/>
      </c>
      <c r="BS188" s="962">
        <f t="shared" si="353"/>
      </c>
      <c r="BT188" s="758">
        <f>BT73</f>
      </c>
      <c r="BU188" s="757">
        <f t="shared" si="353"/>
      </c>
      <c r="BV188" s="757">
        <f t="shared" si="353"/>
      </c>
      <c r="BW188" s="757">
        <f t="shared" si="353"/>
      </c>
      <c r="BX188" s="962">
        <f t="shared" si="352"/>
      </c>
      <c r="BY188" s="757">
        <f t="shared" ref="BY188:CF188" si="354">BY73</f>
      </c>
      <c r="BZ188" s="757">
        <f t="shared" si="354"/>
      </c>
      <c r="CA188" s="757">
        <f t="shared" si="354"/>
      </c>
      <c r="CB188" s="757">
        <f t="shared" si="354"/>
      </c>
      <c r="CC188" s="962">
        <f t="shared" si="354"/>
      </c>
      <c r="CD188" s="962">
        <f t="shared" si="354"/>
      </c>
      <c r="CE188" s="962">
        <f t="shared" si="354"/>
      </c>
      <c r="CF188" s="962">
        <f t="shared" si="354"/>
      </c>
      <c r="CG188" s="459"/>
    </row>
    <row r="189" spans="1:85" s="587" customFormat="1" x14ac:dyDescent="0.3">
      <c r="A189" s="208" t="str">
        <f>A93</f>
      </c>
      <c r="B189" s="430"/>
      <c r="C189" s="962"/>
      <c r="D189" s="962"/>
      <c r="E189" s="962"/>
      <c r="F189" s="962"/>
      <c r="G189" s="757"/>
      <c r="H189" s="757"/>
      <c r="I189" s="757"/>
      <c r="J189" s="757"/>
      <c r="K189" s="962"/>
      <c r="L189" s="757"/>
      <c r="M189" s="757"/>
      <c r="N189" s="757"/>
      <c r="O189" s="757"/>
      <c r="P189" s="962"/>
      <c r="Q189" s="757"/>
      <c r="R189" s="757"/>
      <c r="S189" s="757"/>
      <c r="T189" s="757"/>
      <c r="U189" s="962"/>
      <c r="V189" s="757"/>
      <c r="W189" s="757"/>
      <c r="X189" s="757"/>
      <c r="Y189" s="757"/>
      <c r="Z189" s="962"/>
      <c r="AA189" s="757">
        <f t="shared" ref="AA189:AW189" si="355">AA93</f>
      </c>
      <c r="AB189" s="757">
        <f t="shared" si="355"/>
      </c>
      <c r="AC189" s="757">
        <f t="shared" si="355"/>
      </c>
      <c r="AD189" s="757">
        <f t="shared" si="355"/>
      </c>
      <c r="AE189" s="962">
        <f t="shared" si="355"/>
      </c>
      <c r="AF189" s="757">
        <f t="shared" si="355"/>
      </c>
      <c r="AG189" s="757">
        <f t="shared" si="355"/>
      </c>
      <c r="AH189" s="757">
        <f t="shared" si="355"/>
      </c>
      <c r="AI189" s="757">
        <f t="shared" si="355"/>
      </c>
      <c r="AJ189" s="962">
        <f t="shared" si="355"/>
      </c>
      <c r="AK189" s="757">
        <f t="shared" si="355"/>
      </c>
      <c r="AL189" s="757">
        <f t="shared" si="355"/>
      </c>
      <c r="AM189" s="757">
        <f t="shared" si="355"/>
      </c>
      <c r="AN189" s="757">
        <f t="shared" si="355"/>
      </c>
      <c r="AO189" s="962">
        <f t="shared" si="355"/>
      </c>
      <c r="AP189" s="757">
        <f t="shared" si="355"/>
      </c>
      <c r="AQ189" s="757">
        <f t="shared" si="355"/>
      </c>
      <c r="AR189" s="757">
        <f t="shared" si="355"/>
      </c>
      <c r="AS189" s="757">
        <f t="shared" si="355"/>
      </c>
      <c r="AT189" s="962">
        <f t="shared" si="355"/>
      </c>
      <c r="AU189" s="757">
        <f t="shared" si="355"/>
      </c>
      <c r="AV189" s="757">
        <f t="shared" si="355"/>
      </c>
      <c r="AW189" s="757">
        <f t="shared" si="355"/>
      </c>
      <c r="AX189" s="757">
        <f t="shared" ref="AX189:BD189" si="356">AX93</f>
      </c>
      <c r="AY189" s="962">
        <f t="shared" si="356"/>
      </c>
      <c r="AZ189" s="757">
        <f t="shared" si="356"/>
      </c>
      <c r="BA189" s="757">
        <f t="shared" si="356"/>
      </c>
      <c r="BB189" s="757">
        <f t="shared" si="356"/>
      </c>
      <c r="BC189" s="757">
        <f t="shared" si="356"/>
      </c>
      <c r="BD189" s="962">
        <f t="shared" si="356"/>
      </c>
      <c r="BE189" s="757">
        <f t="shared" ref="BE189:BI189" si="357">BE93</f>
      </c>
      <c r="BF189" s="757">
        <f t="shared" si="357"/>
      </c>
      <c r="BG189" s="757">
        <f t="shared" si="357"/>
      </c>
      <c r="BH189" s="757">
        <f t="shared" si="357"/>
      </c>
      <c r="BI189" s="962">
        <f t="shared" si="357"/>
      </c>
      <c r="BJ189" s="757">
        <f t="shared" ref="BJ189:BX189" si="358">BJ93</f>
      </c>
      <c r="BK189" s="757">
        <f t="shared" si="358"/>
      </c>
      <c r="BL189" s="757">
        <f t="shared" si="358"/>
      </c>
      <c r="BM189" s="757">
        <f t="shared" si="358"/>
      </c>
      <c r="BN189" s="962">
        <f t="shared" si="358"/>
      </c>
      <c r="BO189" s="757">
        <f t="shared" ref="BO189:BW189" si="359">BO93</f>
      </c>
      <c r="BP189" s="757">
        <f t="shared" si="359"/>
      </c>
      <c r="BQ189" s="757">
        <f t="shared" si="359"/>
      </c>
      <c r="BR189" s="757">
        <f t="shared" si="359"/>
      </c>
      <c r="BS189" s="962">
        <f t="shared" si="359"/>
      </c>
      <c r="BT189" s="758">
        <f>BT93</f>
      </c>
      <c r="BU189" s="757">
        <f t="shared" si="359"/>
      </c>
      <c r="BV189" s="757">
        <f t="shared" si="359"/>
      </c>
      <c r="BW189" s="757">
        <f t="shared" si="359"/>
      </c>
      <c r="BX189" s="962">
        <f t="shared" si="358"/>
      </c>
      <c r="BY189" s="757">
        <f t="shared" ref="BY189:CF189" si="360">BY93</f>
      </c>
      <c r="BZ189" s="757">
        <f t="shared" si="360"/>
      </c>
      <c r="CA189" s="757">
        <f t="shared" si="360"/>
      </c>
      <c r="CB189" s="757">
        <f t="shared" si="360"/>
      </c>
      <c r="CC189" s="962">
        <f t="shared" si="360"/>
      </c>
      <c r="CD189" s="962">
        <f t="shared" si="360"/>
      </c>
      <c r="CE189" s="962">
        <f t="shared" si="360"/>
      </c>
      <c r="CF189" s="962">
        <f t="shared" si="360"/>
      </c>
      <c r="CG189" s="459"/>
    </row>
    <row r="190" spans="1:85" s="587" customFormat="1" x14ac:dyDescent="0.3">
      <c r="A190" s="208" t="str">
        <f>A113</f>
      </c>
      <c r="B190" s="430"/>
      <c r="C190" s="962"/>
      <c r="D190" s="962"/>
      <c r="E190" s="962"/>
      <c r="F190" s="962"/>
      <c r="G190" s="757"/>
      <c r="H190" s="757"/>
      <c r="I190" s="757"/>
      <c r="J190" s="757"/>
      <c r="K190" s="962"/>
      <c r="L190" s="757"/>
      <c r="M190" s="757"/>
      <c r="N190" s="757"/>
      <c r="O190" s="757"/>
      <c r="P190" s="962"/>
      <c r="Q190" s="757"/>
      <c r="R190" s="757"/>
      <c r="S190" s="757"/>
      <c r="T190" s="757"/>
      <c r="U190" s="962"/>
      <c r="V190" s="757"/>
      <c r="W190" s="757"/>
      <c r="X190" s="757"/>
      <c r="Y190" s="757"/>
      <c r="Z190" s="962"/>
      <c r="AA190" s="757">
        <f t="shared" ref="AA190:AW190" si="361">AA113</f>
      </c>
      <c r="AB190" s="757">
        <f t="shared" si="361"/>
      </c>
      <c r="AC190" s="757">
        <f t="shared" si="361"/>
      </c>
      <c r="AD190" s="757">
        <f t="shared" si="361"/>
      </c>
      <c r="AE190" s="962">
        <f t="shared" si="361"/>
      </c>
      <c r="AF190" s="757">
        <f t="shared" si="361"/>
      </c>
      <c r="AG190" s="757">
        <f t="shared" si="361"/>
      </c>
      <c r="AH190" s="757">
        <f t="shared" si="361"/>
      </c>
      <c r="AI190" s="757">
        <f t="shared" si="361"/>
      </c>
      <c r="AJ190" s="962">
        <f t="shared" si="361"/>
      </c>
      <c r="AK190" s="757">
        <f t="shared" si="361"/>
      </c>
      <c r="AL190" s="757">
        <f t="shared" si="361"/>
      </c>
      <c r="AM190" s="757">
        <f t="shared" si="361"/>
      </c>
      <c r="AN190" s="757">
        <f t="shared" si="361"/>
      </c>
      <c r="AO190" s="962">
        <f t="shared" si="361"/>
      </c>
      <c r="AP190" s="757">
        <f t="shared" si="361"/>
      </c>
      <c r="AQ190" s="757">
        <f t="shared" si="361"/>
      </c>
      <c r="AR190" s="757">
        <f t="shared" si="361"/>
      </c>
      <c r="AS190" s="757">
        <f t="shared" si="361"/>
      </c>
      <c r="AT190" s="962">
        <f t="shared" si="361"/>
      </c>
      <c r="AU190" s="757">
        <f t="shared" si="361"/>
      </c>
      <c r="AV190" s="757">
        <f t="shared" si="361"/>
      </c>
      <c r="AW190" s="757">
        <f t="shared" si="361"/>
      </c>
      <c r="AX190" s="757">
        <f t="shared" ref="AX190:BD190" si="362">AX113</f>
      </c>
      <c r="AY190" s="962">
        <f t="shared" si="362"/>
      </c>
      <c r="AZ190" s="757">
        <f t="shared" si="362"/>
      </c>
      <c r="BA190" s="757">
        <f t="shared" si="362"/>
      </c>
      <c r="BB190" s="757">
        <f t="shared" si="362"/>
      </c>
      <c r="BC190" s="757">
        <f t="shared" si="362"/>
      </c>
      <c r="BD190" s="962">
        <f t="shared" si="362"/>
      </c>
      <c r="BE190" s="757">
        <f t="shared" ref="BE190:BI190" si="363">BE113</f>
      </c>
      <c r="BF190" s="757">
        <f t="shared" si="363"/>
      </c>
      <c r="BG190" s="757">
        <f t="shared" si="363"/>
      </c>
      <c r="BH190" s="757">
        <f t="shared" si="363"/>
      </c>
      <c r="BI190" s="962">
        <f t="shared" si="363"/>
      </c>
      <c r="BJ190" s="757">
        <f t="shared" ref="BJ190:BX190" si="364">BJ113</f>
      </c>
      <c r="BK190" s="757">
        <f t="shared" si="364"/>
      </c>
      <c r="BL190" s="757">
        <f t="shared" si="364"/>
      </c>
      <c r="BM190" s="757">
        <f t="shared" si="364"/>
      </c>
      <c r="BN190" s="962">
        <f t="shared" si="364"/>
      </c>
      <c r="BO190" s="757">
        <f t="shared" ref="BO190:BW190" si="365">BO113</f>
      </c>
      <c r="BP190" s="757">
        <f t="shared" si="365"/>
      </c>
      <c r="BQ190" s="757">
        <f t="shared" si="365"/>
      </c>
      <c r="BR190" s="757">
        <f t="shared" si="365"/>
      </c>
      <c r="BS190" s="962">
        <f t="shared" si="365"/>
      </c>
      <c r="BT190" s="758">
        <f>BT113</f>
      </c>
      <c r="BU190" s="757">
        <f t="shared" si="365"/>
      </c>
      <c r="BV190" s="757">
        <f t="shared" si="365"/>
      </c>
      <c r="BW190" s="757">
        <f t="shared" si="365"/>
      </c>
      <c r="BX190" s="962">
        <f t="shared" si="364"/>
      </c>
      <c r="BY190" s="757">
        <f t="shared" ref="BY190:CF190" si="366">BY113</f>
      </c>
      <c r="BZ190" s="757">
        <f t="shared" si="366"/>
      </c>
      <c r="CA190" s="757">
        <f t="shared" si="366"/>
      </c>
      <c r="CB190" s="757">
        <f t="shared" si="366"/>
      </c>
      <c r="CC190" s="962">
        <f t="shared" si="366"/>
      </c>
      <c r="CD190" s="962">
        <f t="shared" si="366"/>
      </c>
      <c r="CE190" s="962">
        <f t="shared" si="366"/>
      </c>
      <c r="CF190" s="962">
        <f t="shared" si="366"/>
      </c>
      <c r="CG190" s="459"/>
    </row>
    <row r="191" spans="1:85" s="587" customFormat="1" x14ac:dyDescent="0.3">
      <c r="A191" s="655" t="str">
        <f>A133</f>
      </c>
      <c r="B191" s="425"/>
      <c r="C191" s="984"/>
      <c r="D191" s="984"/>
      <c r="E191" s="984"/>
      <c r="F191" s="984"/>
      <c r="G191" s="761"/>
      <c r="H191" s="761"/>
      <c r="I191" s="761"/>
      <c r="J191" s="761"/>
      <c r="K191" s="984"/>
      <c r="L191" s="761"/>
      <c r="M191" s="761"/>
      <c r="N191" s="761"/>
      <c r="O191" s="761"/>
      <c r="P191" s="984"/>
      <c r="Q191" s="761"/>
      <c r="R191" s="761"/>
      <c r="S191" s="761"/>
      <c r="T191" s="761"/>
      <c r="U191" s="984"/>
      <c r="V191" s="761"/>
      <c r="W191" s="761"/>
      <c r="X191" s="761"/>
      <c r="Y191" s="761"/>
      <c r="Z191" s="984"/>
      <c r="AA191" s="761">
        <f t="shared" ref="AA191:AW191" si="367">AA133</f>
      </c>
      <c r="AB191" s="761">
        <f t="shared" si="367"/>
      </c>
      <c r="AC191" s="761">
        <f t="shared" si="367"/>
      </c>
      <c r="AD191" s="761">
        <f t="shared" si="367"/>
      </c>
      <c r="AE191" s="984">
        <f t="shared" si="367"/>
      </c>
      <c r="AF191" s="761">
        <f t="shared" si="367"/>
      </c>
      <c r="AG191" s="761">
        <f t="shared" si="367"/>
      </c>
      <c r="AH191" s="761">
        <f t="shared" si="367"/>
      </c>
      <c r="AI191" s="761">
        <f t="shared" si="367"/>
      </c>
      <c r="AJ191" s="984">
        <f t="shared" si="367"/>
      </c>
      <c r="AK191" s="761">
        <f t="shared" si="367"/>
      </c>
      <c r="AL191" s="761">
        <f t="shared" si="367"/>
      </c>
      <c r="AM191" s="761">
        <f t="shared" si="367"/>
      </c>
      <c r="AN191" s="761">
        <f t="shared" si="367"/>
      </c>
      <c r="AO191" s="984">
        <f t="shared" si="367"/>
      </c>
      <c r="AP191" s="761">
        <f t="shared" si="367"/>
      </c>
      <c r="AQ191" s="761">
        <f t="shared" si="367"/>
      </c>
      <c r="AR191" s="761">
        <f t="shared" si="367"/>
      </c>
      <c r="AS191" s="761">
        <f t="shared" si="367"/>
      </c>
      <c r="AT191" s="984">
        <f t="shared" si="367"/>
      </c>
      <c r="AU191" s="761">
        <f t="shared" si="367"/>
      </c>
      <c r="AV191" s="761">
        <f t="shared" si="367"/>
      </c>
      <c r="AW191" s="761">
        <f t="shared" si="367"/>
      </c>
      <c r="AX191" s="761">
        <f t="shared" ref="AX191:BD191" si="368">AX133</f>
      </c>
      <c r="AY191" s="984">
        <f t="shared" si="368"/>
      </c>
      <c r="AZ191" s="761">
        <f t="shared" si="368"/>
      </c>
      <c r="BA191" s="761">
        <f t="shared" si="368"/>
      </c>
      <c r="BB191" s="761">
        <f t="shared" si="368"/>
      </c>
      <c r="BC191" s="761">
        <f t="shared" si="368"/>
      </c>
      <c r="BD191" s="984">
        <f t="shared" si="368"/>
      </c>
      <c r="BE191" s="761">
        <f t="shared" ref="BE191:BI191" si="369">BE133</f>
      </c>
      <c r="BF191" s="761">
        <f t="shared" si="369"/>
      </c>
      <c r="BG191" s="761">
        <f t="shared" si="369"/>
      </c>
      <c r="BH191" s="761">
        <f t="shared" si="369"/>
      </c>
      <c r="BI191" s="984">
        <f t="shared" si="369"/>
      </c>
      <c r="BJ191" s="761">
        <f t="shared" ref="BJ191:BX191" si="370">BJ133</f>
      </c>
      <c r="BK191" s="761">
        <f t="shared" si="370"/>
      </c>
      <c r="BL191" s="761">
        <f t="shared" si="370"/>
      </c>
      <c r="BM191" s="761">
        <f t="shared" si="370"/>
      </c>
      <c r="BN191" s="984">
        <f t="shared" si="370"/>
      </c>
      <c r="BO191" s="761">
        <f t="shared" ref="BO191:BW191" si="371">BO133</f>
      </c>
      <c r="BP191" s="761">
        <f t="shared" si="371"/>
      </c>
      <c r="BQ191" s="761">
        <f t="shared" si="371"/>
      </c>
      <c r="BR191" s="761">
        <f t="shared" si="371"/>
      </c>
      <c r="BS191" s="984">
        <f t="shared" si="371"/>
      </c>
      <c r="BT191" s="762">
        <f>BT133</f>
      </c>
      <c r="BU191" s="761">
        <f t="shared" si="371"/>
      </c>
      <c r="BV191" s="761">
        <f t="shared" si="371"/>
      </c>
      <c r="BW191" s="761">
        <f t="shared" si="371"/>
      </c>
      <c r="BX191" s="984">
        <f t="shared" si="370"/>
      </c>
      <c r="BY191" s="761">
        <f t="shared" ref="BY191:CF191" si="372">BY133</f>
      </c>
      <c r="BZ191" s="761">
        <f t="shared" si="372"/>
      </c>
      <c r="CA191" s="761">
        <f t="shared" si="372"/>
      </c>
      <c r="CB191" s="761">
        <f t="shared" si="372"/>
      </c>
      <c r="CC191" s="984">
        <f t="shared" si="372"/>
      </c>
      <c r="CD191" s="984">
        <f t="shared" si="372"/>
      </c>
      <c r="CE191" s="984">
        <f t="shared" si="372"/>
      </c>
      <c r="CF191" s="984">
        <f t="shared" si="372"/>
      </c>
      <c r="CG191" s="459"/>
    </row>
    <row r="192" spans="1:85" s="587" customFormat="1" x14ac:dyDescent="0.3">
      <c r="A192" s="3" t="s">
        <v>395</v>
      </c>
      <c r="B192" s="250"/>
      <c r="C192" s="969"/>
      <c r="D192" s="969"/>
      <c r="E192" s="969"/>
      <c r="F192" s="985">
        <f t="shared" ref="F192:Z192" si="373">F185+F186</f>
      </c>
      <c r="G192" s="183">
        <f t="shared" si="373"/>
      </c>
      <c r="H192" s="183">
        <f t="shared" si="373"/>
      </c>
      <c r="I192" s="183">
        <f t="shared" si="373"/>
      </c>
      <c r="J192" s="183">
        <f t="shared" si="373"/>
      </c>
      <c r="K192" s="985">
        <f t="shared" si="373"/>
      </c>
      <c r="L192" s="183">
        <f t="shared" si="373"/>
      </c>
      <c r="M192" s="183">
        <f t="shared" si="373"/>
      </c>
      <c r="N192" s="183">
        <f t="shared" si="373"/>
      </c>
      <c r="O192" s="183">
        <f t="shared" si="373"/>
      </c>
      <c r="P192" s="985">
        <f t="shared" si="373"/>
      </c>
      <c r="Q192" s="183">
        <f t="shared" si="373"/>
      </c>
      <c r="R192" s="183">
        <f t="shared" si="373"/>
      </c>
      <c r="S192" s="183">
        <f t="shared" si="373"/>
      </c>
      <c r="T192" s="183">
        <f t="shared" si="373"/>
      </c>
      <c r="U192" s="985">
        <f t="shared" si="373"/>
      </c>
      <c r="V192" s="183">
        <f t="shared" si="373"/>
      </c>
      <c r="W192" s="183">
        <f t="shared" si="373"/>
      </c>
      <c r="X192" s="183">
        <f t="shared" si="373"/>
      </c>
      <c r="Y192" s="183">
        <f t="shared" si="373"/>
      </c>
      <c r="Z192" s="985">
        <f t="shared" si="373"/>
      </c>
      <c r="AA192" s="183">
        <f t="shared" ref="AA192:AW192" si="374">SUM(AA188:AA191)</f>
      </c>
      <c r="AB192" s="183">
        <f t="shared" si="374"/>
      </c>
      <c r="AC192" s="183">
        <f t="shared" si="374"/>
      </c>
      <c r="AD192" s="183">
        <f t="shared" si="374"/>
      </c>
      <c r="AE192" s="985">
        <f t="shared" si="374"/>
      </c>
      <c r="AF192" s="183">
        <f t="shared" si="374"/>
      </c>
      <c r="AG192" s="183">
        <f t="shared" si="374"/>
      </c>
      <c r="AH192" s="183">
        <f t="shared" si="374"/>
      </c>
      <c r="AI192" s="183">
        <f t="shared" si="374"/>
      </c>
      <c r="AJ192" s="985">
        <f t="shared" si="374"/>
      </c>
      <c r="AK192" s="183">
        <f t="shared" si="374"/>
      </c>
      <c r="AL192" s="183">
        <f t="shared" si="374"/>
      </c>
      <c r="AM192" s="183">
        <f t="shared" si="374"/>
      </c>
      <c r="AN192" s="183">
        <f t="shared" si="374"/>
      </c>
      <c r="AO192" s="985">
        <f t="shared" si="374"/>
      </c>
      <c r="AP192" s="183">
        <f t="shared" si="374"/>
      </c>
      <c r="AQ192" s="183">
        <f t="shared" si="374"/>
      </c>
      <c r="AR192" s="183">
        <f t="shared" si="374"/>
      </c>
      <c r="AS192" s="183">
        <f t="shared" si="374"/>
      </c>
      <c r="AT192" s="985">
        <f t="shared" si="374"/>
      </c>
      <c r="AU192" s="183">
        <f t="shared" si="374"/>
      </c>
      <c r="AV192" s="183">
        <f t="shared" si="374"/>
      </c>
      <c r="AW192" s="183">
        <f t="shared" si="374"/>
      </c>
      <c r="AX192" s="183">
        <f t="shared" ref="AX192:BD192" si="375">SUM(AX188:AX191)</f>
      </c>
      <c r="AY192" s="985">
        <f t="shared" si="375"/>
      </c>
      <c r="AZ192" s="183">
        <f t="shared" si="375"/>
      </c>
      <c r="BA192" s="183">
        <f t="shared" si="375"/>
      </c>
      <c r="BB192" s="183">
        <f t="shared" si="375"/>
      </c>
      <c r="BC192" s="183">
        <f t="shared" si="375"/>
      </c>
      <c r="BD192" s="985">
        <f t="shared" si="375"/>
      </c>
      <c r="BE192" s="183">
        <f t="shared" ref="BE192:BI192" si="376">SUM(BE188:BE191)</f>
      </c>
      <c r="BF192" s="183">
        <f t="shared" si="376"/>
      </c>
      <c r="BG192" s="183">
        <f t="shared" si="376"/>
      </c>
      <c r="BH192" s="183">
        <f t="shared" si="376"/>
      </c>
      <c r="BI192" s="985">
        <f t="shared" si="376"/>
      </c>
      <c r="BJ192" s="183">
        <f t="shared" ref="BJ192:BX192" si="377">SUM(BJ188:BJ191)</f>
      </c>
      <c r="BK192" s="183">
        <f t="shared" si="377"/>
      </c>
      <c r="BL192" s="183">
        <f t="shared" si="377"/>
      </c>
      <c r="BM192" s="183">
        <f t="shared" si="377"/>
      </c>
      <c r="BN192" s="985">
        <f t="shared" si="377"/>
      </c>
      <c r="BO192" s="183">
        <f t="shared" ref="BO192:BW192" si="378">SUM(BO188:BO191)</f>
      </c>
      <c r="BP192" s="183">
        <f t="shared" si="378"/>
      </c>
      <c r="BQ192" s="183">
        <f t="shared" si="378"/>
      </c>
      <c r="BR192" s="183">
        <f t="shared" si="378"/>
      </c>
      <c r="BS192" s="985">
        <f t="shared" si="378"/>
      </c>
      <c r="BT192" s="794">
        <f>SUM(BT188:BT191)</f>
      </c>
      <c r="BU192" s="759">
        <f t="shared" si="378"/>
      </c>
      <c r="BV192" s="759">
        <f t="shared" si="378"/>
      </c>
      <c r="BW192" s="759">
        <f t="shared" si="378"/>
      </c>
      <c r="BX192" s="969">
        <f t="shared" si="377"/>
      </c>
      <c r="BY192" s="759">
        <f t="shared" ref="BY192:CF192" si="379">SUM(BY188:BY191)</f>
      </c>
      <c r="BZ192" s="759">
        <f t="shared" si="379"/>
      </c>
      <c r="CA192" s="759">
        <f t="shared" si="379"/>
      </c>
      <c r="CB192" s="759">
        <f t="shared" si="379"/>
      </c>
      <c r="CC192" s="969">
        <f t="shared" si="379"/>
      </c>
      <c r="CD192" s="969">
        <f t="shared" si="379"/>
      </c>
      <c r="CE192" s="969">
        <f t="shared" si="379"/>
      </c>
      <c r="CF192" s="969">
        <f t="shared" si="379"/>
      </c>
      <c r="CG192" s="183"/>
    </row>
    <row r="193" spans="1:85" s="587" customFormat="1" x14ac:dyDescent="0.3">
      <c r="A193" s="182" t="str">
        <f>A138</f>
      </c>
      <c r="B193" s="430"/>
      <c r="C193" s="962"/>
      <c r="D193" s="962"/>
      <c r="E193" s="962"/>
      <c r="F193" s="964">
        <f t="shared" ref="F193:AK193" si="380">F138</f>
      </c>
      <c r="G193" s="459">
        <f t="shared" si="380"/>
      </c>
      <c r="H193" s="459">
        <f t="shared" si="380"/>
      </c>
      <c r="I193" s="459">
        <f t="shared" si="380"/>
      </c>
      <c r="J193" s="459">
        <f t="shared" si="380"/>
      </c>
      <c r="K193" s="964">
        <f t="shared" si="380"/>
      </c>
      <c r="L193" s="459">
        <f t="shared" si="380"/>
      </c>
      <c r="M193" s="459">
        <f t="shared" si="380"/>
      </c>
      <c r="N193" s="459">
        <f t="shared" si="380"/>
      </c>
      <c r="O193" s="459">
        <f t="shared" si="380"/>
      </c>
      <c r="P193" s="964">
        <f t="shared" si="380"/>
      </c>
      <c r="Q193" s="459">
        <f t="shared" si="380"/>
      </c>
      <c r="R193" s="459">
        <f t="shared" si="380"/>
      </c>
      <c r="S193" s="459">
        <f t="shared" si="380"/>
      </c>
      <c r="T193" s="459">
        <f t="shared" si="380"/>
      </c>
      <c r="U193" s="964">
        <f t="shared" si="380"/>
      </c>
      <c r="V193" s="459">
        <f t="shared" si="380"/>
      </c>
      <c r="W193" s="459">
        <f t="shared" si="380"/>
      </c>
      <c r="X193" s="459">
        <f t="shared" si="380"/>
      </c>
      <c r="Y193" s="459">
        <f t="shared" si="380"/>
      </c>
      <c r="Z193" s="964">
        <f t="shared" si="380"/>
      </c>
      <c r="AA193" s="459">
        <f t="shared" si="380"/>
      </c>
      <c r="AB193" s="459">
        <f t="shared" si="380"/>
      </c>
      <c r="AC193" s="459">
        <f t="shared" si="380"/>
      </c>
      <c r="AD193" s="459">
        <f t="shared" si="380"/>
      </c>
      <c r="AE193" s="964">
        <f t="shared" si="380"/>
      </c>
      <c r="AF193" s="459">
        <f t="shared" si="380"/>
      </c>
      <c r="AG193" s="459">
        <f t="shared" si="380"/>
      </c>
      <c r="AH193" s="459">
        <f t="shared" si="380"/>
      </c>
      <c r="AI193" s="459">
        <f t="shared" si="380"/>
      </c>
      <c r="AJ193" s="964">
        <f t="shared" si="380"/>
      </c>
      <c r="AK193" s="459">
        <f t="shared" si="380"/>
      </c>
      <c r="AL193" s="459">
        <f t="shared" ref="AL193:AW193" si="381">AL138</f>
      </c>
      <c r="AM193" s="459">
        <f t="shared" si="381"/>
      </c>
      <c r="AN193" s="459">
        <f t="shared" si="381"/>
      </c>
      <c r="AO193" s="964">
        <f t="shared" si="381"/>
      </c>
      <c r="AP193" s="459">
        <f t="shared" si="381"/>
      </c>
      <c r="AQ193" s="459">
        <f t="shared" si="381"/>
      </c>
      <c r="AR193" s="459">
        <f t="shared" si="381"/>
      </c>
      <c r="AS193" s="459">
        <f t="shared" si="381"/>
      </c>
      <c r="AT193" s="964">
        <f t="shared" si="381"/>
      </c>
      <c r="AU193" s="459">
        <f t="shared" si="381"/>
      </c>
      <c r="AV193" s="459">
        <f t="shared" si="381"/>
      </c>
      <c r="AW193" s="459">
        <f t="shared" si="381"/>
      </c>
      <c r="AX193" s="459">
        <f t="shared" ref="AX193:BD193" si="382">AX138</f>
      </c>
      <c r="AY193" s="964">
        <f t="shared" si="382"/>
      </c>
      <c r="AZ193" s="459">
        <f t="shared" si="382"/>
      </c>
      <c r="BA193" s="459">
        <f t="shared" si="382"/>
      </c>
      <c r="BB193" s="459">
        <f t="shared" si="382"/>
      </c>
      <c r="BC193" s="459">
        <f t="shared" si="382"/>
      </c>
      <c r="BD193" s="964">
        <f t="shared" si="382"/>
      </c>
      <c r="BE193" s="459">
        <f t="shared" ref="BE193:BI193" si="383">BE138</f>
      </c>
      <c r="BF193" s="459">
        <f t="shared" si="383"/>
      </c>
      <c r="BG193" s="459">
        <f t="shared" si="383"/>
      </c>
      <c r="BH193" s="459">
        <f t="shared" si="383"/>
      </c>
      <c r="BI193" s="964">
        <f t="shared" si="383"/>
      </c>
      <c r="BJ193" s="459">
        <f t="shared" ref="BJ193:BX193" si="384">BJ138</f>
      </c>
      <c r="BK193" s="459">
        <f t="shared" si="384"/>
      </c>
      <c r="BL193" s="459">
        <f t="shared" si="384"/>
      </c>
      <c r="BM193" s="459">
        <f t="shared" si="384"/>
      </c>
      <c r="BN193" s="964">
        <f t="shared" si="384"/>
      </c>
      <c r="BO193" s="459">
        <f t="shared" ref="BO193:BW193" si="385">BO138</f>
      </c>
      <c r="BP193" s="459">
        <f t="shared" si="385"/>
      </c>
      <c r="BQ193" s="459">
        <f t="shared" si="385"/>
      </c>
      <c r="BR193" s="459">
        <f t="shared" si="385"/>
      </c>
      <c r="BS193" s="964">
        <f t="shared" si="385"/>
      </c>
      <c r="BT193" s="795">
        <f>BT138</f>
      </c>
      <c r="BU193" s="757">
        <f t="shared" si="385"/>
      </c>
      <c r="BV193" s="757">
        <f t="shared" si="385"/>
      </c>
      <c r="BW193" s="757">
        <f t="shared" si="385"/>
      </c>
      <c r="BX193" s="962">
        <f t="shared" si="384"/>
      </c>
      <c r="BY193" s="757">
        <f t="shared" ref="BY193:CF193" si="386">BY138</f>
      </c>
      <c r="BZ193" s="757">
        <f t="shared" si="386"/>
      </c>
      <c r="CA193" s="757">
        <f t="shared" si="386"/>
      </c>
      <c r="CB193" s="757">
        <f t="shared" si="386"/>
      </c>
      <c r="CC193" s="962">
        <f t="shared" si="386"/>
      </c>
      <c r="CD193" s="962">
        <f t="shared" si="386"/>
      </c>
      <c r="CE193" s="962">
        <f t="shared" si="386"/>
      </c>
      <c r="CF193" s="962">
        <f t="shared" si="386"/>
      </c>
      <c r="CG193" s="459"/>
    </row>
    <row r="194" spans="1:85" s="587" customFormat="1" x14ac:dyDescent="0.3">
      <c r="A194" s="2" t="s">
        <v>7</v>
      </c>
      <c r="B194" s="426"/>
      <c r="C194" s="965"/>
      <c r="D194" s="965"/>
      <c r="E194" s="965"/>
      <c r="F194" s="986">
        <f t="shared" ref="F194:AK194" si="387">F192+F193</f>
      </c>
      <c r="G194" s="792">
        <f t="shared" si="387"/>
      </c>
      <c r="H194" s="792">
        <f t="shared" si="387"/>
      </c>
      <c r="I194" s="792">
        <f t="shared" si="387"/>
      </c>
      <c r="J194" s="792">
        <f t="shared" si="387"/>
      </c>
      <c r="K194" s="986">
        <f t="shared" si="387"/>
      </c>
      <c r="L194" s="792">
        <f t="shared" si="387"/>
      </c>
      <c r="M194" s="792">
        <f t="shared" si="387"/>
      </c>
      <c r="N194" s="792">
        <f t="shared" si="387"/>
      </c>
      <c r="O194" s="792">
        <f t="shared" si="387"/>
      </c>
      <c r="P194" s="986">
        <f t="shared" si="387"/>
      </c>
      <c r="Q194" s="792">
        <f t="shared" si="387"/>
      </c>
      <c r="R194" s="792">
        <f t="shared" si="387"/>
      </c>
      <c r="S194" s="792">
        <f t="shared" si="387"/>
      </c>
      <c r="T194" s="792">
        <f t="shared" si="387"/>
      </c>
      <c r="U194" s="986">
        <f t="shared" si="387"/>
      </c>
      <c r="V194" s="792">
        <f t="shared" si="387"/>
      </c>
      <c r="W194" s="792">
        <f t="shared" si="387"/>
      </c>
      <c r="X194" s="792">
        <f t="shared" si="387"/>
      </c>
      <c r="Y194" s="792">
        <f t="shared" si="387"/>
      </c>
      <c r="Z194" s="986">
        <f t="shared" si="387"/>
      </c>
      <c r="AA194" s="792">
        <f t="shared" si="387"/>
      </c>
      <c r="AB194" s="792">
        <f t="shared" si="387"/>
      </c>
      <c r="AC194" s="792">
        <f t="shared" si="387"/>
      </c>
      <c r="AD194" s="792">
        <f t="shared" si="387"/>
      </c>
      <c r="AE194" s="986">
        <f t="shared" si="387"/>
      </c>
      <c r="AF194" s="792">
        <f t="shared" si="387"/>
      </c>
      <c r="AG194" s="792">
        <f t="shared" si="387"/>
      </c>
      <c r="AH194" s="792">
        <f t="shared" si="387"/>
      </c>
      <c r="AI194" s="792">
        <f t="shared" si="387"/>
      </c>
      <c r="AJ194" s="986">
        <f t="shared" si="387"/>
      </c>
      <c r="AK194" s="792">
        <f t="shared" si="387"/>
      </c>
      <c r="AL194" s="792">
        <f t="shared" ref="AL194:AW194" si="388">AL192+AL193</f>
      </c>
      <c r="AM194" s="792">
        <f t="shared" si="388"/>
      </c>
      <c r="AN194" s="792">
        <f t="shared" si="388"/>
      </c>
      <c r="AO194" s="986">
        <f t="shared" si="388"/>
      </c>
      <c r="AP194" s="792">
        <f t="shared" si="388"/>
      </c>
      <c r="AQ194" s="792">
        <f t="shared" si="388"/>
      </c>
      <c r="AR194" s="792">
        <f t="shared" si="388"/>
      </c>
      <c r="AS194" s="792">
        <f t="shared" si="388"/>
      </c>
      <c r="AT194" s="986">
        <f t="shared" si="388"/>
      </c>
      <c r="AU194" s="792">
        <f t="shared" si="388"/>
      </c>
      <c r="AV194" s="792">
        <f t="shared" si="388"/>
      </c>
      <c r="AW194" s="792">
        <f t="shared" si="388"/>
      </c>
      <c r="AX194" s="792">
        <f t="shared" ref="AX194:BD194" si="389">AX192+AX193</f>
      </c>
      <c r="AY194" s="986">
        <f t="shared" si="389"/>
      </c>
      <c r="AZ194" s="792">
        <f t="shared" si="389"/>
      </c>
      <c r="BA194" s="792">
        <f t="shared" si="389"/>
      </c>
      <c r="BB194" s="792">
        <f t="shared" si="389"/>
      </c>
      <c r="BC194" s="792">
        <f t="shared" si="389"/>
      </c>
      <c r="BD194" s="986">
        <f t="shared" si="389"/>
      </c>
      <c r="BE194" s="792">
        <f t="shared" ref="BE194:BI194" si="390">BE192+BE193</f>
      </c>
      <c r="BF194" s="792">
        <f t="shared" si="390"/>
      </c>
      <c r="BG194" s="792">
        <f t="shared" si="390"/>
      </c>
      <c r="BH194" s="792">
        <f t="shared" si="390"/>
      </c>
      <c r="BI194" s="986">
        <f t="shared" si="390"/>
      </c>
      <c r="BJ194" s="792">
        <f t="shared" ref="BJ194:BX194" si="391">BJ192+BJ193</f>
      </c>
      <c r="BK194" s="792">
        <f t="shared" si="391"/>
      </c>
      <c r="BL194" s="792">
        <f t="shared" si="391"/>
      </c>
      <c r="BM194" s="792">
        <f t="shared" si="391"/>
      </c>
      <c r="BN194" s="986">
        <f t="shared" si="391"/>
      </c>
      <c r="BO194" s="792">
        <f t="shared" ref="BO194:BW194" si="392">BO192+BO193</f>
      </c>
      <c r="BP194" s="792">
        <f t="shared" si="392"/>
      </c>
      <c r="BQ194" s="792">
        <f t="shared" si="392"/>
      </c>
      <c r="BR194" s="792">
        <f t="shared" si="392"/>
      </c>
      <c r="BS194" s="986">
        <f t="shared" si="392"/>
      </c>
      <c r="BT194" s="793">
        <f>BT192+BT193</f>
      </c>
      <c r="BU194" s="791">
        <f t="shared" si="392"/>
      </c>
      <c r="BV194" s="791">
        <f t="shared" si="392"/>
      </c>
      <c r="BW194" s="791">
        <f t="shared" si="392"/>
      </c>
      <c r="BX194" s="965">
        <f t="shared" si="391"/>
      </c>
      <c r="BY194" s="791">
        <f t="shared" ref="BY194:CF194" si="393">BY192+BY193</f>
      </c>
      <c r="BZ194" s="791">
        <f t="shared" si="393"/>
      </c>
      <c r="CA194" s="791">
        <f t="shared" si="393"/>
      </c>
      <c r="CB194" s="791">
        <f t="shared" si="393"/>
      </c>
      <c r="CC194" s="965">
        <f t="shared" si="393"/>
      </c>
      <c r="CD194" s="965">
        <f t="shared" si="393"/>
      </c>
      <c r="CE194" s="965">
        <f t="shared" si="393"/>
      </c>
      <c r="CF194" s="965">
        <f t="shared" si="393"/>
      </c>
      <c r="CG194" s="183"/>
    </row>
    <row r="195" spans="1:85" s="587" customFormat="1" hidden="1" outlineLevel="1" x14ac:dyDescent="0.3">
      <c r="A195" s="6" t="s">
        <v>998</v>
      </c>
      <c r="B195" s="430"/>
      <c r="C195" s="962"/>
      <c r="D195" s="962"/>
      <c r="E195" s="962"/>
      <c r="F195" s="962"/>
      <c r="G195" s="757"/>
      <c r="H195" s="757"/>
      <c r="I195" s="757"/>
      <c r="J195" s="757"/>
      <c r="K195" s="962"/>
      <c r="L195" s="757"/>
      <c r="M195" s="757"/>
      <c r="N195" s="757"/>
      <c r="O195" s="757"/>
      <c r="P195" s="962"/>
      <c r="Q195" s="757"/>
      <c r="R195" s="757"/>
      <c r="S195" s="757"/>
      <c r="T195" s="757"/>
      <c r="U195" s="962"/>
      <c r="V195" s="757"/>
      <c r="W195" s="757"/>
      <c r="X195" s="757"/>
      <c r="Y195" s="757"/>
      <c r="Z195" s="962"/>
      <c r="AA195" s="757"/>
      <c r="AB195" s="757"/>
      <c r="AC195" s="757"/>
      <c r="AD195" s="757"/>
      <c r="AE195" s="964">
        <f>AE188+AE190</f>
      </c>
      <c r="AF195" s="459">
        <f t="shared" ref="AF195:BI195" si="394">AF188+AF190</f>
      </c>
      <c r="AG195" s="459">
        <f t="shared" si="394"/>
      </c>
      <c r="AH195" s="459">
        <f t="shared" si="394"/>
      </c>
      <c r="AI195" s="459">
        <f t="shared" si="394"/>
      </c>
      <c r="AJ195" s="964">
        <f t="shared" si="394"/>
      </c>
      <c r="AK195" s="459">
        <f t="shared" si="394"/>
      </c>
      <c r="AL195" s="459">
        <f t="shared" si="394"/>
      </c>
      <c r="AM195" s="459">
        <f t="shared" si="394"/>
      </c>
      <c r="AN195" s="459">
        <f t="shared" si="394"/>
      </c>
      <c r="AO195" s="964">
        <f t="shared" si="394"/>
      </c>
      <c r="AP195" s="459">
        <f t="shared" si="394"/>
      </c>
      <c r="AQ195" s="459">
        <f t="shared" si="394"/>
      </c>
      <c r="AR195" s="459">
        <f t="shared" si="394"/>
      </c>
      <c r="AS195" s="459">
        <f t="shared" si="394"/>
      </c>
      <c r="AT195" s="964">
        <f t="shared" si="394"/>
      </c>
      <c r="AU195" s="459">
        <f t="shared" si="394"/>
      </c>
      <c r="AV195" s="459">
        <f t="shared" si="394"/>
      </c>
      <c r="AW195" s="459">
        <f t="shared" si="394"/>
      </c>
      <c r="AX195" s="459">
        <f t="shared" si="394"/>
      </c>
      <c r="AY195" s="964">
        <f t="shared" si="394"/>
      </c>
      <c r="AZ195" s="459">
        <f t="shared" si="394"/>
      </c>
      <c r="BA195" s="459">
        <f t="shared" si="394"/>
      </c>
      <c r="BB195" s="459">
        <f t="shared" si="394"/>
      </c>
      <c r="BC195" s="459">
        <f t="shared" si="394"/>
      </c>
      <c r="BD195" s="964">
        <f t="shared" si="394"/>
      </c>
      <c r="BE195" s="459">
        <f t="shared" si="394"/>
      </c>
      <c r="BF195" s="459">
        <f t="shared" si="394"/>
      </c>
      <c r="BG195" s="459">
        <f t="shared" si="394"/>
      </c>
      <c r="BH195" s="459">
        <f t="shared" si="394"/>
      </c>
      <c r="BI195" s="964">
        <f t="shared" si="394"/>
      </c>
      <c r="BJ195" s="459">
        <f t="shared" ref="BJ195:BN195" si="395">BJ188+BJ190</f>
      </c>
      <c r="BK195" s="459">
        <f t="shared" si="395"/>
      </c>
      <c r="BL195" s="459">
        <f t="shared" si="395"/>
      </c>
      <c r="BM195" s="459">
        <f t="shared" si="395"/>
      </c>
      <c r="BN195" s="964">
        <f t="shared" si="395"/>
      </c>
      <c r="BO195" s="459">
        <f t="shared" ref="BO195:CF195" si="396">BO188+BO190</f>
      </c>
      <c r="BP195" s="459">
        <f t="shared" si="396"/>
      </c>
      <c r="BQ195" s="459">
        <f t="shared" si="396"/>
      </c>
      <c r="BR195" s="459">
        <f t="shared" si="396"/>
      </c>
      <c r="BS195" s="964">
        <f t="shared" si="396"/>
      </c>
      <c r="BT195" s="795">
        <f>BT188+BT190</f>
      </c>
      <c r="BU195" s="757">
        <f t="shared" si="396"/>
      </c>
      <c r="BV195" s="757">
        <f t="shared" si="396"/>
      </c>
      <c r="BW195" s="757">
        <f t="shared" si="396"/>
      </c>
      <c r="BX195" s="962">
        <f t="shared" si="396"/>
      </c>
      <c r="BY195" s="757">
        <f t="shared" si="396"/>
      </c>
      <c r="BZ195" s="757">
        <f t="shared" si="396"/>
      </c>
      <c r="CA195" s="757">
        <f t="shared" si="396"/>
      </c>
      <c r="CB195" s="757">
        <f t="shared" si="396"/>
      </c>
      <c r="CC195" s="962">
        <f t="shared" si="396"/>
      </c>
      <c r="CD195" s="962">
        <f t="shared" si="396"/>
      </c>
      <c r="CE195" s="962">
        <f t="shared" si="396"/>
      </c>
      <c r="CF195" s="962">
        <f t="shared" si="396"/>
      </c>
      <c r="CG195" s="459"/>
    </row>
    <row r="196" spans="1:85" hidden="1" outlineLevel="1" x14ac:dyDescent="0.3">
      <c r="A196" s="429"/>
      <c r="B196" s="250"/>
      <c r="C196" s="969"/>
      <c r="D196" s="969"/>
      <c r="E196" s="969"/>
      <c r="F196" s="969"/>
      <c r="G196" s="759"/>
      <c r="H196" s="759"/>
      <c r="I196" s="759"/>
      <c r="J196" s="759"/>
      <c r="K196" s="969"/>
      <c r="L196" s="759"/>
      <c r="M196" s="759"/>
      <c r="N196" s="759"/>
      <c r="O196" s="759"/>
      <c r="P196" s="969"/>
      <c r="Q196" s="759"/>
      <c r="R196" s="759"/>
      <c r="S196" s="759"/>
      <c r="T196" s="759"/>
      <c r="U196" s="969"/>
      <c r="V196" s="759"/>
      <c r="W196" s="759"/>
      <c r="X196" s="759"/>
      <c r="Y196" s="759"/>
      <c r="Z196" s="969"/>
      <c r="AA196" s="759"/>
      <c r="AB196" s="759"/>
      <c r="AC196" s="759"/>
      <c r="AD196" s="759"/>
      <c r="AE196" s="969"/>
      <c r="AF196" s="759"/>
      <c r="AG196" s="759"/>
      <c r="AH196" s="759"/>
      <c r="AI196" s="759"/>
      <c r="AJ196" s="969"/>
      <c r="AK196" s="759"/>
      <c r="AL196" s="759"/>
      <c r="AM196" s="759"/>
      <c r="AN196" s="759"/>
      <c r="AO196" s="969"/>
      <c r="AP196" s="759"/>
      <c r="AQ196" s="759"/>
      <c r="AR196" s="759"/>
      <c r="AS196" s="759"/>
      <c r="AT196" s="969"/>
      <c r="AU196" s="759"/>
      <c r="AV196" s="759"/>
      <c r="AW196" s="759"/>
      <c r="AX196" s="759"/>
      <c r="AY196" s="969"/>
      <c r="AZ196" s="759"/>
      <c r="BA196" s="759"/>
      <c r="BB196" s="759"/>
      <c r="BC196" s="759"/>
      <c r="BD196" s="969"/>
      <c r="BE196" s="759"/>
      <c r="BF196" s="759"/>
      <c r="BG196" s="759"/>
      <c r="BH196" s="759"/>
      <c r="BI196" s="969"/>
      <c r="BJ196" s="759"/>
      <c r="BK196" s="759"/>
      <c r="BL196" s="759"/>
      <c r="BM196" s="759"/>
      <c r="BN196" s="969"/>
      <c r="BO196" s="759"/>
      <c r="BP196" s="759"/>
      <c r="BQ196" s="759"/>
      <c r="BR196" s="759"/>
      <c r="BS196" s="969"/>
      <c r="BT196" s="760"/>
      <c r="BU196" s="759"/>
      <c r="BV196" s="759"/>
      <c r="BW196" s="759"/>
      <c r="BX196" s="969"/>
      <c r="BY196" s="759"/>
      <c r="BZ196" s="759"/>
      <c r="CA196" s="759"/>
      <c r="CB196" s="759"/>
      <c r="CC196" s="969"/>
      <c r="CD196" s="969"/>
      <c r="CE196" s="969"/>
      <c r="CF196" s="969"/>
      <c r="CG196" s="183"/>
    </row>
    <row r="197" spans="1:85" s="590" customFormat="1" hidden="1" outlineLevel="2" x14ac:dyDescent="0.3">
      <c r="A197" s="65" t="s">
        <v>589</v>
      </c>
      <c r="B197" s="251"/>
      <c r="C197" s="973"/>
      <c r="D197" s="973"/>
      <c r="E197" s="973"/>
      <c r="F197" s="974">
        <f t="shared" ref="F197:Z197" si="397">F185/F$194</f>
      </c>
      <c r="G197" s="8">
        <f t="shared" si="397"/>
      </c>
      <c r="H197" s="8">
        <f t="shared" si="397"/>
      </c>
      <c r="I197" s="8">
        <f t="shared" si="397"/>
      </c>
      <c r="J197" s="8">
        <f t="shared" si="397"/>
      </c>
      <c r="K197" s="974">
        <f t="shared" si="397"/>
      </c>
      <c r="L197" s="8">
        <f t="shared" si="397"/>
      </c>
      <c r="M197" s="8">
        <f t="shared" si="397"/>
      </c>
      <c r="N197" s="8">
        <f t="shared" si="397"/>
      </c>
      <c r="O197" s="8">
        <f t="shared" si="397"/>
      </c>
      <c r="P197" s="974">
        <f t="shared" si="397"/>
      </c>
      <c r="Q197" s="8">
        <f t="shared" si="397"/>
      </c>
      <c r="R197" s="8">
        <f t="shared" si="397"/>
      </c>
      <c r="S197" s="8">
        <f t="shared" si="397"/>
      </c>
      <c r="T197" s="8">
        <f t="shared" si="397"/>
      </c>
      <c r="U197" s="974">
        <f t="shared" si="397"/>
      </c>
      <c r="V197" s="8">
        <f t="shared" si="397"/>
      </c>
      <c r="W197" s="8">
        <f t="shared" si="397"/>
      </c>
      <c r="X197" s="8">
        <f t="shared" si="397"/>
      </c>
      <c r="Y197" s="8">
        <f t="shared" si="397"/>
      </c>
      <c r="Z197" s="974">
        <f t="shared" si="397"/>
      </c>
      <c r="AA197" s="59"/>
      <c r="AB197" s="59"/>
      <c r="AC197" s="59"/>
      <c r="AD197" s="59"/>
      <c r="AE197" s="973"/>
      <c r="AF197" s="59"/>
      <c r="AG197" s="59"/>
      <c r="AH197" s="59"/>
      <c r="AI197" s="59"/>
      <c r="AJ197" s="973"/>
      <c r="AK197" s="59"/>
      <c r="AL197" s="59"/>
      <c r="AM197" s="59"/>
      <c r="AN197" s="59"/>
      <c r="AO197" s="973"/>
      <c r="AP197" s="59"/>
      <c r="AQ197" s="59"/>
      <c r="AR197" s="59"/>
      <c r="AS197" s="59"/>
      <c r="AT197" s="973"/>
      <c r="AU197" s="59"/>
      <c r="AV197" s="59"/>
      <c r="AW197" s="59"/>
      <c r="AX197" s="59"/>
      <c r="AY197" s="973"/>
      <c r="AZ197" s="59"/>
      <c r="BA197" s="59"/>
      <c r="BB197" s="59"/>
      <c r="BC197" s="59"/>
      <c r="BD197" s="973"/>
      <c r="BE197" s="59"/>
      <c r="BF197" s="59"/>
      <c r="BG197" s="59"/>
      <c r="BH197" s="59"/>
      <c r="BI197" s="973"/>
      <c r="BJ197" s="59"/>
      <c r="BK197" s="59"/>
      <c r="BL197" s="59"/>
      <c r="BM197" s="59"/>
      <c r="BN197" s="973"/>
      <c r="BO197" s="59"/>
      <c r="BP197" s="59"/>
      <c r="BQ197" s="59"/>
      <c r="BR197" s="59"/>
      <c r="BS197" s="973"/>
      <c r="BT197" s="675"/>
      <c r="BU197" s="59"/>
      <c r="BV197" s="59"/>
      <c r="BW197" s="59"/>
      <c r="BX197" s="973"/>
      <c r="BY197" s="59"/>
      <c r="BZ197" s="59"/>
      <c r="CA197" s="59"/>
      <c r="CB197" s="59"/>
      <c r="CC197" s="973"/>
      <c r="CD197" s="973"/>
      <c r="CE197" s="973"/>
      <c r="CF197" s="973"/>
      <c r="CG197" s="8"/>
    </row>
    <row r="198" spans="1:85" s="590" customFormat="1" hidden="1" outlineLevel="2" x14ac:dyDescent="0.3">
      <c r="A198" s="306" t="s">
        <v>581</v>
      </c>
      <c r="B198" s="251"/>
      <c r="C198" s="973"/>
      <c r="D198" s="973"/>
      <c r="E198" s="973"/>
      <c r="F198" s="974">
        <f t="shared" ref="F198:Z198" si="398">F186/F$194</f>
      </c>
      <c r="G198" s="8">
        <f t="shared" si="398"/>
      </c>
      <c r="H198" s="8">
        <f t="shared" si="398"/>
      </c>
      <c r="I198" s="8">
        <f t="shared" si="398"/>
      </c>
      <c r="J198" s="8">
        <f t="shared" si="398"/>
      </c>
      <c r="K198" s="974">
        <f t="shared" si="398"/>
      </c>
      <c r="L198" s="8">
        <f t="shared" si="398"/>
      </c>
      <c r="M198" s="8">
        <f t="shared" si="398"/>
      </c>
      <c r="N198" s="8">
        <f t="shared" si="398"/>
      </c>
      <c r="O198" s="8">
        <f t="shared" si="398"/>
      </c>
      <c r="P198" s="974">
        <f t="shared" si="398"/>
      </c>
      <c r="Q198" s="8">
        <f t="shared" si="398"/>
      </c>
      <c r="R198" s="8">
        <f t="shared" si="398"/>
      </c>
      <c r="S198" s="8">
        <f t="shared" si="398"/>
      </c>
      <c r="T198" s="8">
        <f t="shared" si="398"/>
      </c>
      <c r="U198" s="974">
        <f t="shared" si="398"/>
      </c>
      <c r="V198" s="8">
        <f t="shared" si="398"/>
      </c>
      <c r="W198" s="8">
        <f t="shared" si="398"/>
      </c>
      <c r="X198" s="8">
        <f t="shared" si="398"/>
      </c>
      <c r="Y198" s="8">
        <f t="shared" si="398"/>
      </c>
      <c r="Z198" s="974">
        <f t="shared" si="398"/>
      </c>
      <c r="AA198" s="8">
        <f t="shared" ref="AA198:AO198" si="399">AA186/AA$194</f>
      </c>
      <c r="AB198" s="8">
        <f t="shared" si="399"/>
      </c>
      <c r="AC198" s="8">
        <f t="shared" si="399"/>
      </c>
      <c r="AD198" s="8">
        <f t="shared" si="399"/>
      </c>
      <c r="AE198" s="974">
        <f t="shared" si="399"/>
      </c>
      <c r="AF198" s="8">
        <f t="shared" si="399"/>
      </c>
      <c r="AG198" s="8">
        <f t="shared" si="399"/>
      </c>
      <c r="AH198" s="8">
        <f t="shared" si="399"/>
      </c>
      <c r="AI198" s="8">
        <f t="shared" si="399"/>
      </c>
      <c r="AJ198" s="974">
        <f t="shared" si="399"/>
      </c>
      <c r="AK198" s="8">
        <f t="shared" si="399"/>
      </c>
      <c r="AL198" s="8">
        <f t="shared" si="399"/>
      </c>
      <c r="AM198" s="8">
        <f t="shared" si="399"/>
      </c>
      <c r="AN198" s="8">
        <f t="shared" si="399"/>
      </c>
      <c r="AO198" s="974">
        <f t="shared" si="399"/>
      </c>
      <c r="AP198" s="59"/>
      <c r="AQ198" s="59"/>
      <c r="AR198" s="59"/>
      <c r="AS198" s="59"/>
      <c r="AT198" s="973"/>
      <c r="AU198" s="59"/>
      <c r="AV198" s="59"/>
      <c r="AW198" s="59"/>
      <c r="AX198" s="59"/>
      <c r="AY198" s="973"/>
      <c r="AZ198" s="59"/>
      <c r="BA198" s="59"/>
      <c r="BB198" s="59"/>
      <c r="BC198" s="59"/>
      <c r="BD198" s="973"/>
      <c r="BE198" s="59"/>
      <c r="BF198" s="59"/>
      <c r="BG198" s="59"/>
      <c r="BH198" s="59"/>
      <c r="BI198" s="973"/>
      <c r="BJ198" s="59"/>
      <c r="BK198" s="59"/>
      <c r="BL198" s="59"/>
      <c r="BM198" s="59"/>
      <c r="BN198" s="973"/>
      <c r="BO198" s="59"/>
      <c r="BP198" s="59"/>
      <c r="BQ198" s="59"/>
      <c r="BR198" s="59"/>
      <c r="BS198" s="973"/>
      <c r="BT198" s="675"/>
      <c r="BU198" s="59"/>
      <c r="BV198" s="59"/>
      <c r="BW198" s="59"/>
      <c r="BX198" s="973"/>
      <c r="BY198" s="59"/>
      <c r="BZ198" s="59"/>
      <c r="CA198" s="59"/>
      <c r="CB198" s="59"/>
      <c r="CC198" s="973"/>
      <c r="CD198" s="973"/>
      <c r="CE198" s="973"/>
      <c r="CF198" s="973"/>
      <c r="CG198" s="8"/>
    </row>
    <row r="199" spans="1:85" s="590" customFormat="1" hidden="1" outlineLevel="2" x14ac:dyDescent="0.3">
      <c r="A199" s="307" t="s">
        <v>582</v>
      </c>
      <c r="B199" s="253"/>
      <c r="C199" s="975"/>
      <c r="D199" s="975"/>
      <c r="E199" s="975"/>
      <c r="F199" s="975"/>
      <c r="G199" s="157"/>
      <c r="H199" s="157"/>
      <c r="I199" s="157"/>
      <c r="J199" s="157"/>
      <c r="K199" s="975"/>
      <c r="L199" s="157"/>
      <c r="M199" s="157"/>
      <c r="N199" s="157"/>
      <c r="O199" s="157"/>
      <c r="P199" s="975"/>
      <c r="Q199" s="157"/>
      <c r="R199" s="157"/>
      <c r="S199" s="157"/>
      <c r="T199" s="157"/>
      <c r="U199" s="975"/>
      <c r="V199" s="157"/>
      <c r="W199" s="157"/>
      <c r="X199" s="157"/>
      <c r="Y199" s="157"/>
      <c r="Z199" s="975"/>
      <c r="AA199" s="156">
        <f t="shared" ref="AA199:AO199" si="400">AA187/AA$194</f>
      </c>
      <c r="AB199" s="156">
        <f t="shared" si="400"/>
      </c>
      <c r="AC199" s="156">
        <f t="shared" si="400"/>
      </c>
      <c r="AD199" s="156">
        <f t="shared" si="400"/>
      </c>
      <c r="AE199" s="976">
        <f t="shared" si="400"/>
      </c>
      <c r="AF199" s="156">
        <f t="shared" si="400"/>
      </c>
      <c r="AG199" s="156">
        <f t="shared" si="400"/>
      </c>
      <c r="AH199" s="156">
        <f t="shared" si="400"/>
      </c>
      <c r="AI199" s="156">
        <f t="shared" si="400"/>
      </c>
      <c r="AJ199" s="976">
        <f t="shared" si="400"/>
      </c>
      <c r="AK199" s="156">
        <f t="shared" si="400"/>
      </c>
      <c r="AL199" s="156">
        <f t="shared" si="400"/>
      </c>
      <c r="AM199" s="156">
        <f t="shared" si="400"/>
      </c>
      <c r="AN199" s="156">
        <f t="shared" si="400"/>
      </c>
      <c r="AO199" s="976">
        <f t="shared" si="400"/>
      </c>
      <c r="AP199" s="157"/>
      <c r="AQ199" s="157"/>
      <c r="AR199" s="157"/>
      <c r="AS199" s="157"/>
      <c r="AT199" s="975"/>
      <c r="AU199" s="157"/>
      <c r="AV199" s="157"/>
      <c r="AW199" s="157"/>
      <c r="AX199" s="157"/>
      <c r="AY199" s="975"/>
      <c r="AZ199" s="157"/>
      <c r="BA199" s="157"/>
      <c r="BB199" s="157"/>
      <c r="BC199" s="157"/>
      <c r="BD199" s="975"/>
      <c r="BE199" s="157"/>
      <c r="BF199" s="157"/>
      <c r="BG199" s="157"/>
      <c r="BH199" s="157"/>
      <c r="BI199" s="975"/>
      <c r="BJ199" s="157"/>
      <c r="BK199" s="157"/>
      <c r="BL199" s="157"/>
      <c r="BM199" s="157"/>
      <c r="BN199" s="975"/>
      <c r="BO199" s="157"/>
      <c r="BP199" s="157"/>
      <c r="BQ199" s="157"/>
      <c r="BR199" s="157"/>
      <c r="BS199" s="975"/>
      <c r="BT199" s="676"/>
      <c r="BU199" s="157"/>
      <c r="BV199" s="157"/>
      <c r="BW199" s="157"/>
      <c r="BX199" s="975"/>
      <c r="BY199" s="157"/>
      <c r="BZ199" s="157"/>
      <c r="CA199" s="157"/>
      <c r="CB199" s="157"/>
      <c r="CC199" s="975"/>
      <c r="CD199" s="975"/>
      <c r="CE199" s="975"/>
      <c r="CF199" s="975"/>
      <c r="CG199" s="8"/>
    </row>
    <row r="200" spans="1:85" s="590" customFormat="1" hidden="1" outlineLevel="1" collapsed="1" x14ac:dyDescent="0.3">
      <c r="A200" s="65" t="s">
        <v>583</v>
      </c>
      <c r="B200" s="251"/>
      <c r="C200" s="973"/>
      <c r="D200" s="973"/>
      <c r="E200" s="973"/>
      <c r="F200" s="973"/>
      <c r="G200" s="59"/>
      <c r="H200" s="59"/>
      <c r="I200" s="59"/>
      <c r="J200" s="59"/>
      <c r="K200" s="973"/>
      <c r="L200" s="59"/>
      <c r="M200" s="59"/>
      <c r="N200" s="59"/>
      <c r="O200" s="59"/>
      <c r="P200" s="973"/>
      <c r="Q200" s="59"/>
      <c r="R200" s="59"/>
      <c r="S200" s="59"/>
      <c r="T200" s="59"/>
      <c r="U200" s="973"/>
      <c r="V200" s="59"/>
      <c r="W200" s="59"/>
      <c r="X200" s="59"/>
      <c r="Y200" s="59"/>
      <c r="Z200" s="973"/>
      <c r="AA200" s="8">
        <f t="shared" ref="AA200:AO200" si="401">AA188/AA$194</f>
      </c>
      <c r="AB200" s="8">
        <f t="shared" si="401"/>
      </c>
      <c r="AC200" s="8">
        <f t="shared" si="401"/>
      </c>
      <c r="AD200" s="8">
        <f t="shared" si="401"/>
      </c>
      <c r="AE200" s="974">
        <f t="shared" si="401"/>
      </c>
      <c r="AF200" s="8">
        <f t="shared" si="401"/>
      </c>
      <c r="AG200" s="8">
        <f t="shared" si="401"/>
      </c>
      <c r="AH200" s="8">
        <f t="shared" si="401"/>
      </c>
      <c r="AI200" s="8">
        <f t="shared" si="401"/>
      </c>
      <c r="AJ200" s="974">
        <f t="shared" si="401"/>
      </c>
      <c r="AK200" s="8">
        <f t="shared" si="401"/>
      </c>
      <c r="AL200" s="8">
        <f t="shared" si="401"/>
      </c>
      <c r="AM200" s="8">
        <f t="shared" si="401"/>
      </c>
      <c r="AN200" s="8">
        <f t="shared" si="401"/>
      </c>
      <c r="AO200" s="974">
        <f t="shared" si="401"/>
      </c>
      <c r="AP200" s="8">
        <f t="shared" ref="AP200:AW200" si="402">AP188/AP$194</f>
      </c>
      <c r="AQ200" s="8">
        <f t="shared" si="402"/>
      </c>
      <c r="AR200" s="8">
        <f t="shared" si="402"/>
      </c>
      <c r="AS200" s="8">
        <f t="shared" si="402"/>
      </c>
      <c r="AT200" s="974">
        <f t="shared" si="402"/>
      </c>
      <c r="AU200" s="8">
        <f t="shared" si="402"/>
      </c>
      <c r="AV200" s="8">
        <f t="shared" si="402"/>
      </c>
      <c r="AW200" s="8">
        <f t="shared" si="402"/>
      </c>
      <c r="AX200" s="8">
        <f t="shared" ref="AX200:BI200" si="403">AX188/AX$194</f>
      </c>
      <c r="AY200" s="974">
        <f t="shared" si="403"/>
      </c>
      <c r="AZ200" s="8">
        <f t="shared" si="403"/>
      </c>
      <c r="BA200" s="8">
        <f t="shared" si="403"/>
      </c>
      <c r="BB200" s="8">
        <f t="shared" si="403"/>
      </c>
      <c r="BC200" s="8">
        <f t="shared" si="403"/>
      </c>
      <c r="BD200" s="974">
        <f t="shared" si="403"/>
      </c>
      <c r="BE200" s="8">
        <f t="shared" si="403"/>
      </c>
      <c r="BF200" s="8">
        <f t="shared" si="403"/>
      </c>
      <c r="BG200" s="8">
        <f t="shared" si="403"/>
      </c>
      <c r="BH200" s="8">
        <f t="shared" si="403"/>
      </c>
      <c r="BI200" s="974">
        <f t="shared" si="403"/>
      </c>
      <c r="BJ200" s="8">
        <f t="shared" ref="BJ200:BJ205" si="404">BJ188/BJ$194</f>
      </c>
      <c r="BK200" s="8">
        <f t="shared" ref="BK200:BK205" si="405">BK188/BK$194</f>
      </c>
      <c r="BL200" s="8">
        <f t="shared" ref="BL200:BL205" si="406">BL188/BL$194</f>
      </c>
      <c r="BM200" s="8">
        <f t="shared" ref="BM200:BN205" si="407">BM188/BM$194</f>
      </c>
      <c r="BN200" s="974">
        <f t="shared" si="407"/>
      </c>
      <c r="BO200" s="8">
        <f t="shared" ref="BO200:BO205" si="408">BO188/BO$194</f>
      </c>
      <c r="BP200" s="8">
        <f t="shared" ref="BP200:BP205" si="409">BP188/BP$194</f>
      </c>
      <c r="BQ200" s="8">
        <f t="shared" ref="BQ200:BQ205" si="410">BQ188/BQ$194</f>
      </c>
      <c r="BR200" s="8">
        <f t="shared" ref="BR200:BW205" si="411">BR188/BR$194</f>
      </c>
      <c r="BS200" s="974">
        <f t="shared" si="411"/>
      </c>
      <c r="BT200" s="677">
        <f t="shared" ref="BT200:BT205" si="412">BT188/BT$194</f>
      </c>
      <c r="BU200" s="59">
        <f t="shared" si="411"/>
      </c>
      <c r="BV200" s="59">
        <f t="shared" si="411"/>
      </c>
      <c r="BW200" s="59">
        <f t="shared" si="411"/>
      </c>
      <c r="BX200" s="973">
        <f t="shared" ref="BX200:BX205" si="413">BX188/BX$194</f>
      </c>
      <c r="BY200" s="59">
        <f t="shared" ref="BY200:CF205" si="414">BY188/BY$194</f>
      </c>
      <c r="BZ200" s="59">
        <f t="shared" si="414"/>
      </c>
      <c r="CA200" s="59">
        <f t="shared" si="414"/>
      </c>
      <c r="CB200" s="59">
        <f t="shared" si="414"/>
      </c>
      <c r="CC200" s="973">
        <f t="shared" si="414"/>
      </c>
      <c r="CD200" s="973">
        <f t="shared" si="414"/>
      </c>
      <c r="CE200" s="973">
        <f t="shared" si="414"/>
      </c>
      <c r="CF200" s="973">
        <f t="shared" si="414"/>
      </c>
      <c r="CG200" s="8"/>
    </row>
    <row r="201" spans="1:85" s="590" customFormat="1" hidden="1" outlineLevel="1" x14ac:dyDescent="0.3">
      <c r="A201" s="65" t="s">
        <v>584</v>
      </c>
      <c r="B201" s="251"/>
      <c r="C201" s="973"/>
      <c r="D201" s="973"/>
      <c r="E201" s="973"/>
      <c r="F201" s="973"/>
      <c r="G201" s="59"/>
      <c r="H201" s="59"/>
      <c r="I201" s="59"/>
      <c r="J201" s="59"/>
      <c r="K201" s="973"/>
      <c r="L201" s="59"/>
      <c r="M201" s="59"/>
      <c r="N201" s="59"/>
      <c r="O201" s="59"/>
      <c r="P201" s="973"/>
      <c r="Q201" s="59"/>
      <c r="R201" s="59"/>
      <c r="S201" s="59"/>
      <c r="T201" s="59"/>
      <c r="U201" s="973"/>
      <c r="V201" s="59"/>
      <c r="W201" s="59"/>
      <c r="X201" s="59"/>
      <c r="Y201" s="59"/>
      <c r="Z201" s="973"/>
      <c r="AA201" s="8">
        <f t="shared" ref="AA201:AO201" si="415">AA189/AA$194</f>
      </c>
      <c r="AB201" s="8">
        <f t="shared" si="415"/>
      </c>
      <c r="AC201" s="8">
        <f t="shared" si="415"/>
      </c>
      <c r="AD201" s="8">
        <f t="shared" si="415"/>
      </c>
      <c r="AE201" s="974">
        <f t="shared" si="415"/>
      </c>
      <c r="AF201" s="8">
        <f t="shared" si="415"/>
      </c>
      <c r="AG201" s="8">
        <f t="shared" si="415"/>
      </c>
      <c r="AH201" s="8">
        <f t="shared" si="415"/>
      </c>
      <c r="AI201" s="8">
        <f t="shared" si="415"/>
      </c>
      <c r="AJ201" s="974">
        <f t="shared" si="415"/>
      </c>
      <c r="AK201" s="8">
        <f t="shared" si="415"/>
      </c>
      <c r="AL201" s="8">
        <f t="shared" si="415"/>
      </c>
      <c r="AM201" s="8">
        <f t="shared" si="415"/>
      </c>
      <c r="AN201" s="8">
        <f t="shared" si="415"/>
      </c>
      <c r="AO201" s="974">
        <f t="shared" si="415"/>
      </c>
      <c r="AP201" s="8">
        <f t="shared" ref="AP201:AW201" si="416">AP189/AP$194</f>
      </c>
      <c r="AQ201" s="8">
        <f t="shared" si="416"/>
      </c>
      <c r="AR201" s="8">
        <f t="shared" si="416"/>
      </c>
      <c r="AS201" s="8">
        <f t="shared" si="416"/>
      </c>
      <c r="AT201" s="974">
        <f t="shared" si="416"/>
      </c>
      <c r="AU201" s="8">
        <f t="shared" si="416"/>
      </c>
      <c r="AV201" s="8">
        <f t="shared" si="416"/>
      </c>
      <c r="AW201" s="8">
        <f t="shared" si="416"/>
      </c>
      <c r="AX201" s="8">
        <f t="shared" ref="AX201:BI201" si="417">AX189/AX$194</f>
      </c>
      <c r="AY201" s="974">
        <f t="shared" si="417"/>
      </c>
      <c r="AZ201" s="8">
        <f t="shared" si="417"/>
      </c>
      <c r="BA201" s="8">
        <f t="shared" si="417"/>
      </c>
      <c r="BB201" s="8">
        <f t="shared" si="417"/>
      </c>
      <c r="BC201" s="8">
        <f t="shared" si="417"/>
      </c>
      <c r="BD201" s="974">
        <f t="shared" si="417"/>
      </c>
      <c r="BE201" s="8">
        <f t="shared" si="417"/>
      </c>
      <c r="BF201" s="8">
        <f t="shared" si="417"/>
      </c>
      <c r="BG201" s="8">
        <f t="shared" si="417"/>
      </c>
      <c r="BH201" s="8">
        <f t="shared" si="417"/>
      </c>
      <c r="BI201" s="974">
        <f t="shared" si="417"/>
      </c>
      <c r="BJ201" s="8">
        <f t="shared" si="404"/>
      </c>
      <c r="BK201" s="8">
        <f t="shared" si="405"/>
      </c>
      <c r="BL201" s="8">
        <f t="shared" si="406"/>
      </c>
      <c r="BM201" s="8">
        <f t="shared" si="407"/>
      </c>
      <c r="BN201" s="974">
        <f t="shared" si="407"/>
      </c>
      <c r="BO201" s="8">
        <f t="shared" si="408"/>
      </c>
      <c r="BP201" s="8">
        <f t="shared" si="409"/>
      </c>
      <c r="BQ201" s="8">
        <f t="shared" si="410"/>
      </c>
      <c r="BR201" s="8">
        <f t="shared" si="411"/>
      </c>
      <c r="BS201" s="974">
        <f t="shared" si="411"/>
      </c>
      <c r="BT201" s="677">
        <f t="shared" si="412"/>
      </c>
      <c r="BU201" s="59">
        <f t="shared" si="411"/>
      </c>
      <c r="BV201" s="59">
        <f t="shared" si="411"/>
      </c>
      <c r="BW201" s="59">
        <f t="shared" si="411"/>
      </c>
      <c r="BX201" s="973">
        <f t="shared" si="413"/>
      </c>
      <c r="BY201" s="59">
        <f t="shared" si="414"/>
      </c>
      <c r="BZ201" s="59">
        <f t="shared" si="414"/>
      </c>
      <c r="CA201" s="59">
        <f t="shared" si="414"/>
      </c>
      <c r="CB201" s="59">
        <f t="shared" si="414"/>
      </c>
      <c r="CC201" s="973">
        <f t="shared" si="414"/>
      </c>
      <c r="CD201" s="973">
        <f t="shared" si="414"/>
      </c>
      <c r="CE201" s="973">
        <f t="shared" si="414"/>
      </c>
      <c r="CF201" s="973">
        <f t="shared" si="414"/>
      </c>
      <c r="CG201" s="8"/>
    </row>
    <row r="202" spans="1:85" s="590" customFormat="1" hidden="1" outlineLevel="1" x14ac:dyDescent="0.3">
      <c r="A202" s="65" t="s">
        <v>585</v>
      </c>
      <c r="B202" s="251"/>
      <c r="C202" s="973"/>
      <c r="D202" s="973"/>
      <c r="E202" s="973"/>
      <c r="F202" s="973"/>
      <c r="G202" s="59"/>
      <c r="H202" s="59"/>
      <c r="I202" s="59"/>
      <c r="J202" s="59"/>
      <c r="K202" s="973"/>
      <c r="L202" s="59"/>
      <c r="M202" s="59"/>
      <c r="N202" s="59"/>
      <c r="O202" s="59"/>
      <c r="P202" s="973"/>
      <c r="Q202" s="59"/>
      <c r="R202" s="59"/>
      <c r="S202" s="59"/>
      <c r="T202" s="59"/>
      <c r="U202" s="973"/>
      <c r="V202" s="59"/>
      <c r="W202" s="59"/>
      <c r="X202" s="59"/>
      <c r="Y202" s="59"/>
      <c r="Z202" s="973"/>
      <c r="AA202" s="8">
        <f t="shared" ref="AA202:AO202" si="418">AA190/AA$194</f>
      </c>
      <c r="AB202" s="8">
        <f t="shared" si="418"/>
      </c>
      <c r="AC202" s="8">
        <f t="shared" si="418"/>
      </c>
      <c r="AD202" s="8">
        <f t="shared" si="418"/>
      </c>
      <c r="AE202" s="974">
        <f t="shared" si="418"/>
      </c>
      <c r="AF202" s="8">
        <f t="shared" si="418"/>
      </c>
      <c r="AG202" s="8">
        <f t="shared" si="418"/>
      </c>
      <c r="AH202" s="8">
        <f t="shared" si="418"/>
      </c>
      <c r="AI202" s="8">
        <f t="shared" si="418"/>
      </c>
      <c r="AJ202" s="974">
        <f t="shared" si="418"/>
      </c>
      <c r="AK202" s="8">
        <f t="shared" si="418"/>
      </c>
      <c r="AL202" s="8">
        <f t="shared" si="418"/>
      </c>
      <c r="AM202" s="8">
        <f t="shared" si="418"/>
      </c>
      <c r="AN202" s="8">
        <f t="shared" si="418"/>
      </c>
      <c r="AO202" s="974">
        <f t="shared" si="418"/>
      </c>
      <c r="AP202" s="8">
        <f t="shared" ref="AP202:AW202" si="419">AP190/AP$194</f>
      </c>
      <c r="AQ202" s="8">
        <f t="shared" si="419"/>
      </c>
      <c r="AR202" s="8">
        <f t="shared" si="419"/>
      </c>
      <c r="AS202" s="8">
        <f t="shared" si="419"/>
      </c>
      <c r="AT202" s="974">
        <f t="shared" si="419"/>
      </c>
      <c r="AU202" s="8">
        <f t="shared" si="419"/>
      </c>
      <c r="AV202" s="8">
        <f t="shared" si="419"/>
      </c>
      <c r="AW202" s="8">
        <f t="shared" si="419"/>
      </c>
      <c r="AX202" s="8">
        <f t="shared" ref="AX202:BI202" si="420">AX190/AX$194</f>
      </c>
      <c r="AY202" s="974">
        <f t="shared" si="420"/>
      </c>
      <c r="AZ202" s="8">
        <f t="shared" si="420"/>
      </c>
      <c r="BA202" s="8">
        <f t="shared" si="420"/>
      </c>
      <c r="BB202" s="8">
        <f t="shared" si="420"/>
      </c>
      <c r="BC202" s="8">
        <f t="shared" si="420"/>
      </c>
      <c r="BD202" s="974">
        <f t="shared" si="420"/>
      </c>
      <c r="BE202" s="8">
        <f t="shared" si="420"/>
      </c>
      <c r="BF202" s="8">
        <f t="shared" si="420"/>
      </c>
      <c r="BG202" s="8">
        <f t="shared" si="420"/>
      </c>
      <c r="BH202" s="8">
        <f t="shared" si="420"/>
      </c>
      <c r="BI202" s="974">
        <f t="shared" si="420"/>
      </c>
      <c r="BJ202" s="8">
        <f t="shared" si="404"/>
      </c>
      <c r="BK202" s="8">
        <f t="shared" si="405"/>
      </c>
      <c r="BL202" s="8">
        <f t="shared" si="406"/>
      </c>
      <c r="BM202" s="8">
        <f t="shared" si="407"/>
      </c>
      <c r="BN202" s="974">
        <f t="shared" si="407"/>
      </c>
      <c r="BO202" s="8">
        <f t="shared" si="408"/>
      </c>
      <c r="BP202" s="8">
        <f t="shared" si="409"/>
      </c>
      <c r="BQ202" s="8">
        <f t="shared" si="410"/>
      </c>
      <c r="BR202" s="8">
        <f t="shared" si="411"/>
      </c>
      <c r="BS202" s="974">
        <f t="shared" si="411"/>
      </c>
      <c r="BT202" s="677">
        <f t="shared" si="412"/>
      </c>
      <c r="BU202" s="59">
        <f t="shared" si="411"/>
      </c>
      <c r="BV202" s="59">
        <f t="shared" si="411"/>
      </c>
      <c r="BW202" s="59">
        <f t="shared" si="411"/>
      </c>
      <c r="BX202" s="973">
        <f t="shared" si="413"/>
      </c>
      <c r="BY202" s="59">
        <f t="shared" si="414"/>
      </c>
      <c r="BZ202" s="59">
        <f t="shared" si="414"/>
      </c>
      <c r="CA202" s="59">
        <f t="shared" si="414"/>
      </c>
      <c r="CB202" s="59">
        <f t="shared" si="414"/>
      </c>
      <c r="CC202" s="973">
        <f t="shared" si="414"/>
      </c>
      <c r="CD202" s="973">
        <f t="shared" si="414"/>
      </c>
      <c r="CE202" s="973">
        <f t="shared" si="414"/>
      </c>
      <c r="CF202" s="973">
        <f t="shared" si="414"/>
      </c>
      <c r="CG202" s="8"/>
    </row>
    <row r="203" spans="1:85" s="590" customFormat="1" hidden="1" outlineLevel="1" x14ac:dyDescent="0.3">
      <c r="A203" s="7" t="s">
        <v>586</v>
      </c>
      <c r="B203" s="253"/>
      <c r="C203" s="975"/>
      <c r="D203" s="975"/>
      <c r="E203" s="975"/>
      <c r="F203" s="975"/>
      <c r="G203" s="157"/>
      <c r="H203" s="157"/>
      <c r="I203" s="157"/>
      <c r="J203" s="157"/>
      <c r="K203" s="975"/>
      <c r="L203" s="157"/>
      <c r="M203" s="157"/>
      <c r="N203" s="157"/>
      <c r="O203" s="157"/>
      <c r="P203" s="975"/>
      <c r="Q203" s="157"/>
      <c r="R203" s="157"/>
      <c r="S203" s="157"/>
      <c r="T203" s="157"/>
      <c r="U203" s="975"/>
      <c r="V203" s="157"/>
      <c r="W203" s="157"/>
      <c r="X203" s="157"/>
      <c r="Y203" s="157"/>
      <c r="Z203" s="975"/>
      <c r="AA203" s="156">
        <f t="shared" ref="AA203:AO203" si="421">AA191/AA$194</f>
      </c>
      <c r="AB203" s="156">
        <f t="shared" si="421"/>
      </c>
      <c r="AC203" s="156">
        <f t="shared" si="421"/>
      </c>
      <c r="AD203" s="156">
        <f t="shared" si="421"/>
      </c>
      <c r="AE203" s="976">
        <f t="shared" si="421"/>
      </c>
      <c r="AF203" s="156">
        <f t="shared" si="421"/>
      </c>
      <c r="AG203" s="156">
        <f t="shared" si="421"/>
      </c>
      <c r="AH203" s="156">
        <f t="shared" si="421"/>
      </c>
      <c r="AI203" s="156">
        <f t="shared" si="421"/>
      </c>
      <c r="AJ203" s="976">
        <f t="shared" si="421"/>
      </c>
      <c r="AK203" s="156">
        <f t="shared" si="421"/>
      </c>
      <c r="AL203" s="156">
        <f t="shared" si="421"/>
      </c>
      <c r="AM203" s="156">
        <f t="shared" si="421"/>
      </c>
      <c r="AN203" s="156">
        <f t="shared" si="421"/>
      </c>
      <c r="AO203" s="976">
        <f t="shared" si="421"/>
      </c>
      <c r="AP203" s="156">
        <f t="shared" ref="AP203:AW203" si="422">AP191/AP$194</f>
      </c>
      <c r="AQ203" s="156">
        <f t="shared" si="422"/>
      </c>
      <c r="AR203" s="156">
        <f t="shared" si="422"/>
      </c>
      <c r="AS203" s="156">
        <f t="shared" si="422"/>
      </c>
      <c r="AT203" s="976">
        <f t="shared" si="422"/>
      </c>
      <c r="AU203" s="156">
        <f t="shared" si="422"/>
      </c>
      <c r="AV203" s="156">
        <f t="shared" si="422"/>
      </c>
      <c r="AW203" s="156">
        <f t="shared" si="422"/>
      </c>
      <c r="AX203" s="156">
        <f t="shared" ref="AX203:BI203" si="423">AX191/AX$194</f>
      </c>
      <c r="AY203" s="976">
        <f t="shared" si="423"/>
      </c>
      <c r="AZ203" s="156">
        <f t="shared" si="423"/>
      </c>
      <c r="BA203" s="156">
        <f t="shared" si="423"/>
      </c>
      <c r="BB203" s="156">
        <f t="shared" si="423"/>
      </c>
      <c r="BC203" s="156">
        <f t="shared" si="423"/>
      </c>
      <c r="BD203" s="976">
        <f t="shared" si="423"/>
      </c>
      <c r="BE203" s="156">
        <f t="shared" si="423"/>
      </c>
      <c r="BF203" s="156">
        <f t="shared" si="423"/>
      </c>
      <c r="BG203" s="156">
        <f t="shared" si="423"/>
      </c>
      <c r="BH203" s="156">
        <f t="shared" si="423"/>
      </c>
      <c r="BI203" s="976">
        <f t="shared" si="423"/>
      </c>
      <c r="BJ203" s="156">
        <f t="shared" si="404"/>
      </c>
      <c r="BK203" s="156">
        <f t="shared" si="405"/>
      </c>
      <c r="BL203" s="156">
        <f t="shared" si="406"/>
      </c>
      <c r="BM203" s="156">
        <f t="shared" si="407"/>
      </c>
      <c r="BN203" s="976">
        <f t="shared" si="407"/>
      </c>
      <c r="BO203" s="156">
        <f t="shared" si="408"/>
      </c>
      <c r="BP203" s="156">
        <f t="shared" si="409"/>
      </c>
      <c r="BQ203" s="156">
        <f t="shared" si="410"/>
      </c>
      <c r="BR203" s="156">
        <f t="shared" si="411"/>
      </c>
      <c r="BS203" s="976">
        <f t="shared" si="411"/>
      </c>
      <c r="BT203" s="684">
        <f t="shared" si="412"/>
      </c>
      <c r="BU203" s="157">
        <f t="shared" si="411"/>
      </c>
      <c r="BV203" s="157">
        <f t="shared" si="411"/>
      </c>
      <c r="BW203" s="157">
        <f t="shared" si="411"/>
      </c>
      <c r="BX203" s="975">
        <f t="shared" si="413"/>
      </c>
      <c r="BY203" s="157">
        <f t="shared" si="414"/>
      </c>
      <c r="BZ203" s="157">
        <f t="shared" si="414"/>
      </c>
      <c r="CA203" s="157">
        <f t="shared" si="414"/>
      </c>
      <c r="CB203" s="157">
        <f t="shared" si="414"/>
      </c>
      <c r="CC203" s="975">
        <f t="shared" si="414"/>
      </c>
      <c r="CD203" s="975">
        <f t="shared" si="414"/>
      </c>
      <c r="CE203" s="975">
        <f t="shared" si="414"/>
      </c>
      <c r="CF203" s="975">
        <f t="shared" si="414"/>
      </c>
      <c r="CG203" s="8"/>
    </row>
    <row r="204" spans="1:85" s="592" customFormat="1" hidden="1" outlineLevel="1" x14ac:dyDescent="0.3">
      <c r="A204" s="64" t="s">
        <v>587</v>
      </c>
      <c r="B204" s="326"/>
      <c r="C204" s="977"/>
      <c r="D204" s="977"/>
      <c r="E204" s="977"/>
      <c r="F204" s="987">
        <f t="shared" ref="F204:Z204" si="424">F192/F$194</f>
      </c>
      <c r="G204" s="11">
        <f t="shared" si="424"/>
      </c>
      <c r="H204" s="11">
        <f t="shared" si="424"/>
      </c>
      <c r="I204" s="11">
        <f t="shared" si="424"/>
      </c>
      <c r="J204" s="11">
        <f t="shared" si="424"/>
      </c>
      <c r="K204" s="987">
        <f t="shared" si="424"/>
      </c>
      <c r="L204" s="11">
        <f t="shared" si="424"/>
      </c>
      <c r="M204" s="11">
        <f t="shared" si="424"/>
      </c>
      <c r="N204" s="11">
        <f t="shared" si="424"/>
      </c>
      <c r="O204" s="11">
        <f t="shared" si="424"/>
      </c>
      <c r="P204" s="987">
        <f t="shared" si="424"/>
      </c>
      <c r="Q204" s="11">
        <f t="shared" si="424"/>
      </c>
      <c r="R204" s="11">
        <f t="shared" si="424"/>
      </c>
      <c r="S204" s="11">
        <f t="shared" si="424"/>
      </c>
      <c r="T204" s="11">
        <f t="shared" si="424"/>
      </c>
      <c r="U204" s="987">
        <f t="shared" si="424"/>
      </c>
      <c r="V204" s="11">
        <f t="shared" si="424"/>
      </c>
      <c r="W204" s="11">
        <f t="shared" si="424"/>
      </c>
      <c r="X204" s="11">
        <f t="shared" si="424"/>
      </c>
      <c r="Y204" s="11">
        <f t="shared" si="424"/>
      </c>
      <c r="Z204" s="987">
        <f t="shared" si="424"/>
      </c>
      <c r="AA204" s="11">
        <f t="shared" ref="AA204:AO204" si="425">AA192/AA$194</f>
      </c>
      <c r="AB204" s="11">
        <f t="shared" si="425"/>
      </c>
      <c r="AC204" s="11">
        <f t="shared" si="425"/>
      </c>
      <c r="AD204" s="11">
        <f t="shared" si="425"/>
      </c>
      <c r="AE204" s="987">
        <f t="shared" si="425"/>
      </c>
      <c r="AF204" s="11">
        <f t="shared" si="425"/>
      </c>
      <c r="AG204" s="11">
        <f t="shared" si="425"/>
      </c>
      <c r="AH204" s="11">
        <f t="shared" si="425"/>
      </c>
      <c r="AI204" s="11">
        <f t="shared" si="425"/>
      </c>
      <c r="AJ204" s="987">
        <f t="shared" si="425"/>
      </c>
      <c r="AK204" s="11">
        <f t="shared" si="425"/>
      </c>
      <c r="AL204" s="11">
        <f t="shared" si="425"/>
      </c>
      <c r="AM204" s="11">
        <f t="shared" si="425"/>
      </c>
      <c r="AN204" s="11">
        <f t="shared" si="425"/>
      </c>
      <c r="AO204" s="987">
        <f t="shared" si="425"/>
      </c>
      <c r="AP204" s="11">
        <f t="shared" ref="AP204:AW204" si="426">AP192/AP$194</f>
      </c>
      <c r="AQ204" s="11">
        <f t="shared" si="426"/>
      </c>
      <c r="AR204" s="11">
        <f t="shared" si="426"/>
      </c>
      <c r="AS204" s="11">
        <f t="shared" si="426"/>
      </c>
      <c r="AT204" s="987">
        <f t="shared" si="426"/>
      </c>
      <c r="AU204" s="11">
        <f t="shared" si="426"/>
      </c>
      <c r="AV204" s="11">
        <f t="shared" si="426"/>
      </c>
      <c r="AW204" s="11">
        <f t="shared" si="426"/>
      </c>
      <c r="AX204" s="11">
        <f t="shared" ref="AX204:BI204" si="427">AX192/AX$194</f>
      </c>
      <c r="AY204" s="987">
        <f t="shared" si="427"/>
      </c>
      <c r="AZ204" s="11">
        <f t="shared" si="427"/>
      </c>
      <c r="BA204" s="11">
        <f t="shared" si="427"/>
      </c>
      <c r="BB204" s="11">
        <f t="shared" si="427"/>
      </c>
      <c r="BC204" s="11">
        <f t="shared" si="427"/>
      </c>
      <c r="BD204" s="987">
        <f t="shared" si="427"/>
      </c>
      <c r="BE204" s="11">
        <f t="shared" si="427"/>
      </c>
      <c r="BF204" s="11">
        <f t="shared" si="427"/>
      </c>
      <c r="BG204" s="11">
        <f t="shared" si="427"/>
      </c>
      <c r="BH204" s="11">
        <f t="shared" si="427"/>
      </c>
      <c r="BI204" s="987">
        <f t="shared" si="427"/>
      </c>
      <c r="BJ204" s="11">
        <f t="shared" si="404"/>
      </c>
      <c r="BK204" s="11">
        <f t="shared" si="405"/>
      </c>
      <c r="BL204" s="11">
        <f t="shared" si="406"/>
      </c>
      <c r="BM204" s="11">
        <f t="shared" si="407"/>
      </c>
      <c r="BN204" s="987">
        <f t="shared" si="407"/>
      </c>
      <c r="BO204" s="11">
        <f t="shared" si="408"/>
      </c>
      <c r="BP204" s="11">
        <f t="shared" si="409"/>
      </c>
      <c r="BQ204" s="11">
        <f t="shared" si="410"/>
      </c>
      <c r="BR204" s="11">
        <f t="shared" si="411"/>
      </c>
      <c r="BS204" s="987">
        <f t="shared" si="411"/>
      </c>
      <c r="BT204" s="685">
        <f t="shared" si="412"/>
      </c>
      <c r="BU204" s="184">
        <f t="shared" si="411"/>
      </c>
      <c r="BV204" s="184">
        <f t="shared" si="411"/>
      </c>
      <c r="BW204" s="184">
        <f t="shared" si="411"/>
      </c>
      <c r="BX204" s="977">
        <f t="shared" si="413"/>
      </c>
      <c r="BY204" s="184">
        <f t="shared" si="414"/>
      </c>
      <c r="BZ204" s="184">
        <f t="shared" si="414"/>
      </c>
      <c r="CA204" s="184">
        <f t="shared" si="414"/>
      </c>
      <c r="CB204" s="184">
        <f t="shared" si="414"/>
      </c>
      <c r="CC204" s="977">
        <f t="shared" si="414"/>
      </c>
      <c r="CD204" s="977">
        <f t="shared" si="414"/>
      </c>
      <c r="CE204" s="977">
        <f t="shared" si="414"/>
      </c>
      <c r="CF204" s="977">
        <f t="shared" si="414"/>
      </c>
      <c r="CG204" s="11"/>
    </row>
    <row r="205" spans="1:85" s="590" customFormat="1" hidden="1" outlineLevel="1" x14ac:dyDescent="0.3">
      <c r="A205" s="154" t="s">
        <v>588</v>
      </c>
      <c r="B205" s="253"/>
      <c r="C205" s="975"/>
      <c r="D205" s="975"/>
      <c r="E205" s="975"/>
      <c r="F205" s="976">
        <f t="shared" ref="F205:Z205" si="428">F193/F$194</f>
      </c>
      <c r="G205" s="156">
        <f t="shared" si="428"/>
      </c>
      <c r="H205" s="156">
        <f t="shared" si="428"/>
      </c>
      <c r="I205" s="156">
        <f t="shared" si="428"/>
      </c>
      <c r="J205" s="156">
        <f t="shared" si="428"/>
      </c>
      <c r="K205" s="976">
        <f t="shared" si="428"/>
      </c>
      <c r="L205" s="156">
        <f t="shared" si="428"/>
      </c>
      <c r="M205" s="156">
        <f t="shared" si="428"/>
      </c>
      <c r="N205" s="156">
        <f t="shared" si="428"/>
      </c>
      <c r="O205" s="156">
        <f t="shared" si="428"/>
      </c>
      <c r="P205" s="976">
        <f t="shared" si="428"/>
      </c>
      <c r="Q205" s="156">
        <f t="shared" si="428"/>
      </c>
      <c r="R205" s="156">
        <f t="shared" si="428"/>
      </c>
      <c r="S205" s="156">
        <f t="shared" si="428"/>
      </c>
      <c r="T205" s="156">
        <f t="shared" si="428"/>
      </c>
      <c r="U205" s="976">
        <f t="shared" si="428"/>
      </c>
      <c r="V205" s="156">
        <f t="shared" si="428"/>
      </c>
      <c r="W205" s="156">
        <f t="shared" si="428"/>
      </c>
      <c r="X205" s="156">
        <f t="shared" si="428"/>
      </c>
      <c r="Y205" s="156">
        <f t="shared" si="428"/>
      </c>
      <c r="Z205" s="976">
        <f t="shared" si="428"/>
      </c>
      <c r="AA205" s="156">
        <f t="shared" ref="AA205:AO205" si="429">AA193/AA$194</f>
      </c>
      <c r="AB205" s="156">
        <f t="shared" si="429"/>
      </c>
      <c r="AC205" s="156">
        <f t="shared" si="429"/>
      </c>
      <c r="AD205" s="156">
        <f t="shared" si="429"/>
      </c>
      <c r="AE205" s="976">
        <f t="shared" si="429"/>
      </c>
      <c r="AF205" s="156">
        <f t="shared" si="429"/>
      </c>
      <c r="AG205" s="156">
        <f t="shared" si="429"/>
      </c>
      <c r="AH205" s="156">
        <f t="shared" si="429"/>
      </c>
      <c r="AI205" s="156">
        <f t="shared" si="429"/>
      </c>
      <c r="AJ205" s="976">
        <f t="shared" si="429"/>
      </c>
      <c r="AK205" s="156">
        <f t="shared" si="429"/>
      </c>
      <c r="AL205" s="156">
        <f t="shared" si="429"/>
      </c>
      <c r="AM205" s="156">
        <f t="shared" si="429"/>
      </c>
      <c r="AN205" s="156">
        <f t="shared" si="429"/>
      </c>
      <c r="AO205" s="976">
        <f t="shared" si="429"/>
      </c>
      <c r="AP205" s="156">
        <f t="shared" ref="AP205:AW205" si="430">AP193/AP$194</f>
      </c>
      <c r="AQ205" s="156">
        <f t="shared" si="430"/>
      </c>
      <c r="AR205" s="156">
        <f t="shared" si="430"/>
      </c>
      <c r="AS205" s="156">
        <f t="shared" si="430"/>
      </c>
      <c r="AT205" s="976">
        <f t="shared" si="430"/>
      </c>
      <c r="AU205" s="156">
        <f t="shared" si="430"/>
      </c>
      <c r="AV205" s="156">
        <f t="shared" si="430"/>
      </c>
      <c r="AW205" s="156">
        <f t="shared" si="430"/>
      </c>
      <c r="AX205" s="156">
        <f t="shared" ref="AX205:BI205" si="431">AX193/AX$194</f>
      </c>
      <c r="AY205" s="976">
        <f t="shared" si="431"/>
      </c>
      <c r="AZ205" s="156">
        <f t="shared" si="431"/>
      </c>
      <c r="BA205" s="156">
        <f t="shared" si="431"/>
      </c>
      <c r="BB205" s="156">
        <f t="shared" si="431"/>
      </c>
      <c r="BC205" s="156">
        <f t="shared" si="431"/>
      </c>
      <c r="BD205" s="976">
        <f t="shared" si="431"/>
      </c>
      <c r="BE205" s="156">
        <f t="shared" si="431"/>
      </c>
      <c r="BF205" s="156">
        <f t="shared" si="431"/>
      </c>
      <c r="BG205" s="156">
        <f t="shared" si="431"/>
      </c>
      <c r="BH205" s="156">
        <f t="shared" si="431"/>
      </c>
      <c r="BI205" s="976">
        <f t="shared" si="431"/>
      </c>
      <c r="BJ205" s="156">
        <f t="shared" si="404"/>
      </c>
      <c r="BK205" s="156">
        <f t="shared" si="405"/>
      </c>
      <c r="BL205" s="156">
        <f t="shared" si="406"/>
      </c>
      <c r="BM205" s="156">
        <f t="shared" si="407"/>
      </c>
      <c r="BN205" s="976">
        <f t="shared" si="407"/>
      </c>
      <c r="BO205" s="156">
        <f t="shared" si="408"/>
      </c>
      <c r="BP205" s="156">
        <f t="shared" si="409"/>
      </c>
      <c r="BQ205" s="156">
        <f t="shared" si="410"/>
      </c>
      <c r="BR205" s="156">
        <f t="shared" si="411"/>
      </c>
      <c r="BS205" s="976">
        <f t="shared" si="411"/>
      </c>
      <c r="BT205" s="684">
        <f t="shared" si="412"/>
      </c>
      <c r="BU205" s="157">
        <f t="shared" si="411"/>
      </c>
      <c r="BV205" s="157">
        <f t="shared" si="411"/>
      </c>
      <c r="BW205" s="157">
        <f t="shared" si="411"/>
      </c>
      <c r="BX205" s="975">
        <f t="shared" si="413"/>
      </c>
      <c r="BY205" s="157">
        <f t="shared" si="414"/>
      </c>
      <c r="BZ205" s="157">
        <f t="shared" si="414"/>
      </c>
      <c r="CA205" s="157">
        <f t="shared" si="414"/>
      </c>
      <c r="CB205" s="157">
        <f t="shared" si="414"/>
      </c>
      <c r="CC205" s="975">
        <f t="shared" si="414"/>
      </c>
      <c r="CD205" s="975">
        <f t="shared" si="414"/>
      </c>
      <c r="CE205" s="975">
        <f t="shared" si="414"/>
      </c>
      <c r="CF205" s="975">
        <f t="shared" si="414"/>
      </c>
      <c r="CG205" s="8"/>
    </row>
    <row r="206" spans="1:85" s="590" customFormat="1" hidden="1" outlineLevel="1" x14ac:dyDescent="0.3">
      <c r="A206" s="61" t="s">
        <v>690</v>
      </c>
      <c r="B206" s="326"/>
      <c r="C206" s="977"/>
      <c r="D206" s="977"/>
      <c r="E206" s="977"/>
      <c r="F206" s="987">
        <f t="shared" ref="F206:AK206" si="432">F204+F205</f>
      </c>
      <c r="G206" s="11">
        <f t="shared" si="432"/>
      </c>
      <c r="H206" s="11">
        <f t="shared" si="432"/>
      </c>
      <c r="I206" s="11">
        <f t="shared" si="432"/>
      </c>
      <c r="J206" s="11">
        <f t="shared" si="432"/>
      </c>
      <c r="K206" s="987">
        <f t="shared" si="432"/>
      </c>
      <c r="L206" s="11">
        <f t="shared" si="432"/>
      </c>
      <c r="M206" s="11">
        <f t="shared" si="432"/>
      </c>
      <c r="N206" s="11">
        <f t="shared" si="432"/>
      </c>
      <c r="O206" s="11">
        <f t="shared" si="432"/>
      </c>
      <c r="P206" s="987">
        <f t="shared" si="432"/>
      </c>
      <c r="Q206" s="11">
        <f t="shared" si="432"/>
      </c>
      <c r="R206" s="11">
        <f t="shared" si="432"/>
      </c>
      <c r="S206" s="11">
        <f t="shared" si="432"/>
      </c>
      <c r="T206" s="11">
        <f t="shared" si="432"/>
      </c>
      <c r="U206" s="987">
        <f t="shared" si="432"/>
      </c>
      <c r="V206" s="11">
        <f t="shared" si="432"/>
      </c>
      <c r="W206" s="11">
        <f t="shared" si="432"/>
      </c>
      <c r="X206" s="11">
        <f t="shared" si="432"/>
      </c>
      <c r="Y206" s="11">
        <f t="shared" si="432"/>
      </c>
      <c r="Z206" s="987">
        <f t="shared" si="432"/>
      </c>
      <c r="AA206" s="11">
        <f t="shared" si="432"/>
      </c>
      <c r="AB206" s="11">
        <f t="shared" si="432"/>
      </c>
      <c r="AC206" s="11">
        <f t="shared" si="432"/>
      </c>
      <c r="AD206" s="11">
        <f t="shared" si="432"/>
      </c>
      <c r="AE206" s="987">
        <f t="shared" si="432"/>
      </c>
      <c r="AF206" s="11">
        <f t="shared" si="432"/>
      </c>
      <c r="AG206" s="11">
        <f t="shared" si="432"/>
      </c>
      <c r="AH206" s="11">
        <f t="shared" si="432"/>
      </c>
      <c r="AI206" s="11">
        <f t="shared" si="432"/>
      </c>
      <c r="AJ206" s="987">
        <f t="shared" si="432"/>
      </c>
      <c r="AK206" s="11">
        <f t="shared" si="432"/>
      </c>
      <c r="AL206" s="11">
        <f t="shared" ref="AL206:AW206" si="433">AL204+AL205</f>
      </c>
      <c r="AM206" s="11">
        <f t="shared" si="433"/>
      </c>
      <c r="AN206" s="11">
        <f t="shared" si="433"/>
      </c>
      <c r="AO206" s="987">
        <f t="shared" si="433"/>
      </c>
      <c r="AP206" s="11">
        <f t="shared" si="433"/>
      </c>
      <c r="AQ206" s="11">
        <f t="shared" si="433"/>
      </c>
      <c r="AR206" s="11">
        <f t="shared" si="433"/>
      </c>
      <c r="AS206" s="11">
        <f t="shared" si="433"/>
      </c>
      <c r="AT206" s="987">
        <f t="shared" si="433"/>
      </c>
      <c r="AU206" s="11">
        <f t="shared" si="433"/>
      </c>
      <c r="AV206" s="11">
        <f t="shared" si="433"/>
      </c>
      <c r="AW206" s="11">
        <f t="shared" si="433"/>
      </c>
      <c r="AX206" s="11">
        <f t="shared" ref="AX206:BD206" si="434">AX204+AX205</f>
      </c>
      <c r="AY206" s="987">
        <f t="shared" si="434"/>
      </c>
      <c r="AZ206" s="11">
        <f t="shared" si="434"/>
      </c>
      <c r="BA206" s="11">
        <f t="shared" si="434"/>
      </c>
      <c r="BB206" s="11">
        <f t="shared" si="434"/>
      </c>
      <c r="BC206" s="11">
        <f t="shared" si="434"/>
      </c>
      <c r="BD206" s="987">
        <f t="shared" si="434"/>
      </c>
      <c r="BE206" s="11">
        <f t="shared" ref="BE206:BI206" si="435">BE204+BE205</f>
      </c>
      <c r="BF206" s="11">
        <f t="shared" si="435"/>
      </c>
      <c r="BG206" s="11">
        <f t="shared" si="435"/>
      </c>
      <c r="BH206" s="11">
        <f t="shared" si="435"/>
      </c>
      <c r="BI206" s="987">
        <f t="shared" si="435"/>
      </c>
      <c r="BJ206" s="11">
        <f t="shared" ref="BJ206:BX206" si="436">BJ204+BJ205</f>
      </c>
      <c r="BK206" s="11">
        <f t="shared" si="436"/>
      </c>
      <c r="BL206" s="11">
        <f t="shared" si="436"/>
      </c>
      <c r="BM206" s="11">
        <f t="shared" si="436"/>
      </c>
      <c r="BN206" s="987">
        <f t="shared" si="436"/>
      </c>
      <c r="BO206" s="11">
        <f t="shared" ref="BO206:BW206" si="437">BO204+BO205</f>
      </c>
      <c r="BP206" s="11">
        <f t="shared" si="437"/>
      </c>
      <c r="BQ206" s="11">
        <f t="shared" si="437"/>
      </c>
      <c r="BR206" s="11">
        <f t="shared" si="437"/>
      </c>
      <c r="BS206" s="987">
        <f t="shared" si="437"/>
      </c>
      <c r="BT206" s="685">
        <f>BT204+BT205</f>
      </c>
      <c r="BU206" s="184">
        <f t="shared" si="437"/>
      </c>
      <c r="BV206" s="184">
        <f t="shared" si="437"/>
      </c>
      <c r="BW206" s="184">
        <f t="shared" si="437"/>
      </c>
      <c r="BX206" s="977">
        <f t="shared" si="436"/>
      </c>
      <c r="BY206" s="184">
        <f t="shared" ref="BY206:CF206" si="438">BY204+BY205</f>
      </c>
      <c r="BZ206" s="184">
        <f t="shared" si="438"/>
      </c>
      <c r="CA206" s="184">
        <f t="shared" si="438"/>
      </c>
      <c r="CB206" s="184">
        <f t="shared" si="438"/>
      </c>
      <c r="CC206" s="977">
        <f t="shared" si="438"/>
      </c>
      <c r="CD206" s="977">
        <f t="shared" si="438"/>
      </c>
      <c r="CE206" s="977">
        <f t="shared" si="438"/>
      </c>
      <c r="CF206" s="977">
        <f t="shared" si="438"/>
      </c>
      <c r="CG206" s="11"/>
    </row>
    <row r="207" spans="1:85" s="587" customFormat="1" collapsed="1" x14ac:dyDescent="0.3">
      <c r="A207" s="429"/>
      <c r="B207" s="250"/>
      <c r="C207" s="969"/>
      <c r="D207" s="969"/>
      <c r="E207" s="969"/>
      <c r="F207" s="969"/>
      <c r="G207" s="759"/>
      <c r="H207" s="759"/>
      <c r="I207" s="759"/>
      <c r="J207" s="759"/>
      <c r="K207" s="969"/>
      <c r="L207" s="759"/>
      <c r="M207" s="759"/>
      <c r="N207" s="759"/>
      <c r="O207" s="759"/>
      <c r="P207" s="969"/>
      <c r="Q207" s="759"/>
      <c r="R207" s="759"/>
      <c r="S207" s="759"/>
      <c r="T207" s="759"/>
      <c r="U207" s="969"/>
      <c r="V207" s="759"/>
      <c r="W207" s="759"/>
      <c r="X207" s="759"/>
      <c r="Y207" s="759"/>
      <c r="Z207" s="969"/>
      <c r="AA207" s="759"/>
      <c r="AB207" s="759"/>
      <c r="AC207" s="759"/>
      <c r="AD207" s="759"/>
      <c r="AE207" s="969"/>
      <c r="AF207" s="759"/>
      <c r="AG207" s="759"/>
      <c r="AH207" s="759"/>
      <c r="AI207" s="759"/>
      <c r="AJ207" s="969"/>
      <c r="AK207" s="759"/>
      <c r="AL207" s="759"/>
      <c r="AM207" s="759"/>
      <c r="AN207" s="759"/>
      <c r="AO207" s="969"/>
      <c r="AP207" s="759"/>
      <c r="AQ207" s="759"/>
      <c r="AR207" s="759"/>
      <c r="AS207" s="759"/>
      <c r="AT207" s="969"/>
      <c r="AU207" s="759"/>
      <c r="AV207" s="759"/>
      <c r="AW207" s="759"/>
      <c r="AX207" s="759"/>
      <c r="AY207" s="969"/>
      <c r="AZ207" s="759"/>
      <c r="BA207" s="759"/>
      <c r="BB207" s="759"/>
      <c r="BC207" s="759"/>
      <c r="BD207" s="969"/>
      <c r="BE207" s="759"/>
      <c r="BF207" s="759"/>
      <c r="BG207" s="759"/>
      <c r="BH207" s="759"/>
      <c r="BI207" s="969"/>
      <c r="BJ207" s="759"/>
      <c r="BK207" s="759"/>
      <c r="BL207" s="759"/>
      <c r="BM207" s="759"/>
      <c r="BN207" s="969"/>
      <c r="BO207" s="759"/>
      <c r="BP207" s="759"/>
      <c r="BQ207" s="759"/>
      <c r="BR207" s="759"/>
      <c r="BS207" s="969"/>
      <c r="BT207" s="760"/>
      <c r="BU207" s="759"/>
      <c r="BV207" s="759"/>
      <c r="BW207" s="759"/>
      <c r="BX207" s="969"/>
      <c r="BY207" s="759"/>
      <c r="BZ207" s="759"/>
      <c r="CA207" s="759"/>
      <c r="CB207" s="759"/>
      <c r="CC207" s="969"/>
      <c r="CD207" s="969"/>
      <c r="CE207" s="969"/>
      <c r="CF207" s="969"/>
      <c r="CG207" s="183"/>
    </row>
    <row r="208" spans="1:85" x14ac:dyDescent="0.3">
      <c r="A208" s="754" t="s">
        <v>604</v>
      </c>
      <c r="B208" s="754"/>
      <c r="C208" s="754"/>
      <c r="D208" s="754"/>
      <c r="E208" s="754"/>
      <c r="F208" s="754"/>
      <c r="G208" s="754"/>
      <c r="H208" s="754"/>
      <c r="I208" s="754"/>
      <c r="J208" s="754"/>
      <c r="K208" s="754"/>
      <c r="L208" s="754"/>
      <c r="M208" s="754"/>
      <c r="N208" s="754"/>
      <c r="O208" s="754"/>
      <c r="P208" s="754"/>
      <c r="Q208" s="754"/>
      <c r="R208" s="754"/>
      <c r="S208" s="754"/>
      <c r="T208" s="754"/>
      <c r="U208" s="754"/>
      <c r="V208" s="754"/>
      <c r="W208" s="754"/>
      <c r="X208" s="754"/>
      <c r="Y208" s="754"/>
      <c r="Z208" s="754"/>
      <c r="AA208" s="754"/>
      <c r="AB208" s="754"/>
      <c r="AC208" s="754"/>
      <c r="AD208" s="754"/>
      <c r="AE208" s="754"/>
      <c r="AF208" s="754"/>
      <c r="AG208" s="754"/>
      <c r="AH208" s="754"/>
      <c r="AI208" s="754"/>
      <c r="AJ208" s="754"/>
      <c r="AK208" s="754"/>
      <c r="AL208" s="754"/>
      <c r="AM208" s="754"/>
      <c r="AN208" s="754"/>
      <c r="AO208" s="754"/>
      <c r="AP208" s="754"/>
      <c r="AQ208" s="754"/>
      <c r="AR208" s="754"/>
      <c r="AS208" s="754"/>
      <c r="AT208" s="754"/>
      <c r="AU208" s="754"/>
      <c r="AV208" s="754"/>
      <c r="AW208" s="754"/>
      <c r="AX208" s="754"/>
      <c r="AY208" s="754"/>
      <c r="AZ208" s="754"/>
      <c r="BA208" s="754"/>
      <c r="BB208" s="754"/>
      <c r="BC208" s="754"/>
      <c r="BD208" s="754"/>
      <c r="BE208" s="754"/>
      <c r="BF208" s="754"/>
      <c r="BG208" s="754"/>
      <c r="BH208" s="754"/>
      <c r="BI208" s="754"/>
      <c r="BJ208" s="754"/>
      <c r="BK208" s="754"/>
      <c r="BL208" s="754"/>
      <c r="BM208" s="754"/>
      <c r="BN208" s="754"/>
      <c r="BO208" s="754"/>
      <c r="BP208" s="754"/>
      <c r="BQ208" s="754"/>
      <c r="BR208" s="754"/>
      <c r="BS208" s="754"/>
      <c r="BT208" s="755"/>
      <c r="BU208" s="754"/>
      <c r="BV208" s="754"/>
      <c r="BW208" s="754"/>
      <c r="BX208" s="754"/>
      <c r="BY208" s="754"/>
      <c r="BZ208" s="754"/>
      <c r="CA208" s="754"/>
      <c r="CB208" s="754"/>
      <c r="CC208" s="754"/>
      <c r="CD208" s="754"/>
      <c r="CE208" s="754"/>
      <c r="CF208" s="754"/>
      <c r="CG208" s="183"/>
    </row>
    <row r="209" spans="1:85" s="585" customFormat="1" hidden="1" outlineLevel="1" x14ac:dyDescent="0.3">
      <c r="A209" s="429" t="s">
        <v>7</v>
      </c>
      <c r="B209" s="250"/>
      <c r="C209" s="969">
        <f t="shared" ref="C209:AV209" si="439">C416</f>
      </c>
      <c r="D209" s="969">
        <f t="shared" si="439"/>
      </c>
      <c r="E209" s="969">
        <f t="shared" si="439"/>
      </c>
      <c r="F209" s="969">
        <f t="shared" si="439"/>
      </c>
      <c r="G209" s="759">
        <f t="shared" si="439"/>
      </c>
      <c r="H209" s="759">
        <f t="shared" si="439"/>
      </c>
      <c r="I209" s="759">
        <f t="shared" si="439"/>
      </c>
      <c r="J209" s="759">
        <f t="shared" si="439"/>
      </c>
      <c r="K209" s="969">
        <f t="shared" si="439"/>
      </c>
      <c r="L209" s="759">
        <f t="shared" si="439"/>
      </c>
      <c r="M209" s="759">
        <f t="shared" si="439"/>
      </c>
      <c r="N209" s="759">
        <f t="shared" si="439"/>
      </c>
      <c r="O209" s="759">
        <f t="shared" si="439"/>
      </c>
      <c r="P209" s="969">
        <f t="shared" si="439"/>
      </c>
      <c r="Q209" s="759">
        <f t="shared" si="439"/>
      </c>
      <c r="R209" s="759">
        <f t="shared" si="439"/>
      </c>
      <c r="S209" s="759">
        <f t="shared" si="439"/>
      </c>
      <c r="T209" s="759">
        <f t="shared" si="439"/>
      </c>
      <c r="U209" s="969">
        <f t="shared" si="439"/>
      </c>
      <c r="V209" s="759">
        <f t="shared" si="439"/>
      </c>
      <c r="W209" s="759">
        <f t="shared" si="439"/>
      </c>
      <c r="X209" s="759">
        <f t="shared" si="439"/>
      </c>
      <c r="Y209" s="759">
        <f t="shared" si="439"/>
      </c>
      <c r="Z209" s="969">
        <f t="shared" si="439"/>
      </c>
      <c r="AA209" s="759">
        <f t="shared" si="439"/>
      </c>
      <c r="AB209" s="759">
        <f t="shared" si="439"/>
      </c>
      <c r="AC209" s="759">
        <f t="shared" si="439"/>
      </c>
      <c r="AD209" s="759">
        <f t="shared" si="439"/>
      </c>
      <c r="AE209" s="969">
        <f t="shared" si="439"/>
      </c>
      <c r="AF209" s="759">
        <f t="shared" si="439"/>
      </c>
      <c r="AG209" s="759">
        <f t="shared" si="439"/>
      </c>
      <c r="AH209" s="759">
        <f t="shared" si="439"/>
      </c>
      <c r="AI209" s="759">
        <f t="shared" si="439"/>
      </c>
      <c r="AJ209" s="969">
        <f t="shared" si="439"/>
      </c>
      <c r="AK209" s="759">
        <f t="shared" si="439"/>
      </c>
      <c r="AL209" s="759">
        <f t="shared" si="439"/>
      </c>
      <c r="AM209" s="759">
        <f t="shared" si="439"/>
      </c>
      <c r="AN209" s="759">
        <f t="shared" si="439"/>
      </c>
      <c r="AO209" s="969">
        <f t="shared" si="439"/>
      </c>
      <c r="AP209" s="759">
        <f t="shared" si="439"/>
      </c>
      <c r="AQ209" s="759">
        <f t="shared" si="439"/>
      </c>
      <c r="AR209" s="759">
        <f t="shared" si="439"/>
      </c>
      <c r="AS209" s="759">
        <f t="shared" si="439"/>
      </c>
      <c r="AT209" s="969">
        <f t="shared" si="439"/>
      </c>
      <c r="AU209" s="759">
        <f t="shared" si="439"/>
      </c>
      <c r="AV209" s="759">
        <f t="shared" si="439"/>
      </c>
      <c r="AW209" s="759">
        <f t="shared" ref="AW209:BB209" si="440">AW416</f>
      </c>
      <c r="AX209" s="759">
        <f t="shared" si="440"/>
      </c>
      <c r="AY209" s="969">
        <f t="shared" si="440"/>
      </c>
      <c r="AZ209" s="759">
        <f t="shared" si="440"/>
      </c>
      <c r="BA209" s="759">
        <f t="shared" si="440"/>
      </c>
      <c r="BB209" s="759">
        <f t="shared" si="440"/>
      </c>
      <c r="BC209" s="759">
        <f t="shared" ref="BC209:BI209" si="441">BC416</f>
      </c>
      <c r="BD209" s="969">
        <f t="shared" si="441"/>
      </c>
      <c r="BE209" s="759">
        <f t="shared" si="441"/>
      </c>
      <c r="BF209" s="759">
        <f t="shared" si="441"/>
      </c>
      <c r="BG209" s="759">
        <f t="shared" si="441"/>
      </c>
      <c r="BH209" s="759">
        <f t="shared" si="441"/>
      </c>
      <c r="BI209" s="969">
        <f t="shared" si="441"/>
      </c>
      <c r="BJ209" s="759">
        <f t="shared" ref="BJ209:BO209" si="442">BJ416</f>
      </c>
      <c r="BK209" s="759">
        <f t="shared" si="442"/>
      </c>
      <c r="BL209" s="759">
        <f t="shared" si="442"/>
      </c>
      <c r="BM209" s="759">
        <f t="shared" si="442"/>
      </c>
      <c r="BN209" s="969">
        <f t="shared" si="442"/>
      </c>
      <c r="BO209" s="759">
        <f t="shared" si="442"/>
      </c>
      <c r="BP209" s="759">
        <f>BP416</f>
      </c>
      <c r="BQ209" s="759">
        <f>BQ416</f>
      </c>
      <c r="BR209" s="759">
        <f>BR416</f>
      </c>
      <c r="BS209" s="969">
        <f>BS416</f>
      </c>
      <c r="BT209" s="760">
        <f>BT416</f>
      </c>
      <c r="BU209" s="759">
        <f>BU194</f>
      </c>
      <c r="BV209" s="759">
        <f>BV194</f>
      </c>
      <c r="BW209" s="759">
        <f>BW194</f>
      </c>
      <c r="BX209" s="969">
        <f>SUM(BT209,BU209,BV209,BW209)</f>
      </c>
      <c r="BY209" s="759">
        <f>BY194</f>
      </c>
      <c r="BZ209" s="759">
        <f>BZ194</f>
      </c>
      <c r="CA209" s="759">
        <f>CA194</f>
      </c>
      <c r="CB209" s="759">
        <f>CB194</f>
      </c>
      <c r="CC209" s="969">
        <f>SUM(BY209,BZ209,CA209,CB209)</f>
      </c>
      <c r="CD209" s="969">
        <f>CD194</f>
      </c>
      <c r="CE209" s="969">
        <f>CE194</f>
      </c>
      <c r="CF209" s="969">
        <f>CF194</f>
      </c>
      <c r="CG209" s="183"/>
    </row>
    <row r="210" spans="1:85" s="587" customFormat="1" hidden="1" outlineLevel="1" x14ac:dyDescent="0.3">
      <c r="A210" s="429"/>
      <c r="B210" s="250"/>
      <c r="C210" s="969"/>
      <c r="D210" s="969"/>
      <c r="E210" s="969"/>
      <c r="F210" s="969"/>
      <c r="G210" s="759"/>
      <c r="H210" s="759"/>
      <c r="I210" s="759"/>
      <c r="J210" s="759"/>
      <c r="K210" s="969"/>
      <c r="L210" s="759"/>
      <c r="M210" s="759"/>
      <c r="N210" s="759"/>
      <c r="O210" s="759"/>
      <c r="P210" s="969"/>
      <c r="Q210" s="759"/>
      <c r="R210" s="759"/>
      <c r="S210" s="759"/>
      <c r="T210" s="759"/>
      <c r="U210" s="969"/>
      <c r="V210" s="759"/>
      <c r="W210" s="759"/>
      <c r="X210" s="759"/>
      <c r="Y210" s="759"/>
      <c r="Z210" s="969"/>
      <c r="AA210" s="759"/>
      <c r="AB210" s="759"/>
      <c r="AC210" s="759"/>
      <c r="AD210" s="759"/>
      <c r="AE210" s="969"/>
      <c r="AF210" s="759"/>
      <c r="AG210" s="759"/>
      <c r="AH210" s="759"/>
      <c r="AI210" s="759"/>
      <c r="AJ210" s="969"/>
      <c r="AK210" s="759"/>
      <c r="AL210" s="759"/>
      <c r="AM210" s="759"/>
      <c r="AN210" s="759"/>
      <c r="AO210" s="969"/>
      <c r="AP210" s="759"/>
      <c r="AQ210" s="759"/>
      <c r="AR210" s="759"/>
      <c r="AS210" s="759"/>
      <c r="AT210" s="969"/>
      <c r="AU210" s="759"/>
      <c r="AV210" s="759"/>
      <c r="AW210" s="759"/>
      <c r="AX210" s="759"/>
      <c r="AY210" s="969"/>
      <c r="AZ210" s="759"/>
      <c r="BA210" s="759"/>
      <c r="BB210" s="759"/>
      <c r="BC210" s="759"/>
      <c r="BD210" s="969"/>
      <c r="BE210" s="759"/>
      <c r="BF210" s="759"/>
      <c r="BG210" s="759"/>
      <c r="BH210" s="759"/>
      <c r="BI210" s="969"/>
      <c r="BJ210" s="759"/>
      <c r="BK210" s="759"/>
      <c r="BL210" s="759"/>
      <c r="BM210" s="759"/>
      <c r="BN210" s="969"/>
      <c r="BO210" s="759"/>
      <c r="BP210" s="759"/>
      <c r="BQ210" s="759"/>
      <c r="BR210" s="759"/>
      <c r="BS210" s="969"/>
      <c r="BT210" s="760"/>
      <c r="BU210" s="759"/>
      <c r="BV210" s="759"/>
      <c r="BW210" s="759"/>
      <c r="BX210" s="969"/>
      <c r="BY210" s="759"/>
      <c r="BZ210" s="759"/>
      <c r="CA210" s="759"/>
      <c r="CB210" s="759"/>
      <c r="CC210" s="969"/>
      <c r="CD210" s="969"/>
      <c r="CE210" s="969"/>
      <c r="CF210" s="969"/>
      <c r="CG210" s="183"/>
    </row>
    <row r="211" spans="1:85" s="587" customFormat="1" hidden="1" outlineLevel="1" x14ac:dyDescent="0.3">
      <c r="A211" s="436" t="s">
        <v>22</v>
      </c>
      <c r="B211" s="430"/>
      <c r="C211" s="962">
        <f t="shared" ref="C211:AW211" si="443">-C246</f>
      </c>
      <c r="D211" s="962">
        <f t="shared" si="443"/>
      </c>
      <c r="E211" s="962">
        <f t="shared" si="443"/>
      </c>
      <c r="F211" s="962">
        <f t="shared" si="443"/>
      </c>
      <c r="G211" s="757">
        <f t="shared" si="443"/>
      </c>
      <c r="H211" s="757">
        <f t="shared" si="443"/>
      </c>
      <c r="I211" s="757">
        <f t="shared" si="443"/>
      </c>
      <c r="J211" s="757">
        <f t="shared" si="443"/>
      </c>
      <c r="K211" s="962">
        <f t="shared" si="443"/>
      </c>
      <c r="L211" s="757">
        <f t="shared" si="443"/>
      </c>
      <c r="M211" s="757">
        <f t="shared" si="443"/>
      </c>
      <c r="N211" s="757">
        <f t="shared" si="443"/>
      </c>
      <c r="O211" s="757">
        <f t="shared" si="443"/>
      </c>
      <c r="P211" s="962">
        <f t="shared" si="443"/>
      </c>
      <c r="Q211" s="757">
        <f t="shared" si="443"/>
      </c>
      <c r="R211" s="757">
        <f t="shared" si="443"/>
      </c>
      <c r="S211" s="757">
        <f t="shared" si="443"/>
      </c>
      <c r="T211" s="757">
        <f t="shared" si="443"/>
      </c>
      <c r="U211" s="962">
        <f t="shared" si="443"/>
      </c>
      <c r="V211" s="757">
        <f t="shared" si="443"/>
      </c>
      <c r="W211" s="757">
        <f t="shared" si="443"/>
      </c>
      <c r="X211" s="757">
        <f t="shared" si="443"/>
      </c>
      <c r="Y211" s="757">
        <f t="shared" si="443"/>
      </c>
      <c r="Z211" s="962">
        <f t="shared" si="443"/>
      </c>
      <c r="AA211" s="757">
        <f t="shared" si="443"/>
      </c>
      <c r="AB211" s="757">
        <f t="shared" si="443"/>
      </c>
      <c r="AC211" s="757">
        <f t="shared" si="443"/>
      </c>
      <c r="AD211" s="757">
        <f t="shared" si="443"/>
      </c>
      <c r="AE211" s="962">
        <f t="shared" si="443"/>
      </c>
      <c r="AF211" s="757">
        <f t="shared" si="443"/>
      </c>
      <c r="AG211" s="757">
        <f t="shared" si="443"/>
      </c>
      <c r="AH211" s="757">
        <f t="shared" si="443"/>
      </c>
      <c r="AI211" s="757">
        <f t="shared" si="443"/>
      </c>
      <c r="AJ211" s="962">
        <f t="shared" si="443"/>
      </c>
      <c r="AK211" s="757">
        <f t="shared" si="443"/>
      </c>
      <c r="AL211" s="757">
        <f t="shared" si="443"/>
      </c>
      <c r="AM211" s="757">
        <f t="shared" si="443"/>
      </c>
      <c r="AN211" s="757">
        <f t="shared" si="443"/>
      </c>
      <c r="AO211" s="962">
        <f t="shared" si="443"/>
      </c>
      <c r="AP211" s="757">
        <f t="shared" si="443"/>
      </c>
      <c r="AQ211" s="757">
        <f t="shared" si="443"/>
      </c>
      <c r="AR211" s="757">
        <f t="shared" si="443"/>
      </c>
      <c r="AS211" s="757">
        <f t="shared" si="443"/>
      </c>
      <c r="AT211" s="962">
        <f t="shared" si="443"/>
      </c>
      <c r="AU211" s="757">
        <f t="shared" si="443"/>
      </c>
      <c r="AV211" s="757">
        <f t="shared" si="443"/>
      </c>
      <c r="AW211" s="757">
        <f t="shared" si="443"/>
      </c>
      <c r="AX211" s="757">
        <f t="shared" ref="AX211:AY211" si="444">-AX246</f>
      </c>
      <c r="AY211" s="962">
        <f t="shared" si="444"/>
      </c>
      <c r="AZ211" s="757">
        <f t="shared" ref="AZ211:BD211" si="445">-AZ246</f>
      </c>
      <c r="BA211" s="757">
        <f t="shared" si="445"/>
      </c>
      <c r="BB211" s="757">
        <f t="shared" si="445"/>
      </c>
      <c r="BC211" s="757">
        <f t="shared" si="445"/>
      </c>
      <c r="BD211" s="962">
        <f t="shared" si="445"/>
      </c>
      <c r="BE211" s="757">
        <f t="shared" ref="BE211:BI211" si="446">-BE246</f>
      </c>
      <c r="BF211" s="757">
        <f t="shared" si="446"/>
      </c>
      <c r="BG211" s="757">
        <f t="shared" si="446"/>
      </c>
      <c r="BH211" s="757">
        <f t="shared" si="446"/>
      </c>
      <c r="BI211" s="962">
        <f t="shared" si="446"/>
      </c>
      <c r="BJ211" s="757">
        <f t="shared" ref="BJ211:BN211" si="447">-BJ246</f>
      </c>
      <c r="BK211" s="757">
        <f t="shared" si="447"/>
      </c>
      <c r="BL211" s="757">
        <f t="shared" si="447"/>
      </c>
      <c r="BM211" s="757">
        <f t="shared" si="447"/>
      </c>
      <c r="BN211" s="962">
        <f t="shared" si="447"/>
      </c>
      <c r="BO211" s="757">
        <f t="shared" ref="BO211:BW211" si="448">-BO246</f>
      </c>
      <c r="BP211" s="757">
        <f t="shared" si="448"/>
      </c>
      <c r="BQ211" s="757">
        <f t="shared" si="448"/>
      </c>
      <c r="BR211" s="757">
        <f t="shared" si="448"/>
      </c>
      <c r="BS211" s="962">
        <f t="shared" si="448"/>
      </c>
      <c r="BT211" s="758">
        <f>-BT246</f>
      </c>
      <c r="BU211" s="757">
        <f t="shared" si="448"/>
      </c>
      <c r="BV211" s="757">
        <f t="shared" si="448"/>
      </c>
      <c r="BW211" s="757">
        <f t="shared" si="448"/>
      </c>
      <c r="BX211" s="962">
        <f>SUM(BT211,BU211,BV211,BW211)</f>
      </c>
      <c r="BY211" s="757">
        <f>-BY246</f>
      </c>
      <c r="BZ211" s="757">
        <f>-BZ246</f>
      </c>
      <c r="CA211" s="757">
        <f>-CA246</f>
      </c>
      <c r="CB211" s="757">
        <f>-CB246</f>
      </c>
      <c r="CC211" s="962">
        <f>SUM(BY211,BZ211,CA211,CB211)</f>
      </c>
      <c r="CD211" s="962">
        <f>-CD246</f>
      </c>
      <c r="CE211" s="962">
        <f>-CE246</f>
      </c>
      <c r="CF211" s="962">
        <f>-CF246</f>
      </c>
      <c r="CG211" s="459"/>
    </row>
    <row r="212" spans="1:85" s="587" customFormat="1" hidden="1" outlineLevel="1" x14ac:dyDescent="0.3">
      <c r="A212" s="554" t="s">
        <v>635</v>
      </c>
      <c r="B212" s="425"/>
      <c r="C212" s="984">
        <f t="shared" ref="C212:AW212" si="449">C213-C211</f>
      </c>
      <c r="D212" s="984">
        <f t="shared" si="449"/>
      </c>
      <c r="E212" s="984">
        <f t="shared" si="449"/>
      </c>
      <c r="F212" s="984">
        <f t="shared" si="449"/>
      </c>
      <c r="G212" s="761">
        <f t="shared" si="449"/>
      </c>
      <c r="H212" s="761">
        <f t="shared" si="449"/>
      </c>
      <c r="I212" s="761">
        <f t="shared" si="449"/>
      </c>
      <c r="J212" s="761">
        <f t="shared" si="449"/>
      </c>
      <c r="K212" s="984">
        <f t="shared" si="449"/>
      </c>
      <c r="L212" s="761">
        <f t="shared" si="449"/>
      </c>
      <c r="M212" s="761">
        <f t="shared" si="449"/>
      </c>
      <c r="N212" s="761">
        <f t="shared" si="449"/>
      </c>
      <c r="O212" s="761">
        <f t="shared" si="449"/>
      </c>
      <c r="P212" s="984">
        <f t="shared" si="449"/>
      </c>
      <c r="Q212" s="761">
        <f t="shared" si="449"/>
      </c>
      <c r="R212" s="761">
        <f t="shared" si="449"/>
      </c>
      <c r="S212" s="761">
        <f t="shared" si="449"/>
      </c>
      <c r="T212" s="761">
        <f t="shared" si="449"/>
      </c>
      <c r="U212" s="984">
        <f t="shared" si="449"/>
      </c>
      <c r="V212" s="761">
        <f t="shared" si="449"/>
      </c>
      <c r="W212" s="761">
        <f t="shared" si="449"/>
      </c>
      <c r="X212" s="761">
        <f t="shared" si="449"/>
      </c>
      <c r="Y212" s="761">
        <f t="shared" si="449"/>
      </c>
      <c r="Z212" s="984">
        <f t="shared" si="449"/>
      </c>
      <c r="AA212" s="761">
        <f t="shared" si="449"/>
      </c>
      <c r="AB212" s="761">
        <f t="shared" si="449"/>
      </c>
      <c r="AC212" s="761">
        <f t="shared" si="449"/>
      </c>
      <c r="AD212" s="761">
        <f t="shared" si="449"/>
      </c>
      <c r="AE212" s="984">
        <f t="shared" si="449"/>
      </c>
      <c r="AF212" s="761">
        <f t="shared" si="449"/>
      </c>
      <c r="AG212" s="761">
        <f t="shared" si="449"/>
      </c>
      <c r="AH212" s="761">
        <f t="shared" si="449"/>
      </c>
      <c r="AI212" s="761">
        <f t="shared" si="449"/>
      </c>
      <c r="AJ212" s="984">
        <f t="shared" si="449"/>
      </c>
      <c r="AK212" s="761">
        <f t="shared" si="449"/>
      </c>
      <c r="AL212" s="761">
        <f t="shared" si="449"/>
      </c>
      <c r="AM212" s="761">
        <f t="shared" si="449"/>
      </c>
      <c r="AN212" s="761">
        <f t="shared" si="449"/>
      </c>
      <c r="AO212" s="984">
        <f t="shared" si="449"/>
      </c>
      <c r="AP212" s="761">
        <f t="shared" si="449"/>
      </c>
      <c r="AQ212" s="761">
        <f t="shared" si="449"/>
      </c>
      <c r="AR212" s="761">
        <f t="shared" si="449"/>
      </c>
      <c r="AS212" s="761">
        <f t="shared" si="449"/>
      </c>
      <c r="AT212" s="984">
        <f t="shared" si="449"/>
      </c>
      <c r="AU212" s="761">
        <f t="shared" si="449"/>
      </c>
      <c r="AV212" s="761">
        <f t="shared" si="449"/>
      </c>
      <c r="AW212" s="761">
        <f t="shared" si="449"/>
      </c>
      <c r="AX212" s="761">
        <f t="shared" ref="AX212:BD212" si="450">AX213-AX211</f>
      </c>
      <c r="AY212" s="984">
        <f t="shared" si="450"/>
      </c>
      <c r="AZ212" s="761">
        <f t="shared" si="450"/>
      </c>
      <c r="BA212" s="761">
        <f t="shared" si="450"/>
      </c>
      <c r="BB212" s="761">
        <f t="shared" si="450"/>
      </c>
      <c r="BC212" s="761">
        <f t="shared" si="450"/>
      </c>
      <c r="BD212" s="984">
        <f t="shared" si="450"/>
      </c>
      <c r="BE212" s="761">
        <f t="shared" ref="BE212:BJ212" si="451">BE213-BE211</f>
      </c>
      <c r="BF212" s="761">
        <f t="shared" si="451"/>
      </c>
      <c r="BG212" s="761">
        <f t="shared" si="451"/>
      </c>
      <c r="BH212" s="761">
        <f t="shared" si="451"/>
      </c>
      <c r="BI212" s="984">
        <f t="shared" si="451"/>
      </c>
      <c r="BJ212" s="761">
        <f t="shared" si="451"/>
      </c>
      <c r="BK212" s="761">
        <f t="shared" ref="BK212:BP212" si="452">BK213-BK211</f>
      </c>
      <c r="BL212" s="761">
        <f t="shared" si="452"/>
      </c>
      <c r="BM212" s="761">
        <f t="shared" si="452"/>
      </c>
      <c r="BN212" s="984">
        <f t="shared" si="452"/>
      </c>
      <c r="BO212" s="761">
        <f t="shared" si="452"/>
      </c>
      <c r="BP212" s="761">
        <f t="shared" si="452"/>
      </c>
      <c r="BQ212" s="761">
        <f>BQ213-BQ211</f>
      </c>
      <c r="BR212" s="761">
        <f>BR213-BR211</f>
      </c>
      <c r="BS212" s="984">
        <f>BS213-BS211</f>
      </c>
      <c r="BT212" s="762">
        <f>BT213-BT211</f>
      </c>
      <c r="BU212" s="761">
        <f>BU209*BU214</f>
      </c>
      <c r="BV212" s="761">
        <f>BV209*BV214</f>
      </c>
      <c r="BW212" s="761">
        <f>BW209*BW214</f>
      </c>
      <c r="BX212" s="984">
        <f>SUM(BT212,BU212,BV212,BW212)</f>
      </c>
      <c r="BY212" s="761">
        <f>BY209*BY214</f>
      </c>
      <c r="BZ212" s="761">
        <f>BZ209*BZ214</f>
      </c>
      <c r="CA212" s="761">
        <f>CA209*CA214</f>
      </c>
      <c r="CB212" s="761">
        <f>CB209*CB214</f>
      </c>
      <c r="CC212" s="984">
        <f>SUM(BY212,BZ212,CA212,CB212)</f>
      </c>
      <c r="CD212" s="984">
        <f>CD209*CD214</f>
      </c>
      <c r="CE212" s="984">
        <f>CE209*CE214</f>
      </c>
      <c r="CF212" s="984">
        <f>CF209*CF214</f>
      </c>
      <c r="CG212" s="459"/>
    </row>
    <row r="213" spans="1:85" s="587" customFormat="1" hidden="1" outlineLevel="1" x14ac:dyDescent="0.3">
      <c r="A213" s="429" t="s">
        <v>12</v>
      </c>
      <c r="B213" s="250"/>
      <c r="C213" s="969">
        <f t="shared" ref="C213:AV213" si="453">C419</f>
      </c>
      <c r="D213" s="969">
        <f t="shared" si="453"/>
      </c>
      <c r="E213" s="969">
        <f t="shared" si="453"/>
      </c>
      <c r="F213" s="969">
        <f t="shared" si="453"/>
      </c>
      <c r="G213" s="759">
        <f t="shared" si="453"/>
      </c>
      <c r="H213" s="759">
        <f t="shared" si="453"/>
      </c>
      <c r="I213" s="759">
        <f t="shared" si="453"/>
      </c>
      <c r="J213" s="759">
        <f t="shared" si="453"/>
      </c>
      <c r="K213" s="969">
        <f t="shared" si="453"/>
      </c>
      <c r="L213" s="759">
        <f t="shared" si="453"/>
      </c>
      <c r="M213" s="759">
        <f t="shared" si="453"/>
      </c>
      <c r="N213" s="759">
        <f t="shared" si="453"/>
      </c>
      <c r="O213" s="759">
        <f t="shared" si="453"/>
      </c>
      <c r="P213" s="969">
        <f t="shared" si="453"/>
      </c>
      <c r="Q213" s="759">
        <f t="shared" si="453"/>
      </c>
      <c r="R213" s="759">
        <f t="shared" si="453"/>
      </c>
      <c r="S213" s="759">
        <f t="shared" si="453"/>
      </c>
      <c r="T213" s="759">
        <f t="shared" si="453"/>
      </c>
      <c r="U213" s="969">
        <f t="shared" si="453"/>
      </c>
      <c r="V213" s="759">
        <f t="shared" si="453"/>
      </c>
      <c r="W213" s="759">
        <f t="shared" si="453"/>
      </c>
      <c r="X213" s="759">
        <f t="shared" si="453"/>
      </c>
      <c r="Y213" s="759">
        <f t="shared" si="453"/>
      </c>
      <c r="Z213" s="969">
        <f t="shared" si="453"/>
      </c>
      <c r="AA213" s="759">
        <f t="shared" si="453"/>
      </c>
      <c r="AB213" s="759">
        <f t="shared" si="453"/>
      </c>
      <c r="AC213" s="759">
        <f t="shared" si="453"/>
      </c>
      <c r="AD213" s="759">
        <f t="shared" si="453"/>
      </c>
      <c r="AE213" s="969">
        <f t="shared" si="453"/>
      </c>
      <c r="AF213" s="759">
        <f t="shared" si="453"/>
      </c>
      <c r="AG213" s="759">
        <f t="shared" si="453"/>
      </c>
      <c r="AH213" s="759">
        <f t="shared" si="453"/>
      </c>
      <c r="AI213" s="759">
        <f t="shared" si="453"/>
      </c>
      <c r="AJ213" s="969">
        <f t="shared" si="453"/>
      </c>
      <c r="AK213" s="759">
        <f t="shared" si="453"/>
      </c>
      <c r="AL213" s="759">
        <f t="shared" si="453"/>
      </c>
      <c r="AM213" s="759">
        <f t="shared" si="453"/>
      </c>
      <c r="AN213" s="759">
        <f t="shared" si="453"/>
      </c>
      <c r="AO213" s="969">
        <f t="shared" si="453"/>
      </c>
      <c r="AP213" s="759">
        <f t="shared" si="453"/>
      </c>
      <c r="AQ213" s="759">
        <f t="shared" si="453"/>
      </c>
      <c r="AR213" s="759">
        <f t="shared" si="453"/>
      </c>
      <c r="AS213" s="759">
        <f t="shared" si="453"/>
      </c>
      <c r="AT213" s="969">
        <f t="shared" si="453"/>
      </c>
      <c r="AU213" s="759">
        <f t="shared" si="453"/>
      </c>
      <c r="AV213" s="759">
        <f t="shared" si="453"/>
      </c>
      <c r="AW213" s="759">
        <f t="shared" ref="AW213:BB213" si="454">AW419</f>
      </c>
      <c r="AX213" s="759">
        <f t="shared" si="454"/>
      </c>
      <c r="AY213" s="969">
        <f t="shared" si="454"/>
      </c>
      <c r="AZ213" s="759">
        <f t="shared" si="454"/>
      </c>
      <c r="BA213" s="759">
        <f t="shared" si="454"/>
      </c>
      <c r="BB213" s="759">
        <f t="shared" si="454"/>
      </c>
      <c r="BC213" s="759">
        <f t="shared" ref="BC213:BI213" si="455">BC419</f>
      </c>
      <c r="BD213" s="969">
        <f t="shared" si="455"/>
      </c>
      <c r="BE213" s="759">
        <f t="shared" si="455"/>
      </c>
      <c r="BF213" s="759">
        <f t="shared" si="455"/>
      </c>
      <c r="BG213" s="759">
        <f t="shared" si="455"/>
      </c>
      <c r="BH213" s="759">
        <f t="shared" si="455"/>
      </c>
      <c r="BI213" s="969">
        <f t="shared" si="455"/>
      </c>
      <c r="BJ213" s="759">
        <f t="shared" ref="BJ213:BO213" si="456">BJ419</f>
      </c>
      <c r="BK213" s="759">
        <f t="shared" si="456"/>
      </c>
      <c r="BL213" s="759">
        <f t="shared" si="456"/>
      </c>
      <c r="BM213" s="759">
        <f t="shared" si="456"/>
      </c>
      <c r="BN213" s="969">
        <f t="shared" si="456"/>
      </c>
      <c r="BO213" s="759">
        <f t="shared" si="456"/>
      </c>
      <c r="BP213" s="759">
        <f>BP419</f>
      </c>
      <c r="BQ213" s="759">
        <f>BQ419</f>
      </c>
      <c r="BR213" s="759">
        <f>BR419</f>
      </c>
      <c r="BS213" s="969">
        <f>BS419</f>
      </c>
      <c r="BT213" s="760">
        <f>BT419</f>
      </c>
      <c r="BU213" s="759">
        <f>BU211+BU212</f>
      </c>
      <c r="BV213" s="759">
        <f>BV211+BV212</f>
      </c>
      <c r="BW213" s="759">
        <f>BW211+BW212</f>
      </c>
      <c r="BX213" s="969">
        <f t="shared" ref="BX213" si="457">BX211+BX212</f>
      </c>
      <c r="BY213" s="759">
        <f t="shared" ref="BY213:CF213" si="458">BY211+BY212</f>
      </c>
      <c r="BZ213" s="759">
        <f t="shared" si="458"/>
      </c>
      <c r="CA213" s="759">
        <f t="shared" si="458"/>
      </c>
      <c r="CB213" s="759">
        <f t="shared" si="458"/>
      </c>
      <c r="CC213" s="969">
        <f t="shared" si="458"/>
      </c>
      <c r="CD213" s="969">
        <f t="shared" si="458"/>
      </c>
      <c r="CE213" s="969">
        <f t="shared" si="458"/>
      </c>
      <c r="CF213" s="969">
        <f t="shared" si="458"/>
      </c>
      <c r="CG213" s="183"/>
    </row>
    <row r="214" spans="1:85" s="590" customFormat="1" hidden="1" outlineLevel="1" x14ac:dyDescent="0.3">
      <c r="A214" s="278" t="s">
        <v>636</v>
      </c>
      <c r="B214" s="251"/>
      <c r="C214" s="973">
        <f t="shared" ref="C214:AW214" si="459">C212/C209</f>
      </c>
      <c r="D214" s="973">
        <f t="shared" si="459"/>
      </c>
      <c r="E214" s="973">
        <f t="shared" si="459"/>
      </c>
      <c r="F214" s="973">
        <f t="shared" si="459"/>
      </c>
      <c r="G214" s="59">
        <f t="shared" si="459"/>
      </c>
      <c r="H214" s="59">
        <f t="shared" si="459"/>
      </c>
      <c r="I214" s="59">
        <f t="shared" si="459"/>
      </c>
      <c r="J214" s="59">
        <f t="shared" si="459"/>
      </c>
      <c r="K214" s="973">
        <f t="shared" si="459"/>
      </c>
      <c r="L214" s="59">
        <f t="shared" si="459"/>
      </c>
      <c r="M214" s="59">
        <f t="shared" si="459"/>
      </c>
      <c r="N214" s="59">
        <f t="shared" si="459"/>
      </c>
      <c r="O214" s="59">
        <f t="shared" si="459"/>
      </c>
      <c r="P214" s="973">
        <f t="shared" si="459"/>
      </c>
      <c r="Q214" s="59">
        <f t="shared" si="459"/>
      </c>
      <c r="R214" s="59">
        <f t="shared" si="459"/>
      </c>
      <c r="S214" s="59">
        <f t="shared" si="459"/>
      </c>
      <c r="T214" s="59">
        <f t="shared" si="459"/>
      </c>
      <c r="U214" s="973">
        <f t="shared" si="459"/>
      </c>
      <c r="V214" s="59">
        <f t="shared" si="459"/>
      </c>
      <c r="W214" s="59">
        <f t="shared" si="459"/>
      </c>
      <c r="X214" s="59">
        <f t="shared" si="459"/>
      </c>
      <c r="Y214" s="59">
        <f t="shared" si="459"/>
      </c>
      <c r="Z214" s="973">
        <f t="shared" si="459"/>
      </c>
      <c r="AA214" s="59">
        <f t="shared" si="459"/>
      </c>
      <c r="AB214" s="59">
        <f t="shared" si="459"/>
      </c>
      <c r="AC214" s="59">
        <f t="shared" si="459"/>
      </c>
      <c r="AD214" s="59">
        <f t="shared" si="459"/>
      </c>
      <c r="AE214" s="973">
        <f t="shared" si="459"/>
      </c>
      <c r="AF214" s="59">
        <f t="shared" si="459"/>
      </c>
      <c r="AG214" s="59">
        <f t="shared" si="459"/>
      </c>
      <c r="AH214" s="59">
        <f t="shared" si="459"/>
      </c>
      <c r="AI214" s="59">
        <f t="shared" si="459"/>
      </c>
      <c r="AJ214" s="973">
        <f t="shared" si="459"/>
      </c>
      <c r="AK214" s="59">
        <f t="shared" si="459"/>
      </c>
      <c r="AL214" s="59">
        <f t="shared" si="459"/>
      </c>
      <c r="AM214" s="59">
        <f t="shared" si="459"/>
      </c>
      <c r="AN214" s="59">
        <f t="shared" si="459"/>
      </c>
      <c r="AO214" s="973">
        <f t="shared" si="459"/>
      </c>
      <c r="AP214" s="59">
        <f t="shared" si="459"/>
      </c>
      <c r="AQ214" s="59">
        <f t="shared" si="459"/>
      </c>
      <c r="AR214" s="59">
        <f t="shared" si="459"/>
      </c>
      <c r="AS214" s="59">
        <f t="shared" si="459"/>
      </c>
      <c r="AT214" s="973">
        <f t="shared" si="459"/>
      </c>
      <c r="AU214" s="59">
        <f t="shared" si="459"/>
      </c>
      <c r="AV214" s="59">
        <f t="shared" si="459"/>
      </c>
      <c r="AW214" s="59">
        <f t="shared" si="459"/>
      </c>
      <c r="AX214" s="59">
        <f t="shared" ref="AX214:BD214" si="460">AX212/AX209</f>
      </c>
      <c r="AY214" s="973">
        <f t="shared" si="460"/>
      </c>
      <c r="AZ214" s="59">
        <f t="shared" si="460"/>
      </c>
      <c r="BA214" s="59">
        <f t="shared" si="460"/>
      </c>
      <c r="BB214" s="59">
        <f t="shared" si="460"/>
      </c>
      <c r="BC214" s="59">
        <f t="shared" si="460"/>
      </c>
      <c r="BD214" s="973">
        <f t="shared" si="460"/>
      </c>
      <c r="BE214" s="59">
        <f t="shared" ref="BE214:BJ214" si="461">BE212/BE209</f>
      </c>
      <c r="BF214" s="59">
        <f t="shared" si="461"/>
      </c>
      <c r="BG214" s="59">
        <f t="shared" si="461"/>
      </c>
      <c r="BH214" s="59">
        <f t="shared" si="461"/>
      </c>
      <c r="BI214" s="973">
        <f t="shared" si="461"/>
      </c>
      <c r="BJ214" s="59">
        <f t="shared" si="461"/>
      </c>
      <c r="BK214" s="59">
        <f t="shared" ref="BK214:BP214" si="462">BK212/BK209</f>
      </c>
      <c r="BL214" s="59">
        <f t="shared" si="462"/>
      </c>
      <c r="BM214" s="59">
        <f t="shared" si="462"/>
      </c>
      <c r="BN214" s="973">
        <f t="shared" si="462"/>
      </c>
      <c r="BO214" s="59">
        <f t="shared" si="462"/>
      </c>
      <c r="BP214" s="59">
        <f t="shared" si="462"/>
      </c>
      <c r="BQ214" s="59">
        <f>BQ212/BQ209</f>
      </c>
      <c r="BR214" s="59">
        <f>BR212/BR209</f>
      </c>
      <c r="BS214" s="973">
        <f>BS212/BS209</f>
      </c>
      <c r="BT214" s="675">
        <f>BT212/BT209</f>
      </c>
      <c r="BU214" s="59">
        <f>-BU215/10000+BP214</f>
      </c>
      <c r="BV214" s="59">
        <f>-BV215/10000+BQ214</f>
      </c>
      <c r="BW214" s="59">
        <f>-BW215/10000+BR214</f>
      </c>
      <c r="BX214" s="973">
        <f>BX212/BX209</f>
      </c>
      <c r="BY214" s="59">
        <f>-BY215/10000+BT214</f>
      </c>
      <c r="BZ214" s="59">
        <f>-BZ215/10000+BU214</f>
      </c>
      <c r="CA214" s="59">
        <f>-CA215/10000+BV214</f>
      </c>
      <c r="CB214" s="59">
        <f>-CB215/10000+BW214</f>
      </c>
      <c r="CC214" s="973">
        <f>CC212/CC209</f>
      </c>
      <c r="CD214" s="973">
        <f>-CD215/10000+CC214</f>
      </c>
      <c r="CE214" s="973">
        <f>-CE215/10000+CD214</f>
      </c>
      <c r="CF214" s="973">
        <f>-CF215/10000+CE214</f>
      </c>
      <c r="CG214" s="8"/>
    </row>
    <row r="215" spans="1:85" s="582" customFormat="1" hidden="1" outlineLevel="1" x14ac:dyDescent="0.3">
      <c r="A215" s="328" t="s">
        <v>637</v>
      </c>
      <c r="B215" s="242"/>
      <c r="C215" s="950"/>
      <c r="D215" s="950">
        <f>-(D214-C214)*10000</f>
      </c>
      <c r="E215" s="950">
        <f>-(E214-D214)*10000</f>
      </c>
      <c r="F215" s="950">
        <f>-(F214-E214)*10000</f>
      </c>
      <c r="G215" s="204"/>
      <c r="H215" s="204"/>
      <c r="I215" s="204"/>
      <c r="J215" s="204"/>
      <c r="K215" s="950">
        <f t="shared" ref="K215:AP215" si="463">-(K214-F214)*10000</f>
      </c>
      <c r="L215" s="204">
        <f t="shared" si="463"/>
      </c>
      <c r="M215" s="204">
        <f t="shared" si="463"/>
      </c>
      <c r="N215" s="204">
        <f t="shared" si="463"/>
      </c>
      <c r="O215" s="204">
        <f t="shared" si="463"/>
      </c>
      <c r="P215" s="950">
        <f t="shared" si="463"/>
      </c>
      <c r="Q215" s="204">
        <f t="shared" si="463"/>
      </c>
      <c r="R215" s="204">
        <f t="shared" si="463"/>
      </c>
      <c r="S215" s="204">
        <f t="shared" si="463"/>
      </c>
      <c r="T215" s="204">
        <f t="shared" si="463"/>
      </c>
      <c r="U215" s="950">
        <f t="shared" si="463"/>
      </c>
      <c r="V215" s="204">
        <f t="shared" si="463"/>
      </c>
      <c r="W215" s="204">
        <f t="shared" si="463"/>
      </c>
      <c r="X215" s="204">
        <f t="shared" si="463"/>
      </c>
      <c r="Y215" s="204">
        <f t="shared" si="463"/>
      </c>
      <c r="Z215" s="950">
        <f t="shared" si="463"/>
      </c>
      <c r="AA215" s="204">
        <f t="shared" si="463"/>
      </c>
      <c r="AB215" s="204">
        <f t="shared" si="463"/>
      </c>
      <c r="AC215" s="204">
        <f t="shared" si="463"/>
      </c>
      <c r="AD215" s="204">
        <f t="shared" si="463"/>
      </c>
      <c r="AE215" s="950">
        <f t="shared" si="463"/>
      </c>
      <c r="AF215" s="204">
        <f t="shared" si="463"/>
      </c>
      <c r="AG215" s="204">
        <f t="shared" si="463"/>
      </c>
      <c r="AH215" s="204">
        <f t="shared" si="463"/>
      </c>
      <c r="AI215" s="204">
        <f t="shared" si="463"/>
      </c>
      <c r="AJ215" s="950">
        <f t="shared" si="463"/>
      </c>
      <c r="AK215" s="204">
        <f t="shared" si="463"/>
      </c>
      <c r="AL215" s="204">
        <f t="shared" si="463"/>
      </c>
      <c r="AM215" s="204">
        <f t="shared" si="463"/>
      </c>
      <c r="AN215" s="204">
        <f t="shared" si="463"/>
      </c>
      <c r="AO215" s="950">
        <f t="shared" si="463"/>
      </c>
      <c r="AP215" s="204">
        <f t="shared" si="463"/>
      </c>
      <c r="AQ215" s="204">
        <f t="shared" ref="AQ215:BK215" si="464">-(AQ214-AL214)*10000</f>
      </c>
      <c r="AR215" s="204">
        <f t="shared" si="464"/>
      </c>
      <c r="AS215" s="204">
        <f t="shared" si="464"/>
      </c>
      <c r="AT215" s="950">
        <f t="shared" si="464"/>
      </c>
      <c r="AU215" s="204">
        <f t="shared" si="464"/>
      </c>
      <c r="AV215" s="204">
        <f t="shared" si="464"/>
      </c>
      <c r="AW215" s="204">
        <f t="shared" si="464"/>
      </c>
      <c r="AX215" s="204">
        <f t="shared" si="464"/>
      </c>
      <c r="AY215" s="950">
        <f t="shared" si="464"/>
      </c>
      <c r="AZ215" s="204">
        <f t="shared" si="464"/>
      </c>
      <c r="BA215" s="204">
        <f t="shared" si="464"/>
      </c>
      <c r="BB215" s="204">
        <f t="shared" si="464"/>
      </c>
      <c r="BC215" s="204">
        <f t="shared" si="464"/>
      </c>
      <c r="BD215" s="950">
        <f t="shared" si="464"/>
      </c>
      <c r="BE215" s="204">
        <f t="shared" si="464"/>
      </c>
      <c r="BF215" s="204">
        <f t="shared" si="464"/>
      </c>
      <c r="BG215" s="204">
        <f t="shared" si="464"/>
      </c>
      <c r="BH215" s="204">
        <f t="shared" si="464"/>
      </c>
      <c r="BI215" s="950">
        <f t="shared" si="464"/>
      </c>
      <c r="BJ215" s="204">
        <f t="shared" si="464"/>
      </c>
      <c r="BK215" s="204">
        <f t="shared" si="464"/>
      </c>
      <c r="BL215" s="204">
        <f t="shared" ref="BL215:BQ215" si="465">-(BL214-BG214)*10000</f>
      </c>
      <c r="BM215" s="204">
        <f t="shared" si="465"/>
      </c>
      <c r="BN215" s="950">
        <f t="shared" si="465"/>
      </c>
      <c r="BO215" s="204">
        <f t="shared" si="465"/>
      </c>
      <c r="BP215" s="204">
        <f t="shared" si="465"/>
      </c>
      <c r="BQ215" s="204">
        <f t="shared" si="465"/>
      </c>
      <c r="BR215" s="204">
        <f>-(BR214-BM214)*10000</f>
      </c>
      <c r="BS215" s="950">
        <f>-(BS214-BN214)*10000</f>
      </c>
      <c r="BT215" s="294">
        <f>-(BT214-BO214)*10000</f>
      </c>
      <c r="BU215" s="850">
        <v>-300</v>
      </c>
      <c r="BV215" s="850">
        <v>-50</v>
      </c>
      <c r="BW215" s="850">
        <v>-250</v>
      </c>
      <c r="BX215" s="950">
        <f>-(BX214-BS214)*10000</f>
      </c>
      <c r="BY215" s="850">
        <v>-350</v>
      </c>
      <c r="BZ215" s="850">
        <v>-350</v>
      </c>
      <c r="CA215" s="850">
        <v>-180</v>
      </c>
      <c r="CB215" s="850">
        <v>-150</v>
      </c>
      <c r="CC215" s="950">
        <f>-(CC214-BX214)*10000</f>
      </c>
      <c r="CD215" s="951">
        <v>-50</v>
      </c>
      <c r="CE215" s="951">
        <v>20</v>
      </c>
      <c r="CF215" s="951">
        <v>20</v>
      </c>
      <c r="CG215" s="131"/>
    </row>
    <row r="216" spans="1:85" s="587" customFormat="1" hidden="1" outlineLevel="1" x14ac:dyDescent="0.3">
      <c r="A216" s="429"/>
      <c r="B216" s="250"/>
      <c r="C216" s="969"/>
      <c r="D216" s="969"/>
      <c r="E216" s="969"/>
      <c r="F216" s="969"/>
      <c r="G216" s="759"/>
      <c r="H216" s="759"/>
      <c r="I216" s="759"/>
      <c r="J216" s="759"/>
      <c r="K216" s="969"/>
      <c r="L216" s="759"/>
      <c r="M216" s="759"/>
      <c r="N216" s="759"/>
      <c r="O216" s="759"/>
      <c r="P216" s="969"/>
      <c r="Q216" s="759"/>
      <c r="R216" s="759"/>
      <c r="S216" s="759"/>
      <c r="T216" s="759"/>
      <c r="U216" s="969"/>
      <c r="V216" s="759"/>
      <c r="W216" s="759"/>
      <c r="X216" s="759"/>
      <c r="Y216" s="759"/>
      <c r="Z216" s="969"/>
      <c r="AA216" s="759"/>
      <c r="AB216" s="759"/>
      <c r="AC216" s="759"/>
      <c r="AD216" s="759"/>
      <c r="AE216" s="969"/>
      <c r="AF216" s="759"/>
      <c r="AG216" s="759"/>
      <c r="AH216" s="759"/>
      <c r="AI216" s="759"/>
      <c r="AJ216" s="969"/>
      <c r="AK216" s="759"/>
      <c r="AL216" s="759"/>
      <c r="AM216" s="759"/>
      <c r="AN216" s="759"/>
      <c r="AO216" s="969"/>
      <c r="AP216" s="759"/>
      <c r="AQ216" s="759"/>
      <c r="AR216" s="759"/>
      <c r="AS216" s="759"/>
      <c r="AT216" s="969"/>
      <c r="AU216" s="759"/>
      <c r="AV216" s="759"/>
      <c r="AW216" s="759"/>
      <c r="AX216" s="759"/>
      <c r="AY216" s="969"/>
      <c r="AZ216" s="759"/>
      <c r="BA216" s="759"/>
      <c r="BB216" s="759"/>
      <c r="BC216" s="759"/>
      <c r="BD216" s="969"/>
      <c r="BE216" s="759"/>
      <c r="BF216" s="759"/>
      <c r="BG216" s="759"/>
      <c r="BH216" s="759"/>
      <c r="BI216" s="969"/>
      <c r="BJ216" s="759"/>
      <c r="BK216" s="759"/>
      <c r="BL216" s="759"/>
      <c r="BM216" s="759"/>
      <c r="BN216" s="969"/>
      <c r="BO216" s="759"/>
      <c r="BP216" s="759"/>
      <c r="BQ216" s="759"/>
      <c r="BR216" s="759"/>
      <c r="BS216" s="969"/>
      <c r="BT216" s="760"/>
      <c r="BU216" s="759"/>
      <c r="BV216" s="759"/>
      <c r="BW216" s="759"/>
      <c r="BX216" s="969"/>
      <c r="BY216" s="759"/>
      <c r="BZ216" s="759"/>
      <c r="CA216" s="759"/>
      <c r="CB216" s="759"/>
      <c r="CC216" s="969"/>
      <c r="CD216" s="969"/>
      <c r="CE216" s="969"/>
      <c r="CF216" s="969"/>
      <c r="CG216" s="183"/>
    </row>
    <row r="217" spans="1:85" s="587" customFormat="1" collapsed="1" x14ac:dyDescent="0.3">
      <c r="A217" s="429" t="s">
        <v>619</v>
      </c>
      <c r="B217" s="250"/>
      <c r="C217" s="969">
        <f t="shared" ref="C217:BJ217" si="466">C209-C213</f>
      </c>
      <c r="D217" s="969">
        <f t="shared" si="466"/>
      </c>
      <c r="E217" s="969">
        <f t="shared" si="466"/>
      </c>
      <c r="F217" s="969">
        <f t="shared" si="466"/>
      </c>
      <c r="G217" s="759">
        <f t="shared" si="466"/>
      </c>
      <c r="H217" s="759">
        <f t="shared" si="466"/>
      </c>
      <c r="I217" s="759">
        <f t="shared" si="466"/>
      </c>
      <c r="J217" s="759">
        <f t="shared" si="466"/>
      </c>
      <c r="K217" s="969">
        <f t="shared" si="466"/>
      </c>
      <c r="L217" s="759">
        <f t="shared" si="466"/>
      </c>
      <c r="M217" s="759">
        <f t="shared" si="466"/>
      </c>
      <c r="N217" s="759">
        <f t="shared" si="466"/>
      </c>
      <c r="O217" s="759">
        <f t="shared" si="466"/>
      </c>
      <c r="P217" s="969">
        <f t="shared" si="466"/>
      </c>
      <c r="Q217" s="759">
        <f t="shared" si="466"/>
      </c>
      <c r="R217" s="759">
        <f t="shared" si="466"/>
      </c>
      <c r="S217" s="759">
        <f t="shared" si="466"/>
      </c>
      <c r="T217" s="759">
        <f t="shared" si="466"/>
      </c>
      <c r="U217" s="969">
        <f t="shared" si="466"/>
      </c>
      <c r="V217" s="759">
        <f t="shared" si="466"/>
      </c>
      <c r="W217" s="759">
        <f t="shared" si="466"/>
      </c>
      <c r="X217" s="759">
        <f t="shared" si="466"/>
      </c>
      <c r="Y217" s="759">
        <f t="shared" si="466"/>
      </c>
      <c r="Z217" s="969">
        <f t="shared" si="466"/>
      </c>
      <c r="AA217" s="759">
        <f t="shared" si="466"/>
      </c>
      <c r="AB217" s="759">
        <f t="shared" si="466"/>
      </c>
      <c r="AC217" s="759">
        <f t="shared" si="466"/>
      </c>
      <c r="AD217" s="759">
        <f t="shared" si="466"/>
      </c>
      <c r="AE217" s="969">
        <f t="shared" si="466"/>
      </c>
      <c r="AF217" s="759">
        <f t="shared" si="466"/>
      </c>
      <c r="AG217" s="759">
        <f t="shared" si="466"/>
      </c>
      <c r="AH217" s="759">
        <f t="shared" si="466"/>
      </c>
      <c r="AI217" s="759">
        <f t="shared" si="466"/>
      </c>
      <c r="AJ217" s="969">
        <f t="shared" si="466"/>
      </c>
      <c r="AK217" s="759">
        <f t="shared" si="466"/>
      </c>
      <c r="AL217" s="759">
        <f t="shared" si="466"/>
      </c>
      <c r="AM217" s="759">
        <f t="shared" si="466"/>
      </c>
      <c r="AN217" s="759">
        <f t="shared" si="466"/>
      </c>
      <c r="AO217" s="969">
        <f t="shared" si="466"/>
      </c>
      <c r="AP217" s="759">
        <f t="shared" si="466"/>
      </c>
      <c r="AQ217" s="759">
        <f t="shared" si="466"/>
      </c>
      <c r="AR217" s="759">
        <f t="shared" si="466"/>
      </c>
      <c r="AS217" s="759">
        <f t="shared" si="466"/>
      </c>
      <c r="AT217" s="969">
        <f t="shared" si="466"/>
      </c>
      <c r="AU217" s="759">
        <f t="shared" si="466"/>
      </c>
      <c r="AV217" s="759">
        <f t="shared" si="466"/>
      </c>
      <c r="AW217" s="759">
        <f t="shared" si="466"/>
      </c>
      <c r="AX217" s="759">
        <f t="shared" si="466"/>
      </c>
      <c r="AY217" s="969">
        <f t="shared" si="466"/>
      </c>
      <c r="AZ217" s="759">
        <f t="shared" si="466"/>
      </c>
      <c r="BA217" s="759">
        <f t="shared" si="466"/>
      </c>
      <c r="BB217" s="759">
        <f t="shared" si="466"/>
      </c>
      <c r="BC217" s="759">
        <f t="shared" si="466"/>
      </c>
      <c r="BD217" s="969">
        <f t="shared" si="466"/>
      </c>
      <c r="BE217" s="759">
        <f t="shared" si="466"/>
      </c>
      <c r="BF217" s="759">
        <f t="shared" si="466"/>
      </c>
      <c r="BG217" s="759">
        <f t="shared" si="466"/>
      </c>
      <c r="BH217" s="759">
        <f t="shared" si="466"/>
      </c>
      <c r="BI217" s="969">
        <f t="shared" si="466"/>
      </c>
      <c r="BJ217" s="759">
        <f t="shared" si="466"/>
      </c>
      <c r="BK217" s="759">
        <f t="shared" ref="BK217" si="467">BK209-BK213</f>
      </c>
      <c r="BL217" s="759">
        <f t="shared" ref="BL217:BN217" si="468">BL209-BL213</f>
      </c>
      <c r="BM217" s="759">
        <f t="shared" si="468"/>
      </c>
      <c r="BN217" s="969">
        <f t="shared" si="468"/>
      </c>
      <c r="BO217" s="759">
        <f t="shared" ref="BO217:CF217" si="469">BO209-BO213</f>
      </c>
      <c r="BP217" s="759">
        <f t="shared" si="469"/>
      </c>
      <c r="BQ217" s="759">
        <f t="shared" si="469"/>
      </c>
      <c r="BR217" s="759">
        <f t="shared" si="469"/>
      </c>
      <c r="BS217" s="969">
        <f t="shared" si="469"/>
      </c>
      <c r="BT217" s="760">
        <f>BT209-BT213</f>
      </c>
      <c r="BU217" s="759">
        <f t="shared" si="469"/>
      </c>
      <c r="BV217" s="759">
        <f t="shared" si="469"/>
      </c>
      <c r="BW217" s="759">
        <f t="shared" si="469"/>
      </c>
      <c r="BX217" s="969">
        <f t="shared" si="469"/>
      </c>
      <c r="BY217" s="759">
        <f t="shared" si="469"/>
      </c>
      <c r="BZ217" s="759">
        <f t="shared" si="469"/>
      </c>
      <c r="CA217" s="759">
        <f t="shared" si="469"/>
      </c>
      <c r="CB217" s="759">
        <f t="shared" si="469"/>
      </c>
      <c r="CC217" s="969">
        <f t="shared" si="469"/>
      </c>
      <c r="CD217" s="969">
        <f t="shared" si="469"/>
      </c>
      <c r="CE217" s="969">
        <f t="shared" si="469"/>
      </c>
      <c r="CF217" s="969">
        <f t="shared" si="469"/>
      </c>
      <c r="CG217" s="183"/>
    </row>
    <row r="218" spans="1:85" s="586" customFormat="1" x14ac:dyDescent="0.3">
      <c r="A218" s="69" t="s">
        <v>620</v>
      </c>
      <c r="B218" s="311"/>
      <c r="C218" s="935"/>
      <c r="D218" s="935">
        <f>D217/C217-1</f>
      </c>
      <c r="E218" s="935">
        <f>E217/D217-1</f>
      </c>
      <c r="F218" s="935">
        <f>F217/E217-1</f>
      </c>
      <c r="G218" s="58"/>
      <c r="H218" s="58"/>
      <c r="I218" s="58"/>
      <c r="J218" s="58"/>
      <c r="K218" s="935">
        <f t="shared" ref="K218:AW218" si="470">K217/F217-1</f>
      </c>
      <c r="L218" s="58">
        <f t="shared" si="470"/>
      </c>
      <c r="M218" s="58">
        <f t="shared" si="470"/>
      </c>
      <c r="N218" s="58">
        <f t="shared" si="470"/>
      </c>
      <c r="O218" s="58">
        <f t="shared" si="470"/>
      </c>
      <c r="P218" s="935">
        <f t="shared" si="470"/>
      </c>
      <c r="Q218" s="58">
        <f t="shared" si="470"/>
      </c>
      <c r="R218" s="58">
        <f t="shared" si="470"/>
      </c>
      <c r="S218" s="58">
        <f t="shared" si="470"/>
      </c>
      <c r="T218" s="58">
        <f t="shared" si="470"/>
      </c>
      <c r="U218" s="935">
        <f t="shared" si="470"/>
      </c>
      <c r="V218" s="58">
        <f t="shared" si="470"/>
      </c>
      <c r="W218" s="58">
        <f t="shared" si="470"/>
      </c>
      <c r="X218" s="58">
        <f t="shared" si="470"/>
      </c>
      <c r="Y218" s="58">
        <f t="shared" si="470"/>
      </c>
      <c r="Z218" s="935">
        <f t="shared" si="470"/>
      </c>
      <c r="AA218" s="58">
        <f t="shared" si="470"/>
      </c>
      <c r="AB218" s="58">
        <f t="shared" si="470"/>
      </c>
      <c r="AC218" s="58">
        <f t="shared" si="470"/>
      </c>
      <c r="AD218" s="58">
        <f t="shared" si="470"/>
      </c>
      <c r="AE218" s="935">
        <f t="shared" si="470"/>
      </c>
      <c r="AF218" s="58">
        <f t="shared" si="470"/>
      </c>
      <c r="AG218" s="58">
        <f t="shared" si="470"/>
      </c>
      <c r="AH218" s="58">
        <f t="shared" si="470"/>
      </c>
      <c r="AI218" s="58">
        <f t="shared" si="470"/>
      </c>
      <c r="AJ218" s="935">
        <f t="shared" si="470"/>
      </c>
      <c r="AK218" s="58">
        <f t="shared" si="470"/>
      </c>
      <c r="AL218" s="58">
        <f t="shared" si="470"/>
      </c>
      <c r="AM218" s="58">
        <f t="shared" si="470"/>
      </c>
      <c r="AN218" s="58">
        <f t="shared" si="470"/>
      </c>
      <c r="AO218" s="935">
        <f t="shared" si="470"/>
      </c>
      <c r="AP218" s="58">
        <f t="shared" si="470"/>
      </c>
      <c r="AQ218" s="58">
        <f t="shared" si="470"/>
      </c>
      <c r="AR218" s="58">
        <f t="shared" si="470"/>
      </c>
      <c r="AS218" s="58">
        <f t="shared" si="470"/>
      </c>
      <c r="AT218" s="935">
        <f t="shared" si="470"/>
      </c>
      <c r="AU218" s="58">
        <f t="shared" si="470"/>
      </c>
      <c r="AV218" s="58">
        <f t="shared" si="470"/>
      </c>
      <c r="AW218" s="58">
        <f t="shared" si="470"/>
      </c>
      <c r="AX218" s="58">
        <f t="shared" ref="AX218:BD218" si="471">AX217/AS217-1</f>
      </c>
      <c r="AY218" s="935">
        <f t="shared" si="471"/>
      </c>
      <c r="AZ218" s="58">
        <f t="shared" si="471"/>
      </c>
      <c r="BA218" s="58">
        <f t="shared" si="471"/>
      </c>
      <c r="BB218" s="58">
        <f t="shared" si="471"/>
      </c>
      <c r="BC218" s="58">
        <f t="shared" si="471"/>
      </c>
      <c r="BD218" s="935">
        <f t="shared" si="471"/>
      </c>
      <c r="BE218" s="58">
        <f t="shared" ref="BE218:BI218" si="472">BE217/AZ217-1</f>
      </c>
      <c r="BF218" s="58">
        <f t="shared" si="472"/>
      </c>
      <c r="BG218" s="58">
        <f t="shared" si="472"/>
      </c>
      <c r="BH218" s="58">
        <f t="shared" si="472"/>
      </c>
      <c r="BI218" s="935">
        <f t="shared" si="472"/>
      </c>
      <c r="BJ218" s="58">
        <f t="shared" ref="BJ218:BX218" si="473">BJ217/BE217-1</f>
      </c>
      <c r="BK218" s="58">
        <f t="shared" si="473"/>
      </c>
      <c r="BL218" s="58">
        <f t="shared" si="473"/>
      </c>
      <c r="BM218" s="58">
        <f t="shared" si="473"/>
      </c>
      <c r="BN218" s="935">
        <f t="shared" si="473"/>
      </c>
      <c r="BO218" s="58">
        <f t="shared" ref="BO218:BW218" si="474">BO217/BJ217-1</f>
      </c>
      <c r="BP218" s="58">
        <f t="shared" si="474"/>
      </c>
      <c r="BQ218" s="58">
        <f t="shared" si="474"/>
      </c>
      <c r="BR218" s="58">
        <f t="shared" si="474"/>
      </c>
      <c r="BS218" s="935">
        <f t="shared" si="474"/>
      </c>
      <c r="BT218" s="669">
        <f>BT217/BO217-1</f>
      </c>
      <c r="BU218" s="58">
        <f t="shared" si="474"/>
      </c>
      <c r="BV218" s="58">
        <f t="shared" si="474"/>
      </c>
      <c r="BW218" s="58">
        <f t="shared" si="474"/>
      </c>
      <c r="BX218" s="935">
        <f t="shared" si="473"/>
      </c>
      <c r="BY218" s="58">
        <f>BY217/BT217-1</f>
      </c>
      <c r="BZ218" s="58">
        <f>BZ217/BU217-1</f>
      </c>
      <c r="CA218" s="58">
        <f>CA217/BV217-1</f>
      </c>
      <c r="CB218" s="58">
        <f>CB217/BW217-1</f>
      </c>
      <c r="CC218" s="935">
        <f>CC217/BX217-1</f>
      </c>
      <c r="CD218" s="935">
        <f>CD217/CC217-1</f>
      </c>
      <c r="CE218" s="935">
        <f>CE217/CD217-1</f>
      </c>
      <c r="CF218" s="935">
        <f>CF217/CE217-1</f>
      </c>
      <c r="CG218" s="308"/>
    </row>
    <row r="219" spans="1:85" s="590" customFormat="1" x14ac:dyDescent="0.3">
      <c r="A219" s="278" t="s">
        <v>30</v>
      </c>
      <c r="B219" s="251"/>
      <c r="C219" s="973">
        <f t="shared" ref="C219:AH219" si="475">C217/C209</f>
      </c>
      <c r="D219" s="973">
        <f t="shared" si="475"/>
      </c>
      <c r="E219" s="973">
        <f t="shared" si="475"/>
      </c>
      <c r="F219" s="973">
        <f t="shared" si="475"/>
      </c>
      <c r="G219" s="59">
        <f t="shared" si="475"/>
      </c>
      <c r="H219" s="59">
        <f t="shared" si="475"/>
      </c>
      <c r="I219" s="59">
        <f t="shared" si="475"/>
      </c>
      <c r="J219" s="59">
        <f t="shared" si="475"/>
      </c>
      <c r="K219" s="973">
        <f t="shared" si="475"/>
      </c>
      <c r="L219" s="59">
        <f t="shared" si="475"/>
      </c>
      <c r="M219" s="59">
        <f t="shared" si="475"/>
      </c>
      <c r="N219" s="59">
        <f t="shared" si="475"/>
      </c>
      <c r="O219" s="59">
        <f t="shared" si="475"/>
      </c>
      <c r="P219" s="973">
        <f t="shared" si="475"/>
      </c>
      <c r="Q219" s="59">
        <f t="shared" si="475"/>
      </c>
      <c r="R219" s="59">
        <f t="shared" si="475"/>
      </c>
      <c r="S219" s="59">
        <f t="shared" si="475"/>
      </c>
      <c r="T219" s="59">
        <f t="shared" si="475"/>
      </c>
      <c r="U219" s="973">
        <f t="shared" si="475"/>
      </c>
      <c r="V219" s="59">
        <f t="shared" si="475"/>
      </c>
      <c r="W219" s="59">
        <f t="shared" si="475"/>
      </c>
      <c r="X219" s="59">
        <f t="shared" si="475"/>
      </c>
      <c r="Y219" s="59">
        <f t="shared" si="475"/>
      </c>
      <c r="Z219" s="973">
        <f t="shared" si="475"/>
      </c>
      <c r="AA219" s="59">
        <f t="shared" si="475"/>
      </c>
      <c r="AB219" s="59">
        <f t="shared" si="475"/>
      </c>
      <c r="AC219" s="59">
        <f t="shared" si="475"/>
      </c>
      <c r="AD219" s="59">
        <f t="shared" si="475"/>
      </c>
      <c r="AE219" s="973">
        <f t="shared" si="475"/>
      </c>
      <c r="AF219" s="59">
        <f t="shared" si="475"/>
      </c>
      <c r="AG219" s="59">
        <f t="shared" si="475"/>
      </c>
      <c r="AH219" s="59">
        <f t="shared" si="475"/>
      </c>
      <c r="AI219" s="59">
        <f t="shared" ref="AI219:BK219" si="476">AI217/AI209</f>
      </c>
      <c r="AJ219" s="973">
        <f t="shared" si="476"/>
      </c>
      <c r="AK219" s="59">
        <f t="shared" si="476"/>
      </c>
      <c r="AL219" s="59">
        <f t="shared" si="476"/>
      </c>
      <c r="AM219" s="59">
        <f t="shared" si="476"/>
      </c>
      <c r="AN219" s="59">
        <f t="shared" si="476"/>
      </c>
      <c r="AO219" s="973">
        <f t="shared" si="476"/>
      </c>
      <c r="AP219" s="59">
        <f t="shared" si="476"/>
      </c>
      <c r="AQ219" s="59">
        <f t="shared" si="476"/>
      </c>
      <c r="AR219" s="59">
        <f t="shared" si="476"/>
      </c>
      <c r="AS219" s="59">
        <f t="shared" si="476"/>
      </c>
      <c r="AT219" s="973">
        <f t="shared" si="476"/>
      </c>
      <c r="AU219" s="59">
        <f t="shared" si="476"/>
      </c>
      <c r="AV219" s="59">
        <f t="shared" si="476"/>
      </c>
      <c r="AW219" s="59">
        <f t="shared" si="476"/>
      </c>
      <c r="AX219" s="59">
        <f t="shared" si="476"/>
      </c>
      <c r="AY219" s="973">
        <f t="shared" si="476"/>
      </c>
      <c r="AZ219" s="59">
        <f t="shared" si="476"/>
      </c>
      <c r="BA219" s="59">
        <f t="shared" si="476"/>
      </c>
      <c r="BB219" s="59">
        <f t="shared" si="476"/>
      </c>
      <c r="BC219" s="59">
        <f t="shared" si="476"/>
      </c>
      <c r="BD219" s="973">
        <f t="shared" si="476"/>
      </c>
      <c r="BE219" s="59">
        <f t="shared" si="476"/>
      </c>
      <c r="BF219" s="59">
        <f t="shared" si="476"/>
      </c>
      <c r="BG219" s="59">
        <f t="shared" si="476"/>
      </c>
      <c r="BH219" s="59">
        <f t="shared" si="476"/>
      </c>
      <c r="BI219" s="973">
        <f t="shared" si="476"/>
      </c>
      <c r="BJ219" s="59">
        <f t="shared" si="476"/>
      </c>
      <c r="BK219" s="59">
        <f t="shared" si="476"/>
      </c>
      <c r="BL219" s="59">
        <f t="shared" ref="BL219:BX219" si="477">BL217/BL209</f>
      </c>
      <c r="BM219" s="59">
        <f t="shared" si="477"/>
      </c>
      <c r="BN219" s="973">
        <f t="shared" si="477"/>
      </c>
      <c r="BO219" s="59">
        <f t="shared" ref="BO219:BW219" si="478">BO217/BO209</f>
      </c>
      <c r="BP219" s="59">
        <f t="shared" si="478"/>
      </c>
      <c r="BQ219" s="59">
        <f t="shared" si="478"/>
      </c>
      <c r="BR219" s="59">
        <f t="shared" si="478"/>
      </c>
      <c r="BS219" s="973">
        <f t="shared" si="478"/>
      </c>
      <c r="BT219" s="675">
        <f>BT217/BT209</f>
      </c>
      <c r="BU219" s="59">
        <f t="shared" si="478"/>
      </c>
      <c r="BV219" s="59">
        <f t="shared" si="478"/>
      </c>
      <c r="BW219" s="59">
        <f t="shared" si="478"/>
      </c>
      <c r="BX219" s="973">
        <f t="shared" si="477"/>
      </c>
      <c r="BY219" s="59">
        <f t="shared" ref="BY219:CF219" si="479">BY217/BY209</f>
      </c>
      <c r="BZ219" s="59">
        <f t="shared" si="479"/>
      </c>
      <c r="CA219" s="59">
        <f t="shared" si="479"/>
      </c>
      <c r="CB219" s="59">
        <f t="shared" si="479"/>
      </c>
      <c r="CC219" s="973">
        <f t="shared" si="479"/>
      </c>
      <c r="CD219" s="973">
        <f t="shared" si="479"/>
      </c>
      <c r="CE219" s="973">
        <f t="shared" si="479"/>
      </c>
      <c r="CF219" s="973">
        <f t="shared" si="479"/>
      </c>
      <c r="CG219" s="8"/>
    </row>
    <row r="220" spans="1:85" s="588" customFormat="1" x14ac:dyDescent="0.3">
      <c r="A220" s="69" t="s">
        <v>31</v>
      </c>
      <c r="B220" s="311"/>
      <c r="C220" s="935"/>
      <c r="D220" s="935"/>
      <c r="E220" s="935"/>
      <c r="F220" s="935"/>
      <c r="G220" s="58"/>
      <c r="H220" s="58"/>
      <c r="I220" s="58"/>
      <c r="J220" s="58"/>
      <c r="K220" s="935"/>
      <c r="L220" s="58"/>
      <c r="M220" s="58"/>
      <c r="N220" s="58"/>
      <c r="O220" s="58"/>
      <c r="P220" s="935"/>
      <c r="Q220" s="58"/>
      <c r="R220" s="58"/>
      <c r="S220" s="58"/>
      <c r="T220" s="58"/>
      <c r="U220" s="935"/>
      <c r="V220" s="58"/>
      <c r="W220" s="58"/>
      <c r="X220" s="58"/>
      <c r="Y220" s="58"/>
      <c r="Z220" s="935"/>
      <c r="AA220" s="58"/>
      <c r="AB220" s="58"/>
      <c r="AC220" s="58"/>
      <c r="AD220" s="58"/>
      <c r="AE220" s="935"/>
      <c r="AF220" s="58"/>
      <c r="AG220" s="58"/>
      <c r="AH220" s="58"/>
      <c r="AI220" s="58"/>
      <c r="AJ220" s="935"/>
      <c r="AK220" s="58"/>
      <c r="AL220" s="58"/>
      <c r="AM220" s="58"/>
      <c r="AN220" s="58"/>
      <c r="AO220" s="935"/>
      <c r="AP220" s="58"/>
      <c r="AQ220" s="58"/>
      <c r="AR220" s="58"/>
      <c r="AS220" s="58"/>
      <c r="AT220" s="935"/>
      <c r="AU220" s="58"/>
      <c r="AV220" s="58"/>
      <c r="AW220" s="58"/>
      <c r="AX220" s="58"/>
      <c r="AY220" s="935"/>
      <c r="AZ220" s="58"/>
      <c r="BA220" s="58"/>
      <c r="BB220" s="58"/>
      <c r="BC220" s="58"/>
      <c r="BD220" s="935"/>
      <c r="BE220" s="58"/>
      <c r="BF220" s="58"/>
      <c r="BG220" s="58"/>
      <c r="BH220" s="58"/>
      <c r="BI220" s="935"/>
      <c r="BJ220" s="58"/>
      <c r="BK220" s="58"/>
      <c r="BL220" s="58"/>
      <c r="BM220" s="58"/>
      <c r="BN220" s="935"/>
      <c r="BO220" s="58"/>
      <c r="BP220" s="58"/>
      <c r="BQ220" s="58"/>
      <c r="BR220" s="58"/>
      <c r="BS220" s="935"/>
      <c r="BT220" s="669"/>
      <c r="BU220" s="446" t="str">
        <f t="shared" ref="BU220:CF220" ca="1" si="480">BU396</f>
      </c>
      <c r="BV220" s="446" t="str">
        <f t="shared" ca="1" si="480"/>
      </c>
      <c r="BW220" s="446" t="str">
        <f t="shared" ca="1" si="480"/>
      </c>
      <c r="BX220" s="936" t="str">
        <f t="shared" ca="1" si="480"/>
      </c>
      <c r="BY220" s="446" t="str">
        <f t="shared" ca="1" si="480"/>
      </c>
      <c r="BZ220" s="446" t="str">
        <f t="shared" ca="1" si="480"/>
      </c>
      <c r="CA220" s="446" t="str">
        <f t="shared" ca="1" si="480"/>
      </c>
      <c r="CB220" s="446" t="str">
        <f t="shared" ca="1" si="480"/>
      </c>
      <c r="CC220" s="936" t="str">
        <f t="shared" ca="1" si="480"/>
      </c>
      <c r="CD220" s="936" t="str">
        <f t="shared" ca="1" si="480"/>
      </c>
      <c r="CE220" s="936" t="str">
        <f t="shared" ca="1" si="480"/>
      </c>
      <c r="CF220" s="936" t="str">
        <f t="shared" ca="1" si="480"/>
      </c>
      <c r="CG220" s="222"/>
    </row>
    <row r="221" spans="1:85" s="582" customFormat="1" x14ac:dyDescent="0.3">
      <c r="A221" s="328" t="s">
        <v>621</v>
      </c>
      <c r="B221" s="242"/>
      <c r="C221" s="950"/>
      <c r="D221" s="950">
        <f>(D219-C219)*10000</f>
      </c>
      <c r="E221" s="950">
        <f>(E219-D219)*10000</f>
      </c>
      <c r="F221" s="950">
        <f>(F219-E219)*10000</f>
      </c>
      <c r="G221" s="204"/>
      <c r="H221" s="204"/>
      <c r="I221" s="204"/>
      <c r="J221" s="204"/>
      <c r="K221" s="950">
        <f t="shared" ref="K221:AP221" si="481">(K219-F219)*10000</f>
      </c>
      <c r="L221" s="204">
        <f t="shared" si="481"/>
      </c>
      <c r="M221" s="204">
        <f t="shared" si="481"/>
      </c>
      <c r="N221" s="204">
        <f t="shared" si="481"/>
      </c>
      <c r="O221" s="204">
        <f t="shared" si="481"/>
      </c>
      <c r="P221" s="950">
        <f t="shared" si="481"/>
      </c>
      <c r="Q221" s="204">
        <f t="shared" si="481"/>
      </c>
      <c r="R221" s="204">
        <f t="shared" si="481"/>
      </c>
      <c r="S221" s="204">
        <f t="shared" si="481"/>
      </c>
      <c r="T221" s="204">
        <f t="shared" si="481"/>
      </c>
      <c r="U221" s="950">
        <f t="shared" si="481"/>
      </c>
      <c r="V221" s="204">
        <f t="shared" si="481"/>
      </c>
      <c r="W221" s="204">
        <f t="shared" si="481"/>
      </c>
      <c r="X221" s="204">
        <f t="shared" si="481"/>
      </c>
      <c r="Y221" s="204">
        <f t="shared" si="481"/>
      </c>
      <c r="Z221" s="950">
        <f t="shared" si="481"/>
      </c>
      <c r="AA221" s="204">
        <f t="shared" si="481"/>
      </c>
      <c r="AB221" s="204">
        <f t="shared" si="481"/>
      </c>
      <c r="AC221" s="204">
        <f t="shared" si="481"/>
      </c>
      <c r="AD221" s="204">
        <f t="shared" si="481"/>
      </c>
      <c r="AE221" s="950">
        <f t="shared" si="481"/>
      </c>
      <c r="AF221" s="204">
        <f t="shared" si="481"/>
      </c>
      <c r="AG221" s="204">
        <f t="shared" si="481"/>
      </c>
      <c r="AH221" s="204">
        <f t="shared" si="481"/>
      </c>
      <c r="AI221" s="204">
        <f t="shared" si="481"/>
      </c>
      <c r="AJ221" s="950">
        <f t="shared" si="481"/>
      </c>
      <c r="AK221" s="204">
        <f t="shared" si="481"/>
      </c>
      <c r="AL221" s="204">
        <f t="shared" si="481"/>
      </c>
      <c r="AM221" s="204">
        <f t="shared" si="481"/>
      </c>
      <c r="AN221" s="204">
        <f t="shared" si="481"/>
      </c>
      <c r="AO221" s="950">
        <f t="shared" si="481"/>
      </c>
      <c r="AP221" s="204">
        <f t="shared" si="481"/>
      </c>
      <c r="AQ221" s="204">
        <f t="shared" ref="AQ221:BK221" si="482">(AQ219-AL219)*10000</f>
      </c>
      <c r="AR221" s="204">
        <f t="shared" si="482"/>
      </c>
      <c r="AS221" s="204">
        <f t="shared" si="482"/>
      </c>
      <c r="AT221" s="950">
        <f t="shared" si="482"/>
      </c>
      <c r="AU221" s="204">
        <f t="shared" si="482"/>
      </c>
      <c r="AV221" s="204">
        <f t="shared" si="482"/>
      </c>
      <c r="AW221" s="204">
        <f t="shared" si="482"/>
      </c>
      <c r="AX221" s="204">
        <f t="shared" si="482"/>
      </c>
      <c r="AY221" s="950">
        <f t="shared" si="482"/>
      </c>
      <c r="AZ221" s="204">
        <f t="shared" si="482"/>
      </c>
      <c r="BA221" s="204">
        <f t="shared" si="482"/>
      </c>
      <c r="BB221" s="204">
        <f t="shared" si="482"/>
      </c>
      <c r="BC221" s="204">
        <f t="shared" si="482"/>
      </c>
      <c r="BD221" s="950">
        <f t="shared" si="482"/>
      </c>
      <c r="BE221" s="204">
        <f t="shared" si="482"/>
      </c>
      <c r="BF221" s="204">
        <f t="shared" si="482"/>
      </c>
      <c r="BG221" s="204">
        <f t="shared" si="482"/>
      </c>
      <c r="BH221" s="204">
        <f t="shared" si="482"/>
      </c>
      <c r="BI221" s="950">
        <f t="shared" si="482"/>
      </c>
      <c r="BJ221" s="204">
        <f t="shared" si="482"/>
      </c>
      <c r="BK221" s="204">
        <f t="shared" si="482"/>
      </c>
      <c r="BL221" s="204">
        <f t="shared" ref="BL221:BN221" si="483">(BL219-BG219)*10000</f>
      </c>
      <c r="BM221" s="204">
        <f t="shared" si="483"/>
      </c>
      <c r="BN221" s="950">
        <f t="shared" si="483"/>
      </c>
      <c r="BO221" s="204">
        <f t="shared" ref="BO221:CC221" si="484">(BO219-BJ219)*10000</f>
      </c>
      <c r="BP221" s="204">
        <f t="shared" si="484"/>
      </c>
      <c r="BQ221" s="204">
        <f t="shared" si="484"/>
      </c>
      <c r="BR221" s="204">
        <f t="shared" si="484"/>
      </c>
      <c r="BS221" s="950">
        <f t="shared" si="484"/>
      </c>
      <c r="BT221" s="294">
        <f>(BT219-BO219)*10000</f>
      </c>
      <c r="BU221" s="204">
        <f t="shared" si="484"/>
      </c>
      <c r="BV221" s="204">
        <f t="shared" si="484"/>
      </c>
      <c r="BW221" s="204">
        <f t="shared" si="484"/>
      </c>
      <c r="BX221" s="950">
        <f t="shared" si="484"/>
      </c>
      <c r="BY221" s="204">
        <f t="shared" si="484"/>
      </c>
      <c r="BZ221" s="204">
        <f t="shared" si="484"/>
      </c>
      <c r="CA221" s="204">
        <f t="shared" si="484"/>
      </c>
      <c r="CB221" s="204">
        <f t="shared" si="484"/>
      </c>
      <c r="CC221" s="950">
        <f t="shared" si="484"/>
      </c>
      <c r="CD221" s="950">
        <f>(CD219-CC219)*10000</f>
      </c>
      <c r="CE221" s="950">
        <f>(CE219-CD219)*10000</f>
      </c>
      <c r="CF221" s="950">
        <f>(CF219-CE219)*10000</f>
      </c>
      <c r="CG221" s="131"/>
    </row>
    <row r="222" spans="1:85" s="587" customFormat="1" ht="7.5" customHeight="1" x14ac:dyDescent="0.3">
      <c r="A222" s="429"/>
      <c r="B222" s="250"/>
      <c r="C222" s="969"/>
      <c r="D222" s="969"/>
      <c r="E222" s="969"/>
      <c r="F222" s="969"/>
      <c r="G222" s="759"/>
      <c r="H222" s="759"/>
      <c r="I222" s="759"/>
      <c r="J222" s="759"/>
      <c r="K222" s="969"/>
      <c r="L222" s="759"/>
      <c r="M222" s="759"/>
      <c r="N222" s="759"/>
      <c r="O222" s="759"/>
      <c r="P222" s="969"/>
      <c r="Q222" s="759"/>
      <c r="R222" s="759"/>
      <c r="S222" s="759"/>
      <c r="T222" s="759"/>
      <c r="U222" s="969"/>
      <c r="V222" s="759"/>
      <c r="W222" s="759"/>
      <c r="X222" s="759"/>
      <c r="Y222" s="759"/>
      <c r="Z222" s="969"/>
      <c r="AA222" s="759"/>
      <c r="AB222" s="759"/>
      <c r="AC222" s="759"/>
      <c r="AD222" s="759"/>
      <c r="AE222" s="969"/>
      <c r="AF222" s="759"/>
      <c r="AG222" s="759"/>
      <c r="AH222" s="759"/>
      <c r="AI222" s="759"/>
      <c r="AJ222" s="969"/>
      <c r="AK222" s="759"/>
      <c r="AL222" s="759"/>
      <c r="AM222" s="759"/>
      <c r="AN222" s="759"/>
      <c r="AO222" s="969"/>
      <c r="AP222" s="759"/>
      <c r="AQ222" s="759"/>
      <c r="AR222" s="759"/>
      <c r="AS222" s="759"/>
      <c r="AT222" s="969"/>
      <c r="AU222" s="759"/>
      <c r="AV222" s="759"/>
      <c r="AW222" s="759"/>
      <c r="AX222" s="759"/>
      <c r="AY222" s="969"/>
      <c r="AZ222" s="759"/>
      <c r="BA222" s="759"/>
      <c r="BB222" s="759"/>
      <c r="BC222" s="759"/>
      <c r="BD222" s="969"/>
      <c r="BE222" s="759"/>
      <c r="BF222" s="759"/>
      <c r="BG222" s="759"/>
      <c r="BH222" s="759"/>
      <c r="BI222" s="969"/>
      <c r="BJ222" s="759"/>
      <c r="BK222" s="759"/>
      <c r="BL222" s="759"/>
      <c r="BM222" s="759"/>
      <c r="BN222" s="969"/>
      <c r="BO222" s="759"/>
      <c r="BP222" s="759"/>
      <c r="BQ222" s="759"/>
      <c r="BR222" s="759"/>
      <c r="BS222" s="969"/>
      <c r="BT222" s="760"/>
      <c r="BU222" s="759"/>
      <c r="BV222" s="759"/>
      <c r="BW222" s="759"/>
      <c r="BX222" s="969"/>
      <c r="BY222" s="759"/>
      <c r="BZ222" s="759"/>
      <c r="CA222" s="759"/>
      <c r="CB222" s="759"/>
      <c r="CC222" s="969"/>
      <c r="CD222" s="969"/>
      <c r="CE222" s="969"/>
      <c r="CF222" s="969"/>
      <c r="CG222" s="183"/>
    </row>
    <row r="223" spans="1:85" s="587" customFormat="1" x14ac:dyDescent="0.3">
      <c r="A223" s="255" t="s">
        <v>622</v>
      </c>
      <c r="B223" s="430"/>
      <c r="C223" s="962">
        <f t="shared" ref="C223:AV223" si="485">C422</f>
      </c>
      <c r="D223" s="962">
        <f t="shared" si="485"/>
      </c>
      <c r="E223" s="962">
        <f t="shared" si="485"/>
      </c>
      <c r="F223" s="962">
        <f t="shared" si="485"/>
      </c>
      <c r="G223" s="757">
        <f t="shared" si="485"/>
      </c>
      <c r="H223" s="757">
        <f t="shared" si="485"/>
      </c>
      <c r="I223" s="757">
        <f t="shared" si="485"/>
      </c>
      <c r="J223" s="757">
        <f t="shared" si="485"/>
      </c>
      <c r="K223" s="962">
        <f t="shared" si="485"/>
      </c>
      <c r="L223" s="757">
        <f t="shared" si="485"/>
      </c>
      <c r="M223" s="757">
        <f t="shared" si="485"/>
      </c>
      <c r="N223" s="757">
        <f t="shared" si="485"/>
      </c>
      <c r="O223" s="757">
        <f t="shared" si="485"/>
      </c>
      <c r="P223" s="962">
        <f t="shared" si="485"/>
      </c>
      <c r="Q223" s="757">
        <f t="shared" si="485"/>
      </c>
      <c r="R223" s="757">
        <f t="shared" si="485"/>
      </c>
      <c r="S223" s="757">
        <f t="shared" si="485"/>
      </c>
      <c r="T223" s="757">
        <f t="shared" si="485"/>
      </c>
      <c r="U223" s="962">
        <f t="shared" si="485"/>
      </c>
      <c r="V223" s="757">
        <f t="shared" si="485"/>
      </c>
      <c r="W223" s="757">
        <f t="shared" si="485"/>
      </c>
      <c r="X223" s="757">
        <f t="shared" si="485"/>
      </c>
      <c r="Y223" s="757">
        <f t="shared" si="485"/>
      </c>
      <c r="Z223" s="962">
        <f t="shared" si="485"/>
      </c>
      <c r="AA223" s="757">
        <f t="shared" si="485"/>
      </c>
      <c r="AB223" s="757">
        <f t="shared" si="485"/>
      </c>
      <c r="AC223" s="757">
        <f t="shared" si="485"/>
      </c>
      <c r="AD223" s="757">
        <f t="shared" si="485"/>
      </c>
      <c r="AE223" s="962">
        <f t="shared" si="485"/>
      </c>
      <c r="AF223" s="757">
        <f t="shared" si="485"/>
      </c>
      <c r="AG223" s="757">
        <f t="shared" si="485"/>
      </c>
      <c r="AH223" s="757">
        <f t="shared" si="485"/>
      </c>
      <c r="AI223" s="757">
        <f t="shared" si="485"/>
      </c>
      <c r="AJ223" s="962">
        <f t="shared" si="485"/>
      </c>
      <c r="AK223" s="757">
        <f t="shared" si="485"/>
      </c>
      <c r="AL223" s="757">
        <f t="shared" si="485"/>
      </c>
      <c r="AM223" s="757">
        <f t="shared" si="485"/>
      </c>
      <c r="AN223" s="757">
        <f t="shared" si="485"/>
      </c>
      <c r="AO223" s="962">
        <f t="shared" si="485"/>
      </c>
      <c r="AP223" s="757">
        <f t="shared" si="485"/>
      </c>
      <c r="AQ223" s="757">
        <f t="shared" si="485"/>
      </c>
      <c r="AR223" s="757">
        <f t="shared" si="485"/>
      </c>
      <c r="AS223" s="757">
        <f t="shared" si="485"/>
      </c>
      <c r="AT223" s="962">
        <f t="shared" si="485"/>
      </c>
      <c r="AU223" s="757">
        <f t="shared" si="485"/>
      </c>
      <c r="AV223" s="757">
        <f t="shared" si="485"/>
      </c>
      <c r="AW223" s="757">
        <f t="shared" ref="AW223:BB223" si="486">AW422</f>
      </c>
      <c r="AX223" s="757">
        <f t="shared" si="486"/>
      </c>
      <c r="AY223" s="962">
        <f t="shared" si="486"/>
      </c>
      <c r="AZ223" s="757">
        <f t="shared" si="486"/>
      </c>
      <c r="BA223" s="757">
        <f t="shared" si="486"/>
      </c>
      <c r="BB223" s="757">
        <f t="shared" si="486"/>
      </c>
      <c r="BC223" s="757">
        <f t="shared" ref="BC223:BI223" si="487">BC422</f>
      </c>
      <c r="BD223" s="962">
        <f t="shared" si="487"/>
      </c>
      <c r="BE223" s="757">
        <f t="shared" si="487"/>
      </c>
      <c r="BF223" s="757">
        <f t="shared" si="487"/>
      </c>
      <c r="BG223" s="757">
        <f t="shared" si="487"/>
      </c>
      <c r="BH223" s="757">
        <f t="shared" si="487"/>
      </c>
      <c r="BI223" s="962">
        <f t="shared" si="487"/>
      </c>
      <c r="BJ223" s="757">
        <f t="shared" ref="BJ223:BO223" si="488">BJ422</f>
      </c>
      <c r="BK223" s="757">
        <f t="shared" si="488"/>
      </c>
      <c r="BL223" s="757">
        <f t="shared" si="488"/>
      </c>
      <c r="BM223" s="757">
        <f t="shared" si="488"/>
      </c>
      <c r="BN223" s="962">
        <f t="shared" si="488"/>
      </c>
      <c r="BO223" s="757">
        <f t="shared" si="488"/>
      </c>
      <c r="BP223" s="757">
        <f>BP422</f>
      </c>
      <c r="BQ223" s="757">
        <f>BQ422</f>
      </c>
      <c r="BR223" s="757">
        <f>BR422</f>
      </c>
      <c r="BS223" s="962">
        <f>BS422</f>
      </c>
      <c r="BT223" s="758">
        <f>BT422</f>
      </c>
      <c r="BU223" s="757">
        <f>BU225*BU209</f>
      </c>
      <c r="BV223" s="757">
        <f>BV225*BV209</f>
      </c>
      <c r="BW223" s="757">
        <f>BW225*BW209</f>
      </c>
      <c r="BX223" s="962">
        <f>SUM(BT223,BU223,BV223,BW223)</f>
      </c>
      <c r="BY223" s="757">
        <f>BY225*BY209</f>
      </c>
      <c r="BZ223" s="757">
        <f>BZ225*BZ209</f>
      </c>
      <c r="CA223" s="757">
        <f>CA225*CA209</f>
      </c>
      <c r="CB223" s="757">
        <f>CB225*CB209</f>
      </c>
      <c r="CC223" s="962">
        <f>SUM(BY223,BZ223,CA223,CB223)</f>
      </c>
      <c r="CD223" s="962">
        <f>CD225*CD209</f>
      </c>
      <c r="CE223" s="962">
        <f>CE225*CE209</f>
      </c>
      <c r="CF223" s="962">
        <f>CF225*CF209</f>
      </c>
      <c r="CG223" s="459"/>
    </row>
    <row r="224" spans="1:85" s="586" customFormat="1" x14ac:dyDescent="0.3">
      <c r="A224" s="69" t="s">
        <v>623</v>
      </c>
      <c r="B224" s="311"/>
      <c r="C224" s="935"/>
      <c r="D224" s="935">
        <f>D223/C223-1</f>
      </c>
      <c r="E224" s="935">
        <f>E223/D223-1</f>
      </c>
      <c r="F224" s="935">
        <f>F223/E223-1</f>
      </c>
      <c r="G224" s="58"/>
      <c r="H224" s="58"/>
      <c r="I224" s="58"/>
      <c r="J224" s="58"/>
      <c r="K224" s="935">
        <f t="shared" ref="K224:AW224" si="489">K223/F223-1</f>
      </c>
      <c r="L224" s="58">
        <f t="shared" si="489"/>
      </c>
      <c r="M224" s="58">
        <f t="shared" si="489"/>
      </c>
      <c r="N224" s="58">
        <f t="shared" si="489"/>
      </c>
      <c r="O224" s="58">
        <f t="shared" si="489"/>
      </c>
      <c r="P224" s="935">
        <f t="shared" si="489"/>
      </c>
      <c r="Q224" s="58">
        <f t="shared" si="489"/>
      </c>
      <c r="R224" s="58">
        <f t="shared" si="489"/>
      </c>
      <c r="S224" s="58">
        <f t="shared" si="489"/>
      </c>
      <c r="T224" s="58">
        <f t="shared" si="489"/>
      </c>
      <c r="U224" s="935">
        <f t="shared" si="489"/>
      </c>
      <c r="V224" s="58">
        <f t="shared" si="489"/>
      </c>
      <c r="W224" s="58">
        <f t="shared" si="489"/>
      </c>
      <c r="X224" s="58">
        <f t="shared" si="489"/>
      </c>
      <c r="Y224" s="58">
        <f t="shared" si="489"/>
      </c>
      <c r="Z224" s="935">
        <f t="shared" si="489"/>
      </c>
      <c r="AA224" s="58">
        <f t="shared" si="489"/>
      </c>
      <c r="AB224" s="58">
        <f t="shared" si="489"/>
      </c>
      <c r="AC224" s="58">
        <f t="shared" si="489"/>
      </c>
      <c r="AD224" s="58">
        <f t="shared" si="489"/>
      </c>
      <c r="AE224" s="935">
        <f t="shared" si="489"/>
      </c>
      <c r="AF224" s="58">
        <f t="shared" si="489"/>
      </c>
      <c r="AG224" s="58">
        <f t="shared" si="489"/>
      </c>
      <c r="AH224" s="58">
        <f t="shared" si="489"/>
      </c>
      <c r="AI224" s="58">
        <f t="shared" si="489"/>
      </c>
      <c r="AJ224" s="935">
        <f t="shared" si="489"/>
      </c>
      <c r="AK224" s="58">
        <f t="shared" si="489"/>
      </c>
      <c r="AL224" s="58">
        <f t="shared" si="489"/>
      </c>
      <c r="AM224" s="58">
        <f t="shared" si="489"/>
      </c>
      <c r="AN224" s="58">
        <f t="shared" si="489"/>
      </c>
      <c r="AO224" s="935">
        <f t="shared" si="489"/>
      </c>
      <c r="AP224" s="58">
        <f t="shared" si="489"/>
      </c>
      <c r="AQ224" s="58">
        <f t="shared" si="489"/>
      </c>
      <c r="AR224" s="58">
        <f t="shared" si="489"/>
      </c>
      <c r="AS224" s="58">
        <f t="shared" si="489"/>
      </c>
      <c r="AT224" s="935">
        <f t="shared" si="489"/>
      </c>
      <c r="AU224" s="58">
        <f t="shared" si="489"/>
      </c>
      <c r="AV224" s="58">
        <f t="shared" si="489"/>
      </c>
      <c r="AW224" s="58">
        <f t="shared" si="489"/>
      </c>
      <c r="AX224" s="58">
        <f t="shared" ref="AX224:BD224" si="490">AX223/AS223-1</f>
      </c>
      <c r="AY224" s="935">
        <f t="shared" si="490"/>
      </c>
      <c r="AZ224" s="58">
        <f t="shared" si="490"/>
      </c>
      <c r="BA224" s="58">
        <f t="shared" si="490"/>
      </c>
      <c r="BB224" s="58">
        <f t="shared" si="490"/>
      </c>
      <c r="BC224" s="58">
        <f t="shared" si="490"/>
      </c>
      <c r="BD224" s="935">
        <f t="shared" si="490"/>
      </c>
      <c r="BE224" s="58">
        <f t="shared" ref="BE224:BI224" si="491">BE223/AZ223-1</f>
      </c>
      <c r="BF224" s="58">
        <f t="shared" si="491"/>
      </c>
      <c r="BG224" s="58">
        <f t="shared" si="491"/>
      </c>
      <c r="BH224" s="58">
        <f t="shared" si="491"/>
      </c>
      <c r="BI224" s="935">
        <f t="shared" si="491"/>
      </c>
      <c r="BJ224" s="58">
        <f t="shared" ref="BJ224:BX224" si="492">BJ223/BE223-1</f>
      </c>
      <c r="BK224" s="58">
        <f t="shared" si="492"/>
      </c>
      <c r="BL224" s="58">
        <f t="shared" si="492"/>
      </c>
      <c r="BM224" s="58">
        <f t="shared" si="492"/>
      </c>
      <c r="BN224" s="935">
        <f t="shared" si="492"/>
      </c>
      <c r="BO224" s="58">
        <f t="shared" ref="BO224:BW224" si="493">BO223/BJ223-1</f>
      </c>
      <c r="BP224" s="58">
        <f t="shared" si="493"/>
      </c>
      <c r="BQ224" s="58">
        <f t="shared" si="493"/>
      </c>
      <c r="BR224" s="58">
        <f t="shared" si="493"/>
      </c>
      <c r="BS224" s="935">
        <f t="shared" si="493"/>
      </c>
      <c r="BT224" s="669">
        <f>BT223/BO223-1</f>
      </c>
      <c r="BU224" s="58">
        <f t="shared" si="493"/>
      </c>
      <c r="BV224" s="58">
        <f t="shared" si="493"/>
      </c>
      <c r="BW224" s="58">
        <f t="shared" si="493"/>
      </c>
      <c r="BX224" s="935">
        <f t="shared" si="492"/>
      </c>
      <c r="BY224" s="58">
        <f>BY223/BT223-1</f>
      </c>
      <c r="BZ224" s="58">
        <f>BZ223/BU223-1</f>
      </c>
      <c r="CA224" s="58">
        <f>CA223/BV223-1</f>
      </c>
      <c r="CB224" s="58">
        <f>CB223/BW223-1</f>
      </c>
      <c r="CC224" s="935">
        <f>CC223/BX223-1</f>
      </c>
      <c r="CD224" s="935">
        <f>CD223/CC223-1</f>
      </c>
      <c r="CE224" s="935">
        <f>CE223/CD223-1</f>
      </c>
      <c r="CF224" s="935">
        <f>CF223/CE223-1</f>
      </c>
      <c r="CG224" s="308"/>
    </row>
    <row r="225" spans="1:85" s="590" customFormat="1" x14ac:dyDescent="0.3">
      <c r="A225" s="278" t="s">
        <v>32</v>
      </c>
      <c r="B225" s="251"/>
      <c r="C225" s="973">
        <f t="shared" ref="C225:AH225" si="494">C223/C209</f>
      </c>
      <c r="D225" s="973">
        <f t="shared" si="494"/>
      </c>
      <c r="E225" s="973">
        <f t="shared" si="494"/>
      </c>
      <c r="F225" s="973">
        <f t="shared" si="494"/>
      </c>
      <c r="G225" s="59">
        <f t="shared" si="494"/>
      </c>
      <c r="H225" s="59">
        <f t="shared" si="494"/>
      </c>
      <c r="I225" s="59">
        <f t="shared" si="494"/>
      </c>
      <c r="J225" s="59">
        <f t="shared" si="494"/>
      </c>
      <c r="K225" s="973">
        <f t="shared" si="494"/>
      </c>
      <c r="L225" s="59">
        <f t="shared" si="494"/>
      </c>
      <c r="M225" s="59">
        <f t="shared" si="494"/>
      </c>
      <c r="N225" s="59">
        <f t="shared" si="494"/>
      </c>
      <c r="O225" s="59">
        <f t="shared" si="494"/>
      </c>
      <c r="P225" s="973">
        <f t="shared" si="494"/>
      </c>
      <c r="Q225" s="59">
        <f t="shared" si="494"/>
      </c>
      <c r="R225" s="59">
        <f t="shared" si="494"/>
      </c>
      <c r="S225" s="59">
        <f t="shared" si="494"/>
      </c>
      <c r="T225" s="59">
        <f t="shared" si="494"/>
      </c>
      <c r="U225" s="973">
        <f t="shared" si="494"/>
      </c>
      <c r="V225" s="59">
        <f t="shared" si="494"/>
      </c>
      <c r="W225" s="59">
        <f t="shared" si="494"/>
      </c>
      <c r="X225" s="59">
        <f t="shared" si="494"/>
      </c>
      <c r="Y225" s="59">
        <f t="shared" si="494"/>
      </c>
      <c r="Z225" s="973">
        <f t="shared" si="494"/>
      </c>
      <c r="AA225" s="59">
        <f t="shared" si="494"/>
      </c>
      <c r="AB225" s="59">
        <f t="shared" si="494"/>
      </c>
      <c r="AC225" s="59">
        <f t="shared" si="494"/>
      </c>
      <c r="AD225" s="59">
        <f t="shared" si="494"/>
      </c>
      <c r="AE225" s="973">
        <f t="shared" si="494"/>
      </c>
      <c r="AF225" s="59">
        <f t="shared" si="494"/>
      </c>
      <c r="AG225" s="59">
        <f t="shared" si="494"/>
      </c>
      <c r="AH225" s="59">
        <f t="shared" si="494"/>
      </c>
      <c r="AI225" s="59">
        <f t="shared" ref="AI225:BK225" si="495">AI223/AI209</f>
      </c>
      <c r="AJ225" s="973">
        <f t="shared" si="495"/>
      </c>
      <c r="AK225" s="59">
        <f t="shared" si="495"/>
      </c>
      <c r="AL225" s="59">
        <f t="shared" si="495"/>
      </c>
      <c r="AM225" s="59">
        <f t="shared" si="495"/>
      </c>
      <c r="AN225" s="59">
        <f t="shared" si="495"/>
      </c>
      <c r="AO225" s="973">
        <f t="shared" si="495"/>
      </c>
      <c r="AP225" s="59">
        <f t="shared" si="495"/>
      </c>
      <c r="AQ225" s="59">
        <f t="shared" si="495"/>
      </c>
      <c r="AR225" s="59">
        <f t="shared" si="495"/>
      </c>
      <c r="AS225" s="59">
        <f t="shared" si="495"/>
      </c>
      <c r="AT225" s="973">
        <f t="shared" si="495"/>
      </c>
      <c r="AU225" s="59">
        <f t="shared" si="495"/>
      </c>
      <c r="AV225" s="59">
        <f t="shared" si="495"/>
      </c>
      <c r="AW225" s="59">
        <f t="shared" si="495"/>
      </c>
      <c r="AX225" s="59">
        <f t="shared" si="495"/>
      </c>
      <c r="AY225" s="973">
        <f t="shared" si="495"/>
      </c>
      <c r="AZ225" s="59">
        <f t="shared" si="495"/>
      </c>
      <c r="BA225" s="59">
        <f t="shared" si="495"/>
      </c>
      <c r="BB225" s="59">
        <f t="shared" si="495"/>
      </c>
      <c r="BC225" s="59">
        <f t="shared" si="495"/>
      </c>
      <c r="BD225" s="973">
        <f t="shared" si="495"/>
      </c>
      <c r="BE225" s="59">
        <f t="shared" si="495"/>
      </c>
      <c r="BF225" s="59">
        <f t="shared" si="495"/>
      </c>
      <c r="BG225" s="59">
        <f t="shared" si="495"/>
      </c>
      <c r="BH225" s="59">
        <f t="shared" si="495"/>
      </c>
      <c r="BI225" s="973">
        <f t="shared" si="495"/>
      </c>
      <c r="BJ225" s="59">
        <f t="shared" si="495"/>
      </c>
      <c r="BK225" s="59">
        <f t="shared" si="495"/>
      </c>
      <c r="BL225" s="59">
        <f t="shared" ref="BL225:BQ225" si="496">BL223/BL209</f>
      </c>
      <c r="BM225" s="59">
        <f t="shared" si="496"/>
      </c>
      <c r="BN225" s="973">
        <f t="shared" si="496"/>
      </c>
      <c r="BO225" s="59">
        <f t="shared" si="496"/>
      </c>
      <c r="BP225" s="59">
        <f t="shared" si="496"/>
      </c>
      <c r="BQ225" s="59">
        <f t="shared" si="496"/>
      </c>
      <c r="BR225" s="59">
        <f>BR223/BR209</f>
      </c>
      <c r="BS225" s="973">
        <f>BS223/BS209</f>
      </c>
      <c r="BT225" s="675">
        <f>BT223/BT209</f>
      </c>
      <c r="BU225" s="59">
        <f>-BU226/10000+BP225</f>
      </c>
      <c r="BV225" s="59">
        <f>-BV226/10000+BQ225</f>
      </c>
      <c r="BW225" s="59">
        <f>-BW226/10000+BR225</f>
      </c>
      <c r="BX225" s="973">
        <f>BX223/BX209</f>
      </c>
      <c r="BY225" s="59">
        <f>-BY226/10000+BT225</f>
      </c>
      <c r="BZ225" s="59">
        <f>-BZ226/10000+BU225</f>
      </c>
      <c r="CA225" s="59">
        <f>-CA226/10000+BV225</f>
      </c>
      <c r="CB225" s="59">
        <f>-CB226/10000+BW225</f>
      </c>
      <c r="CC225" s="973">
        <f>CC223/CC209</f>
      </c>
      <c r="CD225" s="973">
        <f>-CD226/10000+CC225</f>
      </c>
      <c r="CE225" s="973">
        <f>-CE226/10000+CD225</f>
      </c>
      <c r="CF225" s="973">
        <f>-CF226/10000+CE225</f>
      </c>
      <c r="CG225" s="8"/>
    </row>
    <row r="226" spans="1:85" s="582" customFormat="1" x14ac:dyDescent="0.3">
      <c r="A226" s="328" t="s">
        <v>624</v>
      </c>
      <c r="B226" s="242"/>
      <c r="C226" s="950"/>
      <c r="D226" s="950">
        <f>-(D225-C225)*10000</f>
      </c>
      <c r="E226" s="950">
        <f>-(E225-D225)*10000</f>
      </c>
      <c r="F226" s="950">
        <f>-(F225-E225)*10000</f>
      </c>
      <c r="G226" s="204"/>
      <c r="H226" s="204"/>
      <c r="I226" s="204"/>
      <c r="J226" s="204"/>
      <c r="K226" s="950">
        <f t="shared" ref="K226:AP226" si="497">-(K225-F225)*10000</f>
      </c>
      <c r="L226" s="204">
        <f t="shared" si="497"/>
      </c>
      <c r="M226" s="204">
        <f t="shared" si="497"/>
      </c>
      <c r="N226" s="204">
        <f t="shared" si="497"/>
      </c>
      <c r="O226" s="204">
        <f t="shared" si="497"/>
      </c>
      <c r="P226" s="950">
        <f t="shared" si="497"/>
      </c>
      <c r="Q226" s="204">
        <f t="shared" si="497"/>
      </c>
      <c r="R226" s="204">
        <f t="shared" si="497"/>
      </c>
      <c r="S226" s="204">
        <f t="shared" si="497"/>
      </c>
      <c r="T226" s="204">
        <f t="shared" si="497"/>
      </c>
      <c r="U226" s="950">
        <f t="shared" si="497"/>
      </c>
      <c r="V226" s="204">
        <f t="shared" si="497"/>
      </c>
      <c r="W226" s="204">
        <f t="shared" si="497"/>
      </c>
      <c r="X226" s="204">
        <f t="shared" si="497"/>
      </c>
      <c r="Y226" s="204">
        <f t="shared" si="497"/>
      </c>
      <c r="Z226" s="950">
        <f t="shared" si="497"/>
      </c>
      <c r="AA226" s="204">
        <f t="shared" si="497"/>
      </c>
      <c r="AB226" s="204">
        <f t="shared" si="497"/>
      </c>
      <c r="AC226" s="204">
        <f t="shared" si="497"/>
      </c>
      <c r="AD226" s="204">
        <f t="shared" si="497"/>
      </c>
      <c r="AE226" s="950">
        <f t="shared" si="497"/>
      </c>
      <c r="AF226" s="204">
        <f t="shared" si="497"/>
      </c>
      <c r="AG226" s="204">
        <f t="shared" si="497"/>
      </c>
      <c r="AH226" s="204">
        <f t="shared" si="497"/>
      </c>
      <c r="AI226" s="204">
        <f t="shared" si="497"/>
      </c>
      <c r="AJ226" s="950">
        <f t="shared" si="497"/>
      </c>
      <c r="AK226" s="204">
        <f t="shared" si="497"/>
      </c>
      <c r="AL226" s="204">
        <f t="shared" si="497"/>
      </c>
      <c r="AM226" s="204">
        <f t="shared" si="497"/>
      </c>
      <c r="AN226" s="204">
        <f t="shared" si="497"/>
      </c>
      <c r="AO226" s="950">
        <f t="shared" si="497"/>
      </c>
      <c r="AP226" s="204">
        <f t="shared" si="497"/>
      </c>
      <c r="AQ226" s="204">
        <f t="shared" ref="AQ226:BK226" si="498">-(AQ225-AL225)*10000</f>
      </c>
      <c r="AR226" s="204">
        <f t="shared" si="498"/>
      </c>
      <c r="AS226" s="204">
        <f t="shared" si="498"/>
      </c>
      <c r="AT226" s="950">
        <f t="shared" si="498"/>
      </c>
      <c r="AU226" s="204">
        <f t="shared" si="498"/>
      </c>
      <c r="AV226" s="204">
        <f t="shared" si="498"/>
      </c>
      <c r="AW226" s="204">
        <f t="shared" si="498"/>
      </c>
      <c r="AX226" s="204">
        <f t="shared" si="498"/>
      </c>
      <c r="AY226" s="950">
        <f t="shared" si="498"/>
      </c>
      <c r="AZ226" s="204">
        <f t="shared" si="498"/>
      </c>
      <c r="BA226" s="204">
        <f t="shared" si="498"/>
      </c>
      <c r="BB226" s="204">
        <f t="shared" si="498"/>
      </c>
      <c r="BC226" s="204">
        <f t="shared" si="498"/>
      </c>
      <c r="BD226" s="950">
        <f t="shared" si="498"/>
      </c>
      <c r="BE226" s="204">
        <f t="shared" si="498"/>
      </c>
      <c r="BF226" s="204">
        <f t="shared" si="498"/>
      </c>
      <c r="BG226" s="204">
        <f t="shared" si="498"/>
      </c>
      <c r="BH226" s="204">
        <f t="shared" si="498"/>
      </c>
      <c r="BI226" s="950">
        <f t="shared" si="498"/>
      </c>
      <c r="BJ226" s="204">
        <f t="shared" si="498"/>
      </c>
      <c r="BK226" s="204">
        <f t="shared" si="498"/>
      </c>
      <c r="BL226" s="204">
        <f t="shared" ref="BL226:BQ226" si="499">-(BL225-BG225)*10000</f>
      </c>
      <c r="BM226" s="204">
        <f t="shared" si="499"/>
      </c>
      <c r="BN226" s="950">
        <f t="shared" si="499"/>
      </c>
      <c r="BO226" s="204">
        <f t="shared" si="499"/>
      </c>
      <c r="BP226" s="204">
        <f t="shared" si="499"/>
      </c>
      <c r="BQ226" s="204">
        <f t="shared" si="499"/>
      </c>
      <c r="BR226" s="204">
        <f>-(BR225-BM225)*10000</f>
      </c>
      <c r="BS226" s="950">
        <f>-(BS225-BN225)*10000</f>
      </c>
      <c r="BT226" s="294">
        <f>-(BT225-BO225)*10000</f>
      </c>
      <c r="BU226" s="850">
        <v>-50</v>
      </c>
      <c r="BV226" s="850">
        <v>-50</v>
      </c>
      <c r="BW226" s="850">
        <v>-50</v>
      </c>
      <c r="BX226" s="950">
        <f>-(BX225-BS225)*10000</f>
      </c>
      <c r="BY226" s="850">
        <v>-30</v>
      </c>
      <c r="BZ226" s="850">
        <v>-50</v>
      </c>
      <c r="CA226" s="850">
        <v>100</v>
      </c>
      <c r="CB226" s="850">
        <v>50</v>
      </c>
      <c r="CC226" s="950">
        <f>-(CC225-BX225)*10000</f>
      </c>
      <c r="CD226" s="951">
        <v>-50</v>
      </c>
      <c r="CE226" s="951">
        <v>-29.979398031023301</v>
      </c>
      <c r="CF226" s="951">
        <v>-29.979398031023301</v>
      </c>
      <c r="CG226" s="131"/>
    </row>
    <row r="227" spans="1:85" s="587" customFormat="1" ht="7.5" customHeight="1" x14ac:dyDescent="0.3">
      <c r="A227" s="429"/>
      <c r="B227" s="250"/>
      <c r="C227" s="969"/>
      <c r="D227" s="969"/>
      <c r="E227" s="969"/>
      <c r="F227" s="969"/>
      <c r="G227" s="759"/>
      <c r="H227" s="759"/>
      <c r="I227" s="759"/>
      <c r="J227" s="759"/>
      <c r="K227" s="969"/>
      <c r="L227" s="759"/>
      <c r="M227" s="759"/>
      <c r="N227" s="759"/>
      <c r="O227" s="759"/>
      <c r="P227" s="969"/>
      <c r="Q227" s="759"/>
      <c r="R227" s="759"/>
      <c r="S227" s="759"/>
      <c r="T227" s="759"/>
      <c r="U227" s="969"/>
      <c r="V227" s="759"/>
      <c r="W227" s="759"/>
      <c r="X227" s="759"/>
      <c r="Y227" s="759"/>
      <c r="Z227" s="969"/>
      <c r="AA227" s="759"/>
      <c r="AB227" s="759"/>
      <c r="AC227" s="759"/>
      <c r="AD227" s="759"/>
      <c r="AE227" s="969"/>
      <c r="AF227" s="759"/>
      <c r="AG227" s="759"/>
      <c r="AH227" s="759"/>
      <c r="AI227" s="759"/>
      <c r="AJ227" s="969"/>
      <c r="AK227" s="759"/>
      <c r="AL227" s="759"/>
      <c r="AM227" s="759"/>
      <c r="AN227" s="759"/>
      <c r="AO227" s="969"/>
      <c r="AP227" s="759"/>
      <c r="AQ227" s="759"/>
      <c r="AR227" s="759"/>
      <c r="AS227" s="759"/>
      <c r="AT227" s="969"/>
      <c r="AU227" s="759"/>
      <c r="AV227" s="759"/>
      <c r="AW227" s="759"/>
      <c r="AX227" s="759"/>
      <c r="AY227" s="969"/>
      <c r="AZ227" s="759"/>
      <c r="BA227" s="759"/>
      <c r="BB227" s="759"/>
      <c r="BC227" s="759"/>
      <c r="BD227" s="969"/>
      <c r="BE227" s="759"/>
      <c r="BF227" s="759"/>
      <c r="BG227" s="759"/>
      <c r="BH227" s="759"/>
      <c r="BI227" s="969"/>
      <c r="BJ227" s="759"/>
      <c r="BK227" s="759"/>
      <c r="BL227" s="759"/>
      <c r="BM227" s="759"/>
      <c r="BN227" s="969"/>
      <c r="BO227" s="759"/>
      <c r="BP227" s="759"/>
      <c r="BQ227" s="759"/>
      <c r="BR227" s="759"/>
      <c r="BS227" s="969"/>
      <c r="BT227" s="760"/>
      <c r="BU227" s="759"/>
      <c r="BV227" s="759"/>
      <c r="BW227" s="759"/>
      <c r="BX227" s="969"/>
      <c r="BY227" s="759"/>
      <c r="BZ227" s="759"/>
      <c r="CA227" s="759"/>
      <c r="CB227" s="759"/>
      <c r="CC227" s="969"/>
      <c r="CD227" s="969"/>
      <c r="CE227" s="969"/>
      <c r="CF227" s="969"/>
      <c r="CG227" s="183"/>
    </row>
    <row r="228" spans="1:85" s="587" customFormat="1" x14ac:dyDescent="0.3">
      <c r="A228" s="255" t="s">
        <v>625</v>
      </c>
      <c r="B228" s="430"/>
      <c r="C228" s="962">
        <f t="shared" ref="C228:AV228" si="500">C421</f>
      </c>
      <c r="D228" s="962">
        <f t="shared" si="500"/>
      </c>
      <c r="E228" s="962">
        <f t="shared" si="500"/>
      </c>
      <c r="F228" s="962">
        <f t="shared" si="500"/>
      </c>
      <c r="G228" s="757">
        <f t="shared" si="500"/>
      </c>
      <c r="H228" s="757">
        <f t="shared" si="500"/>
      </c>
      <c r="I228" s="757">
        <f t="shared" si="500"/>
      </c>
      <c r="J228" s="757">
        <f t="shared" si="500"/>
      </c>
      <c r="K228" s="962">
        <f t="shared" si="500"/>
      </c>
      <c r="L228" s="757">
        <f t="shared" si="500"/>
      </c>
      <c r="M228" s="757">
        <f t="shared" si="500"/>
      </c>
      <c r="N228" s="757">
        <f t="shared" si="500"/>
      </c>
      <c r="O228" s="757">
        <f t="shared" si="500"/>
      </c>
      <c r="P228" s="962">
        <f t="shared" si="500"/>
      </c>
      <c r="Q228" s="757">
        <f t="shared" si="500"/>
      </c>
      <c r="R228" s="757">
        <f t="shared" si="500"/>
      </c>
      <c r="S228" s="757">
        <f t="shared" si="500"/>
      </c>
      <c r="T228" s="757">
        <f t="shared" si="500"/>
      </c>
      <c r="U228" s="962">
        <f t="shared" si="500"/>
      </c>
      <c r="V228" s="757">
        <f t="shared" si="500"/>
      </c>
      <c r="W228" s="757">
        <f t="shared" si="500"/>
      </c>
      <c r="X228" s="757">
        <f t="shared" si="500"/>
      </c>
      <c r="Y228" s="757">
        <f t="shared" si="500"/>
      </c>
      <c r="Z228" s="962">
        <f t="shared" si="500"/>
      </c>
      <c r="AA228" s="757">
        <f t="shared" si="500"/>
      </c>
      <c r="AB228" s="757">
        <f t="shared" si="500"/>
      </c>
      <c r="AC228" s="757">
        <f t="shared" si="500"/>
      </c>
      <c r="AD228" s="757">
        <f t="shared" si="500"/>
      </c>
      <c r="AE228" s="962">
        <f t="shared" si="500"/>
      </c>
      <c r="AF228" s="757">
        <f t="shared" si="500"/>
      </c>
      <c r="AG228" s="757">
        <f t="shared" si="500"/>
      </c>
      <c r="AH228" s="757">
        <f t="shared" si="500"/>
      </c>
      <c r="AI228" s="757">
        <f t="shared" si="500"/>
      </c>
      <c r="AJ228" s="962">
        <f t="shared" si="500"/>
      </c>
      <c r="AK228" s="757">
        <f t="shared" si="500"/>
      </c>
      <c r="AL228" s="757">
        <f t="shared" si="500"/>
      </c>
      <c r="AM228" s="757">
        <f t="shared" si="500"/>
      </c>
      <c r="AN228" s="757">
        <f t="shared" si="500"/>
      </c>
      <c r="AO228" s="962">
        <f t="shared" si="500"/>
      </c>
      <c r="AP228" s="757">
        <f t="shared" si="500"/>
      </c>
      <c r="AQ228" s="757">
        <f t="shared" si="500"/>
      </c>
      <c r="AR228" s="757">
        <f t="shared" si="500"/>
      </c>
      <c r="AS228" s="757">
        <f t="shared" si="500"/>
      </c>
      <c r="AT228" s="962">
        <f t="shared" si="500"/>
      </c>
      <c r="AU228" s="757">
        <f t="shared" si="500"/>
      </c>
      <c r="AV228" s="757">
        <f t="shared" si="500"/>
      </c>
      <c r="AW228" s="757">
        <f t="shared" ref="AW228:BB228" si="501">AW421</f>
      </c>
      <c r="AX228" s="757">
        <f t="shared" si="501"/>
      </c>
      <c r="AY228" s="962">
        <f t="shared" si="501"/>
      </c>
      <c r="AZ228" s="757">
        <f t="shared" si="501"/>
      </c>
      <c r="BA228" s="757">
        <f t="shared" si="501"/>
      </c>
      <c r="BB228" s="757">
        <f t="shared" si="501"/>
      </c>
      <c r="BC228" s="757">
        <f t="shared" ref="BC228:BI228" si="502">BC421</f>
      </c>
      <c r="BD228" s="962">
        <f t="shared" si="502"/>
      </c>
      <c r="BE228" s="757">
        <f t="shared" si="502"/>
      </c>
      <c r="BF228" s="757">
        <f t="shared" si="502"/>
      </c>
      <c r="BG228" s="757">
        <f t="shared" si="502"/>
      </c>
      <c r="BH228" s="757">
        <f t="shared" si="502"/>
      </c>
      <c r="BI228" s="962">
        <f t="shared" si="502"/>
      </c>
      <c r="BJ228" s="757">
        <f t="shared" ref="BJ228:BO228" si="503">BJ421</f>
      </c>
      <c r="BK228" s="757">
        <f t="shared" si="503"/>
      </c>
      <c r="BL228" s="757">
        <f t="shared" si="503"/>
      </c>
      <c r="BM228" s="757">
        <f t="shared" si="503"/>
      </c>
      <c r="BN228" s="962">
        <f t="shared" si="503"/>
      </c>
      <c r="BO228" s="757">
        <f t="shared" si="503"/>
      </c>
      <c r="BP228" s="757">
        <f>BP421</f>
      </c>
      <c r="BQ228" s="757">
        <f>BQ421</f>
      </c>
      <c r="BR228" s="757">
        <f>BR421</f>
      </c>
      <c r="BS228" s="962">
        <f>BS421</f>
      </c>
      <c r="BT228" s="758">
        <f>BT421</f>
      </c>
      <c r="BU228" s="757">
        <f>BU230*BU209</f>
      </c>
      <c r="BV228" s="757">
        <f>BV230*BV209</f>
      </c>
      <c r="BW228" s="757">
        <f>BW230*BW209</f>
      </c>
      <c r="BX228" s="962">
        <f>SUM(BT228,BU228,BV228,BW228)</f>
      </c>
      <c r="BY228" s="757">
        <f>BY230*BY209</f>
      </c>
      <c r="BZ228" s="757">
        <f>BZ230*BZ209</f>
      </c>
      <c r="CA228" s="757">
        <f>CA230*CA209</f>
      </c>
      <c r="CB228" s="757">
        <f>CB230*CB209</f>
      </c>
      <c r="CC228" s="962">
        <f>SUM(BY228,BZ228,CA228,CB228)</f>
      </c>
      <c r="CD228" s="962">
        <f>CD230*CD209</f>
      </c>
      <c r="CE228" s="962">
        <f>CE230*CE209</f>
      </c>
      <c r="CF228" s="962">
        <f>CF230*CF209</f>
      </c>
      <c r="CG228" s="459"/>
    </row>
    <row r="229" spans="1:85" s="586" customFormat="1" x14ac:dyDescent="0.3">
      <c r="A229" s="69" t="s">
        <v>626</v>
      </c>
      <c r="B229" s="311"/>
      <c r="C229" s="935"/>
      <c r="D229" s="935">
        <f>D228/C228-1</f>
      </c>
      <c r="E229" s="935">
        <f>E228/D228-1</f>
      </c>
      <c r="F229" s="935">
        <f>F228/E228-1</f>
      </c>
      <c r="G229" s="58"/>
      <c r="H229" s="58"/>
      <c r="I229" s="58"/>
      <c r="J229" s="58"/>
      <c r="K229" s="935">
        <f t="shared" ref="K229:AW229" si="504">K228/F228-1</f>
      </c>
      <c r="L229" s="58">
        <f t="shared" si="504"/>
      </c>
      <c r="M229" s="58">
        <f t="shared" si="504"/>
      </c>
      <c r="N229" s="58">
        <f t="shared" si="504"/>
      </c>
      <c r="O229" s="58">
        <f t="shared" si="504"/>
      </c>
      <c r="P229" s="935">
        <f t="shared" si="504"/>
      </c>
      <c r="Q229" s="58">
        <f t="shared" si="504"/>
      </c>
      <c r="R229" s="58">
        <f t="shared" si="504"/>
      </c>
      <c r="S229" s="58">
        <f t="shared" si="504"/>
      </c>
      <c r="T229" s="58">
        <f t="shared" si="504"/>
      </c>
      <c r="U229" s="935">
        <f t="shared" si="504"/>
      </c>
      <c r="V229" s="58">
        <f t="shared" si="504"/>
      </c>
      <c r="W229" s="58">
        <f t="shared" si="504"/>
      </c>
      <c r="X229" s="58">
        <f t="shared" si="504"/>
      </c>
      <c r="Y229" s="58">
        <f t="shared" si="504"/>
      </c>
      <c r="Z229" s="935">
        <f t="shared" si="504"/>
      </c>
      <c r="AA229" s="58">
        <f t="shared" si="504"/>
      </c>
      <c r="AB229" s="58">
        <f t="shared" si="504"/>
      </c>
      <c r="AC229" s="58">
        <f t="shared" si="504"/>
      </c>
      <c r="AD229" s="58">
        <f t="shared" si="504"/>
      </c>
      <c r="AE229" s="935">
        <f t="shared" si="504"/>
      </c>
      <c r="AF229" s="58">
        <f t="shared" si="504"/>
      </c>
      <c r="AG229" s="58">
        <f t="shared" si="504"/>
      </c>
      <c r="AH229" s="58">
        <f t="shared" si="504"/>
      </c>
      <c r="AI229" s="58">
        <f t="shared" si="504"/>
      </c>
      <c r="AJ229" s="935">
        <f t="shared" si="504"/>
      </c>
      <c r="AK229" s="58">
        <f t="shared" si="504"/>
      </c>
      <c r="AL229" s="58">
        <f t="shared" si="504"/>
      </c>
      <c r="AM229" s="58">
        <f t="shared" si="504"/>
      </c>
      <c r="AN229" s="58">
        <f t="shared" si="504"/>
      </c>
      <c r="AO229" s="935">
        <f t="shared" si="504"/>
      </c>
      <c r="AP229" s="58">
        <f t="shared" si="504"/>
      </c>
      <c r="AQ229" s="58">
        <f t="shared" si="504"/>
      </c>
      <c r="AR229" s="58">
        <f t="shared" si="504"/>
      </c>
      <c r="AS229" s="58">
        <f t="shared" si="504"/>
      </c>
      <c r="AT229" s="935">
        <f t="shared" si="504"/>
      </c>
      <c r="AU229" s="58">
        <f t="shared" si="504"/>
      </c>
      <c r="AV229" s="58">
        <f t="shared" si="504"/>
      </c>
      <c r="AW229" s="58">
        <f t="shared" si="504"/>
      </c>
      <c r="AX229" s="58">
        <f t="shared" ref="AX229:BD229" si="505">AX228/AS228-1</f>
      </c>
      <c r="AY229" s="935">
        <f t="shared" si="505"/>
      </c>
      <c r="AZ229" s="58">
        <f t="shared" si="505"/>
      </c>
      <c r="BA229" s="58">
        <f t="shared" si="505"/>
      </c>
      <c r="BB229" s="58">
        <f t="shared" si="505"/>
      </c>
      <c r="BC229" s="58">
        <f t="shared" si="505"/>
      </c>
      <c r="BD229" s="935">
        <f t="shared" si="505"/>
      </c>
      <c r="BE229" s="58">
        <f t="shared" ref="BE229:BI229" si="506">BE228/AZ228-1</f>
      </c>
      <c r="BF229" s="58">
        <f t="shared" si="506"/>
      </c>
      <c r="BG229" s="58">
        <f t="shared" si="506"/>
      </c>
      <c r="BH229" s="58">
        <f t="shared" si="506"/>
      </c>
      <c r="BI229" s="935">
        <f t="shared" si="506"/>
      </c>
      <c r="BJ229" s="58">
        <f t="shared" ref="BJ229:BX229" si="507">BJ228/BE228-1</f>
      </c>
      <c r="BK229" s="58">
        <f t="shared" si="507"/>
      </c>
      <c r="BL229" s="58">
        <f t="shared" si="507"/>
      </c>
      <c r="BM229" s="58">
        <f t="shared" si="507"/>
      </c>
      <c r="BN229" s="935">
        <f t="shared" si="507"/>
      </c>
      <c r="BO229" s="58">
        <f t="shared" ref="BO229:BW229" si="508">BO228/BJ228-1</f>
      </c>
      <c r="BP229" s="58">
        <f t="shared" si="508"/>
      </c>
      <c r="BQ229" s="58">
        <f t="shared" si="508"/>
      </c>
      <c r="BR229" s="58">
        <f t="shared" si="508"/>
      </c>
      <c r="BS229" s="935">
        <f t="shared" si="508"/>
      </c>
      <c r="BT229" s="669">
        <f>BT228/BO228-1</f>
      </c>
      <c r="BU229" s="58">
        <f t="shared" si="508"/>
      </c>
      <c r="BV229" s="58">
        <f t="shared" si="508"/>
      </c>
      <c r="BW229" s="58">
        <f t="shared" si="508"/>
      </c>
      <c r="BX229" s="935">
        <f t="shared" si="507"/>
      </c>
      <c r="BY229" s="58">
        <f>BY228/BT228-1</f>
      </c>
      <c r="BZ229" s="58">
        <f>BZ228/BU228-1</f>
      </c>
      <c r="CA229" s="58">
        <f>CA228/BV228-1</f>
      </c>
      <c r="CB229" s="58">
        <f>CB228/BW228-1</f>
      </c>
      <c r="CC229" s="935">
        <f>CC228/BX228-1</f>
      </c>
      <c r="CD229" s="935">
        <f>CD228/CC228-1</f>
      </c>
      <c r="CE229" s="935">
        <f>CE228/CD228-1</f>
      </c>
      <c r="CF229" s="935">
        <f>CF228/CE228-1</f>
      </c>
      <c r="CG229" s="308"/>
    </row>
    <row r="230" spans="1:85" s="590" customFormat="1" x14ac:dyDescent="0.3">
      <c r="A230" s="278" t="s">
        <v>36</v>
      </c>
      <c r="B230" s="251"/>
      <c r="C230" s="973">
        <f t="shared" ref="C230:AH230" si="509">C228/C209</f>
      </c>
      <c r="D230" s="973">
        <f t="shared" si="509"/>
      </c>
      <c r="E230" s="973">
        <f t="shared" si="509"/>
      </c>
      <c r="F230" s="973">
        <f t="shared" si="509"/>
      </c>
      <c r="G230" s="59">
        <f t="shared" si="509"/>
      </c>
      <c r="H230" s="59">
        <f t="shared" si="509"/>
      </c>
      <c r="I230" s="59">
        <f t="shared" si="509"/>
      </c>
      <c r="J230" s="59">
        <f t="shared" si="509"/>
      </c>
      <c r="K230" s="973">
        <f t="shared" si="509"/>
      </c>
      <c r="L230" s="59">
        <f t="shared" si="509"/>
      </c>
      <c r="M230" s="59">
        <f t="shared" si="509"/>
      </c>
      <c r="N230" s="59">
        <f t="shared" si="509"/>
      </c>
      <c r="O230" s="59">
        <f t="shared" si="509"/>
      </c>
      <c r="P230" s="973">
        <f t="shared" si="509"/>
      </c>
      <c r="Q230" s="59">
        <f t="shared" si="509"/>
      </c>
      <c r="R230" s="59">
        <f t="shared" si="509"/>
      </c>
      <c r="S230" s="59">
        <f t="shared" si="509"/>
      </c>
      <c r="T230" s="59">
        <f t="shared" si="509"/>
      </c>
      <c r="U230" s="973">
        <f t="shared" si="509"/>
      </c>
      <c r="V230" s="59">
        <f t="shared" si="509"/>
      </c>
      <c r="W230" s="59">
        <f t="shared" si="509"/>
      </c>
      <c r="X230" s="59">
        <f t="shared" si="509"/>
      </c>
      <c r="Y230" s="59">
        <f t="shared" si="509"/>
      </c>
      <c r="Z230" s="973">
        <f t="shared" si="509"/>
      </c>
      <c r="AA230" s="59">
        <f t="shared" si="509"/>
      </c>
      <c r="AB230" s="59">
        <f t="shared" si="509"/>
      </c>
      <c r="AC230" s="59">
        <f t="shared" si="509"/>
      </c>
      <c r="AD230" s="59">
        <f t="shared" si="509"/>
      </c>
      <c r="AE230" s="973">
        <f t="shared" si="509"/>
      </c>
      <c r="AF230" s="59">
        <f t="shared" si="509"/>
      </c>
      <c r="AG230" s="59">
        <f t="shared" si="509"/>
      </c>
      <c r="AH230" s="59">
        <f t="shared" si="509"/>
      </c>
      <c r="AI230" s="59">
        <f t="shared" ref="AI230:BK230" si="510">AI228/AI209</f>
      </c>
      <c r="AJ230" s="973">
        <f t="shared" si="510"/>
      </c>
      <c r="AK230" s="59">
        <f t="shared" si="510"/>
      </c>
      <c r="AL230" s="59">
        <f t="shared" si="510"/>
      </c>
      <c r="AM230" s="59">
        <f t="shared" si="510"/>
      </c>
      <c r="AN230" s="59">
        <f t="shared" si="510"/>
      </c>
      <c r="AO230" s="973">
        <f t="shared" si="510"/>
      </c>
      <c r="AP230" s="59">
        <f t="shared" si="510"/>
      </c>
      <c r="AQ230" s="59">
        <f t="shared" si="510"/>
      </c>
      <c r="AR230" s="59">
        <f t="shared" si="510"/>
      </c>
      <c r="AS230" s="59">
        <f t="shared" si="510"/>
      </c>
      <c r="AT230" s="973">
        <f t="shared" si="510"/>
      </c>
      <c r="AU230" s="59">
        <f t="shared" si="510"/>
      </c>
      <c r="AV230" s="59">
        <f t="shared" si="510"/>
      </c>
      <c r="AW230" s="59">
        <f t="shared" si="510"/>
      </c>
      <c r="AX230" s="59">
        <f t="shared" si="510"/>
      </c>
      <c r="AY230" s="973">
        <f t="shared" si="510"/>
      </c>
      <c r="AZ230" s="59">
        <f t="shared" si="510"/>
      </c>
      <c r="BA230" s="59">
        <f t="shared" si="510"/>
      </c>
      <c r="BB230" s="59">
        <f t="shared" si="510"/>
      </c>
      <c r="BC230" s="59">
        <f t="shared" si="510"/>
      </c>
      <c r="BD230" s="973">
        <f t="shared" si="510"/>
      </c>
      <c r="BE230" s="59">
        <f t="shared" si="510"/>
      </c>
      <c r="BF230" s="59">
        <f t="shared" si="510"/>
      </c>
      <c r="BG230" s="59">
        <f t="shared" si="510"/>
      </c>
      <c r="BH230" s="59">
        <f t="shared" si="510"/>
      </c>
      <c r="BI230" s="973">
        <f t="shared" si="510"/>
      </c>
      <c r="BJ230" s="59">
        <f t="shared" si="510"/>
      </c>
      <c r="BK230" s="59">
        <f t="shared" si="510"/>
      </c>
      <c r="BL230" s="59">
        <f t="shared" ref="BL230:BQ230" si="511">BL228/BL209</f>
      </c>
      <c r="BM230" s="59">
        <f t="shared" si="511"/>
      </c>
      <c r="BN230" s="973">
        <f t="shared" si="511"/>
      </c>
      <c r="BO230" s="59">
        <f t="shared" si="511"/>
      </c>
      <c r="BP230" s="59">
        <f t="shared" si="511"/>
      </c>
      <c r="BQ230" s="59">
        <f t="shared" si="511"/>
      </c>
      <c r="BR230" s="59">
        <f>BR228/BR209</f>
      </c>
      <c r="BS230" s="973">
        <f>BS228/BS209</f>
      </c>
      <c r="BT230" s="675">
        <f>BT228/BT209</f>
      </c>
      <c r="BU230" s="59">
        <f>-BU231/10000+BP230</f>
      </c>
      <c r="BV230" s="59">
        <f>-BV231/10000+BQ230</f>
      </c>
      <c r="BW230" s="59">
        <f>-BW231/10000+BR230</f>
      </c>
      <c r="BX230" s="973">
        <f>BX228/BX209</f>
      </c>
      <c r="BY230" s="59">
        <f>-BY231/10000+BT230</f>
      </c>
      <c r="BZ230" s="59">
        <f>-BZ231/10000+BU230</f>
      </c>
      <c r="CA230" s="59">
        <f>-CA231/10000+BV230</f>
      </c>
      <c r="CB230" s="59">
        <f>-CB231/10000+BW230</f>
      </c>
      <c r="CC230" s="973">
        <f>CC228/CC209</f>
      </c>
      <c r="CD230" s="973">
        <f>-CD231/10000+CC230</f>
      </c>
      <c r="CE230" s="973">
        <f>-CE231/10000+CD230</f>
      </c>
      <c r="CF230" s="973">
        <f>-CF231/10000+CE230</f>
      </c>
      <c r="CG230" s="8"/>
    </row>
    <row r="231" spans="1:85" s="582" customFormat="1" x14ac:dyDescent="0.3">
      <c r="A231" s="328" t="s">
        <v>627</v>
      </c>
      <c r="B231" s="242"/>
      <c r="C231" s="950"/>
      <c r="D231" s="950">
        <f>-(D230-C230)*10000</f>
      </c>
      <c r="E231" s="950">
        <f>-(E230-D230)*10000</f>
      </c>
      <c r="F231" s="950">
        <f>-(F230-E230)*10000</f>
      </c>
      <c r="G231" s="204"/>
      <c r="H231" s="204"/>
      <c r="I231" s="204"/>
      <c r="J231" s="204"/>
      <c r="K231" s="950">
        <f t="shared" ref="K231:AP231" si="512">-(K230-F230)*10000</f>
      </c>
      <c r="L231" s="204">
        <f t="shared" si="512"/>
      </c>
      <c r="M231" s="204">
        <f t="shared" si="512"/>
      </c>
      <c r="N231" s="204">
        <f t="shared" si="512"/>
      </c>
      <c r="O231" s="204">
        <f t="shared" si="512"/>
      </c>
      <c r="P231" s="950">
        <f t="shared" si="512"/>
      </c>
      <c r="Q231" s="204">
        <f t="shared" si="512"/>
      </c>
      <c r="R231" s="204">
        <f t="shared" si="512"/>
      </c>
      <c r="S231" s="204">
        <f t="shared" si="512"/>
      </c>
      <c r="T231" s="204">
        <f t="shared" si="512"/>
      </c>
      <c r="U231" s="950">
        <f t="shared" si="512"/>
      </c>
      <c r="V231" s="204">
        <f t="shared" si="512"/>
      </c>
      <c r="W231" s="204">
        <f t="shared" si="512"/>
      </c>
      <c r="X231" s="204">
        <f t="shared" si="512"/>
      </c>
      <c r="Y231" s="204">
        <f t="shared" si="512"/>
      </c>
      <c r="Z231" s="950">
        <f t="shared" si="512"/>
      </c>
      <c r="AA231" s="204">
        <f t="shared" si="512"/>
      </c>
      <c r="AB231" s="204">
        <f t="shared" si="512"/>
      </c>
      <c r="AC231" s="204">
        <f t="shared" si="512"/>
      </c>
      <c r="AD231" s="204">
        <f t="shared" si="512"/>
      </c>
      <c r="AE231" s="950">
        <f t="shared" si="512"/>
      </c>
      <c r="AF231" s="204">
        <f t="shared" si="512"/>
      </c>
      <c r="AG231" s="204">
        <f t="shared" si="512"/>
      </c>
      <c r="AH231" s="204">
        <f t="shared" si="512"/>
      </c>
      <c r="AI231" s="204">
        <f t="shared" si="512"/>
      </c>
      <c r="AJ231" s="950">
        <f t="shared" si="512"/>
      </c>
      <c r="AK231" s="204">
        <f t="shared" si="512"/>
      </c>
      <c r="AL231" s="204">
        <f t="shared" si="512"/>
      </c>
      <c r="AM231" s="204">
        <f t="shared" si="512"/>
      </c>
      <c r="AN231" s="204">
        <f t="shared" si="512"/>
      </c>
      <c r="AO231" s="950">
        <f t="shared" si="512"/>
      </c>
      <c r="AP231" s="204">
        <f t="shared" si="512"/>
      </c>
      <c r="AQ231" s="204">
        <f t="shared" ref="AQ231:BK231" si="513">-(AQ230-AL230)*10000</f>
      </c>
      <c r="AR231" s="204">
        <f t="shared" si="513"/>
      </c>
      <c r="AS231" s="204">
        <f t="shared" si="513"/>
      </c>
      <c r="AT231" s="950">
        <f t="shared" si="513"/>
      </c>
      <c r="AU231" s="204">
        <f t="shared" si="513"/>
      </c>
      <c r="AV231" s="204">
        <f t="shared" si="513"/>
      </c>
      <c r="AW231" s="204">
        <f t="shared" si="513"/>
      </c>
      <c r="AX231" s="204">
        <f t="shared" si="513"/>
      </c>
      <c r="AY231" s="950">
        <f t="shared" si="513"/>
      </c>
      <c r="AZ231" s="204">
        <f t="shared" si="513"/>
      </c>
      <c r="BA231" s="204">
        <f t="shared" si="513"/>
      </c>
      <c r="BB231" s="204">
        <f t="shared" si="513"/>
      </c>
      <c r="BC231" s="204">
        <f t="shared" si="513"/>
      </c>
      <c r="BD231" s="950">
        <f t="shared" si="513"/>
      </c>
      <c r="BE231" s="204">
        <f t="shared" si="513"/>
      </c>
      <c r="BF231" s="204">
        <f t="shared" si="513"/>
      </c>
      <c r="BG231" s="204">
        <f t="shared" si="513"/>
      </c>
      <c r="BH231" s="204">
        <f t="shared" si="513"/>
      </c>
      <c r="BI231" s="950">
        <f t="shared" si="513"/>
      </c>
      <c r="BJ231" s="204">
        <f t="shared" si="513"/>
      </c>
      <c r="BK231" s="204">
        <f t="shared" si="513"/>
      </c>
      <c r="BL231" s="204">
        <f t="shared" ref="BL231:BQ231" si="514">-(BL230-BG230)*10000</f>
      </c>
      <c r="BM231" s="204">
        <f t="shared" si="514"/>
      </c>
      <c r="BN231" s="950">
        <f t="shared" si="514"/>
      </c>
      <c r="BO231" s="204">
        <f t="shared" si="514"/>
      </c>
      <c r="BP231" s="204">
        <f t="shared" si="514"/>
      </c>
      <c r="BQ231" s="204">
        <f t="shared" si="514"/>
      </c>
      <c r="BR231" s="204">
        <f>-(BR230-BM230)*10000</f>
      </c>
      <c r="BS231" s="950">
        <f>-(BS230-BN230)*10000</f>
      </c>
      <c r="BT231" s="294">
        <f>-(BT230-BO230)*10000</f>
      </c>
      <c r="BU231" s="850">
        <v>-50</v>
      </c>
      <c r="BV231" s="850">
        <v>-50</v>
      </c>
      <c r="BW231" s="850">
        <v>-50</v>
      </c>
      <c r="BX231" s="950">
        <f>-(BX230-BS230)*10000</f>
      </c>
      <c r="BY231" s="850">
        <v>-100</v>
      </c>
      <c r="BZ231" s="850">
        <v>-50</v>
      </c>
      <c r="CA231" s="850">
        <v>50</v>
      </c>
      <c r="CB231" s="850">
        <v>100</v>
      </c>
      <c r="CC231" s="950">
        <f>-(CC230-BX230)*10000</f>
      </c>
      <c r="CD231" s="951">
        <v>-100</v>
      </c>
      <c r="CE231" s="951">
        <v>10</v>
      </c>
      <c r="CF231" s="951">
        <v>10</v>
      </c>
      <c r="CG231" s="131"/>
    </row>
    <row r="232" spans="1:85" s="587" customFormat="1" ht="7.5" customHeight="1" x14ac:dyDescent="0.3">
      <c r="A232" s="429"/>
      <c r="B232" s="250"/>
      <c r="C232" s="969"/>
      <c r="D232" s="969"/>
      <c r="E232" s="969"/>
      <c r="F232" s="969"/>
      <c r="G232" s="759"/>
      <c r="H232" s="759"/>
      <c r="I232" s="759"/>
      <c r="J232" s="759"/>
      <c r="K232" s="969"/>
      <c r="L232" s="759"/>
      <c r="M232" s="759"/>
      <c r="N232" s="759"/>
      <c r="O232" s="759"/>
      <c r="P232" s="969"/>
      <c r="Q232" s="759"/>
      <c r="R232" s="759"/>
      <c r="S232" s="759"/>
      <c r="T232" s="759"/>
      <c r="U232" s="969"/>
      <c r="V232" s="759"/>
      <c r="W232" s="759"/>
      <c r="X232" s="759"/>
      <c r="Y232" s="759"/>
      <c r="Z232" s="969"/>
      <c r="AA232" s="759"/>
      <c r="AB232" s="759"/>
      <c r="AC232" s="759"/>
      <c r="AD232" s="759"/>
      <c r="AE232" s="969"/>
      <c r="AF232" s="759"/>
      <c r="AG232" s="759"/>
      <c r="AH232" s="759"/>
      <c r="AI232" s="759"/>
      <c r="AJ232" s="969"/>
      <c r="AK232" s="759"/>
      <c r="AL232" s="759"/>
      <c r="AM232" s="759"/>
      <c r="AN232" s="759"/>
      <c r="AO232" s="969"/>
      <c r="AP232" s="759"/>
      <c r="AQ232" s="759"/>
      <c r="AR232" s="759"/>
      <c r="AS232" s="759"/>
      <c r="AT232" s="969"/>
      <c r="AU232" s="759"/>
      <c r="AV232" s="759"/>
      <c r="AW232" s="759"/>
      <c r="AX232" s="759"/>
      <c r="AY232" s="969"/>
      <c r="AZ232" s="759"/>
      <c r="BA232" s="759"/>
      <c r="BB232" s="759"/>
      <c r="BC232" s="759"/>
      <c r="BD232" s="969"/>
      <c r="BE232" s="759"/>
      <c r="BF232" s="759"/>
      <c r="BG232" s="759"/>
      <c r="BH232" s="759"/>
      <c r="BI232" s="969"/>
      <c r="BJ232" s="759"/>
      <c r="BK232" s="759"/>
      <c r="BL232" s="759"/>
      <c r="BM232" s="759"/>
      <c r="BN232" s="969"/>
      <c r="BO232" s="759"/>
      <c r="BP232" s="759"/>
      <c r="BQ232" s="759"/>
      <c r="BR232" s="759"/>
      <c r="BS232" s="969"/>
      <c r="BT232" s="760"/>
      <c r="BU232" s="759"/>
      <c r="BV232" s="759"/>
      <c r="BW232" s="759"/>
      <c r="BX232" s="969"/>
      <c r="BY232" s="759"/>
      <c r="BZ232" s="759"/>
      <c r="CA232" s="759"/>
      <c r="CB232" s="759"/>
      <c r="CC232" s="969"/>
      <c r="CD232" s="969"/>
      <c r="CE232" s="969"/>
      <c r="CF232" s="969"/>
      <c r="CG232" s="183"/>
    </row>
    <row r="233" spans="1:85" s="587" customFormat="1" x14ac:dyDescent="0.3">
      <c r="A233" s="255" t="s">
        <v>628</v>
      </c>
      <c r="B233" s="430"/>
      <c r="C233" s="962">
        <f t="shared" ref="C233:AV233" si="515">C423</f>
      </c>
      <c r="D233" s="962">
        <f t="shared" si="515"/>
      </c>
      <c r="E233" s="962">
        <f t="shared" si="515"/>
      </c>
      <c r="F233" s="962">
        <f t="shared" si="515"/>
      </c>
      <c r="G233" s="757">
        <f t="shared" si="515"/>
      </c>
      <c r="H233" s="757">
        <f t="shared" si="515"/>
      </c>
      <c r="I233" s="757">
        <f t="shared" si="515"/>
      </c>
      <c r="J233" s="757">
        <f t="shared" si="515"/>
      </c>
      <c r="K233" s="962">
        <f t="shared" si="515"/>
      </c>
      <c r="L233" s="757">
        <f t="shared" si="515"/>
      </c>
      <c r="M233" s="757">
        <f t="shared" si="515"/>
      </c>
      <c r="N233" s="757">
        <f t="shared" si="515"/>
      </c>
      <c r="O233" s="757">
        <f t="shared" si="515"/>
      </c>
      <c r="P233" s="962">
        <f t="shared" si="515"/>
      </c>
      <c r="Q233" s="757">
        <f t="shared" si="515"/>
      </c>
      <c r="R233" s="757">
        <f t="shared" si="515"/>
      </c>
      <c r="S233" s="757">
        <f t="shared" si="515"/>
      </c>
      <c r="T233" s="757">
        <f t="shared" si="515"/>
      </c>
      <c r="U233" s="962">
        <f t="shared" si="515"/>
      </c>
      <c r="V233" s="757">
        <f t="shared" si="515"/>
      </c>
      <c r="W233" s="757">
        <f t="shared" si="515"/>
      </c>
      <c r="X233" s="757">
        <f t="shared" si="515"/>
      </c>
      <c r="Y233" s="757">
        <f t="shared" si="515"/>
      </c>
      <c r="Z233" s="962">
        <f t="shared" si="515"/>
      </c>
      <c r="AA233" s="757">
        <f t="shared" si="515"/>
      </c>
      <c r="AB233" s="757">
        <f t="shared" si="515"/>
      </c>
      <c r="AC233" s="757">
        <f t="shared" si="515"/>
      </c>
      <c r="AD233" s="757">
        <f t="shared" si="515"/>
      </c>
      <c r="AE233" s="962">
        <f t="shared" si="515"/>
      </c>
      <c r="AF233" s="757">
        <f t="shared" si="515"/>
      </c>
      <c r="AG233" s="757">
        <f t="shared" si="515"/>
      </c>
      <c r="AH233" s="757">
        <f t="shared" si="515"/>
      </c>
      <c r="AI233" s="757">
        <f t="shared" si="515"/>
      </c>
      <c r="AJ233" s="962">
        <f t="shared" si="515"/>
      </c>
      <c r="AK233" s="757">
        <f t="shared" si="515"/>
      </c>
      <c r="AL233" s="757">
        <f t="shared" si="515"/>
      </c>
      <c r="AM233" s="757">
        <f t="shared" si="515"/>
      </c>
      <c r="AN233" s="757">
        <f t="shared" si="515"/>
      </c>
      <c r="AO233" s="962">
        <f t="shared" si="515"/>
      </c>
      <c r="AP233" s="757">
        <f t="shared" si="515"/>
      </c>
      <c r="AQ233" s="757">
        <f t="shared" si="515"/>
      </c>
      <c r="AR233" s="757">
        <f t="shared" si="515"/>
      </c>
      <c r="AS233" s="757">
        <f t="shared" si="515"/>
      </c>
      <c r="AT233" s="962">
        <f t="shared" si="515"/>
      </c>
      <c r="AU233" s="757">
        <f t="shared" si="515"/>
      </c>
      <c r="AV233" s="757">
        <f t="shared" si="515"/>
      </c>
      <c r="AW233" s="757">
        <f t="shared" ref="AW233:BB233" si="516">AW423</f>
      </c>
      <c r="AX233" s="757">
        <f t="shared" si="516"/>
      </c>
      <c r="AY233" s="962">
        <f t="shared" si="516"/>
      </c>
      <c r="AZ233" s="757">
        <f t="shared" si="516"/>
      </c>
      <c r="BA233" s="757">
        <f t="shared" si="516"/>
      </c>
      <c r="BB233" s="757">
        <f t="shared" si="516"/>
      </c>
      <c r="BC233" s="757">
        <f t="shared" ref="BC233:BI233" si="517">BC423</f>
      </c>
      <c r="BD233" s="962">
        <f t="shared" si="517"/>
      </c>
      <c r="BE233" s="757">
        <f t="shared" si="517"/>
      </c>
      <c r="BF233" s="757">
        <f t="shared" si="517"/>
      </c>
      <c r="BG233" s="757">
        <f t="shared" si="517"/>
      </c>
      <c r="BH233" s="757">
        <f t="shared" si="517"/>
      </c>
      <c r="BI233" s="962">
        <f t="shared" si="517"/>
      </c>
      <c r="BJ233" s="757">
        <f t="shared" ref="BJ233:BO233" si="518">BJ423</f>
      </c>
      <c r="BK233" s="757">
        <f t="shared" si="518"/>
      </c>
      <c r="BL233" s="757">
        <f t="shared" si="518"/>
      </c>
      <c r="BM233" s="757">
        <f t="shared" si="518"/>
      </c>
      <c r="BN233" s="962">
        <f t="shared" si="518"/>
      </c>
      <c r="BO233" s="757">
        <f t="shared" si="518"/>
      </c>
      <c r="BP233" s="757">
        <f>BP423</f>
      </c>
      <c r="BQ233" s="757">
        <f>BQ423</f>
      </c>
      <c r="BR233" s="757">
        <f>BR423</f>
      </c>
      <c r="BS233" s="962">
        <f>BS423</f>
      </c>
      <c r="BT233" s="758">
        <f>BT423</f>
      </c>
      <c r="BU233" s="757">
        <f>BU235*BU209</f>
      </c>
      <c r="BV233" s="757">
        <f>BV235*BV209</f>
      </c>
      <c r="BW233" s="757">
        <f>BW235*BW209</f>
      </c>
      <c r="BX233" s="962">
        <f>SUM(BT233,BU233,BV233,BW233)</f>
      </c>
      <c r="BY233" s="757">
        <f>BY235*BY209</f>
      </c>
      <c r="BZ233" s="757">
        <f>BZ235*BZ209</f>
      </c>
      <c r="CA233" s="757">
        <f>CA235*CA209</f>
      </c>
      <c r="CB233" s="757">
        <f>CB235*CB209</f>
      </c>
      <c r="CC233" s="962">
        <f>SUM(BY233,BZ233,CA233,CB233)</f>
      </c>
      <c r="CD233" s="962">
        <f>CD235*CD209</f>
      </c>
      <c r="CE233" s="962">
        <f>CE235*CE209</f>
      </c>
      <c r="CF233" s="962">
        <f>CF235*CF209</f>
      </c>
      <c r="CG233" s="459"/>
    </row>
    <row r="234" spans="1:85" s="586" customFormat="1" x14ac:dyDescent="0.3">
      <c r="A234" s="69" t="s">
        <v>629</v>
      </c>
      <c r="B234" s="311"/>
      <c r="C234" s="935"/>
      <c r="D234" s="935">
        <f>D233/C233-1</f>
      </c>
      <c r="E234" s="935">
        <f>E233/D233-1</f>
      </c>
      <c r="F234" s="935">
        <f>F233/E233-1</f>
      </c>
      <c r="G234" s="58"/>
      <c r="H234" s="58"/>
      <c r="I234" s="58"/>
      <c r="J234" s="58"/>
      <c r="K234" s="935">
        <f t="shared" ref="K234:AW234" si="519">K233/F233-1</f>
      </c>
      <c r="L234" s="58">
        <f t="shared" si="519"/>
      </c>
      <c r="M234" s="58">
        <f t="shared" si="519"/>
      </c>
      <c r="N234" s="58">
        <f t="shared" si="519"/>
      </c>
      <c r="O234" s="58">
        <f t="shared" si="519"/>
      </c>
      <c r="P234" s="935">
        <f t="shared" si="519"/>
      </c>
      <c r="Q234" s="58">
        <f t="shared" si="519"/>
      </c>
      <c r="R234" s="58">
        <f t="shared" si="519"/>
      </c>
      <c r="S234" s="58">
        <f t="shared" si="519"/>
      </c>
      <c r="T234" s="58">
        <f t="shared" si="519"/>
      </c>
      <c r="U234" s="935">
        <f t="shared" si="519"/>
      </c>
      <c r="V234" s="58">
        <f t="shared" si="519"/>
      </c>
      <c r="W234" s="58">
        <f t="shared" si="519"/>
      </c>
      <c r="X234" s="58">
        <f t="shared" si="519"/>
      </c>
      <c r="Y234" s="58">
        <f t="shared" si="519"/>
      </c>
      <c r="Z234" s="935">
        <f t="shared" si="519"/>
      </c>
      <c r="AA234" s="58">
        <f t="shared" si="519"/>
      </c>
      <c r="AB234" s="58">
        <f t="shared" si="519"/>
      </c>
      <c r="AC234" s="58">
        <f t="shared" si="519"/>
      </c>
      <c r="AD234" s="58">
        <f t="shared" si="519"/>
      </c>
      <c r="AE234" s="935">
        <f t="shared" si="519"/>
      </c>
      <c r="AF234" s="58">
        <f t="shared" si="519"/>
      </c>
      <c r="AG234" s="58">
        <f t="shared" si="519"/>
      </c>
      <c r="AH234" s="58">
        <f t="shared" si="519"/>
      </c>
      <c r="AI234" s="58">
        <f t="shared" si="519"/>
      </c>
      <c r="AJ234" s="935">
        <f t="shared" si="519"/>
      </c>
      <c r="AK234" s="58">
        <f t="shared" si="519"/>
      </c>
      <c r="AL234" s="58">
        <f t="shared" si="519"/>
      </c>
      <c r="AM234" s="58">
        <f t="shared" si="519"/>
      </c>
      <c r="AN234" s="58">
        <f t="shared" si="519"/>
      </c>
      <c r="AO234" s="935">
        <f t="shared" si="519"/>
      </c>
      <c r="AP234" s="58">
        <f t="shared" si="519"/>
      </c>
      <c r="AQ234" s="58">
        <f t="shared" si="519"/>
      </c>
      <c r="AR234" s="58">
        <f t="shared" si="519"/>
      </c>
      <c r="AS234" s="58">
        <f t="shared" si="519"/>
      </c>
      <c r="AT234" s="935">
        <f t="shared" si="519"/>
      </c>
      <c r="AU234" s="58">
        <f t="shared" si="519"/>
      </c>
      <c r="AV234" s="58">
        <f t="shared" si="519"/>
      </c>
      <c r="AW234" s="58">
        <f t="shared" si="519"/>
      </c>
      <c r="AX234" s="58">
        <f t="shared" ref="AX234:BD234" si="520">AX233/AS233-1</f>
      </c>
      <c r="AY234" s="935">
        <f t="shared" si="520"/>
      </c>
      <c r="AZ234" s="58">
        <f t="shared" si="520"/>
      </c>
      <c r="BA234" s="58">
        <f t="shared" si="520"/>
      </c>
      <c r="BB234" s="58">
        <f t="shared" si="520"/>
      </c>
      <c r="BC234" s="58">
        <f t="shared" si="520"/>
      </c>
      <c r="BD234" s="935">
        <f t="shared" si="520"/>
      </c>
      <c r="BE234" s="58">
        <f t="shared" ref="BE234:BI234" si="521">BE233/AZ233-1</f>
      </c>
      <c r="BF234" s="58">
        <f t="shared" si="521"/>
      </c>
      <c r="BG234" s="58">
        <f t="shared" si="521"/>
      </c>
      <c r="BH234" s="58">
        <f t="shared" si="521"/>
      </c>
      <c r="BI234" s="935">
        <f t="shared" si="521"/>
      </c>
      <c r="BJ234" s="58">
        <f t="shared" ref="BJ234:BX234" si="522">BJ233/BE233-1</f>
      </c>
      <c r="BK234" s="58">
        <f t="shared" si="522"/>
      </c>
      <c r="BL234" s="58">
        <f t="shared" si="522"/>
      </c>
      <c r="BM234" s="58">
        <f t="shared" si="522"/>
      </c>
      <c r="BN234" s="935">
        <f t="shared" si="522"/>
      </c>
      <c r="BO234" s="58">
        <f t="shared" ref="BO234:BW234" si="523">BO233/BJ233-1</f>
      </c>
      <c r="BP234" s="58">
        <f t="shared" si="523"/>
      </c>
      <c r="BQ234" s="58">
        <f t="shared" si="523"/>
      </c>
      <c r="BR234" s="58">
        <f t="shared" si="523"/>
      </c>
      <c r="BS234" s="935">
        <f t="shared" si="523"/>
      </c>
      <c r="BT234" s="669">
        <f>BT233/BO233-1</f>
      </c>
      <c r="BU234" s="58">
        <f t="shared" si="523"/>
      </c>
      <c r="BV234" s="58">
        <f t="shared" si="523"/>
      </c>
      <c r="BW234" s="58">
        <f t="shared" si="523"/>
      </c>
      <c r="BX234" s="935">
        <f t="shared" si="522"/>
      </c>
      <c r="BY234" s="58">
        <f>BY233/BT233-1</f>
      </c>
      <c r="BZ234" s="58">
        <f>BZ233/BU233-1</f>
      </c>
      <c r="CA234" s="58">
        <f>CA233/BV233-1</f>
      </c>
      <c r="CB234" s="58">
        <f>CB233/BW233-1</f>
      </c>
      <c r="CC234" s="935">
        <f>CC233/BX233-1</f>
      </c>
      <c r="CD234" s="935">
        <f>CD233/CC233-1</f>
      </c>
      <c r="CE234" s="935">
        <f>CE233/CD233-1</f>
      </c>
      <c r="CF234" s="935">
        <f>CF233/CE233-1</f>
      </c>
      <c r="CG234" s="308"/>
    </row>
    <row r="235" spans="1:85" s="590" customFormat="1" x14ac:dyDescent="0.3">
      <c r="A235" s="278" t="s">
        <v>37</v>
      </c>
      <c r="B235" s="251"/>
      <c r="C235" s="973">
        <f t="shared" ref="C235:AH235" si="524">C233/C209</f>
      </c>
      <c r="D235" s="973">
        <f t="shared" si="524"/>
      </c>
      <c r="E235" s="973">
        <f t="shared" si="524"/>
      </c>
      <c r="F235" s="973">
        <f t="shared" si="524"/>
      </c>
      <c r="G235" s="59">
        <f t="shared" si="524"/>
      </c>
      <c r="H235" s="59">
        <f t="shared" si="524"/>
      </c>
      <c r="I235" s="59">
        <f t="shared" si="524"/>
      </c>
      <c r="J235" s="59">
        <f t="shared" si="524"/>
      </c>
      <c r="K235" s="973">
        <f t="shared" si="524"/>
      </c>
      <c r="L235" s="59">
        <f t="shared" si="524"/>
      </c>
      <c r="M235" s="59">
        <f t="shared" si="524"/>
      </c>
      <c r="N235" s="59">
        <f t="shared" si="524"/>
      </c>
      <c r="O235" s="59">
        <f t="shared" si="524"/>
      </c>
      <c r="P235" s="973">
        <f t="shared" si="524"/>
      </c>
      <c r="Q235" s="59">
        <f t="shared" si="524"/>
      </c>
      <c r="R235" s="59">
        <f t="shared" si="524"/>
      </c>
      <c r="S235" s="59">
        <f t="shared" si="524"/>
      </c>
      <c r="T235" s="59">
        <f t="shared" si="524"/>
      </c>
      <c r="U235" s="973">
        <f t="shared" si="524"/>
      </c>
      <c r="V235" s="59">
        <f t="shared" si="524"/>
      </c>
      <c r="W235" s="59">
        <f t="shared" si="524"/>
      </c>
      <c r="X235" s="59">
        <f t="shared" si="524"/>
      </c>
      <c r="Y235" s="59">
        <f t="shared" si="524"/>
      </c>
      <c r="Z235" s="973">
        <f t="shared" si="524"/>
      </c>
      <c r="AA235" s="59">
        <f t="shared" si="524"/>
      </c>
      <c r="AB235" s="59">
        <f t="shared" si="524"/>
      </c>
      <c r="AC235" s="59">
        <f t="shared" si="524"/>
      </c>
      <c r="AD235" s="59">
        <f t="shared" si="524"/>
      </c>
      <c r="AE235" s="973">
        <f t="shared" si="524"/>
      </c>
      <c r="AF235" s="59">
        <f t="shared" si="524"/>
      </c>
      <c r="AG235" s="59">
        <f t="shared" si="524"/>
      </c>
      <c r="AH235" s="59">
        <f t="shared" si="524"/>
      </c>
      <c r="AI235" s="59">
        <f t="shared" ref="AI235:BK235" si="525">AI233/AI209</f>
      </c>
      <c r="AJ235" s="973">
        <f t="shared" si="525"/>
      </c>
      <c r="AK235" s="59">
        <f t="shared" si="525"/>
      </c>
      <c r="AL235" s="59">
        <f t="shared" si="525"/>
      </c>
      <c r="AM235" s="59">
        <f t="shared" si="525"/>
      </c>
      <c r="AN235" s="59">
        <f t="shared" si="525"/>
      </c>
      <c r="AO235" s="973">
        <f t="shared" si="525"/>
      </c>
      <c r="AP235" s="59">
        <f t="shared" si="525"/>
      </c>
      <c r="AQ235" s="59">
        <f t="shared" si="525"/>
      </c>
      <c r="AR235" s="59">
        <f t="shared" si="525"/>
      </c>
      <c r="AS235" s="59">
        <f t="shared" si="525"/>
      </c>
      <c r="AT235" s="973">
        <f t="shared" si="525"/>
      </c>
      <c r="AU235" s="59">
        <f t="shared" si="525"/>
      </c>
      <c r="AV235" s="59">
        <f t="shared" si="525"/>
      </c>
      <c r="AW235" s="59">
        <f t="shared" si="525"/>
      </c>
      <c r="AX235" s="59">
        <f t="shared" si="525"/>
      </c>
      <c r="AY235" s="973">
        <f t="shared" si="525"/>
      </c>
      <c r="AZ235" s="59">
        <f t="shared" si="525"/>
      </c>
      <c r="BA235" s="59">
        <f t="shared" si="525"/>
      </c>
      <c r="BB235" s="59">
        <f t="shared" si="525"/>
      </c>
      <c r="BC235" s="59">
        <f t="shared" si="525"/>
      </c>
      <c r="BD235" s="973">
        <f t="shared" si="525"/>
      </c>
      <c r="BE235" s="59">
        <f t="shared" si="525"/>
      </c>
      <c r="BF235" s="59">
        <f t="shared" si="525"/>
      </c>
      <c r="BG235" s="59">
        <f t="shared" si="525"/>
      </c>
      <c r="BH235" s="59">
        <f t="shared" si="525"/>
      </c>
      <c r="BI235" s="973">
        <f t="shared" si="525"/>
      </c>
      <c r="BJ235" s="59">
        <f t="shared" si="525"/>
      </c>
      <c r="BK235" s="59">
        <f t="shared" si="525"/>
      </c>
      <c r="BL235" s="59">
        <f t="shared" ref="BL235:BQ235" si="526">BL233/BL209</f>
      </c>
      <c r="BM235" s="59">
        <f t="shared" si="526"/>
      </c>
      <c r="BN235" s="973">
        <f t="shared" si="526"/>
      </c>
      <c r="BO235" s="59">
        <f t="shared" si="526"/>
      </c>
      <c r="BP235" s="59">
        <f t="shared" si="526"/>
      </c>
      <c r="BQ235" s="59">
        <f t="shared" si="526"/>
      </c>
      <c r="BR235" s="59">
        <f>BR233/BR209</f>
      </c>
      <c r="BS235" s="973">
        <f>BS233/BS209</f>
      </c>
      <c r="BT235" s="675">
        <f>BT233/BT209</f>
      </c>
      <c r="BU235" s="59">
        <f>-BU236/10000+BP235</f>
      </c>
      <c r="BV235" s="59">
        <f>-BV236/10000+BQ235</f>
      </c>
      <c r="BW235" s="59">
        <f>-BW236/10000+BR235</f>
      </c>
      <c r="BX235" s="973">
        <f>BX233/BX209</f>
      </c>
      <c r="BY235" s="59">
        <f>-BY236/10000+BT235</f>
      </c>
      <c r="BZ235" s="59">
        <f>-BZ236/10000+BU235</f>
      </c>
      <c r="CA235" s="59">
        <f>-CA236/10000+BV235</f>
      </c>
      <c r="CB235" s="59">
        <f>-CB236/10000+BW235</f>
      </c>
      <c r="CC235" s="973">
        <f>CC233/CC209</f>
      </c>
      <c r="CD235" s="973">
        <f>-CD236/10000+CC235</f>
      </c>
      <c r="CE235" s="973">
        <f>-CE236/10000+CD235</f>
      </c>
      <c r="CF235" s="973">
        <f>-CF236/10000+CE235</f>
      </c>
      <c r="CG235" s="8"/>
    </row>
    <row r="236" spans="1:85" s="582" customFormat="1" x14ac:dyDescent="0.3">
      <c r="A236" s="328" t="s">
        <v>630</v>
      </c>
      <c r="B236" s="242"/>
      <c r="C236" s="950"/>
      <c r="D236" s="950">
        <f>-(D235-C235)*10000</f>
      </c>
      <c r="E236" s="950">
        <f>-(E235-D235)*10000</f>
      </c>
      <c r="F236" s="950">
        <f>-(F235-E235)*10000</f>
      </c>
      <c r="G236" s="204"/>
      <c r="H236" s="204"/>
      <c r="I236" s="204"/>
      <c r="J236" s="204"/>
      <c r="K236" s="950">
        <f t="shared" ref="K236:AP236" si="527">-(K235-F235)*10000</f>
      </c>
      <c r="L236" s="204">
        <f t="shared" si="527"/>
      </c>
      <c r="M236" s="204">
        <f t="shared" si="527"/>
      </c>
      <c r="N236" s="204">
        <f t="shared" si="527"/>
      </c>
      <c r="O236" s="204">
        <f t="shared" si="527"/>
      </c>
      <c r="P236" s="950">
        <f t="shared" si="527"/>
      </c>
      <c r="Q236" s="204">
        <f t="shared" si="527"/>
      </c>
      <c r="R236" s="204">
        <f t="shared" si="527"/>
      </c>
      <c r="S236" s="204">
        <f t="shared" si="527"/>
      </c>
      <c r="T236" s="204">
        <f t="shared" si="527"/>
      </c>
      <c r="U236" s="950">
        <f t="shared" si="527"/>
      </c>
      <c r="V236" s="204">
        <f t="shared" si="527"/>
      </c>
      <c r="W236" s="204">
        <f t="shared" si="527"/>
      </c>
      <c r="X236" s="204">
        <f t="shared" si="527"/>
      </c>
      <c r="Y236" s="204">
        <f t="shared" si="527"/>
      </c>
      <c r="Z236" s="950">
        <f t="shared" si="527"/>
      </c>
      <c r="AA236" s="204">
        <f t="shared" si="527"/>
      </c>
      <c r="AB236" s="204">
        <f t="shared" si="527"/>
      </c>
      <c r="AC236" s="204">
        <f t="shared" si="527"/>
      </c>
      <c r="AD236" s="204">
        <f t="shared" si="527"/>
      </c>
      <c r="AE236" s="950">
        <f t="shared" si="527"/>
      </c>
      <c r="AF236" s="204">
        <f t="shared" si="527"/>
      </c>
      <c r="AG236" s="204">
        <f t="shared" si="527"/>
      </c>
      <c r="AH236" s="204">
        <f t="shared" si="527"/>
      </c>
      <c r="AI236" s="204">
        <f t="shared" si="527"/>
      </c>
      <c r="AJ236" s="950">
        <f t="shared" si="527"/>
      </c>
      <c r="AK236" s="204">
        <f t="shared" si="527"/>
      </c>
      <c r="AL236" s="204">
        <f t="shared" si="527"/>
      </c>
      <c r="AM236" s="204">
        <f t="shared" si="527"/>
      </c>
      <c r="AN236" s="204">
        <f t="shared" si="527"/>
      </c>
      <c r="AO236" s="950">
        <f t="shared" si="527"/>
      </c>
      <c r="AP236" s="204">
        <f t="shared" si="527"/>
      </c>
      <c r="AQ236" s="204">
        <f t="shared" ref="AQ236:BK236" si="528">-(AQ235-AL235)*10000</f>
      </c>
      <c r="AR236" s="204">
        <f t="shared" si="528"/>
      </c>
      <c r="AS236" s="204">
        <f t="shared" si="528"/>
      </c>
      <c r="AT236" s="950">
        <f t="shared" si="528"/>
      </c>
      <c r="AU236" s="204">
        <f t="shared" si="528"/>
      </c>
      <c r="AV236" s="204">
        <f t="shared" si="528"/>
      </c>
      <c r="AW236" s="204">
        <f t="shared" si="528"/>
      </c>
      <c r="AX236" s="204">
        <f t="shared" si="528"/>
      </c>
      <c r="AY236" s="950">
        <f t="shared" si="528"/>
      </c>
      <c r="AZ236" s="204">
        <f t="shared" si="528"/>
      </c>
      <c r="BA236" s="204">
        <f t="shared" si="528"/>
      </c>
      <c r="BB236" s="204">
        <f t="shared" si="528"/>
      </c>
      <c r="BC236" s="204">
        <f t="shared" si="528"/>
      </c>
      <c r="BD236" s="950">
        <f t="shared" si="528"/>
      </c>
      <c r="BE236" s="204">
        <f t="shared" si="528"/>
      </c>
      <c r="BF236" s="204">
        <f t="shared" si="528"/>
      </c>
      <c r="BG236" s="204">
        <f t="shared" si="528"/>
      </c>
      <c r="BH236" s="204">
        <f t="shared" si="528"/>
      </c>
      <c r="BI236" s="950">
        <f t="shared" si="528"/>
      </c>
      <c r="BJ236" s="204">
        <f t="shared" si="528"/>
      </c>
      <c r="BK236" s="204">
        <f t="shared" si="528"/>
      </c>
      <c r="BL236" s="204">
        <f t="shared" ref="BL236:BQ236" si="529">-(BL235-BG235)*10000</f>
      </c>
      <c r="BM236" s="204">
        <f t="shared" si="529"/>
      </c>
      <c r="BN236" s="950">
        <f t="shared" si="529"/>
      </c>
      <c r="BO236" s="204">
        <f t="shared" si="529"/>
      </c>
      <c r="BP236" s="204">
        <f t="shared" si="529"/>
      </c>
      <c r="BQ236" s="204">
        <f t="shared" si="529"/>
      </c>
      <c r="BR236" s="204">
        <f>-(BR235-BM235)*10000</f>
      </c>
      <c r="BS236" s="950">
        <f>-(BS235-BN235)*10000</f>
      </c>
      <c r="BT236" s="294">
        <f>-(BT235-BO235)*10000</f>
      </c>
      <c r="BU236" s="850">
        <v>-100</v>
      </c>
      <c r="BV236" s="850">
        <v>-100</v>
      </c>
      <c r="BW236" s="850">
        <v>-100</v>
      </c>
      <c r="BX236" s="950">
        <f>-(BX235-BS235)*10000</f>
      </c>
      <c r="BY236" s="850">
        <v>-50</v>
      </c>
      <c r="BZ236" s="850">
        <v>-100</v>
      </c>
      <c r="CA236" s="850">
        <v>-100</v>
      </c>
      <c r="CB236" s="850">
        <v>-100</v>
      </c>
      <c r="CC236" s="950">
        <f>-(CC235-BX235)*10000</f>
      </c>
      <c r="CD236" s="951">
        <v>-100</v>
      </c>
      <c r="CE236" s="951">
        <v>5</v>
      </c>
      <c r="CF236" s="951">
        <v>5</v>
      </c>
      <c r="CG236" s="131"/>
    </row>
    <row r="237" spans="1:85" ht="7.5" customHeight="1" x14ac:dyDescent="0.3">
      <c r="A237" s="367"/>
      <c r="B237" s="368"/>
      <c r="C237" s="988"/>
      <c r="D237" s="988"/>
      <c r="E237" s="988"/>
      <c r="F237" s="988"/>
      <c r="G237" s="369"/>
      <c r="H237" s="369"/>
      <c r="I237" s="369"/>
      <c r="J237" s="369"/>
      <c r="K237" s="988"/>
      <c r="L237" s="369"/>
      <c r="M237" s="369"/>
      <c r="N237" s="369"/>
      <c r="O237" s="369"/>
      <c r="P237" s="988"/>
      <c r="Q237" s="369"/>
      <c r="R237" s="369"/>
      <c r="S237" s="369"/>
      <c r="T237" s="369"/>
      <c r="U237" s="988"/>
      <c r="V237" s="369"/>
      <c r="W237" s="370"/>
      <c r="X237" s="370"/>
      <c r="Y237" s="370"/>
      <c r="Z237" s="941"/>
      <c r="AA237" s="369"/>
      <c r="AB237" s="370"/>
      <c r="AC237" s="369"/>
      <c r="AD237" s="370"/>
      <c r="AE237" s="941"/>
      <c r="AF237" s="369"/>
      <c r="AG237" s="370"/>
      <c r="AH237" s="369"/>
      <c r="AI237" s="370"/>
      <c r="AJ237" s="941"/>
      <c r="AK237" s="369"/>
      <c r="AL237" s="370"/>
      <c r="AM237" s="369"/>
      <c r="AN237" s="370"/>
      <c r="AO237" s="941"/>
      <c r="AP237" s="369"/>
      <c r="AQ237" s="370"/>
      <c r="AR237" s="369"/>
      <c r="AS237" s="370"/>
      <c r="AT237" s="941"/>
      <c r="AU237" s="369"/>
      <c r="AV237" s="370"/>
      <c r="AW237" s="369"/>
      <c r="AX237" s="370"/>
      <c r="AY237" s="941"/>
      <c r="AZ237" s="369"/>
      <c r="BA237" s="370"/>
      <c r="BB237" s="369"/>
      <c r="BC237" s="370"/>
      <c r="BD237" s="941"/>
      <c r="BE237" s="369"/>
      <c r="BF237" s="370"/>
      <c r="BG237" s="369"/>
      <c r="BH237" s="370"/>
      <c r="BI237" s="941"/>
      <c r="BJ237" s="369"/>
      <c r="BK237" s="370"/>
      <c r="BL237" s="369"/>
      <c r="BM237" s="370"/>
      <c r="BN237" s="941"/>
      <c r="BO237" s="369"/>
      <c r="BP237" s="370"/>
      <c r="BQ237" s="369"/>
      <c r="BR237" s="370"/>
      <c r="BS237" s="941"/>
      <c r="BT237" s="686"/>
      <c r="BU237" s="369"/>
      <c r="BV237" s="369"/>
      <c r="BW237" s="369"/>
      <c r="BX237" s="941"/>
      <c r="BY237" s="369"/>
      <c r="BZ237" s="369"/>
      <c r="CA237" s="369"/>
      <c r="CB237" s="369"/>
      <c r="CC237" s="941"/>
      <c r="CD237" s="941"/>
      <c r="CE237" s="941"/>
      <c r="CF237" s="941"/>
      <c r="CG237" s="58"/>
    </row>
    <row r="238" spans="1:85" s="587" customFormat="1" x14ac:dyDescent="0.3">
      <c r="A238" s="429" t="s">
        <v>631</v>
      </c>
      <c r="B238" s="250"/>
      <c r="C238" s="969">
        <f t="shared" ref="C238:BJ238" si="530">C217-C223-C228-C233</f>
      </c>
      <c r="D238" s="969">
        <f t="shared" si="530"/>
      </c>
      <c r="E238" s="969">
        <f t="shared" si="530"/>
      </c>
      <c r="F238" s="969">
        <f t="shared" si="530"/>
      </c>
      <c r="G238" s="759">
        <f t="shared" si="530"/>
      </c>
      <c r="H238" s="759">
        <f t="shared" si="530"/>
      </c>
      <c r="I238" s="759">
        <f t="shared" si="530"/>
      </c>
      <c r="J238" s="759">
        <f t="shared" si="530"/>
      </c>
      <c r="K238" s="969">
        <f t="shared" si="530"/>
      </c>
      <c r="L238" s="759">
        <f t="shared" si="530"/>
      </c>
      <c r="M238" s="759">
        <f t="shared" si="530"/>
      </c>
      <c r="N238" s="759">
        <f t="shared" si="530"/>
      </c>
      <c r="O238" s="759">
        <f t="shared" si="530"/>
      </c>
      <c r="P238" s="969">
        <f t="shared" si="530"/>
      </c>
      <c r="Q238" s="759">
        <f t="shared" si="530"/>
      </c>
      <c r="R238" s="759">
        <f t="shared" si="530"/>
      </c>
      <c r="S238" s="759">
        <f t="shared" si="530"/>
      </c>
      <c r="T238" s="759">
        <f t="shared" si="530"/>
      </c>
      <c r="U238" s="969">
        <f t="shared" si="530"/>
      </c>
      <c r="V238" s="759">
        <f t="shared" si="530"/>
      </c>
      <c r="W238" s="759">
        <f t="shared" si="530"/>
      </c>
      <c r="X238" s="759">
        <f t="shared" si="530"/>
      </c>
      <c r="Y238" s="759">
        <f t="shared" si="530"/>
      </c>
      <c r="Z238" s="969">
        <f t="shared" si="530"/>
      </c>
      <c r="AA238" s="759">
        <f t="shared" si="530"/>
      </c>
      <c r="AB238" s="759">
        <f t="shared" si="530"/>
      </c>
      <c r="AC238" s="759">
        <f t="shared" si="530"/>
      </c>
      <c r="AD238" s="759">
        <f t="shared" si="530"/>
      </c>
      <c r="AE238" s="969">
        <f t="shared" si="530"/>
      </c>
      <c r="AF238" s="759">
        <f t="shared" si="530"/>
      </c>
      <c r="AG238" s="759">
        <f t="shared" si="530"/>
      </c>
      <c r="AH238" s="759">
        <f t="shared" si="530"/>
      </c>
      <c r="AI238" s="759">
        <f t="shared" si="530"/>
      </c>
      <c r="AJ238" s="969">
        <f t="shared" si="530"/>
      </c>
      <c r="AK238" s="759">
        <f t="shared" si="530"/>
      </c>
      <c r="AL238" s="759">
        <f t="shared" si="530"/>
      </c>
      <c r="AM238" s="759">
        <f t="shared" si="530"/>
      </c>
      <c r="AN238" s="759">
        <f t="shared" si="530"/>
      </c>
      <c r="AO238" s="969">
        <f t="shared" si="530"/>
      </c>
      <c r="AP238" s="759">
        <f t="shared" si="530"/>
      </c>
      <c r="AQ238" s="759">
        <f t="shared" si="530"/>
      </c>
      <c r="AR238" s="759">
        <f t="shared" si="530"/>
      </c>
      <c r="AS238" s="759">
        <f t="shared" si="530"/>
      </c>
      <c r="AT238" s="969">
        <f t="shared" si="530"/>
      </c>
      <c r="AU238" s="759">
        <f t="shared" si="530"/>
      </c>
      <c r="AV238" s="759">
        <f t="shared" si="530"/>
      </c>
      <c r="AW238" s="759">
        <f t="shared" si="530"/>
      </c>
      <c r="AX238" s="759">
        <f t="shared" si="530"/>
      </c>
      <c r="AY238" s="969">
        <f t="shared" si="530"/>
      </c>
      <c r="AZ238" s="759">
        <f t="shared" si="530"/>
      </c>
      <c r="BA238" s="759">
        <f t="shared" si="530"/>
      </c>
      <c r="BB238" s="759">
        <f t="shared" si="530"/>
      </c>
      <c r="BC238" s="759">
        <f t="shared" si="530"/>
      </c>
      <c r="BD238" s="969">
        <f t="shared" si="530"/>
      </c>
      <c r="BE238" s="759">
        <f t="shared" si="530"/>
      </c>
      <c r="BF238" s="759">
        <f t="shared" si="530"/>
      </c>
      <c r="BG238" s="759">
        <f t="shared" si="530"/>
      </c>
      <c r="BH238" s="759">
        <f t="shared" si="530"/>
      </c>
      <c r="BI238" s="969">
        <f t="shared" si="530"/>
      </c>
      <c r="BJ238" s="759">
        <f t="shared" si="530"/>
      </c>
      <c r="BK238" s="759">
        <f t="shared" ref="BK238:BN238" si="531">BK217-BK223-BK228-BK233</f>
      </c>
      <c r="BL238" s="759">
        <f t="shared" si="531"/>
      </c>
      <c r="BM238" s="759">
        <f t="shared" si="531"/>
      </c>
      <c r="BN238" s="969">
        <f t="shared" si="531"/>
      </c>
      <c r="BO238" s="759">
        <f t="shared" ref="BO238:BW238" si="532">BO217-BO223-BO228-BO233</f>
      </c>
      <c r="BP238" s="759">
        <f t="shared" si="532"/>
      </c>
      <c r="BQ238" s="759">
        <f t="shared" si="532"/>
      </c>
      <c r="BR238" s="759">
        <f t="shared" si="532"/>
      </c>
      <c r="BS238" s="969">
        <f t="shared" si="532"/>
      </c>
      <c r="BT238" s="760">
        <f>BT217-BT223-BT228-BT233</f>
      </c>
      <c r="BU238" s="759">
        <f t="shared" si="532"/>
      </c>
      <c r="BV238" s="759">
        <f t="shared" si="532"/>
      </c>
      <c r="BW238" s="759">
        <f t="shared" si="532"/>
      </c>
      <c r="BX238" s="969">
        <f>SUM(BT238,BU238,BV238,BW238)</f>
      </c>
      <c r="BY238" s="759">
        <f>BY217-BY223-BY228-BY233</f>
      </c>
      <c r="BZ238" s="759">
        <f>BZ217-BZ223-BZ228-BZ233</f>
      </c>
      <c r="CA238" s="759">
        <f>CA217-CA223-CA228-CA233</f>
      </c>
      <c r="CB238" s="759">
        <f>CB217-CB223-CB228-CB233</f>
      </c>
      <c r="CC238" s="969">
        <f>SUM(BY238,BZ238,CA238,CB238)</f>
      </c>
      <c r="CD238" s="969">
        <f>CD217-CD223-CD228-CD233</f>
      </c>
      <c r="CE238" s="969">
        <f>CE217-CE223-CE228-CE233</f>
      </c>
      <c r="CF238" s="969">
        <f>CF217-CF223-CF228-CF233</f>
      </c>
      <c r="CG238" s="183"/>
    </row>
    <row r="239" spans="1:85" s="586" customFormat="1" x14ac:dyDescent="0.3">
      <c r="A239" s="69" t="s">
        <v>632</v>
      </c>
      <c r="B239" s="311"/>
      <c r="C239" s="935"/>
      <c r="D239" s="935">
        <f>D238/C238-1</f>
      </c>
      <c r="E239" s="935">
        <f>E238/D238-1</f>
      </c>
      <c r="F239" s="935">
        <f>F238/E238-1</f>
      </c>
      <c r="G239" s="58"/>
      <c r="H239" s="58"/>
      <c r="I239" s="58"/>
      <c r="J239" s="58"/>
      <c r="K239" s="935">
        <f t="shared" ref="K239:AW239" si="533">K238/F238-1</f>
      </c>
      <c r="L239" s="58">
        <f t="shared" si="533"/>
      </c>
      <c r="M239" s="58">
        <f t="shared" si="533"/>
      </c>
      <c r="N239" s="58">
        <f t="shared" si="533"/>
      </c>
      <c r="O239" s="58">
        <f t="shared" si="533"/>
      </c>
      <c r="P239" s="935">
        <f t="shared" si="533"/>
      </c>
      <c r="Q239" s="58">
        <f t="shared" si="533"/>
      </c>
      <c r="R239" s="58">
        <f t="shared" si="533"/>
      </c>
      <c r="S239" s="58">
        <f t="shared" si="533"/>
      </c>
      <c r="T239" s="58">
        <f t="shared" si="533"/>
      </c>
      <c r="U239" s="935">
        <f t="shared" si="533"/>
      </c>
      <c r="V239" s="58">
        <f t="shared" si="533"/>
      </c>
      <c r="W239" s="58">
        <f t="shared" si="533"/>
      </c>
      <c r="X239" s="58">
        <f t="shared" si="533"/>
      </c>
      <c r="Y239" s="58">
        <f t="shared" si="533"/>
      </c>
      <c r="Z239" s="935">
        <f t="shared" si="533"/>
      </c>
      <c r="AA239" s="58">
        <f t="shared" si="533"/>
      </c>
      <c r="AB239" s="58">
        <f t="shared" si="533"/>
      </c>
      <c r="AC239" s="58">
        <f t="shared" si="533"/>
      </c>
      <c r="AD239" s="58">
        <f t="shared" si="533"/>
      </c>
      <c r="AE239" s="935">
        <f t="shared" si="533"/>
      </c>
      <c r="AF239" s="58">
        <f t="shared" si="533"/>
      </c>
      <c r="AG239" s="58">
        <f t="shared" si="533"/>
      </c>
      <c r="AH239" s="58">
        <f t="shared" si="533"/>
      </c>
      <c r="AI239" s="58">
        <f t="shared" si="533"/>
      </c>
      <c r="AJ239" s="935">
        <f t="shared" si="533"/>
      </c>
      <c r="AK239" s="58">
        <f t="shared" si="533"/>
      </c>
      <c r="AL239" s="58">
        <f t="shared" si="533"/>
      </c>
      <c r="AM239" s="58">
        <f t="shared" si="533"/>
      </c>
      <c r="AN239" s="58">
        <f t="shared" si="533"/>
      </c>
      <c r="AO239" s="935">
        <f t="shared" si="533"/>
      </c>
      <c r="AP239" s="58">
        <f t="shared" si="533"/>
      </c>
      <c r="AQ239" s="58">
        <f t="shared" si="533"/>
      </c>
      <c r="AR239" s="58">
        <f t="shared" si="533"/>
      </c>
      <c r="AS239" s="58">
        <f t="shared" si="533"/>
      </c>
      <c r="AT239" s="935">
        <f t="shared" si="533"/>
      </c>
      <c r="AU239" s="58">
        <f t="shared" si="533"/>
      </c>
      <c r="AV239" s="58">
        <f t="shared" si="533"/>
      </c>
      <c r="AW239" s="58">
        <f t="shared" si="533"/>
      </c>
      <c r="AX239" s="58">
        <f t="shared" ref="AX239:BD239" si="534">AX238/AS238-1</f>
      </c>
      <c r="AY239" s="935">
        <f t="shared" si="534"/>
      </c>
      <c r="AZ239" s="58">
        <f t="shared" si="534"/>
      </c>
      <c r="BA239" s="58">
        <f t="shared" si="534"/>
      </c>
      <c r="BB239" s="58">
        <f t="shared" si="534"/>
      </c>
      <c r="BC239" s="58">
        <f t="shared" si="534"/>
      </c>
      <c r="BD239" s="935">
        <f t="shared" si="534"/>
      </c>
      <c r="BE239" s="58">
        <f t="shared" ref="BE239:BI239" si="535">BE238/AZ238-1</f>
      </c>
      <c r="BF239" s="58">
        <f t="shared" si="535"/>
      </c>
      <c r="BG239" s="58">
        <f t="shared" si="535"/>
      </c>
      <c r="BH239" s="58">
        <f t="shared" si="535"/>
      </c>
      <c r="BI239" s="935">
        <f t="shared" si="535"/>
      </c>
      <c r="BJ239" s="58">
        <f t="shared" ref="BJ239:BX239" si="536">BJ238/BE238-1</f>
      </c>
      <c r="BK239" s="58">
        <f t="shared" si="536"/>
      </c>
      <c r="BL239" s="58">
        <f t="shared" si="536"/>
      </c>
      <c r="BM239" s="58">
        <f t="shared" si="536"/>
      </c>
      <c r="BN239" s="935">
        <f t="shared" si="536"/>
      </c>
      <c r="BO239" s="58">
        <f t="shared" ref="BO239:BW239" si="537">BO238/BJ238-1</f>
      </c>
      <c r="BP239" s="58">
        <f t="shared" si="537"/>
      </c>
      <c r="BQ239" s="58">
        <f t="shared" si="537"/>
      </c>
      <c r="BR239" s="58">
        <f t="shared" si="537"/>
      </c>
      <c r="BS239" s="935">
        <f t="shared" si="537"/>
      </c>
      <c r="BT239" s="669">
        <f>BT238/BO238-1</f>
      </c>
      <c r="BU239" s="58">
        <f t="shared" si="537"/>
      </c>
      <c r="BV239" s="58">
        <f t="shared" si="537"/>
      </c>
      <c r="BW239" s="58">
        <f t="shared" si="537"/>
      </c>
      <c r="BX239" s="935">
        <f t="shared" si="536"/>
      </c>
      <c r="BY239" s="58">
        <f>BY238/BT238-1</f>
      </c>
      <c r="BZ239" s="58">
        <f>BZ238/BU238-1</f>
      </c>
      <c r="CA239" s="58">
        <f>CA238/BV238-1</f>
      </c>
      <c r="CB239" s="58">
        <f>CB238/BW238-1</f>
      </c>
      <c r="CC239" s="935">
        <f>CC238/BX238-1</f>
      </c>
      <c r="CD239" s="935">
        <f>CD238/CC238-1</f>
      </c>
      <c r="CE239" s="935">
        <f>CE238/CD238-1</f>
      </c>
      <c r="CF239" s="935">
        <f>CF238/CE238-1</f>
      </c>
      <c r="CG239" s="308"/>
    </row>
    <row r="240" spans="1:85" s="590" customFormat="1" x14ac:dyDescent="0.3">
      <c r="A240" s="278" t="s">
        <v>519</v>
      </c>
      <c r="B240" s="251"/>
      <c r="C240" s="973">
        <f t="shared" ref="C240:AH240" si="538">C238/C209</f>
      </c>
      <c r="D240" s="973">
        <f t="shared" si="538"/>
      </c>
      <c r="E240" s="973">
        <f t="shared" si="538"/>
      </c>
      <c r="F240" s="973">
        <f t="shared" si="538"/>
      </c>
      <c r="G240" s="59">
        <f t="shared" si="538"/>
      </c>
      <c r="H240" s="59">
        <f t="shared" si="538"/>
      </c>
      <c r="I240" s="59">
        <f t="shared" si="538"/>
      </c>
      <c r="J240" s="59">
        <f t="shared" si="538"/>
      </c>
      <c r="K240" s="973">
        <f t="shared" si="538"/>
      </c>
      <c r="L240" s="59">
        <f t="shared" si="538"/>
      </c>
      <c r="M240" s="59">
        <f t="shared" si="538"/>
      </c>
      <c r="N240" s="59">
        <f t="shared" si="538"/>
      </c>
      <c r="O240" s="59">
        <f t="shared" si="538"/>
      </c>
      <c r="P240" s="973">
        <f t="shared" si="538"/>
      </c>
      <c r="Q240" s="59">
        <f t="shared" si="538"/>
      </c>
      <c r="R240" s="59">
        <f t="shared" si="538"/>
      </c>
      <c r="S240" s="59">
        <f t="shared" si="538"/>
      </c>
      <c r="T240" s="59">
        <f t="shared" si="538"/>
      </c>
      <c r="U240" s="973">
        <f t="shared" si="538"/>
      </c>
      <c r="V240" s="59">
        <f t="shared" si="538"/>
      </c>
      <c r="W240" s="59">
        <f t="shared" si="538"/>
      </c>
      <c r="X240" s="59">
        <f t="shared" si="538"/>
      </c>
      <c r="Y240" s="59">
        <f t="shared" si="538"/>
      </c>
      <c r="Z240" s="973">
        <f t="shared" si="538"/>
      </c>
      <c r="AA240" s="59">
        <f t="shared" si="538"/>
      </c>
      <c r="AB240" s="59">
        <f t="shared" si="538"/>
      </c>
      <c r="AC240" s="59">
        <f t="shared" si="538"/>
      </c>
      <c r="AD240" s="59">
        <f t="shared" si="538"/>
      </c>
      <c r="AE240" s="973">
        <f t="shared" si="538"/>
      </c>
      <c r="AF240" s="59">
        <f t="shared" si="538"/>
      </c>
      <c r="AG240" s="59">
        <f t="shared" si="538"/>
      </c>
      <c r="AH240" s="59">
        <f t="shared" si="538"/>
      </c>
      <c r="AI240" s="59">
        <f t="shared" ref="AI240:BK240" si="539">AI238/AI209</f>
      </c>
      <c r="AJ240" s="973">
        <f t="shared" si="539"/>
      </c>
      <c r="AK240" s="59">
        <f t="shared" si="539"/>
      </c>
      <c r="AL240" s="59">
        <f t="shared" si="539"/>
      </c>
      <c r="AM240" s="59">
        <f t="shared" si="539"/>
      </c>
      <c r="AN240" s="59">
        <f t="shared" si="539"/>
      </c>
      <c r="AO240" s="973">
        <f t="shared" si="539"/>
      </c>
      <c r="AP240" s="59">
        <f t="shared" si="539"/>
      </c>
      <c r="AQ240" s="59">
        <f t="shared" si="539"/>
      </c>
      <c r="AR240" s="59">
        <f t="shared" si="539"/>
      </c>
      <c r="AS240" s="59">
        <f t="shared" si="539"/>
      </c>
      <c r="AT240" s="973">
        <f t="shared" si="539"/>
      </c>
      <c r="AU240" s="59">
        <f t="shared" si="539"/>
      </c>
      <c r="AV240" s="59">
        <f t="shared" si="539"/>
      </c>
      <c r="AW240" s="59">
        <f t="shared" si="539"/>
      </c>
      <c r="AX240" s="59">
        <f t="shared" si="539"/>
      </c>
      <c r="AY240" s="973">
        <f t="shared" si="539"/>
      </c>
      <c r="AZ240" s="59">
        <f t="shared" si="539"/>
      </c>
      <c r="BA240" s="59">
        <f t="shared" si="539"/>
      </c>
      <c r="BB240" s="59">
        <f t="shared" si="539"/>
      </c>
      <c r="BC240" s="59">
        <f t="shared" si="539"/>
      </c>
      <c r="BD240" s="973">
        <f t="shared" si="539"/>
      </c>
      <c r="BE240" s="59">
        <f t="shared" si="539"/>
      </c>
      <c r="BF240" s="59">
        <f t="shared" si="539"/>
      </c>
      <c r="BG240" s="59">
        <f t="shared" si="539"/>
      </c>
      <c r="BH240" s="59">
        <f t="shared" si="539"/>
      </c>
      <c r="BI240" s="973">
        <f t="shared" si="539"/>
      </c>
      <c r="BJ240" s="59">
        <f t="shared" si="539"/>
      </c>
      <c r="BK240" s="59">
        <f t="shared" si="539"/>
      </c>
      <c r="BL240" s="59">
        <f t="shared" ref="BL240:BX240" si="540">BL238/BL209</f>
      </c>
      <c r="BM240" s="59">
        <f t="shared" si="540"/>
      </c>
      <c r="BN240" s="973">
        <f t="shared" si="540"/>
      </c>
      <c r="BO240" s="59">
        <f t="shared" ref="BO240:BW240" si="541">BO238/BO209</f>
      </c>
      <c r="BP240" s="59">
        <f t="shared" si="541"/>
      </c>
      <c r="BQ240" s="59">
        <f t="shared" si="541"/>
      </c>
      <c r="BR240" s="59">
        <f t="shared" si="541"/>
      </c>
      <c r="BS240" s="973">
        <f t="shared" si="541"/>
      </c>
      <c r="BT240" s="675">
        <f>BT238/BT209</f>
      </c>
      <c r="BU240" s="59">
        <f t="shared" si="541"/>
      </c>
      <c r="BV240" s="59">
        <f t="shared" si="541"/>
      </c>
      <c r="BW240" s="59">
        <f t="shared" si="541"/>
      </c>
      <c r="BX240" s="973">
        <f t="shared" si="540"/>
      </c>
      <c r="BY240" s="59">
        <f t="shared" ref="BY240:CF240" si="542">BY238/BY209</f>
      </c>
      <c r="BZ240" s="59">
        <f t="shared" si="542"/>
      </c>
      <c r="CA240" s="59">
        <f t="shared" si="542"/>
      </c>
      <c r="CB240" s="59">
        <f t="shared" si="542"/>
      </c>
      <c r="CC240" s="973">
        <f t="shared" si="542"/>
      </c>
      <c r="CD240" s="973">
        <f t="shared" si="542"/>
      </c>
      <c r="CE240" s="973">
        <f t="shared" si="542"/>
      </c>
      <c r="CF240" s="973">
        <f t="shared" si="542"/>
      </c>
      <c r="CG240" s="8"/>
    </row>
    <row r="241" spans="1:85" s="582" customFormat="1" x14ac:dyDescent="0.3">
      <c r="A241" s="328" t="s">
        <v>633</v>
      </c>
      <c r="B241" s="242"/>
      <c r="C241" s="950"/>
      <c r="D241" s="950">
        <f>(D240-C240)*10000</f>
      </c>
      <c r="E241" s="950">
        <f>(E240-D240)*10000</f>
      </c>
      <c r="F241" s="950">
        <f>(F240-E240)*10000</f>
      </c>
      <c r="G241" s="204"/>
      <c r="H241" s="204"/>
      <c r="I241" s="204"/>
      <c r="J241" s="204"/>
      <c r="K241" s="950">
        <f t="shared" ref="K241:AP241" si="543">(K240-F240)*10000</f>
      </c>
      <c r="L241" s="204">
        <f t="shared" si="543"/>
      </c>
      <c r="M241" s="204">
        <f t="shared" si="543"/>
      </c>
      <c r="N241" s="204">
        <f t="shared" si="543"/>
      </c>
      <c r="O241" s="204">
        <f t="shared" si="543"/>
      </c>
      <c r="P241" s="950">
        <f t="shared" si="543"/>
      </c>
      <c r="Q241" s="204">
        <f t="shared" si="543"/>
      </c>
      <c r="R241" s="204">
        <f t="shared" si="543"/>
      </c>
      <c r="S241" s="204">
        <f t="shared" si="543"/>
      </c>
      <c r="T241" s="204">
        <f t="shared" si="543"/>
      </c>
      <c r="U241" s="950">
        <f t="shared" si="543"/>
      </c>
      <c r="V241" s="204">
        <f t="shared" si="543"/>
      </c>
      <c r="W241" s="204">
        <f t="shared" si="543"/>
      </c>
      <c r="X241" s="204">
        <f t="shared" si="543"/>
      </c>
      <c r="Y241" s="204">
        <f t="shared" si="543"/>
      </c>
      <c r="Z241" s="950">
        <f t="shared" si="543"/>
      </c>
      <c r="AA241" s="204">
        <f t="shared" si="543"/>
      </c>
      <c r="AB241" s="204">
        <f t="shared" si="543"/>
      </c>
      <c r="AC241" s="204">
        <f t="shared" si="543"/>
      </c>
      <c r="AD241" s="204">
        <f t="shared" si="543"/>
      </c>
      <c r="AE241" s="950">
        <f t="shared" si="543"/>
      </c>
      <c r="AF241" s="204">
        <f t="shared" si="543"/>
      </c>
      <c r="AG241" s="204">
        <f t="shared" si="543"/>
      </c>
      <c r="AH241" s="204">
        <f t="shared" si="543"/>
      </c>
      <c r="AI241" s="204">
        <f t="shared" si="543"/>
      </c>
      <c r="AJ241" s="950">
        <f t="shared" si="543"/>
      </c>
      <c r="AK241" s="204">
        <f t="shared" si="543"/>
      </c>
      <c r="AL241" s="204">
        <f t="shared" si="543"/>
      </c>
      <c r="AM241" s="204">
        <f t="shared" si="543"/>
      </c>
      <c r="AN241" s="204">
        <f t="shared" si="543"/>
      </c>
      <c r="AO241" s="950">
        <f t="shared" si="543"/>
      </c>
      <c r="AP241" s="204">
        <f t="shared" si="543"/>
      </c>
      <c r="AQ241" s="204">
        <f t="shared" ref="AQ241:BK241" si="544">(AQ240-AL240)*10000</f>
      </c>
      <c r="AR241" s="204">
        <f t="shared" si="544"/>
      </c>
      <c r="AS241" s="204">
        <f t="shared" si="544"/>
      </c>
      <c r="AT241" s="950">
        <f t="shared" si="544"/>
      </c>
      <c r="AU241" s="204">
        <f t="shared" si="544"/>
      </c>
      <c r="AV241" s="204">
        <f t="shared" si="544"/>
      </c>
      <c r="AW241" s="204">
        <f t="shared" si="544"/>
      </c>
      <c r="AX241" s="204">
        <f t="shared" si="544"/>
      </c>
      <c r="AY241" s="950">
        <f t="shared" si="544"/>
      </c>
      <c r="AZ241" s="204">
        <f t="shared" si="544"/>
      </c>
      <c r="BA241" s="204">
        <f t="shared" si="544"/>
      </c>
      <c r="BB241" s="204">
        <f t="shared" si="544"/>
      </c>
      <c r="BC241" s="204">
        <f t="shared" si="544"/>
      </c>
      <c r="BD241" s="950">
        <f t="shared" si="544"/>
      </c>
      <c r="BE241" s="204">
        <f t="shared" si="544"/>
      </c>
      <c r="BF241" s="204">
        <f t="shared" si="544"/>
      </c>
      <c r="BG241" s="204">
        <f t="shared" si="544"/>
      </c>
      <c r="BH241" s="204">
        <f t="shared" si="544"/>
      </c>
      <c r="BI241" s="950">
        <f t="shared" si="544"/>
      </c>
      <c r="BJ241" s="204">
        <f t="shared" si="544"/>
      </c>
      <c r="BK241" s="204">
        <f t="shared" si="544"/>
      </c>
      <c r="BL241" s="204">
        <f t="shared" ref="BL241:BN241" si="545">(BL240-BG240)*10000</f>
      </c>
      <c r="BM241" s="204">
        <f t="shared" si="545"/>
      </c>
      <c r="BN241" s="950">
        <f t="shared" si="545"/>
      </c>
      <c r="BO241" s="204">
        <f t="shared" ref="BO241:CC241" si="546">(BO240-BJ240)*10000</f>
      </c>
      <c r="BP241" s="204">
        <f t="shared" si="546"/>
      </c>
      <c r="BQ241" s="204">
        <f t="shared" si="546"/>
      </c>
      <c r="BR241" s="204">
        <f t="shared" si="546"/>
      </c>
      <c r="BS241" s="950">
        <f t="shared" si="546"/>
      </c>
      <c r="BT241" s="294">
        <f>(BT240-BO240)*10000</f>
      </c>
      <c r="BU241" s="204">
        <f t="shared" si="546"/>
      </c>
      <c r="BV241" s="204">
        <f t="shared" si="546"/>
      </c>
      <c r="BW241" s="204">
        <f t="shared" si="546"/>
      </c>
      <c r="BX241" s="950">
        <f t="shared" si="546"/>
      </c>
      <c r="BY241" s="204">
        <f t="shared" si="546"/>
      </c>
      <c r="BZ241" s="204">
        <f t="shared" si="546"/>
      </c>
      <c r="CA241" s="204">
        <f t="shared" si="546"/>
      </c>
      <c r="CB241" s="204">
        <f t="shared" si="546"/>
      </c>
      <c r="CC241" s="950">
        <f t="shared" si="546"/>
      </c>
      <c r="CD241" s="950">
        <f>(CD240-CC240)*10000</f>
      </c>
      <c r="CE241" s="950">
        <f>(CE240-CD240)*10000</f>
      </c>
      <c r="CF241" s="950">
        <f>(CF240-CE240)*10000</f>
      </c>
      <c r="CG241" s="131"/>
    </row>
    <row r="242" spans="1:85" s="582" customFormat="1" x14ac:dyDescent="0.3">
      <c r="A242" s="328"/>
      <c r="B242" s="242"/>
      <c r="C242" s="950"/>
      <c r="D242" s="950"/>
      <c r="E242" s="950"/>
      <c r="F242" s="950"/>
      <c r="G242" s="204"/>
      <c r="H242" s="204"/>
      <c r="I242" s="204"/>
      <c r="J242" s="204"/>
      <c r="K242" s="950"/>
      <c r="L242" s="204"/>
      <c r="M242" s="204"/>
      <c r="N242" s="204"/>
      <c r="O242" s="204"/>
      <c r="P242" s="950"/>
      <c r="Q242" s="204"/>
      <c r="R242" s="204"/>
      <c r="S242" s="204"/>
      <c r="T242" s="204"/>
      <c r="U242" s="950"/>
      <c r="V242" s="204"/>
      <c r="W242" s="204"/>
      <c r="X242" s="204"/>
      <c r="Y242" s="204"/>
      <c r="Z242" s="950"/>
      <c r="AA242" s="204"/>
      <c r="AB242" s="204"/>
      <c r="AC242" s="204"/>
      <c r="AD242" s="204"/>
      <c r="AE242" s="950"/>
      <c r="AF242" s="204"/>
      <c r="AG242" s="204"/>
      <c r="AH242" s="204"/>
      <c r="AI242" s="204"/>
      <c r="AJ242" s="950"/>
      <c r="AK242" s="204"/>
      <c r="AL242" s="204"/>
      <c r="AM242" s="204"/>
      <c r="AN242" s="204"/>
      <c r="AO242" s="950"/>
      <c r="AP242" s="204"/>
      <c r="AQ242" s="204"/>
      <c r="AR242" s="204"/>
      <c r="AS242" s="204"/>
      <c r="AT242" s="950"/>
      <c r="AU242" s="204"/>
      <c r="AV242" s="204"/>
      <c r="AW242" s="204"/>
      <c r="AX242" s="204"/>
      <c r="AY242" s="950"/>
      <c r="AZ242" s="204"/>
      <c r="BA242" s="204"/>
      <c r="BB242" s="204"/>
      <c r="BC242" s="204"/>
      <c r="BD242" s="950"/>
      <c r="BE242" s="204"/>
      <c r="BF242" s="204"/>
      <c r="BG242" s="204"/>
      <c r="BH242" s="204"/>
      <c r="BI242" s="950"/>
      <c r="BJ242" s="204"/>
      <c r="BK242" s="204"/>
      <c r="BL242" s="204"/>
      <c r="BM242" s="204"/>
      <c r="BN242" s="950"/>
      <c r="BO242" s="204"/>
      <c r="BP242" s="204"/>
      <c r="BQ242" s="204"/>
      <c r="BR242" s="204"/>
      <c r="BS242" s="950"/>
      <c r="BT242" s="294"/>
      <c r="BU242" s="204"/>
      <c r="BV242" s="204"/>
      <c r="BW242" s="204"/>
      <c r="BX242" s="950"/>
      <c r="BY242" s="204"/>
      <c r="BZ242" s="204"/>
      <c r="CA242" s="204"/>
      <c r="CB242" s="204"/>
      <c r="CC242" s="950"/>
      <c r="CD242" s="950"/>
      <c r="CE242" s="950"/>
      <c r="CF242" s="950"/>
      <c r="CG242" s="131"/>
    </row>
    <row r="243" spans="1:85" x14ac:dyDescent="0.3">
      <c r="A243" s="754" t="s">
        <v>693</v>
      </c>
      <c r="B243" s="754"/>
      <c r="C243" s="754"/>
      <c r="D243" s="754"/>
      <c r="E243" s="754"/>
      <c r="F243" s="754"/>
      <c r="G243" s="754"/>
      <c r="H243" s="754"/>
      <c r="I243" s="754"/>
      <c r="J243" s="754"/>
      <c r="K243" s="754"/>
      <c r="L243" s="754"/>
      <c r="M243" s="754"/>
      <c r="N243" s="754"/>
      <c r="O243" s="754"/>
      <c r="P243" s="754"/>
      <c r="Q243" s="754"/>
      <c r="R243" s="754"/>
      <c r="S243" s="754"/>
      <c r="T243" s="754"/>
      <c r="U243" s="754"/>
      <c r="V243" s="754"/>
      <c r="W243" s="754"/>
      <c r="X243" s="754"/>
      <c r="Y243" s="754"/>
      <c r="Z243" s="754"/>
      <c r="AA243" s="754"/>
      <c r="AB243" s="754"/>
      <c r="AC243" s="754"/>
      <c r="AD243" s="754"/>
      <c r="AE243" s="754"/>
      <c r="AF243" s="754"/>
      <c r="AG243" s="754"/>
      <c r="AH243" s="754"/>
      <c r="AI243" s="754"/>
      <c r="AJ243" s="754"/>
      <c r="AK243" s="796" t="s">
        <v>634</v>
      </c>
      <c r="AL243" s="796" t="s">
        <v>634</v>
      </c>
      <c r="AM243" s="796" t="s">
        <v>634</v>
      </c>
      <c r="AN243" s="754"/>
      <c r="AO243" s="754"/>
      <c r="AP243" s="754"/>
      <c r="AQ243" s="754"/>
      <c r="AR243" s="754"/>
      <c r="AS243" s="754"/>
      <c r="AT243" s="754"/>
      <c r="AU243" s="754"/>
      <c r="AV243" s="754"/>
      <c r="AW243" s="754"/>
      <c r="AX243" s="754"/>
      <c r="AY243" s="754"/>
      <c r="AZ243" s="754"/>
      <c r="BA243" s="754"/>
      <c r="BB243" s="754"/>
      <c r="BC243" s="754"/>
      <c r="BD243" s="754"/>
      <c r="BE243" s="754"/>
      <c r="BF243" s="754"/>
      <c r="BG243" s="754"/>
      <c r="BH243" s="754"/>
      <c r="BI243" s="754"/>
      <c r="BJ243" s="754"/>
      <c r="BK243" s="754"/>
      <c r="BL243" s="754"/>
      <c r="BM243" s="754"/>
      <c r="BN243" s="754"/>
      <c r="BO243" s="754"/>
      <c r="BP243" s="754"/>
      <c r="BQ243" s="754"/>
      <c r="BR243" s="754"/>
      <c r="BS243" s="754"/>
      <c r="BT243" s="755"/>
      <c r="BU243" s="754"/>
      <c r="BV243" s="754"/>
      <c r="BW243" s="754"/>
      <c r="BX243" s="754"/>
      <c r="BY243" s="754"/>
      <c r="BZ243" s="754"/>
      <c r="CA243" s="754"/>
      <c r="CB243" s="754"/>
      <c r="CC243" s="754"/>
      <c r="CD243" s="754"/>
      <c r="CE243" s="754"/>
      <c r="CF243" s="754"/>
      <c r="CG243" s="183"/>
    </row>
    <row r="244" spans="1:85" hidden="1" outlineLevel="1" x14ac:dyDescent="0.3">
      <c r="A244" s="4" t="s">
        <v>691</v>
      </c>
      <c r="B244" s="250"/>
      <c r="C244" s="969"/>
      <c r="D244" s="985">
        <f t="shared" ref="D244:J244" si="547">C248</f>
      </c>
      <c r="E244" s="985">
        <f t="shared" si="547"/>
      </c>
      <c r="F244" s="985">
        <f t="shared" si="547"/>
      </c>
      <c r="G244" s="183">
        <f t="shared" si="547"/>
      </c>
      <c r="H244" s="183">
        <f t="shared" si="547"/>
      </c>
      <c r="I244" s="183">
        <f t="shared" si="547"/>
      </c>
      <c r="J244" s="183">
        <f t="shared" si="547"/>
      </c>
      <c r="K244" s="985">
        <f>F248</f>
      </c>
      <c r="L244" s="183">
        <f>K248</f>
      </c>
      <c r="M244" s="183">
        <f>L248</f>
      </c>
      <c r="N244" s="183">
        <f>M248</f>
      </c>
      <c r="O244" s="183">
        <f>N248</f>
      </c>
      <c r="P244" s="985">
        <f>K248</f>
      </c>
      <c r="Q244" s="183">
        <f>P248</f>
      </c>
      <c r="R244" s="183">
        <f>Q248</f>
      </c>
      <c r="S244" s="183">
        <f>R248</f>
      </c>
      <c r="T244" s="183">
        <f>S248</f>
      </c>
      <c r="U244" s="985">
        <f>P248</f>
      </c>
      <c r="V244" s="183">
        <f>U248</f>
      </c>
      <c r="W244" s="183">
        <f>V248</f>
      </c>
      <c r="X244" s="183">
        <f>W248</f>
      </c>
      <c r="Y244" s="183">
        <f>X248</f>
      </c>
      <c r="Z244" s="985">
        <f>U248</f>
      </c>
      <c r="AA244" s="183">
        <f>Z248</f>
      </c>
      <c r="AB244" s="183">
        <f>AA248</f>
      </c>
      <c r="AC244" s="183">
        <f>AB248</f>
      </c>
      <c r="AD244" s="183">
        <f>AC248</f>
      </c>
      <c r="AE244" s="985">
        <f>Z248</f>
      </c>
      <c r="AF244" s="183">
        <f>AE248</f>
      </c>
      <c r="AG244" s="183">
        <f>AF248</f>
      </c>
      <c r="AH244" s="183">
        <f>AG248</f>
      </c>
      <c r="AI244" s="183">
        <f>AH248</f>
      </c>
      <c r="AJ244" s="985">
        <f>AE248</f>
      </c>
      <c r="AK244" s="183">
        <f>AJ248</f>
      </c>
      <c r="AL244" s="183">
        <f>AK248</f>
      </c>
      <c r="AM244" s="183">
        <f>AL248</f>
      </c>
      <c r="AN244" s="183">
        <f>AM248</f>
      </c>
      <c r="AO244" s="985">
        <f>AJ248</f>
      </c>
      <c r="AP244" s="183">
        <f>AO248</f>
      </c>
      <c r="AQ244" s="183">
        <f>AP248</f>
      </c>
      <c r="AR244" s="183">
        <f>AQ248</f>
      </c>
      <c r="AS244" s="183">
        <f>AR248</f>
      </c>
      <c r="AT244" s="985">
        <f>AO248</f>
      </c>
      <c r="AU244" s="183">
        <f>AT248</f>
      </c>
      <c r="AV244" s="183">
        <f>AU248</f>
      </c>
      <c r="AW244" s="183">
        <f>AV248</f>
      </c>
      <c r="AX244" s="183">
        <f>AW248</f>
      </c>
      <c r="AY244" s="985">
        <f>AT248</f>
      </c>
      <c r="AZ244" s="183">
        <f>AY248</f>
      </c>
      <c r="BA244" s="183">
        <f>AZ248</f>
      </c>
      <c r="BB244" s="183">
        <f>BA248</f>
      </c>
      <c r="BC244" s="183">
        <f>BB248</f>
      </c>
      <c r="BD244" s="985">
        <f>AY248</f>
      </c>
      <c r="BE244" s="183">
        <f>BD248</f>
      </c>
      <c r="BF244" s="183">
        <f>BE248</f>
      </c>
      <c r="BG244" s="183">
        <f>BF248</f>
      </c>
      <c r="BH244" s="183">
        <f>BG248</f>
      </c>
      <c r="BI244" s="985">
        <f>BD248</f>
      </c>
      <c r="BJ244" s="183">
        <f>BI248</f>
      </c>
      <c r="BK244" s="183">
        <f>BJ248</f>
      </c>
      <c r="BL244" s="183">
        <f>BK248</f>
      </c>
      <c r="BM244" s="183">
        <f>BL248</f>
      </c>
      <c r="BN244" s="985">
        <f>BI248</f>
      </c>
      <c r="BO244" s="183">
        <f>BN248</f>
      </c>
      <c r="BP244" s="183">
        <f>BO248</f>
      </c>
      <c r="BQ244" s="183">
        <f>BP248</f>
      </c>
      <c r="BR244" s="183">
        <f>BQ248</f>
      </c>
      <c r="BS244" s="985">
        <f>BN248</f>
      </c>
      <c r="BT244" s="794">
        <f>BS248</f>
      </c>
      <c r="BU244" s="759">
        <f>BT248</f>
      </c>
      <c r="BV244" s="759">
        <f>BU248</f>
      </c>
      <c r="BW244" s="759">
        <f>BV248</f>
      </c>
      <c r="BX244" s="969">
        <f>BS248</f>
      </c>
      <c r="BY244" s="759">
        <f>BX248</f>
      </c>
      <c r="BZ244" s="759">
        <f>BY248</f>
      </c>
      <c r="CA244" s="759">
        <f>BZ248</f>
      </c>
      <c r="CB244" s="759">
        <f>CA248</f>
      </c>
      <c r="CC244" s="969">
        <f>BX248</f>
      </c>
      <c r="CD244" s="969">
        <f>CC248</f>
      </c>
      <c r="CE244" s="969">
        <f>CD248</f>
      </c>
      <c r="CF244" s="969">
        <f>CE248</f>
      </c>
      <c r="CG244" s="183"/>
    </row>
    <row r="245" spans="1:85" hidden="1" outlineLevel="1" x14ac:dyDescent="0.3">
      <c r="A245" s="436" t="s">
        <v>21</v>
      </c>
      <c r="B245" s="430"/>
      <c r="C245" s="962">
        <f t="shared" ref="C245:BJ245" si="548">-C1100-C1124</f>
      </c>
      <c r="D245" s="962">
        <f t="shared" si="548"/>
      </c>
      <c r="E245" s="962">
        <f t="shared" si="548"/>
      </c>
      <c r="F245" s="962">
        <f t="shared" si="548"/>
      </c>
      <c r="G245" s="757">
        <f t="shared" si="548"/>
      </c>
      <c r="H245" s="757">
        <f t="shared" si="548"/>
      </c>
      <c r="I245" s="757">
        <f t="shared" si="548"/>
      </c>
      <c r="J245" s="757">
        <f t="shared" si="548"/>
      </c>
      <c r="K245" s="962">
        <f t="shared" si="548"/>
      </c>
      <c r="L245" s="757">
        <f t="shared" si="548"/>
      </c>
      <c r="M245" s="757">
        <f t="shared" si="548"/>
      </c>
      <c r="N245" s="757">
        <f t="shared" si="548"/>
      </c>
      <c r="O245" s="757">
        <f t="shared" si="548"/>
      </c>
      <c r="P245" s="962">
        <f t="shared" si="548"/>
      </c>
      <c r="Q245" s="757">
        <f t="shared" si="548"/>
      </c>
      <c r="R245" s="757">
        <f t="shared" si="548"/>
      </c>
      <c r="S245" s="757">
        <f t="shared" si="548"/>
      </c>
      <c r="T245" s="757">
        <f t="shared" si="548"/>
      </c>
      <c r="U245" s="962">
        <f t="shared" si="548"/>
      </c>
      <c r="V245" s="757">
        <f t="shared" si="548"/>
      </c>
      <c r="W245" s="757">
        <f t="shared" si="548"/>
      </c>
      <c r="X245" s="757">
        <f t="shared" si="548"/>
      </c>
      <c r="Y245" s="757">
        <f t="shared" si="548"/>
      </c>
      <c r="Z245" s="962">
        <f t="shared" si="548"/>
      </c>
      <c r="AA245" s="757">
        <f t="shared" si="548"/>
      </c>
      <c r="AB245" s="757">
        <f t="shared" si="548"/>
      </c>
      <c r="AC245" s="757">
        <f t="shared" si="548"/>
      </c>
      <c r="AD245" s="757">
        <f t="shared" si="548"/>
      </c>
      <c r="AE245" s="962">
        <f t="shared" si="548"/>
      </c>
      <c r="AF245" s="757">
        <f t="shared" si="548"/>
      </c>
      <c r="AG245" s="757">
        <f t="shared" si="548"/>
      </c>
      <c r="AH245" s="757">
        <f t="shared" si="548"/>
      </c>
      <c r="AI245" s="757">
        <f t="shared" si="548"/>
      </c>
      <c r="AJ245" s="962">
        <f t="shared" si="548"/>
      </c>
      <c r="AK245" s="757">
        <f t="shared" si="548"/>
      </c>
      <c r="AL245" s="757">
        <f t="shared" si="548"/>
      </c>
      <c r="AM245" s="757">
        <f t="shared" si="548"/>
      </c>
      <c r="AN245" s="757">
        <f t="shared" si="548"/>
      </c>
      <c r="AO245" s="962">
        <f t="shared" si="548"/>
      </c>
      <c r="AP245" s="757">
        <f t="shared" si="548"/>
      </c>
      <c r="AQ245" s="757">
        <f t="shared" si="548"/>
      </c>
      <c r="AR245" s="757">
        <f t="shared" si="548"/>
      </c>
      <c r="AS245" s="757">
        <f t="shared" si="548"/>
      </c>
      <c r="AT245" s="962">
        <f t="shared" si="548"/>
      </c>
      <c r="AU245" s="757">
        <f t="shared" si="548"/>
      </c>
      <c r="AV245" s="757">
        <f t="shared" si="548"/>
      </c>
      <c r="AW245" s="757">
        <f t="shared" si="548"/>
      </c>
      <c r="AX245" s="757">
        <f t="shared" si="548"/>
      </c>
      <c r="AY245" s="962">
        <f t="shared" si="548"/>
      </c>
      <c r="AZ245" s="757">
        <f t="shared" si="548"/>
      </c>
      <c r="BA245" s="757">
        <f t="shared" si="548"/>
      </c>
      <c r="BB245" s="757">
        <f t="shared" si="548"/>
      </c>
      <c r="BC245" s="757">
        <f t="shared" si="548"/>
      </c>
      <c r="BD245" s="962">
        <f t="shared" si="548"/>
      </c>
      <c r="BE245" s="757">
        <f t="shared" si="548"/>
      </c>
      <c r="BF245" s="757">
        <f t="shared" si="548"/>
      </c>
      <c r="BG245" s="757">
        <f t="shared" si="548"/>
      </c>
      <c r="BH245" s="757">
        <f t="shared" si="548"/>
      </c>
      <c r="BI245" s="962">
        <f t="shared" si="548"/>
      </c>
      <c r="BJ245" s="757">
        <f t="shared" si="548"/>
      </c>
      <c r="BK245" s="757">
        <f t="shared" ref="BK245:BP245" si="549">-BK1100-BK1124</f>
      </c>
      <c r="BL245" s="757">
        <f t="shared" si="549"/>
      </c>
      <c r="BM245" s="757">
        <f t="shared" si="549"/>
      </c>
      <c r="BN245" s="962">
        <f t="shared" si="549"/>
      </c>
      <c r="BO245" s="757">
        <f t="shared" si="549"/>
      </c>
      <c r="BP245" s="757">
        <f t="shared" si="549"/>
      </c>
      <c r="BQ245" s="757">
        <f>-BQ1100-BQ1124</f>
      </c>
      <c r="BR245" s="757">
        <f>-BR1100-BR1124</f>
      </c>
      <c r="BS245" s="962">
        <f>-BS1100-BS1124</f>
      </c>
      <c r="BT245" s="758">
        <f>-BT1100-BT1124</f>
      </c>
      <c r="BU245" s="757">
        <f>BU1175</f>
      </c>
      <c r="BV245" s="757">
        <f>BV1175</f>
      </c>
      <c r="BW245" s="757">
        <f>BW1175</f>
      </c>
      <c r="BX245" s="962">
        <f>SUM(BT245,BU245,BV245,BW245)</f>
      </c>
      <c r="BY245" s="757">
        <f>BY1175</f>
      </c>
      <c r="BZ245" s="757">
        <f>BZ1175</f>
      </c>
      <c r="CA245" s="757">
        <f>CA1175</f>
      </c>
      <c r="CB245" s="757">
        <f>CB1175</f>
      </c>
      <c r="CC245" s="962">
        <f>SUM(BY245,BZ245,CA245,CB245)</f>
      </c>
      <c r="CD245" s="962">
        <f>CD1175</f>
      </c>
      <c r="CE245" s="962">
        <f>CE1175</f>
      </c>
      <c r="CF245" s="962">
        <f>CF1175</f>
      </c>
      <c r="CG245" s="459"/>
    </row>
    <row r="246" spans="1:85" hidden="1" outlineLevel="1" x14ac:dyDescent="0.3">
      <c r="A246" s="182" t="s">
        <v>22</v>
      </c>
      <c r="B246" s="430"/>
      <c r="C246" s="964">
        <f>-C1102-C1103</f>
      </c>
      <c r="D246" s="964">
        <f t="shared" ref="D246:AW246" si="550">-D1102-D1103</f>
      </c>
      <c r="E246" s="964">
        <f t="shared" si="550"/>
      </c>
      <c r="F246" s="964">
        <f t="shared" si="550"/>
      </c>
      <c r="G246" s="459">
        <f t="shared" si="550"/>
      </c>
      <c r="H246" s="459">
        <f t="shared" si="550"/>
      </c>
      <c r="I246" s="459">
        <f t="shared" si="550"/>
      </c>
      <c r="J246" s="459">
        <f t="shared" si="550"/>
      </c>
      <c r="K246" s="964">
        <f t="shared" si="550"/>
      </c>
      <c r="L246" s="459">
        <f t="shared" si="550"/>
      </c>
      <c r="M246" s="459">
        <f t="shared" si="550"/>
      </c>
      <c r="N246" s="459">
        <f t="shared" si="550"/>
      </c>
      <c r="O246" s="459">
        <f t="shared" si="550"/>
      </c>
      <c r="P246" s="964">
        <f t="shared" si="550"/>
      </c>
      <c r="Q246" s="459">
        <f t="shared" si="550"/>
      </c>
      <c r="R246" s="459">
        <f t="shared" si="550"/>
      </c>
      <c r="S246" s="459">
        <f t="shared" si="550"/>
      </c>
      <c r="T246" s="459">
        <f t="shared" si="550"/>
      </c>
      <c r="U246" s="964">
        <f t="shared" si="550"/>
      </c>
      <c r="V246" s="459">
        <f t="shared" si="550"/>
      </c>
      <c r="W246" s="459">
        <f t="shared" si="550"/>
      </c>
      <c r="X246" s="459">
        <f t="shared" si="550"/>
      </c>
      <c r="Y246" s="459">
        <f t="shared" si="550"/>
      </c>
      <c r="Z246" s="964">
        <f t="shared" si="550"/>
      </c>
      <c r="AA246" s="459">
        <f t="shared" si="550"/>
      </c>
      <c r="AB246" s="459">
        <f t="shared" si="550"/>
      </c>
      <c r="AC246" s="459">
        <f t="shared" si="550"/>
      </c>
      <c r="AD246" s="459">
        <f t="shared" si="550"/>
      </c>
      <c r="AE246" s="964">
        <f t="shared" si="550"/>
      </c>
      <c r="AF246" s="459">
        <f t="shared" si="550"/>
      </c>
      <c r="AG246" s="459">
        <f t="shared" si="550"/>
      </c>
      <c r="AH246" s="459">
        <f t="shared" si="550"/>
      </c>
      <c r="AI246" s="459">
        <f t="shared" si="550"/>
      </c>
      <c r="AJ246" s="964">
        <f t="shared" si="550"/>
      </c>
      <c r="AK246" s="459">
        <f t="shared" si="550"/>
      </c>
      <c r="AL246" s="459">
        <f t="shared" si="550"/>
      </c>
      <c r="AM246" s="459">
        <f t="shared" si="550"/>
      </c>
      <c r="AN246" s="459">
        <f t="shared" si="550"/>
      </c>
      <c r="AO246" s="964">
        <f t="shared" si="550"/>
      </c>
      <c r="AP246" s="459">
        <f t="shared" si="550"/>
      </c>
      <c r="AQ246" s="459">
        <f t="shared" si="550"/>
      </c>
      <c r="AR246" s="459">
        <f t="shared" si="550"/>
      </c>
      <c r="AS246" s="459">
        <f t="shared" si="550"/>
      </c>
      <c r="AT246" s="964">
        <f t="shared" si="550"/>
      </c>
      <c r="AU246" s="459">
        <f t="shared" si="550"/>
      </c>
      <c r="AV246" s="459">
        <f t="shared" si="550"/>
      </c>
      <c r="AW246" s="459">
        <f t="shared" si="550"/>
      </c>
      <c r="AX246" s="459">
        <f t="shared" ref="AX246:BD246" si="551">-AX1102-AX1103</f>
      </c>
      <c r="AY246" s="964">
        <f t="shared" si="551"/>
      </c>
      <c r="AZ246" s="459">
        <f t="shared" si="551"/>
      </c>
      <c r="BA246" s="459">
        <f t="shared" si="551"/>
      </c>
      <c r="BB246" s="459">
        <f>-BB1102-BB1103</f>
      </c>
      <c r="BC246" s="459">
        <f t="shared" si="551"/>
      </c>
      <c r="BD246" s="964">
        <f t="shared" si="551"/>
      </c>
      <c r="BE246" s="459">
        <f t="shared" ref="BE246:BJ246" si="552">-BE1102-BE1103</f>
      </c>
      <c r="BF246" s="459">
        <f t="shared" si="552"/>
      </c>
      <c r="BG246" s="459">
        <f t="shared" si="552"/>
      </c>
      <c r="BH246" s="459">
        <f t="shared" si="552"/>
      </c>
      <c r="BI246" s="964">
        <f t="shared" si="552"/>
      </c>
      <c r="BJ246" s="459">
        <f t="shared" si="552"/>
      </c>
      <c r="BK246" s="459">
        <f t="shared" ref="BK246:BP246" si="553">-BK1102-BK1103</f>
      </c>
      <c r="BL246" s="459">
        <f t="shared" si="553"/>
      </c>
      <c r="BM246" s="459">
        <f t="shared" si="553"/>
      </c>
      <c r="BN246" s="964">
        <f t="shared" si="553"/>
      </c>
      <c r="BO246" s="459">
        <f t="shared" si="553"/>
      </c>
      <c r="BP246" s="459">
        <f t="shared" si="553"/>
      </c>
      <c r="BQ246" s="459">
        <f>-BQ1102-BQ1103</f>
      </c>
      <c r="BR246" s="459">
        <f>-BR1102-BR1103</f>
      </c>
      <c r="BS246" s="964">
        <f>-BS1102-BS1103</f>
      </c>
      <c r="BT246" s="795">
        <f>-BT1102-BT1103</f>
      </c>
      <c r="BU246" s="757">
        <f>BU1174</f>
      </c>
      <c r="BV246" s="757">
        <f>BV1174</f>
      </c>
      <c r="BW246" s="757">
        <f>BW1174</f>
      </c>
      <c r="BX246" s="962">
        <f>SUM(BT246,BU246,BV246,BW246)</f>
      </c>
      <c r="BY246" s="757">
        <f>BY1174</f>
      </c>
      <c r="BZ246" s="757">
        <f>BZ1174</f>
      </c>
      <c r="CA246" s="757">
        <f>CA1174</f>
      </c>
      <c r="CB246" s="757">
        <f>CB1174</f>
      </c>
      <c r="CC246" s="962">
        <f>SUM(BY246,BZ246,CA246,CB246)</f>
      </c>
      <c r="CD246" s="962">
        <f>CD1174</f>
      </c>
      <c r="CE246" s="962">
        <f>CE1174</f>
      </c>
      <c r="CF246" s="962">
        <f>CF1174</f>
      </c>
      <c r="CG246" s="459"/>
    </row>
    <row r="247" spans="1:85" hidden="1" outlineLevel="1" x14ac:dyDescent="0.3">
      <c r="A247" s="554" t="s">
        <v>23</v>
      </c>
      <c r="B247" s="425"/>
      <c r="C247" s="984"/>
      <c r="D247" s="984">
        <f t="shared" ref="D247:AI247" si="554">SUM(D1216,D1202)-SUM(D244:D246)</f>
      </c>
      <c r="E247" s="984">
        <f t="shared" si="554"/>
      </c>
      <c r="F247" s="984">
        <f t="shared" si="554"/>
      </c>
      <c r="G247" s="761">
        <f t="shared" si="554"/>
      </c>
      <c r="H247" s="761">
        <f t="shared" si="554"/>
      </c>
      <c r="I247" s="761">
        <f t="shared" si="554"/>
      </c>
      <c r="J247" s="761">
        <f t="shared" si="554"/>
      </c>
      <c r="K247" s="984">
        <f t="shared" si="554"/>
      </c>
      <c r="L247" s="761">
        <f t="shared" si="554"/>
      </c>
      <c r="M247" s="761">
        <f t="shared" si="554"/>
      </c>
      <c r="N247" s="761">
        <f t="shared" si="554"/>
      </c>
      <c r="O247" s="761">
        <f t="shared" si="554"/>
      </c>
      <c r="P247" s="984">
        <f t="shared" si="554"/>
      </c>
      <c r="Q247" s="761">
        <f t="shared" si="554"/>
      </c>
      <c r="R247" s="761">
        <f t="shared" si="554"/>
      </c>
      <c r="S247" s="761">
        <f t="shared" si="554"/>
      </c>
      <c r="T247" s="761">
        <f t="shared" si="554"/>
      </c>
      <c r="U247" s="984">
        <f t="shared" si="554"/>
      </c>
      <c r="V247" s="761">
        <f t="shared" si="554"/>
      </c>
      <c r="W247" s="761">
        <f t="shared" si="554"/>
      </c>
      <c r="X247" s="761">
        <f t="shared" si="554"/>
      </c>
      <c r="Y247" s="761">
        <f t="shared" si="554"/>
      </c>
      <c r="Z247" s="984">
        <f t="shared" si="554"/>
      </c>
      <c r="AA247" s="761">
        <f t="shared" si="554"/>
      </c>
      <c r="AB247" s="761">
        <f t="shared" si="554"/>
      </c>
      <c r="AC247" s="761">
        <f t="shared" si="554"/>
      </c>
      <c r="AD247" s="761">
        <f t="shared" si="554"/>
      </c>
      <c r="AE247" s="984">
        <f t="shared" si="554"/>
      </c>
      <c r="AF247" s="761">
        <f t="shared" si="554"/>
      </c>
      <c r="AG247" s="761">
        <f t="shared" si="554"/>
      </c>
      <c r="AH247" s="761">
        <f t="shared" si="554"/>
      </c>
      <c r="AI247" s="761">
        <f t="shared" si="554"/>
      </c>
      <c r="AJ247" s="984">
        <f t="shared" ref="AJ247:BO247" si="555">SUM(AJ1216,AJ1202)-SUM(AJ244:AJ246)</f>
      </c>
      <c r="AK247" s="761">
        <f t="shared" si="555"/>
      </c>
      <c r="AL247" s="761">
        <f t="shared" si="555"/>
      </c>
      <c r="AM247" s="761">
        <f t="shared" si="555"/>
      </c>
      <c r="AN247" s="761">
        <f t="shared" si="555"/>
      </c>
      <c r="AO247" s="984">
        <f t="shared" si="555"/>
      </c>
      <c r="AP247" s="761">
        <f t="shared" si="555"/>
      </c>
      <c r="AQ247" s="761">
        <f t="shared" si="555"/>
      </c>
      <c r="AR247" s="761">
        <f t="shared" si="555"/>
      </c>
      <c r="AS247" s="761">
        <f t="shared" si="555"/>
      </c>
      <c r="AT247" s="984">
        <f t="shared" si="555"/>
      </c>
      <c r="AU247" s="761">
        <f t="shared" si="555"/>
      </c>
      <c r="AV247" s="761">
        <f t="shared" si="555"/>
      </c>
      <c r="AW247" s="761">
        <f t="shared" si="555"/>
      </c>
      <c r="AX247" s="761">
        <f t="shared" si="555"/>
      </c>
      <c r="AY247" s="984">
        <f t="shared" si="555"/>
      </c>
      <c r="AZ247" s="761">
        <f t="shared" si="555"/>
      </c>
      <c r="BA247" s="761">
        <f t="shared" si="555"/>
      </c>
      <c r="BB247" s="761">
        <f t="shared" si="555"/>
      </c>
      <c r="BC247" s="761">
        <f t="shared" si="555"/>
      </c>
      <c r="BD247" s="984">
        <f t="shared" si="555"/>
      </c>
      <c r="BE247" s="761">
        <f t="shared" si="555"/>
      </c>
      <c r="BF247" s="761">
        <f t="shared" si="555"/>
      </c>
      <c r="BG247" s="761">
        <f t="shared" si="555"/>
      </c>
      <c r="BH247" s="761">
        <f t="shared" si="555"/>
      </c>
      <c r="BI247" s="984">
        <f t="shared" si="555"/>
      </c>
      <c r="BJ247" s="761">
        <f t="shared" si="555"/>
      </c>
      <c r="BK247" s="761">
        <f t="shared" si="555"/>
      </c>
      <c r="BL247" s="761">
        <f t="shared" si="555"/>
      </c>
      <c r="BM247" s="761">
        <f t="shared" si="555"/>
      </c>
      <c r="BN247" s="984">
        <f t="shared" si="555"/>
      </c>
      <c r="BO247" s="761">
        <f t="shared" si="555"/>
      </c>
      <c r="BP247" s="761">
        <f t="shared" ref="BP247:BQ247" si="556">SUM(BP1216,BP1202)-SUM(BP244:BP246)</f>
      </c>
      <c r="BQ247" s="761">
        <f t="shared" si="556"/>
      </c>
      <c r="BR247" s="761">
        <f>SUM(BR1216,BR1202)-SUM(BR244:BR246)</f>
      </c>
      <c r="BS247" s="984">
        <f>SUM(BS1216,BS1202)-SUM(BS244:BS246)</f>
      </c>
      <c r="BT247" s="762">
        <f>SUM(BT1216,BT1202)-SUM(BT244:BT246)</f>
      </c>
      <c r="BU247" s="863">
        <v>0</v>
      </c>
      <c r="BV247" s="863">
        <v>0</v>
      </c>
      <c r="BW247" s="863">
        <v>0</v>
      </c>
      <c r="BX247" s="984">
        <f>SUM(BT247,BU247,BV247,BW247)</f>
      </c>
      <c r="BY247" s="863">
        <v>0</v>
      </c>
      <c r="BZ247" s="863">
        <v>0</v>
      </c>
      <c r="CA247" s="863">
        <v>0</v>
      </c>
      <c r="CB247" s="863">
        <v>0</v>
      </c>
      <c r="CC247" s="984">
        <f>SUM(BY247,BZ247,CA247,CB247)</f>
      </c>
      <c r="CD247" s="989">
        <v>0</v>
      </c>
      <c r="CE247" s="989">
        <v>0</v>
      </c>
      <c r="CF247" s="989">
        <v>0</v>
      </c>
      <c r="CG247" s="459"/>
    </row>
    <row r="248" spans="1:85" hidden="1" outlineLevel="1" x14ac:dyDescent="0.3">
      <c r="A248" s="2" t="s">
        <v>692</v>
      </c>
      <c r="B248" s="426"/>
      <c r="C248" s="986">
        <f t="shared" ref="C248:AQ248" si="557">C1216+C1202</f>
      </c>
      <c r="D248" s="986">
        <f t="shared" si="557"/>
      </c>
      <c r="E248" s="986">
        <f t="shared" si="557"/>
      </c>
      <c r="F248" s="986">
        <f t="shared" si="557"/>
      </c>
      <c r="G248" s="792">
        <f t="shared" si="557"/>
      </c>
      <c r="H248" s="792">
        <f t="shared" si="557"/>
      </c>
      <c r="I248" s="792">
        <f t="shared" si="557"/>
      </c>
      <c r="J248" s="792">
        <f t="shared" si="557"/>
      </c>
      <c r="K248" s="986">
        <f t="shared" si="557"/>
      </c>
      <c r="L248" s="792">
        <f t="shared" si="557"/>
      </c>
      <c r="M248" s="792">
        <f t="shared" si="557"/>
      </c>
      <c r="N248" s="792">
        <f t="shared" si="557"/>
      </c>
      <c r="O248" s="792">
        <f t="shared" si="557"/>
      </c>
      <c r="P248" s="986">
        <f t="shared" si="557"/>
      </c>
      <c r="Q248" s="792">
        <f t="shared" si="557"/>
      </c>
      <c r="R248" s="792">
        <f t="shared" si="557"/>
      </c>
      <c r="S248" s="792">
        <f t="shared" si="557"/>
      </c>
      <c r="T248" s="792">
        <f t="shared" si="557"/>
      </c>
      <c r="U248" s="986">
        <f t="shared" si="557"/>
      </c>
      <c r="V248" s="792">
        <f t="shared" si="557"/>
      </c>
      <c r="W248" s="792">
        <f t="shared" si="557"/>
      </c>
      <c r="X248" s="792">
        <f t="shared" si="557"/>
      </c>
      <c r="Y248" s="792">
        <f t="shared" si="557"/>
      </c>
      <c r="Z248" s="986">
        <f t="shared" si="557"/>
      </c>
      <c r="AA248" s="792">
        <f t="shared" si="557"/>
      </c>
      <c r="AB248" s="792">
        <f t="shared" si="557"/>
      </c>
      <c r="AC248" s="792">
        <f t="shared" si="557"/>
      </c>
      <c r="AD248" s="792">
        <f t="shared" si="557"/>
      </c>
      <c r="AE248" s="986">
        <f t="shared" si="557"/>
      </c>
      <c r="AF248" s="792">
        <f t="shared" si="557"/>
      </c>
      <c r="AG248" s="792">
        <f t="shared" si="557"/>
      </c>
      <c r="AH248" s="792">
        <f t="shared" si="557"/>
      </c>
      <c r="AI248" s="792">
        <f t="shared" si="557"/>
      </c>
      <c r="AJ248" s="986">
        <f t="shared" si="557"/>
      </c>
      <c r="AK248" s="792">
        <f t="shared" si="557"/>
      </c>
      <c r="AL248" s="792">
        <f t="shared" si="557"/>
      </c>
      <c r="AM248" s="792">
        <f t="shared" si="557"/>
      </c>
      <c r="AN248" s="792">
        <f t="shared" si="557"/>
      </c>
      <c r="AO248" s="986">
        <f t="shared" si="557"/>
      </c>
      <c r="AP248" s="792">
        <f t="shared" si="557"/>
      </c>
      <c r="AQ248" s="792">
        <f t="shared" si="557"/>
      </c>
      <c r="AR248" s="792">
        <f>AR1216+AR1202</f>
      </c>
      <c r="AS248" s="792">
        <f>AS1216+AS1202</f>
      </c>
      <c r="AT248" s="986">
        <f>AT1216+AT1202</f>
      </c>
      <c r="AU248" s="792">
        <f t="shared" ref="AU248" si="558">AU1216+AU1202</f>
      </c>
      <c r="AV248" s="792">
        <f t="shared" ref="AV248:BA248" si="559">AV1216+AV1202</f>
      </c>
      <c r="AW248" s="792">
        <f t="shared" si="559"/>
      </c>
      <c r="AX248" s="792">
        <f t="shared" si="559"/>
      </c>
      <c r="AY248" s="986">
        <f t="shared" si="559"/>
      </c>
      <c r="AZ248" s="792">
        <f t="shared" si="559"/>
      </c>
      <c r="BA248" s="792">
        <f t="shared" si="559"/>
      </c>
      <c r="BB248" s="792">
        <f t="shared" ref="BB248:BG248" si="560">BB1216+BB1202</f>
      </c>
      <c r="BC248" s="792">
        <f t="shared" si="560"/>
      </c>
      <c r="BD248" s="986">
        <f t="shared" si="560"/>
      </c>
      <c r="BE248" s="792">
        <f t="shared" si="560"/>
      </c>
      <c r="BF248" s="792">
        <f t="shared" si="560"/>
      </c>
      <c r="BG248" s="792">
        <f t="shared" si="560"/>
      </c>
      <c r="BH248" s="792">
        <f t="shared" ref="BH248:BN248" si="561">BH1216+BH1202</f>
      </c>
      <c r="BI248" s="986">
        <f t="shared" si="561"/>
      </c>
      <c r="BJ248" s="792">
        <f t="shared" si="561"/>
      </c>
      <c r="BK248" s="792">
        <f t="shared" si="561"/>
      </c>
      <c r="BL248" s="792">
        <f t="shared" si="561"/>
      </c>
      <c r="BM248" s="792">
        <f t="shared" si="561"/>
      </c>
      <c r="BN248" s="986">
        <f t="shared" si="561"/>
      </c>
      <c r="BO248" s="792">
        <f t="shared" ref="BO248:BT248" si="562">BO1216+BO1202</f>
      </c>
      <c r="BP248" s="792">
        <f t="shared" si="562"/>
      </c>
      <c r="BQ248" s="792">
        <f t="shared" si="562"/>
      </c>
      <c r="BR248" s="792">
        <f t="shared" si="562"/>
      </c>
      <c r="BS248" s="986">
        <f t="shared" si="562"/>
      </c>
      <c r="BT248" s="793">
        <f t="shared" si="562"/>
      </c>
      <c r="BU248" s="791">
        <f>SUM(BU244:BU247)</f>
      </c>
      <c r="BV248" s="791">
        <f>SUM(BV244:BV247)</f>
      </c>
      <c r="BW248" s="791">
        <f>SUM(BW244:BW247)</f>
      </c>
      <c r="BX248" s="965">
        <f t="shared" ref="BX248" si="563">SUM(BX244:BX247)</f>
      </c>
      <c r="BY248" s="791">
        <f t="shared" ref="BY248:CF248" si="564">SUM(BY244:BY247)</f>
      </c>
      <c r="BZ248" s="791">
        <f t="shared" si="564"/>
      </c>
      <c r="CA248" s="791">
        <f t="shared" si="564"/>
      </c>
      <c r="CB248" s="791">
        <f t="shared" si="564"/>
      </c>
      <c r="CC248" s="965">
        <f t="shared" si="564"/>
      </c>
      <c r="CD248" s="965">
        <f t="shared" si="564"/>
      </c>
      <c r="CE248" s="965">
        <f t="shared" si="564"/>
      </c>
      <c r="CF248" s="965">
        <f t="shared" si="564"/>
      </c>
      <c r="CG248" s="183"/>
    </row>
    <row r="249" spans="1:85" hidden="1" outlineLevel="1" x14ac:dyDescent="0.3">
      <c r="A249" s="429"/>
      <c r="B249" s="250"/>
      <c r="C249" s="969"/>
      <c r="D249" s="969"/>
      <c r="E249" s="969"/>
      <c r="F249" s="969"/>
      <c r="G249" s="759"/>
      <c r="H249" s="759"/>
      <c r="I249" s="759"/>
      <c r="J249" s="759"/>
      <c r="K249" s="969"/>
      <c r="L249" s="759"/>
      <c r="M249" s="759"/>
      <c r="N249" s="759"/>
      <c r="O249" s="759"/>
      <c r="P249" s="969"/>
      <c r="Q249" s="759"/>
      <c r="R249" s="759"/>
      <c r="S249" s="759"/>
      <c r="T249" s="759"/>
      <c r="U249" s="969"/>
      <c r="V249" s="759"/>
      <c r="W249" s="759"/>
      <c r="X249" s="759"/>
      <c r="Y249" s="759"/>
      <c r="Z249" s="969"/>
      <c r="AA249" s="759"/>
      <c r="AB249" s="759"/>
      <c r="AC249" s="759"/>
      <c r="AD249" s="759"/>
      <c r="AE249" s="969"/>
      <c r="AF249" s="759"/>
      <c r="AG249" s="759"/>
      <c r="AH249" s="759"/>
      <c r="AI249" s="759"/>
      <c r="AJ249" s="969"/>
      <c r="AK249" s="759"/>
      <c r="AL249" s="759"/>
      <c r="AM249" s="759"/>
      <c r="AN249" s="759"/>
      <c r="AO249" s="969"/>
      <c r="AP249" s="759"/>
      <c r="AQ249" s="759"/>
      <c r="AR249" s="759"/>
      <c r="AS249" s="759"/>
      <c r="AT249" s="969"/>
      <c r="AU249" s="759"/>
      <c r="AV249" s="759"/>
      <c r="AW249" s="759"/>
      <c r="AX249" s="759"/>
      <c r="AY249" s="969"/>
      <c r="AZ249" s="759"/>
      <c r="BA249" s="759"/>
      <c r="BB249" s="759"/>
      <c r="BC249" s="759"/>
      <c r="BD249" s="969"/>
      <c r="BE249" s="759"/>
      <c r="BF249" s="759"/>
      <c r="BG249" s="759"/>
      <c r="BH249" s="759"/>
      <c r="BI249" s="969"/>
      <c r="BJ249" s="759"/>
      <c r="BK249" s="759"/>
      <c r="BL249" s="759"/>
      <c r="BM249" s="759"/>
      <c r="BN249" s="969"/>
      <c r="BO249" s="759"/>
      <c r="BP249" s="759"/>
      <c r="BQ249" s="759"/>
      <c r="BR249" s="759"/>
      <c r="BS249" s="969"/>
      <c r="BT249" s="760"/>
      <c r="BU249" s="759"/>
      <c r="BV249" s="759"/>
      <c r="BW249" s="759"/>
      <c r="BX249" s="969"/>
      <c r="BY249" s="759"/>
      <c r="BZ249" s="759"/>
      <c r="CA249" s="759"/>
      <c r="CB249" s="759"/>
      <c r="CC249" s="969"/>
      <c r="CD249" s="969"/>
      <c r="CE249" s="969"/>
      <c r="CF249" s="969"/>
      <c r="CG249" s="183"/>
    </row>
    <row r="250" spans="1:85" hidden="1" outlineLevel="1" x14ac:dyDescent="0.3">
      <c r="A250" s="5" t="s">
        <v>24</v>
      </c>
      <c r="B250" s="48"/>
      <c r="C250" s="990"/>
      <c r="D250" s="990">
        <f>-D248/D246</f>
      </c>
      <c r="E250" s="990">
        <f>-E248/E246</f>
      </c>
      <c r="F250" s="990">
        <f>-F248/F246</f>
      </c>
      <c r="G250" s="19">
        <f>-G248/G246/4</f>
      </c>
      <c r="H250" s="19">
        <f>-H248/H246/4</f>
      </c>
      <c r="I250" s="19">
        <f>-I248/I246/4</f>
      </c>
      <c r="J250" s="19">
        <f>-J248/J246/4</f>
      </c>
      <c r="K250" s="990">
        <f>-K248/K246</f>
      </c>
      <c r="L250" s="19">
        <f>-L248/L246/4</f>
      </c>
      <c r="M250" s="19">
        <f>-M248/M246/4</f>
      </c>
      <c r="N250" s="19">
        <f>-N248/N246/4</f>
      </c>
      <c r="O250" s="19">
        <f>-O248/O246/4</f>
      </c>
      <c r="P250" s="990">
        <f>-P248/P246</f>
      </c>
      <c r="Q250" s="19">
        <f>-Q248/Q246/4</f>
      </c>
      <c r="R250" s="19">
        <f>-R248/R246/4</f>
      </c>
      <c r="S250" s="19">
        <f>-S248/S246/4</f>
      </c>
      <c r="T250" s="19">
        <f>-T248/T246/4</f>
      </c>
      <c r="U250" s="990">
        <f>-U248/U246</f>
      </c>
      <c r="V250" s="19">
        <f>-V248/V246/4</f>
      </c>
      <c r="W250" s="19">
        <f>-W248/W246/4</f>
      </c>
      <c r="X250" s="19">
        <f>-X248/X246/4</f>
      </c>
      <c r="Y250" s="19">
        <f>-Y248/Y246/4</f>
      </c>
      <c r="Z250" s="990">
        <f>-Z248/Z246</f>
      </c>
      <c r="AA250" s="19">
        <f>-AA248/AA246/4</f>
      </c>
      <c r="AB250" s="19">
        <f>-AB248/AB246/4</f>
      </c>
      <c r="AC250" s="19">
        <f>-AC248/AC246/4</f>
      </c>
      <c r="AD250" s="19">
        <f>-AD248/AD246/4</f>
      </c>
      <c r="AE250" s="990">
        <f>-AE248/AE246</f>
      </c>
      <c r="AF250" s="19">
        <f>-AF248/AF246/4</f>
      </c>
      <c r="AG250" s="19">
        <f>-AG248/AG246/4</f>
      </c>
      <c r="AH250" s="19">
        <f>-AH248/AH246/4</f>
      </c>
      <c r="AI250" s="19">
        <f>-AI248/AI246/4</f>
      </c>
      <c r="AJ250" s="990">
        <f>-AJ248/AJ246</f>
      </c>
      <c r="AK250" s="19">
        <f>-AK248/AK246/4</f>
      </c>
      <c r="AL250" s="19">
        <f>-AL248/AL246/4</f>
      </c>
      <c r="AM250" s="19">
        <f>-AM248/AM246/4</f>
      </c>
      <c r="AN250" s="19">
        <f>-AN248/AN246/4</f>
      </c>
      <c r="AO250" s="990">
        <f>-AO248/AO246</f>
      </c>
      <c r="AP250" s="19">
        <f>-AP248/AP246/4</f>
      </c>
      <c r="AQ250" s="19">
        <f>-AQ248/AQ246/4</f>
      </c>
      <c r="AR250" s="19">
        <f>-AR248/AR246/4</f>
      </c>
      <c r="AS250" s="19">
        <f>-AS248/AS246/4</f>
      </c>
      <c r="AT250" s="990">
        <f>-AT248/AT246</f>
      </c>
      <c r="AU250" s="19">
        <f>-AU248/AU246/4</f>
      </c>
      <c r="AV250" s="19">
        <f>-AV248/AV246/4</f>
      </c>
      <c r="AW250" s="19">
        <f>-AW248/AW246/4</f>
      </c>
      <c r="AX250" s="19">
        <f>-AX248/AX246/4</f>
      </c>
      <c r="AY250" s="990">
        <f>-AY248/AY246</f>
      </c>
      <c r="AZ250" s="19">
        <f>-AZ248/AZ246/4</f>
      </c>
      <c r="BA250" s="19">
        <f>-BA248/BA246/4</f>
      </c>
      <c r="BB250" s="19">
        <f>-BB248/BB246/4</f>
      </c>
      <c r="BC250" s="19">
        <f>-BC248/BC246/4</f>
      </c>
      <c r="BD250" s="990">
        <f>-BD248/BD246</f>
      </c>
      <c r="BE250" s="19">
        <f>-BE248/BE246/4</f>
      </c>
      <c r="BF250" s="19">
        <f>-BF248/BF246/4</f>
      </c>
      <c r="BG250" s="19">
        <f>-BG248/BG246/4</f>
      </c>
      <c r="BH250" s="19">
        <f>-BH248/BH246/4</f>
      </c>
      <c r="BI250" s="990">
        <f>-BI248/BI246</f>
      </c>
      <c r="BJ250" s="19">
        <f>-BJ248/BJ246/4</f>
      </c>
      <c r="BK250" s="19">
        <f>-BK248/BK246/4</f>
      </c>
      <c r="BL250" s="19">
        <f>-BL248/BL246/4</f>
      </c>
      <c r="BM250" s="19">
        <f>-BM248/BM246/4</f>
      </c>
      <c r="BN250" s="990">
        <f>-BN248/BN246</f>
      </c>
      <c r="BO250" s="19">
        <f>-BO248/BO246/4</f>
      </c>
      <c r="BP250" s="19">
        <f>-BP248/BP246/4</f>
      </c>
      <c r="BQ250" s="19">
        <f>-BQ248/BQ246/4</f>
      </c>
      <c r="BR250" s="19">
        <f>-BR248/BR246/4</f>
      </c>
      <c r="BS250" s="990">
        <f>-BS248/BS246</f>
      </c>
      <c r="BT250" s="687">
        <f>-BT248/BT246/4</f>
      </c>
      <c r="BU250" s="19">
        <f>-BU248/BU246/4</f>
      </c>
      <c r="BV250" s="19">
        <f>-BV248/BV246/4</f>
      </c>
      <c r="BW250" s="19">
        <f>-BW248/BW246/4</f>
      </c>
      <c r="BX250" s="990">
        <f>-BX248/BX246</f>
      </c>
      <c r="BY250" s="19">
        <f>-BY248/BY246/4</f>
      </c>
      <c r="BZ250" s="19">
        <f>-BZ248/BZ246/4</f>
      </c>
      <c r="CA250" s="19">
        <f>-CA248/CA246/4</f>
      </c>
      <c r="CB250" s="19">
        <f>-CB248/CB246/4</f>
      </c>
      <c r="CC250" s="990">
        <f>-CC248/CC246</f>
      </c>
      <c r="CD250" s="990">
        <f>-CD248/CD246</f>
      </c>
      <c r="CE250" s="990">
        <f>-CE248/CE246</f>
      </c>
      <c r="CF250" s="990">
        <f>-CF248/CF246</f>
      </c>
      <c r="CG250" s="43"/>
    </row>
    <row r="251" spans="1:85" hidden="1" outlineLevel="1" x14ac:dyDescent="0.3">
      <c r="A251" s="5"/>
      <c r="B251" s="48"/>
      <c r="C251" s="990"/>
      <c r="D251" s="990"/>
      <c r="E251" s="990"/>
      <c r="F251" s="990"/>
      <c r="G251" s="19"/>
      <c r="H251" s="19"/>
      <c r="I251" s="19"/>
      <c r="J251" s="19"/>
      <c r="K251" s="990"/>
      <c r="L251" s="19"/>
      <c r="M251" s="19"/>
      <c r="N251" s="19"/>
      <c r="O251" s="19"/>
      <c r="P251" s="990"/>
      <c r="Q251" s="19"/>
      <c r="R251" s="19"/>
      <c r="S251" s="19"/>
      <c r="T251" s="19"/>
      <c r="U251" s="990"/>
      <c r="V251" s="19"/>
      <c r="W251" s="19"/>
      <c r="X251" s="19"/>
      <c r="Y251" s="19"/>
      <c r="Z251" s="990"/>
      <c r="AA251" s="19"/>
      <c r="AB251" s="19"/>
      <c r="AC251" s="19"/>
      <c r="AD251" s="19"/>
      <c r="AE251" s="990"/>
      <c r="AF251" s="19"/>
      <c r="AG251" s="19"/>
      <c r="AH251" s="19"/>
      <c r="AI251" s="19"/>
      <c r="AJ251" s="990"/>
      <c r="AK251" s="19"/>
      <c r="AL251" s="19"/>
      <c r="AM251" s="19"/>
      <c r="AN251" s="19"/>
      <c r="AO251" s="990"/>
      <c r="AP251" s="19"/>
      <c r="AQ251" s="19"/>
      <c r="AR251" s="19"/>
      <c r="AS251" s="19"/>
      <c r="AT251" s="990"/>
      <c r="AU251" s="19"/>
      <c r="AV251" s="19"/>
      <c r="AW251" s="19"/>
      <c r="AX251" s="19"/>
      <c r="AY251" s="990"/>
      <c r="AZ251" s="19"/>
      <c r="BA251" s="19"/>
      <c r="BB251" s="19"/>
      <c r="BC251" s="19"/>
      <c r="BD251" s="990"/>
      <c r="BE251" s="19"/>
      <c r="BF251" s="636"/>
      <c r="BG251" s="19"/>
      <c r="BH251" s="19"/>
      <c r="BI251" s="990"/>
      <c r="BJ251" s="19"/>
      <c r="BK251" s="636"/>
      <c r="BL251" s="19"/>
      <c r="BM251" s="19"/>
      <c r="BN251" s="990"/>
      <c r="BO251" s="19"/>
      <c r="BP251" s="636"/>
      <c r="BQ251" s="19"/>
      <c r="BR251" s="19"/>
      <c r="BS251" s="990"/>
      <c r="BT251" s="687"/>
      <c r="BU251" s="19"/>
      <c r="BV251" s="19"/>
      <c r="BW251" s="19"/>
      <c r="BX251" s="990"/>
      <c r="BY251" s="19"/>
      <c r="BZ251" s="19"/>
      <c r="CA251" s="19"/>
      <c r="CB251" s="19"/>
      <c r="CC251" s="990"/>
      <c r="CD251" s="990"/>
      <c r="CE251" s="990"/>
      <c r="CF251" s="990"/>
      <c r="CG251" s="43"/>
    </row>
    <row r="252" spans="1:85" s="587" customFormat="1" hidden="1" outlineLevel="1" x14ac:dyDescent="0.3">
      <c r="A252" s="16" t="s">
        <v>605</v>
      </c>
      <c r="B252" s="414"/>
      <c r="C252" s="962"/>
      <c r="D252" s="962"/>
      <c r="E252" s="962"/>
      <c r="F252" s="962"/>
      <c r="G252" s="757"/>
      <c r="H252" s="757"/>
      <c r="I252" s="757"/>
      <c r="J252" s="757"/>
      <c r="K252" s="962"/>
      <c r="L252" s="757"/>
      <c r="M252" s="757"/>
      <c r="N252" s="757"/>
      <c r="O252" s="757"/>
      <c r="P252" s="962"/>
      <c r="Q252" s="757"/>
      <c r="R252" s="757"/>
      <c r="S252" s="757"/>
      <c r="T252" s="757"/>
      <c r="U252" s="962"/>
      <c r="V252" s="757"/>
      <c r="W252" s="757"/>
      <c r="X252" s="757"/>
      <c r="Y252" s="757"/>
      <c r="Z252" s="962"/>
      <c r="AA252" s="757"/>
      <c r="AB252" s="757"/>
      <c r="AC252" s="757"/>
      <c r="AD252" s="757"/>
      <c r="AE252" s="962"/>
      <c r="AF252" s="857">
        <v>1557.424</v>
      </c>
      <c r="AG252" s="857">
        <v>1581.5360000000001</v>
      </c>
      <c r="AH252" s="857">
        <v>1671.5160000000001</v>
      </c>
      <c r="AI252" s="757">
        <f>AJ252-SUM(AF252,AG252,AH252)</f>
      </c>
      <c r="AJ252" s="963">
        <v>6511.6890000000003</v>
      </c>
      <c r="AK252" s="857">
        <v>1774.289</v>
      </c>
      <c r="AL252" s="857">
        <v>1797.1790000000001</v>
      </c>
      <c r="AM252" s="857">
        <v>1810.7570000000001</v>
      </c>
      <c r="AN252" s="757">
        <f>AO252-SUM(AK252,AL252,AM252)</f>
      </c>
      <c r="AO252" s="963">
        <v>7242.799</v>
      </c>
      <c r="AP252" s="857">
        <v>1860.17</v>
      </c>
      <c r="AQ252" s="857">
        <v>1883.07</v>
      </c>
      <c r="AR252" s="857">
        <v>1885.259</v>
      </c>
      <c r="AS252" s="757">
        <f>AT252-SUM(AP252,AQ252,AR252)</f>
      </c>
      <c r="AT252" s="963">
        <v>7544.6310000000003</v>
      </c>
      <c r="AU252" s="857">
        <v>1829.2460000000001</v>
      </c>
      <c r="AV252" s="857">
        <v>1884.6379999999999</v>
      </c>
      <c r="AW252" s="857">
        <v>1965.5139999999999</v>
      </c>
      <c r="AX252" s="757">
        <f>AY252-SUM(AU252,AV252,AW252)</f>
      </c>
      <c r="AY252" s="963">
        <v>8055.8109999999997</v>
      </c>
      <c r="AZ252" s="857">
        <v>1884.4380000000001</v>
      </c>
      <c r="BA252" s="857">
        <v>1899.7819999999999</v>
      </c>
      <c r="BB252" s="857">
        <v>1967.72</v>
      </c>
      <c r="BC252" s="757">
        <f>BD252-SUM(AZ252,BA252,BB252)</f>
      </c>
      <c r="BD252" s="963">
        <v>7681.9780000000001</v>
      </c>
      <c r="BE252" s="857">
        <v>1723.6780000000001</v>
      </c>
      <c r="BF252" s="857">
        <v>1779.3209999999999</v>
      </c>
      <c r="BG252" s="857">
        <v>1777.701</v>
      </c>
      <c r="BH252" s="757">
        <f>BI252-SUM(BE252,BF252,BG252)</f>
      </c>
      <c r="BI252" s="963">
        <v>7145.4459999999999</v>
      </c>
      <c r="BJ252" s="857">
        <v>1835.117</v>
      </c>
      <c r="BK252" s="857">
        <v>1884.491</v>
      </c>
      <c r="BL252" s="857">
        <v>1814.04</v>
      </c>
      <c r="BM252" s="757">
        <f>BN252-SUM(BJ252,BK252,BL252)</f>
      </c>
      <c r="BN252" s="963">
        <v>7689.0140000000001</v>
      </c>
      <c r="BO252" s="857">
        <v>1998.5250000000001</v>
      </c>
      <c r="BP252" s="857">
        <v>2010.2070000000001</v>
      </c>
      <c r="BQ252" s="857">
        <v>2253.6030000000001</v>
      </c>
      <c r="BR252" s="757">
        <f>BS252-SUM(BO252,BP252,BQ252)</f>
      </c>
      <c r="BS252" s="963">
        <v>8713.5580000000009</v>
      </c>
      <c r="BT252" s="864">
        <v>2285.8130000000001</v>
      </c>
      <c r="BU252" s="757"/>
      <c r="BV252" s="757"/>
      <c r="BW252" s="757"/>
      <c r="BX252" s="962"/>
      <c r="BY252" s="757"/>
      <c r="BZ252" s="757"/>
      <c r="CA252" s="757"/>
      <c r="CB252" s="757"/>
      <c r="CC252" s="962"/>
      <c r="CD252" s="962"/>
      <c r="CE252" s="962"/>
      <c r="CF252" s="962"/>
      <c r="CG252" s="459"/>
    </row>
    <row r="253" spans="1:85" s="587" customFormat="1" hidden="1" outlineLevel="1" x14ac:dyDescent="0.3">
      <c r="A253" s="16" t="s">
        <v>606</v>
      </c>
      <c r="B253" s="414"/>
      <c r="C253" s="962"/>
      <c r="D253" s="962"/>
      <c r="E253" s="962"/>
      <c r="F253" s="962"/>
      <c r="G253" s="757"/>
      <c r="H253" s="757"/>
      <c r="I253" s="757"/>
      <c r="J253" s="757"/>
      <c r="K253" s="962"/>
      <c r="L253" s="757"/>
      <c r="M253" s="757"/>
      <c r="N253" s="757"/>
      <c r="O253" s="757"/>
      <c r="P253" s="962"/>
      <c r="Q253" s="757"/>
      <c r="R253" s="757"/>
      <c r="S253" s="757"/>
      <c r="T253" s="757"/>
      <c r="U253" s="962"/>
      <c r="V253" s="757"/>
      <c r="W253" s="757"/>
      <c r="X253" s="757"/>
      <c r="Y253" s="757"/>
      <c r="Z253" s="962"/>
      <c r="AA253" s="757"/>
      <c r="AB253" s="757"/>
      <c r="AC253" s="757"/>
      <c r="AD253" s="757"/>
      <c r="AE253" s="962"/>
      <c r="AF253" s="857">
        <v>191.42</v>
      </c>
      <c r="AG253" s="857">
        <v>236.28100000000001</v>
      </c>
      <c r="AH253" s="857">
        <v>240.251</v>
      </c>
      <c r="AI253" s="757">
        <f>AJ253-SUM(AF253,AG253,AH253)</f>
      </c>
      <c r="AJ253" s="962">
        <f>1020.399-AJ255</f>
      </c>
      <c r="AK253" s="857">
        <v>350.39699999999999</v>
      </c>
      <c r="AL253" s="857">
        <v>434.73599999999999</v>
      </c>
      <c r="AM253" s="857">
        <v>469.22</v>
      </c>
      <c r="AN253" s="757">
        <f>AO253-SUM(AK253,AL253,AM253)</f>
      </c>
      <c r="AO253" s="963">
        <v>1973.4480000000001</v>
      </c>
      <c r="AP253" s="857">
        <v>623.21500000000003</v>
      </c>
      <c r="AQ253" s="857">
        <v>724.08900000000006</v>
      </c>
      <c r="AR253" s="857">
        <v>848.48400000000004</v>
      </c>
      <c r="AS253" s="757">
        <f>AT253-SUM(AP253,AQ253,AR253)</f>
      </c>
      <c r="AT253" s="963">
        <v>3262.2809999999999</v>
      </c>
      <c r="AU253" s="857">
        <v>889.95</v>
      </c>
      <c r="AV253" s="857">
        <v>922.16499999999996</v>
      </c>
      <c r="AW253" s="857">
        <v>997.53700000000003</v>
      </c>
      <c r="AX253" s="757">
        <f>AY253-SUM(AU253,AV253,AW253)</f>
      </c>
      <c r="AY253" s="963">
        <v>4174.5559999999996</v>
      </c>
      <c r="AZ253" s="857">
        <v>1281.9269999999999</v>
      </c>
      <c r="BA253" s="857">
        <v>1361.566</v>
      </c>
      <c r="BB253" s="857">
        <v>1685.8720000000001</v>
      </c>
      <c r="BC253" s="757">
        <f>BD253-SUM(AZ253,BA253,BB253)</f>
      </c>
      <c r="BD253" s="963">
        <v>6344.1540000000005</v>
      </c>
      <c r="BE253" s="857">
        <v>1736.306</v>
      </c>
      <c r="BF253" s="857">
        <v>1630.7</v>
      </c>
      <c r="BG253" s="857">
        <v>1795.652</v>
      </c>
      <c r="BH253" s="757">
        <f>BI253-SUM(BE253,BF253,BG253)</f>
      </c>
      <c r="BI253" s="963">
        <v>7051.991</v>
      </c>
      <c r="BJ253" s="857">
        <v>1835.6880000000001</v>
      </c>
      <c r="BK253" s="863">
        <v>1885.1990000000001</v>
      </c>
      <c r="BL253" s="857">
        <v>1885.481</v>
      </c>
      <c r="BM253" s="757">
        <f>BN253-SUM(BJ253,BK253,BL253)</f>
      </c>
      <c r="BN253" s="963">
        <v>7612.5029999999997</v>
      </c>
      <c r="BO253" s="857">
        <v>1824.587</v>
      </c>
      <c r="BP253" s="863">
        <v>1821.867</v>
      </c>
      <c r="BQ253" s="857">
        <v>1749.1410000000001</v>
      </c>
      <c r="BR253" s="757">
        <f>BS253-SUM(BO253,BP253,BQ253)</f>
      </c>
      <c r="BS253" s="963">
        <v>7708.6080000000002</v>
      </c>
      <c r="BT253" s="864">
        <v>1932.087</v>
      </c>
      <c r="BU253" s="757"/>
      <c r="BV253" s="757"/>
      <c r="BW253" s="757"/>
      <c r="BX253" s="962"/>
      <c r="BY253" s="757"/>
      <c r="BZ253" s="757"/>
      <c r="CA253" s="757"/>
      <c r="CB253" s="757"/>
      <c r="CC253" s="962"/>
      <c r="CD253" s="962"/>
      <c r="CE253" s="962"/>
      <c r="CF253" s="962"/>
      <c r="CG253" s="459"/>
    </row>
    <row r="254" spans="1:85" s="585" customFormat="1" hidden="1" outlineLevel="1" x14ac:dyDescent="0.3">
      <c r="A254" s="9" t="s">
        <v>618</v>
      </c>
      <c r="B254" s="422"/>
      <c r="C254" s="966">
        <v>48.192</v>
      </c>
      <c r="D254" s="966">
        <v>158.1</v>
      </c>
      <c r="E254" s="966">
        <v>699.12800000000004</v>
      </c>
      <c r="F254" s="966">
        <v>1591.2180000000001</v>
      </c>
      <c r="G254" s="858">
        <v>485.74</v>
      </c>
      <c r="H254" s="858">
        <v>510.25</v>
      </c>
      <c r="I254" s="858">
        <v>553.39400000000001</v>
      </c>
      <c r="J254" s="858">
        <v>572.59700000000021</v>
      </c>
      <c r="K254" s="966">
        <v>2121.9810000000002</v>
      </c>
      <c r="L254" s="858">
        <v>600.73500000000001</v>
      </c>
      <c r="M254" s="858">
        <v>639.03699999999992</v>
      </c>
      <c r="N254" s="858">
        <v>686.154</v>
      </c>
      <c r="O254" s="858">
        <v>730.35300000000007</v>
      </c>
      <c r="P254" s="966">
        <v>2656.279</v>
      </c>
      <c r="Q254" s="858">
        <v>749.51800000000003</v>
      </c>
      <c r="R254" s="858">
        <v>822.59999999999991</v>
      </c>
      <c r="S254" s="858">
        <v>871.40300000000025</v>
      </c>
      <c r="T254" s="858">
        <v>961.86099999999988</v>
      </c>
      <c r="U254" s="966">
        <v>3405.3820000000001</v>
      </c>
      <c r="V254" s="858">
        <v>1058.521</v>
      </c>
      <c r="W254" s="858">
        <v>1175.3610000000001</v>
      </c>
      <c r="X254" s="858">
        <v>1224.1079999999997</v>
      </c>
      <c r="Y254" s="858">
        <v>1330.5079999999998</v>
      </c>
      <c r="Z254" s="966">
        <v>4788.4979999999996</v>
      </c>
      <c r="AA254" s="858">
        <v>1305.683</v>
      </c>
      <c r="AB254" s="858">
        <v>1550.7940000000001</v>
      </c>
      <c r="AC254" s="858">
        <v>1627.4770000000001</v>
      </c>
      <c r="AD254" s="791">
        <f>AE254-AC254-AB254-AA254</f>
      </c>
      <c r="AE254" s="966">
        <v>6197.817</v>
      </c>
      <c r="AF254" s="792">
        <f>SUM(AF252:AF253)</f>
      </c>
      <c r="AG254" s="792">
        <f>SUM(AG252:AG253)</f>
      </c>
      <c r="AH254" s="792">
        <f>SUM(AH252:AH253)</f>
      </c>
      <c r="AI254" s="791">
        <f>AJ254-AH254-AG254-AF254</f>
      </c>
      <c r="AJ254" s="966">
        <v>7532.0879999999997</v>
      </c>
      <c r="AK254" s="792">
        <f t="shared" ref="AK254:BE254" si="565">SUM(AK252:AK253)</f>
      </c>
      <c r="AL254" s="792">
        <f t="shared" si="565"/>
      </c>
      <c r="AM254" s="792">
        <f t="shared" si="565"/>
      </c>
      <c r="AN254" s="791">
        <f t="shared" si="565"/>
      </c>
      <c r="AO254" s="965">
        <f t="shared" si="565"/>
      </c>
      <c r="AP254" s="791">
        <f t="shared" si="565"/>
      </c>
      <c r="AQ254" s="791">
        <f t="shared" si="565"/>
      </c>
      <c r="AR254" s="791">
        <f t="shared" si="565"/>
      </c>
      <c r="AS254" s="791">
        <f t="shared" si="565"/>
      </c>
      <c r="AT254" s="965">
        <f t="shared" si="565"/>
      </c>
      <c r="AU254" s="791">
        <f t="shared" si="565"/>
      </c>
      <c r="AV254" s="791">
        <f t="shared" si="565"/>
      </c>
      <c r="AW254" s="791">
        <f t="shared" si="565"/>
      </c>
      <c r="AX254" s="791">
        <f t="shared" si="565"/>
      </c>
      <c r="AY254" s="965">
        <f t="shared" si="565"/>
      </c>
      <c r="AZ254" s="791">
        <f t="shared" si="565"/>
      </c>
      <c r="BA254" s="791">
        <f t="shared" si="565"/>
      </c>
      <c r="BB254" s="791">
        <f t="shared" si="565"/>
      </c>
      <c r="BC254" s="791">
        <f t="shared" si="565"/>
      </c>
      <c r="BD254" s="965">
        <f t="shared" si="565"/>
      </c>
      <c r="BE254" s="791">
        <f t="shared" si="565"/>
      </c>
      <c r="BF254" s="791">
        <f>BF1102</f>
      </c>
      <c r="BG254" s="791">
        <f>BG1102</f>
      </c>
      <c r="BH254" s="791">
        <f t="shared" ref="BH254:BT254" si="566">SUM(BH252:BH253)</f>
      </c>
      <c r="BI254" s="965">
        <f t="shared" si="566"/>
      </c>
      <c r="BJ254" s="791">
        <f t="shared" si="566"/>
      </c>
      <c r="BK254" s="759">
        <f t="shared" si="566"/>
      </c>
      <c r="BL254" s="791">
        <f t="shared" si="566"/>
      </c>
      <c r="BM254" s="791">
        <f t="shared" si="566"/>
      </c>
      <c r="BN254" s="965">
        <f t="shared" si="566"/>
      </c>
      <c r="BO254" s="791">
        <f t="shared" si="566"/>
      </c>
      <c r="BP254" s="759">
        <f t="shared" si="566"/>
      </c>
      <c r="BQ254" s="791">
        <f t="shared" si="566"/>
      </c>
      <c r="BR254" s="791">
        <f t="shared" ref="BR254" si="567">SUM(BR252:BR253)</f>
      </c>
      <c r="BS254" s="965">
        <f t="shared" si="566"/>
      </c>
      <c r="BT254" s="797">
        <f t="shared" si="566"/>
      </c>
      <c r="BU254" s="791"/>
      <c r="BV254" s="791"/>
      <c r="BW254" s="791"/>
      <c r="BX254" s="965"/>
      <c r="BY254" s="791"/>
      <c r="BZ254" s="791"/>
      <c r="CA254" s="791"/>
      <c r="CB254" s="791"/>
      <c r="CC254" s="965"/>
      <c r="CD254" s="965"/>
      <c r="CE254" s="965"/>
      <c r="CF254" s="965"/>
      <c r="CG254" s="183"/>
    </row>
    <row r="255" spans="1:85" s="587" customFormat="1" hidden="1" outlineLevel="1" x14ac:dyDescent="0.3">
      <c r="A255" s="182" t="s">
        <v>607</v>
      </c>
      <c r="B255" s="414"/>
      <c r="C255" s="963">
        <v>171.298</v>
      </c>
      <c r="D255" s="963">
        <v>142.49600000000001</v>
      </c>
      <c r="E255" s="963">
        <v>96.744</v>
      </c>
      <c r="F255" s="963">
        <v>65.396000000000001</v>
      </c>
      <c r="G255" s="857">
        <v>18.236999999999998</v>
      </c>
      <c r="H255" s="857">
        <v>17.709</v>
      </c>
      <c r="I255" s="857">
        <v>17.545999999999999</v>
      </c>
      <c r="J255" s="857">
        <v>17.833000000000006</v>
      </c>
      <c r="K255" s="963">
        <v>71.325000000000003</v>
      </c>
      <c r="L255" s="857">
        <v>16.120999999999999</v>
      </c>
      <c r="M255" s="857">
        <v>16.922999999999998</v>
      </c>
      <c r="N255" s="857">
        <v>18.269000000000005</v>
      </c>
      <c r="O255" s="857">
        <v>20.177999999999997</v>
      </c>
      <c r="P255" s="963">
        <v>71.491</v>
      </c>
      <c r="Q255" s="857">
        <v>21.184999999999999</v>
      </c>
      <c r="R255" s="857">
        <v>20.812999999999999</v>
      </c>
      <c r="S255" s="857">
        <v>18.589000000000006</v>
      </c>
      <c r="T255" s="857">
        <v>18.792999999999992</v>
      </c>
      <c r="U255" s="963">
        <v>79.38</v>
      </c>
      <c r="V255" s="857">
        <v>20.440999999999999</v>
      </c>
      <c r="W255" s="857">
        <v>20.021000000000004</v>
      </c>
      <c r="X255" s="857">
        <v>19.283999999999999</v>
      </c>
      <c r="Y255" s="857">
        <v>19.205999999999996</v>
      </c>
      <c r="Z255" s="963">
        <v>78.951999999999998</v>
      </c>
      <c r="AA255" s="857">
        <v>18.597999999999999</v>
      </c>
      <c r="AB255" s="857">
        <v>16.510999999999999</v>
      </c>
      <c r="AC255" s="857">
        <v>13.259</v>
      </c>
      <c r="AD255" s="757">
        <f>AE255-AC255-AB255-AA255</f>
      </c>
      <c r="AE255" s="963">
        <v>60.656999999999996</v>
      </c>
      <c r="AF255" s="857">
        <v>11.134</v>
      </c>
      <c r="AG255" s="857">
        <v>11.154</v>
      </c>
      <c r="AH255" s="857">
        <v>9.9589999999999996</v>
      </c>
      <c r="AI255" s="757">
        <f>AJ255-AH255-AG255-AF255</f>
      </c>
      <c r="AJ255" s="963">
        <v>41.212000000000003</v>
      </c>
      <c r="AK255" s="757"/>
      <c r="AL255" s="757"/>
      <c r="AM255" s="757"/>
      <c r="AN255" s="757"/>
      <c r="AO255" s="962"/>
      <c r="AP255" s="757"/>
      <c r="AQ255" s="757"/>
      <c r="AR255" s="757"/>
      <c r="AS255" s="757"/>
      <c r="AT255" s="962"/>
      <c r="AU255" s="757"/>
      <c r="AV255" s="757"/>
      <c r="AW255" s="757"/>
      <c r="AX255" s="757"/>
      <c r="AY255" s="962"/>
      <c r="AZ255" s="757"/>
      <c r="BA255" s="757"/>
      <c r="BB255" s="757"/>
      <c r="BC255" s="757"/>
      <c r="BD255" s="962"/>
      <c r="BE255" s="757"/>
      <c r="BF255" s="757"/>
      <c r="BG255" s="757"/>
      <c r="BH255" s="757"/>
      <c r="BI255" s="962"/>
      <c r="BJ255" s="757"/>
      <c r="BK255" s="757"/>
      <c r="BL255" s="757"/>
      <c r="BM255" s="757"/>
      <c r="BN255" s="962"/>
      <c r="BO255" s="757"/>
      <c r="BP255" s="757"/>
      <c r="BQ255" s="757"/>
      <c r="BR255" s="757"/>
      <c r="BS255" s="962"/>
      <c r="BT255" s="758"/>
      <c r="BU255" s="757"/>
      <c r="BV255" s="757"/>
      <c r="BW255" s="757"/>
      <c r="BX255" s="962"/>
      <c r="BY255" s="757"/>
      <c r="BZ255" s="757"/>
      <c r="CA255" s="757"/>
      <c r="CB255" s="757"/>
      <c r="CC255" s="962"/>
      <c r="CD255" s="962"/>
      <c r="CE255" s="962"/>
      <c r="CF255" s="962"/>
      <c r="CG255" s="459"/>
    </row>
    <row r="256" spans="1:85" s="587" customFormat="1" hidden="1" outlineLevel="1" x14ac:dyDescent="0.3">
      <c r="A256" s="2" t="s">
        <v>608</v>
      </c>
      <c r="B256" s="422"/>
      <c r="C256" s="986">
        <f t="shared" ref="C256:AW256" si="568">SUM(C254:C255)</f>
      </c>
      <c r="D256" s="986">
        <f t="shared" si="568"/>
      </c>
      <c r="E256" s="986">
        <f t="shared" si="568"/>
      </c>
      <c r="F256" s="986">
        <f t="shared" si="568"/>
      </c>
      <c r="G256" s="792">
        <f t="shared" si="568"/>
      </c>
      <c r="H256" s="792">
        <f t="shared" si="568"/>
      </c>
      <c r="I256" s="792">
        <f t="shared" si="568"/>
      </c>
      <c r="J256" s="792">
        <f t="shared" si="568"/>
      </c>
      <c r="K256" s="986">
        <f t="shared" si="568"/>
      </c>
      <c r="L256" s="792">
        <f t="shared" si="568"/>
      </c>
      <c r="M256" s="792">
        <f t="shared" si="568"/>
      </c>
      <c r="N256" s="792">
        <f t="shared" si="568"/>
      </c>
      <c r="O256" s="792">
        <f t="shared" si="568"/>
      </c>
      <c r="P256" s="986">
        <f t="shared" si="568"/>
      </c>
      <c r="Q256" s="792">
        <f t="shared" si="568"/>
      </c>
      <c r="R256" s="792">
        <f t="shared" si="568"/>
      </c>
      <c r="S256" s="792">
        <f t="shared" si="568"/>
      </c>
      <c r="T256" s="792">
        <f t="shared" si="568"/>
      </c>
      <c r="U256" s="986">
        <f t="shared" si="568"/>
      </c>
      <c r="V256" s="792">
        <f t="shared" si="568"/>
      </c>
      <c r="W256" s="792">
        <f t="shared" si="568"/>
      </c>
      <c r="X256" s="792">
        <f t="shared" si="568"/>
      </c>
      <c r="Y256" s="791">
        <f t="shared" si="568"/>
      </c>
      <c r="Z256" s="965">
        <f t="shared" si="568"/>
      </c>
      <c r="AA256" s="792">
        <f t="shared" si="568"/>
      </c>
      <c r="AB256" s="792">
        <f t="shared" si="568"/>
      </c>
      <c r="AC256" s="792">
        <f t="shared" si="568"/>
      </c>
      <c r="AD256" s="791">
        <f t="shared" si="568"/>
      </c>
      <c r="AE256" s="965">
        <f t="shared" si="568"/>
      </c>
      <c r="AF256" s="792">
        <f t="shared" si="568"/>
      </c>
      <c r="AG256" s="792">
        <f t="shared" si="568"/>
      </c>
      <c r="AH256" s="792">
        <f t="shared" si="568"/>
      </c>
      <c r="AI256" s="791">
        <f t="shared" si="568"/>
      </c>
      <c r="AJ256" s="965">
        <f t="shared" si="568"/>
      </c>
      <c r="AK256" s="792">
        <f t="shared" si="568"/>
      </c>
      <c r="AL256" s="792">
        <f t="shared" si="568"/>
      </c>
      <c r="AM256" s="792">
        <f t="shared" si="568"/>
      </c>
      <c r="AN256" s="791">
        <f t="shared" si="568"/>
      </c>
      <c r="AO256" s="965">
        <f t="shared" si="568"/>
      </c>
      <c r="AP256" s="791">
        <f t="shared" si="568"/>
      </c>
      <c r="AQ256" s="791">
        <f t="shared" si="568"/>
      </c>
      <c r="AR256" s="791">
        <f t="shared" si="568"/>
      </c>
      <c r="AS256" s="791">
        <f t="shared" si="568"/>
      </c>
      <c r="AT256" s="965">
        <f t="shared" si="568"/>
      </c>
      <c r="AU256" s="791">
        <f t="shared" si="568"/>
      </c>
      <c r="AV256" s="791">
        <f t="shared" si="568"/>
      </c>
      <c r="AW256" s="791">
        <f t="shared" si="568"/>
      </c>
      <c r="AX256" s="791">
        <f t="shared" ref="AX256:BD256" si="569">SUM(AX254:AX255)</f>
      </c>
      <c r="AY256" s="965">
        <f t="shared" si="569"/>
      </c>
      <c r="AZ256" s="791">
        <f t="shared" si="569"/>
      </c>
      <c r="BA256" s="791">
        <f t="shared" si="569"/>
      </c>
      <c r="BB256" s="791">
        <f t="shared" si="569"/>
      </c>
      <c r="BC256" s="791">
        <f t="shared" si="569"/>
      </c>
      <c r="BD256" s="965">
        <f t="shared" si="569"/>
      </c>
      <c r="BE256" s="791">
        <f>SUM(BE254:BE255)</f>
      </c>
      <c r="BF256" s="791">
        <f>SUM(BF254:BF255)</f>
      </c>
      <c r="BG256" s="791">
        <f>SUM(BG254:BG255)</f>
      </c>
      <c r="BH256" s="791">
        <f t="shared" ref="BH256:BI256" si="570">SUM(BH254:BH255)</f>
      </c>
      <c r="BI256" s="965">
        <f t="shared" si="570"/>
      </c>
      <c r="BJ256" s="791">
        <f t="shared" ref="BJ256:BO256" si="571">SUM(BJ254:BJ255)</f>
      </c>
      <c r="BK256" s="791">
        <f t="shared" si="571"/>
      </c>
      <c r="BL256" s="791">
        <f t="shared" si="571"/>
      </c>
      <c r="BM256" s="791">
        <f t="shared" si="571"/>
      </c>
      <c r="BN256" s="965">
        <f t="shared" si="571"/>
      </c>
      <c r="BO256" s="791">
        <f t="shared" si="571"/>
      </c>
      <c r="BP256" s="791">
        <f>SUM(BP254:BP255)</f>
      </c>
      <c r="BQ256" s="791">
        <f>SUM(BQ254:BQ255)</f>
      </c>
      <c r="BR256" s="791">
        <f>SUM(BR254:BR255)</f>
      </c>
      <c r="BS256" s="965">
        <f>SUM(BS254:BS255)</f>
      </c>
      <c r="BT256" s="797">
        <f>SUM(BT254:BT255)</f>
      </c>
      <c r="BU256" s="791">
        <f>-BU246</f>
      </c>
      <c r="BV256" s="791">
        <f>-BV246</f>
      </c>
      <c r="BW256" s="791">
        <f>-BW246</f>
      </c>
      <c r="BX256" s="965">
        <f t="shared" ref="BX256" si="572">-BX246</f>
      </c>
      <c r="BY256" s="791">
        <f t="shared" ref="BY256:CF256" si="573">-BY246</f>
      </c>
      <c r="BZ256" s="791">
        <f t="shared" si="573"/>
      </c>
      <c r="CA256" s="791">
        <f t="shared" si="573"/>
      </c>
      <c r="CB256" s="791">
        <f t="shared" si="573"/>
      </c>
      <c r="CC256" s="965">
        <f t="shared" si="573"/>
      </c>
      <c r="CD256" s="965">
        <f t="shared" si="573"/>
      </c>
      <c r="CE256" s="965">
        <f t="shared" si="573"/>
      </c>
      <c r="CF256" s="965">
        <f t="shared" si="573"/>
      </c>
      <c r="CG256" s="459"/>
    </row>
    <row r="257" spans="1:85" collapsed="1" x14ac:dyDescent="0.3">
      <c r="A257" s="442"/>
      <c r="B257" s="430"/>
      <c r="C257" s="962"/>
      <c r="D257" s="962"/>
      <c r="E257" s="962"/>
      <c r="F257" s="962"/>
      <c r="G257" s="757"/>
      <c r="H257" s="757"/>
      <c r="I257" s="757"/>
      <c r="J257" s="757"/>
      <c r="K257" s="962"/>
      <c r="L257" s="757"/>
      <c r="M257" s="757"/>
      <c r="N257" s="757"/>
      <c r="O257" s="757"/>
      <c r="P257" s="962"/>
      <c r="Q257" s="757"/>
      <c r="R257" s="757"/>
      <c r="S257" s="757"/>
      <c r="T257" s="757"/>
      <c r="U257" s="962"/>
      <c r="V257" s="757"/>
      <c r="W257" s="757"/>
      <c r="X257" s="757"/>
      <c r="Y257" s="757"/>
      <c r="Z257" s="962"/>
      <c r="AA257" s="757"/>
      <c r="AB257" s="757"/>
      <c r="AC257" s="757"/>
      <c r="AD257" s="757"/>
      <c r="AE257" s="962"/>
      <c r="AF257" s="757"/>
      <c r="AG257" s="757"/>
      <c r="AH257" s="757"/>
      <c r="AI257" s="757"/>
      <c r="AJ257" s="962"/>
      <c r="AK257" s="757"/>
      <c r="AL257" s="757"/>
      <c r="AM257" s="757"/>
      <c r="AN257" s="757"/>
      <c r="AO257" s="962"/>
      <c r="AP257" s="757"/>
      <c r="AQ257" s="757"/>
      <c r="AR257" s="757"/>
      <c r="AS257" s="757"/>
      <c r="AT257" s="962"/>
      <c r="AU257" s="757"/>
      <c r="AV257" s="757"/>
      <c r="AW257" s="757"/>
      <c r="AX257" s="757"/>
      <c r="AY257" s="962"/>
      <c r="AZ257" s="757"/>
      <c r="BA257" s="757"/>
      <c r="BB257" s="757"/>
      <c r="BC257" s="757"/>
      <c r="BD257" s="962"/>
      <c r="BE257" s="757"/>
      <c r="BF257" s="757"/>
      <c r="BG257" s="757"/>
      <c r="BH257" s="757"/>
      <c r="BI257" s="962"/>
      <c r="BJ257" s="757"/>
      <c r="BK257" s="757"/>
      <c r="BL257" s="757"/>
      <c r="BM257" s="757"/>
      <c r="BN257" s="962"/>
      <c r="BO257" s="757"/>
      <c r="BP257" s="757"/>
      <c r="BQ257" s="757"/>
      <c r="BR257" s="757"/>
      <c r="BS257" s="962"/>
      <c r="BT257" s="758"/>
      <c r="BU257" s="757"/>
      <c r="BV257" s="757"/>
      <c r="BW257" s="757"/>
      <c r="BX257" s="962"/>
      <c r="BY257" s="757"/>
      <c r="BZ257" s="757"/>
      <c r="CA257" s="757"/>
      <c r="CB257" s="757"/>
      <c r="CC257" s="962"/>
      <c r="CD257" s="962"/>
      <c r="CE257" s="962"/>
      <c r="CF257" s="962"/>
      <c r="CG257" s="459"/>
    </row>
    <row r="258" spans="1:85" x14ac:dyDescent="0.3">
      <c r="A258" s="23" t="s">
        <v>2172</v>
      </c>
      <c r="B258" s="754"/>
      <c r="C258" s="754"/>
      <c r="D258" s="754"/>
      <c r="E258" s="754"/>
      <c r="F258" s="754"/>
      <c r="G258" s="754"/>
      <c r="H258" s="754"/>
      <c r="I258" s="754"/>
      <c r="J258" s="754"/>
      <c r="K258" s="754"/>
      <c r="L258" s="754"/>
      <c r="M258" s="754"/>
      <c r="N258" s="754"/>
      <c r="O258" s="754"/>
      <c r="P258" s="754"/>
      <c r="Q258" s="754"/>
      <c r="R258" s="754"/>
      <c r="S258" s="754"/>
      <c r="T258" s="754"/>
      <c r="U258" s="754"/>
      <c r="V258" s="754"/>
      <c r="W258" s="754"/>
      <c r="X258" s="754"/>
      <c r="Y258" s="754"/>
      <c r="Z258" s="754"/>
      <c r="AA258" s="754"/>
      <c r="AB258" s="754"/>
      <c r="AC258" s="754"/>
      <c r="AD258" s="754"/>
      <c r="AE258" s="754"/>
      <c r="AF258" s="754"/>
      <c r="AG258" s="754"/>
      <c r="AH258" s="754"/>
      <c r="AI258" s="754"/>
      <c r="AJ258" s="754"/>
      <c r="AK258" s="754"/>
      <c r="AL258" s="754"/>
      <c r="AM258" s="754"/>
      <c r="AN258" s="754"/>
      <c r="AO258" s="754"/>
      <c r="AP258" s="754"/>
      <c r="AQ258" s="754"/>
      <c r="AR258" s="754"/>
      <c r="AS258" s="754"/>
      <c r="AT258" s="754"/>
      <c r="AU258" s="754"/>
      <c r="AV258" s="754"/>
      <c r="AW258" s="754"/>
      <c r="AX258" s="754"/>
      <c r="AY258" s="754"/>
      <c r="AZ258" s="754"/>
      <c r="BA258" s="754"/>
      <c r="BB258" s="754"/>
      <c r="BC258" s="754"/>
      <c r="BD258" s="754"/>
      <c r="BE258" s="754"/>
      <c r="BF258" s="754"/>
      <c r="BG258" s="754"/>
      <c r="BH258" s="754"/>
      <c r="BI258" s="754"/>
      <c r="BJ258" s="754"/>
      <c r="BK258" s="754"/>
      <c r="BL258" s="754"/>
      <c r="BM258" s="754"/>
      <c r="BN258" s="754"/>
      <c r="BO258" s="754"/>
      <c r="BP258" s="754"/>
      <c r="BQ258" s="754"/>
      <c r="BR258" s="754"/>
      <c r="BS258" s="754"/>
      <c r="BT258" s="755"/>
      <c r="BU258" s="754"/>
      <c r="BV258" s="754"/>
      <c r="BW258" s="754"/>
      <c r="BX258" s="754"/>
      <c r="BY258" s="754"/>
      <c r="BZ258" s="754"/>
      <c r="CA258" s="754"/>
      <c r="CB258" s="754"/>
      <c r="CC258" s="754"/>
      <c r="CD258" s="754"/>
      <c r="CE258" s="754"/>
      <c r="CF258" s="754"/>
      <c r="CG258" s="183"/>
    </row>
    <row r="259" spans="1:85" s="585" customFormat="1" hidden="1" outlineLevel="1" x14ac:dyDescent="0.3">
      <c r="A259" s="4" t="s">
        <v>2210</v>
      </c>
      <c r="B259" s="250"/>
      <c r="C259" s="969"/>
      <c r="D259" s="969"/>
      <c r="E259" s="969"/>
      <c r="F259" s="969"/>
      <c r="G259" s="759"/>
      <c r="H259" s="759"/>
      <c r="I259" s="759"/>
      <c r="J259" s="759"/>
      <c r="K259" s="969"/>
      <c r="L259" s="759"/>
      <c r="M259" s="759"/>
      <c r="N259" s="759"/>
      <c r="O259" s="759"/>
      <c r="P259" s="969"/>
      <c r="Q259" s="759"/>
      <c r="R259" s="759"/>
      <c r="S259" s="759"/>
      <c r="T259" s="759"/>
      <c r="U259" s="969"/>
      <c r="V259" s="759"/>
      <c r="W259" s="759"/>
      <c r="X259" s="759"/>
      <c r="Y259" s="759"/>
      <c r="Z259" s="969"/>
      <c r="AA259" s="759"/>
      <c r="AB259" s="759"/>
      <c r="AC259" s="759"/>
      <c r="AD259" s="759"/>
      <c r="AE259" s="969"/>
      <c r="AF259" s="759"/>
      <c r="AG259" s="759"/>
      <c r="AH259" s="759"/>
      <c r="AI259" s="759"/>
      <c r="AJ259" s="969"/>
      <c r="AK259" s="759"/>
      <c r="AL259" s="759"/>
      <c r="AM259" s="759"/>
      <c r="AN259" s="759"/>
      <c r="AO259" s="969"/>
      <c r="AP259" s="759"/>
      <c r="AQ259" s="759"/>
      <c r="AR259" s="759"/>
      <c r="AS259" s="759"/>
      <c r="AT259" s="969"/>
      <c r="AU259" s="759"/>
      <c r="AV259" s="759"/>
      <c r="AW259" s="759"/>
      <c r="AX259" s="759"/>
      <c r="AY259" s="969"/>
      <c r="AZ259" s="759"/>
      <c r="BA259" s="759"/>
      <c r="BB259" s="759"/>
      <c r="BC259" s="759"/>
      <c r="BD259" s="969"/>
      <c r="BE259" s="759"/>
      <c r="BF259" s="759"/>
      <c r="BG259" s="759"/>
      <c r="BH259" s="759"/>
      <c r="BI259" s="969"/>
      <c r="BJ259" s="759">
        <f t="shared" ref="BJ259:BN259" si="574">BE266</f>
      </c>
      <c r="BK259" s="759">
        <f t="shared" si="574"/>
      </c>
      <c r="BL259" s="759">
        <f t="shared" si="574"/>
      </c>
      <c r="BM259" s="759">
        <f t="shared" si="574"/>
      </c>
      <c r="BN259" s="969">
        <f t="shared" si="574"/>
      </c>
      <c r="BO259" s="759">
        <f t="shared" ref="BO259:BT259" si="575">BJ266</f>
      </c>
      <c r="BP259" s="759">
        <f t="shared" si="575"/>
      </c>
      <c r="BQ259" s="759">
        <f t="shared" si="575"/>
      </c>
      <c r="BR259" s="759">
        <f t="shared" si="575"/>
      </c>
      <c r="BS259" s="969">
        <f t="shared" si="575"/>
      </c>
      <c r="BT259" s="760">
        <f t="shared" si="575"/>
      </c>
      <c r="BU259" s="759"/>
      <c r="BV259" s="759"/>
      <c r="BW259" s="759"/>
      <c r="BX259" s="969"/>
      <c r="BY259" s="759"/>
      <c r="BZ259" s="759"/>
      <c r="CA259" s="759"/>
      <c r="CB259" s="759"/>
      <c r="CC259" s="969"/>
      <c r="CD259" s="969"/>
      <c r="CE259" s="969"/>
      <c r="CF259" s="969"/>
      <c r="CG259" s="183"/>
    </row>
    <row r="260" spans="1:85" s="587" customFormat="1" hidden="1" outlineLevel="1" x14ac:dyDescent="0.3">
      <c r="A260" s="182" t="s">
        <v>2373</v>
      </c>
      <c r="B260" s="430"/>
      <c r="C260" s="962"/>
      <c r="D260" s="962"/>
      <c r="E260" s="962"/>
      <c r="F260" s="962"/>
      <c r="G260" s="757"/>
      <c r="H260" s="757"/>
      <c r="I260" s="757"/>
      <c r="J260" s="757"/>
      <c r="K260" s="962"/>
      <c r="L260" s="757"/>
      <c r="M260" s="757"/>
      <c r="N260" s="757"/>
      <c r="O260" s="757"/>
      <c r="P260" s="962"/>
      <c r="Q260" s="757"/>
      <c r="R260" s="757"/>
      <c r="S260" s="757"/>
      <c r="T260" s="757"/>
      <c r="U260" s="962"/>
      <c r="V260" s="757"/>
      <c r="W260" s="757"/>
      <c r="X260" s="757"/>
      <c r="Y260" s="757"/>
      <c r="Z260" s="962"/>
      <c r="AA260" s="757"/>
      <c r="AB260" s="757"/>
      <c r="AC260" s="757"/>
      <c r="AD260" s="757"/>
      <c r="AE260" s="962"/>
      <c r="AF260" s="757"/>
      <c r="AG260" s="757"/>
      <c r="AH260" s="757"/>
      <c r="AI260" s="757"/>
      <c r="AJ260" s="962"/>
      <c r="AK260" s="757"/>
      <c r="AL260" s="757"/>
      <c r="AM260" s="757"/>
      <c r="AN260" s="757"/>
      <c r="AO260" s="962"/>
      <c r="AP260" s="757"/>
      <c r="AQ260" s="757"/>
      <c r="AR260" s="757"/>
      <c r="AS260" s="757"/>
      <c r="AT260" s="962"/>
      <c r="AU260" s="757"/>
      <c r="AV260" s="757"/>
      <c r="AW260" s="757"/>
      <c r="AX260" s="757"/>
      <c r="AY260" s="962"/>
      <c r="AZ260" s="757"/>
      <c r="BA260" s="757"/>
      <c r="BB260" s="757"/>
      <c r="BC260" s="757"/>
      <c r="BD260" s="962"/>
      <c r="BE260" s="757"/>
      <c r="BF260" s="757"/>
      <c r="BG260" s="757"/>
      <c r="BH260" s="757"/>
      <c r="BI260" s="962"/>
      <c r="BJ260" s="857">
        <v>0</v>
      </c>
      <c r="BK260" s="857">
        <v>0</v>
      </c>
      <c r="BL260" s="857">
        <v>0</v>
      </c>
      <c r="BM260" s="857">
        <v>0</v>
      </c>
      <c r="BN260" s="962">
        <f>SUM(BJ260,BK260,BL260,BM260)</f>
      </c>
      <c r="BO260" s="757">
        <f>BJ265</f>
      </c>
      <c r="BP260" s="757">
        <f>BK265</f>
      </c>
      <c r="BQ260" s="757">
        <f>BL265</f>
      </c>
      <c r="BR260" s="757">
        <f>BM265</f>
      </c>
      <c r="BS260" s="962">
        <f>SUM(BO260,BP260,BQ260,BR260)</f>
      </c>
      <c r="BT260" s="758">
        <f>BO265</f>
      </c>
      <c r="BU260" s="757"/>
      <c r="BV260" s="757"/>
      <c r="BW260" s="757"/>
      <c r="BX260" s="962"/>
      <c r="BY260" s="757"/>
      <c r="BZ260" s="757"/>
      <c r="CA260" s="757"/>
      <c r="CB260" s="757"/>
      <c r="CC260" s="962"/>
      <c r="CD260" s="962"/>
      <c r="CE260" s="962"/>
      <c r="CF260" s="962"/>
      <c r="CG260" s="459"/>
    </row>
    <row r="261" spans="1:85" s="587" customFormat="1" hidden="1" outlineLevel="1" x14ac:dyDescent="0.3">
      <c r="A261" s="2" t="s">
        <v>2222</v>
      </c>
      <c r="B261" s="426"/>
      <c r="C261" s="965"/>
      <c r="D261" s="965"/>
      <c r="E261" s="965"/>
      <c r="F261" s="965"/>
      <c r="G261" s="791"/>
      <c r="H261" s="791"/>
      <c r="I261" s="791"/>
      <c r="J261" s="791"/>
      <c r="K261" s="965"/>
      <c r="L261" s="791"/>
      <c r="M261" s="791"/>
      <c r="N261" s="791"/>
      <c r="O261" s="791"/>
      <c r="P261" s="965"/>
      <c r="Q261" s="791"/>
      <c r="R261" s="791"/>
      <c r="S261" s="791"/>
      <c r="T261" s="791"/>
      <c r="U261" s="965"/>
      <c r="V261" s="791"/>
      <c r="W261" s="791"/>
      <c r="X261" s="791"/>
      <c r="Y261" s="791"/>
      <c r="Z261" s="965"/>
      <c r="AA261" s="791"/>
      <c r="AB261" s="791"/>
      <c r="AC261" s="791"/>
      <c r="AD261" s="791"/>
      <c r="AE261" s="965"/>
      <c r="AF261" s="791"/>
      <c r="AG261" s="791"/>
      <c r="AH261" s="791"/>
      <c r="AI261" s="791"/>
      <c r="AJ261" s="965"/>
      <c r="AK261" s="791"/>
      <c r="AL261" s="791"/>
      <c r="AM261" s="791"/>
      <c r="AN261" s="791"/>
      <c r="AO261" s="965"/>
      <c r="AP261" s="791"/>
      <c r="AQ261" s="791"/>
      <c r="AR261" s="791"/>
      <c r="AS261" s="791"/>
      <c r="AT261" s="965"/>
      <c r="AU261" s="791"/>
      <c r="AV261" s="791"/>
      <c r="AW261" s="791"/>
      <c r="AX261" s="791"/>
      <c r="AY261" s="965"/>
      <c r="AZ261" s="791"/>
      <c r="BA261" s="791"/>
      <c r="BB261" s="791"/>
      <c r="BC261" s="791"/>
      <c r="BD261" s="965"/>
      <c r="BE261" s="791"/>
      <c r="BF261" s="791"/>
      <c r="BG261" s="791"/>
      <c r="BH261" s="791"/>
      <c r="BI261" s="965"/>
      <c r="BJ261" s="791">
        <f t="shared" ref="BJ261:BN261" si="576">SUM(BJ259:BJ260)</f>
      </c>
      <c r="BK261" s="791">
        <f t="shared" si="576"/>
      </c>
      <c r="BL261" s="791">
        <f t="shared" si="576"/>
      </c>
      <c r="BM261" s="791">
        <f t="shared" si="576"/>
      </c>
      <c r="BN261" s="965">
        <f t="shared" si="576"/>
      </c>
      <c r="BO261" s="791">
        <f t="shared" ref="BO261:BT261" si="577">SUM(BO259:BO260)</f>
      </c>
      <c r="BP261" s="791">
        <f t="shared" si="577"/>
      </c>
      <c r="BQ261" s="791">
        <f t="shared" si="577"/>
      </c>
      <c r="BR261" s="791">
        <f t="shared" si="577"/>
      </c>
      <c r="BS261" s="965">
        <f t="shared" si="577"/>
      </c>
      <c r="BT261" s="797">
        <f t="shared" si="577"/>
      </c>
      <c r="BU261" s="791"/>
      <c r="BV261" s="791"/>
      <c r="BW261" s="791"/>
      <c r="BX261" s="965"/>
      <c r="BY261" s="791"/>
      <c r="BZ261" s="791"/>
      <c r="CA261" s="791"/>
      <c r="CB261" s="791"/>
      <c r="CC261" s="965"/>
      <c r="CD261" s="965"/>
      <c r="CE261" s="965"/>
      <c r="CF261" s="965"/>
      <c r="CG261" s="459"/>
    </row>
    <row r="262" spans="1:85" s="587" customFormat="1" hidden="1" outlineLevel="1" x14ac:dyDescent="0.3">
      <c r="A262" s="182" t="s">
        <v>2223</v>
      </c>
      <c r="B262" s="430"/>
      <c r="C262" s="962"/>
      <c r="D262" s="962"/>
      <c r="E262" s="962"/>
      <c r="F262" s="962"/>
      <c r="G262" s="757"/>
      <c r="H262" s="757"/>
      <c r="I262" s="757"/>
      <c r="J262" s="757"/>
      <c r="K262" s="962"/>
      <c r="L262" s="757"/>
      <c r="M262" s="757"/>
      <c r="N262" s="757"/>
      <c r="O262" s="757"/>
      <c r="P262" s="962"/>
      <c r="Q262" s="757"/>
      <c r="R262" s="757"/>
      <c r="S262" s="757"/>
      <c r="T262" s="757"/>
      <c r="U262" s="962"/>
      <c r="V262" s="757"/>
      <c r="W262" s="757"/>
      <c r="X262" s="757"/>
      <c r="Y262" s="757"/>
      <c r="Z262" s="962"/>
      <c r="AA262" s="757"/>
      <c r="AB262" s="757"/>
      <c r="AC262" s="757"/>
      <c r="AD262" s="757"/>
      <c r="AE262" s="962"/>
      <c r="AF262" s="757"/>
      <c r="AG262" s="757"/>
      <c r="AH262" s="757"/>
      <c r="AI262" s="757"/>
      <c r="AJ262" s="962"/>
      <c r="AK262" s="757"/>
      <c r="AL262" s="757"/>
      <c r="AM262" s="757"/>
      <c r="AN262" s="757"/>
      <c r="AO262" s="962"/>
      <c r="AP262" s="757"/>
      <c r="AQ262" s="757"/>
      <c r="AR262" s="757"/>
      <c r="AS262" s="757"/>
      <c r="AT262" s="962"/>
      <c r="AU262" s="757"/>
      <c r="AV262" s="757"/>
      <c r="AW262" s="757"/>
      <c r="AX262" s="757"/>
      <c r="AY262" s="962"/>
      <c r="AZ262" s="757"/>
      <c r="BA262" s="757"/>
      <c r="BB262" s="757"/>
      <c r="BC262" s="757"/>
      <c r="BD262" s="962"/>
      <c r="BE262" s="757"/>
      <c r="BF262" s="757"/>
      <c r="BG262" s="757"/>
      <c r="BH262" s="757"/>
      <c r="BI262" s="962"/>
      <c r="BJ262" s="757">
        <f t="shared" ref="BJ262:BN262" si="578">BJ263-BJ261</f>
      </c>
      <c r="BK262" s="757">
        <f t="shared" si="578"/>
      </c>
      <c r="BL262" s="757">
        <f t="shared" si="578"/>
      </c>
      <c r="BM262" s="757">
        <f t="shared" si="578"/>
      </c>
      <c r="BN262" s="962">
        <f t="shared" si="578"/>
      </c>
      <c r="BO262" s="757">
        <f t="shared" ref="BO262:BT262" si="579">BO263-BO261</f>
      </c>
      <c r="BP262" s="757">
        <f t="shared" si="579"/>
      </c>
      <c r="BQ262" s="757">
        <f t="shared" si="579"/>
      </c>
      <c r="BR262" s="757">
        <f t="shared" si="579"/>
      </c>
      <c r="BS262" s="962">
        <f t="shared" si="579"/>
      </c>
      <c r="BT262" s="758">
        <f t="shared" si="579"/>
      </c>
      <c r="BU262" s="757"/>
      <c r="BV262" s="757"/>
      <c r="BW262" s="757"/>
      <c r="BX262" s="962"/>
      <c r="BY262" s="757"/>
      <c r="BZ262" s="757"/>
      <c r="CA262" s="757"/>
      <c r="CB262" s="757"/>
      <c r="CC262" s="962"/>
      <c r="CD262" s="962"/>
      <c r="CE262" s="962"/>
      <c r="CF262" s="962"/>
      <c r="CG262" s="459"/>
    </row>
    <row r="263" spans="1:85" s="587" customFormat="1" hidden="1" outlineLevel="1" x14ac:dyDescent="0.3">
      <c r="A263" s="2" t="s">
        <v>2224</v>
      </c>
      <c r="B263" s="426"/>
      <c r="C263" s="965"/>
      <c r="D263" s="965"/>
      <c r="E263" s="965"/>
      <c r="F263" s="965"/>
      <c r="G263" s="791"/>
      <c r="H263" s="791"/>
      <c r="I263" s="791"/>
      <c r="J263" s="791"/>
      <c r="K263" s="965"/>
      <c r="L263" s="791"/>
      <c r="M263" s="791"/>
      <c r="N263" s="791"/>
      <c r="O263" s="791"/>
      <c r="P263" s="965"/>
      <c r="Q263" s="791"/>
      <c r="R263" s="791"/>
      <c r="S263" s="791"/>
      <c r="T263" s="791"/>
      <c r="U263" s="965"/>
      <c r="V263" s="791"/>
      <c r="W263" s="791"/>
      <c r="X263" s="791"/>
      <c r="Y263" s="791"/>
      <c r="Z263" s="965"/>
      <c r="AA263" s="791"/>
      <c r="AB263" s="791"/>
      <c r="AC263" s="791"/>
      <c r="AD263" s="791"/>
      <c r="AE263" s="965"/>
      <c r="AF263" s="791"/>
      <c r="AG263" s="791"/>
      <c r="AH263" s="791"/>
      <c r="AI263" s="791"/>
      <c r="AJ263" s="965"/>
      <c r="AK263" s="791"/>
      <c r="AL263" s="791"/>
      <c r="AM263" s="791"/>
      <c r="AN263" s="791"/>
      <c r="AO263" s="965"/>
      <c r="AP263" s="791"/>
      <c r="AQ263" s="791"/>
      <c r="AR263" s="791"/>
      <c r="AS263" s="791"/>
      <c r="AT263" s="965"/>
      <c r="AU263" s="791"/>
      <c r="AV263" s="791"/>
      <c r="AW263" s="791"/>
      <c r="AX263" s="791"/>
      <c r="AY263" s="965"/>
      <c r="AZ263" s="791"/>
      <c r="BA263" s="791"/>
      <c r="BB263" s="791"/>
      <c r="BC263" s="791"/>
      <c r="BD263" s="965"/>
      <c r="BE263" s="791"/>
      <c r="BF263" s="791"/>
      <c r="BG263" s="791"/>
      <c r="BH263" s="791"/>
      <c r="BI263" s="965"/>
      <c r="BJ263" s="858">
        <v>4223.0810000000001</v>
      </c>
      <c r="BK263" s="858">
        <v>4294.4970000000003</v>
      </c>
      <c r="BL263" s="858">
        <v>4327.1090000000004</v>
      </c>
      <c r="BM263" s="858">
        <v>4514.607</v>
      </c>
      <c r="BN263" s="965">
        <f>SUM(BJ263,BK263,BL263,BM263)</f>
      </c>
      <c r="BO263" s="858">
        <v>4625.884</v>
      </c>
      <c r="BP263" s="858">
        <v>4930.6080000000002</v>
      </c>
      <c r="BQ263" s="858">
        <v>5071.4009999999998</v>
      </c>
      <c r="BR263" s="858">
        <v>5336.4589999999998</v>
      </c>
      <c r="BS263" s="965">
        <f>SUM(BO263,BP263,BQ263,BR263)</f>
      </c>
      <c r="BT263" s="859">
        <v>5224.5290000000005</v>
      </c>
      <c r="BU263" s="791"/>
      <c r="BV263" s="791"/>
      <c r="BW263" s="791"/>
      <c r="BX263" s="965"/>
      <c r="BY263" s="791"/>
      <c r="BZ263" s="791"/>
      <c r="CA263" s="791"/>
      <c r="CB263" s="791"/>
      <c r="CC263" s="965"/>
      <c r="CD263" s="965"/>
      <c r="CE263" s="965"/>
      <c r="CF263" s="965"/>
      <c r="CG263" s="459"/>
    </row>
    <row r="264" spans="1:85" s="587" customFormat="1" hidden="1" outlineLevel="1" x14ac:dyDescent="0.3">
      <c r="A264" s="182" t="s">
        <v>2247</v>
      </c>
      <c r="B264" s="430"/>
      <c r="C264" s="962"/>
      <c r="D264" s="962"/>
      <c r="E264" s="962"/>
      <c r="F264" s="962"/>
      <c r="G264" s="757"/>
      <c r="H264" s="757"/>
      <c r="I264" s="757"/>
      <c r="J264" s="757"/>
      <c r="K264" s="962"/>
      <c r="L264" s="757"/>
      <c r="M264" s="757"/>
      <c r="N264" s="757"/>
      <c r="O264" s="757"/>
      <c r="P264" s="962"/>
      <c r="Q264" s="757"/>
      <c r="R264" s="757"/>
      <c r="S264" s="757"/>
      <c r="T264" s="757"/>
      <c r="U264" s="962"/>
      <c r="V264" s="757"/>
      <c r="W264" s="757"/>
      <c r="X264" s="757"/>
      <c r="Y264" s="757"/>
      <c r="Z264" s="962"/>
      <c r="AA264" s="757"/>
      <c r="AB264" s="757"/>
      <c r="AC264" s="757"/>
      <c r="AD264" s="757"/>
      <c r="AE264" s="962"/>
      <c r="AF264" s="757"/>
      <c r="AG264" s="757"/>
      <c r="AH264" s="757"/>
      <c r="AI264" s="757"/>
      <c r="AJ264" s="962"/>
      <c r="AK264" s="757"/>
      <c r="AL264" s="757"/>
      <c r="AM264" s="757"/>
      <c r="AN264" s="757"/>
      <c r="AO264" s="962"/>
      <c r="AP264" s="757"/>
      <c r="AQ264" s="757"/>
      <c r="AR264" s="757"/>
      <c r="AS264" s="757"/>
      <c r="AT264" s="962"/>
      <c r="AU264" s="757"/>
      <c r="AV264" s="757"/>
      <c r="AW264" s="757"/>
      <c r="AX264" s="757"/>
      <c r="AY264" s="962"/>
      <c r="AZ264" s="757"/>
      <c r="BA264" s="757"/>
      <c r="BB264" s="757"/>
      <c r="BC264" s="757"/>
      <c r="BD264" s="962"/>
      <c r="BE264" s="757"/>
      <c r="BF264" s="757"/>
      <c r="BG264" s="757"/>
      <c r="BH264" s="757"/>
      <c r="BI264" s="962"/>
      <c r="BJ264" s="857">
        <v>-2.0649999999999999</v>
      </c>
      <c r="BK264" s="857">
        <v>2.12</v>
      </c>
      <c r="BL264" s="857">
        <v>7.8979999999999997</v>
      </c>
      <c r="BM264" s="857">
        <v>3.153</v>
      </c>
      <c r="BN264" s="962">
        <f>SUM(BJ264,BK264,BL264,BM264)</f>
      </c>
      <c r="BO264" s="857">
        <v>23.338000000000001</v>
      </c>
      <c r="BP264" s="857">
        <v>8.0359999999999996</v>
      </c>
      <c r="BQ264" s="857">
        <v>1.8160000000000001</v>
      </c>
      <c r="BR264" s="857">
        <v>3.8010000000000002</v>
      </c>
      <c r="BS264" s="962">
        <f>SUM(BO264,BP264,BQ264,BR264)</f>
      </c>
      <c r="BT264" s="864">
        <v>-20.306000000000001</v>
      </c>
      <c r="BU264" s="757"/>
      <c r="BV264" s="757"/>
      <c r="BW264" s="757"/>
      <c r="BX264" s="962"/>
      <c r="BY264" s="757"/>
      <c r="BZ264" s="757"/>
      <c r="CA264" s="757"/>
      <c r="CB264" s="757"/>
      <c r="CC264" s="962"/>
      <c r="CD264" s="962"/>
      <c r="CE264" s="962"/>
      <c r="CF264" s="962"/>
      <c r="CG264" s="459"/>
    </row>
    <row r="265" spans="1:85" s="587" customFormat="1" hidden="1" outlineLevel="1" x14ac:dyDescent="0.3">
      <c r="A265" s="182" t="s">
        <v>2206</v>
      </c>
      <c r="B265" s="430"/>
      <c r="C265" s="962"/>
      <c r="D265" s="962"/>
      <c r="E265" s="962"/>
      <c r="F265" s="962"/>
      <c r="G265" s="757"/>
      <c r="H265" s="757"/>
      <c r="I265" s="757"/>
      <c r="J265" s="757"/>
      <c r="K265" s="962"/>
      <c r="L265" s="757"/>
      <c r="M265" s="757"/>
      <c r="N265" s="757"/>
      <c r="O265" s="757"/>
      <c r="P265" s="962"/>
      <c r="Q265" s="757"/>
      <c r="R265" s="757"/>
      <c r="S265" s="757"/>
      <c r="T265" s="757"/>
      <c r="U265" s="962"/>
      <c r="V265" s="757"/>
      <c r="W265" s="757"/>
      <c r="X265" s="757"/>
      <c r="Y265" s="757"/>
      <c r="Z265" s="962"/>
      <c r="AA265" s="757"/>
      <c r="AB265" s="757"/>
      <c r="AC265" s="757"/>
      <c r="AD265" s="757"/>
      <c r="AE265" s="962"/>
      <c r="AF265" s="757"/>
      <c r="AG265" s="757"/>
      <c r="AH265" s="757"/>
      <c r="AI265" s="757"/>
      <c r="AJ265" s="962"/>
      <c r="AK265" s="757"/>
      <c r="AL265" s="757"/>
      <c r="AM265" s="757"/>
      <c r="AN265" s="757"/>
      <c r="AO265" s="962"/>
      <c r="AP265" s="757"/>
      <c r="AQ265" s="757"/>
      <c r="AR265" s="757"/>
      <c r="AS265" s="757"/>
      <c r="AT265" s="962"/>
      <c r="AU265" s="757"/>
      <c r="AV265" s="757"/>
      <c r="AW265" s="757"/>
      <c r="AX265" s="757"/>
      <c r="AY265" s="962"/>
      <c r="AZ265" s="757"/>
      <c r="BA265" s="757"/>
      <c r="BB265" s="757"/>
      <c r="BC265" s="757"/>
      <c r="BD265" s="962"/>
      <c r="BE265" s="757"/>
      <c r="BF265" s="757"/>
      <c r="BG265" s="757"/>
      <c r="BH265" s="757"/>
      <c r="BI265" s="962"/>
      <c r="BJ265" s="857">
        <v>0.83099999999999996</v>
      </c>
      <c r="BK265" s="857">
        <v>-3.1829999999999998</v>
      </c>
      <c r="BL265" s="857">
        <v>-3.2650000000000001</v>
      </c>
      <c r="BM265" s="857">
        <v>-5.5640000000000001</v>
      </c>
      <c r="BN265" s="962">
        <f>SUM(BJ265,BK265,BL265,BM265)</f>
      </c>
      <c r="BO265" s="857">
        <v>-14.552</v>
      </c>
      <c r="BP265" s="857">
        <v>-6.431</v>
      </c>
      <c r="BQ265" s="857">
        <v>-2.1960000000000002</v>
      </c>
      <c r="BR265" s="857">
        <v>-6.6120000000000001</v>
      </c>
      <c r="BS265" s="962">
        <f>SUM(BO265,BP265,BQ265,BR265)</f>
      </c>
      <c r="BT265" s="864">
        <v>-0.46300000000000002</v>
      </c>
      <c r="BU265" s="757"/>
      <c r="BV265" s="757"/>
      <c r="BW265" s="757"/>
      <c r="BX265" s="962"/>
      <c r="BY265" s="757"/>
      <c r="BZ265" s="757"/>
      <c r="CA265" s="757"/>
      <c r="CB265" s="757"/>
      <c r="CC265" s="962"/>
      <c r="CD265" s="962"/>
      <c r="CE265" s="962"/>
      <c r="CF265" s="962"/>
      <c r="CG265" s="459"/>
    </row>
    <row r="266" spans="1:85" s="587" customFormat="1" hidden="1" outlineLevel="1" x14ac:dyDescent="0.3">
      <c r="A266" s="2" t="s">
        <v>2212</v>
      </c>
      <c r="B266" s="426"/>
      <c r="C266" s="965"/>
      <c r="D266" s="965"/>
      <c r="E266" s="965"/>
      <c r="F266" s="965"/>
      <c r="G266" s="791"/>
      <c r="H266" s="791"/>
      <c r="I266" s="791"/>
      <c r="J266" s="791"/>
      <c r="K266" s="965"/>
      <c r="L266" s="791"/>
      <c r="M266" s="791"/>
      <c r="N266" s="791"/>
      <c r="O266" s="791"/>
      <c r="P266" s="965"/>
      <c r="Q266" s="791"/>
      <c r="R266" s="791"/>
      <c r="S266" s="791"/>
      <c r="T266" s="791"/>
      <c r="U266" s="965"/>
      <c r="V266" s="791"/>
      <c r="W266" s="791"/>
      <c r="X266" s="791"/>
      <c r="Y266" s="791"/>
      <c r="Z266" s="965"/>
      <c r="AA266" s="791">
        <f t="shared" ref="AA266:BI266" si="580">+AA188</f>
      </c>
      <c r="AB266" s="791">
        <f t="shared" si="580"/>
      </c>
      <c r="AC266" s="791">
        <f t="shared" si="580"/>
      </c>
      <c r="AD266" s="791">
        <f t="shared" si="580"/>
      </c>
      <c r="AE266" s="965">
        <f t="shared" si="580"/>
      </c>
      <c r="AF266" s="791">
        <f t="shared" si="580"/>
      </c>
      <c r="AG266" s="791">
        <f t="shared" si="580"/>
      </c>
      <c r="AH266" s="791">
        <f t="shared" si="580"/>
      </c>
      <c r="AI266" s="791">
        <f t="shared" si="580"/>
      </c>
      <c r="AJ266" s="965">
        <f t="shared" si="580"/>
      </c>
      <c r="AK266" s="791">
        <f t="shared" si="580"/>
      </c>
      <c r="AL266" s="791">
        <f t="shared" si="580"/>
      </c>
      <c r="AM266" s="791">
        <f t="shared" si="580"/>
      </c>
      <c r="AN266" s="791">
        <f t="shared" si="580"/>
      </c>
      <c r="AO266" s="965">
        <f t="shared" si="580"/>
      </c>
      <c r="AP266" s="791">
        <f t="shared" si="580"/>
      </c>
      <c r="AQ266" s="791">
        <f t="shared" si="580"/>
      </c>
      <c r="AR266" s="791">
        <f t="shared" si="580"/>
      </c>
      <c r="AS266" s="791">
        <f t="shared" si="580"/>
      </c>
      <c r="AT266" s="986">
        <f t="shared" si="580"/>
      </c>
      <c r="AU266" s="791">
        <f t="shared" si="580"/>
      </c>
      <c r="AV266" s="791">
        <f t="shared" si="580"/>
      </c>
      <c r="AW266" s="791">
        <f t="shared" si="580"/>
      </c>
      <c r="AX266" s="791">
        <f t="shared" si="580"/>
      </c>
      <c r="AY266" s="965">
        <f t="shared" si="580"/>
      </c>
      <c r="AZ266" s="791">
        <f t="shared" si="580"/>
      </c>
      <c r="BA266" s="791">
        <f t="shared" si="580"/>
      </c>
      <c r="BB266" s="791">
        <f t="shared" si="580"/>
      </c>
      <c r="BC266" s="791">
        <f t="shared" si="580"/>
      </c>
      <c r="BD266" s="965">
        <f t="shared" si="580"/>
      </c>
      <c r="BE266" s="791">
        <f t="shared" si="580"/>
      </c>
      <c r="BF266" s="791">
        <f t="shared" si="580"/>
      </c>
      <c r="BG266" s="791">
        <f t="shared" si="580"/>
      </c>
      <c r="BH266" s="791">
        <f t="shared" si="580"/>
      </c>
      <c r="BI266" s="965">
        <f t="shared" si="580"/>
      </c>
      <c r="BJ266" s="791">
        <f t="shared" ref="BJ266:BP266" si="581">BJ263-SUM(BJ264:BJ265)</f>
      </c>
      <c r="BK266" s="791">
        <f t="shared" si="581"/>
      </c>
      <c r="BL266" s="791">
        <f t="shared" si="581"/>
      </c>
      <c r="BM266" s="791">
        <f t="shared" si="581"/>
      </c>
      <c r="BN266" s="965">
        <f t="shared" si="581"/>
      </c>
      <c r="BO266" s="791">
        <f t="shared" si="581"/>
      </c>
      <c r="BP266" s="791">
        <f t="shared" si="581"/>
      </c>
      <c r="BQ266" s="791">
        <f>BQ263-SUM(BQ264:BQ265)</f>
      </c>
      <c r="BR266" s="791">
        <f>BR263-SUM(BR264:BR265)</f>
      </c>
      <c r="BS266" s="965">
        <f>BS263-SUM(BS264:BS265)</f>
      </c>
      <c r="BT266" s="797">
        <f>BT263-SUM(BT264:BT265)</f>
      </c>
      <c r="BU266" s="791"/>
      <c r="BV266" s="791"/>
      <c r="BW266" s="791"/>
      <c r="BX266" s="965"/>
      <c r="BY266" s="791"/>
      <c r="BZ266" s="791"/>
      <c r="CA266" s="791"/>
      <c r="CB266" s="791"/>
      <c r="CC266" s="965"/>
      <c r="CD266" s="965"/>
      <c r="CE266" s="965"/>
      <c r="CF266" s="965"/>
      <c r="CG266" s="459"/>
    </row>
    <row r="267" spans="1:85" s="593" customFormat="1" hidden="1" outlineLevel="1" x14ac:dyDescent="0.3">
      <c r="A267" s="550" t="s">
        <v>2225</v>
      </c>
      <c r="B267" s="551"/>
      <c r="C267" s="991"/>
      <c r="D267" s="991"/>
      <c r="E267" s="991"/>
      <c r="F267" s="991"/>
      <c r="G267" s="552"/>
      <c r="H267" s="552"/>
      <c r="I267" s="552"/>
      <c r="J267" s="552"/>
      <c r="K267" s="991"/>
      <c r="L267" s="552"/>
      <c r="M267" s="552"/>
      <c r="N267" s="552"/>
      <c r="O267" s="552"/>
      <c r="P267" s="991"/>
      <c r="Q267" s="552"/>
      <c r="R267" s="552"/>
      <c r="S267" s="552"/>
      <c r="T267" s="552"/>
      <c r="U267" s="991"/>
      <c r="V267" s="552"/>
      <c r="W267" s="552"/>
      <c r="X267" s="552"/>
      <c r="Y267" s="552"/>
      <c r="Z267" s="991"/>
      <c r="AA267" s="552"/>
      <c r="AB267" s="552"/>
      <c r="AC267" s="552"/>
      <c r="AD267" s="552"/>
      <c r="AE267" s="991"/>
      <c r="AF267" s="552"/>
      <c r="AG267" s="552"/>
      <c r="AH267" s="552"/>
      <c r="AI267" s="552"/>
      <c r="AJ267" s="991"/>
      <c r="AK267" s="552"/>
      <c r="AL267" s="552"/>
      <c r="AM267" s="552"/>
      <c r="AN267" s="552"/>
      <c r="AO267" s="991"/>
      <c r="AP267" s="552"/>
      <c r="AQ267" s="552"/>
      <c r="AR267" s="552"/>
      <c r="AS267" s="552"/>
      <c r="AT267" s="991"/>
      <c r="AU267" s="552"/>
      <c r="AV267" s="552"/>
      <c r="AW267" s="552"/>
      <c r="AX267" s="552"/>
      <c r="AY267" s="991"/>
      <c r="AZ267" s="552"/>
      <c r="BA267" s="552"/>
      <c r="BB267" s="552"/>
      <c r="BC267" s="552"/>
      <c r="BD267" s="991"/>
      <c r="BE267" s="552"/>
      <c r="BF267" s="552"/>
      <c r="BG267" s="552"/>
      <c r="BH267" s="552"/>
      <c r="BI267" s="991"/>
      <c r="BJ267" s="552">
        <f t="shared" ref="BJ267:BP267" si="582">BJ266/BJ259-1</f>
      </c>
      <c r="BK267" s="552">
        <f t="shared" si="582"/>
      </c>
      <c r="BL267" s="552">
        <f t="shared" si="582"/>
      </c>
      <c r="BM267" s="552">
        <f t="shared" si="582"/>
      </c>
      <c r="BN267" s="991">
        <f t="shared" si="582"/>
      </c>
      <c r="BO267" s="552">
        <f t="shared" si="582"/>
      </c>
      <c r="BP267" s="552">
        <f t="shared" si="582"/>
      </c>
      <c r="BQ267" s="552">
        <f>BQ266/BQ259-1</f>
      </c>
      <c r="BR267" s="552">
        <f>BR266/BR259-1</f>
      </c>
      <c r="BS267" s="991">
        <f>BS266/BS259-1</f>
      </c>
      <c r="BT267" s="688">
        <f>BT266/BT259-1</f>
      </c>
      <c r="BU267" s="552"/>
      <c r="BV267" s="552"/>
      <c r="BW267" s="552"/>
      <c r="BX267" s="991"/>
      <c r="BY267" s="552"/>
      <c r="BZ267" s="552"/>
      <c r="CA267" s="552"/>
      <c r="CB267" s="552"/>
      <c r="CC267" s="991"/>
      <c r="CD267" s="991"/>
      <c r="CE267" s="991"/>
      <c r="CF267" s="991"/>
      <c r="CG267" s="553"/>
    </row>
    <row r="268" spans="1:85" s="593" customFormat="1" hidden="1" outlineLevel="1" x14ac:dyDescent="0.3">
      <c r="A268" s="550" t="s">
        <v>2226</v>
      </c>
      <c r="B268" s="551"/>
      <c r="C268" s="991"/>
      <c r="D268" s="991"/>
      <c r="E268" s="991"/>
      <c r="F268" s="991"/>
      <c r="G268" s="552"/>
      <c r="H268" s="552"/>
      <c r="I268" s="552"/>
      <c r="J268" s="552"/>
      <c r="K268" s="991"/>
      <c r="L268" s="552"/>
      <c r="M268" s="552"/>
      <c r="N268" s="552"/>
      <c r="O268" s="552"/>
      <c r="P268" s="991"/>
      <c r="Q268" s="552"/>
      <c r="R268" s="552"/>
      <c r="S268" s="552"/>
      <c r="T268" s="552"/>
      <c r="U268" s="991"/>
      <c r="V268" s="552"/>
      <c r="W268" s="552"/>
      <c r="X268" s="552"/>
      <c r="Y268" s="552"/>
      <c r="Z268" s="991"/>
      <c r="AA268" s="552"/>
      <c r="AB268" s="552"/>
      <c r="AC268" s="552"/>
      <c r="AD268" s="552"/>
      <c r="AE268" s="991"/>
      <c r="AF268" s="552"/>
      <c r="AG268" s="552"/>
      <c r="AH268" s="552"/>
      <c r="AI268" s="552"/>
      <c r="AJ268" s="991"/>
      <c r="AK268" s="552"/>
      <c r="AL268" s="552"/>
      <c r="AM268" s="552"/>
      <c r="AN268" s="552"/>
      <c r="AO268" s="991"/>
      <c r="AP268" s="552"/>
      <c r="AQ268" s="552"/>
      <c r="AR268" s="552"/>
      <c r="AS268" s="552"/>
      <c r="AT268" s="991"/>
      <c r="AU268" s="552"/>
      <c r="AV268" s="552"/>
      <c r="AW268" s="552"/>
      <c r="AX268" s="552"/>
      <c r="AY268" s="991"/>
      <c r="AZ268" s="552"/>
      <c r="BA268" s="552"/>
      <c r="BB268" s="552"/>
      <c r="BC268" s="552"/>
      <c r="BD268" s="991"/>
      <c r="BE268" s="552"/>
      <c r="BF268" s="552"/>
      <c r="BG268" s="552"/>
      <c r="BH268" s="552"/>
      <c r="BI268" s="991"/>
      <c r="BJ268" s="552">
        <f t="shared" ref="BJ268:BP268" si="583">BJ262/BJ261</f>
      </c>
      <c r="BK268" s="552">
        <f t="shared" si="583"/>
      </c>
      <c r="BL268" s="552">
        <f t="shared" si="583"/>
      </c>
      <c r="BM268" s="552">
        <f t="shared" si="583"/>
      </c>
      <c r="BN268" s="991">
        <f t="shared" si="583"/>
      </c>
      <c r="BO268" s="552">
        <f t="shared" si="583"/>
      </c>
      <c r="BP268" s="552">
        <f t="shared" si="583"/>
      </c>
      <c r="BQ268" s="552">
        <f>BQ262/BQ261</f>
      </c>
      <c r="BR268" s="552">
        <f>BR262/BR261</f>
      </c>
      <c r="BS268" s="991">
        <f>BS262/BS261</f>
      </c>
      <c r="BT268" s="688">
        <f>BT262/BT261</f>
      </c>
      <c r="BU268" s="552"/>
      <c r="BV268" s="552"/>
      <c r="BW268" s="552"/>
      <c r="BX268" s="991"/>
      <c r="BY268" s="552"/>
      <c r="BZ268" s="552"/>
      <c r="CA268" s="552"/>
      <c r="CB268" s="552"/>
      <c r="CC268" s="991"/>
      <c r="CD268" s="991"/>
      <c r="CE268" s="991"/>
      <c r="CF268" s="991"/>
      <c r="CG268" s="553"/>
    </row>
    <row r="269" spans="1:85" s="582" customFormat="1" hidden="1" outlineLevel="1" x14ac:dyDescent="0.3">
      <c r="A269" s="244"/>
      <c r="B269" s="245"/>
      <c r="C269" s="933"/>
      <c r="D269" s="933"/>
      <c r="E269" s="933"/>
      <c r="F269" s="933"/>
      <c r="G269" s="200"/>
      <c r="H269" s="200"/>
      <c r="I269" s="200"/>
      <c r="J269" s="200"/>
      <c r="K269" s="933"/>
      <c r="L269" s="200"/>
      <c r="M269" s="200"/>
      <c r="N269" s="200"/>
      <c r="O269" s="200"/>
      <c r="P269" s="933"/>
      <c r="Q269" s="200"/>
      <c r="R269" s="200"/>
      <c r="S269" s="200"/>
      <c r="T269" s="200"/>
      <c r="U269" s="933"/>
      <c r="V269" s="200"/>
      <c r="W269" s="200"/>
      <c r="X269" s="200"/>
      <c r="Y269" s="200"/>
      <c r="Z269" s="933"/>
      <c r="AA269" s="200"/>
      <c r="AB269" s="200"/>
      <c r="AC269" s="200"/>
      <c r="AD269" s="200"/>
      <c r="AE269" s="933"/>
      <c r="AF269" s="200"/>
      <c r="AG269" s="200"/>
      <c r="AH269" s="200"/>
      <c r="AI269" s="200"/>
      <c r="AJ269" s="933"/>
      <c r="AK269" s="200"/>
      <c r="AL269" s="200"/>
      <c r="AM269" s="200"/>
      <c r="AN269" s="200"/>
      <c r="AO269" s="933"/>
      <c r="AP269" s="200"/>
      <c r="AQ269" s="200"/>
      <c r="AR269" s="200"/>
      <c r="AS269" s="200"/>
      <c r="AT269" s="933"/>
      <c r="AU269" s="200"/>
      <c r="AV269" s="200"/>
      <c r="AW269" s="200"/>
      <c r="AX269" s="200"/>
      <c r="AY269" s="933"/>
      <c r="AZ269" s="200"/>
      <c r="BA269" s="200"/>
      <c r="BB269" s="200"/>
      <c r="BC269" s="200"/>
      <c r="BD269" s="933"/>
      <c r="BE269" s="200"/>
      <c r="BF269" s="200"/>
      <c r="BG269" s="200"/>
      <c r="BH269" s="200"/>
      <c r="BI269" s="933"/>
      <c r="BJ269" s="200"/>
      <c r="BK269" s="200"/>
      <c r="BL269" s="200"/>
      <c r="BM269" s="200"/>
      <c r="BN269" s="933"/>
      <c r="BO269" s="200"/>
      <c r="BP269" s="200"/>
      <c r="BQ269" s="200"/>
      <c r="BR269" s="200"/>
      <c r="BS269" s="933"/>
      <c r="BT269" s="295"/>
      <c r="BU269" s="200"/>
      <c r="BV269" s="200"/>
      <c r="BW269" s="200"/>
      <c r="BX269" s="933"/>
      <c r="BY269" s="200"/>
      <c r="BZ269" s="200"/>
      <c r="CA269" s="200"/>
      <c r="CB269" s="200"/>
      <c r="CC269" s="933"/>
      <c r="CD269" s="933"/>
      <c r="CE269" s="933"/>
      <c r="CF269" s="933"/>
      <c r="CG269" s="131"/>
    </row>
    <row r="270" spans="1:85" s="585" customFormat="1" hidden="1" outlineLevel="1" x14ac:dyDescent="0.3">
      <c r="A270" s="4" t="s">
        <v>2214</v>
      </c>
      <c r="B270" s="250"/>
      <c r="C270" s="969"/>
      <c r="D270" s="969"/>
      <c r="E270" s="969"/>
      <c r="F270" s="969"/>
      <c r="G270" s="759"/>
      <c r="H270" s="759"/>
      <c r="I270" s="759"/>
      <c r="J270" s="759"/>
      <c r="K270" s="969"/>
      <c r="L270" s="759"/>
      <c r="M270" s="759"/>
      <c r="N270" s="759"/>
      <c r="O270" s="759"/>
      <c r="P270" s="969"/>
      <c r="Q270" s="759"/>
      <c r="R270" s="759"/>
      <c r="S270" s="759"/>
      <c r="T270" s="759"/>
      <c r="U270" s="969"/>
      <c r="V270" s="759"/>
      <c r="W270" s="759"/>
      <c r="X270" s="759"/>
      <c r="Y270" s="759"/>
      <c r="Z270" s="969"/>
      <c r="AA270" s="759"/>
      <c r="AB270" s="759"/>
      <c r="AC270" s="759"/>
      <c r="AD270" s="759"/>
      <c r="AE270" s="969"/>
      <c r="AF270" s="759"/>
      <c r="AG270" s="759"/>
      <c r="AH270" s="759"/>
      <c r="AI270" s="759"/>
      <c r="AJ270" s="969"/>
      <c r="AK270" s="759"/>
      <c r="AL270" s="759"/>
      <c r="AM270" s="759"/>
      <c r="AN270" s="759"/>
      <c r="AO270" s="969"/>
      <c r="AP270" s="759"/>
      <c r="AQ270" s="759"/>
      <c r="AR270" s="759"/>
      <c r="AS270" s="759"/>
      <c r="AT270" s="969"/>
      <c r="AU270" s="759"/>
      <c r="AV270" s="759"/>
      <c r="AW270" s="759"/>
      <c r="AX270" s="759"/>
      <c r="AY270" s="969"/>
      <c r="AZ270" s="759"/>
      <c r="BA270" s="759"/>
      <c r="BB270" s="759"/>
      <c r="BC270" s="759"/>
      <c r="BD270" s="969"/>
      <c r="BE270" s="759"/>
      <c r="BF270" s="759"/>
      <c r="BG270" s="759"/>
      <c r="BH270" s="759"/>
      <c r="BI270" s="969"/>
      <c r="BJ270" s="759">
        <f t="shared" ref="BJ270:BO270" si="584">BE277</f>
      </c>
      <c r="BK270" s="759">
        <f t="shared" si="584"/>
      </c>
      <c r="BL270" s="759">
        <f t="shared" si="584"/>
      </c>
      <c r="BM270" s="759">
        <f t="shared" si="584"/>
      </c>
      <c r="BN270" s="969">
        <f t="shared" si="584"/>
      </c>
      <c r="BO270" s="759">
        <f t="shared" si="584"/>
      </c>
      <c r="BP270" s="759">
        <f>BK277</f>
      </c>
      <c r="BQ270" s="759">
        <f>BL277</f>
      </c>
      <c r="BR270" s="759">
        <f>BM277</f>
      </c>
      <c r="BS270" s="969">
        <f>BN277</f>
      </c>
      <c r="BT270" s="760">
        <f>BO277</f>
      </c>
      <c r="BU270" s="759"/>
      <c r="BV270" s="759"/>
      <c r="BW270" s="759"/>
      <c r="BX270" s="969"/>
      <c r="BY270" s="759"/>
      <c r="BZ270" s="759"/>
      <c r="CA270" s="759"/>
      <c r="CB270" s="759"/>
      <c r="CC270" s="969"/>
      <c r="CD270" s="969"/>
      <c r="CE270" s="969"/>
      <c r="CF270" s="969"/>
      <c r="CG270" s="183"/>
    </row>
    <row r="271" spans="1:85" s="587" customFormat="1" hidden="1" outlineLevel="1" x14ac:dyDescent="0.3">
      <c r="A271" s="182" t="s">
        <v>2374</v>
      </c>
      <c r="B271" s="430"/>
      <c r="C271" s="962"/>
      <c r="D271" s="962"/>
      <c r="E271" s="962"/>
      <c r="F271" s="962"/>
      <c r="G271" s="757"/>
      <c r="H271" s="757"/>
      <c r="I271" s="757"/>
      <c r="J271" s="757"/>
      <c r="K271" s="962"/>
      <c r="L271" s="757"/>
      <c r="M271" s="757"/>
      <c r="N271" s="757"/>
      <c r="O271" s="757"/>
      <c r="P271" s="962"/>
      <c r="Q271" s="757"/>
      <c r="R271" s="757"/>
      <c r="S271" s="757"/>
      <c r="T271" s="757"/>
      <c r="U271" s="962"/>
      <c r="V271" s="757"/>
      <c r="W271" s="757"/>
      <c r="X271" s="757"/>
      <c r="Y271" s="757"/>
      <c r="Z271" s="962"/>
      <c r="AA271" s="757"/>
      <c r="AB271" s="757"/>
      <c r="AC271" s="757"/>
      <c r="AD271" s="757"/>
      <c r="AE271" s="962"/>
      <c r="AF271" s="757"/>
      <c r="AG271" s="757"/>
      <c r="AH271" s="757"/>
      <c r="AI271" s="757"/>
      <c r="AJ271" s="962"/>
      <c r="AK271" s="757"/>
      <c r="AL271" s="757"/>
      <c r="AM271" s="757"/>
      <c r="AN271" s="757"/>
      <c r="AO271" s="962"/>
      <c r="AP271" s="757"/>
      <c r="AQ271" s="757"/>
      <c r="AR271" s="757"/>
      <c r="AS271" s="757"/>
      <c r="AT271" s="962"/>
      <c r="AU271" s="757"/>
      <c r="AV271" s="757"/>
      <c r="AW271" s="757"/>
      <c r="AX271" s="757"/>
      <c r="AY271" s="962"/>
      <c r="AZ271" s="757"/>
      <c r="BA271" s="757"/>
      <c r="BB271" s="757"/>
      <c r="BC271" s="757"/>
      <c r="BD271" s="962"/>
      <c r="BE271" s="757"/>
      <c r="BF271" s="757"/>
      <c r="BG271" s="757"/>
      <c r="BH271" s="757"/>
      <c r="BI271" s="962"/>
      <c r="BJ271" s="857">
        <v>0</v>
      </c>
      <c r="BK271" s="857">
        <v>0</v>
      </c>
      <c r="BL271" s="857">
        <v>0</v>
      </c>
      <c r="BM271" s="857">
        <v>0</v>
      </c>
      <c r="BN271" s="962">
        <f>SUM(BJ271,BK271,BL271,BM271)</f>
      </c>
      <c r="BO271" s="757">
        <f>BJ276</f>
      </c>
      <c r="BP271" s="757">
        <f>BK276</f>
      </c>
      <c r="BQ271" s="757">
        <f>BL276</f>
      </c>
      <c r="BR271" s="757">
        <f>BM276</f>
      </c>
      <c r="BS271" s="962">
        <f>SUM(BO271,BP271,BQ271,BR271)</f>
      </c>
      <c r="BT271" s="758">
        <f>BO276</f>
      </c>
      <c r="BU271" s="757"/>
      <c r="BV271" s="757"/>
      <c r="BW271" s="757"/>
      <c r="BX271" s="962"/>
      <c r="BY271" s="757"/>
      <c r="BZ271" s="757"/>
      <c r="CA271" s="757"/>
      <c r="CB271" s="757"/>
      <c r="CC271" s="962"/>
      <c r="CD271" s="962"/>
      <c r="CE271" s="962"/>
      <c r="CF271" s="962"/>
      <c r="CG271" s="459"/>
    </row>
    <row r="272" spans="1:85" s="587" customFormat="1" hidden="1" outlineLevel="1" x14ac:dyDescent="0.3">
      <c r="A272" s="2" t="s">
        <v>2227</v>
      </c>
      <c r="B272" s="426"/>
      <c r="C272" s="965"/>
      <c r="D272" s="965"/>
      <c r="E272" s="965"/>
      <c r="F272" s="965"/>
      <c r="G272" s="791"/>
      <c r="H272" s="791"/>
      <c r="I272" s="791"/>
      <c r="J272" s="791"/>
      <c r="K272" s="965"/>
      <c r="L272" s="791"/>
      <c r="M272" s="791"/>
      <c r="N272" s="791"/>
      <c r="O272" s="791"/>
      <c r="P272" s="965"/>
      <c r="Q272" s="791"/>
      <c r="R272" s="791"/>
      <c r="S272" s="791"/>
      <c r="T272" s="791"/>
      <c r="U272" s="965"/>
      <c r="V272" s="791"/>
      <c r="W272" s="791"/>
      <c r="X272" s="791"/>
      <c r="Y272" s="791"/>
      <c r="Z272" s="965"/>
      <c r="AA272" s="791"/>
      <c r="AB272" s="791"/>
      <c r="AC272" s="791"/>
      <c r="AD272" s="791"/>
      <c r="AE272" s="965"/>
      <c r="AF272" s="791"/>
      <c r="AG272" s="791"/>
      <c r="AH272" s="791"/>
      <c r="AI272" s="791"/>
      <c r="AJ272" s="965"/>
      <c r="AK272" s="791"/>
      <c r="AL272" s="791"/>
      <c r="AM272" s="791"/>
      <c r="AN272" s="791"/>
      <c r="AO272" s="965"/>
      <c r="AP272" s="791"/>
      <c r="AQ272" s="791"/>
      <c r="AR272" s="791"/>
      <c r="AS272" s="791"/>
      <c r="AT272" s="965"/>
      <c r="AU272" s="791"/>
      <c r="AV272" s="791"/>
      <c r="AW272" s="791"/>
      <c r="AX272" s="791"/>
      <c r="AY272" s="965"/>
      <c r="AZ272" s="791"/>
      <c r="BA272" s="791"/>
      <c r="BB272" s="791"/>
      <c r="BC272" s="791"/>
      <c r="BD272" s="965"/>
      <c r="BE272" s="791"/>
      <c r="BF272" s="791"/>
      <c r="BG272" s="791"/>
      <c r="BH272" s="791"/>
      <c r="BI272" s="965"/>
      <c r="BJ272" s="791">
        <f t="shared" ref="BJ272:BN272" si="585">SUM(BJ270:BJ271)</f>
      </c>
      <c r="BK272" s="791">
        <f t="shared" si="585"/>
      </c>
      <c r="BL272" s="791">
        <f t="shared" si="585"/>
      </c>
      <c r="BM272" s="791">
        <f t="shared" si="585"/>
      </c>
      <c r="BN272" s="965">
        <f t="shared" si="585"/>
      </c>
      <c r="BO272" s="791">
        <f t="shared" ref="BO272:BT272" si="586">SUM(BO270:BO271)</f>
      </c>
      <c r="BP272" s="791">
        <f t="shared" si="586"/>
      </c>
      <c r="BQ272" s="791">
        <f t="shared" si="586"/>
      </c>
      <c r="BR272" s="791">
        <f t="shared" si="586"/>
      </c>
      <c r="BS272" s="965">
        <f t="shared" si="586"/>
      </c>
      <c r="BT272" s="797">
        <f t="shared" si="586"/>
      </c>
      <c r="BU272" s="791"/>
      <c r="BV272" s="791"/>
      <c r="BW272" s="791"/>
      <c r="BX272" s="965"/>
      <c r="BY272" s="791"/>
      <c r="BZ272" s="791"/>
      <c r="CA272" s="791"/>
      <c r="CB272" s="791"/>
      <c r="CC272" s="965"/>
      <c r="CD272" s="965"/>
      <c r="CE272" s="965"/>
      <c r="CF272" s="965"/>
      <c r="CG272" s="459"/>
    </row>
    <row r="273" spans="1:85" s="587" customFormat="1" hidden="1" outlineLevel="1" x14ac:dyDescent="0.3">
      <c r="A273" s="182" t="s">
        <v>2228</v>
      </c>
      <c r="B273" s="430"/>
      <c r="C273" s="962"/>
      <c r="D273" s="962"/>
      <c r="E273" s="962"/>
      <c r="F273" s="962"/>
      <c r="G273" s="757"/>
      <c r="H273" s="757"/>
      <c r="I273" s="757"/>
      <c r="J273" s="757"/>
      <c r="K273" s="962"/>
      <c r="L273" s="757"/>
      <c r="M273" s="757"/>
      <c r="N273" s="757"/>
      <c r="O273" s="757"/>
      <c r="P273" s="962"/>
      <c r="Q273" s="757"/>
      <c r="R273" s="757"/>
      <c r="S273" s="757"/>
      <c r="T273" s="757"/>
      <c r="U273" s="962"/>
      <c r="V273" s="757"/>
      <c r="W273" s="757"/>
      <c r="X273" s="757"/>
      <c r="Y273" s="757"/>
      <c r="Z273" s="962"/>
      <c r="AA273" s="757"/>
      <c r="AB273" s="757"/>
      <c r="AC273" s="757"/>
      <c r="AD273" s="757"/>
      <c r="AE273" s="962"/>
      <c r="AF273" s="757"/>
      <c r="AG273" s="757"/>
      <c r="AH273" s="757"/>
      <c r="AI273" s="757"/>
      <c r="AJ273" s="962"/>
      <c r="AK273" s="757"/>
      <c r="AL273" s="757"/>
      <c r="AM273" s="757"/>
      <c r="AN273" s="757"/>
      <c r="AO273" s="962"/>
      <c r="AP273" s="757"/>
      <c r="AQ273" s="757"/>
      <c r="AR273" s="757"/>
      <c r="AS273" s="757"/>
      <c r="AT273" s="962"/>
      <c r="AU273" s="757"/>
      <c r="AV273" s="757"/>
      <c r="AW273" s="757"/>
      <c r="AX273" s="757"/>
      <c r="AY273" s="962"/>
      <c r="AZ273" s="757"/>
      <c r="BA273" s="757"/>
      <c r="BB273" s="757"/>
      <c r="BC273" s="757"/>
      <c r="BD273" s="962"/>
      <c r="BE273" s="757"/>
      <c r="BF273" s="757"/>
      <c r="BG273" s="757"/>
      <c r="BH273" s="757"/>
      <c r="BI273" s="962"/>
      <c r="BJ273" s="757">
        <f t="shared" ref="BJ273:BN273" si="587">BJ274-BJ272</f>
      </c>
      <c r="BK273" s="757">
        <f t="shared" si="587"/>
      </c>
      <c r="BL273" s="757">
        <f t="shared" si="587"/>
      </c>
      <c r="BM273" s="757">
        <f t="shared" si="587"/>
      </c>
      <c r="BN273" s="962">
        <f t="shared" si="587"/>
      </c>
      <c r="BO273" s="757">
        <f t="shared" ref="BO273:BT273" si="588">BO274-BO272</f>
      </c>
      <c r="BP273" s="757">
        <f t="shared" si="588"/>
      </c>
      <c r="BQ273" s="757">
        <f t="shared" si="588"/>
      </c>
      <c r="BR273" s="757">
        <f t="shared" si="588"/>
      </c>
      <c r="BS273" s="962">
        <f t="shared" si="588"/>
      </c>
      <c r="BT273" s="758">
        <f t="shared" si="588"/>
      </c>
      <c r="BU273" s="757"/>
      <c r="BV273" s="757"/>
      <c r="BW273" s="757"/>
      <c r="BX273" s="962"/>
      <c r="BY273" s="757"/>
      <c r="BZ273" s="757"/>
      <c r="CA273" s="757"/>
      <c r="CB273" s="757"/>
      <c r="CC273" s="962"/>
      <c r="CD273" s="962"/>
      <c r="CE273" s="962"/>
      <c r="CF273" s="962"/>
      <c r="CG273" s="459"/>
    </row>
    <row r="274" spans="1:85" s="587" customFormat="1" hidden="1" outlineLevel="1" x14ac:dyDescent="0.3">
      <c r="A274" s="2" t="s">
        <v>2229</v>
      </c>
      <c r="B274" s="426"/>
      <c r="C274" s="965"/>
      <c r="D274" s="965"/>
      <c r="E274" s="965"/>
      <c r="F274" s="965"/>
      <c r="G274" s="791"/>
      <c r="H274" s="791"/>
      <c r="I274" s="791"/>
      <c r="J274" s="791"/>
      <c r="K274" s="965"/>
      <c r="L274" s="791"/>
      <c r="M274" s="791"/>
      <c r="N274" s="791"/>
      <c r="O274" s="791"/>
      <c r="P274" s="965"/>
      <c r="Q274" s="791"/>
      <c r="R274" s="791"/>
      <c r="S274" s="791"/>
      <c r="T274" s="791"/>
      <c r="U274" s="965"/>
      <c r="V274" s="791"/>
      <c r="W274" s="791"/>
      <c r="X274" s="791"/>
      <c r="Y274" s="791"/>
      <c r="Z274" s="965"/>
      <c r="AA274" s="791"/>
      <c r="AB274" s="791"/>
      <c r="AC274" s="791"/>
      <c r="AD274" s="791"/>
      <c r="AE274" s="965"/>
      <c r="AF274" s="791"/>
      <c r="AG274" s="791"/>
      <c r="AH274" s="791"/>
      <c r="AI274" s="791"/>
      <c r="AJ274" s="965"/>
      <c r="AK274" s="791"/>
      <c r="AL274" s="791"/>
      <c r="AM274" s="791"/>
      <c r="AN274" s="791"/>
      <c r="AO274" s="965"/>
      <c r="AP274" s="791"/>
      <c r="AQ274" s="791"/>
      <c r="AR274" s="791"/>
      <c r="AS274" s="791"/>
      <c r="AT274" s="965"/>
      <c r="AU274" s="791"/>
      <c r="AV274" s="791"/>
      <c r="AW274" s="791"/>
      <c r="AX274" s="791"/>
      <c r="AY274" s="965"/>
      <c r="AZ274" s="791"/>
      <c r="BA274" s="791"/>
      <c r="BB274" s="791"/>
      <c r="BC274" s="791"/>
      <c r="BD274" s="965"/>
      <c r="BE274" s="791"/>
      <c r="BF274" s="791"/>
      <c r="BG274" s="791"/>
      <c r="BH274" s="791"/>
      <c r="BI274" s="965"/>
      <c r="BJ274" s="858">
        <v>2946.846</v>
      </c>
      <c r="BK274" s="858">
        <v>3054.2660000000001</v>
      </c>
      <c r="BL274" s="858">
        <v>3163.0630000000001</v>
      </c>
      <c r="BM274" s="858">
        <v>3228.4769999999999</v>
      </c>
      <c r="BN274" s="965">
        <f>SUM(BJ274,BK274,BL274,BM274)</f>
      </c>
      <c r="BO274" s="858">
        <v>3446.4259999999999</v>
      </c>
      <c r="BP274" s="858">
        <v>3457.56</v>
      </c>
      <c r="BQ274" s="858">
        <v>3613.0349999999999</v>
      </c>
      <c r="BR274" s="858">
        <v>3761.2190000000001</v>
      </c>
      <c r="BS274" s="965">
        <f>SUM(BO274,BP274,BQ274,BR274)</f>
      </c>
      <c r="BT274" s="859">
        <v>3693.1990000000001</v>
      </c>
      <c r="BU274" s="791"/>
      <c r="BV274" s="791"/>
      <c r="BW274" s="791"/>
      <c r="BX274" s="965"/>
      <c r="BY274" s="791"/>
      <c r="BZ274" s="791"/>
      <c r="CA274" s="791"/>
      <c r="CB274" s="791"/>
      <c r="CC274" s="965"/>
      <c r="CD274" s="965"/>
      <c r="CE274" s="965"/>
      <c r="CF274" s="965"/>
      <c r="CG274" s="459"/>
    </row>
    <row r="275" spans="1:85" s="587" customFormat="1" hidden="1" outlineLevel="1" x14ac:dyDescent="0.3">
      <c r="A275" s="182" t="s">
        <v>2248</v>
      </c>
      <c r="B275" s="430"/>
      <c r="C275" s="962"/>
      <c r="D275" s="962"/>
      <c r="E275" s="962"/>
      <c r="F275" s="962"/>
      <c r="G275" s="757"/>
      <c r="H275" s="757"/>
      <c r="I275" s="757"/>
      <c r="J275" s="757"/>
      <c r="K275" s="962"/>
      <c r="L275" s="757"/>
      <c r="M275" s="757"/>
      <c r="N275" s="757"/>
      <c r="O275" s="757"/>
      <c r="P275" s="962"/>
      <c r="Q275" s="757"/>
      <c r="R275" s="757"/>
      <c r="S275" s="757"/>
      <c r="T275" s="757"/>
      <c r="U275" s="962"/>
      <c r="V275" s="757"/>
      <c r="W275" s="757"/>
      <c r="X275" s="757"/>
      <c r="Y275" s="757"/>
      <c r="Z275" s="962"/>
      <c r="AA275" s="757"/>
      <c r="AB275" s="757"/>
      <c r="AC275" s="757"/>
      <c r="AD275" s="757"/>
      <c r="AE275" s="962"/>
      <c r="AF275" s="757"/>
      <c r="AG275" s="757"/>
      <c r="AH275" s="757"/>
      <c r="AI275" s="757"/>
      <c r="AJ275" s="962"/>
      <c r="AK275" s="757"/>
      <c r="AL275" s="757"/>
      <c r="AM275" s="757"/>
      <c r="AN275" s="757"/>
      <c r="AO275" s="962"/>
      <c r="AP275" s="757"/>
      <c r="AQ275" s="757"/>
      <c r="AR275" s="757"/>
      <c r="AS275" s="757"/>
      <c r="AT275" s="962"/>
      <c r="AU275" s="757"/>
      <c r="AV275" s="757"/>
      <c r="AW275" s="757"/>
      <c r="AX275" s="757"/>
      <c r="AY275" s="962"/>
      <c r="AZ275" s="757"/>
      <c r="BA275" s="757"/>
      <c r="BB275" s="757"/>
      <c r="BC275" s="757"/>
      <c r="BD275" s="962"/>
      <c r="BE275" s="757"/>
      <c r="BF275" s="757"/>
      <c r="BG275" s="757"/>
      <c r="BH275" s="757"/>
      <c r="BI275" s="962"/>
      <c r="BJ275" s="857">
        <v>-16.033999999999999</v>
      </c>
      <c r="BK275" s="857">
        <v>61.838000000000001</v>
      </c>
      <c r="BL275" s="857">
        <v>31.454000000000001</v>
      </c>
      <c r="BM275" s="857">
        <v>-46.338000000000001</v>
      </c>
      <c r="BN275" s="962">
        <f>SUM(BJ275,BK275,BL275,BM275)</f>
      </c>
      <c r="BO275" s="857">
        <v>146.97499999999999</v>
      </c>
      <c r="BP275" s="857">
        <v>-122.664</v>
      </c>
      <c r="BQ275" s="857">
        <v>-199.59700000000001</v>
      </c>
      <c r="BR275" s="857">
        <v>-198.88800000000001</v>
      </c>
      <c r="BS275" s="962">
        <f>SUM(BO275,BP275,BQ275,BR275)</f>
      </c>
      <c r="BT275" s="864">
        <v>-418.87099999999998</v>
      </c>
      <c r="BU275" s="757"/>
      <c r="BV275" s="757"/>
      <c r="BW275" s="757"/>
      <c r="BX275" s="962"/>
      <c r="BY275" s="757"/>
      <c r="BZ275" s="757"/>
      <c r="CA275" s="757"/>
      <c r="CB275" s="757"/>
      <c r="CC275" s="962"/>
      <c r="CD275" s="962"/>
      <c r="CE275" s="962"/>
      <c r="CF275" s="962"/>
      <c r="CG275" s="459"/>
    </row>
    <row r="276" spans="1:85" s="587" customFormat="1" hidden="1" outlineLevel="1" x14ac:dyDescent="0.3">
      <c r="A276" s="182" t="s">
        <v>2207</v>
      </c>
      <c r="B276" s="430"/>
      <c r="C276" s="962"/>
      <c r="D276" s="962"/>
      <c r="E276" s="962"/>
      <c r="F276" s="962"/>
      <c r="G276" s="757"/>
      <c r="H276" s="757"/>
      <c r="I276" s="757"/>
      <c r="J276" s="757"/>
      <c r="K276" s="962"/>
      <c r="L276" s="757"/>
      <c r="M276" s="757"/>
      <c r="N276" s="757"/>
      <c r="O276" s="757"/>
      <c r="P276" s="962"/>
      <c r="Q276" s="757"/>
      <c r="R276" s="757"/>
      <c r="S276" s="757"/>
      <c r="T276" s="757"/>
      <c r="U276" s="962"/>
      <c r="V276" s="757"/>
      <c r="W276" s="757"/>
      <c r="X276" s="757"/>
      <c r="Y276" s="757"/>
      <c r="Z276" s="962"/>
      <c r="AA276" s="757"/>
      <c r="AB276" s="757"/>
      <c r="AC276" s="757"/>
      <c r="AD276" s="757"/>
      <c r="AE276" s="962"/>
      <c r="AF276" s="757"/>
      <c r="AG276" s="757"/>
      <c r="AH276" s="757"/>
      <c r="AI276" s="757"/>
      <c r="AJ276" s="962"/>
      <c r="AK276" s="757"/>
      <c r="AL276" s="757"/>
      <c r="AM276" s="757"/>
      <c r="AN276" s="757"/>
      <c r="AO276" s="962"/>
      <c r="AP276" s="757"/>
      <c r="AQ276" s="757"/>
      <c r="AR276" s="757"/>
      <c r="AS276" s="757"/>
      <c r="AT276" s="962"/>
      <c r="AU276" s="757"/>
      <c r="AV276" s="757"/>
      <c r="AW276" s="757"/>
      <c r="AX276" s="757"/>
      <c r="AY276" s="962"/>
      <c r="AZ276" s="757"/>
      <c r="BA276" s="757"/>
      <c r="BB276" s="757"/>
      <c r="BC276" s="757"/>
      <c r="BD276" s="962"/>
      <c r="BE276" s="757"/>
      <c r="BF276" s="757"/>
      <c r="BG276" s="757"/>
      <c r="BH276" s="757"/>
      <c r="BI276" s="962"/>
      <c r="BJ276" s="857">
        <v>4.6870000000000003</v>
      </c>
      <c r="BK276" s="857">
        <v>-15.343999999999999</v>
      </c>
      <c r="BL276" s="857">
        <v>-1.857</v>
      </c>
      <c r="BM276" s="857">
        <v>-12.789</v>
      </c>
      <c r="BN276" s="962">
        <f>SUM(BJ276,BK276,BL276,BM276)</f>
      </c>
      <c r="BO276" s="857">
        <v>-105.22499999999999</v>
      </c>
      <c r="BP276" s="857">
        <v>42.048999999999999</v>
      </c>
      <c r="BQ276" s="857">
        <v>113.58</v>
      </c>
      <c r="BR276" s="857">
        <v>87.364000000000004</v>
      </c>
      <c r="BS276" s="962">
        <f>SUM(BO276,BP276,BQ276,BR276)</f>
      </c>
      <c r="BT276" s="864">
        <v>113.651</v>
      </c>
      <c r="BU276" s="757"/>
      <c r="BV276" s="757"/>
      <c r="BW276" s="757"/>
      <c r="BX276" s="962"/>
      <c r="BY276" s="757"/>
      <c r="BZ276" s="757"/>
      <c r="CA276" s="757"/>
      <c r="CB276" s="757"/>
      <c r="CC276" s="962"/>
      <c r="CD276" s="962"/>
      <c r="CE276" s="962"/>
      <c r="CF276" s="962"/>
      <c r="CG276" s="459"/>
    </row>
    <row r="277" spans="1:85" s="587" customFormat="1" hidden="1" outlineLevel="1" x14ac:dyDescent="0.3">
      <c r="A277" s="2" t="s">
        <v>2213</v>
      </c>
      <c r="B277" s="426"/>
      <c r="C277" s="965"/>
      <c r="D277" s="965"/>
      <c r="E277" s="965"/>
      <c r="F277" s="965"/>
      <c r="G277" s="791"/>
      <c r="H277" s="791"/>
      <c r="I277" s="791"/>
      <c r="J277" s="791"/>
      <c r="K277" s="965"/>
      <c r="L277" s="791"/>
      <c r="M277" s="791"/>
      <c r="N277" s="791"/>
      <c r="O277" s="791"/>
      <c r="P277" s="965"/>
      <c r="Q277" s="791"/>
      <c r="R277" s="791"/>
      <c r="S277" s="791"/>
      <c r="T277" s="791"/>
      <c r="U277" s="965"/>
      <c r="V277" s="791"/>
      <c r="W277" s="791"/>
      <c r="X277" s="791"/>
      <c r="Y277" s="791"/>
      <c r="Z277" s="965"/>
      <c r="AA277" s="791">
        <f t="shared" ref="AA277:BI277" si="589">+AA189</f>
      </c>
      <c r="AB277" s="791">
        <f t="shared" si="589"/>
      </c>
      <c r="AC277" s="791">
        <f t="shared" si="589"/>
      </c>
      <c r="AD277" s="791">
        <f t="shared" si="589"/>
      </c>
      <c r="AE277" s="965">
        <f t="shared" si="589"/>
      </c>
      <c r="AF277" s="791">
        <f t="shared" si="589"/>
      </c>
      <c r="AG277" s="791">
        <f t="shared" si="589"/>
      </c>
      <c r="AH277" s="791">
        <f t="shared" si="589"/>
      </c>
      <c r="AI277" s="791">
        <f t="shared" si="589"/>
      </c>
      <c r="AJ277" s="965">
        <f t="shared" si="589"/>
      </c>
      <c r="AK277" s="791">
        <f t="shared" si="589"/>
      </c>
      <c r="AL277" s="791">
        <f t="shared" si="589"/>
      </c>
      <c r="AM277" s="791">
        <f t="shared" si="589"/>
      </c>
      <c r="AN277" s="791">
        <f t="shared" si="589"/>
      </c>
      <c r="AO277" s="965">
        <f t="shared" si="589"/>
      </c>
      <c r="AP277" s="791">
        <f t="shared" si="589"/>
      </c>
      <c r="AQ277" s="791">
        <f t="shared" si="589"/>
      </c>
      <c r="AR277" s="791">
        <f t="shared" si="589"/>
      </c>
      <c r="AS277" s="791">
        <f t="shared" si="589"/>
      </c>
      <c r="AT277" s="986">
        <f t="shared" si="589"/>
      </c>
      <c r="AU277" s="791">
        <f t="shared" si="589"/>
      </c>
      <c r="AV277" s="791">
        <f t="shared" si="589"/>
      </c>
      <c r="AW277" s="791">
        <f t="shared" si="589"/>
      </c>
      <c r="AX277" s="791">
        <f t="shared" si="589"/>
      </c>
      <c r="AY277" s="965">
        <f t="shared" si="589"/>
      </c>
      <c r="AZ277" s="791">
        <f t="shared" si="589"/>
      </c>
      <c r="BA277" s="791">
        <f t="shared" si="589"/>
      </c>
      <c r="BB277" s="791">
        <f t="shared" si="589"/>
      </c>
      <c r="BC277" s="791">
        <f t="shared" si="589"/>
      </c>
      <c r="BD277" s="965">
        <f t="shared" si="589"/>
      </c>
      <c r="BE277" s="791">
        <f t="shared" si="589"/>
      </c>
      <c r="BF277" s="791">
        <f t="shared" si="589"/>
      </c>
      <c r="BG277" s="791">
        <f t="shared" si="589"/>
      </c>
      <c r="BH277" s="791">
        <f t="shared" si="589"/>
      </c>
      <c r="BI277" s="965">
        <f t="shared" si="589"/>
      </c>
      <c r="BJ277" s="791">
        <f t="shared" ref="BJ277:BP277" si="590">BJ274-SUM(BJ275:BJ276)</f>
      </c>
      <c r="BK277" s="791">
        <f t="shared" si="590"/>
      </c>
      <c r="BL277" s="791">
        <f t="shared" si="590"/>
      </c>
      <c r="BM277" s="791">
        <f t="shared" si="590"/>
      </c>
      <c r="BN277" s="965">
        <f t="shared" si="590"/>
      </c>
      <c r="BO277" s="791">
        <f t="shared" si="590"/>
      </c>
      <c r="BP277" s="791">
        <f t="shared" si="590"/>
      </c>
      <c r="BQ277" s="791">
        <f>BQ274-SUM(BQ275:BQ276)</f>
      </c>
      <c r="BR277" s="791">
        <f>BR274-SUM(BR275:BR276)</f>
      </c>
      <c r="BS277" s="965">
        <f>BS274-SUM(BS275:BS276)</f>
      </c>
      <c r="BT277" s="797">
        <f>BT274-SUM(BT275:BT276)</f>
      </c>
      <c r="BU277" s="791"/>
      <c r="BV277" s="791"/>
      <c r="BW277" s="791"/>
      <c r="BX277" s="965"/>
      <c r="BY277" s="791"/>
      <c r="BZ277" s="791"/>
      <c r="CA277" s="791"/>
      <c r="CB277" s="791"/>
      <c r="CC277" s="965"/>
      <c r="CD277" s="965"/>
      <c r="CE277" s="965"/>
      <c r="CF277" s="965"/>
      <c r="CG277" s="459"/>
    </row>
    <row r="278" spans="1:85" s="593" customFormat="1" hidden="1" outlineLevel="1" x14ac:dyDescent="0.3">
      <c r="A278" s="550" t="s">
        <v>2230</v>
      </c>
      <c r="B278" s="551"/>
      <c r="C278" s="991"/>
      <c r="D278" s="991"/>
      <c r="E278" s="991"/>
      <c r="F278" s="991"/>
      <c r="G278" s="552"/>
      <c r="H278" s="552"/>
      <c r="I278" s="552"/>
      <c r="J278" s="552"/>
      <c r="K278" s="991"/>
      <c r="L278" s="552"/>
      <c r="M278" s="552"/>
      <c r="N278" s="552"/>
      <c r="O278" s="552"/>
      <c r="P278" s="991"/>
      <c r="Q278" s="552"/>
      <c r="R278" s="552"/>
      <c r="S278" s="552"/>
      <c r="T278" s="552"/>
      <c r="U278" s="991"/>
      <c r="V278" s="552"/>
      <c r="W278" s="552"/>
      <c r="X278" s="552"/>
      <c r="Y278" s="552"/>
      <c r="Z278" s="991"/>
      <c r="AA278" s="552"/>
      <c r="AB278" s="552"/>
      <c r="AC278" s="552"/>
      <c r="AD278" s="552"/>
      <c r="AE278" s="991"/>
      <c r="AF278" s="552"/>
      <c r="AG278" s="552"/>
      <c r="AH278" s="552"/>
      <c r="AI278" s="552"/>
      <c r="AJ278" s="991"/>
      <c r="AK278" s="552"/>
      <c r="AL278" s="552"/>
      <c r="AM278" s="552"/>
      <c r="AN278" s="552"/>
      <c r="AO278" s="991"/>
      <c r="AP278" s="552"/>
      <c r="AQ278" s="552"/>
      <c r="AR278" s="552"/>
      <c r="AS278" s="552"/>
      <c r="AT278" s="991"/>
      <c r="AU278" s="552"/>
      <c r="AV278" s="552"/>
      <c r="AW278" s="552"/>
      <c r="AX278" s="552"/>
      <c r="AY278" s="991"/>
      <c r="AZ278" s="552"/>
      <c r="BA278" s="552"/>
      <c r="BB278" s="552"/>
      <c r="BC278" s="552"/>
      <c r="BD278" s="991"/>
      <c r="BE278" s="552"/>
      <c r="BF278" s="552"/>
      <c r="BG278" s="552"/>
      <c r="BH278" s="552"/>
      <c r="BI278" s="991"/>
      <c r="BJ278" s="552">
        <f t="shared" ref="BJ278:BP278" si="591">BJ277/BJ270-1</f>
      </c>
      <c r="BK278" s="552">
        <f t="shared" si="591"/>
      </c>
      <c r="BL278" s="552">
        <f t="shared" si="591"/>
      </c>
      <c r="BM278" s="552">
        <f t="shared" si="591"/>
      </c>
      <c r="BN278" s="991">
        <f t="shared" si="591"/>
      </c>
      <c r="BO278" s="552">
        <f t="shared" si="591"/>
      </c>
      <c r="BP278" s="552">
        <f t="shared" si="591"/>
      </c>
      <c r="BQ278" s="552">
        <f>BQ277/BQ270-1</f>
      </c>
      <c r="BR278" s="552">
        <f>BR277/BR270-1</f>
      </c>
      <c r="BS278" s="991">
        <f>BS277/BS270-1</f>
      </c>
      <c r="BT278" s="688">
        <f>BT277/BT270-1</f>
      </c>
      <c r="BU278" s="552"/>
      <c r="BV278" s="552"/>
      <c r="BW278" s="552"/>
      <c r="BX278" s="991"/>
      <c r="BY278" s="552"/>
      <c r="BZ278" s="552"/>
      <c r="CA278" s="552"/>
      <c r="CB278" s="552"/>
      <c r="CC278" s="991"/>
      <c r="CD278" s="991"/>
      <c r="CE278" s="991"/>
      <c r="CF278" s="991"/>
      <c r="CG278" s="553"/>
    </row>
    <row r="279" spans="1:85" s="593" customFormat="1" hidden="1" outlineLevel="1" x14ac:dyDescent="0.3">
      <c r="A279" s="550" t="s">
        <v>2231</v>
      </c>
      <c r="B279" s="551"/>
      <c r="C279" s="991"/>
      <c r="D279" s="991"/>
      <c r="E279" s="991"/>
      <c r="F279" s="991"/>
      <c r="G279" s="552"/>
      <c r="H279" s="552"/>
      <c r="I279" s="552"/>
      <c r="J279" s="552"/>
      <c r="K279" s="991"/>
      <c r="L279" s="552"/>
      <c r="M279" s="552"/>
      <c r="N279" s="552"/>
      <c r="O279" s="552"/>
      <c r="P279" s="991"/>
      <c r="Q279" s="552"/>
      <c r="R279" s="552"/>
      <c r="S279" s="552"/>
      <c r="T279" s="552"/>
      <c r="U279" s="991"/>
      <c r="V279" s="552"/>
      <c r="W279" s="552"/>
      <c r="X279" s="552"/>
      <c r="Y279" s="552"/>
      <c r="Z279" s="991"/>
      <c r="AA279" s="552"/>
      <c r="AB279" s="552"/>
      <c r="AC279" s="552"/>
      <c r="AD279" s="552"/>
      <c r="AE279" s="991"/>
      <c r="AF279" s="552"/>
      <c r="AG279" s="552"/>
      <c r="AH279" s="552"/>
      <c r="AI279" s="552"/>
      <c r="AJ279" s="991"/>
      <c r="AK279" s="552"/>
      <c r="AL279" s="552"/>
      <c r="AM279" s="552"/>
      <c r="AN279" s="552"/>
      <c r="AO279" s="991"/>
      <c r="AP279" s="552"/>
      <c r="AQ279" s="552"/>
      <c r="AR279" s="552"/>
      <c r="AS279" s="552"/>
      <c r="AT279" s="991"/>
      <c r="AU279" s="552"/>
      <c r="AV279" s="552"/>
      <c r="AW279" s="552"/>
      <c r="AX279" s="552"/>
      <c r="AY279" s="991"/>
      <c r="AZ279" s="552"/>
      <c r="BA279" s="552"/>
      <c r="BB279" s="552"/>
      <c r="BC279" s="552"/>
      <c r="BD279" s="991"/>
      <c r="BE279" s="552"/>
      <c r="BF279" s="552"/>
      <c r="BG279" s="552"/>
      <c r="BH279" s="552"/>
      <c r="BI279" s="991"/>
      <c r="BJ279" s="552">
        <f t="shared" ref="BJ279:BP279" si="592">BJ273/BJ272</f>
      </c>
      <c r="BK279" s="552">
        <f t="shared" si="592"/>
      </c>
      <c r="BL279" s="552">
        <f t="shared" si="592"/>
      </c>
      <c r="BM279" s="552">
        <f t="shared" si="592"/>
      </c>
      <c r="BN279" s="991">
        <f t="shared" si="592"/>
      </c>
      <c r="BO279" s="552">
        <f t="shared" si="592"/>
      </c>
      <c r="BP279" s="552">
        <f t="shared" si="592"/>
      </c>
      <c r="BQ279" s="552">
        <f>BQ273/BQ272</f>
      </c>
      <c r="BR279" s="552">
        <f>BR273/BR272</f>
      </c>
      <c r="BS279" s="991">
        <f>BS273/BS272</f>
      </c>
      <c r="BT279" s="688">
        <f>BT273/BT272</f>
      </c>
      <c r="BU279" s="552"/>
      <c r="BV279" s="552"/>
      <c r="BW279" s="552"/>
      <c r="BX279" s="991"/>
      <c r="BY279" s="552"/>
      <c r="BZ279" s="552"/>
      <c r="CA279" s="552"/>
      <c r="CB279" s="552"/>
      <c r="CC279" s="991"/>
      <c r="CD279" s="991"/>
      <c r="CE279" s="991"/>
      <c r="CF279" s="991"/>
      <c r="CG279" s="553"/>
    </row>
    <row r="280" spans="1:85" s="582" customFormat="1" hidden="1" outlineLevel="1" x14ac:dyDescent="0.3">
      <c r="A280" s="244"/>
      <c r="B280" s="245"/>
      <c r="C280" s="933"/>
      <c r="D280" s="933"/>
      <c r="E280" s="933"/>
      <c r="F280" s="933"/>
      <c r="G280" s="200"/>
      <c r="H280" s="200"/>
      <c r="I280" s="200"/>
      <c r="J280" s="200"/>
      <c r="K280" s="933"/>
      <c r="L280" s="200"/>
      <c r="M280" s="200"/>
      <c r="N280" s="200"/>
      <c r="O280" s="200"/>
      <c r="P280" s="933"/>
      <c r="Q280" s="200"/>
      <c r="R280" s="200"/>
      <c r="S280" s="200"/>
      <c r="T280" s="200"/>
      <c r="U280" s="933"/>
      <c r="V280" s="200"/>
      <c r="W280" s="200"/>
      <c r="X280" s="200"/>
      <c r="Y280" s="200"/>
      <c r="Z280" s="933"/>
      <c r="AA280" s="200"/>
      <c r="AB280" s="200"/>
      <c r="AC280" s="200"/>
      <c r="AD280" s="200"/>
      <c r="AE280" s="933"/>
      <c r="AF280" s="200"/>
      <c r="AG280" s="200"/>
      <c r="AH280" s="200"/>
      <c r="AI280" s="200"/>
      <c r="AJ280" s="933"/>
      <c r="AK280" s="200"/>
      <c r="AL280" s="200"/>
      <c r="AM280" s="200"/>
      <c r="AN280" s="200"/>
      <c r="AO280" s="933"/>
      <c r="AP280" s="200"/>
      <c r="AQ280" s="200"/>
      <c r="AR280" s="200"/>
      <c r="AS280" s="200"/>
      <c r="AT280" s="933"/>
      <c r="AU280" s="200"/>
      <c r="AV280" s="200"/>
      <c r="AW280" s="200"/>
      <c r="AX280" s="200"/>
      <c r="AY280" s="933"/>
      <c r="AZ280" s="200"/>
      <c r="BA280" s="200"/>
      <c r="BB280" s="200"/>
      <c r="BC280" s="200"/>
      <c r="BD280" s="933"/>
      <c r="BE280" s="200"/>
      <c r="BF280" s="200"/>
      <c r="BG280" s="200"/>
      <c r="BH280" s="200"/>
      <c r="BI280" s="933"/>
      <c r="BJ280" s="200"/>
      <c r="BK280" s="200"/>
      <c r="BL280" s="200"/>
      <c r="BM280" s="200"/>
      <c r="BN280" s="933"/>
      <c r="BO280" s="200"/>
      <c r="BP280" s="200"/>
      <c r="BQ280" s="200"/>
      <c r="BR280" s="200"/>
      <c r="BS280" s="933"/>
      <c r="BT280" s="295"/>
      <c r="BU280" s="200"/>
      <c r="BV280" s="200"/>
      <c r="BW280" s="200"/>
      <c r="BX280" s="933"/>
      <c r="BY280" s="200"/>
      <c r="BZ280" s="200"/>
      <c r="CA280" s="200"/>
      <c r="CB280" s="200"/>
      <c r="CC280" s="933"/>
      <c r="CD280" s="933"/>
      <c r="CE280" s="933"/>
      <c r="CF280" s="933"/>
      <c r="CG280" s="131"/>
    </row>
    <row r="281" spans="1:85" s="585" customFormat="1" hidden="1" outlineLevel="1" x14ac:dyDescent="0.3">
      <c r="A281" s="4" t="s">
        <v>2216</v>
      </c>
      <c r="B281" s="250"/>
      <c r="C281" s="969"/>
      <c r="D281" s="969"/>
      <c r="E281" s="969"/>
      <c r="F281" s="969"/>
      <c r="G281" s="759"/>
      <c r="H281" s="759"/>
      <c r="I281" s="759"/>
      <c r="J281" s="759"/>
      <c r="K281" s="969"/>
      <c r="L281" s="759"/>
      <c r="M281" s="759"/>
      <c r="N281" s="759"/>
      <c r="O281" s="759"/>
      <c r="P281" s="969"/>
      <c r="Q281" s="759"/>
      <c r="R281" s="759"/>
      <c r="S281" s="759"/>
      <c r="T281" s="759"/>
      <c r="U281" s="969"/>
      <c r="V281" s="759"/>
      <c r="W281" s="759"/>
      <c r="X281" s="759"/>
      <c r="Y281" s="759"/>
      <c r="Z281" s="969"/>
      <c r="AA281" s="759"/>
      <c r="AB281" s="759"/>
      <c r="AC281" s="759"/>
      <c r="AD281" s="759"/>
      <c r="AE281" s="969"/>
      <c r="AF281" s="759"/>
      <c r="AG281" s="759"/>
      <c r="AH281" s="759"/>
      <c r="AI281" s="759"/>
      <c r="AJ281" s="969"/>
      <c r="AK281" s="759"/>
      <c r="AL281" s="759"/>
      <c r="AM281" s="759"/>
      <c r="AN281" s="759"/>
      <c r="AO281" s="969"/>
      <c r="AP281" s="759"/>
      <c r="AQ281" s="759"/>
      <c r="AR281" s="759"/>
      <c r="AS281" s="759"/>
      <c r="AT281" s="969"/>
      <c r="AU281" s="759"/>
      <c r="AV281" s="759"/>
      <c r="AW281" s="759"/>
      <c r="AX281" s="759"/>
      <c r="AY281" s="969"/>
      <c r="AZ281" s="759"/>
      <c r="BA281" s="759"/>
      <c r="BB281" s="759"/>
      <c r="BC281" s="759"/>
      <c r="BD281" s="969"/>
      <c r="BE281" s="759"/>
      <c r="BF281" s="759"/>
      <c r="BG281" s="759"/>
      <c r="BH281" s="759"/>
      <c r="BI281" s="969"/>
      <c r="BJ281" s="759">
        <f t="shared" ref="BJ281:BO281" si="593">BE288</f>
      </c>
      <c r="BK281" s="759">
        <f t="shared" si="593"/>
      </c>
      <c r="BL281" s="759">
        <f t="shared" si="593"/>
      </c>
      <c r="BM281" s="759">
        <f t="shared" si="593"/>
      </c>
      <c r="BN281" s="969">
        <f t="shared" si="593"/>
      </c>
      <c r="BO281" s="759">
        <f t="shared" si="593"/>
      </c>
      <c r="BP281" s="759">
        <f>BK288</f>
      </c>
      <c r="BQ281" s="759">
        <f>BL288</f>
      </c>
      <c r="BR281" s="759">
        <f>BM288</f>
      </c>
      <c r="BS281" s="969">
        <f>BN288</f>
      </c>
      <c r="BT281" s="760">
        <f>BO288</f>
      </c>
      <c r="BU281" s="759"/>
      <c r="BV281" s="759"/>
      <c r="BW281" s="759"/>
      <c r="BX281" s="969"/>
      <c r="BY281" s="759"/>
      <c r="BZ281" s="759"/>
      <c r="CA281" s="759"/>
      <c r="CB281" s="759"/>
      <c r="CC281" s="969"/>
      <c r="CD281" s="969"/>
      <c r="CE281" s="969"/>
      <c r="CF281" s="969"/>
      <c r="CG281" s="183"/>
    </row>
    <row r="282" spans="1:85" s="587" customFormat="1" hidden="1" outlineLevel="1" x14ac:dyDescent="0.3">
      <c r="A282" s="182" t="s">
        <v>2375</v>
      </c>
      <c r="B282" s="430"/>
      <c r="C282" s="962"/>
      <c r="D282" s="962"/>
      <c r="E282" s="962"/>
      <c r="F282" s="962"/>
      <c r="G282" s="757"/>
      <c r="H282" s="757"/>
      <c r="I282" s="757"/>
      <c r="J282" s="757"/>
      <c r="K282" s="962"/>
      <c r="L282" s="757"/>
      <c r="M282" s="757"/>
      <c r="N282" s="757"/>
      <c r="O282" s="757"/>
      <c r="P282" s="962"/>
      <c r="Q282" s="757"/>
      <c r="R282" s="757"/>
      <c r="S282" s="757"/>
      <c r="T282" s="757"/>
      <c r="U282" s="962"/>
      <c r="V282" s="757"/>
      <c r="W282" s="757"/>
      <c r="X282" s="757"/>
      <c r="Y282" s="757"/>
      <c r="Z282" s="962"/>
      <c r="AA282" s="757"/>
      <c r="AB282" s="757"/>
      <c r="AC282" s="757"/>
      <c r="AD282" s="757"/>
      <c r="AE282" s="962"/>
      <c r="AF282" s="757"/>
      <c r="AG282" s="757"/>
      <c r="AH282" s="757"/>
      <c r="AI282" s="757"/>
      <c r="AJ282" s="962"/>
      <c r="AK282" s="757"/>
      <c r="AL282" s="757"/>
      <c r="AM282" s="757"/>
      <c r="AN282" s="757"/>
      <c r="AO282" s="962"/>
      <c r="AP282" s="757"/>
      <c r="AQ282" s="757"/>
      <c r="AR282" s="757"/>
      <c r="AS282" s="757"/>
      <c r="AT282" s="962"/>
      <c r="AU282" s="757"/>
      <c r="AV282" s="757"/>
      <c r="AW282" s="757"/>
      <c r="AX282" s="757"/>
      <c r="AY282" s="962"/>
      <c r="AZ282" s="757"/>
      <c r="BA282" s="757"/>
      <c r="BB282" s="757"/>
      <c r="BC282" s="757"/>
      <c r="BD282" s="962"/>
      <c r="BE282" s="757"/>
      <c r="BF282" s="757"/>
      <c r="BG282" s="757"/>
      <c r="BH282" s="757"/>
      <c r="BI282" s="962"/>
      <c r="BJ282" s="857">
        <v>0</v>
      </c>
      <c r="BK282" s="857">
        <v>0</v>
      </c>
      <c r="BL282" s="857">
        <v>0</v>
      </c>
      <c r="BM282" s="857">
        <v>0</v>
      </c>
      <c r="BN282" s="962">
        <f>SUM(BJ282,BK282,BL282,BM282)</f>
      </c>
      <c r="BO282" s="757">
        <f>BJ287</f>
      </c>
      <c r="BP282" s="757">
        <f>BK287</f>
      </c>
      <c r="BQ282" s="757">
        <f>BL287</f>
      </c>
      <c r="BR282" s="757">
        <f>BM287</f>
      </c>
      <c r="BS282" s="962">
        <f>SUM(BO282,BP282,BQ282,BR282)</f>
      </c>
      <c r="BT282" s="758">
        <f>BO287</f>
      </c>
      <c r="BU282" s="757"/>
      <c r="BV282" s="757"/>
      <c r="BW282" s="757"/>
      <c r="BX282" s="962"/>
      <c r="BY282" s="757"/>
      <c r="BZ282" s="757"/>
      <c r="CA282" s="757"/>
      <c r="CB282" s="757"/>
      <c r="CC282" s="962"/>
      <c r="CD282" s="962"/>
      <c r="CE282" s="962"/>
      <c r="CF282" s="962"/>
      <c r="CG282" s="459"/>
    </row>
    <row r="283" spans="1:85" s="587" customFormat="1" hidden="1" outlineLevel="1" x14ac:dyDescent="0.3">
      <c r="A283" s="2" t="s">
        <v>2232</v>
      </c>
      <c r="B283" s="426"/>
      <c r="C283" s="965"/>
      <c r="D283" s="965"/>
      <c r="E283" s="965"/>
      <c r="F283" s="965"/>
      <c r="G283" s="791"/>
      <c r="H283" s="791"/>
      <c r="I283" s="791"/>
      <c r="J283" s="791"/>
      <c r="K283" s="965"/>
      <c r="L283" s="791"/>
      <c r="M283" s="791"/>
      <c r="N283" s="791"/>
      <c r="O283" s="791"/>
      <c r="P283" s="965"/>
      <c r="Q283" s="791"/>
      <c r="R283" s="791"/>
      <c r="S283" s="791"/>
      <c r="T283" s="791"/>
      <c r="U283" s="965"/>
      <c r="V283" s="791"/>
      <c r="W283" s="791"/>
      <c r="X283" s="791"/>
      <c r="Y283" s="791"/>
      <c r="Z283" s="965"/>
      <c r="AA283" s="791"/>
      <c r="AB283" s="791"/>
      <c r="AC283" s="791"/>
      <c r="AD283" s="791"/>
      <c r="AE283" s="965"/>
      <c r="AF283" s="791"/>
      <c r="AG283" s="791"/>
      <c r="AH283" s="791"/>
      <c r="AI283" s="791"/>
      <c r="AJ283" s="965"/>
      <c r="AK283" s="791"/>
      <c r="AL283" s="791"/>
      <c r="AM283" s="791"/>
      <c r="AN283" s="791"/>
      <c r="AO283" s="965"/>
      <c r="AP283" s="791"/>
      <c r="AQ283" s="791"/>
      <c r="AR283" s="791"/>
      <c r="AS283" s="791"/>
      <c r="AT283" s="965"/>
      <c r="AU283" s="791"/>
      <c r="AV283" s="791"/>
      <c r="AW283" s="791"/>
      <c r="AX283" s="791"/>
      <c r="AY283" s="965"/>
      <c r="AZ283" s="791"/>
      <c r="BA283" s="791"/>
      <c r="BB283" s="791"/>
      <c r="BC283" s="791"/>
      <c r="BD283" s="965"/>
      <c r="BE283" s="791"/>
      <c r="BF283" s="791"/>
      <c r="BG283" s="791"/>
      <c r="BH283" s="791"/>
      <c r="BI283" s="965"/>
      <c r="BJ283" s="791">
        <f t="shared" ref="BJ283:BN283" si="594">SUM(BJ281:BJ282)</f>
      </c>
      <c r="BK283" s="791">
        <f t="shared" si="594"/>
      </c>
      <c r="BL283" s="791">
        <f t="shared" si="594"/>
      </c>
      <c r="BM283" s="791">
        <f t="shared" si="594"/>
      </c>
      <c r="BN283" s="965">
        <f t="shared" si="594"/>
      </c>
      <c r="BO283" s="791">
        <f t="shared" ref="BO283:BT283" si="595">SUM(BO281:BO282)</f>
      </c>
      <c r="BP283" s="791">
        <f t="shared" si="595"/>
      </c>
      <c r="BQ283" s="791">
        <f t="shared" si="595"/>
      </c>
      <c r="BR283" s="791">
        <f t="shared" si="595"/>
      </c>
      <c r="BS283" s="965">
        <f t="shared" si="595"/>
      </c>
      <c r="BT283" s="797">
        <f t="shared" si="595"/>
      </c>
      <c r="BU283" s="791"/>
      <c r="BV283" s="791"/>
      <c r="BW283" s="791"/>
      <c r="BX283" s="965"/>
      <c r="BY283" s="791"/>
      <c r="BZ283" s="791"/>
      <c r="CA283" s="791"/>
      <c r="CB283" s="791"/>
      <c r="CC283" s="965"/>
      <c r="CD283" s="965"/>
      <c r="CE283" s="965"/>
      <c r="CF283" s="965"/>
      <c r="CG283" s="459"/>
    </row>
    <row r="284" spans="1:85" s="587" customFormat="1" hidden="1" outlineLevel="1" x14ac:dyDescent="0.3">
      <c r="A284" s="182" t="s">
        <v>2233</v>
      </c>
      <c r="B284" s="430"/>
      <c r="C284" s="962"/>
      <c r="D284" s="962"/>
      <c r="E284" s="962"/>
      <c r="F284" s="962"/>
      <c r="G284" s="757"/>
      <c r="H284" s="757"/>
      <c r="I284" s="757"/>
      <c r="J284" s="757"/>
      <c r="K284" s="962"/>
      <c r="L284" s="757"/>
      <c r="M284" s="757"/>
      <c r="N284" s="757"/>
      <c r="O284" s="757"/>
      <c r="P284" s="962"/>
      <c r="Q284" s="757"/>
      <c r="R284" s="757"/>
      <c r="S284" s="757"/>
      <c r="T284" s="757"/>
      <c r="U284" s="962"/>
      <c r="V284" s="757"/>
      <c r="W284" s="757"/>
      <c r="X284" s="757"/>
      <c r="Y284" s="757"/>
      <c r="Z284" s="962"/>
      <c r="AA284" s="757"/>
      <c r="AB284" s="757"/>
      <c r="AC284" s="757"/>
      <c r="AD284" s="757"/>
      <c r="AE284" s="962"/>
      <c r="AF284" s="757"/>
      <c r="AG284" s="757"/>
      <c r="AH284" s="757"/>
      <c r="AI284" s="757"/>
      <c r="AJ284" s="962"/>
      <c r="AK284" s="757"/>
      <c r="AL284" s="757"/>
      <c r="AM284" s="757"/>
      <c r="AN284" s="757"/>
      <c r="AO284" s="962"/>
      <c r="AP284" s="757"/>
      <c r="AQ284" s="757"/>
      <c r="AR284" s="757"/>
      <c r="AS284" s="757"/>
      <c r="AT284" s="962"/>
      <c r="AU284" s="757"/>
      <c r="AV284" s="757"/>
      <c r="AW284" s="757"/>
      <c r="AX284" s="757"/>
      <c r="AY284" s="962"/>
      <c r="AZ284" s="757"/>
      <c r="BA284" s="757"/>
      <c r="BB284" s="757"/>
      <c r="BC284" s="757"/>
      <c r="BD284" s="962"/>
      <c r="BE284" s="757"/>
      <c r="BF284" s="757"/>
      <c r="BG284" s="757"/>
      <c r="BH284" s="757"/>
      <c r="BI284" s="962"/>
      <c r="BJ284" s="757">
        <f t="shared" ref="BJ284:BN284" si="596">BJ285-BJ283</f>
      </c>
      <c r="BK284" s="757">
        <f t="shared" si="596"/>
      </c>
      <c r="BL284" s="757">
        <f t="shared" si="596"/>
      </c>
      <c r="BM284" s="757">
        <f t="shared" si="596"/>
      </c>
      <c r="BN284" s="962">
        <f t="shared" si="596"/>
      </c>
      <c r="BO284" s="757">
        <f t="shared" ref="BO284:BT284" si="597">BO285-BO283</f>
      </c>
      <c r="BP284" s="757">
        <f t="shared" si="597"/>
      </c>
      <c r="BQ284" s="757">
        <f t="shared" si="597"/>
      </c>
      <c r="BR284" s="757">
        <f t="shared" si="597"/>
      </c>
      <c r="BS284" s="962">
        <f t="shared" si="597"/>
      </c>
      <c r="BT284" s="758">
        <f t="shared" si="597"/>
      </c>
      <c r="BU284" s="757"/>
      <c r="BV284" s="757"/>
      <c r="BW284" s="757"/>
      <c r="BX284" s="962"/>
      <c r="BY284" s="757"/>
      <c r="BZ284" s="757"/>
      <c r="CA284" s="757"/>
      <c r="CB284" s="757"/>
      <c r="CC284" s="962"/>
      <c r="CD284" s="962"/>
      <c r="CE284" s="962"/>
      <c r="CF284" s="962"/>
      <c r="CG284" s="459"/>
    </row>
    <row r="285" spans="1:85" s="587" customFormat="1" hidden="1" outlineLevel="1" x14ac:dyDescent="0.3">
      <c r="A285" s="2" t="s">
        <v>2234</v>
      </c>
      <c r="B285" s="426"/>
      <c r="C285" s="965"/>
      <c r="D285" s="965"/>
      <c r="E285" s="965"/>
      <c r="F285" s="965"/>
      <c r="G285" s="791"/>
      <c r="H285" s="791"/>
      <c r="I285" s="791"/>
      <c r="J285" s="791"/>
      <c r="K285" s="965"/>
      <c r="L285" s="791"/>
      <c r="M285" s="791"/>
      <c r="N285" s="791"/>
      <c r="O285" s="791"/>
      <c r="P285" s="965"/>
      <c r="Q285" s="791"/>
      <c r="R285" s="791"/>
      <c r="S285" s="791"/>
      <c r="T285" s="791"/>
      <c r="U285" s="965"/>
      <c r="V285" s="791"/>
      <c r="W285" s="791"/>
      <c r="X285" s="791"/>
      <c r="Y285" s="791"/>
      <c r="Z285" s="965"/>
      <c r="AA285" s="791"/>
      <c r="AB285" s="791"/>
      <c r="AC285" s="791"/>
      <c r="AD285" s="791"/>
      <c r="AE285" s="965"/>
      <c r="AF285" s="791"/>
      <c r="AG285" s="791"/>
      <c r="AH285" s="791"/>
      <c r="AI285" s="791"/>
      <c r="AJ285" s="965"/>
      <c r="AK285" s="791"/>
      <c r="AL285" s="791"/>
      <c r="AM285" s="791"/>
      <c r="AN285" s="791"/>
      <c r="AO285" s="965"/>
      <c r="AP285" s="791"/>
      <c r="AQ285" s="791"/>
      <c r="AR285" s="791"/>
      <c r="AS285" s="791"/>
      <c r="AT285" s="965"/>
      <c r="AU285" s="791"/>
      <c r="AV285" s="791"/>
      <c r="AW285" s="791"/>
      <c r="AX285" s="791"/>
      <c r="AY285" s="965"/>
      <c r="AZ285" s="791"/>
      <c r="BA285" s="791"/>
      <c r="BB285" s="791"/>
      <c r="BC285" s="791"/>
      <c r="BD285" s="965"/>
      <c r="BE285" s="791"/>
      <c r="BF285" s="791"/>
      <c r="BG285" s="791"/>
      <c r="BH285" s="791"/>
      <c r="BI285" s="965"/>
      <c r="BJ285" s="858">
        <v>1404.0160000000001</v>
      </c>
      <c r="BK285" s="858">
        <v>1547.0930000000001</v>
      </c>
      <c r="BL285" s="858">
        <v>1662.9839999999999</v>
      </c>
      <c r="BM285" s="858">
        <v>1558.173</v>
      </c>
      <c r="BN285" s="965">
        <f>SUM(BJ285,BK285,BL285,BM285)</f>
      </c>
      <c r="BO285" s="858">
        <v>1491.066</v>
      </c>
      <c r="BP285" s="858">
        <v>1482.0740000000001</v>
      </c>
      <c r="BQ285" s="858">
        <v>1450.8910000000001</v>
      </c>
      <c r="BR285" s="858">
        <v>1444.598</v>
      </c>
      <c r="BS285" s="965">
        <f>SUM(BO285,BP285,BQ285,BR285)</f>
      </c>
      <c r="BT285" s="859">
        <v>1467.8320000000001</v>
      </c>
      <c r="BU285" s="791"/>
      <c r="BV285" s="791"/>
      <c r="BW285" s="791"/>
      <c r="BX285" s="965"/>
      <c r="BY285" s="791"/>
      <c r="BZ285" s="791"/>
      <c r="CA285" s="791"/>
      <c r="CB285" s="791"/>
      <c r="CC285" s="965"/>
      <c r="CD285" s="965"/>
      <c r="CE285" s="965"/>
      <c r="CF285" s="965"/>
      <c r="CG285" s="459"/>
    </row>
    <row r="286" spans="1:85" s="587" customFormat="1" hidden="1" outlineLevel="1" x14ac:dyDescent="0.3">
      <c r="A286" s="182" t="s">
        <v>2249</v>
      </c>
      <c r="B286" s="430"/>
      <c r="C286" s="962"/>
      <c r="D286" s="962"/>
      <c r="E286" s="962"/>
      <c r="F286" s="962"/>
      <c r="G286" s="757"/>
      <c r="H286" s="757"/>
      <c r="I286" s="757"/>
      <c r="J286" s="757"/>
      <c r="K286" s="962"/>
      <c r="L286" s="757"/>
      <c r="M286" s="757"/>
      <c r="N286" s="757"/>
      <c r="O286" s="757"/>
      <c r="P286" s="962"/>
      <c r="Q286" s="757"/>
      <c r="R286" s="757"/>
      <c r="S286" s="757"/>
      <c r="T286" s="757"/>
      <c r="U286" s="962"/>
      <c r="V286" s="757"/>
      <c r="W286" s="757"/>
      <c r="X286" s="757"/>
      <c r="Y286" s="757"/>
      <c r="Z286" s="962"/>
      <c r="AA286" s="757"/>
      <c r="AB286" s="757"/>
      <c r="AC286" s="757"/>
      <c r="AD286" s="757"/>
      <c r="AE286" s="962"/>
      <c r="AF286" s="757"/>
      <c r="AG286" s="757"/>
      <c r="AH286" s="757"/>
      <c r="AI286" s="757"/>
      <c r="AJ286" s="962"/>
      <c r="AK286" s="757"/>
      <c r="AL286" s="757"/>
      <c r="AM286" s="757"/>
      <c r="AN286" s="757"/>
      <c r="AO286" s="962"/>
      <c r="AP286" s="757"/>
      <c r="AQ286" s="757"/>
      <c r="AR286" s="757"/>
      <c r="AS286" s="757"/>
      <c r="AT286" s="962"/>
      <c r="AU286" s="757"/>
      <c r="AV286" s="757"/>
      <c r="AW286" s="757"/>
      <c r="AX286" s="757"/>
      <c r="AY286" s="962"/>
      <c r="AZ286" s="757"/>
      <c r="BA286" s="757"/>
      <c r="BB286" s="757"/>
      <c r="BC286" s="757"/>
      <c r="BD286" s="962"/>
      <c r="BE286" s="757"/>
      <c r="BF286" s="757"/>
      <c r="BG286" s="757"/>
      <c r="BH286" s="757"/>
      <c r="BI286" s="962"/>
      <c r="BJ286" s="857">
        <v>232.74199999999999</v>
      </c>
      <c r="BK286" s="857">
        <v>344.70699999999999</v>
      </c>
      <c r="BL286" s="857">
        <v>456.74599999999998</v>
      </c>
      <c r="BM286" s="857">
        <v>356.709</v>
      </c>
      <c r="BN286" s="962">
        <f>SUM(BJ286,BK286,BL286,BM286)</f>
      </c>
      <c r="BO286" s="857">
        <v>243.06800000000001</v>
      </c>
      <c r="BP286" s="857">
        <v>161.30600000000001</v>
      </c>
      <c r="BQ286" s="857">
        <v>53.677999999999997</v>
      </c>
      <c r="BR286" s="857">
        <v>-1.052</v>
      </c>
      <c r="BS286" s="962">
        <f>SUM(BO286,BP286,BQ286,BR286)</f>
      </c>
      <c r="BT286" s="864">
        <v>-60.512</v>
      </c>
      <c r="BU286" s="757"/>
      <c r="BV286" s="757"/>
      <c r="BW286" s="757"/>
      <c r="BX286" s="962"/>
      <c r="BY286" s="757"/>
      <c r="BZ286" s="757"/>
      <c r="CA286" s="757"/>
      <c r="CB286" s="757"/>
      <c r="CC286" s="962"/>
      <c r="CD286" s="962"/>
      <c r="CE286" s="962"/>
      <c r="CF286" s="962"/>
      <c r="CG286" s="459"/>
    </row>
    <row r="287" spans="1:85" s="587" customFormat="1" hidden="1" outlineLevel="1" x14ac:dyDescent="0.3">
      <c r="A287" s="182" t="s">
        <v>2208</v>
      </c>
      <c r="B287" s="430"/>
      <c r="C287" s="962"/>
      <c r="D287" s="962"/>
      <c r="E287" s="962"/>
      <c r="F287" s="962"/>
      <c r="G287" s="757"/>
      <c r="H287" s="757"/>
      <c r="I287" s="757"/>
      <c r="J287" s="757"/>
      <c r="K287" s="962"/>
      <c r="L287" s="757"/>
      <c r="M287" s="757"/>
      <c r="N287" s="757"/>
      <c r="O287" s="757"/>
      <c r="P287" s="962"/>
      <c r="Q287" s="757"/>
      <c r="R287" s="757"/>
      <c r="S287" s="757"/>
      <c r="T287" s="757"/>
      <c r="U287" s="962"/>
      <c r="V287" s="757"/>
      <c r="W287" s="757"/>
      <c r="X287" s="757"/>
      <c r="Y287" s="757"/>
      <c r="Z287" s="962"/>
      <c r="AA287" s="757"/>
      <c r="AB287" s="757"/>
      <c r="AC287" s="757"/>
      <c r="AD287" s="757"/>
      <c r="AE287" s="962"/>
      <c r="AF287" s="757"/>
      <c r="AG287" s="757"/>
      <c r="AH287" s="757"/>
      <c r="AI287" s="757"/>
      <c r="AJ287" s="962"/>
      <c r="AK287" s="757"/>
      <c r="AL287" s="757"/>
      <c r="AM287" s="757"/>
      <c r="AN287" s="757"/>
      <c r="AO287" s="962"/>
      <c r="AP287" s="757"/>
      <c r="AQ287" s="757"/>
      <c r="AR287" s="757"/>
      <c r="AS287" s="757"/>
      <c r="AT287" s="962"/>
      <c r="AU287" s="757"/>
      <c r="AV287" s="757"/>
      <c r="AW287" s="757"/>
      <c r="AX287" s="757"/>
      <c r="AY287" s="962"/>
      <c r="AZ287" s="757"/>
      <c r="BA287" s="757"/>
      <c r="BB287" s="757"/>
      <c r="BC287" s="757"/>
      <c r="BD287" s="962"/>
      <c r="BE287" s="757"/>
      <c r="BF287" s="757"/>
      <c r="BG287" s="757"/>
      <c r="BH287" s="757"/>
      <c r="BI287" s="962"/>
      <c r="BJ287" s="857">
        <v>6.266</v>
      </c>
      <c r="BK287" s="857">
        <v>-1.7589999999999999</v>
      </c>
      <c r="BL287" s="857">
        <v>-34.654000000000003</v>
      </c>
      <c r="BM287" s="857">
        <v>-28.306999999999999</v>
      </c>
      <c r="BN287" s="962">
        <f>SUM(BJ287,BK287,BL287,BM287)</f>
      </c>
      <c r="BO287" s="857">
        <v>-13.936</v>
      </c>
      <c r="BP287" s="857">
        <v>14.032999999999999</v>
      </c>
      <c r="BQ287" s="857">
        <v>26.3</v>
      </c>
      <c r="BR287" s="857">
        <v>27.710999999999999</v>
      </c>
      <c r="BS287" s="962">
        <f>SUM(BO287,BP287,BQ287,BR287)</f>
      </c>
      <c r="BT287" s="864">
        <v>31.286000000000001</v>
      </c>
      <c r="BU287" s="757"/>
      <c r="BV287" s="757"/>
      <c r="BW287" s="757"/>
      <c r="BX287" s="962"/>
      <c r="BY287" s="757"/>
      <c r="BZ287" s="757"/>
      <c r="CA287" s="757"/>
      <c r="CB287" s="757"/>
      <c r="CC287" s="962"/>
      <c r="CD287" s="962"/>
      <c r="CE287" s="962"/>
      <c r="CF287" s="962"/>
      <c r="CG287" s="459"/>
    </row>
    <row r="288" spans="1:85" s="587" customFormat="1" hidden="1" outlineLevel="1" x14ac:dyDescent="0.3">
      <c r="A288" s="2" t="s">
        <v>2215</v>
      </c>
      <c r="B288" s="426"/>
      <c r="C288" s="965"/>
      <c r="D288" s="965"/>
      <c r="E288" s="965"/>
      <c r="F288" s="965"/>
      <c r="G288" s="791"/>
      <c r="H288" s="791"/>
      <c r="I288" s="791"/>
      <c r="J288" s="791"/>
      <c r="K288" s="965"/>
      <c r="L288" s="791"/>
      <c r="M288" s="791"/>
      <c r="N288" s="791"/>
      <c r="O288" s="791"/>
      <c r="P288" s="965"/>
      <c r="Q288" s="791"/>
      <c r="R288" s="791"/>
      <c r="S288" s="791"/>
      <c r="T288" s="791"/>
      <c r="U288" s="965"/>
      <c r="V288" s="791"/>
      <c r="W288" s="791"/>
      <c r="X288" s="791"/>
      <c r="Y288" s="791"/>
      <c r="Z288" s="965"/>
      <c r="AA288" s="791">
        <f t="shared" ref="AA288:BI288" si="598">+AA190</f>
      </c>
      <c r="AB288" s="791">
        <f t="shared" si="598"/>
      </c>
      <c r="AC288" s="791">
        <f t="shared" si="598"/>
      </c>
      <c r="AD288" s="791">
        <f t="shared" si="598"/>
      </c>
      <c r="AE288" s="965">
        <f t="shared" si="598"/>
      </c>
      <c r="AF288" s="791">
        <f t="shared" si="598"/>
      </c>
      <c r="AG288" s="791">
        <f t="shared" si="598"/>
      </c>
      <c r="AH288" s="791">
        <f t="shared" si="598"/>
      </c>
      <c r="AI288" s="791">
        <f t="shared" si="598"/>
      </c>
      <c r="AJ288" s="965">
        <f t="shared" si="598"/>
      </c>
      <c r="AK288" s="791">
        <f t="shared" si="598"/>
      </c>
      <c r="AL288" s="791">
        <f t="shared" si="598"/>
      </c>
      <c r="AM288" s="791">
        <f t="shared" si="598"/>
      </c>
      <c r="AN288" s="791">
        <f t="shared" si="598"/>
      </c>
      <c r="AO288" s="965">
        <f t="shared" si="598"/>
      </c>
      <c r="AP288" s="791">
        <f t="shared" si="598"/>
      </c>
      <c r="AQ288" s="791">
        <f t="shared" si="598"/>
      </c>
      <c r="AR288" s="791">
        <f t="shared" si="598"/>
      </c>
      <c r="AS288" s="791">
        <f t="shared" si="598"/>
      </c>
      <c r="AT288" s="986">
        <f t="shared" si="598"/>
      </c>
      <c r="AU288" s="791">
        <f t="shared" si="598"/>
      </c>
      <c r="AV288" s="791">
        <f t="shared" si="598"/>
      </c>
      <c r="AW288" s="791">
        <f t="shared" si="598"/>
      </c>
      <c r="AX288" s="791">
        <f t="shared" si="598"/>
      </c>
      <c r="AY288" s="965">
        <f t="shared" si="598"/>
      </c>
      <c r="AZ288" s="791">
        <f t="shared" si="598"/>
      </c>
      <c r="BA288" s="791">
        <f t="shared" si="598"/>
      </c>
      <c r="BB288" s="791">
        <f t="shared" si="598"/>
      </c>
      <c r="BC288" s="791">
        <f t="shared" si="598"/>
      </c>
      <c r="BD288" s="965">
        <f t="shared" si="598"/>
      </c>
      <c r="BE288" s="791">
        <f t="shared" si="598"/>
      </c>
      <c r="BF288" s="791">
        <f t="shared" si="598"/>
      </c>
      <c r="BG288" s="791">
        <f t="shared" si="598"/>
      </c>
      <c r="BH288" s="791">
        <f t="shared" si="598"/>
      </c>
      <c r="BI288" s="965">
        <f t="shared" si="598"/>
      </c>
      <c r="BJ288" s="791">
        <f t="shared" ref="BJ288:BP288" si="599">BJ285-SUM(BJ286:BJ287)</f>
      </c>
      <c r="BK288" s="791">
        <f t="shared" si="599"/>
      </c>
      <c r="BL288" s="791">
        <f t="shared" si="599"/>
      </c>
      <c r="BM288" s="791">
        <f t="shared" si="599"/>
      </c>
      <c r="BN288" s="965">
        <f t="shared" si="599"/>
      </c>
      <c r="BO288" s="791">
        <f t="shared" si="599"/>
      </c>
      <c r="BP288" s="791">
        <f t="shared" si="599"/>
      </c>
      <c r="BQ288" s="791">
        <f>BQ285-SUM(BQ286:BQ287)</f>
      </c>
      <c r="BR288" s="791">
        <f>BR285-SUM(BR286:BR287)</f>
      </c>
      <c r="BS288" s="965">
        <f>BS285-SUM(BS286:BS287)</f>
      </c>
      <c r="BT288" s="797">
        <f>BT285-SUM(BT286:BT287)</f>
      </c>
      <c r="BU288" s="791"/>
      <c r="BV288" s="791"/>
      <c r="BW288" s="791"/>
      <c r="BX288" s="965"/>
      <c r="BY288" s="791"/>
      <c r="BZ288" s="791"/>
      <c r="CA288" s="791"/>
      <c r="CB288" s="791"/>
      <c r="CC288" s="965"/>
      <c r="CD288" s="965"/>
      <c r="CE288" s="965"/>
      <c r="CF288" s="965"/>
      <c r="CG288" s="459"/>
    </row>
    <row r="289" spans="1:85" s="593" customFormat="1" hidden="1" outlineLevel="1" x14ac:dyDescent="0.3">
      <c r="A289" s="550" t="s">
        <v>2235</v>
      </c>
      <c r="B289" s="551"/>
      <c r="C289" s="991"/>
      <c r="D289" s="991"/>
      <c r="E289" s="991"/>
      <c r="F289" s="991"/>
      <c r="G289" s="552"/>
      <c r="H289" s="552"/>
      <c r="I289" s="552"/>
      <c r="J289" s="552"/>
      <c r="K289" s="991"/>
      <c r="L289" s="552"/>
      <c r="M289" s="552"/>
      <c r="N289" s="552"/>
      <c r="O289" s="552"/>
      <c r="P289" s="991"/>
      <c r="Q289" s="552"/>
      <c r="R289" s="552"/>
      <c r="S289" s="552"/>
      <c r="T289" s="552"/>
      <c r="U289" s="991"/>
      <c r="V289" s="552"/>
      <c r="W289" s="552"/>
      <c r="X289" s="552"/>
      <c r="Y289" s="552"/>
      <c r="Z289" s="991"/>
      <c r="AA289" s="552"/>
      <c r="AB289" s="552"/>
      <c r="AC289" s="552"/>
      <c r="AD289" s="552"/>
      <c r="AE289" s="991"/>
      <c r="AF289" s="552"/>
      <c r="AG289" s="552"/>
      <c r="AH289" s="552"/>
      <c r="AI289" s="552"/>
      <c r="AJ289" s="991"/>
      <c r="AK289" s="552"/>
      <c r="AL289" s="552"/>
      <c r="AM289" s="552"/>
      <c r="AN289" s="552"/>
      <c r="AO289" s="991"/>
      <c r="AP289" s="552"/>
      <c r="AQ289" s="552"/>
      <c r="AR289" s="552"/>
      <c r="AS289" s="552"/>
      <c r="AT289" s="991"/>
      <c r="AU289" s="552"/>
      <c r="AV289" s="552"/>
      <c r="AW289" s="552"/>
      <c r="AX289" s="552"/>
      <c r="AY289" s="991"/>
      <c r="AZ289" s="552"/>
      <c r="BA289" s="552"/>
      <c r="BB289" s="552"/>
      <c r="BC289" s="552"/>
      <c r="BD289" s="991"/>
      <c r="BE289" s="552"/>
      <c r="BF289" s="552"/>
      <c r="BG289" s="552"/>
      <c r="BH289" s="552"/>
      <c r="BI289" s="991"/>
      <c r="BJ289" s="552">
        <f t="shared" ref="BJ289:BP289" si="600">BJ288/BJ281-1</f>
      </c>
      <c r="BK289" s="552">
        <f t="shared" si="600"/>
      </c>
      <c r="BL289" s="552">
        <f t="shared" si="600"/>
      </c>
      <c r="BM289" s="552">
        <f t="shared" si="600"/>
      </c>
      <c r="BN289" s="991">
        <f t="shared" si="600"/>
      </c>
      <c r="BO289" s="552">
        <f t="shared" si="600"/>
      </c>
      <c r="BP289" s="552">
        <f t="shared" si="600"/>
      </c>
      <c r="BQ289" s="552">
        <f>BQ288/BQ281-1</f>
      </c>
      <c r="BR289" s="552">
        <f>BR288/BR281-1</f>
      </c>
      <c r="BS289" s="991">
        <f>BS288/BS281-1</f>
      </c>
      <c r="BT289" s="688">
        <f>BT288/BT281-1</f>
      </c>
      <c r="BU289" s="552"/>
      <c r="BV289" s="552"/>
      <c r="BW289" s="552"/>
      <c r="BX289" s="991"/>
      <c r="BY289" s="552"/>
      <c r="BZ289" s="552"/>
      <c r="CA289" s="552"/>
      <c r="CB289" s="552"/>
      <c r="CC289" s="991"/>
      <c r="CD289" s="991"/>
      <c r="CE289" s="991"/>
      <c r="CF289" s="991"/>
      <c r="CG289" s="553"/>
    </row>
    <row r="290" spans="1:85" s="593" customFormat="1" hidden="1" outlineLevel="1" x14ac:dyDescent="0.3">
      <c r="A290" s="550" t="s">
        <v>2236</v>
      </c>
      <c r="B290" s="551"/>
      <c r="C290" s="991"/>
      <c r="D290" s="991"/>
      <c r="E290" s="991"/>
      <c r="F290" s="991"/>
      <c r="G290" s="552"/>
      <c r="H290" s="552"/>
      <c r="I290" s="552"/>
      <c r="J290" s="552"/>
      <c r="K290" s="991"/>
      <c r="L290" s="552"/>
      <c r="M290" s="552"/>
      <c r="N290" s="552"/>
      <c r="O290" s="552"/>
      <c r="P290" s="991"/>
      <c r="Q290" s="552"/>
      <c r="R290" s="552"/>
      <c r="S290" s="552"/>
      <c r="T290" s="552"/>
      <c r="U290" s="991"/>
      <c r="V290" s="552"/>
      <c r="W290" s="552"/>
      <c r="X290" s="552"/>
      <c r="Y290" s="552"/>
      <c r="Z290" s="991"/>
      <c r="AA290" s="552"/>
      <c r="AB290" s="552"/>
      <c r="AC290" s="552"/>
      <c r="AD290" s="552"/>
      <c r="AE290" s="991"/>
      <c r="AF290" s="552"/>
      <c r="AG290" s="552"/>
      <c r="AH290" s="552"/>
      <c r="AI290" s="552"/>
      <c r="AJ290" s="991"/>
      <c r="AK290" s="552"/>
      <c r="AL290" s="552"/>
      <c r="AM290" s="552"/>
      <c r="AN290" s="552"/>
      <c r="AO290" s="991"/>
      <c r="AP290" s="552"/>
      <c r="AQ290" s="552"/>
      <c r="AR290" s="552"/>
      <c r="AS290" s="552"/>
      <c r="AT290" s="991"/>
      <c r="AU290" s="552"/>
      <c r="AV290" s="552"/>
      <c r="AW290" s="552"/>
      <c r="AX290" s="552"/>
      <c r="AY290" s="991"/>
      <c r="AZ290" s="552"/>
      <c r="BA290" s="552"/>
      <c r="BB290" s="552"/>
      <c r="BC290" s="552"/>
      <c r="BD290" s="991"/>
      <c r="BE290" s="552"/>
      <c r="BF290" s="552"/>
      <c r="BG290" s="552"/>
      <c r="BH290" s="552"/>
      <c r="BI290" s="991"/>
      <c r="BJ290" s="552">
        <f t="shared" ref="BJ290:BP290" si="601">BJ284/BJ283</f>
      </c>
      <c r="BK290" s="552">
        <f t="shared" si="601"/>
      </c>
      <c r="BL290" s="552">
        <f t="shared" si="601"/>
      </c>
      <c r="BM290" s="552">
        <f t="shared" si="601"/>
      </c>
      <c r="BN290" s="991">
        <f t="shared" si="601"/>
      </c>
      <c r="BO290" s="552">
        <f t="shared" si="601"/>
      </c>
      <c r="BP290" s="552">
        <f t="shared" si="601"/>
      </c>
      <c r="BQ290" s="552">
        <f>BQ284/BQ283</f>
      </c>
      <c r="BR290" s="552">
        <f>BR284/BR283</f>
      </c>
      <c r="BS290" s="991">
        <f>BS284/BS283</f>
      </c>
      <c r="BT290" s="688">
        <f>BT284/BT283</f>
      </c>
      <c r="BU290" s="552"/>
      <c r="BV290" s="552"/>
      <c r="BW290" s="552"/>
      <c r="BX290" s="991"/>
      <c r="BY290" s="552"/>
      <c r="BZ290" s="552"/>
      <c r="CA290" s="552"/>
      <c r="CB290" s="552"/>
      <c r="CC290" s="991"/>
      <c r="CD290" s="991"/>
      <c r="CE290" s="991"/>
      <c r="CF290" s="991"/>
      <c r="CG290" s="553"/>
    </row>
    <row r="291" spans="1:85" s="582" customFormat="1" hidden="1" outlineLevel="1" x14ac:dyDescent="0.3">
      <c r="A291" s="244"/>
      <c r="B291" s="245"/>
      <c r="C291" s="933"/>
      <c r="D291" s="933"/>
      <c r="E291" s="933"/>
      <c r="F291" s="933"/>
      <c r="G291" s="200"/>
      <c r="H291" s="200"/>
      <c r="I291" s="200"/>
      <c r="J291" s="200"/>
      <c r="K291" s="933"/>
      <c r="L291" s="200"/>
      <c r="M291" s="200"/>
      <c r="N291" s="200"/>
      <c r="O291" s="200"/>
      <c r="P291" s="933"/>
      <c r="Q291" s="200"/>
      <c r="R291" s="200"/>
      <c r="S291" s="200"/>
      <c r="T291" s="200"/>
      <c r="U291" s="933"/>
      <c r="V291" s="200"/>
      <c r="W291" s="200"/>
      <c r="X291" s="200"/>
      <c r="Y291" s="200"/>
      <c r="Z291" s="933"/>
      <c r="AA291" s="200"/>
      <c r="AB291" s="200"/>
      <c r="AC291" s="200"/>
      <c r="AD291" s="200"/>
      <c r="AE291" s="933"/>
      <c r="AF291" s="200"/>
      <c r="AG291" s="200"/>
      <c r="AH291" s="200"/>
      <c r="AI291" s="200"/>
      <c r="AJ291" s="933"/>
      <c r="AK291" s="200"/>
      <c r="AL291" s="200"/>
      <c r="AM291" s="200"/>
      <c r="AN291" s="200"/>
      <c r="AO291" s="933"/>
      <c r="AP291" s="200"/>
      <c r="AQ291" s="200"/>
      <c r="AR291" s="200"/>
      <c r="AS291" s="200"/>
      <c r="AT291" s="933"/>
      <c r="AU291" s="200"/>
      <c r="AV291" s="200"/>
      <c r="AW291" s="200"/>
      <c r="AX291" s="200"/>
      <c r="AY291" s="933"/>
      <c r="AZ291" s="200"/>
      <c r="BA291" s="200"/>
      <c r="BB291" s="200"/>
      <c r="BC291" s="200"/>
      <c r="BD291" s="933"/>
      <c r="BE291" s="200"/>
      <c r="BF291" s="200"/>
      <c r="BG291" s="200"/>
      <c r="BH291" s="200"/>
      <c r="BI291" s="933"/>
      <c r="BJ291" s="200"/>
      <c r="BK291" s="200"/>
      <c r="BL291" s="200"/>
      <c r="BM291" s="200"/>
      <c r="BN291" s="933"/>
      <c r="BO291" s="200"/>
      <c r="BP291" s="200"/>
      <c r="BQ291" s="200"/>
      <c r="BR291" s="200"/>
      <c r="BS291" s="933"/>
      <c r="BT291" s="295"/>
      <c r="BU291" s="200"/>
      <c r="BV291" s="200"/>
      <c r="BW291" s="200"/>
      <c r="BX291" s="933"/>
      <c r="BY291" s="200"/>
      <c r="BZ291" s="200"/>
      <c r="CA291" s="200"/>
      <c r="CB291" s="200"/>
      <c r="CC291" s="933"/>
      <c r="CD291" s="933"/>
      <c r="CE291" s="933"/>
      <c r="CF291" s="933"/>
      <c r="CG291" s="131"/>
    </row>
    <row r="292" spans="1:85" s="585" customFormat="1" hidden="1" outlineLevel="1" x14ac:dyDescent="0.3">
      <c r="A292" s="4" t="s">
        <v>2218</v>
      </c>
      <c r="B292" s="250"/>
      <c r="C292" s="969"/>
      <c r="D292" s="969"/>
      <c r="E292" s="969"/>
      <c r="F292" s="969"/>
      <c r="G292" s="759"/>
      <c r="H292" s="759"/>
      <c r="I292" s="759"/>
      <c r="J292" s="759"/>
      <c r="K292" s="969"/>
      <c r="L292" s="759"/>
      <c r="M292" s="759"/>
      <c r="N292" s="759"/>
      <c r="O292" s="759"/>
      <c r="P292" s="969"/>
      <c r="Q292" s="759"/>
      <c r="R292" s="759"/>
      <c r="S292" s="759"/>
      <c r="T292" s="759"/>
      <c r="U292" s="969"/>
      <c r="V292" s="759"/>
      <c r="W292" s="759"/>
      <c r="X292" s="759"/>
      <c r="Y292" s="759"/>
      <c r="Z292" s="969"/>
      <c r="AA292" s="759"/>
      <c r="AB292" s="759"/>
      <c r="AC292" s="759"/>
      <c r="AD292" s="759"/>
      <c r="AE292" s="969"/>
      <c r="AF292" s="759"/>
      <c r="AG292" s="759"/>
      <c r="AH292" s="759"/>
      <c r="AI292" s="759"/>
      <c r="AJ292" s="969"/>
      <c r="AK292" s="759"/>
      <c r="AL292" s="759"/>
      <c r="AM292" s="759"/>
      <c r="AN292" s="759"/>
      <c r="AO292" s="969"/>
      <c r="AP292" s="759"/>
      <c r="AQ292" s="759"/>
      <c r="AR292" s="759"/>
      <c r="AS292" s="759"/>
      <c r="AT292" s="969"/>
      <c r="AU292" s="759"/>
      <c r="AV292" s="759"/>
      <c r="AW292" s="759"/>
      <c r="AX292" s="759"/>
      <c r="AY292" s="969"/>
      <c r="AZ292" s="759"/>
      <c r="BA292" s="759"/>
      <c r="BB292" s="759"/>
      <c r="BC292" s="759"/>
      <c r="BD292" s="969"/>
      <c r="BE292" s="759"/>
      <c r="BF292" s="759"/>
      <c r="BG292" s="759"/>
      <c r="BH292" s="759"/>
      <c r="BI292" s="969"/>
      <c r="BJ292" s="759">
        <f t="shared" ref="BJ292:BO292" si="602">BE299</f>
      </c>
      <c r="BK292" s="759">
        <f t="shared" si="602"/>
      </c>
      <c r="BL292" s="759">
        <f t="shared" si="602"/>
      </c>
      <c r="BM292" s="759">
        <f t="shared" si="602"/>
      </c>
      <c r="BN292" s="969">
        <f t="shared" si="602"/>
      </c>
      <c r="BO292" s="759">
        <f t="shared" si="602"/>
      </c>
      <c r="BP292" s="759">
        <f>BK299</f>
      </c>
      <c r="BQ292" s="759">
        <f>BL299</f>
      </c>
      <c r="BR292" s="759">
        <f>BM299</f>
      </c>
      <c r="BS292" s="969">
        <f>BN299</f>
      </c>
      <c r="BT292" s="760">
        <f>BO299</f>
      </c>
      <c r="BU292" s="759"/>
      <c r="BV292" s="759"/>
      <c r="BW292" s="759"/>
      <c r="BX292" s="969"/>
      <c r="BY292" s="759"/>
      <c r="BZ292" s="759"/>
      <c r="CA292" s="759"/>
      <c r="CB292" s="759"/>
      <c r="CC292" s="969"/>
      <c r="CD292" s="969"/>
      <c r="CE292" s="969"/>
      <c r="CF292" s="969"/>
      <c r="CG292" s="183"/>
    </row>
    <row r="293" spans="1:85" s="587" customFormat="1" hidden="1" outlineLevel="1" x14ac:dyDescent="0.3">
      <c r="A293" s="182" t="s">
        <v>2376</v>
      </c>
      <c r="B293" s="430"/>
      <c r="C293" s="962"/>
      <c r="D293" s="962"/>
      <c r="E293" s="962"/>
      <c r="F293" s="962"/>
      <c r="G293" s="757"/>
      <c r="H293" s="757"/>
      <c r="I293" s="757"/>
      <c r="J293" s="757"/>
      <c r="K293" s="962"/>
      <c r="L293" s="757"/>
      <c r="M293" s="757"/>
      <c r="N293" s="757"/>
      <c r="O293" s="757"/>
      <c r="P293" s="962"/>
      <c r="Q293" s="757"/>
      <c r="R293" s="757"/>
      <c r="S293" s="757"/>
      <c r="T293" s="757"/>
      <c r="U293" s="962"/>
      <c r="V293" s="757"/>
      <c r="W293" s="757"/>
      <c r="X293" s="757"/>
      <c r="Y293" s="757"/>
      <c r="Z293" s="962"/>
      <c r="AA293" s="757"/>
      <c r="AB293" s="757"/>
      <c r="AC293" s="757"/>
      <c r="AD293" s="757"/>
      <c r="AE293" s="962"/>
      <c r="AF293" s="757"/>
      <c r="AG293" s="757"/>
      <c r="AH293" s="757"/>
      <c r="AI293" s="757"/>
      <c r="AJ293" s="962"/>
      <c r="AK293" s="757"/>
      <c r="AL293" s="757"/>
      <c r="AM293" s="757"/>
      <c r="AN293" s="757"/>
      <c r="AO293" s="962"/>
      <c r="AP293" s="757"/>
      <c r="AQ293" s="757"/>
      <c r="AR293" s="757"/>
      <c r="AS293" s="757"/>
      <c r="AT293" s="962"/>
      <c r="AU293" s="757"/>
      <c r="AV293" s="757"/>
      <c r="AW293" s="757"/>
      <c r="AX293" s="757"/>
      <c r="AY293" s="962"/>
      <c r="AZ293" s="757"/>
      <c r="BA293" s="757"/>
      <c r="BB293" s="757"/>
      <c r="BC293" s="757"/>
      <c r="BD293" s="962"/>
      <c r="BE293" s="757"/>
      <c r="BF293" s="757"/>
      <c r="BG293" s="757"/>
      <c r="BH293" s="757"/>
      <c r="BI293" s="962"/>
      <c r="BJ293" s="857">
        <v>0</v>
      </c>
      <c r="BK293" s="857">
        <v>0</v>
      </c>
      <c r="BL293" s="857">
        <v>0</v>
      </c>
      <c r="BM293" s="857">
        <v>0</v>
      </c>
      <c r="BN293" s="962">
        <f>SUM(BJ293,BK293,BL293,BM293)</f>
      </c>
      <c r="BO293" s="757">
        <f>BJ298</f>
      </c>
      <c r="BP293" s="757">
        <f>BK298</f>
      </c>
      <c r="BQ293" s="757">
        <f>BL298</f>
      </c>
      <c r="BR293" s="757">
        <f>BM298</f>
      </c>
      <c r="BS293" s="962">
        <f>SUM(BO293,BP293,BQ293,BR293)</f>
      </c>
      <c r="BT293" s="758">
        <f>BO298</f>
      </c>
      <c r="BU293" s="757"/>
      <c r="BV293" s="757"/>
      <c r="BW293" s="757"/>
      <c r="BX293" s="962"/>
      <c r="BY293" s="757"/>
      <c r="BZ293" s="757"/>
      <c r="CA293" s="757"/>
      <c r="CB293" s="757"/>
      <c r="CC293" s="962"/>
      <c r="CD293" s="962"/>
      <c r="CE293" s="962"/>
      <c r="CF293" s="962"/>
      <c r="CG293" s="459"/>
    </row>
    <row r="294" spans="1:85" s="587" customFormat="1" hidden="1" outlineLevel="1" x14ac:dyDescent="0.3">
      <c r="A294" s="2" t="s">
        <v>2237</v>
      </c>
      <c r="B294" s="426"/>
      <c r="C294" s="965"/>
      <c r="D294" s="965"/>
      <c r="E294" s="965"/>
      <c r="F294" s="965"/>
      <c r="G294" s="791"/>
      <c r="H294" s="791"/>
      <c r="I294" s="791"/>
      <c r="J294" s="791"/>
      <c r="K294" s="965"/>
      <c r="L294" s="791"/>
      <c r="M294" s="791"/>
      <c r="N294" s="791"/>
      <c r="O294" s="791"/>
      <c r="P294" s="965"/>
      <c r="Q294" s="791"/>
      <c r="R294" s="791"/>
      <c r="S294" s="791"/>
      <c r="T294" s="791"/>
      <c r="U294" s="965"/>
      <c r="V294" s="791"/>
      <c r="W294" s="791"/>
      <c r="X294" s="791"/>
      <c r="Y294" s="791"/>
      <c r="Z294" s="965"/>
      <c r="AA294" s="791"/>
      <c r="AB294" s="791"/>
      <c r="AC294" s="791"/>
      <c r="AD294" s="791"/>
      <c r="AE294" s="965"/>
      <c r="AF294" s="791"/>
      <c r="AG294" s="791"/>
      <c r="AH294" s="791"/>
      <c r="AI294" s="791"/>
      <c r="AJ294" s="965"/>
      <c r="AK294" s="791"/>
      <c r="AL294" s="791"/>
      <c r="AM294" s="791"/>
      <c r="AN294" s="791"/>
      <c r="AO294" s="965"/>
      <c r="AP294" s="791"/>
      <c r="AQ294" s="791"/>
      <c r="AR294" s="791"/>
      <c r="AS294" s="791"/>
      <c r="AT294" s="965"/>
      <c r="AU294" s="791"/>
      <c r="AV294" s="791"/>
      <c r="AW294" s="791"/>
      <c r="AX294" s="791"/>
      <c r="AY294" s="965"/>
      <c r="AZ294" s="791"/>
      <c r="BA294" s="791"/>
      <c r="BB294" s="791"/>
      <c r="BC294" s="791"/>
      <c r="BD294" s="965"/>
      <c r="BE294" s="791"/>
      <c r="BF294" s="791"/>
      <c r="BG294" s="791"/>
      <c r="BH294" s="791"/>
      <c r="BI294" s="965"/>
      <c r="BJ294" s="791">
        <f t="shared" ref="BJ294:BN294" si="603">SUM(BJ292:BJ293)</f>
      </c>
      <c r="BK294" s="791">
        <f t="shared" si="603"/>
      </c>
      <c r="BL294" s="791">
        <f t="shared" si="603"/>
      </c>
      <c r="BM294" s="791">
        <f t="shared" si="603"/>
      </c>
      <c r="BN294" s="965">
        <f t="shared" si="603"/>
      </c>
      <c r="BO294" s="791">
        <f t="shared" ref="BO294:BT294" si="604">SUM(BO292:BO293)</f>
      </c>
      <c r="BP294" s="791">
        <f t="shared" si="604"/>
      </c>
      <c r="BQ294" s="791">
        <f t="shared" si="604"/>
      </c>
      <c r="BR294" s="791">
        <f t="shared" si="604"/>
      </c>
      <c r="BS294" s="965">
        <f t="shared" si="604"/>
      </c>
      <c r="BT294" s="797">
        <f t="shared" si="604"/>
      </c>
      <c r="BU294" s="791"/>
      <c r="BV294" s="791"/>
      <c r="BW294" s="791"/>
      <c r="BX294" s="965"/>
      <c r="BY294" s="791"/>
      <c r="BZ294" s="791"/>
      <c r="CA294" s="791"/>
      <c r="CB294" s="791"/>
      <c r="CC294" s="965"/>
      <c r="CD294" s="965"/>
      <c r="CE294" s="965"/>
      <c r="CF294" s="965"/>
      <c r="CG294" s="459"/>
    </row>
    <row r="295" spans="1:85" s="587" customFormat="1" hidden="1" outlineLevel="1" x14ac:dyDescent="0.3">
      <c r="A295" s="182" t="s">
        <v>2238</v>
      </c>
      <c r="B295" s="430"/>
      <c r="C295" s="962"/>
      <c r="D295" s="962"/>
      <c r="E295" s="962"/>
      <c r="F295" s="962"/>
      <c r="G295" s="757"/>
      <c r="H295" s="757"/>
      <c r="I295" s="757"/>
      <c r="J295" s="757"/>
      <c r="K295" s="962"/>
      <c r="L295" s="757"/>
      <c r="M295" s="757"/>
      <c r="N295" s="757"/>
      <c r="O295" s="757"/>
      <c r="P295" s="962"/>
      <c r="Q295" s="757"/>
      <c r="R295" s="757"/>
      <c r="S295" s="757"/>
      <c r="T295" s="757"/>
      <c r="U295" s="962"/>
      <c r="V295" s="757"/>
      <c r="W295" s="757"/>
      <c r="X295" s="757"/>
      <c r="Y295" s="757"/>
      <c r="Z295" s="962"/>
      <c r="AA295" s="757"/>
      <c r="AB295" s="757"/>
      <c r="AC295" s="757"/>
      <c r="AD295" s="757"/>
      <c r="AE295" s="962"/>
      <c r="AF295" s="757"/>
      <c r="AG295" s="757"/>
      <c r="AH295" s="757"/>
      <c r="AI295" s="757"/>
      <c r="AJ295" s="962"/>
      <c r="AK295" s="757"/>
      <c r="AL295" s="757"/>
      <c r="AM295" s="757"/>
      <c r="AN295" s="757"/>
      <c r="AO295" s="962"/>
      <c r="AP295" s="757"/>
      <c r="AQ295" s="757"/>
      <c r="AR295" s="757"/>
      <c r="AS295" s="757"/>
      <c r="AT295" s="962"/>
      <c r="AU295" s="757"/>
      <c r="AV295" s="757"/>
      <c r="AW295" s="757"/>
      <c r="AX295" s="757"/>
      <c r="AY295" s="962"/>
      <c r="AZ295" s="757"/>
      <c r="BA295" s="757"/>
      <c r="BB295" s="757"/>
      <c r="BC295" s="757"/>
      <c r="BD295" s="962"/>
      <c r="BE295" s="757"/>
      <c r="BF295" s="757"/>
      <c r="BG295" s="757"/>
      <c r="BH295" s="757"/>
      <c r="BI295" s="962"/>
      <c r="BJ295" s="757">
        <f t="shared" ref="BJ295:BN295" si="605">BJ296-BJ294</f>
      </c>
      <c r="BK295" s="757">
        <f t="shared" si="605"/>
      </c>
      <c r="BL295" s="757">
        <f t="shared" si="605"/>
      </c>
      <c r="BM295" s="757">
        <f t="shared" si="605"/>
      </c>
      <c r="BN295" s="962">
        <f t="shared" si="605"/>
      </c>
      <c r="BO295" s="757">
        <f t="shared" ref="BO295:BT295" si="606">BO296-BO294</f>
      </c>
      <c r="BP295" s="757">
        <f t="shared" si="606"/>
      </c>
      <c r="BQ295" s="757">
        <f t="shared" si="606"/>
      </c>
      <c r="BR295" s="757">
        <f t="shared" si="606"/>
      </c>
      <c r="BS295" s="962">
        <f t="shared" si="606"/>
      </c>
      <c r="BT295" s="758">
        <f t="shared" si="606"/>
      </c>
      <c r="BU295" s="757"/>
      <c r="BV295" s="757"/>
      <c r="BW295" s="757"/>
      <c r="BX295" s="962"/>
      <c r="BY295" s="757"/>
      <c r="BZ295" s="757"/>
      <c r="CA295" s="757"/>
      <c r="CB295" s="757"/>
      <c r="CC295" s="962"/>
      <c r="CD295" s="962"/>
      <c r="CE295" s="962"/>
      <c r="CF295" s="962"/>
      <c r="CG295" s="459"/>
    </row>
    <row r="296" spans="1:85" s="587" customFormat="1" hidden="1" outlineLevel="1" x14ac:dyDescent="0.3">
      <c r="A296" s="2" t="s">
        <v>2239</v>
      </c>
      <c r="B296" s="426"/>
      <c r="C296" s="965"/>
      <c r="D296" s="965"/>
      <c r="E296" s="965"/>
      <c r="F296" s="965"/>
      <c r="G296" s="791"/>
      <c r="H296" s="791"/>
      <c r="I296" s="791"/>
      <c r="J296" s="791"/>
      <c r="K296" s="965"/>
      <c r="L296" s="791"/>
      <c r="M296" s="791"/>
      <c r="N296" s="791"/>
      <c r="O296" s="791"/>
      <c r="P296" s="965"/>
      <c r="Q296" s="791"/>
      <c r="R296" s="791"/>
      <c r="S296" s="791"/>
      <c r="T296" s="791"/>
      <c r="U296" s="965"/>
      <c r="V296" s="791"/>
      <c r="W296" s="791"/>
      <c r="X296" s="791"/>
      <c r="Y296" s="791"/>
      <c r="Z296" s="965"/>
      <c r="AA296" s="791"/>
      <c r="AB296" s="791"/>
      <c r="AC296" s="791"/>
      <c r="AD296" s="791"/>
      <c r="AE296" s="965"/>
      <c r="AF296" s="791"/>
      <c r="AG296" s="791"/>
      <c r="AH296" s="791"/>
      <c r="AI296" s="791"/>
      <c r="AJ296" s="965"/>
      <c r="AK296" s="791"/>
      <c r="AL296" s="791"/>
      <c r="AM296" s="791"/>
      <c r="AN296" s="791"/>
      <c r="AO296" s="965"/>
      <c r="AP296" s="791"/>
      <c r="AQ296" s="791"/>
      <c r="AR296" s="791"/>
      <c r="AS296" s="791"/>
      <c r="AT296" s="965"/>
      <c r="AU296" s="791"/>
      <c r="AV296" s="791"/>
      <c r="AW296" s="791"/>
      <c r="AX296" s="791"/>
      <c r="AY296" s="965"/>
      <c r="AZ296" s="791"/>
      <c r="BA296" s="791"/>
      <c r="BB296" s="791"/>
      <c r="BC296" s="791"/>
      <c r="BD296" s="965"/>
      <c r="BE296" s="791"/>
      <c r="BF296" s="791"/>
      <c r="BG296" s="791"/>
      <c r="BH296" s="791"/>
      <c r="BI296" s="965"/>
      <c r="BJ296" s="858">
        <v>1067.537</v>
      </c>
      <c r="BK296" s="858">
        <v>1093.8209999999999</v>
      </c>
      <c r="BL296" s="858">
        <v>1147.5160000000001</v>
      </c>
      <c r="BM296" s="858">
        <v>1192.261</v>
      </c>
      <c r="BN296" s="965">
        <f>SUM(BJ296,BK296,BL296,BM296)</f>
      </c>
      <c r="BO296" s="858">
        <v>1290.2529999999999</v>
      </c>
      <c r="BP296" s="858">
        <v>1276.8209999999999</v>
      </c>
      <c r="BQ296" s="858">
        <v>1345.492</v>
      </c>
      <c r="BR296" s="858">
        <v>1429.9490000000001</v>
      </c>
      <c r="BS296" s="965">
        <f>SUM(BO296,BP296,BQ296,BR296)</f>
      </c>
      <c r="BT296" s="859">
        <v>1456.202</v>
      </c>
      <c r="BU296" s="791"/>
      <c r="BV296" s="791"/>
      <c r="BW296" s="791"/>
      <c r="BX296" s="965"/>
      <c r="BY296" s="791"/>
      <c r="BZ296" s="791"/>
      <c r="CA296" s="791"/>
      <c r="CB296" s="791"/>
      <c r="CC296" s="965"/>
      <c r="CD296" s="965"/>
      <c r="CE296" s="965"/>
      <c r="CF296" s="965"/>
      <c r="CG296" s="459"/>
    </row>
    <row r="297" spans="1:85" s="587" customFormat="1" hidden="1" outlineLevel="1" x14ac:dyDescent="0.3">
      <c r="A297" s="182" t="s">
        <v>2250</v>
      </c>
      <c r="B297" s="430"/>
      <c r="C297" s="962"/>
      <c r="D297" s="962"/>
      <c r="E297" s="962"/>
      <c r="F297" s="962"/>
      <c r="G297" s="757"/>
      <c r="H297" s="757"/>
      <c r="I297" s="757"/>
      <c r="J297" s="757"/>
      <c r="K297" s="962"/>
      <c r="L297" s="757"/>
      <c r="M297" s="757"/>
      <c r="N297" s="757"/>
      <c r="O297" s="757"/>
      <c r="P297" s="962"/>
      <c r="Q297" s="757"/>
      <c r="R297" s="757"/>
      <c r="S297" s="757"/>
      <c r="T297" s="757"/>
      <c r="U297" s="962"/>
      <c r="V297" s="757"/>
      <c r="W297" s="757"/>
      <c r="X297" s="757"/>
      <c r="Y297" s="757"/>
      <c r="Z297" s="962"/>
      <c r="AA297" s="757"/>
      <c r="AB297" s="757"/>
      <c r="AC297" s="757"/>
      <c r="AD297" s="757"/>
      <c r="AE297" s="962"/>
      <c r="AF297" s="757"/>
      <c r="AG297" s="757"/>
      <c r="AH297" s="757"/>
      <c r="AI297" s="757"/>
      <c r="AJ297" s="962"/>
      <c r="AK297" s="757"/>
      <c r="AL297" s="757"/>
      <c r="AM297" s="757"/>
      <c r="AN297" s="757"/>
      <c r="AO297" s="962"/>
      <c r="AP297" s="757"/>
      <c r="AQ297" s="757"/>
      <c r="AR297" s="757"/>
      <c r="AS297" s="757"/>
      <c r="AT297" s="962"/>
      <c r="AU297" s="757"/>
      <c r="AV297" s="757"/>
      <c r="AW297" s="757"/>
      <c r="AX297" s="757"/>
      <c r="AY297" s="962"/>
      <c r="AZ297" s="757"/>
      <c r="BA297" s="757"/>
      <c r="BB297" s="757"/>
      <c r="BC297" s="757"/>
      <c r="BD297" s="962"/>
      <c r="BE297" s="757"/>
      <c r="BF297" s="757"/>
      <c r="BG297" s="757"/>
      <c r="BH297" s="757"/>
      <c r="BI297" s="962"/>
      <c r="BJ297" s="857">
        <v>45.155999999999999</v>
      </c>
      <c r="BK297" s="857">
        <v>55.003</v>
      </c>
      <c r="BL297" s="857">
        <v>28.055</v>
      </c>
      <c r="BM297" s="857">
        <v>-12.752000000000001</v>
      </c>
      <c r="BN297" s="962">
        <f>SUM(BJ297,BK297,BL297,BM297)</f>
      </c>
      <c r="BO297" s="857">
        <v>62.243000000000002</v>
      </c>
      <c r="BP297" s="857">
        <v>-16.166</v>
      </c>
      <c r="BQ297" s="857">
        <v>-14.75</v>
      </c>
      <c r="BR297" s="857">
        <v>28.413</v>
      </c>
      <c r="BS297" s="962">
        <f>SUM(BO297,BP297,BQ297,BR297)</f>
      </c>
      <c r="BT297" s="864">
        <v>-40.823</v>
      </c>
      <c r="BU297" s="757"/>
      <c r="BV297" s="757"/>
      <c r="BW297" s="757"/>
      <c r="BX297" s="962"/>
      <c r="BY297" s="757"/>
      <c r="BZ297" s="757"/>
      <c r="CA297" s="757"/>
      <c r="CB297" s="757"/>
      <c r="CC297" s="962"/>
      <c r="CD297" s="962"/>
      <c r="CE297" s="962"/>
      <c r="CF297" s="962"/>
      <c r="CG297" s="459"/>
    </row>
    <row r="298" spans="1:85" s="587" customFormat="1" hidden="1" outlineLevel="1" x14ac:dyDescent="0.3">
      <c r="A298" s="182" t="s">
        <v>2209</v>
      </c>
      <c r="B298" s="430"/>
      <c r="C298" s="962"/>
      <c r="D298" s="962"/>
      <c r="E298" s="962"/>
      <c r="F298" s="962"/>
      <c r="G298" s="757"/>
      <c r="H298" s="757"/>
      <c r="I298" s="757"/>
      <c r="J298" s="757"/>
      <c r="K298" s="962"/>
      <c r="L298" s="757"/>
      <c r="M298" s="757"/>
      <c r="N298" s="757"/>
      <c r="O298" s="757"/>
      <c r="P298" s="962"/>
      <c r="Q298" s="757"/>
      <c r="R298" s="757"/>
      <c r="S298" s="757"/>
      <c r="T298" s="757"/>
      <c r="U298" s="962"/>
      <c r="V298" s="757"/>
      <c r="W298" s="757"/>
      <c r="X298" s="757"/>
      <c r="Y298" s="757"/>
      <c r="Z298" s="962"/>
      <c r="AA298" s="757"/>
      <c r="AB298" s="757"/>
      <c r="AC298" s="757"/>
      <c r="AD298" s="757"/>
      <c r="AE298" s="962"/>
      <c r="AF298" s="757"/>
      <c r="AG298" s="757"/>
      <c r="AH298" s="757"/>
      <c r="AI298" s="757"/>
      <c r="AJ298" s="962"/>
      <c r="AK298" s="757"/>
      <c r="AL298" s="757"/>
      <c r="AM298" s="757"/>
      <c r="AN298" s="757"/>
      <c r="AO298" s="962"/>
      <c r="AP298" s="757"/>
      <c r="AQ298" s="757"/>
      <c r="AR298" s="757"/>
      <c r="AS298" s="757"/>
      <c r="AT298" s="962"/>
      <c r="AU298" s="757"/>
      <c r="AV298" s="757"/>
      <c r="AW298" s="757"/>
      <c r="AX298" s="757"/>
      <c r="AY298" s="962"/>
      <c r="AZ298" s="757"/>
      <c r="BA298" s="757"/>
      <c r="BB298" s="757"/>
      <c r="BC298" s="757"/>
      <c r="BD298" s="962"/>
      <c r="BE298" s="757"/>
      <c r="BF298" s="757"/>
      <c r="BG298" s="757"/>
      <c r="BH298" s="757"/>
      <c r="BI298" s="962"/>
      <c r="BJ298" s="857">
        <v>-0.54300000000000004</v>
      </c>
      <c r="BK298" s="857">
        <v>-13.015000000000001</v>
      </c>
      <c r="BL298" s="857">
        <v>-8.4079999999999995</v>
      </c>
      <c r="BM298" s="857">
        <v>-7.1070000000000002</v>
      </c>
      <c r="BN298" s="962">
        <f>SUM(BJ298,BK298,BL298,BM298)</f>
      </c>
      <c r="BO298" s="857">
        <v>-31.082999999999998</v>
      </c>
      <c r="BP298" s="857">
        <v>-12.266</v>
      </c>
      <c r="BQ298" s="857">
        <v>-8.3190000000000008</v>
      </c>
      <c r="BR298" s="857">
        <v>-19.274000000000001</v>
      </c>
      <c r="BS298" s="962">
        <f>SUM(BO298,BP298,BQ298,BR298)</f>
      </c>
      <c r="BT298" s="864">
        <v>-11.957000000000001</v>
      </c>
      <c r="BU298" s="757"/>
      <c r="BV298" s="757"/>
      <c r="BW298" s="757"/>
      <c r="BX298" s="962"/>
      <c r="BY298" s="757"/>
      <c r="BZ298" s="757"/>
      <c r="CA298" s="757"/>
      <c r="CB298" s="757"/>
      <c r="CC298" s="962"/>
      <c r="CD298" s="962"/>
      <c r="CE298" s="962"/>
      <c r="CF298" s="962"/>
      <c r="CG298" s="459"/>
    </row>
    <row r="299" spans="1:85" s="587" customFormat="1" hidden="1" outlineLevel="1" x14ac:dyDescent="0.3">
      <c r="A299" s="2" t="s">
        <v>2217</v>
      </c>
      <c r="B299" s="426"/>
      <c r="C299" s="965"/>
      <c r="D299" s="965"/>
      <c r="E299" s="965"/>
      <c r="F299" s="965"/>
      <c r="G299" s="791"/>
      <c r="H299" s="791"/>
      <c r="I299" s="791"/>
      <c r="J299" s="791"/>
      <c r="K299" s="965"/>
      <c r="L299" s="791"/>
      <c r="M299" s="791"/>
      <c r="N299" s="791"/>
      <c r="O299" s="791"/>
      <c r="P299" s="965"/>
      <c r="Q299" s="791"/>
      <c r="R299" s="791"/>
      <c r="S299" s="791"/>
      <c r="T299" s="791"/>
      <c r="U299" s="965"/>
      <c r="V299" s="791"/>
      <c r="W299" s="791"/>
      <c r="X299" s="791"/>
      <c r="Y299" s="791"/>
      <c r="Z299" s="965"/>
      <c r="AA299" s="791">
        <f t="shared" ref="AA299:BI299" si="607">+AA191</f>
      </c>
      <c r="AB299" s="791">
        <f t="shared" si="607"/>
      </c>
      <c r="AC299" s="791">
        <f t="shared" si="607"/>
      </c>
      <c r="AD299" s="791">
        <f t="shared" si="607"/>
      </c>
      <c r="AE299" s="965">
        <f t="shared" si="607"/>
      </c>
      <c r="AF299" s="791">
        <f t="shared" si="607"/>
      </c>
      <c r="AG299" s="791">
        <f t="shared" si="607"/>
      </c>
      <c r="AH299" s="791">
        <f t="shared" si="607"/>
      </c>
      <c r="AI299" s="791">
        <f t="shared" si="607"/>
      </c>
      <c r="AJ299" s="965">
        <f t="shared" si="607"/>
      </c>
      <c r="AK299" s="791">
        <f t="shared" si="607"/>
      </c>
      <c r="AL299" s="791">
        <f t="shared" si="607"/>
      </c>
      <c r="AM299" s="791">
        <f t="shared" si="607"/>
      </c>
      <c r="AN299" s="791">
        <f t="shared" si="607"/>
      </c>
      <c r="AO299" s="965">
        <f t="shared" si="607"/>
      </c>
      <c r="AP299" s="791">
        <f t="shared" si="607"/>
      </c>
      <c r="AQ299" s="791">
        <f t="shared" si="607"/>
      </c>
      <c r="AR299" s="791">
        <f t="shared" si="607"/>
      </c>
      <c r="AS299" s="791">
        <f t="shared" si="607"/>
      </c>
      <c r="AT299" s="986">
        <f t="shared" si="607"/>
      </c>
      <c r="AU299" s="791">
        <f t="shared" si="607"/>
      </c>
      <c r="AV299" s="791">
        <f t="shared" si="607"/>
      </c>
      <c r="AW299" s="791">
        <f t="shared" si="607"/>
      </c>
      <c r="AX299" s="791">
        <f t="shared" si="607"/>
      </c>
      <c r="AY299" s="965">
        <f t="shared" si="607"/>
      </c>
      <c r="AZ299" s="791">
        <f t="shared" si="607"/>
      </c>
      <c r="BA299" s="791">
        <f t="shared" si="607"/>
      </c>
      <c r="BB299" s="791">
        <f t="shared" si="607"/>
      </c>
      <c r="BC299" s="791">
        <f t="shared" si="607"/>
      </c>
      <c r="BD299" s="965">
        <f t="shared" si="607"/>
      </c>
      <c r="BE299" s="791">
        <f t="shared" si="607"/>
      </c>
      <c r="BF299" s="791">
        <f t="shared" si="607"/>
      </c>
      <c r="BG299" s="791">
        <f t="shared" si="607"/>
      </c>
      <c r="BH299" s="791">
        <f t="shared" si="607"/>
      </c>
      <c r="BI299" s="965">
        <f t="shared" si="607"/>
      </c>
      <c r="BJ299" s="791">
        <f t="shared" ref="BJ299:BP299" si="608">BJ296-SUM(BJ297:BJ298)</f>
      </c>
      <c r="BK299" s="791">
        <f t="shared" si="608"/>
      </c>
      <c r="BL299" s="791">
        <f t="shared" si="608"/>
      </c>
      <c r="BM299" s="791">
        <f t="shared" si="608"/>
      </c>
      <c r="BN299" s="965">
        <f t="shared" si="608"/>
      </c>
      <c r="BO299" s="791">
        <f t="shared" si="608"/>
      </c>
      <c r="BP299" s="791">
        <f t="shared" si="608"/>
      </c>
      <c r="BQ299" s="791">
        <f>BQ296-SUM(BQ297:BQ298)</f>
      </c>
      <c r="BR299" s="791">
        <f>BR296-SUM(BR297:BR298)</f>
      </c>
      <c r="BS299" s="965">
        <f>BS296-SUM(BS297:BS298)</f>
      </c>
      <c r="BT299" s="797">
        <f>BT296-SUM(BT297:BT298)</f>
      </c>
      <c r="BU299" s="791"/>
      <c r="BV299" s="791"/>
      <c r="BW299" s="791"/>
      <c r="BX299" s="965"/>
      <c r="BY299" s="791"/>
      <c r="BZ299" s="791"/>
      <c r="CA299" s="791"/>
      <c r="CB299" s="791"/>
      <c r="CC299" s="965"/>
      <c r="CD299" s="965"/>
      <c r="CE299" s="965"/>
      <c r="CF299" s="965"/>
      <c r="CG299" s="459"/>
    </row>
    <row r="300" spans="1:85" s="593" customFormat="1" hidden="1" outlineLevel="1" x14ac:dyDescent="0.3">
      <c r="A300" s="550" t="s">
        <v>2240</v>
      </c>
      <c r="B300" s="551"/>
      <c r="C300" s="991"/>
      <c r="D300" s="991"/>
      <c r="E300" s="991"/>
      <c r="F300" s="991"/>
      <c r="G300" s="552"/>
      <c r="H300" s="552"/>
      <c r="I300" s="552"/>
      <c r="J300" s="552"/>
      <c r="K300" s="991"/>
      <c r="L300" s="552"/>
      <c r="M300" s="552"/>
      <c r="N300" s="552"/>
      <c r="O300" s="552"/>
      <c r="P300" s="991"/>
      <c r="Q300" s="552"/>
      <c r="R300" s="552"/>
      <c r="S300" s="552"/>
      <c r="T300" s="552"/>
      <c r="U300" s="991"/>
      <c r="V300" s="552"/>
      <c r="W300" s="552"/>
      <c r="X300" s="552"/>
      <c r="Y300" s="552"/>
      <c r="Z300" s="991"/>
      <c r="AA300" s="552"/>
      <c r="AB300" s="552"/>
      <c r="AC300" s="552"/>
      <c r="AD300" s="552"/>
      <c r="AE300" s="991"/>
      <c r="AF300" s="552"/>
      <c r="AG300" s="552"/>
      <c r="AH300" s="552"/>
      <c r="AI300" s="552"/>
      <c r="AJ300" s="991"/>
      <c r="AK300" s="552"/>
      <c r="AL300" s="552"/>
      <c r="AM300" s="552"/>
      <c r="AN300" s="552"/>
      <c r="AO300" s="991"/>
      <c r="AP300" s="552"/>
      <c r="AQ300" s="552"/>
      <c r="AR300" s="552"/>
      <c r="AS300" s="552"/>
      <c r="AT300" s="991"/>
      <c r="AU300" s="552"/>
      <c r="AV300" s="552"/>
      <c r="AW300" s="552"/>
      <c r="AX300" s="552"/>
      <c r="AY300" s="991"/>
      <c r="AZ300" s="552"/>
      <c r="BA300" s="552"/>
      <c r="BB300" s="552"/>
      <c r="BC300" s="552"/>
      <c r="BD300" s="991"/>
      <c r="BE300" s="552"/>
      <c r="BF300" s="552"/>
      <c r="BG300" s="552"/>
      <c r="BH300" s="552"/>
      <c r="BI300" s="991"/>
      <c r="BJ300" s="552">
        <f t="shared" ref="BJ300:BN300" si="609">BJ299/BJ292-1</f>
      </c>
      <c r="BK300" s="552">
        <f t="shared" si="609"/>
      </c>
      <c r="BL300" s="552">
        <f t="shared" si="609"/>
      </c>
      <c r="BM300" s="552">
        <f t="shared" si="609"/>
      </c>
      <c r="BN300" s="991">
        <f t="shared" si="609"/>
      </c>
      <c r="BO300" s="552">
        <f t="shared" ref="BO300:BT300" si="610">BO299/BO292-1</f>
      </c>
      <c r="BP300" s="552">
        <f t="shared" si="610"/>
      </c>
      <c r="BQ300" s="552">
        <f t="shared" si="610"/>
      </c>
      <c r="BR300" s="552">
        <f t="shared" si="610"/>
      </c>
      <c r="BS300" s="991">
        <f t="shared" si="610"/>
      </c>
      <c r="BT300" s="688">
        <f t="shared" si="610"/>
      </c>
      <c r="BU300" s="552"/>
      <c r="BV300" s="552"/>
      <c r="BW300" s="552"/>
      <c r="BX300" s="991"/>
      <c r="BY300" s="552"/>
      <c r="BZ300" s="552"/>
      <c r="CA300" s="552"/>
      <c r="CB300" s="552"/>
      <c r="CC300" s="991"/>
      <c r="CD300" s="991"/>
      <c r="CE300" s="991"/>
      <c r="CF300" s="991"/>
      <c r="CG300" s="553"/>
    </row>
    <row r="301" spans="1:85" s="593" customFormat="1" hidden="1" outlineLevel="1" x14ac:dyDescent="0.3">
      <c r="A301" s="550" t="s">
        <v>2241</v>
      </c>
      <c r="B301" s="551"/>
      <c r="C301" s="991"/>
      <c r="D301" s="991"/>
      <c r="E301" s="991"/>
      <c r="F301" s="991"/>
      <c r="G301" s="552"/>
      <c r="H301" s="552"/>
      <c r="I301" s="552"/>
      <c r="J301" s="552"/>
      <c r="K301" s="991"/>
      <c r="L301" s="552"/>
      <c r="M301" s="552"/>
      <c r="N301" s="552"/>
      <c r="O301" s="552"/>
      <c r="P301" s="991"/>
      <c r="Q301" s="552"/>
      <c r="R301" s="552"/>
      <c r="S301" s="552"/>
      <c r="T301" s="552"/>
      <c r="U301" s="991"/>
      <c r="V301" s="552"/>
      <c r="W301" s="552"/>
      <c r="X301" s="552"/>
      <c r="Y301" s="552"/>
      <c r="Z301" s="991"/>
      <c r="AA301" s="552"/>
      <c r="AB301" s="552"/>
      <c r="AC301" s="552"/>
      <c r="AD301" s="552"/>
      <c r="AE301" s="991"/>
      <c r="AF301" s="552"/>
      <c r="AG301" s="552"/>
      <c r="AH301" s="552"/>
      <c r="AI301" s="552"/>
      <c r="AJ301" s="991"/>
      <c r="AK301" s="552"/>
      <c r="AL301" s="552"/>
      <c r="AM301" s="552"/>
      <c r="AN301" s="552"/>
      <c r="AO301" s="991"/>
      <c r="AP301" s="552"/>
      <c r="AQ301" s="552"/>
      <c r="AR301" s="552"/>
      <c r="AS301" s="552"/>
      <c r="AT301" s="991"/>
      <c r="AU301" s="552"/>
      <c r="AV301" s="552"/>
      <c r="AW301" s="552"/>
      <c r="AX301" s="552"/>
      <c r="AY301" s="991"/>
      <c r="AZ301" s="552"/>
      <c r="BA301" s="552"/>
      <c r="BB301" s="552"/>
      <c r="BC301" s="552"/>
      <c r="BD301" s="991"/>
      <c r="BE301" s="552"/>
      <c r="BF301" s="552"/>
      <c r="BG301" s="552"/>
      <c r="BH301" s="552"/>
      <c r="BI301" s="991"/>
      <c r="BJ301" s="552">
        <f t="shared" ref="BJ301:BN301" si="611">BJ295/BJ294</f>
      </c>
      <c r="BK301" s="552">
        <f t="shared" si="611"/>
      </c>
      <c r="BL301" s="552">
        <f t="shared" si="611"/>
      </c>
      <c r="BM301" s="552">
        <f t="shared" si="611"/>
      </c>
      <c r="BN301" s="991">
        <f t="shared" si="611"/>
      </c>
      <c r="BO301" s="552">
        <f t="shared" ref="BO301:BT301" si="612">BO295/BO294</f>
      </c>
      <c r="BP301" s="552">
        <f t="shared" si="612"/>
      </c>
      <c r="BQ301" s="552">
        <f t="shared" si="612"/>
      </c>
      <c r="BR301" s="552">
        <f t="shared" si="612"/>
      </c>
      <c r="BS301" s="991">
        <f t="shared" si="612"/>
      </c>
      <c r="BT301" s="688">
        <f t="shared" si="612"/>
      </c>
      <c r="BU301" s="552"/>
      <c r="BV301" s="552"/>
      <c r="BW301" s="552"/>
      <c r="BX301" s="991"/>
      <c r="BY301" s="552"/>
      <c r="BZ301" s="552"/>
      <c r="CA301" s="552"/>
      <c r="CB301" s="552"/>
      <c r="CC301" s="991"/>
      <c r="CD301" s="991"/>
      <c r="CE301" s="991"/>
      <c r="CF301" s="991"/>
      <c r="CG301" s="553"/>
    </row>
    <row r="302" spans="1:85" s="582" customFormat="1" hidden="1" outlineLevel="1" x14ac:dyDescent="0.3">
      <c r="A302" s="244"/>
      <c r="B302" s="245"/>
      <c r="C302" s="933"/>
      <c r="D302" s="933"/>
      <c r="E302" s="933"/>
      <c r="F302" s="933"/>
      <c r="G302" s="200"/>
      <c r="H302" s="200"/>
      <c r="I302" s="200"/>
      <c r="J302" s="200"/>
      <c r="K302" s="933"/>
      <c r="L302" s="200"/>
      <c r="M302" s="200"/>
      <c r="N302" s="200"/>
      <c r="O302" s="200"/>
      <c r="P302" s="933"/>
      <c r="Q302" s="200"/>
      <c r="R302" s="200"/>
      <c r="S302" s="200"/>
      <c r="T302" s="200"/>
      <c r="U302" s="933"/>
      <c r="V302" s="200"/>
      <c r="W302" s="200"/>
      <c r="X302" s="200"/>
      <c r="Y302" s="200"/>
      <c r="Z302" s="933"/>
      <c r="AA302" s="200"/>
      <c r="AB302" s="200"/>
      <c r="AC302" s="200"/>
      <c r="AD302" s="200"/>
      <c r="AE302" s="933"/>
      <c r="AF302" s="200"/>
      <c r="AG302" s="200"/>
      <c r="AH302" s="200"/>
      <c r="AI302" s="200"/>
      <c r="AJ302" s="933"/>
      <c r="AK302" s="200"/>
      <c r="AL302" s="200"/>
      <c r="AM302" s="200"/>
      <c r="AN302" s="200"/>
      <c r="AO302" s="933"/>
      <c r="AP302" s="200"/>
      <c r="AQ302" s="200"/>
      <c r="AR302" s="200"/>
      <c r="AS302" s="200"/>
      <c r="AT302" s="933"/>
      <c r="AU302" s="200"/>
      <c r="AV302" s="200"/>
      <c r="AW302" s="200"/>
      <c r="AX302" s="200"/>
      <c r="AY302" s="933"/>
      <c r="AZ302" s="200"/>
      <c r="BA302" s="200"/>
      <c r="BB302" s="200"/>
      <c r="BC302" s="200"/>
      <c r="BD302" s="933"/>
      <c r="BE302" s="200"/>
      <c r="BF302" s="200"/>
      <c r="BG302" s="200"/>
      <c r="BH302" s="200"/>
      <c r="BI302" s="933"/>
      <c r="BJ302" s="200"/>
      <c r="BK302" s="200"/>
      <c r="BL302" s="200"/>
      <c r="BM302" s="200"/>
      <c r="BN302" s="933"/>
      <c r="BO302" s="200"/>
      <c r="BP302" s="200"/>
      <c r="BQ302" s="200"/>
      <c r="BR302" s="200"/>
      <c r="BS302" s="933"/>
      <c r="BT302" s="295"/>
      <c r="BU302" s="200"/>
      <c r="BV302" s="200"/>
      <c r="BW302" s="200"/>
      <c r="BX302" s="933"/>
      <c r="BY302" s="200"/>
      <c r="BZ302" s="200"/>
      <c r="CA302" s="200"/>
      <c r="CB302" s="200"/>
      <c r="CC302" s="933"/>
      <c r="CD302" s="933"/>
      <c r="CE302" s="933"/>
      <c r="CF302" s="933"/>
      <c r="CG302" s="131"/>
    </row>
    <row r="303" spans="1:85" s="585" customFormat="1" hidden="1" outlineLevel="1" x14ac:dyDescent="0.3">
      <c r="A303" s="4" t="s">
        <v>2219</v>
      </c>
      <c r="B303" s="250"/>
      <c r="C303" s="969"/>
      <c r="D303" s="969"/>
      <c r="E303" s="969"/>
      <c r="F303" s="969"/>
      <c r="G303" s="759"/>
      <c r="H303" s="759"/>
      <c r="I303" s="759"/>
      <c r="J303" s="759"/>
      <c r="K303" s="969"/>
      <c r="L303" s="759"/>
      <c r="M303" s="759"/>
      <c r="N303" s="759"/>
      <c r="O303" s="759"/>
      <c r="P303" s="969"/>
      <c r="Q303" s="759"/>
      <c r="R303" s="759"/>
      <c r="S303" s="759"/>
      <c r="T303" s="759"/>
      <c r="U303" s="969"/>
      <c r="V303" s="759"/>
      <c r="W303" s="759"/>
      <c r="X303" s="759"/>
      <c r="Y303" s="759"/>
      <c r="Z303" s="969"/>
      <c r="AA303" s="759"/>
      <c r="AB303" s="759"/>
      <c r="AC303" s="759"/>
      <c r="AD303" s="759"/>
      <c r="AE303" s="969"/>
      <c r="AF303" s="759"/>
      <c r="AG303" s="759"/>
      <c r="AH303" s="759"/>
      <c r="AI303" s="759"/>
      <c r="AJ303" s="969"/>
      <c r="AK303" s="759"/>
      <c r="AL303" s="759"/>
      <c r="AM303" s="759"/>
      <c r="AN303" s="759"/>
      <c r="AO303" s="969"/>
      <c r="AP303" s="759"/>
      <c r="AQ303" s="759"/>
      <c r="AR303" s="759"/>
      <c r="AS303" s="759"/>
      <c r="AT303" s="969"/>
      <c r="AU303" s="759"/>
      <c r="AV303" s="759"/>
      <c r="AW303" s="759"/>
      <c r="AX303" s="759"/>
      <c r="AY303" s="969"/>
      <c r="AZ303" s="759"/>
      <c r="BA303" s="759"/>
      <c r="BB303" s="759"/>
      <c r="BC303" s="759"/>
      <c r="BD303" s="969"/>
      <c r="BE303" s="759"/>
      <c r="BF303" s="759"/>
      <c r="BG303" s="759"/>
      <c r="BH303" s="759"/>
      <c r="BI303" s="969"/>
      <c r="BJ303" s="759">
        <f>BE310</f>
      </c>
      <c r="BK303" s="759">
        <f>BF310</f>
      </c>
      <c r="BL303" s="759">
        <f>BG310</f>
      </c>
      <c r="BM303" s="759">
        <f>BH310</f>
      </c>
      <c r="BN303" s="969">
        <f>BI310</f>
      </c>
      <c r="BO303" s="759">
        <f t="shared" ref="BO303:BP303" si="613">BJ310</f>
      </c>
      <c r="BP303" s="759">
        <f t="shared" si="613"/>
      </c>
      <c r="BQ303" s="759">
        <f>BL310</f>
      </c>
      <c r="BR303" s="759">
        <f>BM310</f>
      </c>
      <c r="BS303" s="969">
        <f>BN310</f>
      </c>
      <c r="BT303" s="760">
        <f>BO310</f>
      </c>
      <c r="BU303" s="759"/>
      <c r="BV303" s="759"/>
      <c r="BW303" s="759"/>
      <c r="BX303" s="969"/>
      <c r="BY303" s="759"/>
      <c r="BZ303" s="759"/>
      <c r="CA303" s="759"/>
      <c r="CB303" s="759"/>
      <c r="CC303" s="969"/>
      <c r="CD303" s="969"/>
      <c r="CE303" s="969"/>
      <c r="CF303" s="969"/>
      <c r="CG303" s="183"/>
    </row>
    <row r="304" spans="1:85" s="587" customFormat="1" hidden="1" outlineLevel="1" x14ac:dyDescent="0.3">
      <c r="A304" s="182" t="s">
        <v>2377</v>
      </c>
      <c r="B304" s="430"/>
      <c r="C304" s="962"/>
      <c r="D304" s="962"/>
      <c r="E304" s="962"/>
      <c r="F304" s="962"/>
      <c r="G304" s="757"/>
      <c r="H304" s="757"/>
      <c r="I304" s="757"/>
      <c r="J304" s="757"/>
      <c r="K304" s="962"/>
      <c r="L304" s="757"/>
      <c r="M304" s="757"/>
      <c r="N304" s="757"/>
      <c r="O304" s="757"/>
      <c r="P304" s="962"/>
      <c r="Q304" s="757"/>
      <c r="R304" s="757"/>
      <c r="S304" s="757"/>
      <c r="T304" s="757"/>
      <c r="U304" s="962"/>
      <c r="V304" s="757"/>
      <c r="W304" s="757"/>
      <c r="X304" s="757"/>
      <c r="Y304" s="757"/>
      <c r="Z304" s="962"/>
      <c r="AA304" s="757"/>
      <c r="AB304" s="757"/>
      <c r="AC304" s="757"/>
      <c r="AD304" s="757"/>
      <c r="AE304" s="962"/>
      <c r="AF304" s="757"/>
      <c r="AG304" s="757"/>
      <c r="AH304" s="757"/>
      <c r="AI304" s="757"/>
      <c r="AJ304" s="962"/>
      <c r="AK304" s="757"/>
      <c r="AL304" s="757"/>
      <c r="AM304" s="757"/>
      <c r="AN304" s="757"/>
      <c r="AO304" s="962"/>
      <c r="AP304" s="757"/>
      <c r="AQ304" s="757"/>
      <c r="AR304" s="757"/>
      <c r="AS304" s="757"/>
      <c r="AT304" s="962"/>
      <c r="AU304" s="757"/>
      <c r="AV304" s="757"/>
      <c r="AW304" s="757"/>
      <c r="AX304" s="757"/>
      <c r="AY304" s="962"/>
      <c r="AZ304" s="757"/>
      <c r="BA304" s="757"/>
      <c r="BB304" s="757"/>
      <c r="BC304" s="757"/>
      <c r="BD304" s="962"/>
      <c r="BE304" s="757"/>
      <c r="BF304" s="757"/>
      <c r="BG304" s="757"/>
      <c r="BH304" s="757"/>
      <c r="BI304" s="962"/>
      <c r="BJ304" s="757">
        <f t="shared" ref="BJ304:BP304" si="614">BJ260+BJ271+BJ282+BJ293</f>
      </c>
      <c r="BK304" s="757">
        <f t="shared" si="614"/>
      </c>
      <c r="BL304" s="757">
        <f t="shared" si="614"/>
      </c>
      <c r="BM304" s="757">
        <f t="shared" si="614"/>
      </c>
      <c r="BN304" s="962">
        <f t="shared" si="614"/>
      </c>
      <c r="BO304" s="757">
        <f t="shared" si="614"/>
      </c>
      <c r="BP304" s="757">
        <f t="shared" si="614"/>
      </c>
      <c r="BQ304" s="757">
        <f>BQ260+BQ271+BQ282+BQ293</f>
      </c>
      <c r="BR304" s="757">
        <f>BR260+BR271+BR282+BR293</f>
      </c>
      <c r="BS304" s="962">
        <f>BS260+BS271+BS282+BS293</f>
      </c>
      <c r="BT304" s="758">
        <f>BT260+BT271+BT282+BT293</f>
      </c>
      <c r="BU304" s="757"/>
      <c r="BV304" s="757"/>
      <c r="BW304" s="757"/>
      <c r="BX304" s="962"/>
      <c r="BY304" s="757"/>
      <c r="BZ304" s="757"/>
      <c r="CA304" s="757"/>
      <c r="CB304" s="757"/>
      <c r="CC304" s="962"/>
      <c r="CD304" s="962"/>
      <c r="CE304" s="962"/>
      <c r="CF304" s="962"/>
      <c r="CG304" s="459"/>
    </row>
    <row r="305" spans="1:85" s="587" customFormat="1" hidden="1" outlineLevel="1" x14ac:dyDescent="0.3">
      <c r="A305" s="2" t="s">
        <v>2242</v>
      </c>
      <c r="B305" s="426"/>
      <c r="C305" s="965"/>
      <c r="D305" s="965"/>
      <c r="E305" s="965"/>
      <c r="F305" s="965"/>
      <c r="G305" s="791"/>
      <c r="H305" s="791"/>
      <c r="I305" s="791"/>
      <c r="J305" s="791"/>
      <c r="K305" s="965"/>
      <c r="L305" s="791"/>
      <c r="M305" s="791"/>
      <c r="N305" s="791"/>
      <c r="O305" s="791"/>
      <c r="P305" s="965"/>
      <c r="Q305" s="791"/>
      <c r="R305" s="791"/>
      <c r="S305" s="791"/>
      <c r="T305" s="791"/>
      <c r="U305" s="965"/>
      <c r="V305" s="791"/>
      <c r="W305" s="791"/>
      <c r="X305" s="791"/>
      <c r="Y305" s="791"/>
      <c r="Z305" s="965"/>
      <c r="AA305" s="791"/>
      <c r="AB305" s="791"/>
      <c r="AC305" s="791"/>
      <c r="AD305" s="791"/>
      <c r="AE305" s="965"/>
      <c r="AF305" s="791"/>
      <c r="AG305" s="791"/>
      <c r="AH305" s="791"/>
      <c r="AI305" s="791"/>
      <c r="AJ305" s="965"/>
      <c r="AK305" s="791"/>
      <c r="AL305" s="791"/>
      <c r="AM305" s="791"/>
      <c r="AN305" s="791"/>
      <c r="AO305" s="965"/>
      <c r="AP305" s="791"/>
      <c r="AQ305" s="791"/>
      <c r="AR305" s="791"/>
      <c r="AS305" s="791"/>
      <c r="AT305" s="965"/>
      <c r="AU305" s="791"/>
      <c r="AV305" s="791"/>
      <c r="AW305" s="791"/>
      <c r="AX305" s="791"/>
      <c r="AY305" s="965"/>
      <c r="AZ305" s="791"/>
      <c r="BA305" s="791"/>
      <c r="BB305" s="791"/>
      <c r="BC305" s="791"/>
      <c r="BD305" s="965"/>
      <c r="BE305" s="791"/>
      <c r="BF305" s="791"/>
      <c r="BG305" s="791"/>
      <c r="BH305" s="791"/>
      <c r="BI305" s="965"/>
      <c r="BJ305" s="791">
        <f t="shared" ref="BJ305:BP305" si="615">SUM(BJ303:BJ304)</f>
      </c>
      <c r="BK305" s="791">
        <f t="shared" si="615"/>
      </c>
      <c r="BL305" s="791">
        <f t="shared" si="615"/>
      </c>
      <c r="BM305" s="791">
        <f t="shared" si="615"/>
      </c>
      <c r="BN305" s="965">
        <f t="shared" si="615"/>
      </c>
      <c r="BO305" s="791">
        <f t="shared" si="615"/>
      </c>
      <c r="BP305" s="791">
        <f t="shared" si="615"/>
      </c>
      <c r="BQ305" s="791">
        <f>SUM(BQ303:BQ304)</f>
      </c>
      <c r="BR305" s="791">
        <f>SUM(BR303:BR304)</f>
      </c>
      <c r="BS305" s="965">
        <f>SUM(BS303:BS304)</f>
      </c>
      <c r="BT305" s="797">
        <f>SUM(BT303:BT304)</f>
      </c>
      <c r="BU305" s="791"/>
      <c r="BV305" s="791"/>
      <c r="BW305" s="791"/>
      <c r="BX305" s="965"/>
      <c r="BY305" s="791"/>
      <c r="BZ305" s="791"/>
      <c r="CA305" s="791"/>
      <c r="CB305" s="791"/>
      <c r="CC305" s="965"/>
      <c r="CD305" s="965"/>
      <c r="CE305" s="965"/>
      <c r="CF305" s="965"/>
      <c r="CG305" s="459"/>
    </row>
    <row r="306" spans="1:85" s="587" customFormat="1" hidden="1" outlineLevel="1" x14ac:dyDescent="0.3">
      <c r="A306" s="182" t="s">
        <v>2243</v>
      </c>
      <c r="B306" s="430"/>
      <c r="C306" s="962"/>
      <c r="D306" s="962"/>
      <c r="E306" s="962"/>
      <c r="F306" s="962"/>
      <c r="G306" s="757"/>
      <c r="H306" s="757"/>
      <c r="I306" s="757"/>
      <c r="J306" s="757"/>
      <c r="K306" s="962"/>
      <c r="L306" s="757"/>
      <c r="M306" s="757"/>
      <c r="N306" s="757"/>
      <c r="O306" s="757"/>
      <c r="P306" s="962"/>
      <c r="Q306" s="757"/>
      <c r="R306" s="757"/>
      <c r="S306" s="757"/>
      <c r="T306" s="757"/>
      <c r="U306" s="962"/>
      <c r="V306" s="757"/>
      <c r="W306" s="757"/>
      <c r="X306" s="757"/>
      <c r="Y306" s="757"/>
      <c r="Z306" s="962"/>
      <c r="AA306" s="757"/>
      <c r="AB306" s="757"/>
      <c r="AC306" s="757"/>
      <c r="AD306" s="757"/>
      <c r="AE306" s="962"/>
      <c r="AF306" s="757"/>
      <c r="AG306" s="757"/>
      <c r="AH306" s="757"/>
      <c r="AI306" s="757"/>
      <c r="AJ306" s="962"/>
      <c r="AK306" s="757"/>
      <c r="AL306" s="757"/>
      <c r="AM306" s="757"/>
      <c r="AN306" s="757"/>
      <c r="AO306" s="962"/>
      <c r="AP306" s="757"/>
      <c r="AQ306" s="757"/>
      <c r="AR306" s="757"/>
      <c r="AS306" s="757"/>
      <c r="AT306" s="962"/>
      <c r="AU306" s="757"/>
      <c r="AV306" s="757"/>
      <c r="AW306" s="757"/>
      <c r="AX306" s="757"/>
      <c r="AY306" s="962"/>
      <c r="AZ306" s="757"/>
      <c r="BA306" s="757"/>
      <c r="BB306" s="757"/>
      <c r="BC306" s="757"/>
      <c r="BD306" s="962"/>
      <c r="BE306" s="757"/>
      <c r="BF306" s="757"/>
      <c r="BG306" s="757"/>
      <c r="BH306" s="757"/>
      <c r="BI306" s="962"/>
      <c r="BJ306" s="757">
        <f t="shared" ref="BJ306:BP306" si="616">BJ307-BJ305</f>
      </c>
      <c r="BK306" s="757">
        <f t="shared" si="616"/>
      </c>
      <c r="BL306" s="757">
        <f t="shared" si="616"/>
      </c>
      <c r="BM306" s="757">
        <f t="shared" si="616"/>
      </c>
      <c r="BN306" s="962">
        <f t="shared" si="616"/>
      </c>
      <c r="BO306" s="757">
        <f t="shared" si="616"/>
      </c>
      <c r="BP306" s="757">
        <f t="shared" si="616"/>
      </c>
      <c r="BQ306" s="757">
        <f>BQ307-BQ305</f>
      </c>
      <c r="BR306" s="757">
        <f>BR307-BR305</f>
      </c>
      <c r="BS306" s="962">
        <f>BS307-BS305</f>
      </c>
      <c r="BT306" s="758">
        <f>BT307-BT305</f>
      </c>
      <c r="BU306" s="757"/>
      <c r="BV306" s="757"/>
      <c r="BW306" s="757"/>
      <c r="BX306" s="962"/>
      <c r="BY306" s="757"/>
      <c r="BZ306" s="757"/>
      <c r="CA306" s="757"/>
      <c r="CB306" s="757"/>
      <c r="CC306" s="962"/>
      <c r="CD306" s="962"/>
      <c r="CE306" s="962"/>
      <c r="CF306" s="962"/>
      <c r="CG306" s="459"/>
    </row>
    <row r="307" spans="1:85" s="587" customFormat="1" hidden="1" outlineLevel="1" x14ac:dyDescent="0.3">
      <c r="A307" s="2" t="s">
        <v>2244</v>
      </c>
      <c r="B307" s="426"/>
      <c r="C307" s="965"/>
      <c r="D307" s="965"/>
      <c r="E307" s="965"/>
      <c r="F307" s="965"/>
      <c r="G307" s="791"/>
      <c r="H307" s="791"/>
      <c r="I307" s="791"/>
      <c r="J307" s="791"/>
      <c r="K307" s="965"/>
      <c r="L307" s="791"/>
      <c r="M307" s="791"/>
      <c r="N307" s="791"/>
      <c r="O307" s="791"/>
      <c r="P307" s="965"/>
      <c r="Q307" s="791"/>
      <c r="R307" s="791"/>
      <c r="S307" s="791"/>
      <c r="T307" s="791"/>
      <c r="U307" s="965"/>
      <c r="V307" s="791"/>
      <c r="W307" s="791"/>
      <c r="X307" s="791"/>
      <c r="Y307" s="791"/>
      <c r="Z307" s="965"/>
      <c r="AA307" s="791"/>
      <c r="AB307" s="791"/>
      <c r="AC307" s="791"/>
      <c r="AD307" s="791"/>
      <c r="AE307" s="965"/>
      <c r="AF307" s="791"/>
      <c r="AG307" s="791"/>
      <c r="AH307" s="791"/>
      <c r="AI307" s="791"/>
      <c r="AJ307" s="965"/>
      <c r="AK307" s="791"/>
      <c r="AL307" s="791"/>
      <c r="AM307" s="791"/>
      <c r="AN307" s="791"/>
      <c r="AO307" s="965"/>
      <c r="AP307" s="791"/>
      <c r="AQ307" s="791"/>
      <c r="AR307" s="791"/>
      <c r="AS307" s="791"/>
      <c r="AT307" s="965"/>
      <c r="AU307" s="791"/>
      <c r="AV307" s="791"/>
      <c r="AW307" s="791"/>
      <c r="AX307" s="791"/>
      <c r="AY307" s="965"/>
      <c r="AZ307" s="791"/>
      <c r="BA307" s="791"/>
      <c r="BB307" s="791"/>
      <c r="BC307" s="791"/>
      <c r="BD307" s="965"/>
      <c r="BE307" s="791"/>
      <c r="BF307" s="791"/>
      <c r="BG307" s="791"/>
      <c r="BH307" s="791"/>
      <c r="BI307" s="965"/>
      <c r="BJ307" s="791">
        <f t="shared" ref="BJ307:BP309" si="617">BJ263+BJ274+BJ285+BJ296</f>
      </c>
      <c r="BK307" s="791">
        <f t="shared" si="617"/>
      </c>
      <c r="BL307" s="791">
        <f t="shared" si="617"/>
      </c>
      <c r="BM307" s="791">
        <f t="shared" si="617"/>
      </c>
      <c r="BN307" s="965">
        <f t="shared" si="617"/>
      </c>
      <c r="BO307" s="791">
        <f t="shared" si="617"/>
      </c>
      <c r="BP307" s="791">
        <f t="shared" si="617"/>
      </c>
      <c r="BQ307" s="791">
        <f t="shared" ref="BQ307:BS309" si="618">BQ263+BQ274+BQ285+BQ296</f>
      </c>
      <c r="BR307" s="791">
        <f t="shared" si="618"/>
      </c>
      <c r="BS307" s="965">
        <f t="shared" si="618"/>
      </c>
      <c r="BT307" s="797">
        <f>BT263+BT274+BT285+BT296</f>
      </c>
      <c r="BU307" s="791"/>
      <c r="BV307" s="791"/>
      <c r="BW307" s="791"/>
      <c r="BX307" s="965"/>
      <c r="BY307" s="791"/>
      <c r="BZ307" s="791"/>
      <c r="CA307" s="791"/>
      <c r="CB307" s="791"/>
      <c r="CC307" s="965"/>
      <c r="CD307" s="965"/>
      <c r="CE307" s="965"/>
      <c r="CF307" s="965"/>
      <c r="CG307" s="459"/>
    </row>
    <row r="308" spans="1:85" s="587" customFormat="1" hidden="1" outlineLevel="1" x14ac:dyDescent="0.3">
      <c r="A308" s="182" t="s">
        <v>2251</v>
      </c>
      <c r="B308" s="430"/>
      <c r="C308" s="962"/>
      <c r="D308" s="962"/>
      <c r="E308" s="962"/>
      <c r="F308" s="962"/>
      <c r="G308" s="757"/>
      <c r="H308" s="757"/>
      <c r="I308" s="757"/>
      <c r="J308" s="757"/>
      <c r="K308" s="962"/>
      <c r="L308" s="757"/>
      <c r="M308" s="757"/>
      <c r="N308" s="757"/>
      <c r="O308" s="757"/>
      <c r="P308" s="962"/>
      <c r="Q308" s="757"/>
      <c r="R308" s="757"/>
      <c r="S308" s="757"/>
      <c r="T308" s="757"/>
      <c r="U308" s="962"/>
      <c r="V308" s="757"/>
      <c r="W308" s="757"/>
      <c r="X308" s="757"/>
      <c r="Y308" s="757"/>
      <c r="Z308" s="962"/>
      <c r="AA308" s="757"/>
      <c r="AB308" s="757"/>
      <c r="AC308" s="757"/>
      <c r="AD308" s="757"/>
      <c r="AE308" s="962"/>
      <c r="AF308" s="757"/>
      <c r="AG308" s="757"/>
      <c r="AH308" s="757"/>
      <c r="AI308" s="757"/>
      <c r="AJ308" s="962"/>
      <c r="AK308" s="757"/>
      <c r="AL308" s="757"/>
      <c r="AM308" s="757"/>
      <c r="AN308" s="757"/>
      <c r="AO308" s="962"/>
      <c r="AP308" s="757"/>
      <c r="AQ308" s="757"/>
      <c r="AR308" s="757"/>
      <c r="AS308" s="757"/>
      <c r="AT308" s="962"/>
      <c r="AU308" s="757"/>
      <c r="AV308" s="757"/>
      <c r="AW308" s="757"/>
      <c r="AX308" s="757"/>
      <c r="AY308" s="962"/>
      <c r="AZ308" s="757"/>
      <c r="BA308" s="757"/>
      <c r="BB308" s="757"/>
      <c r="BC308" s="757"/>
      <c r="BD308" s="962"/>
      <c r="BE308" s="757"/>
      <c r="BF308" s="757"/>
      <c r="BG308" s="757"/>
      <c r="BH308" s="757"/>
      <c r="BI308" s="962"/>
      <c r="BJ308" s="757">
        <f t="shared" si="617"/>
      </c>
      <c r="BK308" s="757">
        <f t="shared" si="617"/>
      </c>
      <c r="BL308" s="757">
        <f t="shared" si="617"/>
      </c>
      <c r="BM308" s="757">
        <f t="shared" si="617"/>
      </c>
      <c r="BN308" s="962">
        <f t="shared" si="617"/>
      </c>
      <c r="BO308" s="757">
        <f t="shared" si="617"/>
      </c>
      <c r="BP308" s="757">
        <f t="shared" si="617"/>
      </c>
      <c r="BQ308" s="757">
        <f t="shared" si="618"/>
      </c>
      <c r="BR308" s="757">
        <f t="shared" si="618"/>
      </c>
      <c r="BS308" s="962">
        <f t="shared" si="618"/>
      </c>
      <c r="BT308" s="758">
        <f>BT264+BT275+BT286+BT297</f>
      </c>
      <c r="BU308" s="757"/>
      <c r="BV308" s="757"/>
      <c r="BW308" s="757"/>
      <c r="BX308" s="962"/>
      <c r="BY308" s="757"/>
      <c r="BZ308" s="757"/>
      <c r="CA308" s="757"/>
      <c r="CB308" s="757"/>
      <c r="CC308" s="962"/>
      <c r="CD308" s="962"/>
      <c r="CE308" s="962"/>
      <c r="CF308" s="962"/>
      <c r="CG308" s="459"/>
    </row>
    <row r="309" spans="1:85" s="587" customFormat="1" hidden="1" outlineLevel="1" x14ac:dyDescent="0.3">
      <c r="A309" s="182" t="s">
        <v>2220</v>
      </c>
      <c r="B309" s="430"/>
      <c r="C309" s="962"/>
      <c r="D309" s="962"/>
      <c r="E309" s="962"/>
      <c r="F309" s="962"/>
      <c r="G309" s="757"/>
      <c r="H309" s="757"/>
      <c r="I309" s="757"/>
      <c r="J309" s="757"/>
      <c r="K309" s="962"/>
      <c r="L309" s="757"/>
      <c r="M309" s="757"/>
      <c r="N309" s="757"/>
      <c r="O309" s="757"/>
      <c r="P309" s="962"/>
      <c r="Q309" s="757"/>
      <c r="R309" s="757"/>
      <c r="S309" s="757"/>
      <c r="T309" s="757"/>
      <c r="U309" s="962"/>
      <c r="V309" s="757"/>
      <c r="W309" s="757"/>
      <c r="X309" s="757"/>
      <c r="Y309" s="757"/>
      <c r="Z309" s="962"/>
      <c r="AA309" s="757"/>
      <c r="AB309" s="757"/>
      <c r="AC309" s="757"/>
      <c r="AD309" s="757"/>
      <c r="AE309" s="962"/>
      <c r="AF309" s="757"/>
      <c r="AG309" s="757"/>
      <c r="AH309" s="757"/>
      <c r="AI309" s="757"/>
      <c r="AJ309" s="962"/>
      <c r="AK309" s="757"/>
      <c r="AL309" s="757"/>
      <c r="AM309" s="757"/>
      <c r="AN309" s="757"/>
      <c r="AO309" s="962"/>
      <c r="AP309" s="757"/>
      <c r="AQ309" s="757"/>
      <c r="AR309" s="757"/>
      <c r="AS309" s="757"/>
      <c r="AT309" s="962"/>
      <c r="AU309" s="757"/>
      <c r="AV309" s="757"/>
      <c r="AW309" s="757"/>
      <c r="AX309" s="757"/>
      <c r="AY309" s="962"/>
      <c r="AZ309" s="757"/>
      <c r="BA309" s="757"/>
      <c r="BB309" s="757"/>
      <c r="BC309" s="757"/>
      <c r="BD309" s="962"/>
      <c r="BE309" s="757"/>
      <c r="BF309" s="757"/>
      <c r="BG309" s="757"/>
      <c r="BH309" s="757"/>
      <c r="BI309" s="962"/>
      <c r="BJ309" s="757">
        <f t="shared" si="617"/>
      </c>
      <c r="BK309" s="757">
        <f t="shared" si="617"/>
      </c>
      <c r="BL309" s="757">
        <f t="shared" si="617"/>
      </c>
      <c r="BM309" s="757">
        <f t="shared" si="617"/>
      </c>
      <c r="BN309" s="962">
        <f t="shared" si="617"/>
      </c>
      <c r="BO309" s="757">
        <f t="shared" si="617"/>
      </c>
      <c r="BP309" s="757">
        <f t="shared" si="617"/>
      </c>
      <c r="BQ309" s="757">
        <f t="shared" si="618"/>
      </c>
      <c r="BR309" s="757">
        <f t="shared" si="618"/>
      </c>
      <c r="BS309" s="962">
        <f t="shared" si="618"/>
      </c>
      <c r="BT309" s="758">
        <f>BT265+BT276+BT287+BT298</f>
      </c>
      <c r="BU309" s="757"/>
      <c r="BV309" s="757"/>
      <c r="BW309" s="757"/>
      <c r="BX309" s="962"/>
      <c r="BY309" s="757"/>
      <c r="BZ309" s="757"/>
      <c r="CA309" s="757"/>
      <c r="CB309" s="757"/>
      <c r="CC309" s="962"/>
      <c r="CD309" s="962"/>
      <c r="CE309" s="962"/>
      <c r="CF309" s="962"/>
      <c r="CG309" s="459"/>
    </row>
    <row r="310" spans="1:85" s="587" customFormat="1" hidden="1" outlineLevel="1" x14ac:dyDescent="0.3">
      <c r="A310" s="2" t="s">
        <v>2221</v>
      </c>
      <c r="B310" s="426"/>
      <c r="C310" s="965">
        <f t="shared" ref="C310:W310" si="619">+C416</f>
      </c>
      <c r="D310" s="965">
        <f t="shared" si="619"/>
      </c>
      <c r="E310" s="965">
        <f t="shared" si="619"/>
      </c>
      <c r="F310" s="965">
        <f t="shared" si="619"/>
      </c>
      <c r="G310" s="791">
        <f t="shared" si="619"/>
      </c>
      <c r="H310" s="791">
        <f t="shared" si="619"/>
      </c>
      <c r="I310" s="791">
        <f t="shared" si="619"/>
      </c>
      <c r="J310" s="791">
        <f t="shared" si="619"/>
      </c>
      <c r="K310" s="965">
        <f t="shared" si="619"/>
      </c>
      <c r="L310" s="791">
        <f t="shared" si="619"/>
      </c>
      <c r="M310" s="791">
        <f t="shared" si="619"/>
      </c>
      <c r="N310" s="791">
        <f t="shared" si="619"/>
      </c>
      <c r="O310" s="791">
        <f t="shared" si="619"/>
      </c>
      <c r="P310" s="965">
        <f t="shared" si="619"/>
      </c>
      <c r="Q310" s="791">
        <f t="shared" si="619"/>
      </c>
      <c r="R310" s="791">
        <f t="shared" si="619"/>
      </c>
      <c r="S310" s="791">
        <f t="shared" si="619"/>
      </c>
      <c r="T310" s="791">
        <f t="shared" si="619"/>
      </c>
      <c r="U310" s="965">
        <f t="shared" si="619"/>
      </c>
      <c r="V310" s="791">
        <f t="shared" si="619"/>
      </c>
      <c r="W310" s="791">
        <f t="shared" si="619"/>
      </c>
      <c r="X310" s="791">
        <f t="shared" ref="X310:BI310" si="620">+X416</f>
      </c>
      <c r="Y310" s="791">
        <f t="shared" si="620"/>
      </c>
      <c r="Z310" s="965">
        <f t="shared" si="620"/>
      </c>
      <c r="AA310" s="791">
        <f t="shared" si="620"/>
      </c>
      <c r="AB310" s="791">
        <f t="shared" si="620"/>
      </c>
      <c r="AC310" s="791">
        <f t="shared" si="620"/>
      </c>
      <c r="AD310" s="791">
        <f t="shared" si="620"/>
      </c>
      <c r="AE310" s="965">
        <f t="shared" si="620"/>
      </c>
      <c r="AF310" s="791">
        <f t="shared" si="620"/>
      </c>
      <c r="AG310" s="791">
        <f t="shared" si="620"/>
      </c>
      <c r="AH310" s="791">
        <f t="shared" si="620"/>
      </c>
      <c r="AI310" s="791">
        <f t="shared" si="620"/>
      </c>
      <c r="AJ310" s="965">
        <f t="shared" si="620"/>
      </c>
      <c r="AK310" s="791">
        <f t="shared" si="620"/>
      </c>
      <c r="AL310" s="791">
        <f t="shared" si="620"/>
      </c>
      <c r="AM310" s="791">
        <f t="shared" si="620"/>
      </c>
      <c r="AN310" s="791">
        <f t="shared" si="620"/>
      </c>
      <c r="AO310" s="965">
        <f t="shared" si="620"/>
      </c>
      <c r="AP310" s="791">
        <f t="shared" si="620"/>
      </c>
      <c r="AQ310" s="791">
        <f t="shared" si="620"/>
      </c>
      <c r="AR310" s="791">
        <f t="shared" si="620"/>
      </c>
      <c r="AS310" s="791">
        <f t="shared" si="620"/>
      </c>
      <c r="AT310" s="986">
        <f t="shared" si="620"/>
      </c>
      <c r="AU310" s="791">
        <f t="shared" si="620"/>
      </c>
      <c r="AV310" s="791">
        <f t="shared" si="620"/>
      </c>
      <c r="AW310" s="791">
        <f t="shared" si="620"/>
      </c>
      <c r="AX310" s="791">
        <f t="shared" si="620"/>
      </c>
      <c r="AY310" s="965">
        <f t="shared" si="620"/>
      </c>
      <c r="AZ310" s="791">
        <f t="shared" si="620"/>
      </c>
      <c r="BA310" s="791">
        <f t="shared" si="620"/>
      </c>
      <c r="BB310" s="791">
        <f t="shared" si="620"/>
      </c>
      <c r="BC310" s="791">
        <f t="shared" si="620"/>
      </c>
      <c r="BD310" s="965">
        <f t="shared" si="620"/>
      </c>
      <c r="BE310" s="791">
        <f t="shared" si="620"/>
      </c>
      <c r="BF310" s="791">
        <f t="shared" si="620"/>
      </c>
      <c r="BG310" s="791">
        <f t="shared" si="620"/>
      </c>
      <c r="BH310" s="791">
        <f t="shared" si="620"/>
      </c>
      <c r="BI310" s="965">
        <f t="shared" si="620"/>
      </c>
      <c r="BJ310" s="791">
        <f t="shared" ref="BJ310:BP310" si="621">BJ307-SUM(BJ308:BJ309)</f>
      </c>
      <c r="BK310" s="791">
        <f t="shared" si="621"/>
      </c>
      <c r="BL310" s="791">
        <f t="shared" si="621"/>
      </c>
      <c r="BM310" s="791">
        <f t="shared" si="621"/>
      </c>
      <c r="BN310" s="965">
        <f t="shared" si="621"/>
      </c>
      <c r="BO310" s="791">
        <f t="shared" si="621"/>
      </c>
      <c r="BP310" s="791">
        <f t="shared" si="621"/>
      </c>
      <c r="BQ310" s="791">
        <f>BQ307-SUM(BQ308:BQ309)</f>
      </c>
      <c r="BR310" s="791">
        <f>BR307-SUM(BR308:BR309)</f>
      </c>
      <c r="BS310" s="965">
        <f>BS307-SUM(BS308:BS309)</f>
      </c>
      <c r="BT310" s="797">
        <f>BT307-SUM(BT308:BT309)</f>
      </c>
      <c r="BU310" s="791"/>
      <c r="BV310" s="791"/>
      <c r="BW310" s="791"/>
      <c r="BX310" s="965"/>
      <c r="BY310" s="791"/>
      <c r="BZ310" s="791"/>
      <c r="CA310" s="791"/>
      <c r="CB310" s="791"/>
      <c r="CC310" s="965"/>
      <c r="CD310" s="965"/>
      <c r="CE310" s="965"/>
      <c r="CF310" s="965"/>
      <c r="CG310" s="459"/>
    </row>
    <row r="311" spans="1:85" s="593" customFormat="1" hidden="1" outlineLevel="1" x14ac:dyDescent="0.3">
      <c r="A311" s="550" t="s">
        <v>2245</v>
      </c>
      <c r="B311" s="551"/>
      <c r="C311" s="991"/>
      <c r="D311" s="991">
        <f>D33</f>
      </c>
      <c r="E311" s="991">
        <f>E33</f>
      </c>
      <c r="F311" s="991">
        <f>F33</f>
      </c>
      <c r="G311" s="552"/>
      <c r="H311" s="552"/>
      <c r="I311" s="552"/>
      <c r="J311" s="552"/>
      <c r="K311" s="991">
        <f t="shared" ref="K311:AP311" si="622">K33</f>
      </c>
      <c r="L311" s="552">
        <f t="shared" si="622"/>
      </c>
      <c r="M311" s="552">
        <f t="shared" si="622"/>
      </c>
      <c r="N311" s="552">
        <f t="shared" si="622"/>
      </c>
      <c r="O311" s="552">
        <f t="shared" si="622"/>
      </c>
      <c r="P311" s="991">
        <f t="shared" si="622"/>
      </c>
      <c r="Q311" s="552">
        <f t="shared" si="622"/>
      </c>
      <c r="R311" s="552">
        <f t="shared" si="622"/>
      </c>
      <c r="S311" s="552">
        <f t="shared" si="622"/>
      </c>
      <c r="T311" s="552">
        <f t="shared" si="622"/>
      </c>
      <c r="U311" s="991">
        <f t="shared" si="622"/>
      </c>
      <c r="V311" s="552">
        <f t="shared" si="622"/>
      </c>
      <c r="W311" s="552">
        <f t="shared" si="622"/>
      </c>
      <c r="X311" s="552">
        <f t="shared" si="622"/>
      </c>
      <c r="Y311" s="552">
        <f t="shared" si="622"/>
      </c>
      <c r="Z311" s="991">
        <f t="shared" si="622"/>
      </c>
      <c r="AA311" s="552">
        <f t="shared" si="622"/>
      </c>
      <c r="AB311" s="552">
        <f t="shared" si="622"/>
      </c>
      <c r="AC311" s="552">
        <f t="shared" si="622"/>
      </c>
      <c r="AD311" s="552">
        <f t="shared" si="622"/>
      </c>
      <c r="AE311" s="991">
        <f t="shared" si="622"/>
      </c>
      <c r="AF311" s="552">
        <f t="shared" si="622"/>
      </c>
      <c r="AG311" s="552">
        <f t="shared" si="622"/>
      </c>
      <c r="AH311" s="552">
        <f t="shared" si="622"/>
      </c>
      <c r="AI311" s="552">
        <f t="shared" si="622"/>
      </c>
      <c r="AJ311" s="991">
        <f t="shared" si="622"/>
      </c>
      <c r="AK311" s="552">
        <f t="shared" si="622"/>
      </c>
      <c r="AL311" s="552">
        <f t="shared" si="622"/>
      </c>
      <c r="AM311" s="552">
        <f t="shared" si="622"/>
      </c>
      <c r="AN311" s="552">
        <f t="shared" si="622"/>
      </c>
      <c r="AO311" s="991">
        <f t="shared" si="622"/>
      </c>
      <c r="AP311" s="552">
        <f t="shared" si="622"/>
      </c>
      <c r="AQ311" s="552">
        <f t="shared" ref="AQ311:BI311" si="623">AQ33</f>
      </c>
      <c r="AR311" s="552">
        <f t="shared" si="623"/>
      </c>
      <c r="AS311" s="552">
        <f t="shared" si="623"/>
      </c>
      <c r="AT311" s="992">
        <f t="shared" si="623"/>
      </c>
      <c r="AU311" s="552">
        <f t="shared" si="623"/>
      </c>
      <c r="AV311" s="552">
        <f t="shared" si="623"/>
      </c>
      <c r="AW311" s="552">
        <f t="shared" si="623"/>
      </c>
      <c r="AX311" s="552">
        <f t="shared" si="623"/>
      </c>
      <c r="AY311" s="991">
        <f t="shared" si="623"/>
      </c>
      <c r="AZ311" s="552">
        <f t="shared" si="623"/>
      </c>
      <c r="BA311" s="552">
        <f t="shared" si="623"/>
      </c>
      <c r="BB311" s="552">
        <f t="shared" si="623"/>
      </c>
      <c r="BC311" s="552">
        <f t="shared" si="623"/>
      </c>
      <c r="BD311" s="991">
        <f t="shared" si="623"/>
      </c>
      <c r="BE311" s="552">
        <f t="shared" si="623"/>
      </c>
      <c r="BF311" s="552">
        <f t="shared" si="623"/>
      </c>
      <c r="BG311" s="552">
        <f t="shared" si="623"/>
      </c>
      <c r="BH311" s="552">
        <f t="shared" si="623"/>
      </c>
      <c r="BI311" s="991">
        <f t="shared" si="623"/>
      </c>
      <c r="BJ311" s="552">
        <f t="shared" ref="BJ311:BP311" si="624">BJ310/BJ303-1</f>
      </c>
      <c r="BK311" s="552">
        <f t="shared" si="624"/>
      </c>
      <c r="BL311" s="552">
        <f t="shared" si="624"/>
      </c>
      <c r="BM311" s="552">
        <f t="shared" si="624"/>
      </c>
      <c r="BN311" s="991">
        <f t="shared" si="624"/>
      </c>
      <c r="BO311" s="552">
        <f t="shared" si="624"/>
      </c>
      <c r="BP311" s="552">
        <f t="shared" si="624"/>
      </c>
      <c r="BQ311" s="552">
        <f>BQ310/BQ303-1</f>
      </c>
      <c r="BR311" s="552">
        <f>BR310/BR303-1</f>
      </c>
      <c r="BS311" s="991">
        <f>BS310/BS303-1</f>
      </c>
      <c r="BT311" s="688">
        <f>BT310/BT303-1</f>
      </c>
      <c r="BU311" s="552"/>
      <c r="BV311" s="552"/>
      <c r="BW311" s="552"/>
      <c r="BX311" s="991"/>
      <c r="BY311" s="552"/>
      <c r="BZ311" s="552"/>
      <c r="CA311" s="552"/>
      <c r="CB311" s="552"/>
      <c r="CC311" s="991"/>
      <c r="CD311" s="991"/>
      <c r="CE311" s="991"/>
      <c r="CF311" s="991"/>
      <c r="CG311" s="553"/>
    </row>
    <row r="312" spans="1:85" s="593" customFormat="1" hidden="1" outlineLevel="1" x14ac:dyDescent="0.3">
      <c r="A312" s="550" t="s">
        <v>2246</v>
      </c>
      <c r="B312" s="551"/>
      <c r="C312" s="991"/>
      <c r="D312" s="991"/>
      <c r="E312" s="991"/>
      <c r="F312" s="991"/>
      <c r="G312" s="552"/>
      <c r="H312" s="552"/>
      <c r="I312" s="552"/>
      <c r="J312" s="552"/>
      <c r="K312" s="991"/>
      <c r="L312" s="552"/>
      <c r="M312" s="552"/>
      <c r="N312" s="552"/>
      <c r="O312" s="552"/>
      <c r="P312" s="991"/>
      <c r="Q312" s="552"/>
      <c r="R312" s="552"/>
      <c r="S312" s="552"/>
      <c r="T312" s="552"/>
      <c r="U312" s="991"/>
      <c r="V312" s="552"/>
      <c r="W312" s="552"/>
      <c r="X312" s="552"/>
      <c r="Y312" s="552"/>
      <c r="Z312" s="991"/>
      <c r="AA312" s="552"/>
      <c r="AB312" s="552"/>
      <c r="AC312" s="552"/>
      <c r="AD312" s="552"/>
      <c r="AE312" s="991"/>
      <c r="AF312" s="552"/>
      <c r="AG312" s="552"/>
      <c r="AH312" s="552"/>
      <c r="AI312" s="552"/>
      <c r="AJ312" s="991"/>
      <c r="AK312" s="552">
        <f t="shared" ref="AK312:BI312" si="625">AK32</f>
      </c>
      <c r="AL312" s="552">
        <f t="shared" si="625"/>
      </c>
      <c r="AM312" s="552">
        <f t="shared" si="625"/>
      </c>
      <c r="AN312" s="552">
        <f t="shared" si="625"/>
      </c>
      <c r="AO312" s="991">
        <f t="shared" si="625"/>
      </c>
      <c r="AP312" s="552">
        <f t="shared" si="625"/>
      </c>
      <c r="AQ312" s="552">
        <f t="shared" si="625"/>
      </c>
      <c r="AR312" s="552">
        <f t="shared" si="625"/>
      </c>
      <c r="AS312" s="552">
        <f t="shared" si="625"/>
      </c>
      <c r="AT312" s="992">
        <f t="shared" si="625"/>
      </c>
      <c r="AU312" s="552">
        <f t="shared" si="625"/>
      </c>
      <c r="AV312" s="552">
        <f t="shared" si="625"/>
      </c>
      <c r="AW312" s="552">
        <f t="shared" si="625"/>
      </c>
      <c r="AX312" s="552">
        <f t="shared" si="625"/>
      </c>
      <c r="AY312" s="991">
        <f t="shared" si="625"/>
      </c>
      <c r="AZ312" s="552">
        <f t="shared" si="625"/>
      </c>
      <c r="BA312" s="552">
        <f t="shared" si="625"/>
      </c>
      <c r="BB312" s="552">
        <f t="shared" si="625"/>
      </c>
      <c r="BC312" s="552">
        <f t="shared" si="625"/>
      </c>
      <c r="BD312" s="991">
        <f t="shared" si="625"/>
      </c>
      <c r="BE312" s="552">
        <f t="shared" si="625"/>
      </c>
      <c r="BF312" s="552">
        <f t="shared" si="625"/>
      </c>
      <c r="BG312" s="552">
        <f t="shared" si="625"/>
      </c>
      <c r="BH312" s="552">
        <f t="shared" si="625"/>
      </c>
      <c r="BI312" s="991">
        <f t="shared" si="625"/>
      </c>
      <c r="BJ312" s="552">
        <f t="shared" ref="BJ312:BP312" si="626">BJ306/BJ305</f>
      </c>
      <c r="BK312" s="552">
        <f t="shared" si="626"/>
      </c>
      <c r="BL312" s="552">
        <f t="shared" si="626"/>
      </c>
      <c r="BM312" s="552">
        <f t="shared" si="626"/>
      </c>
      <c r="BN312" s="991">
        <f t="shared" si="626"/>
      </c>
      <c r="BO312" s="552">
        <f t="shared" si="626"/>
      </c>
      <c r="BP312" s="552">
        <f t="shared" si="626"/>
      </c>
      <c r="BQ312" s="552">
        <f>BQ306/BQ305</f>
      </c>
      <c r="BR312" s="552">
        <f>BR306/BR305</f>
      </c>
      <c r="BS312" s="991">
        <f>BS306/BS305</f>
      </c>
      <c r="BT312" s="688">
        <f>BT306/BT305</f>
      </c>
      <c r="BU312" s="552"/>
      <c r="BV312" s="552"/>
      <c r="BW312" s="552"/>
      <c r="BX312" s="991"/>
      <c r="BY312" s="552"/>
      <c r="BZ312" s="552"/>
      <c r="CA312" s="552"/>
      <c r="CB312" s="552"/>
      <c r="CC312" s="991"/>
      <c r="CD312" s="991"/>
      <c r="CE312" s="991"/>
      <c r="CF312" s="991"/>
      <c r="CG312" s="553"/>
    </row>
    <row r="313" spans="1:85" s="582" customFormat="1" hidden="1" outlineLevel="1" x14ac:dyDescent="0.3">
      <c r="A313" s="244"/>
      <c r="B313" s="245"/>
      <c r="C313" s="933"/>
      <c r="D313" s="933"/>
      <c r="E313" s="933"/>
      <c r="F313" s="933"/>
      <c r="G313" s="200"/>
      <c r="H313" s="200"/>
      <c r="I313" s="200"/>
      <c r="J313" s="200"/>
      <c r="K313" s="933"/>
      <c r="L313" s="200"/>
      <c r="M313" s="200"/>
      <c r="N313" s="200"/>
      <c r="O313" s="200"/>
      <c r="P313" s="933"/>
      <c r="Q313" s="200"/>
      <c r="R313" s="200"/>
      <c r="S313" s="200"/>
      <c r="T313" s="200"/>
      <c r="U313" s="933"/>
      <c r="V313" s="200"/>
      <c r="W313" s="200"/>
      <c r="X313" s="200"/>
      <c r="Y313" s="200"/>
      <c r="Z313" s="933"/>
      <c r="AA313" s="200"/>
      <c r="AB313" s="200"/>
      <c r="AC313" s="200"/>
      <c r="AD313" s="200"/>
      <c r="AE313" s="933"/>
      <c r="AF313" s="200"/>
      <c r="AG313" s="200"/>
      <c r="AH313" s="200"/>
      <c r="AI313" s="200"/>
      <c r="AJ313" s="933"/>
      <c r="AK313" s="200"/>
      <c r="AL313" s="200"/>
      <c r="AM313" s="200"/>
      <c r="AN313" s="200"/>
      <c r="AO313" s="933"/>
      <c r="AP313" s="200"/>
      <c r="AQ313" s="200"/>
      <c r="AR313" s="200"/>
      <c r="AS313" s="200"/>
      <c r="AT313" s="933"/>
      <c r="AU313" s="200"/>
      <c r="AV313" s="200"/>
      <c r="AW313" s="200"/>
      <c r="AX313" s="200"/>
      <c r="AY313" s="933"/>
      <c r="AZ313" s="200"/>
      <c r="BA313" s="200"/>
      <c r="BB313" s="200"/>
      <c r="BC313" s="200"/>
      <c r="BD313" s="933"/>
      <c r="BE313" s="200"/>
      <c r="BF313" s="200"/>
      <c r="BG313" s="200"/>
      <c r="BH313" s="200"/>
      <c r="BI313" s="933"/>
      <c r="BJ313" s="200"/>
      <c r="BK313" s="200"/>
      <c r="BL313" s="200"/>
      <c r="BM313" s="200"/>
      <c r="BN313" s="933"/>
      <c r="BO313" s="200"/>
      <c r="BP313" s="200"/>
      <c r="BQ313" s="200"/>
      <c r="BR313" s="200"/>
      <c r="BS313" s="933"/>
      <c r="BT313" s="295"/>
      <c r="BU313" s="200"/>
      <c r="BV313" s="200"/>
      <c r="BW313" s="200"/>
      <c r="BX313" s="933"/>
      <c r="BY313" s="200"/>
      <c r="BZ313" s="200"/>
      <c r="CA313" s="200"/>
      <c r="CB313" s="200"/>
      <c r="CC313" s="933"/>
      <c r="CD313" s="933"/>
      <c r="CE313" s="933"/>
      <c r="CF313" s="933"/>
      <c r="CG313" s="131"/>
    </row>
    <row r="314" spans="1:85" s="582" customFormat="1" hidden="1" outlineLevel="1" x14ac:dyDescent="0.3">
      <c r="A314" s="188" t="s">
        <v>2173</v>
      </c>
      <c r="B314" s="245"/>
      <c r="C314" s="933"/>
      <c r="D314" s="933"/>
      <c r="E314" s="933"/>
      <c r="F314" s="933"/>
      <c r="G314" s="200"/>
      <c r="H314" s="200"/>
      <c r="I314" s="200"/>
      <c r="J314" s="200"/>
      <c r="K314" s="933"/>
      <c r="L314" s="200"/>
      <c r="M314" s="200"/>
      <c r="N314" s="200"/>
      <c r="O314" s="200"/>
      <c r="P314" s="933"/>
      <c r="Q314" s="200"/>
      <c r="R314" s="200"/>
      <c r="S314" s="200"/>
      <c r="T314" s="200"/>
      <c r="U314" s="933"/>
      <c r="V314" s="200"/>
      <c r="W314" s="200"/>
      <c r="X314" s="200"/>
      <c r="Y314" s="200"/>
      <c r="Z314" s="933"/>
      <c r="AA314" s="200"/>
      <c r="AB314" s="200"/>
      <c r="AC314" s="200"/>
      <c r="AD314" s="200"/>
      <c r="AE314" s="933"/>
      <c r="AF314" s="200"/>
      <c r="AG314" s="200"/>
      <c r="AH314" s="200"/>
      <c r="AI314" s="200"/>
      <c r="AJ314" s="933"/>
      <c r="AK314" s="200"/>
      <c r="AL314" s="200"/>
      <c r="AM314" s="200"/>
      <c r="AN314" s="200"/>
      <c r="AO314" s="933"/>
      <c r="AP314" s="200"/>
      <c r="AQ314" s="200"/>
      <c r="AR314" s="200"/>
      <c r="AS314" s="200"/>
      <c r="AT314" s="934">
        <f>AT416</f>
      </c>
      <c r="AU314" s="200"/>
      <c r="AV314" s="200"/>
      <c r="AW314" s="200"/>
      <c r="AX314" s="200"/>
      <c r="AY314" s="933">
        <f>AY416</f>
      </c>
      <c r="AZ314" s="200"/>
      <c r="BA314" s="200">
        <f>AZ416+BA416</f>
      </c>
      <c r="BB314" s="200">
        <f>AZ416+BA416+BB416</f>
      </c>
      <c r="BC314" s="200">
        <f>BD314</f>
      </c>
      <c r="BD314" s="933">
        <f>BD416</f>
      </c>
      <c r="BE314" s="200">
        <f>BE416</f>
      </c>
      <c r="BF314" s="200">
        <f>BE416+BF416</f>
      </c>
      <c r="BG314" s="200">
        <f>BE416+BF416+BG416</f>
      </c>
      <c r="BH314" s="200">
        <f>BI314</f>
      </c>
      <c r="BI314" s="933">
        <f>BI416</f>
      </c>
      <c r="BJ314" s="200">
        <f>BJ416</f>
      </c>
      <c r="BK314" s="200">
        <f>BJ416+BK416</f>
      </c>
      <c r="BL314" s="200">
        <f>BJ416+BK416+BL416</f>
      </c>
      <c r="BM314" s="200">
        <f>BN314</f>
      </c>
      <c r="BN314" s="933">
        <f>BN416</f>
      </c>
      <c r="BO314" s="200">
        <f>BO416</f>
      </c>
      <c r="BP314" s="200">
        <f>BO416+BP416</f>
      </c>
      <c r="BQ314" s="200">
        <f>BO416+BP416+BQ416</f>
      </c>
      <c r="BR314" s="200">
        <f>BS314</f>
      </c>
      <c r="BS314" s="933">
        <f>BS416</f>
      </c>
      <c r="BT314" s="295">
        <f>BT416</f>
      </c>
      <c r="BU314" s="200"/>
      <c r="BV314" s="200"/>
      <c r="BW314" s="200"/>
      <c r="BX314" s="933"/>
      <c r="BY314" s="200"/>
      <c r="BZ314" s="200"/>
      <c r="CA314" s="200"/>
      <c r="CB314" s="200"/>
      <c r="CC314" s="933"/>
      <c r="CD314" s="933"/>
      <c r="CE314" s="933"/>
      <c r="CF314" s="933"/>
      <c r="CG314" s="131"/>
    </row>
    <row r="315" spans="1:85" s="582" customFormat="1" hidden="1" outlineLevel="1" x14ac:dyDescent="0.3">
      <c r="A315" s="201" t="s">
        <v>2174</v>
      </c>
      <c r="B315" s="246"/>
      <c r="C315" s="953"/>
      <c r="D315" s="953"/>
      <c r="E315" s="953"/>
      <c r="F315" s="953"/>
      <c r="G315" s="247"/>
      <c r="H315" s="247"/>
      <c r="I315" s="247"/>
      <c r="J315" s="247"/>
      <c r="K315" s="953"/>
      <c r="L315" s="247"/>
      <c r="M315" s="247"/>
      <c r="N315" s="247"/>
      <c r="O315" s="247"/>
      <c r="P315" s="953"/>
      <c r="Q315" s="247"/>
      <c r="R315" s="247"/>
      <c r="S315" s="247"/>
      <c r="T315" s="247"/>
      <c r="U315" s="953"/>
      <c r="V315" s="247"/>
      <c r="W315" s="247"/>
      <c r="X315" s="247"/>
      <c r="Y315" s="247"/>
      <c r="Z315" s="953"/>
      <c r="AA315" s="247"/>
      <c r="AB315" s="247"/>
      <c r="AC315" s="247"/>
      <c r="AD315" s="247"/>
      <c r="AE315" s="953"/>
      <c r="AF315" s="247"/>
      <c r="AG315" s="247"/>
      <c r="AH315" s="247"/>
      <c r="AI315" s="247"/>
      <c r="AJ315" s="953"/>
      <c r="AK315" s="247"/>
      <c r="AL315" s="247"/>
      <c r="AM315" s="247"/>
      <c r="AN315" s="247"/>
      <c r="AO315" s="953"/>
      <c r="AP315" s="247"/>
      <c r="AQ315" s="247"/>
      <c r="AR315" s="247"/>
      <c r="AS315" s="247"/>
      <c r="AT315" s="993">
        <v>-560</v>
      </c>
      <c r="AU315" s="247"/>
      <c r="AV315" s="247"/>
      <c r="AW315" s="247"/>
      <c r="AX315" s="247"/>
      <c r="AY315" s="993">
        <v>-404</v>
      </c>
      <c r="AZ315" s="247"/>
      <c r="BA315" s="865">
        <v>-114</v>
      </c>
      <c r="BB315" s="865">
        <v>-450</v>
      </c>
      <c r="BC315" s="247">
        <f>BD315</f>
      </c>
      <c r="BD315" s="993">
        <v>-962</v>
      </c>
      <c r="BE315" s="865">
        <v>14</v>
      </c>
      <c r="BF315" s="865">
        <v>36</v>
      </c>
      <c r="BG315" s="865">
        <v>68</v>
      </c>
      <c r="BH315" s="247">
        <f>BI315</f>
      </c>
      <c r="BI315" s="993">
        <v>-124</v>
      </c>
      <c r="BJ315" s="865">
        <v>-32</v>
      </c>
      <c r="BK315" s="865">
        <v>-155</v>
      </c>
      <c r="BL315" s="865">
        <v>-325</v>
      </c>
      <c r="BM315" s="247">
        <f>BN315</f>
      </c>
      <c r="BN315" s="993">
        <v>-540</v>
      </c>
      <c r="BO315" s="865">
        <v>11</v>
      </c>
      <c r="BP315" s="865">
        <v>130</v>
      </c>
      <c r="BQ315" s="865">
        <v>323</v>
      </c>
      <c r="BR315" s="247">
        <f>BS315</f>
      </c>
      <c r="BS315" s="993">
        <v>540.673</v>
      </c>
      <c r="BT315" s="866">
        <v>30.765999999999998</v>
      </c>
      <c r="BU315" s="247"/>
      <c r="BV315" s="247"/>
      <c r="BW315" s="247"/>
      <c r="BX315" s="953"/>
      <c r="BY315" s="247"/>
      <c r="BZ315" s="247"/>
      <c r="CA315" s="247"/>
      <c r="CB315" s="247"/>
      <c r="CC315" s="953"/>
      <c r="CD315" s="953"/>
      <c r="CE315" s="953"/>
      <c r="CF315" s="953"/>
      <c r="CG315" s="131"/>
    </row>
    <row r="316" spans="1:85" s="581" customFormat="1" hidden="1" outlineLevel="1" x14ac:dyDescent="0.3">
      <c r="A316" s="188" t="s">
        <v>2175</v>
      </c>
      <c r="B316" s="245"/>
      <c r="C316" s="933"/>
      <c r="D316" s="933"/>
      <c r="E316" s="933"/>
      <c r="F316" s="933"/>
      <c r="G316" s="200"/>
      <c r="H316" s="200"/>
      <c r="I316" s="200"/>
      <c r="J316" s="200"/>
      <c r="K316" s="933"/>
      <c r="L316" s="200"/>
      <c r="M316" s="200"/>
      <c r="N316" s="200"/>
      <c r="O316" s="200"/>
      <c r="P316" s="933"/>
      <c r="Q316" s="200"/>
      <c r="R316" s="200"/>
      <c r="S316" s="200"/>
      <c r="T316" s="200"/>
      <c r="U316" s="933"/>
      <c r="V316" s="200"/>
      <c r="W316" s="200"/>
      <c r="X316" s="200"/>
      <c r="Y316" s="200"/>
      <c r="Z316" s="933"/>
      <c r="AA316" s="200"/>
      <c r="AB316" s="200"/>
      <c r="AC316" s="200"/>
      <c r="AD316" s="200"/>
      <c r="AE316" s="933"/>
      <c r="AF316" s="200"/>
      <c r="AG316" s="200"/>
      <c r="AH316" s="200"/>
      <c r="AI316" s="200"/>
      <c r="AJ316" s="933"/>
      <c r="AK316" s="200"/>
      <c r="AL316" s="200"/>
      <c r="AM316" s="200"/>
      <c r="AN316" s="200"/>
      <c r="AO316" s="933"/>
      <c r="AP316" s="200"/>
      <c r="AQ316" s="200"/>
      <c r="AR316" s="200"/>
      <c r="AS316" s="200"/>
      <c r="AT316" s="933">
        <f>AT314-AT315</f>
      </c>
      <c r="AU316" s="200"/>
      <c r="AV316" s="200"/>
      <c r="AW316" s="200"/>
      <c r="AX316" s="200"/>
      <c r="AY316" s="933">
        <f>AY314-AY315</f>
      </c>
      <c r="AZ316" s="200"/>
      <c r="BA316" s="200">
        <f t="shared" ref="BA316:BJ316" si="627">BA314-BA315</f>
      </c>
      <c r="BB316" s="200">
        <f t="shared" si="627"/>
      </c>
      <c r="BC316" s="200">
        <f t="shared" si="627"/>
      </c>
      <c r="BD316" s="933">
        <f t="shared" si="627"/>
      </c>
      <c r="BE316" s="200">
        <f t="shared" si="627"/>
      </c>
      <c r="BF316" s="200">
        <f t="shared" si="627"/>
      </c>
      <c r="BG316" s="200">
        <f t="shared" si="627"/>
      </c>
      <c r="BH316" s="200">
        <f t="shared" si="627"/>
      </c>
      <c r="BI316" s="933">
        <f t="shared" si="627"/>
      </c>
      <c r="BJ316" s="200">
        <f t="shared" si="627"/>
      </c>
      <c r="BK316" s="200">
        <f t="shared" ref="BK316:BP316" si="628">BK314-BK315</f>
      </c>
      <c r="BL316" s="200">
        <f t="shared" si="628"/>
      </c>
      <c r="BM316" s="200">
        <f t="shared" si="628"/>
      </c>
      <c r="BN316" s="933">
        <f t="shared" si="628"/>
      </c>
      <c r="BO316" s="200">
        <f t="shared" si="628"/>
      </c>
      <c r="BP316" s="200">
        <f t="shared" si="628"/>
      </c>
      <c r="BQ316" s="200">
        <f>BQ314-BQ315</f>
      </c>
      <c r="BR316" s="200">
        <f>BR314-BR315</f>
      </c>
      <c r="BS316" s="933">
        <f>BS314-BS315</f>
      </c>
      <c r="BT316" s="295">
        <f>BT314-BT315</f>
      </c>
      <c r="BU316" s="200"/>
      <c r="BV316" s="200"/>
      <c r="BW316" s="200"/>
      <c r="BX316" s="933"/>
      <c r="BY316" s="200"/>
      <c r="BZ316" s="200"/>
      <c r="CA316" s="200"/>
      <c r="CB316" s="200"/>
      <c r="CC316" s="933"/>
      <c r="CD316" s="933"/>
      <c r="CE316" s="933"/>
      <c r="CF316" s="933"/>
      <c r="CG316" s="24"/>
    </row>
    <row r="317" spans="1:85" s="582" customFormat="1" hidden="1" outlineLevel="1" x14ac:dyDescent="0.3">
      <c r="A317" s="328"/>
      <c r="B317" s="242"/>
      <c r="C317" s="950"/>
      <c r="D317" s="950"/>
      <c r="E317" s="950"/>
      <c r="F317" s="950"/>
      <c r="G317" s="204"/>
      <c r="H317" s="204"/>
      <c r="I317" s="204"/>
      <c r="J317" s="204"/>
      <c r="K317" s="950"/>
      <c r="L317" s="204"/>
      <c r="M317" s="204"/>
      <c r="N317" s="204"/>
      <c r="O317" s="204"/>
      <c r="P317" s="950"/>
      <c r="Q317" s="204"/>
      <c r="R317" s="204"/>
      <c r="S317" s="204"/>
      <c r="T317" s="204"/>
      <c r="U317" s="950"/>
      <c r="V317" s="204"/>
      <c r="W317" s="204"/>
      <c r="X317" s="204"/>
      <c r="Y317" s="204"/>
      <c r="Z317" s="950"/>
      <c r="AA317" s="204"/>
      <c r="AB317" s="204"/>
      <c r="AC317" s="204"/>
      <c r="AD317" s="204"/>
      <c r="AE317" s="950"/>
      <c r="AF317" s="204"/>
      <c r="AG317" s="204"/>
      <c r="AH317" s="204"/>
      <c r="AI317" s="204"/>
      <c r="AJ317" s="950"/>
      <c r="AK317" s="204"/>
      <c r="AL317" s="204"/>
      <c r="AM317" s="204"/>
      <c r="AN317" s="204"/>
      <c r="AO317" s="950"/>
      <c r="AP317" s="204"/>
      <c r="AQ317" s="204"/>
      <c r="AR317" s="204"/>
      <c r="AS317" s="204"/>
      <c r="AT317" s="950"/>
      <c r="AU317" s="204"/>
      <c r="AV317" s="204"/>
      <c r="AW317" s="204"/>
      <c r="AX317" s="204"/>
      <c r="AY317" s="950"/>
      <c r="AZ317" s="204"/>
      <c r="BA317" s="204"/>
      <c r="BB317" s="204"/>
      <c r="BC317" s="204"/>
      <c r="BD317" s="950"/>
      <c r="BE317" s="204"/>
      <c r="BF317" s="204"/>
      <c r="BG317" s="204"/>
      <c r="BH317" s="204"/>
      <c r="BI317" s="950"/>
      <c r="BJ317" s="204"/>
      <c r="BK317" s="204"/>
      <c r="BL317" s="204"/>
      <c r="BM317" s="204"/>
      <c r="BN317" s="950"/>
      <c r="BO317" s="204"/>
      <c r="BP317" s="204"/>
      <c r="BQ317" s="204"/>
      <c r="BR317" s="204"/>
      <c r="BS317" s="950"/>
      <c r="BT317" s="294"/>
      <c r="BU317" s="204"/>
      <c r="BV317" s="204"/>
      <c r="BW317" s="204"/>
      <c r="BX317" s="950"/>
      <c r="BY317" s="204"/>
      <c r="BZ317" s="204"/>
      <c r="CA317" s="204"/>
      <c r="CB317" s="204"/>
      <c r="CC317" s="950"/>
      <c r="CD317" s="950"/>
      <c r="CE317" s="950"/>
      <c r="CF317" s="950"/>
      <c r="CG317" s="131"/>
    </row>
    <row r="318" spans="1:85" s="581" customFormat="1" hidden="1" outlineLevel="1" x14ac:dyDescent="0.3">
      <c r="A318" s="188" t="s">
        <v>2176</v>
      </c>
      <c r="B318" s="245"/>
      <c r="C318" s="933"/>
      <c r="D318" s="933"/>
      <c r="E318" s="933"/>
      <c r="F318" s="933"/>
      <c r="G318" s="200"/>
      <c r="H318" s="200"/>
      <c r="I318" s="200"/>
      <c r="J318" s="200"/>
      <c r="K318" s="933"/>
      <c r="L318" s="200"/>
      <c r="M318" s="200"/>
      <c r="N318" s="200"/>
      <c r="O318" s="200"/>
      <c r="P318" s="933"/>
      <c r="Q318" s="200"/>
      <c r="R318" s="200"/>
      <c r="S318" s="200"/>
      <c r="T318" s="200"/>
      <c r="U318" s="933"/>
      <c r="V318" s="200"/>
      <c r="W318" s="200"/>
      <c r="X318" s="200"/>
      <c r="Y318" s="200"/>
      <c r="Z318" s="933"/>
      <c r="AA318" s="200"/>
      <c r="AB318" s="200"/>
      <c r="AC318" s="200"/>
      <c r="AD318" s="200"/>
      <c r="AE318" s="933"/>
      <c r="AF318" s="200"/>
      <c r="AG318" s="200"/>
      <c r="AH318" s="200"/>
      <c r="AI318" s="200"/>
      <c r="AJ318" s="933"/>
      <c r="AK318" s="200"/>
      <c r="AL318" s="200"/>
      <c r="AM318" s="200"/>
      <c r="AN318" s="200"/>
      <c r="AO318" s="933"/>
      <c r="AP318" s="200"/>
      <c r="AQ318" s="200"/>
      <c r="AR318" s="200"/>
      <c r="AS318" s="200"/>
      <c r="AT318" s="994">
        <v>20411</v>
      </c>
      <c r="AU318" s="200"/>
      <c r="AV318" s="200"/>
      <c r="AW318" s="200"/>
      <c r="AX318" s="200"/>
      <c r="AY318" s="933">
        <f>AY419+AY424</f>
      </c>
      <c r="AZ318" s="200"/>
      <c r="BA318" s="200">
        <f>AZ419+BA419+AZ424+BA424</f>
      </c>
      <c r="BB318" s="200">
        <f>AZ419+BA419+BB419+AZ424+BA424+BB424</f>
      </c>
      <c r="BC318" s="200">
        <f>BD318</f>
      </c>
      <c r="BD318" s="933">
        <f>BD419+BD424</f>
      </c>
      <c r="BE318" s="200">
        <f>BE419+BE424</f>
      </c>
      <c r="BF318" s="200">
        <f>BE419+BF419+BE424+BF424</f>
      </c>
      <c r="BG318" s="200">
        <f>BE419+BF419+BG419+BE424+BF424+BG424</f>
      </c>
      <c r="BH318" s="200">
        <f>BI318</f>
      </c>
      <c r="BI318" s="933">
        <f>BI419+BI424</f>
      </c>
      <c r="BJ318" s="200">
        <f>BJ419+BJ424</f>
      </c>
      <c r="BK318" s="200">
        <f>BJ419+BK419+BJ424+BK424</f>
      </c>
      <c r="BL318" s="200">
        <f>BJ419+BK419+BL419+BJ424+BK424+BL424</f>
      </c>
      <c r="BM318" s="200">
        <f>BN318</f>
      </c>
      <c r="BN318" s="933">
        <f>BN419+BN424</f>
      </c>
      <c r="BO318" s="200">
        <f>BO419+BO424</f>
      </c>
      <c r="BP318" s="200">
        <f>BO419+BP419+BO424+BP424</f>
      </c>
      <c r="BQ318" s="200">
        <f>BO419+BP419+BQ419+BO424+BP424+BQ424</f>
      </c>
      <c r="BR318" s="200">
        <f>BS318</f>
      </c>
      <c r="BS318" s="933">
        <f>BS419+BS424</f>
      </c>
      <c r="BT318" s="295">
        <f>BT419+BT424</f>
      </c>
      <c r="BU318" s="200"/>
      <c r="BV318" s="200"/>
      <c r="BW318" s="200"/>
      <c r="BX318" s="933"/>
      <c r="BY318" s="200"/>
      <c r="BZ318" s="200"/>
      <c r="CA318" s="200"/>
      <c r="CB318" s="200"/>
      <c r="CC318" s="933"/>
      <c r="CD318" s="933"/>
      <c r="CE318" s="933"/>
      <c r="CF318" s="933"/>
      <c r="CG318" s="24"/>
    </row>
    <row r="319" spans="1:85" s="582" customFormat="1" hidden="1" outlineLevel="1" x14ac:dyDescent="0.3">
      <c r="A319" s="201" t="s">
        <v>2177</v>
      </c>
      <c r="B319" s="246"/>
      <c r="C319" s="953"/>
      <c r="D319" s="953"/>
      <c r="E319" s="953"/>
      <c r="F319" s="953"/>
      <c r="G319" s="247"/>
      <c r="H319" s="247"/>
      <c r="I319" s="247"/>
      <c r="J319" s="247"/>
      <c r="K319" s="953"/>
      <c r="L319" s="247"/>
      <c r="M319" s="247"/>
      <c r="N319" s="247"/>
      <c r="O319" s="247"/>
      <c r="P319" s="953"/>
      <c r="Q319" s="247"/>
      <c r="R319" s="247"/>
      <c r="S319" s="247"/>
      <c r="T319" s="247"/>
      <c r="U319" s="953"/>
      <c r="V319" s="247"/>
      <c r="W319" s="247"/>
      <c r="X319" s="247"/>
      <c r="Y319" s="247"/>
      <c r="Z319" s="953"/>
      <c r="AA319" s="247"/>
      <c r="AB319" s="247"/>
      <c r="AC319" s="247"/>
      <c r="AD319" s="247"/>
      <c r="AE319" s="953"/>
      <c r="AF319" s="247"/>
      <c r="AG319" s="247"/>
      <c r="AH319" s="247"/>
      <c r="AI319" s="247"/>
      <c r="AJ319" s="953"/>
      <c r="AK319" s="247"/>
      <c r="AL319" s="247"/>
      <c r="AM319" s="247"/>
      <c r="AN319" s="247"/>
      <c r="AO319" s="953"/>
      <c r="AP319" s="247"/>
      <c r="AQ319" s="247"/>
      <c r="AR319" s="247"/>
      <c r="AS319" s="247"/>
      <c r="AT319" s="993">
        <v>-71</v>
      </c>
      <c r="AU319" s="247"/>
      <c r="AV319" s="247"/>
      <c r="AW319" s="247"/>
      <c r="AX319" s="247"/>
      <c r="AY319" s="993">
        <v>-82</v>
      </c>
      <c r="AZ319" s="247"/>
      <c r="BA319" s="865">
        <v>-27</v>
      </c>
      <c r="BB319" s="865">
        <v>-93</v>
      </c>
      <c r="BC319" s="247">
        <f>BD319</f>
      </c>
      <c r="BD319" s="993">
        <v>-214</v>
      </c>
      <c r="BE319" s="865">
        <v>3</v>
      </c>
      <c r="BF319" s="865">
        <v>12</v>
      </c>
      <c r="BG319" s="865">
        <v>21</v>
      </c>
      <c r="BH319" s="247">
        <f>BI319</f>
      </c>
      <c r="BI319" s="993">
        <v>2</v>
      </c>
      <c r="BJ319" s="865">
        <v>-12</v>
      </c>
      <c r="BK319" s="865">
        <v>-40</v>
      </c>
      <c r="BL319" s="865">
        <v>-73</v>
      </c>
      <c r="BM319" s="247">
        <f>BN319</f>
      </c>
      <c r="BN319" s="993">
        <v>-121</v>
      </c>
      <c r="BO319" s="865">
        <v>6</v>
      </c>
      <c r="BP319" s="865">
        <v>60</v>
      </c>
      <c r="BQ319" s="865">
        <v>220</v>
      </c>
      <c r="BR319" s="247">
        <f>BS319</f>
      </c>
      <c r="BS319" s="993">
        <v>317.48200000000003</v>
      </c>
      <c r="BT319" s="866">
        <v>15.625</v>
      </c>
      <c r="BU319" s="247"/>
      <c r="BV319" s="247"/>
      <c r="BW319" s="247"/>
      <c r="BX319" s="953"/>
      <c r="BY319" s="247"/>
      <c r="BZ319" s="247"/>
      <c r="CA319" s="247"/>
      <c r="CB319" s="247"/>
      <c r="CC319" s="953"/>
      <c r="CD319" s="953"/>
      <c r="CE319" s="953"/>
      <c r="CF319" s="953"/>
      <c r="CG319" s="131"/>
    </row>
    <row r="320" spans="1:85" s="581" customFormat="1" hidden="1" outlineLevel="1" x14ac:dyDescent="0.3">
      <c r="A320" s="188" t="s">
        <v>2178</v>
      </c>
      <c r="B320" s="245"/>
      <c r="C320" s="933"/>
      <c r="D320" s="933"/>
      <c r="E320" s="933"/>
      <c r="F320" s="933"/>
      <c r="G320" s="200"/>
      <c r="H320" s="200"/>
      <c r="I320" s="200"/>
      <c r="J320" s="200"/>
      <c r="K320" s="933"/>
      <c r="L320" s="200"/>
      <c r="M320" s="200"/>
      <c r="N320" s="200"/>
      <c r="O320" s="200"/>
      <c r="P320" s="933"/>
      <c r="Q320" s="200"/>
      <c r="R320" s="200"/>
      <c r="S320" s="200"/>
      <c r="T320" s="200"/>
      <c r="U320" s="933"/>
      <c r="V320" s="200"/>
      <c r="W320" s="200"/>
      <c r="X320" s="200"/>
      <c r="Y320" s="200"/>
      <c r="Z320" s="933"/>
      <c r="AA320" s="200"/>
      <c r="AB320" s="200"/>
      <c r="AC320" s="200"/>
      <c r="AD320" s="200"/>
      <c r="AE320" s="933"/>
      <c r="AF320" s="200"/>
      <c r="AG320" s="200"/>
      <c r="AH320" s="200"/>
      <c r="AI320" s="200"/>
      <c r="AJ320" s="933"/>
      <c r="AK320" s="200"/>
      <c r="AL320" s="200"/>
      <c r="AM320" s="200"/>
      <c r="AN320" s="200"/>
      <c r="AO320" s="933"/>
      <c r="AP320" s="200"/>
      <c r="AQ320" s="200"/>
      <c r="AR320" s="200"/>
      <c r="AS320" s="200"/>
      <c r="AT320" s="933">
        <f>AT318-AT319</f>
      </c>
      <c r="AU320" s="200"/>
      <c r="AV320" s="200"/>
      <c r="AW320" s="200"/>
      <c r="AX320" s="200"/>
      <c r="AY320" s="933">
        <f>AY318-AY319</f>
      </c>
      <c r="AZ320" s="200"/>
      <c r="BA320" s="200">
        <f>BA318-BA319</f>
      </c>
      <c r="BB320" s="200">
        <f>BB318-BB319</f>
      </c>
      <c r="BC320" s="200">
        <f>BC318-BC319</f>
      </c>
      <c r="BD320" s="933">
        <f t="shared" ref="BD320:BI320" si="629">BD318-BD319</f>
      </c>
      <c r="BE320" s="200">
        <f>BE318-BE319</f>
      </c>
      <c r="BF320" s="200">
        <f>BF318-BF319</f>
      </c>
      <c r="BG320" s="200">
        <f>BG318-BG319</f>
      </c>
      <c r="BH320" s="200">
        <f>BH318-BH319</f>
      </c>
      <c r="BI320" s="933">
        <f t="shared" si="629"/>
      </c>
      <c r="BJ320" s="200">
        <f t="shared" ref="BJ320:BO320" si="630">BJ318-BJ319</f>
      </c>
      <c r="BK320" s="200">
        <f t="shared" si="630"/>
      </c>
      <c r="BL320" s="200">
        <f t="shared" si="630"/>
      </c>
      <c r="BM320" s="200">
        <f t="shared" si="630"/>
      </c>
      <c r="BN320" s="933">
        <f t="shared" si="630"/>
      </c>
      <c r="BO320" s="200">
        <f t="shared" si="630"/>
      </c>
      <c r="BP320" s="200">
        <f>BP318-BP319</f>
      </c>
      <c r="BQ320" s="200">
        <f>BQ318-BQ319</f>
      </c>
      <c r="BR320" s="200">
        <f>BR318-BR319</f>
      </c>
      <c r="BS320" s="933">
        <f>BS318-BS319</f>
      </c>
      <c r="BT320" s="295">
        <f>BT318-BT319</f>
      </c>
      <c r="BU320" s="200"/>
      <c r="BV320" s="200"/>
      <c r="BW320" s="200"/>
      <c r="BX320" s="933"/>
      <c r="BY320" s="200"/>
      <c r="BZ320" s="200"/>
      <c r="CA320" s="200"/>
      <c r="CB320" s="200"/>
      <c r="CC320" s="933"/>
      <c r="CD320" s="933"/>
      <c r="CE320" s="933"/>
      <c r="CF320" s="933"/>
      <c r="CG320" s="24"/>
    </row>
    <row r="321" spans="1:85" s="582" customFormat="1" hidden="1" outlineLevel="1" x14ac:dyDescent="0.3">
      <c r="A321" s="328"/>
      <c r="B321" s="242"/>
      <c r="C321" s="950"/>
      <c r="D321" s="950"/>
      <c r="E321" s="950"/>
      <c r="F321" s="950"/>
      <c r="G321" s="204"/>
      <c r="H321" s="204"/>
      <c r="I321" s="204"/>
      <c r="J321" s="204"/>
      <c r="K321" s="950"/>
      <c r="L321" s="204"/>
      <c r="M321" s="204"/>
      <c r="N321" s="204"/>
      <c r="O321" s="204"/>
      <c r="P321" s="950"/>
      <c r="Q321" s="204"/>
      <c r="R321" s="204"/>
      <c r="S321" s="204"/>
      <c r="T321" s="204"/>
      <c r="U321" s="950"/>
      <c r="V321" s="204"/>
      <c r="W321" s="204"/>
      <c r="X321" s="204"/>
      <c r="Y321" s="204"/>
      <c r="Z321" s="950"/>
      <c r="AA321" s="204"/>
      <c r="AB321" s="204"/>
      <c r="AC321" s="204"/>
      <c r="AD321" s="204"/>
      <c r="AE321" s="950"/>
      <c r="AF321" s="204"/>
      <c r="AG321" s="204"/>
      <c r="AH321" s="204"/>
      <c r="AI321" s="204"/>
      <c r="AJ321" s="950"/>
      <c r="AK321" s="204"/>
      <c r="AL321" s="204"/>
      <c r="AM321" s="204"/>
      <c r="AN321" s="204"/>
      <c r="AO321" s="950"/>
      <c r="AP321" s="204"/>
      <c r="AQ321" s="204"/>
      <c r="AR321" s="204"/>
      <c r="AS321" s="204"/>
      <c r="AT321" s="950"/>
      <c r="AU321" s="204"/>
      <c r="AV321" s="204"/>
      <c r="AW321" s="204"/>
      <c r="AX321" s="204"/>
      <c r="AY321" s="950"/>
      <c r="AZ321" s="204"/>
      <c r="BA321" s="204"/>
      <c r="BB321" s="204"/>
      <c r="BC321" s="204"/>
      <c r="BD321" s="950"/>
      <c r="BE321" s="204"/>
      <c r="BF321" s="204"/>
      <c r="BG321" s="204"/>
      <c r="BH321" s="204"/>
      <c r="BI321" s="950"/>
      <c r="BJ321" s="204"/>
      <c r="BK321" s="204"/>
      <c r="BL321" s="204"/>
      <c r="BM321" s="204"/>
      <c r="BN321" s="950"/>
      <c r="BO321" s="204"/>
      <c r="BP321" s="204"/>
      <c r="BQ321" s="204"/>
      <c r="BR321" s="204"/>
      <c r="BS321" s="950"/>
      <c r="BT321" s="294"/>
      <c r="BU321" s="204"/>
      <c r="BV321" s="204"/>
      <c r="BW321" s="204"/>
      <c r="BX321" s="950"/>
      <c r="BY321" s="204"/>
      <c r="BZ321" s="204"/>
      <c r="CA321" s="204"/>
      <c r="CB321" s="204"/>
      <c r="CC321" s="950"/>
      <c r="CD321" s="950"/>
      <c r="CE321" s="950"/>
      <c r="CF321" s="950"/>
      <c r="CG321" s="131"/>
    </row>
    <row r="322" spans="1:85" s="581" customFormat="1" hidden="1" outlineLevel="1" x14ac:dyDescent="0.3">
      <c r="A322" s="188" t="s">
        <v>2179</v>
      </c>
      <c r="B322" s="245"/>
      <c r="C322" s="933"/>
      <c r="D322" s="933"/>
      <c r="E322" s="933"/>
      <c r="F322" s="933"/>
      <c r="G322" s="200"/>
      <c r="H322" s="200"/>
      <c r="I322" s="200"/>
      <c r="J322" s="200"/>
      <c r="K322" s="933"/>
      <c r="L322" s="200"/>
      <c r="M322" s="200"/>
      <c r="N322" s="200"/>
      <c r="O322" s="200"/>
      <c r="P322" s="933"/>
      <c r="Q322" s="200"/>
      <c r="R322" s="200"/>
      <c r="S322" s="200"/>
      <c r="T322" s="200"/>
      <c r="U322" s="933"/>
      <c r="V322" s="200"/>
      <c r="W322" s="200"/>
      <c r="X322" s="200"/>
      <c r="Y322" s="200"/>
      <c r="Z322" s="933"/>
      <c r="AA322" s="200"/>
      <c r="AB322" s="200"/>
      <c r="AC322" s="200"/>
      <c r="AD322" s="200"/>
      <c r="AE322" s="933"/>
      <c r="AF322" s="200"/>
      <c r="AG322" s="200"/>
      <c r="AH322" s="200"/>
      <c r="AI322" s="200"/>
      <c r="AJ322" s="933"/>
      <c r="AK322" s="200"/>
      <c r="AL322" s="200"/>
      <c r="AM322" s="200"/>
      <c r="AN322" s="200"/>
      <c r="AO322" s="933"/>
      <c r="AP322" s="200"/>
      <c r="AQ322" s="200"/>
      <c r="AR322" s="200"/>
      <c r="AS322" s="200"/>
      <c r="AT322" s="933">
        <f>AT316-AT320</f>
      </c>
      <c r="AU322" s="200"/>
      <c r="AV322" s="200"/>
      <c r="AW322" s="200"/>
      <c r="AX322" s="200"/>
      <c r="AY322" s="933">
        <f>AY316-AY320</f>
      </c>
      <c r="AZ322" s="200"/>
      <c r="BA322" s="200">
        <f t="shared" ref="BA322:BH322" si="631">BA316-BA320</f>
      </c>
      <c r="BB322" s="200">
        <f t="shared" si="631"/>
      </c>
      <c r="BC322" s="200">
        <f t="shared" si="631"/>
      </c>
      <c r="BD322" s="933">
        <f t="shared" si="631"/>
      </c>
      <c r="BE322" s="200">
        <f t="shared" si="631"/>
      </c>
      <c r="BF322" s="200">
        <f t="shared" si="631"/>
      </c>
      <c r="BG322" s="200">
        <f t="shared" si="631"/>
      </c>
      <c r="BH322" s="200">
        <f t="shared" si="631"/>
      </c>
      <c r="BI322" s="933">
        <f t="shared" ref="BI322" si="632">BI316-BI320</f>
      </c>
      <c r="BJ322" s="200">
        <f t="shared" ref="BJ322:BO322" si="633">BJ316-BJ320</f>
      </c>
      <c r="BK322" s="200">
        <f t="shared" si="633"/>
      </c>
      <c r="BL322" s="200">
        <f t="shared" si="633"/>
      </c>
      <c r="BM322" s="200">
        <f t="shared" si="633"/>
      </c>
      <c r="BN322" s="933">
        <f t="shared" si="633"/>
      </c>
      <c r="BO322" s="200">
        <f t="shared" si="633"/>
      </c>
      <c r="BP322" s="200">
        <f>BP316-BP320</f>
      </c>
      <c r="BQ322" s="200">
        <f>BQ316-BQ320</f>
      </c>
      <c r="BR322" s="200">
        <f>BR316-BR320</f>
      </c>
      <c r="BS322" s="933">
        <f>BS316-BS320</f>
      </c>
      <c r="BT322" s="295">
        <f>BT316-BT320</f>
      </c>
      <c r="BU322" s="200"/>
      <c r="BV322" s="200"/>
      <c r="BW322" s="200"/>
      <c r="BX322" s="933"/>
      <c r="BY322" s="200"/>
      <c r="BZ322" s="200"/>
      <c r="CA322" s="200"/>
      <c r="CB322" s="200"/>
      <c r="CC322" s="933"/>
      <c r="CD322" s="933"/>
      <c r="CE322" s="933"/>
      <c r="CF322" s="933"/>
      <c r="CG322" s="24"/>
    </row>
    <row r="323" spans="1:85" s="582" customFormat="1" hidden="1" outlineLevel="1" x14ac:dyDescent="0.3">
      <c r="A323" s="201" t="s">
        <v>2180</v>
      </c>
      <c r="B323" s="246"/>
      <c r="C323" s="953"/>
      <c r="D323" s="953"/>
      <c r="E323" s="953"/>
      <c r="F323" s="953"/>
      <c r="G323" s="247"/>
      <c r="H323" s="247"/>
      <c r="I323" s="247"/>
      <c r="J323" s="247"/>
      <c r="K323" s="953"/>
      <c r="L323" s="247"/>
      <c r="M323" s="247"/>
      <c r="N323" s="247"/>
      <c r="O323" s="247"/>
      <c r="P323" s="953"/>
      <c r="Q323" s="247"/>
      <c r="R323" s="247"/>
      <c r="S323" s="247"/>
      <c r="T323" s="247"/>
      <c r="U323" s="953"/>
      <c r="V323" s="247"/>
      <c r="W323" s="247"/>
      <c r="X323" s="247"/>
      <c r="Y323" s="247"/>
      <c r="Z323" s="953"/>
      <c r="AA323" s="247"/>
      <c r="AB323" s="247"/>
      <c r="AC323" s="247"/>
      <c r="AD323" s="247"/>
      <c r="AE323" s="953"/>
      <c r="AF323" s="247"/>
      <c r="AG323" s="247"/>
      <c r="AH323" s="247"/>
      <c r="AI323" s="247"/>
      <c r="AJ323" s="953"/>
      <c r="AK323" s="247"/>
      <c r="AL323" s="247"/>
      <c r="AM323" s="247"/>
      <c r="AN323" s="247"/>
      <c r="AO323" s="953"/>
      <c r="AP323" s="247"/>
      <c r="AQ323" s="247"/>
      <c r="AR323" s="247"/>
      <c r="AS323" s="247"/>
      <c r="AT323" s="993">
        <v>0</v>
      </c>
      <c r="AU323" s="247"/>
      <c r="AV323" s="247"/>
      <c r="AW323" s="247"/>
      <c r="AX323" s="247"/>
      <c r="AY323" s="993">
        <v>0</v>
      </c>
      <c r="AZ323" s="247"/>
      <c r="BA323" s="865">
        <v>0</v>
      </c>
      <c r="BB323" s="865">
        <v>0</v>
      </c>
      <c r="BC323" s="247">
        <f>BD323</f>
      </c>
      <c r="BD323" s="993">
        <v>150</v>
      </c>
      <c r="BE323" s="865">
        <v>0</v>
      </c>
      <c r="BF323" s="865">
        <v>0</v>
      </c>
      <c r="BG323" s="865">
        <v>0</v>
      </c>
      <c r="BH323" s="247">
        <f>BI323</f>
      </c>
      <c r="BI323" s="993">
        <v>0</v>
      </c>
      <c r="BJ323" s="865">
        <v>0</v>
      </c>
      <c r="BK323" s="865">
        <v>0</v>
      </c>
      <c r="BL323" s="247"/>
      <c r="BM323" s="247">
        <f>BN323</f>
      </c>
      <c r="BN323" s="953"/>
      <c r="BO323" s="247"/>
      <c r="BP323" s="865">
        <v>0</v>
      </c>
      <c r="BQ323" s="247"/>
      <c r="BR323" s="247">
        <f>BS323</f>
      </c>
      <c r="BS323" s="953"/>
      <c r="BT323" s="497"/>
      <c r="BU323" s="247"/>
      <c r="BV323" s="247"/>
      <c r="BW323" s="247"/>
      <c r="BX323" s="953"/>
      <c r="BY323" s="247"/>
      <c r="BZ323" s="247"/>
      <c r="CA323" s="247"/>
      <c r="CB323" s="247"/>
      <c r="CC323" s="953"/>
      <c r="CD323" s="953"/>
      <c r="CE323" s="953"/>
      <c r="CF323" s="953"/>
      <c r="CG323" s="131"/>
    </row>
    <row r="324" spans="1:85" s="581" customFormat="1" hidden="1" outlineLevel="1" x14ac:dyDescent="0.3">
      <c r="A324" s="188" t="s">
        <v>2181</v>
      </c>
      <c r="B324" s="245"/>
      <c r="C324" s="933"/>
      <c r="D324" s="933"/>
      <c r="E324" s="933"/>
      <c r="F324" s="933"/>
      <c r="G324" s="200"/>
      <c r="H324" s="200"/>
      <c r="I324" s="200"/>
      <c r="J324" s="200"/>
      <c r="K324" s="933"/>
      <c r="L324" s="200"/>
      <c r="M324" s="200"/>
      <c r="N324" s="200"/>
      <c r="O324" s="200"/>
      <c r="P324" s="933"/>
      <c r="Q324" s="200"/>
      <c r="R324" s="200"/>
      <c r="S324" s="200"/>
      <c r="T324" s="200"/>
      <c r="U324" s="933"/>
      <c r="V324" s="200"/>
      <c r="W324" s="200"/>
      <c r="X324" s="200"/>
      <c r="Y324" s="200"/>
      <c r="Z324" s="933"/>
      <c r="AA324" s="200"/>
      <c r="AB324" s="200"/>
      <c r="AC324" s="200"/>
      <c r="AD324" s="200"/>
      <c r="AE324" s="933"/>
      <c r="AF324" s="200"/>
      <c r="AG324" s="200"/>
      <c r="AH324" s="200"/>
      <c r="AI324" s="200"/>
      <c r="AJ324" s="933"/>
      <c r="AK324" s="200"/>
      <c r="AL324" s="200"/>
      <c r="AM324" s="200"/>
      <c r="AN324" s="200"/>
      <c r="AO324" s="933"/>
      <c r="AP324" s="200"/>
      <c r="AQ324" s="200"/>
      <c r="AR324" s="200"/>
      <c r="AS324" s="200"/>
      <c r="AT324" s="933">
        <f>AT322+AT323</f>
      </c>
      <c r="AU324" s="200"/>
      <c r="AV324" s="200"/>
      <c r="AW324" s="200"/>
      <c r="AX324" s="200"/>
      <c r="AY324" s="933">
        <f>AY322+AY323</f>
      </c>
      <c r="AZ324" s="200"/>
      <c r="BA324" s="200">
        <f t="shared" ref="BA324:BJ324" si="634">BA322+BA323</f>
      </c>
      <c r="BB324" s="200">
        <f t="shared" si="634"/>
      </c>
      <c r="BC324" s="200">
        <f t="shared" si="634"/>
      </c>
      <c r="BD324" s="933">
        <f t="shared" si="634"/>
      </c>
      <c r="BE324" s="200">
        <f t="shared" si="634"/>
      </c>
      <c r="BF324" s="200">
        <f t="shared" si="634"/>
      </c>
      <c r="BG324" s="200">
        <f t="shared" si="634"/>
      </c>
      <c r="BH324" s="200">
        <f t="shared" si="634"/>
      </c>
      <c r="BI324" s="933">
        <f t="shared" si="634"/>
      </c>
      <c r="BJ324" s="200">
        <f t="shared" si="634"/>
      </c>
      <c r="BK324" s="200">
        <f t="shared" ref="BK324:BP324" si="635">BK322+BK323</f>
      </c>
      <c r="BL324" s="200">
        <f t="shared" si="635"/>
      </c>
      <c r="BM324" s="200">
        <f t="shared" si="635"/>
      </c>
      <c r="BN324" s="933">
        <f t="shared" si="635"/>
      </c>
      <c r="BO324" s="200">
        <f t="shared" si="635"/>
      </c>
      <c r="BP324" s="200">
        <f t="shared" si="635"/>
      </c>
      <c r="BQ324" s="200">
        <f>BQ322+BQ323</f>
      </c>
      <c r="BR324" s="200">
        <f>BR322+BR323</f>
      </c>
      <c r="BS324" s="933">
        <f>BS322+BS323</f>
      </c>
      <c r="BT324" s="295">
        <f>BT322+BT323</f>
      </c>
      <c r="BU324" s="200"/>
      <c r="BV324" s="200"/>
      <c r="BW324" s="200"/>
      <c r="BX324" s="933"/>
      <c r="BY324" s="200"/>
      <c r="BZ324" s="200"/>
      <c r="CA324" s="200"/>
      <c r="CB324" s="200"/>
      <c r="CC324" s="933"/>
      <c r="CD324" s="933"/>
      <c r="CE324" s="933"/>
      <c r="CF324" s="933"/>
      <c r="CG324" s="24"/>
    </row>
    <row r="325" spans="1:85" s="586" customFormat="1" hidden="1" outlineLevel="1" x14ac:dyDescent="0.3">
      <c r="A325" s="47" t="s">
        <v>2182</v>
      </c>
      <c r="B325" s="311"/>
      <c r="C325" s="935"/>
      <c r="D325" s="935"/>
      <c r="E325" s="935"/>
      <c r="F325" s="935"/>
      <c r="G325" s="58"/>
      <c r="H325" s="58"/>
      <c r="I325" s="58"/>
      <c r="J325" s="58"/>
      <c r="K325" s="935"/>
      <c r="L325" s="58"/>
      <c r="M325" s="58"/>
      <c r="N325" s="58"/>
      <c r="O325" s="58"/>
      <c r="P325" s="935"/>
      <c r="Q325" s="58"/>
      <c r="R325" s="58"/>
      <c r="S325" s="58"/>
      <c r="T325" s="58"/>
      <c r="U325" s="935"/>
      <c r="V325" s="58"/>
      <c r="W325" s="58"/>
      <c r="X325" s="58"/>
      <c r="Y325" s="58"/>
      <c r="Z325" s="935"/>
      <c r="AA325" s="58"/>
      <c r="AB325" s="58"/>
      <c r="AC325" s="58"/>
      <c r="AD325" s="58"/>
      <c r="AE325" s="935"/>
      <c r="AF325" s="58"/>
      <c r="AG325" s="58"/>
      <c r="AH325" s="58"/>
      <c r="AI325" s="58"/>
      <c r="AJ325" s="935"/>
      <c r="AK325" s="58"/>
      <c r="AL325" s="58"/>
      <c r="AM325" s="58"/>
      <c r="AN325" s="58"/>
      <c r="AO325" s="935"/>
      <c r="AP325" s="58"/>
      <c r="AQ325" s="58"/>
      <c r="AR325" s="58"/>
      <c r="AS325" s="58"/>
      <c r="AT325" s="935">
        <f>AT324/AT316</f>
      </c>
      <c r="AU325" s="58"/>
      <c r="AV325" s="58"/>
      <c r="AW325" s="58"/>
      <c r="AX325" s="58"/>
      <c r="AY325" s="935">
        <f>AY324/AY316</f>
      </c>
      <c r="AZ325" s="58"/>
      <c r="BA325" s="58">
        <f t="shared" ref="BA325:BJ325" si="636">BA324/BA316</f>
      </c>
      <c r="BB325" s="58">
        <f t="shared" si="636"/>
      </c>
      <c r="BC325" s="58">
        <f t="shared" si="636"/>
      </c>
      <c r="BD325" s="935">
        <f t="shared" si="636"/>
      </c>
      <c r="BE325" s="58">
        <f t="shared" si="636"/>
      </c>
      <c r="BF325" s="58">
        <f t="shared" si="636"/>
      </c>
      <c r="BG325" s="58">
        <f t="shared" si="636"/>
      </c>
      <c r="BH325" s="58">
        <f t="shared" si="636"/>
      </c>
      <c r="BI325" s="935">
        <f t="shared" si="636"/>
      </c>
      <c r="BJ325" s="58">
        <f t="shared" si="636"/>
      </c>
      <c r="BK325" s="58">
        <f t="shared" ref="BK325:BP325" si="637">BK324/BK316</f>
      </c>
      <c r="BL325" s="58">
        <f t="shared" si="637"/>
      </c>
      <c r="BM325" s="58">
        <f t="shared" si="637"/>
      </c>
      <c r="BN325" s="935">
        <f t="shared" si="637"/>
      </c>
      <c r="BO325" s="58">
        <f t="shared" si="637"/>
      </c>
      <c r="BP325" s="58">
        <f t="shared" si="637"/>
      </c>
      <c r="BQ325" s="58">
        <f>BQ324/BQ316</f>
      </c>
      <c r="BR325" s="58">
        <f>BR324/BR316</f>
      </c>
      <c r="BS325" s="935">
        <f>BS324/BS316</f>
      </c>
      <c r="BT325" s="669">
        <f>BT324/BT316</f>
      </c>
      <c r="BU325" s="58"/>
      <c r="BV325" s="58"/>
      <c r="BW325" s="58"/>
      <c r="BX325" s="935"/>
      <c r="BY325" s="58"/>
      <c r="BZ325" s="58"/>
      <c r="CA325" s="58"/>
      <c r="CB325" s="58"/>
      <c r="CC325" s="935"/>
      <c r="CD325" s="935"/>
      <c r="CE325" s="935"/>
      <c r="CF325" s="935"/>
      <c r="CG325" s="308"/>
    </row>
    <row r="326" spans="1:85" s="587" customFormat="1" collapsed="1" x14ac:dyDescent="0.3">
      <c r="A326" s="429"/>
      <c r="B326" s="250"/>
      <c r="C326" s="969"/>
      <c r="D326" s="969"/>
      <c r="E326" s="969"/>
      <c r="F326" s="969"/>
      <c r="G326" s="759"/>
      <c r="H326" s="759"/>
      <c r="I326" s="759"/>
      <c r="J326" s="759"/>
      <c r="K326" s="969"/>
      <c r="L326" s="759"/>
      <c r="M326" s="759"/>
      <c r="N326" s="759"/>
      <c r="O326" s="759"/>
      <c r="P326" s="969"/>
      <c r="Q326" s="759"/>
      <c r="R326" s="759"/>
      <c r="S326" s="759"/>
      <c r="T326" s="759"/>
      <c r="U326" s="969"/>
      <c r="V326" s="759"/>
      <c r="W326" s="759"/>
      <c r="X326" s="759"/>
      <c r="Y326" s="759"/>
      <c r="Z326" s="969"/>
      <c r="AA326" s="759"/>
      <c r="AB326" s="759"/>
      <c r="AC326" s="759"/>
      <c r="AD326" s="759"/>
      <c r="AE326" s="969"/>
      <c r="AF326" s="759"/>
      <c r="AG326" s="759"/>
      <c r="AH326" s="759"/>
      <c r="AI326" s="759"/>
      <c r="AJ326" s="969"/>
      <c r="AK326" s="759"/>
      <c r="AL326" s="759"/>
      <c r="AM326" s="759"/>
      <c r="AN326" s="759"/>
      <c r="AO326" s="969"/>
      <c r="AP326" s="759"/>
      <c r="AQ326" s="759"/>
      <c r="AR326" s="759"/>
      <c r="AS326" s="759"/>
      <c r="AT326" s="969"/>
      <c r="AU326" s="759"/>
      <c r="AV326" s="759"/>
      <c r="AW326" s="759"/>
      <c r="AX326" s="759"/>
      <c r="AY326" s="969"/>
      <c r="AZ326" s="759"/>
      <c r="BA326" s="759"/>
      <c r="BB326" s="759"/>
      <c r="BC326" s="759"/>
      <c r="BD326" s="969"/>
      <c r="BE326" s="759"/>
      <c r="BF326" s="759"/>
      <c r="BG326" s="759"/>
      <c r="BH326" s="759"/>
      <c r="BI326" s="969"/>
      <c r="BJ326" s="759"/>
      <c r="BK326" s="759"/>
      <c r="BL326" s="759"/>
      <c r="BM326" s="759"/>
      <c r="BN326" s="969"/>
      <c r="BO326" s="759"/>
      <c r="BP326" s="759"/>
      <c r="BQ326" s="759"/>
      <c r="BR326" s="759"/>
      <c r="BS326" s="969"/>
      <c r="BT326" s="760"/>
      <c r="BU326" s="759"/>
      <c r="BV326" s="759"/>
      <c r="BW326" s="759"/>
      <c r="BX326" s="969"/>
      <c r="BY326" s="759"/>
      <c r="BZ326" s="759"/>
      <c r="CA326" s="759"/>
      <c r="CB326" s="759"/>
      <c r="CC326" s="969"/>
      <c r="CD326" s="969"/>
      <c r="CE326" s="969"/>
      <c r="CF326" s="969"/>
      <c r="CG326" s="459"/>
    </row>
    <row r="327" spans="1:85" x14ac:dyDescent="0.3">
      <c r="A327" s="412" t="s">
        <v>659</v>
      </c>
      <c r="B327" s="180"/>
      <c r="C327" s="798"/>
      <c r="D327" s="798"/>
      <c r="E327" s="798"/>
      <c r="F327" s="798"/>
      <c r="G327" s="798"/>
      <c r="H327" s="798"/>
      <c r="I327" s="798"/>
      <c r="J327" s="798"/>
      <c r="K327" s="798"/>
      <c r="L327" s="798"/>
      <c r="M327" s="798"/>
      <c r="N327" s="798"/>
      <c r="O327" s="798"/>
      <c r="P327" s="798"/>
      <c r="Q327" s="798"/>
      <c r="R327" s="798"/>
      <c r="S327" s="798"/>
      <c r="T327" s="798"/>
      <c r="U327" s="798"/>
      <c r="V327" s="798"/>
      <c r="W327" s="798"/>
      <c r="X327" s="798"/>
      <c r="Y327" s="798"/>
      <c r="Z327" s="798"/>
      <c r="AA327" s="798"/>
      <c r="AB327" s="798"/>
      <c r="AC327" s="798"/>
      <c r="AD327" s="798"/>
      <c r="AE327" s="798"/>
      <c r="AF327" s="798"/>
      <c r="AG327" s="798"/>
      <c r="AH327" s="798"/>
      <c r="AI327" s="798"/>
      <c r="AJ327" s="798"/>
      <c r="AK327" s="798"/>
      <c r="AL327" s="798"/>
      <c r="AM327" s="798"/>
      <c r="AN327" s="798"/>
      <c r="AO327" s="798"/>
      <c r="AP327" s="798"/>
      <c r="AQ327" s="798"/>
      <c r="AR327" s="798"/>
      <c r="AS327" s="798"/>
      <c r="AT327" s="798"/>
      <c r="AU327" s="798"/>
      <c r="AV327" s="798"/>
      <c r="AW327" s="798"/>
      <c r="AX327" s="798"/>
      <c r="AY327" s="798"/>
      <c r="AZ327" s="798"/>
      <c r="BA327" s="798"/>
      <c r="BB327" s="798"/>
      <c r="BC327" s="798"/>
      <c r="BD327" s="798"/>
      <c r="BE327" s="798"/>
      <c r="BF327" s="798"/>
      <c r="BG327" s="798"/>
      <c r="BH327" s="798"/>
      <c r="BI327" s="798"/>
      <c r="BJ327" s="798"/>
      <c r="BK327" s="798"/>
      <c r="BL327" s="798"/>
      <c r="BM327" s="798"/>
      <c r="BN327" s="798"/>
      <c r="BO327" s="798"/>
      <c r="BP327" s="798"/>
      <c r="BQ327" s="798"/>
      <c r="BR327" s="798"/>
      <c r="BS327" s="798"/>
      <c r="BT327" s="799"/>
      <c r="BU327" s="798"/>
      <c r="BV327" s="798"/>
      <c r="BW327" s="798"/>
      <c r="BX327" s="798"/>
      <c r="BY327" s="798"/>
      <c r="BZ327" s="798"/>
      <c r="CA327" s="798"/>
      <c r="CB327" s="798"/>
      <c r="CC327" s="798"/>
      <c r="CD327" s="798"/>
      <c r="CE327" s="798"/>
      <c r="CF327" s="798"/>
      <c r="CG327" s="459"/>
    </row>
    <row r="328" spans="1:85" s="590" customFormat="1" hidden="1" outlineLevel="1" x14ac:dyDescent="0.3">
      <c r="A328" s="389" t="s">
        <v>660</v>
      </c>
      <c r="B328" s="251"/>
      <c r="C328" s="973"/>
      <c r="D328" s="973"/>
      <c r="E328" s="973"/>
      <c r="F328" s="973"/>
      <c r="G328" s="59"/>
      <c r="H328" s="59"/>
      <c r="I328" s="59"/>
      <c r="J328" s="59"/>
      <c r="K328" s="973"/>
      <c r="L328" s="59"/>
      <c r="M328" s="59"/>
      <c r="N328" s="59"/>
      <c r="O328" s="59"/>
      <c r="P328" s="973"/>
      <c r="Q328" s="59"/>
      <c r="R328" s="59"/>
      <c r="S328" s="59"/>
      <c r="T328" s="59"/>
      <c r="U328" s="973"/>
      <c r="V328" s="59"/>
      <c r="W328" s="59"/>
      <c r="X328" s="59"/>
      <c r="Y328" s="59"/>
      <c r="Z328" s="973"/>
      <c r="AA328" s="59"/>
      <c r="AB328" s="59"/>
      <c r="AC328" s="59"/>
      <c r="AD328" s="59"/>
      <c r="AE328" s="973"/>
      <c r="AF328" s="59"/>
      <c r="AG328" s="59"/>
      <c r="AH328" s="59"/>
      <c r="AI328" s="59"/>
      <c r="AJ328" s="973"/>
      <c r="AK328" s="59"/>
      <c r="AL328" s="59"/>
      <c r="AM328" s="59"/>
      <c r="AN328" s="59"/>
      <c r="AO328" s="973"/>
      <c r="AP328" s="59"/>
      <c r="AQ328" s="59"/>
      <c r="AR328" s="59"/>
      <c r="AS328" s="59"/>
      <c r="AT328" s="973"/>
      <c r="AU328" s="867">
        <v>0.06</v>
      </c>
      <c r="AV328" s="867">
        <v>7.0000000000000007E-2</v>
      </c>
      <c r="AW328" s="867">
        <v>0.06</v>
      </c>
      <c r="AX328" s="59"/>
      <c r="AY328" s="973"/>
      <c r="AZ328" s="867">
        <v>6.4000000000000001E-2</v>
      </c>
      <c r="BA328" s="867">
        <v>7.6999999999999999E-2</v>
      </c>
      <c r="BB328" s="867">
        <v>7.5999999999999998E-2</v>
      </c>
      <c r="BC328" s="867">
        <v>0.08</v>
      </c>
      <c r="BD328" s="973"/>
      <c r="BE328" s="867">
        <v>7.0000000000000007E-2</v>
      </c>
      <c r="BF328" s="867">
        <v>8.2000000000000003E-2</v>
      </c>
      <c r="BG328" s="867">
        <v>7.8E-2</v>
      </c>
      <c r="BH328" s="867">
        <v>0.08</v>
      </c>
      <c r="BI328" s="973"/>
      <c r="BJ328" s="867">
        <v>8.1000000000000003E-2</v>
      </c>
      <c r="BK328" s="867">
        <v>8.4000000000000005E-2</v>
      </c>
      <c r="BL328" s="59"/>
      <c r="BM328" s="59"/>
      <c r="BN328" s="973"/>
      <c r="BO328" s="59"/>
      <c r="BP328" s="59"/>
      <c r="BQ328" s="59"/>
      <c r="BR328" s="59"/>
      <c r="BS328" s="973"/>
      <c r="BT328" s="675"/>
      <c r="BU328" s="59"/>
      <c r="BV328" s="59"/>
      <c r="BW328" s="59"/>
      <c r="BX328" s="973"/>
      <c r="BY328" s="59"/>
      <c r="BZ328" s="59"/>
      <c r="CA328" s="59"/>
      <c r="CB328" s="59"/>
      <c r="CC328" s="973"/>
      <c r="CD328" s="973"/>
      <c r="CE328" s="973"/>
      <c r="CF328" s="973"/>
      <c r="CG328" s="8"/>
    </row>
    <row r="329" spans="1:85" s="590" customFormat="1" hidden="1" outlineLevel="1" x14ac:dyDescent="0.3">
      <c r="A329" s="389" t="s">
        <v>661</v>
      </c>
      <c r="B329" s="251"/>
      <c r="C329" s="973"/>
      <c r="D329" s="973"/>
      <c r="E329" s="973"/>
      <c r="F329" s="973"/>
      <c r="G329" s="59"/>
      <c r="H329" s="59"/>
      <c r="I329" s="59"/>
      <c r="J329" s="59"/>
      <c r="K329" s="973"/>
      <c r="L329" s="59"/>
      <c r="M329" s="59"/>
      <c r="N329" s="59"/>
      <c r="O329" s="59"/>
      <c r="P329" s="973"/>
      <c r="Q329" s="59"/>
      <c r="R329" s="59"/>
      <c r="S329" s="59"/>
      <c r="T329" s="59"/>
      <c r="U329" s="973"/>
      <c r="V329" s="59"/>
      <c r="W329" s="59"/>
      <c r="X329" s="59"/>
      <c r="Y329" s="59"/>
      <c r="Z329" s="973"/>
      <c r="AA329" s="59"/>
      <c r="AB329" s="59"/>
      <c r="AC329" s="59"/>
      <c r="AD329" s="59"/>
      <c r="AE329" s="973"/>
      <c r="AF329" s="59"/>
      <c r="AG329" s="59"/>
      <c r="AH329" s="59"/>
      <c r="AI329" s="59"/>
      <c r="AJ329" s="973"/>
      <c r="AK329" s="59"/>
      <c r="AL329" s="59"/>
      <c r="AM329" s="59"/>
      <c r="AN329" s="59"/>
      <c r="AO329" s="973"/>
      <c r="AP329" s="59"/>
      <c r="AQ329" s="59"/>
      <c r="AR329" s="59"/>
      <c r="AS329" s="59"/>
      <c r="AT329" s="973"/>
      <c r="AU329" s="867">
        <v>0.06</v>
      </c>
      <c r="AV329" s="867">
        <v>0.06</v>
      </c>
      <c r="AW329" s="867">
        <v>0.06</v>
      </c>
      <c r="AX329" s="59"/>
      <c r="AY329" s="973"/>
      <c r="AZ329" s="867">
        <v>5.7000000000000002E-2</v>
      </c>
      <c r="BA329" s="59"/>
      <c r="BB329" s="59"/>
      <c r="BC329" s="59"/>
      <c r="BD329" s="973"/>
      <c r="BE329" s="867">
        <v>0.08</v>
      </c>
      <c r="BF329" s="867">
        <v>8.7999999999999995E-2</v>
      </c>
      <c r="BG329" s="867">
        <v>0.09</v>
      </c>
      <c r="BH329" s="867">
        <v>0.09</v>
      </c>
      <c r="BI329" s="973"/>
      <c r="BJ329" s="59"/>
      <c r="BK329" s="867">
        <v>9.9000000000000005E-2</v>
      </c>
      <c r="BL329" s="59"/>
      <c r="BM329" s="59"/>
      <c r="BN329" s="973"/>
      <c r="BO329" s="59"/>
      <c r="BP329" s="59"/>
      <c r="BQ329" s="59"/>
      <c r="BR329" s="59"/>
      <c r="BS329" s="973"/>
      <c r="BT329" s="675"/>
      <c r="BU329" s="59"/>
      <c r="BV329" s="59"/>
      <c r="BW329" s="59"/>
      <c r="BX329" s="973"/>
      <c r="BY329" s="59"/>
      <c r="BZ329" s="59"/>
      <c r="CA329" s="59"/>
      <c r="CB329" s="59"/>
      <c r="CC329" s="973"/>
      <c r="CD329" s="973"/>
      <c r="CE329" s="973"/>
      <c r="CF329" s="973"/>
      <c r="CG329" s="8"/>
    </row>
    <row r="330" spans="1:85" s="590" customFormat="1" hidden="1" outlineLevel="1" x14ac:dyDescent="0.3">
      <c r="A330" s="389" t="s">
        <v>662</v>
      </c>
      <c r="B330" s="251"/>
      <c r="C330" s="973"/>
      <c r="D330" s="973"/>
      <c r="E330" s="973"/>
      <c r="F330" s="973"/>
      <c r="G330" s="59"/>
      <c r="H330" s="59"/>
      <c r="I330" s="59"/>
      <c r="J330" s="59"/>
      <c r="K330" s="973"/>
      <c r="L330" s="59"/>
      <c r="M330" s="59"/>
      <c r="N330" s="59"/>
      <c r="O330" s="59"/>
      <c r="P330" s="973"/>
      <c r="Q330" s="59"/>
      <c r="R330" s="59"/>
      <c r="S330" s="59"/>
      <c r="T330" s="59"/>
      <c r="U330" s="973"/>
      <c r="V330" s="59"/>
      <c r="W330" s="59"/>
      <c r="X330" s="59"/>
      <c r="Y330" s="59"/>
      <c r="Z330" s="973"/>
      <c r="AA330" s="59"/>
      <c r="AB330" s="59"/>
      <c r="AC330" s="59"/>
      <c r="AD330" s="59"/>
      <c r="AE330" s="973"/>
      <c r="AF330" s="59"/>
      <c r="AG330" s="59"/>
      <c r="AH330" s="59"/>
      <c r="AI330" s="59"/>
      <c r="AJ330" s="973"/>
      <c r="AK330" s="59"/>
      <c r="AL330" s="59"/>
      <c r="AM330" s="59"/>
      <c r="AN330" s="59"/>
      <c r="AO330" s="973"/>
      <c r="AP330" s="59"/>
      <c r="AQ330" s="59"/>
      <c r="AR330" s="59"/>
      <c r="AS330" s="59"/>
      <c r="AT330" s="973"/>
      <c r="AU330" s="867">
        <v>0.03</v>
      </c>
      <c r="AV330" s="867">
        <v>0.03</v>
      </c>
      <c r="AW330" s="867">
        <v>0.03</v>
      </c>
      <c r="AX330" s="59"/>
      <c r="AY330" s="973"/>
      <c r="AZ330" s="867">
        <v>0.03</v>
      </c>
      <c r="BA330" s="59"/>
      <c r="BB330" s="59"/>
      <c r="BC330" s="59"/>
      <c r="BD330" s="973"/>
      <c r="BE330" s="59"/>
      <c r="BF330" s="867">
        <v>3.5000000000000003E-2</v>
      </c>
      <c r="BG330" s="867">
        <v>3.5999999999999997E-2</v>
      </c>
      <c r="BH330" s="867">
        <v>0.05</v>
      </c>
      <c r="BI330" s="973"/>
      <c r="BJ330" s="59"/>
      <c r="BK330" s="867">
        <v>0.03</v>
      </c>
      <c r="BL330" s="59"/>
      <c r="BM330" s="59"/>
      <c r="BN330" s="973"/>
      <c r="BO330" s="59"/>
      <c r="BP330" s="59"/>
      <c r="BQ330" s="59"/>
      <c r="BR330" s="59"/>
      <c r="BS330" s="973"/>
      <c r="BT330" s="675"/>
      <c r="BU330" s="59"/>
      <c r="BV330" s="59"/>
      <c r="BW330" s="59"/>
      <c r="BX330" s="973"/>
      <c r="BY330" s="59"/>
      <c r="BZ330" s="59"/>
      <c r="CA330" s="59"/>
      <c r="CB330" s="59"/>
      <c r="CC330" s="973"/>
      <c r="CD330" s="973"/>
      <c r="CE330" s="973"/>
      <c r="CF330" s="973"/>
      <c r="CG330" s="8"/>
    </row>
    <row r="331" spans="1:85" s="590" customFormat="1" hidden="1" outlineLevel="1" x14ac:dyDescent="0.3">
      <c r="A331" s="389" t="s">
        <v>663</v>
      </c>
      <c r="B331" s="251"/>
      <c r="C331" s="973"/>
      <c r="D331" s="973"/>
      <c r="E331" s="973"/>
      <c r="F331" s="973"/>
      <c r="G331" s="59"/>
      <c r="H331" s="59"/>
      <c r="I331" s="59"/>
      <c r="J331" s="59"/>
      <c r="K331" s="973"/>
      <c r="L331" s="59"/>
      <c r="M331" s="59"/>
      <c r="N331" s="59"/>
      <c r="O331" s="59"/>
      <c r="P331" s="973"/>
      <c r="Q331" s="59"/>
      <c r="R331" s="59"/>
      <c r="S331" s="59"/>
      <c r="T331" s="59"/>
      <c r="U331" s="973"/>
      <c r="V331" s="59"/>
      <c r="W331" s="59"/>
      <c r="X331" s="59"/>
      <c r="Y331" s="59"/>
      <c r="Z331" s="973"/>
      <c r="AA331" s="59"/>
      <c r="AB331" s="59"/>
      <c r="AC331" s="59"/>
      <c r="AD331" s="59"/>
      <c r="AE331" s="973"/>
      <c r="AF331" s="59"/>
      <c r="AG331" s="59"/>
      <c r="AH331" s="59"/>
      <c r="AI331" s="59"/>
      <c r="AJ331" s="973"/>
      <c r="AK331" s="59"/>
      <c r="AL331" s="59"/>
      <c r="AM331" s="59"/>
      <c r="AN331" s="59"/>
      <c r="AO331" s="973"/>
      <c r="AP331" s="59"/>
      <c r="AQ331" s="59"/>
      <c r="AR331" s="59"/>
      <c r="AS331" s="59"/>
      <c r="AT331" s="973"/>
      <c r="AU331" s="867">
        <v>0.02</v>
      </c>
      <c r="AV331" s="867">
        <v>0.02</v>
      </c>
      <c r="AW331" s="867">
        <v>0.02</v>
      </c>
      <c r="AX331" s="59"/>
      <c r="AY331" s="973"/>
      <c r="AZ331" s="867">
        <v>2.3E-2</v>
      </c>
      <c r="BA331" s="59"/>
      <c r="BB331" s="59"/>
      <c r="BC331" s="59"/>
      <c r="BD331" s="973"/>
      <c r="BE331" s="867">
        <v>0.03</v>
      </c>
      <c r="BF331" s="867">
        <v>3.2000000000000001E-2</v>
      </c>
      <c r="BG331" s="867">
        <v>3.5999999999999997E-2</v>
      </c>
      <c r="BH331" s="867">
        <v>0.03</v>
      </c>
      <c r="BI331" s="973"/>
      <c r="BJ331" s="59"/>
      <c r="BK331" s="867">
        <v>3.1E-2</v>
      </c>
      <c r="BL331" s="59"/>
      <c r="BM331" s="59"/>
      <c r="BN331" s="973"/>
      <c r="BO331" s="59"/>
      <c r="BP331" s="59"/>
      <c r="BQ331" s="59"/>
      <c r="BR331" s="59"/>
      <c r="BS331" s="973"/>
      <c r="BT331" s="675"/>
      <c r="BU331" s="59"/>
      <c r="BV331" s="59"/>
      <c r="BW331" s="59"/>
      <c r="BX331" s="973"/>
      <c r="BY331" s="59"/>
      <c r="BZ331" s="59"/>
      <c r="CA331" s="59"/>
      <c r="CB331" s="59"/>
      <c r="CC331" s="973"/>
      <c r="CD331" s="973"/>
      <c r="CE331" s="973"/>
      <c r="CF331" s="973"/>
      <c r="CG331" s="8"/>
    </row>
    <row r="332" spans="1:85" s="590" customFormat="1" hidden="1" outlineLevel="1" x14ac:dyDescent="0.3">
      <c r="A332" s="389" t="s">
        <v>664</v>
      </c>
      <c r="B332" s="251"/>
      <c r="C332" s="973"/>
      <c r="D332" s="973"/>
      <c r="E332" s="973"/>
      <c r="F332" s="973"/>
      <c r="G332" s="59"/>
      <c r="H332" s="59"/>
      <c r="I332" s="59"/>
      <c r="J332" s="59"/>
      <c r="K332" s="973"/>
      <c r="L332" s="59"/>
      <c r="M332" s="59"/>
      <c r="N332" s="59"/>
      <c r="O332" s="59"/>
      <c r="P332" s="973"/>
      <c r="Q332" s="59"/>
      <c r="R332" s="59"/>
      <c r="S332" s="59"/>
      <c r="T332" s="59"/>
      <c r="U332" s="973"/>
      <c r="V332" s="59"/>
      <c r="W332" s="59"/>
      <c r="X332" s="59"/>
      <c r="Y332" s="59"/>
      <c r="Z332" s="973"/>
      <c r="AA332" s="59"/>
      <c r="AB332" s="59"/>
      <c r="AC332" s="59"/>
      <c r="AD332" s="59"/>
      <c r="AE332" s="973"/>
      <c r="AF332" s="59"/>
      <c r="AG332" s="59"/>
      <c r="AH332" s="59"/>
      <c r="AI332" s="59"/>
      <c r="AJ332" s="973"/>
      <c r="AK332" s="59"/>
      <c r="AL332" s="59"/>
      <c r="AM332" s="59"/>
      <c r="AN332" s="59"/>
      <c r="AO332" s="973"/>
      <c r="AP332" s="59"/>
      <c r="AQ332" s="59"/>
      <c r="AR332" s="59"/>
      <c r="AS332" s="59"/>
      <c r="AT332" s="973"/>
      <c r="AU332" s="867">
        <v>0.01</v>
      </c>
      <c r="AV332" s="867">
        <v>0.02</v>
      </c>
      <c r="AW332" s="867">
        <v>0.01</v>
      </c>
      <c r="AX332" s="59"/>
      <c r="AY332" s="973"/>
      <c r="AZ332" s="867">
        <v>1.7000000000000001E-2</v>
      </c>
      <c r="BA332" s="59"/>
      <c r="BB332" s="59"/>
      <c r="BC332" s="59"/>
      <c r="BD332" s="973"/>
      <c r="BE332" s="867">
        <v>0.05</v>
      </c>
      <c r="BF332" s="867">
        <v>0.02</v>
      </c>
      <c r="BG332" s="867">
        <v>1.9E-2</v>
      </c>
      <c r="BH332" s="59"/>
      <c r="BI332" s="973"/>
      <c r="BJ332" s="59"/>
      <c r="BK332" s="867">
        <v>0.02</v>
      </c>
      <c r="BL332" s="59"/>
      <c r="BM332" s="59"/>
      <c r="BN332" s="973"/>
      <c r="BO332" s="59"/>
      <c r="BP332" s="59"/>
      <c r="BQ332" s="59"/>
      <c r="BR332" s="59"/>
      <c r="BS332" s="973"/>
      <c r="BT332" s="675"/>
      <c r="BU332" s="59"/>
      <c r="BV332" s="59"/>
      <c r="BW332" s="59"/>
      <c r="BX332" s="973"/>
      <c r="BY332" s="59"/>
      <c r="BZ332" s="59"/>
      <c r="CA332" s="59"/>
      <c r="CB332" s="59"/>
      <c r="CC332" s="973"/>
      <c r="CD332" s="973"/>
      <c r="CE332" s="973"/>
      <c r="CF332" s="973"/>
      <c r="CG332" s="8"/>
    </row>
    <row r="333" spans="1:85" s="590" customFormat="1" hidden="1" outlineLevel="1" x14ac:dyDescent="0.3">
      <c r="A333" s="389" t="s">
        <v>977</v>
      </c>
      <c r="B333" s="251"/>
      <c r="C333" s="973"/>
      <c r="D333" s="973"/>
      <c r="E333" s="973"/>
      <c r="F333" s="973"/>
      <c r="G333" s="59"/>
      <c r="H333" s="59"/>
      <c r="I333" s="59"/>
      <c r="J333" s="59"/>
      <c r="K333" s="973"/>
      <c r="L333" s="59"/>
      <c r="M333" s="59"/>
      <c r="N333" s="59"/>
      <c r="O333" s="59"/>
      <c r="P333" s="973"/>
      <c r="Q333" s="59"/>
      <c r="R333" s="59"/>
      <c r="S333" s="59"/>
      <c r="T333" s="59"/>
      <c r="U333" s="973"/>
      <c r="V333" s="59"/>
      <c r="W333" s="59"/>
      <c r="X333" s="59"/>
      <c r="Y333" s="59"/>
      <c r="Z333" s="973"/>
      <c r="AA333" s="59"/>
      <c r="AB333" s="59"/>
      <c r="AC333" s="59"/>
      <c r="AD333" s="59"/>
      <c r="AE333" s="973"/>
      <c r="AF333" s="59"/>
      <c r="AG333" s="59"/>
      <c r="AH333" s="59"/>
      <c r="AI333" s="59"/>
      <c r="AJ333" s="973"/>
      <c r="AK333" s="59"/>
      <c r="AL333" s="59"/>
      <c r="AM333" s="59"/>
      <c r="AN333" s="59"/>
      <c r="AO333" s="973"/>
      <c r="AP333" s="59"/>
      <c r="AQ333" s="59"/>
      <c r="AR333" s="59"/>
      <c r="AS333" s="59"/>
      <c r="AT333" s="973"/>
      <c r="AU333" s="59"/>
      <c r="AV333" s="59"/>
      <c r="AW333" s="59"/>
      <c r="AX333" s="59"/>
      <c r="AY333" s="973"/>
      <c r="AZ333" s="59"/>
      <c r="BA333" s="59"/>
      <c r="BB333" s="59"/>
      <c r="BC333" s="59"/>
      <c r="BD333" s="973"/>
      <c r="BE333" s="59"/>
      <c r="BF333" s="867">
        <v>1.4E-2</v>
      </c>
      <c r="BG333" s="867">
        <v>1.2E-2</v>
      </c>
      <c r="BH333" s="59"/>
      <c r="BI333" s="973"/>
      <c r="BJ333" s="59"/>
      <c r="BK333" s="867">
        <v>1.4E-2</v>
      </c>
      <c r="BL333" s="59"/>
      <c r="BM333" s="59"/>
      <c r="BN333" s="973"/>
      <c r="BO333" s="59"/>
      <c r="BP333" s="59"/>
      <c r="BQ333" s="59"/>
      <c r="BR333" s="59"/>
      <c r="BS333" s="973"/>
      <c r="BT333" s="675"/>
      <c r="BU333" s="59"/>
      <c r="BV333" s="59"/>
      <c r="BW333" s="59"/>
      <c r="BX333" s="973"/>
      <c r="BY333" s="59"/>
      <c r="BZ333" s="59"/>
      <c r="CA333" s="59"/>
      <c r="CB333" s="59"/>
      <c r="CC333" s="973"/>
      <c r="CD333" s="973"/>
      <c r="CE333" s="973"/>
      <c r="CF333" s="973"/>
      <c r="CG333" s="8"/>
    </row>
    <row r="334" spans="1:85" s="590" customFormat="1" hidden="1" outlineLevel="1" x14ac:dyDescent="0.3">
      <c r="A334" s="389" t="s">
        <v>978</v>
      </c>
      <c r="B334" s="251"/>
      <c r="C334" s="973"/>
      <c r="D334" s="973"/>
      <c r="E334" s="973"/>
      <c r="F334" s="973"/>
      <c r="G334" s="59"/>
      <c r="H334" s="59"/>
      <c r="I334" s="59"/>
      <c r="J334" s="59"/>
      <c r="K334" s="973"/>
      <c r="L334" s="59"/>
      <c r="M334" s="59"/>
      <c r="N334" s="59"/>
      <c r="O334" s="59"/>
      <c r="P334" s="973"/>
      <c r="Q334" s="59"/>
      <c r="R334" s="59"/>
      <c r="S334" s="59"/>
      <c r="T334" s="59"/>
      <c r="U334" s="973"/>
      <c r="V334" s="59"/>
      <c r="W334" s="59"/>
      <c r="X334" s="59"/>
      <c r="Y334" s="59"/>
      <c r="Z334" s="973"/>
      <c r="AA334" s="59"/>
      <c r="AB334" s="59"/>
      <c r="AC334" s="59"/>
      <c r="AD334" s="59"/>
      <c r="AE334" s="973"/>
      <c r="AF334" s="59"/>
      <c r="AG334" s="59"/>
      <c r="AH334" s="59"/>
      <c r="AI334" s="59"/>
      <c r="AJ334" s="973"/>
      <c r="AK334" s="59"/>
      <c r="AL334" s="59"/>
      <c r="AM334" s="59"/>
      <c r="AN334" s="59"/>
      <c r="AO334" s="973"/>
      <c r="AP334" s="59"/>
      <c r="AQ334" s="59"/>
      <c r="AR334" s="59"/>
      <c r="AS334" s="59"/>
      <c r="AT334" s="973"/>
      <c r="AU334" s="59"/>
      <c r="AV334" s="59"/>
      <c r="AW334" s="59"/>
      <c r="AX334" s="59"/>
      <c r="AY334" s="973"/>
      <c r="AZ334" s="59"/>
      <c r="BA334" s="59"/>
      <c r="BB334" s="59"/>
      <c r="BC334" s="59"/>
      <c r="BD334" s="973"/>
      <c r="BE334" s="59"/>
      <c r="BF334" s="867">
        <v>1.4E-2</v>
      </c>
      <c r="BG334" s="867">
        <v>1.2999999999999999E-2</v>
      </c>
      <c r="BH334" s="59"/>
      <c r="BI334" s="973"/>
      <c r="BJ334" s="59"/>
      <c r="BK334" s="867">
        <v>0.02</v>
      </c>
      <c r="BL334" s="59"/>
      <c r="BM334" s="59"/>
      <c r="BN334" s="973"/>
      <c r="BO334" s="59"/>
      <c r="BP334" s="59"/>
      <c r="BQ334" s="59"/>
      <c r="BR334" s="59"/>
      <c r="BS334" s="973"/>
      <c r="BT334" s="675"/>
      <c r="BU334" s="59"/>
      <c r="BV334" s="59"/>
      <c r="BW334" s="59"/>
      <c r="BX334" s="973"/>
      <c r="BY334" s="59"/>
      <c r="BZ334" s="59"/>
      <c r="CA334" s="59"/>
      <c r="CB334" s="59"/>
      <c r="CC334" s="973"/>
      <c r="CD334" s="973"/>
      <c r="CE334" s="973"/>
      <c r="CF334" s="973"/>
      <c r="CG334" s="8"/>
    </row>
    <row r="335" spans="1:85" s="590" customFormat="1" hidden="1" outlineLevel="1" x14ac:dyDescent="0.3">
      <c r="A335" s="389" t="s">
        <v>979</v>
      </c>
      <c r="B335" s="251"/>
      <c r="C335" s="973"/>
      <c r="D335" s="973"/>
      <c r="E335" s="973"/>
      <c r="F335" s="973"/>
      <c r="G335" s="59"/>
      <c r="H335" s="59"/>
      <c r="I335" s="59"/>
      <c r="J335" s="59"/>
      <c r="K335" s="973"/>
      <c r="L335" s="59"/>
      <c r="M335" s="59"/>
      <c r="N335" s="59"/>
      <c r="O335" s="59"/>
      <c r="P335" s="973"/>
      <c r="Q335" s="59"/>
      <c r="R335" s="59"/>
      <c r="S335" s="59"/>
      <c r="T335" s="59"/>
      <c r="U335" s="973"/>
      <c r="V335" s="59"/>
      <c r="W335" s="59"/>
      <c r="X335" s="59"/>
      <c r="Y335" s="59"/>
      <c r="Z335" s="973"/>
      <c r="AA335" s="59"/>
      <c r="AB335" s="59"/>
      <c r="AC335" s="59"/>
      <c r="AD335" s="59"/>
      <c r="AE335" s="973"/>
      <c r="AF335" s="59"/>
      <c r="AG335" s="59"/>
      <c r="AH335" s="59"/>
      <c r="AI335" s="59"/>
      <c r="AJ335" s="973"/>
      <c r="AK335" s="59"/>
      <c r="AL335" s="59"/>
      <c r="AM335" s="59"/>
      <c r="AN335" s="59"/>
      <c r="AO335" s="973"/>
      <c r="AP335" s="59"/>
      <c r="AQ335" s="59"/>
      <c r="AR335" s="59"/>
      <c r="AS335" s="59"/>
      <c r="AT335" s="973"/>
      <c r="AU335" s="59"/>
      <c r="AV335" s="59"/>
      <c r="AW335" s="59"/>
      <c r="AX335" s="59"/>
      <c r="AY335" s="973"/>
      <c r="AZ335" s="59"/>
      <c r="BA335" s="59"/>
      <c r="BB335" s="59"/>
      <c r="BC335" s="59"/>
      <c r="BD335" s="973"/>
      <c r="BE335" s="59"/>
      <c r="BF335" s="867">
        <v>1.2E-2</v>
      </c>
      <c r="BG335" s="867">
        <v>1.0999999999999999E-2</v>
      </c>
      <c r="BH335" s="59"/>
      <c r="BI335" s="973"/>
      <c r="BJ335" s="59"/>
      <c r="BK335" s="867">
        <v>1.2E-2</v>
      </c>
      <c r="BL335" s="59"/>
      <c r="BM335" s="59"/>
      <c r="BN335" s="973"/>
      <c r="BO335" s="59"/>
      <c r="BP335" s="59"/>
      <c r="BQ335" s="59"/>
      <c r="BR335" s="59"/>
      <c r="BS335" s="973"/>
      <c r="BT335" s="675"/>
      <c r="BU335" s="59"/>
      <c r="BV335" s="59"/>
      <c r="BW335" s="59"/>
      <c r="BX335" s="973"/>
      <c r="BY335" s="59"/>
      <c r="BZ335" s="59"/>
      <c r="CA335" s="59"/>
      <c r="CB335" s="59"/>
      <c r="CC335" s="973"/>
      <c r="CD335" s="973"/>
      <c r="CE335" s="973"/>
      <c r="CF335" s="973"/>
      <c r="CG335" s="8"/>
    </row>
    <row r="336" spans="1:85" s="590" customFormat="1" hidden="1" outlineLevel="1" x14ac:dyDescent="0.3">
      <c r="A336" s="389" t="s">
        <v>982</v>
      </c>
      <c r="B336" s="251"/>
      <c r="C336" s="973"/>
      <c r="D336" s="973"/>
      <c r="E336" s="973"/>
      <c r="F336" s="973"/>
      <c r="G336" s="59"/>
      <c r="H336" s="59"/>
      <c r="I336" s="59"/>
      <c r="J336" s="59"/>
      <c r="K336" s="973"/>
      <c r="L336" s="59"/>
      <c r="M336" s="59"/>
      <c r="N336" s="59"/>
      <c r="O336" s="59"/>
      <c r="P336" s="973"/>
      <c r="Q336" s="59"/>
      <c r="R336" s="59"/>
      <c r="S336" s="59"/>
      <c r="T336" s="59"/>
      <c r="U336" s="973"/>
      <c r="V336" s="59"/>
      <c r="W336" s="59"/>
      <c r="X336" s="59"/>
      <c r="Y336" s="59"/>
      <c r="Z336" s="973"/>
      <c r="AA336" s="59"/>
      <c r="AB336" s="59"/>
      <c r="AC336" s="59"/>
      <c r="AD336" s="59"/>
      <c r="AE336" s="973"/>
      <c r="AF336" s="59"/>
      <c r="AG336" s="59"/>
      <c r="AH336" s="59"/>
      <c r="AI336" s="59"/>
      <c r="AJ336" s="973"/>
      <c r="AK336" s="59"/>
      <c r="AL336" s="59"/>
      <c r="AM336" s="59"/>
      <c r="AN336" s="59"/>
      <c r="AO336" s="973"/>
      <c r="AP336" s="59"/>
      <c r="AQ336" s="59"/>
      <c r="AR336" s="59"/>
      <c r="AS336" s="59"/>
      <c r="AT336" s="973"/>
      <c r="AU336" s="59"/>
      <c r="AV336" s="59"/>
      <c r="AW336" s="59"/>
      <c r="AX336" s="59"/>
      <c r="AY336" s="973"/>
      <c r="AZ336" s="59"/>
      <c r="BA336" s="59"/>
      <c r="BB336" s="59"/>
      <c r="BC336" s="59"/>
      <c r="BD336" s="973"/>
      <c r="BE336" s="59"/>
      <c r="BF336" s="867">
        <v>0.01</v>
      </c>
      <c r="BG336" s="867">
        <v>0.01</v>
      </c>
      <c r="BH336" s="59"/>
      <c r="BI336" s="973"/>
      <c r="BJ336" s="59"/>
      <c r="BK336" s="867">
        <v>1.0999999999999999E-2</v>
      </c>
      <c r="BL336" s="59"/>
      <c r="BM336" s="59"/>
      <c r="BN336" s="973"/>
      <c r="BO336" s="59"/>
      <c r="BP336" s="59"/>
      <c r="BQ336" s="59"/>
      <c r="BR336" s="59"/>
      <c r="BS336" s="973"/>
      <c r="BT336" s="675"/>
      <c r="BU336" s="59"/>
      <c r="BV336" s="59"/>
      <c r="BW336" s="59"/>
      <c r="BX336" s="973"/>
      <c r="BY336" s="59"/>
      <c r="BZ336" s="59"/>
      <c r="CA336" s="59"/>
      <c r="CB336" s="59"/>
      <c r="CC336" s="973"/>
      <c r="CD336" s="973"/>
      <c r="CE336" s="973"/>
      <c r="CF336" s="973"/>
      <c r="CG336" s="8"/>
    </row>
    <row r="337" spans="1:85" s="590" customFormat="1" hidden="1" outlineLevel="1" x14ac:dyDescent="0.3">
      <c r="A337" s="389" t="s">
        <v>980</v>
      </c>
      <c r="B337" s="251"/>
      <c r="C337" s="973"/>
      <c r="D337" s="973"/>
      <c r="E337" s="973"/>
      <c r="F337" s="973"/>
      <c r="G337" s="59"/>
      <c r="H337" s="59"/>
      <c r="I337" s="59"/>
      <c r="J337" s="59"/>
      <c r="K337" s="973"/>
      <c r="L337" s="59"/>
      <c r="M337" s="59"/>
      <c r="N337" s="59"/>
      <c r="O337" s="59"/>
      <c r="P337" s="973"/>
      <c r="Q337" s="59"/>
      <c r="R337" s="59"/>
      <c r="S337" s="59"/>
      <c r="T337" s="59"/>
      <c r="U337" s="973"/>
      <c r="V337" s="59"/>
      <c r="W337" s="59"/>
      <c r="X337" s="59"/>
      <c r="Y337" s="59"/>
      <c r="Z337" s="973"/>
      <c r="AA337" s="59"/>
      <c r="AB337" s="59"/>
      <c r="AC337" s="59"/>
      <c r="AD337" s="59"/>
      <c r="AE337" s="973"/>
      <c r="AF337" s="59"/>
      <c r="AG337" s="59"/>
      <c r="AH337" s="59"/>
      <c r="AI337" s="59"/>
      <c r="AJ337" s="973"/>
      <c r="AK337" s="59"/>
      <c r="AL337" s="59"/>
      <c r="AM337" s="59"/>
      <c r="AN337" s="59"/>
      <c r="AO337" s="973"/>
      <c r="AP337" s="59"/>
      <c r="AQ337" s="59"/>
      <c r="AR337" s="59"/>
      <c r="AS337" s="59"/>
      <c r="AT337" s="973"/>
      <c r="AU337" s="59"/>
      <c r="AV337" s="59"/>
      <c r="AW337" s="59"/>
      <c r="AX337" s="59"/>
      <c r="AY337" s="973"/>
      <c r="AZ337" s="59"/>
      <c r="BA337" s="59"/>
      <c r="BB337" s="59"/>
      <c r="BC337" s="59"/>
      <c r="BD337" s="973"/>
      <c r="BE337" s="59"/>
      <c r="BF337" s="867">
        <v>0.01</v>
      </c>
      <c r="BG337" s="867">
        <v>1.0999999999999999E-2</v>
      </c>
      <c r="BH337" s="59"/>
      <c r="BI337" s="973"/>
      <c r="BJ337" s="59"/>
      <c r="BK337" s="867">
        <v>1.4999999999999999E-2</v>
      </c>
      <c r="BL337" s="59"/>
      <c r="BM337" s="59"/>
      <c r="BN337" s="973"/>
      <c r="BO337" s="59"/>
      <c r="BP337" s="59"/>
      <c r="BQ337" s="59"/>
      <c r="BR337" s="59"/>
      <c r="BS337" s="973"/>
      <c r="BT337" s="675"/>
      <c r="BU337" s="59"/>
      <c r="BV337" s="59"/>
      <c r="BW337" s="59"/>
      <c r="BX337" s="973"/>
      <c r="BY337" s="59"/>
      <c r="BZ337" s="59"/>
      <c r="CA337" s="59"/>
      <c r="CB337" s="59"/>
      <c r="CC337" s="973"/>
      <c r="CD337" s="973"/>
      <c r="CE337" s="973"/>
      <c r="CF337" s="973"/>
      <c r="CG337" s="8"/>
    </row>
    <row r="338" spans="1:85" s="590" customFormat="1" hidden="1" outlineLevel="1" x14ac:dyDescent="0.3">
      <c r="A338" s="389" t="s">
        <v>981</v>
      </c>
      <c r="B338" s="251"/>
      <c r="C338" s="973"/>
      <c r="D338" s="973"/>
      <c r="E338" s="973"/>
      <c r="F338" s="973"/>
      <c r="G338" s="59"/>
      <c r="H338" s="59"/>
      <c r="I338" s="59"/>
      <c r="J338" s="59"/>
      <c r="K338" s="973"/>
      <c r="L338" s="59"/>
      <c r="M338" s="59"/>
      <c r="N338" s="59"/>
      <c r="O338" s="59"/>
      <c r="P338" s="973"/>
      <c r="Q338" s="59"/>
      <c r="R338" s="59"/>
      <c r="S338" s="59"/>
      <c r="T338" s="59"/>
      <c r="U338" s="973"/>
      <c r="V338" s="59"/>
      <c r="W338" s="59"/>
      <c r="X338" s="59"/>
      <c r="Y338" s="59"/>
      <c r="Z338" s="973"/>
      <c r="AA338" s="59"/>
      <c r="AB338" s="59"/>
      <c r="AC338" s="59"/>
      <c r="AD338" s="59"/>
      <c r="AE338" s="973"/>
      <c r="AF338" s="59"/>
      <c r="AG338" s="59"/>
      <c r="AH338" s="59"/>
      <c r="AI338" s="59"/>
      <c r="AJ338" s="973"/>
      <c r="AK338" s="59"/>
      <c r="AL338" s="59"/>
      <c r="AM338" s="59"/>
      <c r="AN338" s="59"/>
      <c r="AO338" s="973"/>
      <c r="AP338" s="59"/>
      <c r="AQ338" s="59"/>
      <c r="AR338" s="59"/>
      <c r="AS338" s="59"/>
      <c r="AT338" s="973"/>
      <c r="AU338" s="59"/>
      <c r="AV338" s="59"/>
      <c r="AW338" s="59"/>
      <c r="AX338" s="59"/>
      <c r="AY338" s="973"/>
      <c r="AZ338" s="59"/>
      <c r="BA338" s="59"/>
      <c r="BB338" s="59"/>
      <c r="BC338" s="59"/>
      <c r="BD338" s="973"/>
      <c r="BE338" s="59"/>
      <c r="BF338" s="867">
        <v>8.9999999999999993E-3</v>
      </c>
      <c r="BG338" s="867">
        <v>8.0000000000000002E-3</v>
      </c>
      <c r="BH338" s="59"/>
      <c r="BI338" s="973"/>
      <c r="BJ338" s="59"/>
      <c r="BK338" s="867">
        <v>8.0000000000000002E-3</v>
      </c>
      <c r="BL338" s="59"/>
      <c r="BM338" s="59"/>
      <c r="BN338" s="973"/>
      <c r="BO338" s="59"/>
      <c r="BP338" s="59"/>
      <c r="BQ338" s="59"/>
      <c r="BR338" s="59"/>
      <c r="BS338" s="973"/>
      <c r="BT338" s="675"/>
      <c r="BU338" s="59"/>
      <c r="BV338" s="59"/>
      <c r="BW338" s="59"/>
      <c r="BX338" s="973"/>
      <c r="BY338" s="59"/>
      <c r="BZ338" s="59"/>
      <c r="CA338" s="59"/>
      <c r="CB338" s="59"/>
      <c r="CC338" s="973"/>
      <c r="CD338" s="973"/>
      <c r="CE338" s="973"/>
      <c r="CF338" s="973"/>
      <c r="CG338" s="8"/>
    </row>
    <row r="339" spans="1:85" s="590" customFormat="1" hidden="1" outlineLevel="1" x14ac:dyDescent="0.3">
      <c r="A339" s="390" t="s">
        <v>665</v>
      </c>
      <c r="B339" s="253"/>
      <c r="C339" s="975"/>
      <c r="D339" s="975"/>
      <c r="E339" s="975"/>
      <c r="F339" s="975"/>
      <c r="G339" s="157"/>
      <c r="H339" s="157"/>
      <c r="I339" s="157"/>
      <c r="J339" s="157"/>
      <c r="K339" s="975"/>
      <c r="L339" s="157"/>
      <c r="M339" s="157"/>
      <c r="N339" s="157"/>
      <c r="O339" s="157"/>
      <c r="P339" s="975"/>
      <c r="Q339" s="157"/>
      <c r="R339" s="157"/>
      <c r="S339" s="157"/>
      <c r="T339" s="157"/>
      <c r="U339" s="975"/>
      <c r="V339" s="157"/>
      <c r="W339" s="157"/>
      <c r="X339" s="157"/>
      <c r="Y339" s="157"/>
      <c r="Z339" s="975"/>
      <c r="AA339" s="157"/>
      <c r="AB339" s="157"/>
      <c r="AC339" s="157"/>
      <c r="AD339" s="157"/>
      <c r="AE339" s="975"/>
      <c r="AF339" s="157"/>
      <c r="AG339" s="157"/>
      <c r="AH339" s="157"/>
      <c r="AI339" s="157"/>
      <c r="AJ339" s="975"/>
      <c r="AK339" s="157"/>
      <c r="AL339" s="157"/>
      <c r="AM339" s="157"/>
      <c r="AN339" s="157"/>
      <c r="AO339" s="975"/>
      <c r="AP339" s="157"/>
      <c r="AQ339" s="157"/>
      <c r="AR339" s="157"/>
      <c r="AS339" s="157"/>
      <c r="AT339" s="975"/>
      <c r="AU339" s="868">
        <v>0.08</v>
      </c>
      <c r="AV339" s="868">
        <v>0.08</v>
      </c>
      <c r="AW339" s="868">
        <v>0.09</v>
      </c>
      <c r="AX339" s="157"/>
      <c r="AY339" s="975"/>
      <c r="AZ339" s="868">
        <v>9.5000000000000001E-2</v>
      </c>
      <c r="BA339" s="157"/>
      <c r="BB339" s="157"/>
      <c r="BC339" s="157"/>
      <c r="BD339" s="975"/>
      <c r="BE339" s="157">
        <f>BE340-SUM(BE328:BE332)</f>
      </c>
      <c r="BF339" s="868">
        <v>5.0999999999999997E-2</v>
      </c>
      <c r="BG339" s="868">
        <f>5%+0.1%</f>
      </c>
      <c r="BH339" s="157">
        <f>BH340-SUM(BH328:BH338)</f>
      </c>
      <c r="BI339" s="975"/>
      <c r="BJ339" s="157">
        <f>BJ340-SUM(BJ328:BJ332)</f>
      </c>
      <c r="BK339" s="868">
        <v>5.8999999999999997E-2</v>
      </c>
      <c r="BL339" s="157"/>
      <c r="BM339" s="157"/>
      <c r="BN339" s="975"/>
      <c r="BO339" s="157"/>
      <c r="BP339" s="157"/>
      <c r="BQ339" s="157"/>
      <c r="BR339" s="157"/>
      <c r="BS339" s="975"/>
      <c r="BT339" s="676"/>
      <c r="BU339" s="157"/>
      <c r="BV339" s="157"/>
      <c r="BW339" s="157"/>
      <c r="BX339" s="975"/>
      <c r="BY339" s="157"/>
      <c r="BZ339" s="157"/>
      <c r="CA339" s="157"/>
      <c r="CB339" s="157"/>
      <c r="CC339" s="975"/>
      <c r="CD339" s="975"/>
      <c r="CE339" s="975"/>
      <c r="CF339" s="975"/>
      <c r="CG339" s="8"/>
    </row>
    <row r="340" spans="1:85" s="590" customFormat="1" hidden="1" outlineLevel="1" x14ac:dyDescent="0.3">
      <c r="A340" s="262" t="s">
        <v>666</v>
      </c>
      <c r="B340" s="251"/>
      <c r="C340" s="973"/>
      <c r="D340" s="973"/>
      <c r="E340" s="973"/>
      <c r="F340" s="973"/>
      <c r="G340" s="59"/>
      <c r="H340" s="59"/>
      <c r="I340" s="59"/>
      <c r="J340" s="59"/>
      <c r="K340" s="973"/>
      <c r="L340" s="59"/>
      <c r="M340" s="59"/>
      <c r="N340" s="59"/>
      <c r="O340" s="59"/>
      <c r="P340" s="973"/>
      <c r="Q340" s="59"/>
      <c r="R340" s="59"/>
      <c r="S340" s="59"/>
      <c r="T340" s="59"/>
      <c r="U340" s="973"/>
      <c r="V340" s="59"/>
      <c r="W340" s="59"/>
      <c r="X340" s="59"/>
      <c r="Y340" s="59"/>
      <c r="Z340" s="973"/>
      <c r="AA340" s="59"/>
      <c r="AB340" s="59"/>
      <c r="AC340" s="59"/>
      <c r="AD340" s="59"/>
      <c r="AE340" s="973"/>
      <c r="AF340" s="59"/>
      <c r="AG340" s="59"/>
      <c r="AH340" s="59"/>
      <c r="AI340" s="59"/>
      <c r="AJ340" s="973"/>
      <c r="AK340" s="59"/>
      <c r="AL340" s="59"/>
      <c r="AM340" s="59"/>
      <c r="AN340" s="59"/>
      <c r="AO340" s="973"/>
      <c r="AP340" s="59"/>
      <c r="AQ340" s="59"/>
      <c r="AR340" s="59"/>
      <c r="AS340" s="59"/>
      <c r="AT340" s="973"/>
      <c r="AU340" s="59">
        <f>SUM(AU328:AU339)</f>
      </c>
      <c r="AV340" s="59">
        <f>SUM(AV328:AV339)</f>
      </c>
      <c r="AW340" s="867">
        <v>0.28000000000000003</v>
      </c>
      <c r="AX340" s="59"/>
      <c r="AY340" s="973"/>
      <c r="AZ340" s="59">
        <f>SUM(AZ328:AZ339)</f>
      </c>
      <c r="BA340" s="59"/>
      <c r="BB340" s="59"/>
      <c r="BC340" s="59"/>
      <c r="BD340" s="973"/>
      <c r="BE340" s="867">
        <v>0.34</v>
      </c>
      <c r="BF340" s="59">
        <f>SUM(BF328:BF339)</f>
      </c>
      <c r="BG340" s="59">
        <f>SUM(BG328:BG339)</f>
      </c>
      <c r="BH340" s="867">
        <v>0.36</v>
      </c>
      <c r="BI340" s="973"/>
      <c r="BJ340" s="867">
        <v>0.38500000000000001</v>
      </c>
      <c r="BK340" s="59">
        <f>SUM(BK328:BK339)</f>
      </c>
      <c r="BL340" s="59"/>
      <c r="BM340" s="59"/>
      <c r="BN340" s="973"/>
      <c r="BO340" s="59"/>
      <c r="BP340" s="59"/>
      <c r="BQ340" s="59"/>
      <c r="BR340" s="59"/>
      <c r="BS340" s="973"/>
      <c r="BT340" s="675"/>
      <c r="BU340" s="59"/>
      <c r="BV340" s="59"/>
      <c r="BW340" s="59"/>
      <c r="BX340" s="973"/>
      <c r="BY340" s="59"/>
      <c r="BZ340" s="59"/>
      <c r="CA340" s="59"/>
      <c r="CB340" s="59"/>
      <c r="CC340" s="973"/>
      <c r="CD340" s="973"/>
      <c r="CE340" s="973"/>
      <c r="CF340" s="973"/>
      <c r="CG340" s="8"/>
    </row>
    <row r="341" spans="1:85" s="590" customFormat="1" hidden="1" outlineLevel="1" x14ac:dyDescent="0.3">
      <c r="A341" s="262" t="s">
        <v>667</v>
      </c>
      <c r="B341" s="251"/>
      <c r="C341" s="973"/>
      <c r="D341" s="973"/>
      <c r="E341" s="973"/>
      <c r="F341" s="973"/>
      <c r="G341" s="59"/>
      <c r="H341" s="59"/>
      <c r="I341" s="59"/>
      <c r="J341" s="59"/>
      <c r="K341" s="973"/>
      <c r="L341" s="59"/>
      <c r="M341" s="59"/>
      <c r="N341" s="59"/>
      <c r="O341" s="59"/>
      <c r="P341" s="973"/>
      <c r="Q341" s="59"/>
      <c r="R341" s="59"/>
      <c r="S341" s="59"/>
      <c r="T341" s="59"/>
      <c r="U341" s="973"/>
      <c r="V341" s="59"/>
      <c r="W341" s="59"/>
      <c r="X341" s="59"/>
      <c r="Y341" s="59"/>
      <c r="Z341" s="973"/>
      <c r="AA341" s="59"/>
      <c r="AB341" s="59"/>
      <c r="AC341" s="59"/>
      <c r="AD341" s="59"/>
      <c r="AE341" s="973"/>
      <c r="AF341" s="59"/>
      <c r="AG341" s="59"/>
      <c r="AH341" s="59"/>
      <c r="AI341" s="59"/>
      <c r="AJ341" s="973"/>
      <c r="AK341" s="59"/>
      <c r="AL341" s="59"/>
      <c r="AM341" s="59"/>
      <c r="AN341" s="59"/>
      <c r="AO341" s="973"/>
      <c r="AP341" s="59"/>
      <c r="AQ341" s="59"/>
      <c r="AR341" s="59"/>
      <c r="AS341" s="59"/>
      <c r="AT341" s="973"/>
      <c r="AU341" s="59"/>
      <c r="AV341" s="867">
        <v>0.23</v>
      </c>
      <c r="AW341" s="867">
        <v>0.26</v>
      </c>
      <c r="AX341" s="59"/>
      <c r="AY341" s="973"/>
      <c r="AZ341" s="59"/>
      <c r="BA341" s="59"/>
      <c r="BB341" s="59"/>
      <c r="BC341" s="59"/>
      <c r="BD341" s="973"/>
      <c r="BE341" s="59"/>
      <c r="BF341" s="867">
        <v>0.20799999999999999</v>
      </c>
      <c r="BG341" s="867">
        <v>0.23</v>
      </c>
      <c r="BH341" s="59"/>
      <c r="BI341" s="973"/>
      <c r="BJ341" s="59"/>
      <c r="BK341" s="867">
        <v>0.20499999999999999</v>
      </c>
      <c r="BL341" s="59"/>
      <c r="BM341" s="59"/>
      <c r="BN341" s="973"/>
      <c r="BO341" s="59"/>
      <c r="BP341" s="59"/>
      <c r="BQ341" s="59"/>
      <c r="BR341" s="59"/>
      <c r="BS341" s="973"/>
      <c r="BT341" s="675"/>
      <c r="BU341" s="59"/>
      <c r="BV341" s="59"/>
      <c r="BW341" s="59"/>
      <c r="BX341" s="973"/>
      <c r="BY341" s="59"/>
      <c r="BZ341" s="59"/>
      <c r="CA341" s="59"/>
      <c r="CB341" s="59"/>
      <c r="CC341" s="973"/>
      <c r="CD341" s="973"/>
      <c r="CE341" s="973"/>
      <c r="CF341" s="973"/>
      <c r="CG341" s="8"/>
    </row>
    <row r="342" spans="1:85" s="590" customFormat="1" hidden="1" outlineLevel="1" x14ac:dyDescent="0.3">
      <c r="A342" s="262" t="s">
        <v>668</v>
      </c>
      <c r="B342" s="251"/>
      <c r="C342" s="973"/>
      <c r="D342" s="973"/>
      <c r="E342" s="973"/>
      <c r="F342" s="973"/>
      <c r="G342" s="59"/>
      <c r="H342" s="59"/>
      <c r="I342" s="59"/>
      <c r="J342" s="59"/>
      <c r="K342" s="973"/>
      <c r="L342" s="59"/>
      <c r="M342" s="59"/>
      <c r="N342" s="59"/>
      <c r="O342" s="59"/>
      <c r="P342" s="973"/>
      <c r="Q342" s="59"/>
      <c r="R342" s="59"/>
      <c r="S342" s="59"/>
      <c r="T342" s="59"/>
      <c r="U342" s="973"/>
      <c r="V342" s="59"/>
      <c r="W342" s="59"/>
      <c r="X342" s="59"/>
      <c r="Y342" s="59"/>
      <c r="Z342" s="973"/>
      <c r="AA342" s="59"/>
      <c r="AB342" s="59"/>
      <c r="AC342" s="59"/>
      <c r="AD342" s="59"/>
      <c r="AE342" s="973"/>
      <c r="AF342" s="59"/>
      <c r="AG342" s="59"/>
      <c r="AH342" s="59"/>
      <c r="AI342" s="59"/>
      <c r="AJ342" s="973"/>
      <c r="AK342" s="59"/>
      <c r="AL342" s="59"/>
      <c r="AM342" s="59"/>
      <c r="AN342" s="59"/>
      <c r="AO342" s="973"/>
      <c r="AP342" s="59"/>
      <c r="AQ342" s="59"/>
      <c r="AR342" s="59"/>
      <c r="AS342" s="59"/>
      <c r="AT342" s="973"/>
      <c r="AU342" s="59"/>
      <c r="AV342" s="867">
        <v>0.4</v>
      </c>
      <c r="AW342" s="867">
        <v>0.38</v>
      </c>
      <c r="AX342" s="59"/>
      <c r="AY342" s="973"/>
      <c r="AZ342" s="59"/>
      <c r="BA342" s="59"/>
      <c r="BB342" s="59"/>
      <c r="BC342" s="59"/>
      <c r="BD342" s="973"/>
      <c r="BE342" s="59"/>
      <c r="BF342" s="867">
        <v>0.30599999999999999</v>
      </c>
      <c r="BG342" s="867">
        <v>0.29799999999999999</v>
      </c>
      <c r="BH342" s="59"/>
      <c r="BI342" s="973"/>
      <c r="BJ342" s="59"/>
      <c r="BK342" s="867">
        <v>0.27200000000000002</v>
      </c>
      <c r="BL342" s="59"/>
      <c r="BM342" s="59"/>
      <c r="BN342" s="973"/>
      <c r="BO342" s="59"/>
      <c r="BP342" s="59"/>
      <c r="BQ342" s="59"/>
      <c r="BR342" s="59"/>
      <c r="BS342" s="973"/>
      <c r="BT342" s="675"/>
      <c r="BU342" s="59"/>
      <c r="BV342" s="59"/>
      <c r="BW342" s="59"/>
      <c r="BX342" s="973"/>
      <c r="BY342" s="59"/>
      <c r="BZ342" s="59"/>
      <c r="CA342" s="59"/>
      <c r="CB342" s="59"/>
      <c r="CC342" s="973"/>
      <c r="CD342" s="973"/>
      <c r="CE342" s="973"/>
      <c r="CF342" s="973"/>
      <c r="CG342" s="8"/>
    </row>
    <row r="343" spans="1:85" s="590" customFormat="1" hidden="1" outlineLevel="1" x14ac:dyDescent="0.3">
      <c r="A343" s="324" t="s">
        <v>669</v>
      </c>
      <c r="B343" s="253"/>
      <c r="C343" s="975"/>
      <c r="D343" s="975"/>
      <c r="E343" s="975"/>
      <c r="F343" s="975"/>
      <c r="G343" s="157"/>
      <c r="H343" s="157"/>
      <c r="I343" s="157"/>
      <c r="J343" s="157"/>
      <c r="K343" s="975"/>
      <c r="L343" s="157"/>
      <c r="M343" s="157"/>
      <c r="N343" s="157"/>
      <c r="O343" s="157"/>
      <c r="P343" s="975"/>
      <c r="Q343" s="157"/>
      <c r="R343" s="157"/>
      <c r="S343" s="157"/>
      <c r="T343" s="157"/>
      <c r="U343" s="975"/>
      <c r="V343" s="157"/>
      <c r="W343" s="157"/>
      <c r="X343" s="157"/>
      <c r="Y343" s="157"/>
      <c r="Z343" s="975"/>
      <c r="AA343" s="157"/>
      <c r="AB343" s="157"/>
      <c r="AC343" s="157"/>
      <c r="AD343" s="157"/>
      <c r="AE343" s="975"/>
      <c r="AF343" s="157"/>
      <c r="AG343" s="157"/>
      <c r="AH343" s="157"/>
      <c r="AI343" s="157"/>
      <c r="AJ343" s="975"/>
      <c r="AK343" s="157"/>
      <c r="AL343" s="157"/>
      <c r="AM343" s="157"/>
      <c r="AN343" s="157"/>
      <c r="AO343" s="975"/>
      <c r="AP343" s="157"/>
      <c r="AQ343" s="157"/>
      <c r="AR343" s="157"/>
      <c r="AS343" s="157"/>
      <c r="AT343" s="975"/>
      <c r="AU343" s="157"/>
      <c r="AV343" s="868">
        <v>0.09</v>
      </c>
      <c r="AW343" s="868">
        <v>0.08</v>
      </c>
      <c r="AX343" s="157"/>
      <c r="AY343" s="975"/>
      <c r="AZ343" s="157"/>
      <c r="BA343" s="157"/>
      <c r="BB343" s="157"/>
      <c r="BC343" s="157"/>
      <c r="BD343" s="975"/>
      <c r="BE343" s="157"/>
      <c r="BF343" s="868">
        <v>0.109</v>
      </c>
      <c r="BG343" s="868">
        <f>9.6%+0.1%</f>
      </c>
      <c r="BH343" s="157"/>
      <c r="BI343" s="975"/>
      <c r="BJ343" s="157"/>
      <c r="BK343" s="868">
        <v>0.12</v>
      </c>
      <c r="BL343" s="157"/>
      <c r="BM343" s="157"/>
      <c r="BN343" s="975"/>
      <c r="BO343" s="157"/>
      <c r="BP343" s="157"/>
      <c r="BQ343" s="157"/>
      <c r="BR343" s="157"/>
      <c r="BS343" s="975"/>
      <c r="BT343" s="676"/>
      <c r="BU343" s="157"/>
      <c r="BV343" s="157"/>
      <c r="BW343" s="157"/>
      <c r="BX343" s="975"/>
      <c r="BY343" s="157"/>
      <c r="BZ343" s="157"/>
      <c r="CA343" s="157"/>
      <c r="CB343" s="157"/>
      <c r="CC343" s="975"/>
      <c r="CD343" s="975"/>
      <c r="CE343" s="975"/>
      <c r="CF343" s="975"/>
      <c r="CG343" s="8"/>
    </row>
    <row r="344" spans="1:85" s="592" customFormat="1" hidden="1" outlineLevel="1" x14ac:dyDescent="0.3">
      <c r="A344" s="325" t="s">
        <v>658</v>
      </c>
      <c r="B344" s="326"/>
      <c r="C344" s="977"/>
      <c r="D344" s="977"/>
      <c r="E344" s="977"/>
      <c r="F344" s="977"/>
      <c r="G344" s="184"/>
      <c r="H344" s="184"/>
      <c r="I344" s="184"/>
      <c r="J344" s="184"/>
      <c r="K344" s="977"/>
      <c r="L344" s="184"/>
      <c r="M344" s="184"/>
      <c r="N344" s="184"/>
      <c r="O344" s="184"/>
      <c r="P344" s="977"/>
      <c r="Q344" s="184"/>
      <c r="R344" s="184"/>
      <c r="S344" s="184"/>
      <c r="T344" s="184"/>
      <c r="U344" s="977"/>
      <c r="V344" s="184"/>
      <c r="W344" s="184"/>
      <c r="X344" s="184"/>
      <c r="Y344" s="184"/>
      <c r="Z344" s="977"/>
      <c r="AA344" s="184"/>
      <c r="AB344" s="184"/>
      <c r="AC344" s="184"/>
      <c r="AD344" s="184"/>
      <c r="AE344" s="977"/>
      <c r="AF344" s="184"/>
      <c r="AG344" s="184"/>
      <c r="AH344" s="184"/>
      <c r="AI344" s="184"/>
      <c r="AJ344" s="977"/>
      <c r="AK344" s="184"/>
      <c r="AL344" s="184"/>
      <c r="AM344" s="184"/>
      <c r="AN344" s="184"/>
      <c r="AO344" s="977"/>
      <c r="AP344" s="184"/>
      <c r="AQ344" s="184"/>
      <c r="AR344" s="184"/>
      <c r="AS344" s="184"/>
      <c r="AT344" s="977"/>
      <c r="AU344" s="184"/>
      <c r="AV344" s="184">
        <f>SUM(AV340:AV343)</f>
      </c>
      <c r="AW344" s="184">
        <f>SUM(AW340:AW343)</f>
      </c>
      <c r="AX344" s="184"/>
      <c r="AY344" s="977"/>
      <c r="AZ344" s="184"/>
      <c r="BA344" s="184"/>
      <c r="BB344" s="184"/>
      <c r="BC344" s="184"/>
      <c r="BD344" s="977"/>
      <c r="BE344" s="184"/>
      <c r="BF344" s="184">
        <f>SUM(BF340:BF343)</f>
      </c>
      <c r="BG344" s="184">
        <f>SUM(BG340:BG343)</f>
      </c>
      <c r="BH344" s="184"/>
      <c r="BI344" s="977"/>
      <c r="BJ344" s="184"/>
      <c r="BK344" s="184">
        <f>SUM(BK340:BK343)</f>
      </c>
      <c r="BL344" s="184"/>
      <c r="BM344" s="184"/>
      <c r="BN344" s="977"/>
      <c r="BO344" s="184"/>
      <c r="BP344" s="184"/>
      <c r="BQ344" s="184"/>
      <c r="BR344" s="184"/>
      <c r="BS344" s="977"/>
      <c r="BT344" s="678"/>
      <c r="BU344" s="184"/>
      <c r="BV344" s="184"/>
      <c r="BW344" s="184"/>
      <c r="BX344" s="977"/>
      <c r="BY344" s="184"/>
      <c r="BZ344" s="184"/>
      <c r="CA344" s="184"/>
      <c r="CB344" s="184"/>
      <c r="CC344" s="977"/>
      <c r="CD344" s="977"/>
      <c r="CE344" s="977"/>
      <c r="CF344" s="977"/>
      <c r="CG344" s="11"/>
    </row>
    <row r="345" spans="1:85" collapsed="1" x14ac:dyDescent="0.3">
      <c r="A345" s="442"/>
      <c r="B345" s="430"/>
      <c r="C345" s="962"/>
      <c r="D345" s="962"/>
      <c r="E345" s="962"/>
      <c r="F345" s="962"/>
      <c r="G345" s="757"/>
      <c r="H345" s="757"/>
      <c r="I345" s="757"/>
      <c r="J345" s="757"/>
      <c r="K345" s="962"/>
      <c r="L345" s="757"/>
      <c r="M345" s="757"/>
      <c r="N345" s="757"/>
      <c r="O345" s="757"/>
      <c r="P345" s="962"/>
      <c r="Q345" s="757"/>
      <c r="R345" s="757"/>
      <c r="S345" s="757"/>
      <c r="T345" s="757"/>
      <c r="U345" s="962"/>
      <c r="V345" s="757"/>
      <c r="W345" s="757"/>
      <c r="X345" s="757"/>
      <c r="Y345" s="757"/>
      <c r="Z345" s="962"/>
      <c r="AA345" s="757"/>
      <c r="AB345" s="757"/>
      <c r="AC345" s="757"/>
      <c r="AD345" s="757"/>
      <c r="AE345" s="962"/>
      <c r="AF345" s="757"/>
      <c r="AG345" s="757"/>
      <c r="AH345" s="757"/>
      <c r="AI345" s="757"/>
      <c r="AJ345" s="962"/>
      <c r="AK345" s="757"/>
      <c r="AL345" s="757"/>
      <c r="AM345" s="757"/>
      <c r="AN345" s="757"/>
      <c r="AO345" s="962"/>
      <c r="AP345" s="757"/>
      <c r="AQ345" s="757"/>
      <c r="AR345" s="757"/>
      <c r="AS345" s="757"/>
      <c r="AT345" s="962"/>
      <c r="AU345" s="757"/>
      <c r="AV345" s="757"/>
      <c r="AW345" s="757"/>
      <c r="AX345" s="757"/>
      <c r="AY345" s="962"/>
      <c r="AZ345" s="757"/>
      <c r="BA345" s="757"/>
      <c r="BB345" s="757"/>
      <c r="BC345" s="757"/>
      <c r="BD345" s="962"/>
      <c r="BE345" s="757"/>
      <c r="BF345" s="757"/>
      <c r="BG345" s="757"/>
      <c r="BH345" s="757"/>
      <c r="BI345" s="962"/>
      <c r="BJ345" s="757"/>
      <c r="BK345" s="757"/>
      <c r="BL345" s="757"/>
      <c r="BM345" s="757"/>
      <c r="BN345" s="962"/>
      <c r="BO345" s="757"/>
      <c r="BP345" s="757"/>
      <c r="BQ345" s="757"/>
      <c r="BR345" s="757"/>
      <c r="BS345" s="962"/>
      <c r="BT345" s="758"/>
      <c r="BU345" s="757"/>
      <c r="BV345" s="757"/>
      <c r="BW345" s="757"/>
      <c r="BX345" s="962"/>
      <c r="BY345" s="757"/>
      <c r="BZ345" s="757"/>
      <c r="CA345" s="757"/>
      <c r="CB345" s="757"/>
      <c r="CC345" s="962"/>
      <c r="CD345" s="962"/>
      <c r="CE345" s="962"/>
      <c r="CF345" s="962"/>
      <c r="CG345" s="459"/>
    </row>
    <row r="346" spans="1:85" x14ac:dyDescent="0.3">
      <c r="A346" s="23" t="s">
        <v>382</v>
      </c>
      <c r="B346" s="754"/>
      <c r="C346" s="754"/>
      <c r="D346" s="754"/>
      <c r="E346" s="754"/>
      <c r="F346" s="754"/>
      <c r="G346" s="754"/>
      <c r="H346" s="754"/>
      <c r="I346" s="754"/>
      <c r="J346" s="754"/>
      <c r="K346" s="754"/>
      <c r="L346" s="754"/>
      <c r="M346" s="754"/>
      <c r="N346" s="754"/>
      <c r="O346" s="754"/>
      <c r="P346" s="754"/>
      <c r="Q346" s="754"/>
      <c r="R346" s="754"/>
      <c r="S346" s="754"/>
      <c r="T346" s="754"/>
      <c r="U346" s="754"/>
      <c r="V346" s="754"/>
      <c r="W346" s="754"/>
      <c r="X346" s="754"/>
      <c r="Y346" s="754"/>
      <c r="Z346" s="754"/>
      <c r="AA346" s="754"/>
      <c r="AB346" s="754"/>
      <c r="AC346" s="754"/>
      <c r="AD346" s="754"/>
      <c r="AE346" s="754"/>
      <c r="AF346" s="754"/>
      <c r="AG346" s="754"/>
      <c r="AH346" s="754"/>
      <c r="AI346" s="754"/>
      <c r="AJ346" s="754"/>
      <c r="AK346" s="754"/>
      <c r="AL346" s="754"/>
      <c r="AM346" s="754"/>
      <c r="AN346" s="754"/>
      <c r="AO346" s="754"/>
      <c r="AP346" s="754"/>
      <c r="AQ346" s="754"/>
      <c r="AR346" s="754"/>
      <c r="AS346" s="754"/>
      <c r="AT346" s="754"/>
      <c r="AU346" s="754"/>
      <c r="AV346" s="754"/>
      <c r="AW346" s="754"/>
      <c r="AX346" s="754"/>
      <c r="AY346" s="754"/>
      <c r="AZ346" s="754"/>
      <c r="BA346" s="754"/>
      <c r="BB346" s="754"/>
      <c r="BC346" s="754"/>
      <c r="BD346" s="754"/>
      <c r="BE346" s="754"/>
      <c r="BF346" s="754"/>
      <c r="BG346" s="754"/>
      <c r="BH346" s="754"/>
      <c r="BI346" s="754"/>
      <c r="BJ346" s="754"/>
      <c r="BK346" s="754"/>
      <c r="BL346" s="754"/>
      <c r="BM346" s="754"/>
      <c r="BN346" s="754"/>
      <c r="BO346" s="754"/>
      <c r="BP346" s="754"/>
      <c r="BQ346" s="754"/>
      <c r="BR346" s="754"/>
      <c r="BS346" s="754"/>
      <c r="BT346" s="755"/>
      <c r="BU346" s="754"/>
      <c r="BV346" s="754"/>
      <c r="BW346" s="754"/>
      <c r="BX346" s="754"/>
      <c r="BY346" s="754"/>
      <c r="BZ346" s="754"/>
      <c r="CA346" s="754"/>
      <c r="CB346" s="754"/>
      <c r="CC346" s="754"/>
      <c r="CD346" s="754"/>
      <c r="CE346" s="754"/>
      <c r="CF346" s="754"/>
      <c r="CG346" s="183"/>
    </row>
    <row r="347" spans="1:85" s="587" customFormat="1" hidden="1" outlineLevel="1" x14ac:dyDescent="0.3">
      <c r="A347" s="4" t="s">
        <v>425</v>
      </c>
      <c r="B347" s="250"/>
      <c r="C347" s="969"/>
      <c r="D347" s="969"/>
      <c r="E347" s="969"/>
      <c r="F347" s="969"/>
      <c r="G347" s="759"/>
      <c r="H347" s="759"/>
      <c r="I347" s="759"/>
      <c r="J347" s="759"/>
      <c r="K347" s="969"/>
      <c r="L347" s="759"/>
      <c r="M347" s="759"/>
      <c r="N347" s="759"/>
      <c r="O347" s="759"/>
      <c r="P347" s="969"/>
      <c r="Q347" s="759"/>
      <c r="R347" s="759"/>
      <c r="S347" s="759"/>
      <c r="T347" s="759"/>
      <c r="U347" s="969"/>
      <c r="V347" s="759"/>
      <c r="W347" s="759"/>
      <c r="X347" s="759"/>
      <c r="Y347" s="759"/>
      <c r="Z347" s="969"/>
      <c r="AA347" s="759"/>
      <c r="AB347" s="759"/>
      <c r="AC347" s="759"/>
      <c r="AD347" s="759"/>
      <c r="AE347" s="969"/>
      <c r="AF347" s="759"/>
      <c r="AG347" s="759"/>
      <c r="AH347" s="759"/>
      <c r="AI347" s="759"/>
      <c r="AJ347" s="969"/>
      <c r="AK347" s="759"/>
      <c r="AL347" s="759"/>
      <c r="AM347" s="759"/>
      <c r="AN347" s="759"/>
      <c r="AO347" s="970">
        <f>'Supplemental Data'!AJ38</f>
      </c>
      <c r="AP347" s="860">
        <f>'Supplemental Data'!AK38</f>
      </c>
      <c r="AQ347" s="860">
        <f>'Supplemental Data'!AL38</f>
      </c>
      <c r="AR347" s="860">
        <f>'Supplemental Data'!AM38</f>
      </c>
      <c r="AS347" s="759"/>
      <c r="AT347" s="970">
        <f>'Supplemental Data'!AO38</f>
      </c>
      <c r="AU347" s="759">
        <f>AP419</f>
      </c>
      <c r="AV347" s="759">
        <f>AQ419</f>
      </c>
      <c r="AW347" s="759">
        <f>AR419</f>
      </c>
      <c r="AX347" s="759"/>
      <c r="AY347" s="969">
        <f>AT419</f>
      </c>
      <c r="AZ347" s="759">
        <f>AU419</f>
      </c>
      <c r="BA347" s="759">
        <f>AV419</f>
      </c>
      <c r="BB347" s="759">
        <f>AW419</f>
      </c>
      <c r="BC347" s="759"/>
      <c r="BD347" s="969">
        <f>AY419</f>
      </c>
      <c r="BE347" s="759">
        <f>AZ419</f>
      </c>
      <c r="BF347" s="759">
        <f>BA419</f>
      </c>
      <c r="BG347" s="759">
        <f>BB419</f>
      </c>
      <c r="BH347" s="759"/>
      <c r="BI347" s="969">
        <f>BD419</f>
      </c>
      <c r="BJ347" s="759">
        <f>BE419</f>
      </c>
      <c r="BK347" s="759">
        <f>BF419</f>
      </c>
      <c r="BL347" s="759">
        <f>BG419</f>
      </c>
      <c r="BM347" s="759"/>
      <c r="BN347" s="969">
        <f>BI419</f>
      </c>
      <c r="BO347" s="759">
        <f>BJ419</f>
      </c>
      <c r="BP347" s="759">
        <f>BK419</f>
      </c>
      <c r="BQ347" s="759">
        <f>BL419</f>
      </c>
      <c r="BR347" s="759"/>
      <c r="BS347" s="969">
        <f>BN419</f>
      </c>
      <c r="BT347" s="760">
        <f>BO419</f>
      </c>
      <c r="BU347" s="759"/>
      <c r="BV347" s="759"/>
      <c r="BW347" s="759"/>
      <c r="BX347" s="969"/>
      <c r="BY347" s="759"/>
      <c r="BZ347" s="759"/>
      <c r="CA347" s="759"/>
      <c r="CB347" s="759"/>
      <c r="CC347" s="969"/>
      <c r="CD347" s="969"/>
      <c r="CE347" s="969"/>
      <c r="CF347" s="969"/>
      <c r="CG347" s="459"/>
    </row>
    <row r="348" spans="1:85" s="587" customFormat="1" hidden="1" outlineLevel="1" x14ac:dyDescent="0.3">
      <c r="A348" s="182" t="s">
        <v>426</v>
      </c>
      <c r="B348" s="430"/>
      <c r="C348" s="962"/>
      <c r="D348" s="962"/>
      <c r="E348" s="962"/>
      <c r="F348" s="962"/>
      <c r="G348" s="757"/>
      <c r="H348" s="757"/>
      <c r="I348" s="757"/>
      <c r="J348" s="757"/>
      <c r="K348" s="962"/>
      <c r="L348" s="757"/>
      <c r="M348" s="757"/>
      <c r="N348" s="757"/>
      <c r="O348" s="757"/>
      <c r="P348" s="962"/>
      <c r="Q348" s="757"/>
      <c r="R348" s="757"/>
      <c r="S348" s="757"/>
      <c r="T348" s="757"/>
      <c r="U348" s="962"/>
      <c r="V348" s="757"/>
      <c r="W348" s="757"/>
      <c r="X348" s="757"/>
      <c r="Y348" s="757"/>
      <c r="Z348" s="962"/>
      <c r="AA348" s="757"/>
      <c r="AB348" s="757"/>
      <c r="AC348" s="757"/>
      <c r="AD348" s="757"/>
      <c r="AE348" s="962"/>
      <c r="AF348" s="757"/>
      <c r="AG348" s="757"/>
      <c r="AH348" s="757"/>
      <c r="AI348" s="757"/>
      <c r="AJ348" s="962"/>
      <c r="AK348" s="757"/>
      <c r="AL348" s="757"/>
      <c r="AM348" s="757"/>
      <c r="AN348" s="757"/>
      <c r="AO348" s="963">
        <v>1684</v>
      </c>
      <c r="AP348" s="857">
        <v>359</v>
      </c>
      <c r="AQ348" s="857">
        <v>375</v>
      </c>
      <c r="AR348" s="857">
        <v>454</v>
      </c>
      <c r="AS348" s="757"/>
      <c r="AT348" s="963">
        <v>1591</v>
      </c>
      <c r="AU348" s="857">
        <v>236</v>
      </c>
      <c r="AV348" s="857">
        <v>200</v>
      </c>
      <c r="AW348" s="857">
        <v>229</v>
      </c>
      <c r="AX348" s="757"/>
      <c r="AY348" s="963">
        <v>1423</v>
      </c>
      <c r="AZ348" s="857">
        <v>447</v>
      </c>
      <c r="BA348" s="857">
        <v>455</v>
      </c>
      <c r="BB348" s="857">
        <v>691</v>
      </c>
      <c r="BC348" s="757"/>
      <c r="BD348" s="963">
        <v>1796</v>
      </c>
      <c r="BE348" s="857">
        <v>294</v>
      </c>
      <c r="BF348" s="757"/>
      <c r="BG348" s="857">
        <v>-80</v>
      </c>
      <c r="BH348" s="757"/>
      <c r="BI348" s="963">
        <v>171</v>
      </c>
      <c r="BJ348" s="857">
        <v>211</v>
      </c>
      <c r="BK348" s="857">
        <v>360</v>
      </c>
      <c r="BL348" s="857">
        <v>126</v>
      </c>
      <c r="BM348" s="757"/>
      <c r="BN348" s="963">
        <v>1104</v>
      </c>
      <c r="BO348" s="857">
        <v>152</v>
      </c>
      <c r="BP348" s="857">
        <v>62</v>
      </c>
      <c r="BQ348" s="857">
        <v>303</v>
      </c>
      <c r="BR348" s="757"/>
      <c r="BS348" s="963">
        <v>1121</v>
      </c>
      <c r="BT348" s="864">
        <v>395</v>
      </c>
      <c r="BU348" s="757"/>
      <c r="BV348" s="757"/>
      <c r="BW348" s="757"/>
      <c r="BX348" s="962"/>
      <c r="BY348" s="757"/>
      <c r="BZ348" s="757"/>
      <c r="CA348" s="757"/>
      <c r="CB348" s="757"/>
      <c r="CC348" s="962"/>
      <c r="CD348" s="962"/>
      <c r="CE348" s="962"/>
      <c r="CF348" s="962"/>
      <c r="CG348" s="459"/>
    </row>
    <row r="349" spans="1:85" s="587" customFormat="1" hidden="1" outlineLevel="1" x14ac:dyDescent="0.3">
      <c r="A349" s="182" t="s">
        <v>712</v>
      </c>
      <c r="B349" s="430"/>
      <c r="C349" s="962"/>
      <c r="D349" s="962"/>
      <c r="E349" s="962"/>
      <c r="F349" s="962"/>
      <c r="G349" s="757"/>
      <c r="H349" s="757"/>
      <c r="I349" s="757"/>
      <c r="J349" s="757"/>
      <c r="K349" s="962"/>
      <c r="L349" s="757"/>
      <c r="M349" s="757"/>
      <c r="N349" s="757"/>
      <c r="O349" s="757"/>
      <c r="P349" s="962"/>
      <c r="Q349" s="757"/>
      <c r="R349" s="757"/>
      <c r="S349" s="757"/>
      <c r="T349" s="757"/>
      <c r="U349" s="962"/>
      <c r="V349" s="757"/>
      <c r="W349" s="757"/>
      <c r="X349" s="757"/>
      <c r="Y349" s="757"/>
      <c r="Z349" s="962"/>
      <c r="AA349" s="757"/>
      <c r="AB349" s="757"/>
      <c r="AC349" s="757"/>
      <c r="AD349" s="757"/>
      <c r="AE349" s="962"/>
      <c r="AF349" s="757"/>
      <c r="AG349" s="757"/>
      <c r="AH349" s="757"/>
      <c r="AI349" s="757"/>
      <c r="AJ349" s="962"/>
      <c r="AK349" s="757"/>
      <c r="AL349" s="757"/>
      <c r="AM349" s="757"/>
      <c r="AN349" s="757"/>
      <c r="AO349" s="962"/>
      <c r="AP349" s="757"/>
      <c r="AQ349" s="757"/>
      <c r="AR349" s="757"/>
      <c r="AS349" s="757"/>
      <c r="AT349" s="962"/>
      <c r="AU349" s="757"/>
      <c r="AV349" s="757"/>
      <c r="AW349" s="757"/>
      <c r="AX349" s="757"/>
      <c r="AY349" s="962"/>
      <c r="AZ349" s="757"/>
      <c r="BA349" s="857">
        <v>152</v>
      </c>
      <c r="BB349" s="757"/>
      <c r="BC349" s="757"/>
      <c r="BD349" s="962"/>
      <c r="BE349" s="757"/>
      <c r="BF349" s="757"/>
      <c r="BG349" s="757"/>
      <c r="BH349" s="757"/>
      <c r="BI349" s="962"/>
      <c r="BJ349" s="757"/>
      <c r="BK349" s="757"/>
      <c r="BL349" s="757"/>
      <c r="BM349" s="757"/>
      <c r="BN349" s="962"/>
      <c r="BO349" s="757"/>
      <c r="BP349" s="757"/>
      <c r="BQ349" s="757"/>
      <c r="BR349" s="757"/>
      <c r="BS349" s="962"/>
      <c r="BT349" s="758"/>
      <c r="BU349" s="757"/>
      <c r="BV349" s="757"/>
      <c r="BW349" s="757"/>
      <c r="BX349" s="962"/>
      <c r="BY349" s="757"/>
      <c r="BZ349" s="757"/>
      <c r="CA349" s="757"/>
      <c r="CB349" s="757"/>
      <c r="CC349" s="962"/>
      <c r="CD349" s="962"/>
      <c r="CE349" s="962"/>
      <c r="CF349" s="962"/>
      <c r="CG349" s="459"/>
    </row>
    <row r="350" spans="1:85" s="587" customFormat="1" hidden="1" outlineLevel="1" x14ac:dyDescent="0.3">
      <c r="A350" s="182" t="s">
        <v>452</v>
      </c>
      <c r="B350" s="430"/>
      <c r="C350" s="962"/>
      <c r="D350" s="962"/>
      <c r="E350" s="962"/>
      <c r="F350" s="962"/>
      <c r="G350" s="757"/>
      <c r="H350" s="757"/>
      <c r="I350" s="757"/>
      <c r="J350" s="757"/>
      <c r="K350" s="962"/>
      <c r="L350" s="757"/>
      <c r="M350" s="757"/>
      <c r="N350" s="757"/>
      <c r="O350" s="757"/>
      <c r="P350" s="962"/>
      <c r="Q350" s="757"/>
      <c r="R350" s="757"/>
      <c r="S350" s="757"/>
      <c r="T350" s="757"/>
      <c r="U350" s="962"/>
      <c r="V350" s="757"/>
      <c r="W350" s="757"/>
      <c r="X350" s="757"/>
      <c r="Y350" s="757"/>
      <c r="Z350" s="962"/>
      <c r="AA350" s="757"/>
      <c r="AB350" s="757"/>
      <c r="AC350" s="757"/>
      <c r="AD350" s="757"/>
      <c r="AE350" s="962"/>
      <c r="AF350" s="757"/>
      <c r="AG350" s="757"/>
      <c r="AH350" s="757"/>
      <c r="AI350" s="757"/>
      <c r="AJ350" s="962"/>
      <c r="AK350" s="757"/>
      <c r="AL350" s="757"/>
      <c r="AM350" s="757"/>
      <c r="AN350" s="757"/>
      <c r="AO350" s="962"/>
      <c r="AP350" s="857">
        <v>218</v>
      </c>
      <c r="AQ350" s="757"/>
      <c r="AR350" s="757"/>
      <c r="AS350" s="757"/>
      <c r="AT350" s="962"/>
      <c r="AU350" s="757"/>
      <c r="AV350" s="757"/>
      <c r="AW350" s="757"/>
      <c r="AX350" s="757"/>
      <c r="AY350" s="962"/>
      <c r="AZ350" s="757"/>
      <c r="BA350" s="757"/>
      <c r="BB350" s="757"/>
      <c r="BC350" s="757"/>
      <c r="BD350" s="962"/>
      <c r="BE350" s="757"/>
      <c r="BF350" s="757"/>
      <c r="BG350" s="757"/>
      <c r="BH350" s="757"/>
      <c r="BI350" s="962"/>
      <c r="BJ350" s="757"/>
      <c r="BK350" s="757"/>
      <c r="BL350" s="757"/>
      <c r="BM350" s="757"/>
      <c r="BN350" s="962"/>
      <c r="BO350" s="757"/>
      <c r="BP350" s="757"/>
      <c r="BQ350" s="757"/>
      <c r="BR350" s="757"/>
      <c r="BS350" s="962"/>
      <c r="BT350" s="758"/>
      <c r="BU350" s="757"/>
      <c r="BV350" s="757"/>
      <c r="BW350" s="757"/>
      <c r="BX350" s="962"/>
      <c r="BY350" s="757"/>
      <c r="BZ350" s="757"/>
      <c r="CA350" s="757"/>
      <c r="CB350" s="757"/>
      <c r="CC350" s="962"/>
      <c r="CD350" s="962"/>
      <c r="CE350" s="962"/>
      <c r="CF350" s="962"/>
      <c r="CG350" s="459"/>
    </row>
    <row r="351" spans="1:85" s="587" customFormat="1" hidden="1" outlineLevel="1" x14ac:dyDescent="0.3">
      <c r="A351" s="182" t="s">
        <v>501</v>
      </c>
      <c r="B351" s="430"/>
      <c r="C351" s="962"/>
      <c r="D351" s="962"/>
      <c r="E351" s="962"/>
      <c r="F351" s="962"/>
      <c r="G351" s="757"/>
      <c r="H351" s="757"/>
      <c r="I351" s="757"/>
      <c r="J351" s="757"/>
      <c r="K351" s="962"/>
      <c r="L351" s="757"/>
      <c r="M351" s="757"/>
      <c r="N351" s="757"/>
      <c r="O351" s="757"/>
      <c r="P351" s="962"/>
      <c r="Q351" s="757"/>
      <c r="R351" s="757"/>
      <c r="S351" s="757"/>
      <c r="T351" s="757"/>
      <c r="U351" s="962"/>
      <c r="V351" s="757"/>
      <c r="W351" s="757"/>
      <c r="X351" s="757"/>
      <c r="Y351" s="757"/>
      <c r="Z351" s="962"/>
      <c r="AA351" s="757"/>
      <c r="AB351" s="757"/>
      <c r="AC351" s="757"/>
      <c r="AD351" s="757"/>
      <c r="AE351" s="962"/>
      <c r="AF351" s="757"/>
      <c r="AG351" s="757"/>
      <c r="AH351" s="757"/>
      <c r="AI351" s="757"/>
      <c r="AJ351" s="962"/>
      <c r="AK351" s="757"/>
      <c r="AL351" s="757"/>
      <c r="AM351" s="757"/>
      <c r="AN351" s="757"/>
      <c r="AO351" s="962"/>
      <c r="AP351" s="757"/>
      <c r="AQ351" s="857">
        <v>201</v>
      </c>
      <c r="AR351" s="857">
        <v>277</v>
      </c>
      <c r="AS351" s="757"/>
      <c r="AT351" s="963">
        <v>1101</v>
      </c>
      <c r="AU351" s="757"/>
      <c r="AV351" s="757"/>
      <c r="AW351" s="757"/>
      <c r="AX351" s="757"/>
      <c r="AY351" s="962"/>
      <c r="AZ351" s="757"/>
      <c r="BA351" s="757"/>
      <c r="BB351" s="757"/>
      <c r="BC351" s="757"/>
      <c r="BD351" s="962"/>
      <c r="BE351" s="757"/>
      <c r="BF351" s="757"/>
      <c r="BG351" s="757"/>
      <c r="BH351" s="757"/>
      <c r="BI351" s="963">
        <v>376</v>
      </c>
      <c r="BJ351" s="757"/>
      <c r="BK351" s="757"/>
      <c r="BL351" s="757"/>
      <c r="BM351" s="757"/>
      <c r="BN351" s="962"/>
      <c r="BO351" s="757"/>
      <c r="BP351" s="757"/>
      <c r="BQ351" s="757"/>
      <c r="BR351" s="757"/>
      <c r="BS351" s="962"/>
      <c r="BT351" s="758"/>
      <c r="BU351" s="757"/>
      <c r="BV351" s="757"/>
      <c r="BW351" s="757"/>
      <c r="BX351" s="962"/>
      <c r="BY351" s="757"/>
      <c r="BZ351" s="757"/>
      <c r="CA351" s="757"/>
      <c r="CB351" s="757"/>
      <c r="CC351" s="962"/>
      <c r="CD351" s="962"/>
      <c r="CE351" s="962"/>
      <c r="CF351" s="962"/>
      <c r="CG351" s="459"/>
    </row>
    <row r="352" spans="1:85" s="587" customFormat="1" hidden="1" outlineLevel="1" x14ac:dyDescent="0.3">
      <c r="A352" s="182" t="s">
        <v>505</v>
      </c>
      <c r="B352" s="430"/>
      <c r="C352" s="962"/>
      <c r="D352" s="962"/>
      <c r="E352" s="962"/>
      <c r="F352" s="962"/>
      <c r="G352" s="757"/>
      <c r="H352" s="757"/>
      <c r="I352" s="757"/>
      <c r="J352" s="757"/>
      <c r="K352" s="962"/>
      <c r="L352" s="757"/>
      <c r="M352" s="757"/>
      <c r="N352" s="757"/>
      <c r="O352" s="757"/>
      <c r="P352" s="962"/>
      <c r="Q352" s="757"/>
      <c r="R352" s="757"/>
      <c r="S352" s="757"/>
      <c r="T352" s="757"/>
      <c r="U352" s="962"/>
      <c r="V352" s="757"/>
      <c r="W352" s="757"/>
      <c r="X352" s="757"/>
      <c r="Y352" s="757"/>
      <c r="Z352" s="962"/>
      <c r="AA352" s="757"/>
      <c r="AB352" s="757"/>
      <c r="AC352" s="757"/>
      <c r="AD352" s="757"/>
      <c r="AE352" s="962"/>
      <c r="AF352" s="757"/>
      <c r="AG352" s="757"/>
      <c r="AH352" s="757"/>
      <c r="AI352" s="757"/>
      <c r="AJ352" s="962"/>
      <c r="AK352" s="757"/>
      <c r="AL352" s="757"/>
      <c r="AM352" s="757"/>
      <c r="AN352" s="757"/>
      <c r="AO352" s="962"/>
      <c r="AP352" s="757"/>
      <c r="AQ352" s="757"/>
      <c r="AR352" s="757"/>
      <c r="AS352" s="757"/>
      <c r="AT352" s="962"/>
      <c r="AU352" s="857">
        <v>33</v>
      </c>
      <c r="AV352" s="757"/>
      <c r="AW352" s="757"/>
      <c r="AX352" s="757"/>
      <c r="AY352" s="962"/>
      <c r="AZ352" s="757"/>
      <c r="BA352" s="757"/>
      <c r="BB352" s="757"/>
      <c r="BC352" s="757"/>
      <c r="BD352" s="962"/>
      <c r="BE352" s="757"/>
      <c r="BF352" s="757"/>
      <c r="BG352" s="757"/>
      <c r="BH352" s="757"/>
      <c r="BI352" s="962"/>
      <c r="BJ352" s="757"/>
      <c r="BK352" s="757"/>
      <c r="BL352" s="757"/>
      <c r="BM352" s="757"/>
      <c r="BN352" s="962"/>
      <c r="BO352" s="757"/>
      <c r="BP352" s="757"/>
      <c r="BQ352" s="757"/>
      <c r="BR352" s="757"/>
      <c r="BS352" s="962"/>
      <c r="BT352" s="758"/>
      <c r="BU352" s="757"/>
      <c r="BV352" s="757"/>
      <c r="BW352" s="757"/>
      <c r="BX352" s="962"/>
      <c r="BY352" s="757"/>
      <c r="BZ352" s="757"/>
      <c r="CA352" s="757"/>
      <c r="CB352" s="757"/>
      <c r="CC352" s="962"/>
      <c r="CD352" s="962"/>
      <c r="CE352" s="962"/>
      <c r="CF352" s="962"/>
      <c r="CG352" s="459"/>
    </row>
    <row r="353" spans="1:85" s="587" customFormat="1" hidden="1" outlineLevel="1" x14ac:dyDescent="0.3">
      <c r="A353" s="182" t="s">
        <v>427</v>
      </c>
      <c r="B353" s="430"/>
      <c r="C353" s="962"/>
      <c r="D353" s="962"/>
      <c r="E353" s="962"/>
      <c r="F353" s="962"/>
      <c r="G353" s="757"/>
      <c r="H353" s="757"/>
      <c r="I353" s="757"/>
      <c r="J353" s="757"/>
      <c r="K353" s="962"/>
      <c r="L353" s="757"/>
      <c r="M353" s="757"/>
      <c r="N353" s="757"/>
      <c r="O353" s="757"/>
      <c r="P353" s="962"/>
      <c r="Q353" s="757"/>
      <c r="R353" s="757"/>
      <c r="S353" s="757"/>
      <c r="T353" s="757"/>
      <c r="U353" s="962"/>
      <c r="V353" s="757"/>
      <c r="W353" s="757"/>
      <c r="X353" s="757"/>
      <c r="Y353" s="757"/>
      <c r="Z353" s="962"/>
      <c r="AA353" s="757"/>
      <c r="AB353" s="757"/>
      <c r="AC353" s="757"/>
      <c r="AD353" s="757"/>
      <c r="AE353" s="962"/>
      <c r="AF353" s="757"/>
      <c r="AG353" s="757"/>
      <c r="AH353" s="757"/>
      <c r="AI353" s="757"/>
      <c r="AJ353" s="962"/>
      <c r="AK353" s="757"/>
      <c r="AL353" s="757"/>
      <c r="AM353" s="757"/>
      <c r="AN353" s="757"/>
      <c r="AO353" s="963">
        <v>789</v>
      </c>
      <c r="AP353" s="857">
        <v>152</v>
      </c>
      <c r="AQ353" s="757"/>
      <c r="AR353" s="757"/>
      <c r="AS353" s="757"/>
      <c r="AT353" s="962"/>
      <c r="AU353" s="757"/>
      <c r="AV353" s="857">
        <v>174</v>
      </c>
      <c r="AW353" s="857">
        <v>110</v>
      </c>
      <c r="AX353" s="757"/>
      <c r="AY353" s="963">
        <v>633</v>
      </c>
      <c r="AZ353" s="757"/>
      <c r="BA353" s="757"/>
      <c r="BB353" s="757"/>
      <c r="BC353" s="757"/>
      <c r="BD353" s="962"/>
      <c r="BE353" s="857">
        <v>225</v>
      </c>
      <c r="BF353" s="757"/>
      <c r="BG353" s="857">
        <v>222</v>
      </c>
      <c r="BH353" s="757"/>
      <c r="BI353" s="962"/>
      <c r="BJ353" s="857">
        <v>-38</v>
      </c>
      <c r="BK353" s="757"/>
      <c r="BL353" s="757"/>
      <c r="BM353" s="757"/>
      <c r="BN353" s="962"/>
      <c r="BO353" s="757"/>
      <c r="BP353" s="757"/>
      <c r="BQ353" s="857">
        <v>619</v>
      </c>
      <c r="BR353" s="757"/>
      <c r="BS353" s="963">
        <v>1116</v>
      </c>
      <c r="BT353" s="758"/>
      <c r="BU353" s="757"/>
      <c r="BV353" s="757"/>
      <c r="BW353" s="757"/>
      <c r="BX353" s="962"/>
      <c r="BY353" s="757"/>
      <c r="BZ353" s="757"/>
      <c r="CA353" s="757"/>
      <c r="CB353" s="757"/>
      <c r="CC353" s="962"/>
      <c r="CD353" s="962"/>
      <c r="CE353" s="962"/>
      <c r="CF353" s="962"/>
      <c r="CG353" s="459"/>
    </row>
    <row r="354" spans="1:85" s="587" customFormat="1" hidden="1" outlineLevel="1" x14ac:dyDescent="0.3">
      <c r="A354" s="182" t="s">
        <v>428</v>
      </c>
      <c r="B354" s="430"/>
      <c r="C354" s="962"/>
      <c r="D354" s="962"/>
      <c r="E354" s="962"/>
      <c r="F354" s="962"/>
      <c r="G354" s="757"/>
      <c r="H354" s="757"/>
      <c r="I354" s="757"/>
      <c r="J354" s="757"/>
      <c r="K354" s="962"/>
      <c r="L354" s="757"/>
      <c r="M354" s="757"/>
      <c r="N354" s="757"/>
      <c r="O354" s="757"/>
      <c r="P354" s="962"/>
      <c r="Q354" s="757"/>
      <c r="R354" s="757"/>
      <c r="S354" s="757"/>
      <c r="T354" s="757"/>
      <c r="U354" s="962"/>
      <c r="V354" s="757"/>
      <c r="W354" s="757"/>
      <c r="X354" s="757"/>
      <c r="Y354" s="757"/>
      <c r="Z354" s="962"/>
      <c r="AA354" s="757"/>
      <c r="AB354" s="757"/>
      <c r="AC354" s="757"/>
      <c r="AD354" s="757"/>
      <c r="AE354" s="962"/>
      <c r="AF354" s="757"/>
      <c r="AG354" s="757"/>
      <c r="AH354" s="757"/>
      <c r="AI354" s="757"/>
      <c r="AJ354" s="962"/>
      <c r="AK354" s="757"/>
      <c r="AL354" s="757"/>
      <c r="AM354" s="757"/>
      <c r="AN354" s="757"/>
      <c r="AO354" s="964">
        <f>AO355-SUM(AO347:AO353)</f>
      </c>
      <c r="AP354" s="459">
        <f>AP355-SUM(AP347:AP353)</f>
      </c>
      <c r="AQ354" s="459">
        <f>AQ355-SUM(AQ347:AQ353)</f>
      </c>
      <c r="AR354" s="459">
        <f>AR355-SUM(AR347:AR353)</f>
      </c>
      <c r="AS354" s="757"/>
      <c r="AT354" s="964">
        <f>AT355-SUM(AT347:AT353)</f>
      </c>
      <c r="AU354" s="757">
        <f>AU355-SUM(AU347:AU353)</f>
      </c>
      <c r="AV354" s="757">
        <f>AV355-SUM(AV347:AV353)</f>
      </c>
      <c r="AW354" s="757">
        <f>AW355-SUM(AW347:AW353)</f>
      </c>
      <c r="AX354" s="757"/>
      <c r="AY354" s="962">
        <f>AY355-SUM(AY347:AY353)</f>
      </c>
      <c r="AZ354" s="757">
        <f>AZ355-SUM(AZ347:AZ353)</f>
      </c>
      <c r="BA354" s="757">
        <f>BA355-SUM(BA347:BA353)</f>
      </c>
      <c r="BB354" s="757">
        <f>BB355-SUM(BB347:BB353)</f>
      </c>
      <c r="BC354" s="757"/>
      <c r="BD354" s="962">
        <f>BD355-SUM(BD347:BD353)</f>
      </c>
      <c r="BE354" s="757">
        <f>BE355-SUM(BE347:BE353)</f>
      </c>
      <c r="BF354" s="757">
        <f>BF355-SUM(BF347:BF353)</f>
      </c>
      <c r="BG354" s="757">
        <f>BG355-SUM(BG347:BG353)</f>
      </c>
      <c r="BH354" s="757"/>
      <c r="BI354" s="962">
        <f>BI355-SUM(BI347:BI353)</f>
      </c>
      <c r="BJ354" s="757">
        <f>BJ355-SUM(BJ347:BJ353)</f>
      </c>
      <c r="BK354" s="757">
        <f>BK355-SUM(BK347:BK353)</f>
      </c>
      <c r="BL354" s="757">
        <f>BL355-SUM(BL347:BL353)</f>
      </c>
      <c r="BM354" s="757"/>
      <c r="BN354" s="962">
        <f>BN355-SUM(BN347:BN353)</f>
      </c>
      <c r="BO354" s="757">
        <f>BO355-SUM(BO347:BO353)</f>
      </c>
      <c r="BP354" s="757">
        <f>BP355-SUM(BP347:BP353)</f>
      </c>
      <c r="BQ354" s="757">
        <f>BQ355-SUM(BQ347:BQ353)</f>
      </c>
      <c r="BR354" s="757"/>
      <c r="BS354" s="962">
        <f>BS355-SUM(BS347:BS353)</f>
      </c>
      <c r="BT354" s="758">
        <f>BT355-SUM(BT347:BT353)</f>
      </c>
      <c r="BU354" s="757"/>
      <c r="BV354" s="757"/>
      <c r="BW354" s="757"/>
      <c r="BX354" s="962"/>
      <c r="BY354" s="757"/>
      <c r="BZ354" s="757"/>
      <c r="CA354" s="757"/>
      <c r="CB354" s="757"/>
      <c r="CC354" s="962"/>
      <c r="CD354" s="962"/>
      <c r="CE354" s="962"/>
      <c r="CF354" s="962"/>
      <c r="CG354" s="459"/>
    </row>
    <row r="355" spans="1:85" s="587" customFormat="1" hidden="1" outlineLevel="1" x14ac:dyDescent="0.3">
      <c r="A355" s="2" t="s">
        <v>429</v>
      </c>
      <c r="B355" s="426"/>
      <c r="C355" s="965"/>
      <c r="D355" s="965"/>
      <c r="E355" s="965"/>
      <c r="F355" s="965"/>
      <c r="G355" s="791"/>
      <c r="H355" s="791"/>
      <c r="I355" s="791"/>
      <c r="J355" s="791"/>
      <c r="K355" s="965"/>
      <c r="L355" s="791"/>
      <c r="M355" s="791"/>
      <c r="N355" s="791"/>
      <c r="O355" s="791"/>
      <c r="P355" s="965"/>
      <c r="Q355" s="791"/>
      <c r="R355" s="791"/>
      <c r="S355" s="791"/>
      <c r="T355" s="791"/>
      <c r="U355" s="965"/>
      <c r="V355" s="791"/>
      <c r="W355" s="791"/>
      <c r="X355" s="791"/>
      <c r="Y355" s="791"/>
      <c r="Z355" s="965"/>
      <c r="AA355" s="791"/>
      <c r="AB355" s="791"/>
      <c r="AC355" s="791"/>
      <c r="AD355" s="791"/>
      <c r="AE355" s="965"/>
      <c r="AF355" s="791"/>
      <c r="AG355" s="791"/>
      <c r="AH355" s="791"/>
      <c r="AI355" s="791"/>
      <c r="AJ355" s="965"/>
      <c r="AK355" s="791"/>
      <c r="AL355" s="791"/>
      <c r="AM355" s="791"/>
      <c r="AN355" s="791"/>
      <c r="AO355" s="986">
        <f>AO419</f>
      </c>
      <c r="AP355" s="792">
        <f>AP419</f>
      </c>
      <c r="AQ355" s="792">
        <f>AQ419</f>
      </c>
      <c r="AR355" s="792">
        <f>AR419</f>
      </c>
      <c r="AS355" s="791"/>
      <c r="AT355" s="986">
        <f>AT419</f>
      </c>
      <c r="AU355" s="791">
        <f>AU419</f>
      </c>
      <c r="AV355" s="791">
        <f>AV419</f>
      </c>
      <c r="AW355" s="791">
        <f>AW419</f>
      </c>
      <c r="AX355" s="791"/>
      <c r="AY355" s="965">
        <f>AY419</f>
      </c>
      <c r="AZ355" s="791">
        <f>AZ419</f>
      </c>
      <c r="BA355" s="791">
        <f>BA419</f>
      </c>
      <c r="BB355" s="791">
        <f>BB419</f>
      </c>
      <c r="BC355" s="791"/>
      <c r="BD355" s="965">
        <f>BD419</f>
      </c>
      <c r="BE355" s="791">
        <f>BE419</f>
      </c>
      <c r="BF355" s="791">
        <f>BF419</f>
      </c>
      <c r="BG355" s="791">
        <f>BG419</f>
      </c>
      <c r="BH355" s="791"/>
      <c r="BI355" s="965">
        <f>BI419</f>
      </c>
      <c r="BJ355" s="791">
        <f>BJ419</f>
      </c>
      <c r="BK355" s="791">
        <f>BK419</f>
      </c>
      <c r="BL355" s="791">
        <f>BL419</f>
      </c>
      <c r="BM355" s="791"/>
      <c r="BN355" s="965">
        <f>BN419</f>
      </c>
      <c r="BO355" s="791">
        <f>BO419</f>
      </c>
      <c r="BP355" s="791">
        <f>BP419</f>
      </c>
      <c r="BQ355" s="791">
        <f>BQ419</f>
      </c>
      <c r="BR355" s="791"/>
      <c r="BS355" s="965">
        <f>BS419</f>
      </c>
      <c r="BT355" s="797">
        <f>BT419</f>
      </c>
      <c r="BU355" s="791"/>
      <c r="BV355" s="791"/>
      <c r="BW355" s="791"/>
      <c r="BX355" s="965"/>
      <c r="BY355" s="791"/>
      <c r="BZ355" s="791"/>
      <c r="CA355" s="791"/>
      <c r="CB355" s="791"/>
      <c r="CC355" s="965"/>
      <c r="CD355" s="965"/>
      <c r="CE355" s="965"/>
      <c r="CF355" s="965"/>
      <c r="CG355" s="459"/>
    </row>
    <row r="356" spans="1:85" hidden="1" outlineLevel="1" x14ac:dyDescent="0.3">
      <c r="A356" s="429"/>
      <c r="B356" s="250"/>
      <c r="C356" s="969"/>
      <c r="D356" s="969"/>
      <c r="E356" s="969"/>
      <c r="F356" s="969"/>
      <c r="G356" s="759"/>
      <c r="H356" s="759"/>
      <c r="I356" s="759"/>
      <c r="J356" s="759"/>
      <c r="K356" s="969"/>
      <c r="L356" s="759"/>
      <c r="M356" s="759"/>
      <c r="N356" s="759"/>
      <c r="O356" s="759"/>
      <c r="P356" s="969"/>
      <c r="Q356" s="759"/>
      <c r="R356" s="759"/>
      <c r="S356" s="759"/>
      <c r="T356" s="759"/>
      <c r="U356" s="969"/>
      <c r="V356" s="759"/>
      <c r="W356" s="759"/>
      <c r="X356" s="759"/>
      <c r="Y356" s="759"/>
      <c r="Z356" s="969"/>
      <c r="AA356" s="759"/>
      <c r="AB356" s="759"/>
      <c r="AC356" s="759"/>
      <c r="AD356" s="759"/>
      <c r="AE356" s="969"/>
      <c r="AF356" s="759"/>
      <c r="AG356" s="759"/>
      <c r="AH356" s="759"/>
      <c r="AI356" s="759"/>
      <c r="AJ356" s="969"/>
      <c r="AK356" s="759"/>
      <c r="AL356" s="759"/>
      <c r="AM356" s="759"/>
      <c r="AN356" s="759"/>
      <c r="AO356" s="969"/>
      <c r="AP356" s="759"/>
      <c r="AQ356" s="759"/>
      <c r="AR356" s="759"/>
      <c r="AS356" s="759"/>
      <c r="AT356" s="969"/>
      <c r="AU356" s="759"/>
      <c r="AV356" s="759"/>
      <c r="AW356" s="759"/>
      <c r="AX356" s="759"/>
      <c r="AY356" s="969"/>
      <c r="AZ356" s="759"/>
      <c r="BA356" s="759"/>
      <c r="BB356" s="759"/>
      <c r="BC356" s="759"/>
      <c r="BD356" s="969"/>
      <c r="BE356" s="759"/>
      <c r="BF356" s="759"/>
      <c r="BG356" s="759"/>
      <c r="BH356" s="759"/>
      <c r="BI356" s="969"/>
      <c r="BJ356" s="759"/>
      <c r="BK356" s="759"/>
      <c r="BL356" s="759"/>
      <c r="BM356" s="759"/>
      <c r="BN356" s="969"/>
      <c r="BO356" s="759"/>
      <c r="BP356" s="759"/>
      <c r="BQ356" s="759"/>
      <c r="BR356" s="759"/>
      <c r="BS356" s="969"/>
      <c r="BT356" s="760"/>
      <c r="BU356" s="759"/>
      <c r="BV356" s="759"/>
      <c r="BW356" s="759"/>
      <c r="BX356" s="969"/>
      <c r="BY356" s="759"/>
      <c r="BZ356" s="759"/>
      <c r="CA356" s="759"/>
      <c r="CB356" s="759"/>
      <c r="CC356" s="969"/>
      <c r="CD356" s="969"/>
      <c r="CE356" s="969"/>
      <c r="CF356" s="969"/>
      <c r="CG356" s="459"/>
    </row>
    <row r="357" spans="1:85" hidden="1" outlineLevel="1" x14ac:dyDescent="0.3">
      <c r="A357" s="4" t="s">
        <v>430</v>
      </c>
      <c r="B357" s="250"/>
      <c r="C357" s="969"/>
      <c r="D357" s="969"/>
      <c r="E357" s="969"/>
      <c r="F357" s="969"/>
      <c r="G357" s="759"/>
      <c r="H357" s="759"/>
      <c r="I357" s="759"/>
      <c r="J357" s="759"/>
      <c r="K357" s="969"/>
      <c r="L357" s="759"/>
      <c r="M357" s="759"/>
      <c r="N357" s="759"/>
      <c r="O357" s="759"/>
      <c r="P357" s="969"/>
      <c r="Q357" s="759"/>
      <c r="R357" s="759"/>
      <c r="S357" s="759"/>
      <c r="T357" s="759"/>
      <c r="U357" s="969"/>
      <c r="V357" s="759"/>
      <c r="W357" s="759"/>
      <c r="X357" s="759"/>
      <c r="Y357" s="759"/>
      <c r="Z357" s="969"/>
      <c r="AA357" s="759"/>
      <c r="AB357" s="759"/>
      <c r="AC357" s="759"/>
      <c r="AD357" s="759"/>
      <c r="AE357" s="969"/>
      <c r="AF357" s="759"/>
      <c r="AG357" s="759"/>
      <c r="AH357" s="759"/>
      <c r="AI357" s="759"/>
      <c r="AJ357" s="969"/>
      <c r="AK357" s="759"/>
      <c r="AL357" s="759"/>
      <c r="AM357" s="759"/>
      <c r="AN357" s="759"/>
      <c r="AO357" s="985">
        <f>AJ421</f>
      </c>
      <c r="AP357" s="183">
        <f>AK421</f>
      </c>
      <c r="AQ357" s="183">
        <f>AL421</f>
      </c>
      <c r="AR357" s="183">
        <f>AM421</f>
      </c>
      <c r="AS357" s="759"/>
      <c r="AT357" s="985">
        <f>AO421</f>
      </c>
      <c r="AU357" s="759">
        <f>AP421</f>
      </c>
      <c r="AV357" s="759">
        <f>AQ421</f>
      </c>
      <c r="AW357" s="759">
        <f>AR421</f>
      </c>
      <c r="AX357" s="759"/>
      <c r="AY357" s="969">
        <f>AT421</f>
      </c>
      <c r="AZ357" s="759">
        <f>AU421</f>
      </c>
      <c r="BA357" s="759">
        <f>AV421</f>
      </c>
      <c r="BB357" s="759">
        <f>AW421</f>
      </c>
      <c r="BC357" s="759"/>
      <c r="BD357" s="969">
        <f>AY421</f>
      </c>
      <c r="BE357" s="759">
        <f>AZ421</f>
      </c>
      <c r="BF357" s="759">
        <f>BA421</f>
      </c>
      <c r="BG357" s="759">
        <f>BB421</f>
      </c>
      <c r="BH357" s="759"/>
      <c r="BI357" s="969">
        <f>BD421</f>
      </c>
      <c r="BJ357" s="759">
        <f>BE421</f>
      </c>
      <c r="BK357" s="759">
        <f>BF421</f>
      </c>
      <c r="BL357" s="759">
        <f>BG421</f>
      </c>
      <c r="BM357" s="759"/>
      <c r="BN357" s="969">
        <f>BI421</f>
      </c>
      <c r="BO357" s="759">
        <f>BJ421</f>
      </c>
      <c r="BP357" s="759">
        <f>BK421</f>
      </c>
      <c r="BQ357" s="759">
        <f>BL421</f>
      </c>
      <c r="BR357" s="759"/>
      <c r="BS357" s="969">
        <f>BN421</f>
      </c>
      <c r="BT357" s="760">
        <f>BO421</f>
      </c>
      <c r="BU357" s="759"/>
      <c r="BV357" s="759"/>
      <c r="BW357" s="759"/>
      <c r="BX357" s="969"/>
      <c r="BY357" s="759"/>
      <c r="BZ357" s="759"/>
      <c r="CA357" s="759"/>
      <c r="CB357" s="759"/>
      <c r="CC357" s="969"/>
      <c r="CD357" s="969"/>
      <c r="CE357" s="969"/>
      <c r="CF357" s="969"/>
      <c r="CG357" s="459"/>
    </row>
    <row r="358" spans="1:85" hidden="1" outlineLevel="1" x14ac:dyDescent="0.3">
      <c r="A358" s="182" t="s">
        <v>432</v>
      </c>
      <c r="B358" s="430"/>
      <c r="C358" s="962"/>
      <c r="D358" s="962"/>
      <c r="E358" s="962"/>
      <c r="F358" s="962"/>
      <c r="G358" s="757"/>
      <c r="H358" s="757"/>
      <c r="I358" s="757"/>
      <c r="J358" s="757"/>
      <c r="K358" s="962"/>
      <c r="L358" s="757"/>
      <c r="M358" s="757"/>
      <c r="N358" s="757"/>
      <c r="O358" s="757"/>
      <c r="P358" s="962"/>
      <c r="Q358" s="757"/>
      <c r="R358" s="757"/>
      <c r="S358" s="757"/>
      <c r="T358" s="757"/>
      <c r="U358" s="962"/>
      <c r="V358" s="757"/>
      <c r="W358" s="757"/>
      <c r="X358" s="757"/>
      <c r="Y358" s="757"/>
      <c r="Z358" s="962"/>
      <c r="AA358" s="757"/>
      <c r="AB358" s="757"/>
      <c r="AC358" s="757"/>
      <c r="AD358" s="757"/>
      <c r="AE358" s="962"/>
      <c r="AF358" s="757"/>
      <c r="AG358" s="757"/>
      <c r="AH358" s="757"/>
      <c r="AI358" s="757"/>
      <c r="AJ358" s="962"/>
      <c r="AK358" s="757"/>
      <c r="AL358" s="757"/>
      <c r="AM358" s="757"/>
      <c r="AN358" s="757"/>
      <c r="AO358" s="963">
        <v>139</v>
      </c>
      <c r="AP358" s="857">
        <v>0</v>
      </c>
      <c r="AQ358" s="757"/>
      <c r="AR358" s="757"/>
      <c r="AS358" s="757"/>
      <c r="AT358" s="962"/>
      <c r="AU358" s="857">
        <v>11</v>
      </c>
      <c r="AV358" s="757"/>
      <c r="AW358" s="757"/>
      <c r="AX358" s="757"/>
      <c r="AY358" s="963">
        <v>116</v>
      </c>
      <c r="AZ358" s="857">
        <v>46</v>
      </c>
      <c r="BA358" s="857">
        <v>61</v>
      </c>
      <c r="BB358" s="757"/>
      <c r="BC358" s="757"/>
      <c r="BD358" s="962"/>
      <c r="BE358" s="757"/>
      <c r="BF358" s="857">
        <v>-20</v>
      </c>
      <c r="BG358" s="857">
        <v>36</v>
      </c>
      <c r="BH358" s="757"/>
      <c r="BI358" s="963">
        <v>21</v>
      </c>
      <c r="BJ358" s="857">
        <v>27</v>
      </c>
      <c r="BK358" s="857">
        <v>27</v>
      </c>
      <c r="BL358" s="857">
        <v>25</v>
      </c>
      <c r="BM358" s="757"/>
      <c r="BN358" s="963">
        <v>131</v>
      </c>
      <c r="BO358" s="857">
        <v>33</v>
      </c>
      <c r="BP358" s="857">
        <v>40</v>
      </c>
      <c r="BQ358" s="857">
        <v>41</v>
      </c>
      <c r="BR358" s="757"/>
      <c r="BS358" s="963">
        <v>149</v>
      </c>
      <c r="BT358" s="864">
        <v>48</v>
      </c>
      <c r="BU358" s="757"/>
      <c r="BV358" s="757"/>
      <c r="BW358" s="757"/>
      <c r="BX358" s="962"/>
      <c r="BY358" s="757"/>
      <c r="BZ358" s="757"/>
      <c r="CA358" s="757"/>
      <c r="CB358" s="757"/>
      <c r="CC358" s="962"/>
      <c r="CD358" s="962"/>
      <c r="CE358" s="962"/>
      <c r="CF358" s="962"/>
      <c r="CG358" s="459"/>
    </row>
    <row r="359" spans="1:85" hidden="1" outlineLevel="1" x14ac:dyDescent="0.3">
      <c r="A359" s="182" t="s">
        <v>2203</v>
      </c>
      <c r="B359" s="430"/>
      <c r="C359" s="962"/>
      <c r="D359" s="962"/>
      <c r="E359" s="962"/>
      <c r="F359" s="962"/>
      <c r="G359" s="757"/>
      <c r="H359" s="757"/>
      <c r="I359" s="757"/>
      <c r="J359" s="757"/>
      <c r="K359" s="962"/>
      <c r="L359" s="757"/>
      <c r="M359" s="757"/>
      <c r="N359" s="757"/>
      <c r="O359" s="757"/>
      <c r="P359" s="962"/>
      <c r="Q359" s="757"/>
      <c r="R359" s="757"/>
      <c r="S359" s="757"/>
      <c r="T359" s="757"/>
      <c r="U359" s="962"/>
      <c r="V359" s="757"/>
      <c r="W359" s="757"/>
      <c r="X359" s="757"/>
      <c r="Y359" s="757"/>
      <c r="Z359" s="962"/>
      <c r="AA359" s="757"/>
      <c r="AB359" s="757"/>
      <c r="AC359" s="757"/>
      <c r="AD359" s="757"/>
      <c r="AE359" s="962"/>
      <c r="AF359" s="757"/>
      <c r="AG359" s="757"/>
      <c r="AH359" s="757"/>
      <c r="AI359" s="757"/>
      <c r="AJ359" s="962"/>
      <c r="AK359" s="757"/>
      <c r="AL359" s="757"/>
      <c r="AM359" s="757"/>
      <c r="AN359" s="757"/>
      <c r="AO359" s="962"/>
      <c r="AP359" s="757"/>
      <c r="AQ359" s="757"/>
      <c r="AR359" s="757"/>
      <c r="AS359" s="757"/>
      <c r="AT359" s="962"/>
      <c r="AU359" s="757"/>
      <c r="AV359" s="757"/>
      <c r="AW359" s="757"/>
      <c r="AX359" s="757"/>
      <c r="AY359" s="962"/>
      <c r="AZ359" s="757"/>
      <c r="BA359" s="757"/>
      <c r="BB359" s="757"/>
      <c r="BC359" s="757"/>
      <c r="BD359" s="962"/>
      <c r="BE359" s="757"/>
      <c r="BF359" s="757"/>
      <c r="BG359" s="757"/>
      <c r="BH359" s="757"/>
      <c r="BI359" s="962"/>
      <c r="BJ359" s="757"/>
      <c r="BK359" s="757"/>
      <c r="BL359" s="757"/>
      <c r="BM359" s="757"/>
      <c r="BN359" s="962"/>
      <c r="BO359" s="857">
        <v>-18</v>
      </c>
      <c r="BP359" s="757"/>
      <c r="BQ359" s="857">
        <v>104</v>
      </c>
      <c r="BR359" s="757"/>
      <c r="BS359" s="962"/>
      <c r="BT359" s="758"/>
      <c r="BU359" s="757"/>
      <c r="BV359" s="757"/>
      <c r="BW359" s="757"/>
      <c r="BX359" s="962"/>
      <c r="BY359" s="757"/>
      <c r="BZ359" s="757"/>
      <c r="CA359" s="757"/>
      <c r="CB359" s="757"/>
      <c r="CC359" s="962"/>
      <c r="CD359" s="962"/>
      <c r="CE359" s="962"/>
      <c r="CF359" s="962"/>
      <c r="CG359" s="459"/>
    </row>
    <row r="360" spans="1:85" hidden="1" outlineLevel="1" x14ac:dyDescent="0.3">
      <c r="A360" s="182" t="s">
        <v>431</v>
      </c>
      <c r="B360" s="430"/>
      <c r="C360" s="962"/>
      <c r="D360" s="962"/>
      <c r="E360" s="962"/>
      <c r="F360" s="962"/>
      <c r="G360" s="757"/>
      <c r="H360" s="757"/>
      <c r="I360" s="757"/>
      <c r="J360" s="757"/>
      <c r="K360" s="962"/>
      <c r="L360" s="757"/>
      <c r="M360" s="757"/>
      <c r="N360" s="757"/>
      <c r="O360" s="757"/>
      <c r="P360" s="962"/>
      <c r="Q360" s="757"/>
      <c r="R360" s="757"/>
      <c r="S360" s="757"/>
      <c r="T360" s="757"/>
      <c r="U360" s="962"/>
      <c r="V360" s="757"/>
      <c r="W360" s="757"/>
      <c r="X360" s="757"/>
      <c r="Y360" s="757"/>
      <c r="Z360" s="962"/>
      <c r="AA360" s="757"/>
      <c r="AB360" s="757"/>
      <c r="AC360" s="757"/>
      <c r="AD360" s="757"/>
      <c r="AE360" s="962"/>
      <c r="AF360" s="757"/>
      <c r="AG360" s="757"/>
      <c r="AH360" s="757"/>
      <c r="AI360" s="757"/>
      <c r="AJ360" s="962"/>
      <c r="AK360" s="757"/>
      <c r="AL360" s="757"/>
      <c r="AM360" s="757"/>
      <c r="AN360" s="757"/>
      <c r="AO360" s="963">
        <v>144</v>
      </c>
      <c r="AP360" s="857">
        <v>-126</v>
      </c>
      <c r="AQ360" s="857">
        <v>-176</v>
      </c>
      <c r="AR360" s="857">
        <v>-25</v>
      </c>
      <c r="AS360" s="757"/>
      <c r="AT360" s="963">
        <v>-432</v>
      </c>
      <c r="AU360" s="757"/>
      <c r="AV360" s="857">
        <v>163</v>
      </c>
      <c r="AW360" s="857">
        <v>87</v>
      </c>
      <c r="AX360" s="757"/>
      <c r="AY360" s="963">
        <v>222</v>
      </c>
      <c r="AZ360" s="757"/>
      <c r="BA360" s="857">
        <v>-84</v>
      </c>
      <c r="BB360" s="857">
        <v>-68</v>
      </c>
      <c r="BC360" s="757"/>
      <c r="BD360" s="962"/>
      <c r="BE360" s="757"/>
      <c r="BF360" s="857">
        <f>88-11</f>
      </c>
      <c r="BG360" s="857">
        <f>-37-8</f>
      </c>
      <c r="BH360" s="757"/>
      <c r="BI360" s="963">
        <f>146-39</f>
      </c>
      <c r="BJ360" s="857">
        <v>65</v>
      </c>
      <c r="BK360" s="857">
        <v>-17</v>
      </c>
      <c r="BL360" s="857">
        <v>50</v>
      </c>
      <c r="BM360" s="757"/>
      <c r="BN360" s="963">
        <v>54</v>
      </c>
      <c r="BO360" s="857">
        <v>23</v>
      </c>
      <c r="BP360" s="857">
        <v>19</v>
      </c>
      <c r="BQ360" s="757"/>
      <c r="BR360" s="757"/>
      <c r="BS360" s="963">
        <v>222</v>
      </c>
      <c r="BT360" s="864">
        <v>113</v>
      </c>
      <c r="BU360" s="757"/>
      <c r="BV360" s="757"/>
      <c r="BW360" s="757"/>
      <c r="BX360" s="962"/>
      <c r="BY360" s="757"/>
      <c r="BZ360" s="757"/>
      <c r="CA360" s="757"/>
      <c r="CB360" s="757"/>
      <c r="CC360" s="962"/>
      <c r="CD360" s="962"/>
      <c r="CE360" s="962"/>
      <c r="CF360" s="962"/>
      <c r="CG360" s="459"/>
    </row>
    <row r="361" spans="1:85" hidden="1" outlineLevel="1" x14ac:dyDescent="0.3">
      <c r="A361" s="182" t="s">
        <v>434</v>
      </c>
      <c r="B361" s="430"/>
      <c r="C361" s="962"/>
      <c r="D361" s="962"/>
      <c r="E361" s="962"/>
      <c r="F361" s="962"/>
      <c r="G361" s="757"/>
      <c r="H361" s="757"/>
      <c r="I361" s="757"/>
      <c r="J361" s="757"/>
      <c r="K361" s="962"/>
      <c r="L361" s="757"/>
      <c r="M361" s="757"/>
      <c r="N361" s="757"/>
      <c r="O361" s="757"/>
      <c r="P361" s="962"/>
      <c r="Q361" s="757"/>
      <c r="R361" s="757"/>
      <c r="S361" s="757"/>
      <c r="T361" s="757"/>
      <c r="U361" s="962"/>
      <c r="V361" s="757"/>
      <c r="W361" s="757"/>
      <c r="X361" s="757"/>
      <c r="Y361" s="757"/>
      <c r="Z361" s="962"/>
      <c r="AA361" s="757"/>
      <c r="AB361" s="757"/>
      <c r="AC361" s="757"/>
      <c r="AD361" s="757"/>
      <c r="AE361" s="962"/>
      <c r="AF361" s="757"/>
      <c r="AG361" s="757"/>
      <c r="AH361" s="757"/>
      <c r="AI361" s="757"/>
      <c r="AJ361" s="962"/>
      <c r="AK361" s="757"/>
      <c r="AL361" s="757"/>
      <c r="AM361" s="757"/>
      <c r="AN361" s="757"/>
      <c r="AO361" s="964">
        <f>AO362-SUM(AO357:AO360)</f>
      </c>
      <c r="AP361" s="459">
        <f>AP362-SUM(AP357:AP360)</f>
      </c>
      <c r="AQ361" s="459">
        <f>AQ362-SUM(AQ357:AQ360)</f>
      </c>
      <c r="AR361" s="459">
        <f>AR362-SUM(AR357:AR360)</f>
      </c>
      <c r="AS361" s="757"/>
      <c r="AT361" s="964">
        <f>AT362-SUM(AT357:AT360)</f>
      </c>
      <c r="AU361" s="757">
        <f>AU362-SUM(AU357:AU360)</f>
      </c>
      <c r="AV361" s="757">
        <f>AV362-SUM(AV357:AV360)</f>
      </c>
      <c r="AW361" s="757">
        <f>AW362-SUM(AW357:AW360)</f>
      </c>
      <c r="AX361" s="757"/>
      <c r="AY361" s="962">
        <f>AY362-SUM(AY357:AY360)</f>
      </c>
      <c r="AZ361" s="757">
        <f>AZ362-SUM(AZ357:AZ360)</f>
      </c>
      <c r="BA361" s="757">
        <f>BA362-SUM(BA357:BA360)</f>
      </c>
      <c r="BB361" s="757">
        <f>BB362-SUM(BB357:BB360)</f>
      </c>
      <c r="BC361" s="757"/>
      <c r="BD361" s="962">
        <f>BD362-SUM(BD357:BD360)</f>
      </c>
      <c r="BE361" s="757">
        <f>BE362-SUM(BE357:BE360)</f>
      </c>
      <c r="BF361" s="757">
        <f>BF362-SUM(BF357:BF360)</f>
      </c>
      <c r="BG361" s="757">
        <f>BG362-SUM(BG357:BG360)</f>
      </c>
      <c r="BH361" s="757"/>
      <c r="BI361" s="962">
        <f>BI362-SUM(BI357:BI360)</f>
      </c>
      <c r="BJ361" s="757">
        <f>BJ362-SUM(BJ357:BJ360)</f>
      </c>
      <c r="BK361" s="757">
        <f>BK362-SUM(BK357:BK360)</f>
      </c>
      <c r="BL361" s="757">
        <f>BL362-SUM(BL357:BL360)</f>
      </c>
      <c r="BM361" s="757"/>
      <c r="BN361" s="962">
        <f>BN362-SUM(BN357:BN360)</f>
      </c>
      <c r="BO361" s="757">
        <f>BO362-SUM(BO357:BO360)</f>
      </c>
      <c r="BP361" s="757">
        <f>BP362-SUM(BP357:BP360)</f>
      </c>
      <c r="BQ361" s="757">
        <f>BQ362-SUM(BQ357:BQ360)</f>
      </c>
      <c r="BR361" s="757"/>
      <c r="BS361" s="962">
        <f>BS362-SUM(BS357:BS360)</f>
      </c>
      <c r="BT361" s="758">
        <f>BT362-SUM(BT357:BT360)</f>
      </c>
      <c r="BU361" s="757"/>
      <c r="BV361" s="757"/>
      <c r="BW361" s="757"/>
      <c r="BX361" s="962"/>
      <c r="BY361" s="757"/>
      <c r="BZ361" s="757"/>
      <c r="CA361" s="757"/>
      <c r="CB361" s="757"/>
      <c r="CC361" s="962"/>
      <c r="CD361" s="962"/>
      <c r="CE361" s="962"/>
      <c r="CF361" s="962"/>
      <c r="CG361" s="459"/>
    </row>
    <row r="362" spans="1:85" hidden="1" outlineLevel="1" x14ac:dyDescent="0.3">
      <c r="A362" s="2" t="s">
        <v>433</v>
      </c>
      <c r="B362" s="426"/>
      <c r="C362" s="965"/>
      <c r="D362" s="965"/>
      <c r="E362" s="965"/>
      <c r="F362" s="965"/>
      <c r="G362" s="791"/>
      <c r="H362" s="791"/>
      <c r="I362" s="791"/>
      <c r="J362" s="791"/>
      <c r="K362" s="965"/>
      <c r="L362" s="791"/>
      <c r="M362" s="791"/>
      <c r="N362" s="791"/>
      <c r="O362" s="791"/>
      <c r="P362" s="965"/>
      <c r="Q362" s="791"/>
      <c r="R362" s="791"/>
      <c r="S362" s="791"/>
      <c r="T362" s="791"/>
      <c r="U362" s="965"/>
      <c r="V362" s="791"/>
      <c r="W362" s="791"/>
      <c r="X362" s="791"/>
      <c r="Y362" s="791"/>
      <c r="Z362" s="965"/>
      <c r="AA362" s="791"/>
      <c r="AB362" s="791"/>
      <c r="AC362" s="791"/>
      <c r="AD362" s="791"/>
      <c r="AE362" s="965"/>
      <c r="AF362" s="791"/>
      <c r="AG362" s="791"/>
      <c r="AH362" s="791"/>
      <c r="AI362" s="791"/>
      <c r="AJ362" s="965"/>
      <c r="AK362" s="791"/>
      <c r="AL362" s="791"/>
      <c r="AM362" s="791"/>
      <c r="AN362" s="791"/>
      <c r="AO362" s="986">
        <f>AO421</f>
      </c>
      <c r="AP362" s="792">
        <f>AP421</f>
      </c>
      <c r="AQ362" s="792">
        <f>AQ421</f>
      </c>
      <c r="AR362" s="792">
        <f>AR421</f>
      </c>
      <c r="AS362" s="791"/>
      <c r="AT362" s="986">
        <f>AT421</f>
      </c>
      <c r="AU362" s="791">
        <f>AU421</f>
      </c>
      <c r="AV362" s="791">
        <f>AV421</f>
      </c>
      <c r="AW362" s="791">
        <f>AW421</f>
      </c>
      <c r="AX362" s="791"/>
      <c r="AY362" s="965">
        <f>AY421</f>
      </c>
      <c r="AZ362" s="791">
        <f>AZ421</f>
      </c>
      <c r="BA362" s="791">
        <f>BA421</f>
      </c>
      <c r="BB362" s="791">
        <f>BB421</f>
      </c>
      <c r="BC362" s="791"/>
      <c r="BD362" s="965">
        <f>BD421</f>
      </c>
      <c r="BE362" s="791">
        <f>BE421</f>
      </c>
      <c r="BF362" s="791">
        <f>BF421</f>
      </c>
      <c r="BG362" s="791">
        <f>BG421</f>
      </c>
      <c r="BH362" s="791"/>
      <c r="BI362" s="965">
        <f>BI421</f>
      </c>
      <c r="BJ362" s="791">
        <f>BJ421</f>
      </c>
      <c r="BK362" s="791">
        <f>BK421</f>
      </c>
      <c r="BL362" s="791">
        <f>BL421</f>
      </c>
      <c r="BM362" s="791"/>
      <c r="BN362" s="965">
        <f>BN421</f>
      </c>
      <c r="BO362" s="791">
        <f>BO421</f>
      </c>
      <c r="BP362" s="791">
        <f>BP421</f>
      </c>
      <c r="BQ362" s="791">
        <f>BQ421</f>
      </c>
      <c r="BR362" s="791"/>
      <c r="BS362" s="965">
        <f>BS421</f>
      </c>
      <c r="BT362" s="797">
        <f>BT421</f>
      </c>
      <c r="BU362" s="791"/>
      <c r="BV362" s="791"/>
      <c r="BW362" s="791"/>
      <c r="BX362" s="965"/>
      <c r="BY362" s="791"/>
      <c r="BZ362" s="791"/>
      <c r="CA362" s="791"/>
      <c r="CB362" s="791"/>
      <c r="CC362" s="965"/>
      <c r="CD362" s="965"/>
      <c r="CE362" s="965"/>
      <c r="CF362" s="965"/>
      <c r="CG362" s="459"/>
    </row>
    <row r="363" spans="1:85" hidden="1" outlineLevel="1" x14ac:dyDescent="0.3">
      <c r="A363" s="442" t="s">
        <v>902</v>
      </c>
      <c r="B363" s="430"/>
      <c r="C363" s="963">
        <v>175</v>
      </c>
      <c r="D363" s="963">
        <v>212.4</v>
      </c>
      <c r="E363" s="963">
        <v>299.10000000000002</v>
      </c>
      <c r="F363" s="963">
        <v>377.2</v>
      </c>
      <c r="G363" s="757"/>
      <c r="H363" s="757"/>
      <c r="I363" s="757"/>
      <c r="J363" s="757"/>
      <c r="K363" s="963">
        <v>404</v>
      </c>
      <c r="L363" s="757"/>
      <c r="M363" s="757"/>
      <c r="N363" s="757"/>
      <c r="O363" s="757"/>
      <c r="P363" s="963">
        <v>533.1</v>
      </c>
      <c r="Q363" s="757"/>
      <c r="R363" s="757"/>
      <c r="S363" s="757"/>
      <c r="T363" s="757"/>
      <c r="U363" s="963">
        <v>714.3</v>
      </c>
      <c r="V363" s="757"/>
      <c r="W363" s="757"/>
      <c r="X363" s="757"/>
      <c r="Y363" s="757"/>
      <c r="Z363" s="963">
        <v>842.4</v>
      </c>
      <c r="AA363" s="757"/>
      <c r="AB363" s="757"/>
      <c r="AC363" s="757"/>
      <c r="AD363" s="757"/>
      <c r="AE363" s="963">
        <v>1091.0999999999999</v>
      </c>
      <c r="AF363" s="757"/>
      <c r="AG363" s="757"/>
      <c r="AH363" s="757"/>
      <c r="AI363" s="757"/>
      <c r="AJ363" s="963">
        <v>1808</v>
      </c>
      <c r="AK363" s="757"/>
      <c r="AL363" s="757"/>
      <c r="AM363" s="757"/>
      <c r="AN363" s="757"/>
      <c r="AO363" s="963">
        <v>1879</v>
      </c>
      <c r="AP363" s="757"/>
      <c r="AQ363" s="757"/>
      <c r="AR363" s="757"/>
      <c r="AS363" s="757"/>
      <c r="AT363" s="963">
        <v>1447</v>
      </c>
      <c r="AU363" s="757"/>
      <c r="AV363" s="757"/>
      <c r="AW363" s="757"/>
      <c r="AX363" s="757"/>
      <c r="AY363" s="963">
        <v>1669</v>
      </c>
      <c r="AZ363" s="757"/>
      <c r="BA363" s="757"/>
      <c r="BB363" s="757"/>
      <c r="BC363" s="757"/>
      <c r="BD363" s="963">
        <v>1586</v>
      </c>
      <c r="BE363" s="757"/>
      <c r="BF363" s="757"/>
      <c r="BG363" s="757"/>
      <c r="BH363" s="757"/>
      <c r="BI363" s="962"/>
      <c r="BJ363" s="757"/>
      <c r="BK363" s="757"/>
      <c r="BL363" s="757"/>
      <c r="BM363" s="757"/>
      <c r="BN363" s="962"/>
      <c r="BO363" s="757"/>
      <c r="BP363" s="757"/>
      <c r="BQ363" s="757"/>
      <c r="BR363" s="757"/>
      <c r="BS363" s="962"/>
      <c r="BT363" s="758"/>
      <c r="BU363" s="757"/>
      <c r="BV363" s="757"/>
      <c r="BW363" s="757"/>
      <c r="BX363" s="962"/>
      <c r="BY363" s="757"/>
      <c r="BZ363" s="757"/>
      <c r="CA363" s="757"/>
      <c r="CB363" s="757"/>
      <c r="CC363" s="962"/>
      <c r="CD363" s="962"/>
      <c r="CE363" s="962"/>
      <c r="CF363" s="962"/>
      <c r="CG363" s="459"/>
    </row>
    <row r="364" spans="1:85" hidden="1" outlineLevel="1" x14ac:dyDescent="0.3">
      <c r="A364" s="429"/>
      <c r="B364" s="250"/>
      <c r="C364" s="969"/>
      <c r="D364" s="969"/>
      <c r="E364" s="969"/>
      <c r="F364" s="969"/>
      <c r="G364" s="759"/>
      <c r="H364" s="759"/>
      <c r="I364" s="759"/>
      <c r="J364" s="759"/>
      <c r="K364" s="969"/>
      <c r="L364" s="759"/>
      <c r="M364" s="759"/>
      <c r="N364" s="759"/>
      <c r="O364" s="759"/>
      <c r="P364" s="969"/>
      <c r="Q364" s="759"/>
      <c r="R364" s="759"/>
      <c r="S364" s="759"/>
      <c r="T364" s="759"/>
      <c r="U364" s="969"/>
      <c r="V364" s="759"/>
      <c r="W364" s="759"/>
      <c r="X364" s="759"/>
      <c r="Y364" s="759"/>
      <c r="Z364" s="969"/>
      <c r="AA364" s="759"/>
      <c r="AB364" s="759"/>
      <c r="AC364" s="759"/>
      <c r="AD364" s="759"/>
      <c r="AE364" s="969"/>
      <c r="AF364" s="759"/>
      <c r="AG364" s="759"/>
      <c r="AH364" s="759"/>
      <c r="AI364" s="759"/>
      <c r="AJ364" s="969"/>
      <c r="AK364" s="759"/>
      <c r="AL364" s="759"/>
      <c r="AM364" s="759"/>
      <c r="AN364" s="759"/>
      <c r="AO364" s="969"/>
      <c r="AP364" s="759"/>
      <c r="AQ364" s="759"/>
      <c r="AR364" s="759"/>
      <c r="AS364" s="759"/>
      <c r="AT364" s="969"/>
      <c r="AU364" s="759"/>
      <c r="AV364" s="759"/>
      <c r="AW364" s="759"/>
      <c r="AX364" s="759"/>
      <c r="AY364" s="969"/>
      <c r="AZ364" s="759"/>
      <c r="BA364" s="759"/>
      <c r="BB364" s="759"/>
      <c r="BC364" s="759"/>
      <c r="BD364" s="969"/>
      <c r="BE364" s="759"/>
      <c r="BF364" s="759"/>
      <c r="BG364" s="759"/>
      <c r="BH364" s="759"/>
      <c r="BI364" s="969"/>
      <c r="BJ364" s="759"/>
      <c r="BK364" s="759"/>
      <c r="BL364" s="759"/>
      <c r="BM364" s="759"/>
      <c r="BN364" s="969"/>
      <c r="BO364" s="759"/>
      <c r="BP364" s="759"/>
      <c r="BQ364" s="759"/>
      <c r="BR364" s="759"/>
      <c r="BS364" s="969"/>
      <c r="BT364" s="760"/>
      <c r="BU364" s="759"/>
      <c r="BV364" s="759"/>
      <c r="BW364" s="759"/>
      <c r="BX364" s="969"/>
      <c r="BY364" s="759"/>
      <c r="BZ364" s="759"/>
      <c r="CA364" s="759"/>
      <c r="CB364" s="759"/>
      <c r="CC364" s="969"/>
      <c r="CD364" s="969"/>
      <c r="CE364" s="969"/>
      <c r="CF364" s="969"/>
      <c r="CG364" s="459"/>
    </row>
    <row r="365" spans="1:85" hidden="1" outlineLevel="1" x14ac:dyDescent="0.3">
      <c r="A365" s="4" t="s">
        <v>435</v>
      </c>
      <c r="B365" s="250"/>
      <c r="C365" s="969"/>
      <c r="D365" s="969"/>
      <c r="E365" s="969"/>
      <c r="F365" s="969"/>
      <c r="G365" s="759"/>
      <c r="H365" s="759"/>
      <c r="I365" s="759"/>
      <c r="J365" s="759"/>
      <c r="K365" s="969"/>
      <c r="L365" s="759"/>
      <c r="M365" s="759"/>
      <c r="N365" s="759"/>
      <c r="O365" s="759"/>
      <c r="P365" s="969"/>
      <c r="Q365" s="759"/>
      <c r="R365" s="759"/>
      <c r="S365" s="759"/>
      <c r="T365" s="759"/>
      <c r="U365" s="969"/>
      <c r="V365" s="759"/>
      <c r="W365" s="759"/>
      <c r="X365" s="759"/>
      <c r="Y365" s="759"/>
      <c r="Z365" s="969"/>
      <c r="AA365" s="759"/>
      <c r="AB365" s="759"/>
      <c r="AC365" s="759"/>
      <c r="AD365" s="759"/>
      <c r="AE365" s="969"/>
      <c r="AF365" s="759"/>
      <c r="AG365" s="759"/>
      <c r="AH365" s="759"/>
      <c r="AI365" s="759"/>
      <c r="AJ365" s="985">
        <f t="shared" ref="AJ365:AR365" si="638">AE422</f>
      </c>
      <c r="AK365" s="183">
        <f t="shared" si="638"/>
      </c>
      <c r="AL365" s="183">
        <f t="shared" si="638"/>
      </c>
      <c r="AM365" s="183">
        <f t="shared" si="638"/>
      </c>
      <c r="AN365" s="183">
        <f t="shared" si="638"/>
      </c>
      <c r="AO365" s="985">
        <f t="shared" si="638"/>
      </c>
      <c r="AP365" s="183">
        <f t="shared" si="638"/>
      </c>
      <c r="AQ365" s="183">
        <f t="shared" si="638"/>
      </c>
      <c r="AR365" s="183">
        <f t="shared" si="638"/>
      </c>
      <c r="AS365" s="759"/>
      <c r="AT365" s="985">
        <f>AO422</f>
      </c>
      <c r="AU365" s="759">
        <f>AP422</f>
      </c>
      <c r="AV365" s="759">
        <f>AQ422</f>
      </c>
      <c r="AW365" s="759">
        <f>AR422</f>
      </c>
      <c r="AX365" s="759"/>
      <c r="AY365" s="969">
        <f>AT422</f>
      </c>
      <c r="AZ365" s="759">
        <f>AU422</f>
      </c>
      <c r="BA365" s="759">
        <f>AV422</f>
      </c>
      <c r="BB365" s="759">
        <f>AW422</f>
      </c>
      <c r="BC365" s="759"/>
      <c r="BD365" s="969">
        <f>AY422</f>
      </c>
      <c r="BE365" s="759">
        <f>AZ422</f>
      </c>
      <c r="BF365" s="759">
        <f>BA422</f>
      </c>
      <c r="BG365" s="759">
        <f>BB422</f>
      </c>
      <c r="BH365" s="759"/>
      <c r="BI365" s="969">
        <f>BD422</f>
      </c>
      <c r="BJ365" s="759">
        <f>BE422</f>
      </c>
      <c r="BK365" s="759">
        <f>BF422</f>
      </c>
      <c r="BL365" s="759">
        <f>BG422</f>
      </c>
      <c r="BM365" s="759"/>
      <c r="BN365" s="969">
        <f>BI422</f>
      </c>
      <c r="BO365" s="759">
        <f>BJ422</f>
      </c>
      <c r="BP365" s="759">
        <f>BK422</f>
      </c>
      <c r="BQ365" s="759">
        <f>BL422</f>
      </c>
      <c r="BR365" s="759"/>
      <c r="BS365" s="969">
        <f>BN422</f>
      </c>
      <c r="BT365" s="760">
        <f>BO422</f>
      </c>
      <c r="BU365" s="759"/>
      <c r="BV365" s="759"/>
      <c r="BW365" s="759"/>
      <c r="BX365" s="969"/>
      <c r="BY365" s="759"/>
      <c r="BZ365" s="759"/>
      <c r="CA365" s="759"/>
      <c r="CB365" s="759"/>
      <c r="CC365" s="969"/>
      <c r="CD365" s="969"/>
      <c r="CE365" s="969"/>
      <c r="CF365" s="969"/>
      <c r="CG365" s="459"/>
    </row>
    <row r="366" spans="1:85" hidden="1" outlineLevel="1" x14ac:dyDescent="0.3">
      <c r="A366" s="182" t="s">
        <v>436</v>
      </c>
      <c r="B366" s="430"/>
      <c r="C366" s="962"/>
      <c r="D366" s="962"/>
      <c r="E366" s="962"/>
      <c r="F366" s="962"/>
      <c r="G366" s="757"/>
      <c r="H366" s="757"/>
      <c r="I366" s="757"/>
      <c r="J366" s="757"/>
      <c r="K366" s="962"/>
      <c r="L366" s="757"/>
      <c r="M366" s="757"/>
      <c r="N366" s="757"/>
      <c r="O366" s="757"/>
      <c r="P366" s="962"/>
      <c r="Q366" s="757"/>
      <c r="R366" s="757"/>
      <c r="S366" s="757"/>
      <c r="T366" s="757"/>
      <c r="U366" s="962"/>
      <c r="V366" s="757"/>
      <c r="W366" s="757"/>
      <c r="X366" s="757"/>
      <c r="Y366" s="757"/>
      <c r="Z366" s="962"/>
      <c r="AA366" s="757"/>
      <c r="AB366" s="757"/>
      <c r="AC366" s="757"/>
      <c r="AD366" s="757"/>
      <c r="AE366" s="962"/>
      <c r="AF366" s="757"/>
      <c r="AG366" s="757"/>
      <c r="AH366" s="757"/>
      <c r="AI366" s="757"/>
      <c r="AJ366" s="963">
        <v>218</v>
      </c>
      <c r="AK366" s="857">
        <v>82</v>
      </c>
      <c r="AL366" s="857">
        <v>81</v>
      </c>
      <c r="AM366" s="857">
        <v>67</v>
      </c>
      <c r="AN366" s="459">
        <f>AO366-SUM(AK366,AL366,AM366)</f>
      </c>
      <c r="AO366" s="963">
        <v>305</v>
      </c>
      <c r="AP366" s="857">
        <v>78</v>
      </c>
      <c r="AQ366" s="857">
        <v>43</v>
      </c>
      <c r="AR366" s="857">
        <v>67</v>
      </c>
      <c r="AS366" s="757"/>
      <c r="AT366" s="963">
        <v>254</v>
      </c>
      <c r="AU366" s="857">
        <v>61</v>
      </c>
      <c r="AV366" s="857">
        <v>89</v>
      </c>
      <c r="AW366" s="857">
        <v>95</v>
      </c>
      <c r="AX366" s="757"/>
      <c r="AY366" s="963">
        <v>384</v>
      </c>
      <c r="AZ366" s="857">
        <v>113</v>
      </c>
      <c r="BA366" s="857">
        <v>163</v>
      </c>
      <c r="BB366" s="857">
        <v>89</v>
      </c>
      <c r="BC366" s="757"/>
      <c r="BD366" s="963">
        <v>386</v>
      </c>
      <c r="BE366" s="857">
        <v>26</v>
      </c>
      <c r="BF366" s="857">
        <v>-62</v>
      </c>
      <c r="BG366" s="757"/>
      <c r="BH366" s="757"/>
      <c r="BI366" s="962"/>
      <c r="BJ366" s="757"/>
      <c r="BK366" s="857">
        <v>43</v>
      </c>
      <c r="BL366" s="857">
        <v>70</v>
      </c>
      <c r="BM366" s="757"/>
      <c r="BN366" s="963">
        <v>224</v>
      </c>
      <c r="BO366" s="857">
        <v>116</v>
      </c>
      <c r="BP366" s="857">
        <v>114</v>
      </c>
      <c r="BQ366" s="857">
        <v>110</v>
      </c>
      <c r="BR366" s="757"/>
      <c r="BS366" s="963">
        <v>438</v>
      </c>
      <c r="BT366" s="864">
        <v>105</v>
      </c>
      <c r="BU366" s="757"/>
      <c r="BV366" s="757"/>
      <c r="BW366" s="757"/>
      <c r="BX366" s="962"/>
      <c r="BY366" s="757"/>
      <c r="BZ366" s="757"/>
      <c r="CA366" s="757"/>
      <c r="CB366" s="757"/>
      <c r="CC366" s="962"/>
      <c r="CD366" s="962"/>
      <c r="CE366" s="962"/>
      <c r="CF366" s="962"/>
      <c r="CG366" s="459"/>
    </row>
    <row r="367" spans="1:85" hidden="1" outlineLevel="1" x14ac:dyDescent="0.3">
      <c r="A367" s="182" t="s">
        <v>437</v>
      </c>
      <c r="B367" s="430"/>
      <c r="C367" s="962"/>
      <c r="D367" s="962"/>
      <c r="E367" s="962"/>
      <c r="F367" s="962"/>
      <c r="G367" s="757"/>
      <c r="H367" s="757"/>
      <c r="I367" s="757"/>
      <c r="J367" s="757"/>
      <c r="K367" s="962"/>
      <c r="L367" s="757"/>
      <c r="M367" s="757"/>
      <c r="N367" s="757"/>
      <c r="O367" s="757"/>
      <c r="P367" s="962"/>
      <c r="Q367" s="757"/>
      <c r="R367" s="757"/>
      <c r="S367" s="757"/>
      <c r="T367" s="757"/>
      <c r="U367" s="962"/>
      <c r="V367" s="757"/>
      <c r="W367" s="757"/>
      <c r="X367" s="757"/>
      <c r="Y367" s="757"/>
      <c r="Z367" s="962"/>
      <c r="AA367" s="757"/>
      <c r="AB367" s="757"/>
      <c r="AC367" s="757"/>
      <c r="AD367" s="757"/>
      <c r="AE367" s="962"/>
      <c r="AF367" s="757"/>
      <c r="AG367" s="757"/>
      <c r="AH367" s="757"/>
      <c r="AI367" s="757"/>
      <c r="AJ367" s="962"/>
      <c r="AK367" s="857">
        <v>9</v>
      </c>
      <c r="AL367" s="857">
        <v>0</v>
      </c>
      <c r="AM367" s="857">
        <v>0</v>
      </c>
      <c r="AN367" s="459">
        <f>AO367-SUM(AK367,AL367,AM367)</f>
      </c>
      <c r="AO367" s="963">
        <v>18</v>
      </c>
      <c r="AP367" s="857">
        <v>0</v>
      </c>
      <c r="AQ367" s="757"/>
      <c r="AR367" s="757"/>
      <c r="AS367" s="757"/>
      <c r="AT367" s="962"/>
      <c r="AU367" s="757"/>
      <c r="AV367" s="757"/>
      <c r="AW367" s="757"/>
      <c r="AX367" s="757"/>
      <c r="AY367" s="962"/>
      <c r="AZ367" s="757"/>
      <c r="BA367" s="757"/>
      <c r="BB367" s="757"/>
      <c r="BC367" s="757"/>
      <c r="BD367" s="962"/>
      <c r="BE367" s="757"/>
      <c r="BF367" s="757"/>
      <c r="BG367" s="757"/>
      <c r="BH367" s="757"/>
      <c r="BI367" s="962"/>
      <c r="BJ367" s="757"/>
      <c r="BK367" s="757"/>
      <c r="BL367" s="757"/>
      <c r="BM367" s="757"/>
      <c r="BN367" s="962"/>
      <c r="BO367" s="757"/>
      <c r="BP367" s="757"/>
      <c r="BQ367" s="757"/>
      <c r="BR367" s="757"/>
      <c r="BS367" s="962"/>
      <c r="BT367" s="758"/>
      <c r="BU367" s="757"/>
      <c r="BV367" s="757"/>
      <c r="BW367" s="757"/>
      <c r="BX367" s="962"/>
      <c r="BY367" s="757"/>
      <c r="BZ367" s="757"/>
      <c r="CA367" s="757"/>
      <c r="CB367" s="757"/>
      <c r="CC367" s="962"/>
      <c r="CD367" s="962"/>
      <c r="CE367" s="962"/>
      <c r="CF367" s="962"/>
      <c r="CG367" s="459"/>
    </row>
    <row r="368" spans="1:85" hidden="1" outlineLevel="1" x14ac:dyDescent="0.3">
      <c r="A368" s="182" t="s">
        <v>438</v>
      </c>
      <c r="B368" s="430"/>
      <c r="C368" s="962"/>
      <c r="D368" s="962"/>
      <c r="E368" s="962"/>
      <c r="F368" s="962"/>
      <c r="G368" s="757"/>
      <c r="H368" s="757"/>
      <c r="I368" s="757"/>
      <c r="J368" s="757"/>
      <c r="K368" s="962"/>
      <c r="L368" s="757"/>
      <c r="M368" s="757"/>
      <c r="N368" s="757"/>
      <c r="O368" s="757"/>
      <c r="P368" s="962"/>
      <c r="Q368" s="757"/>
      <c r="R368" s="757"/>
      <c r="S368" s="757"/>
      <c r="T368" s="757"/>
      <c r="U368" s="962"/>
      <c r="V368" s="757"/>
      <c r="W368" s="757"/>
      <c r="X368" s="757"/>
      <c r="Y368" s="757"/>
      <c r="Z368" s="962"/>
      <c r="AA368" s="757"/>
      <c r="AB368" s="757"/>
      <c r="AC368" s="757"/>
      <c r="AD368" s="757"/>
      <c r="AE368" s="962"/>
      <c r="AF368" s="757"/>
      <c r="AG368" s="757"/>
      <c r="AH368" s="757"/>
      <c r="AI368" s="757"/>
      <c r="AJ368" s="964">
        <f t="shared" ref="AJ368:AR368" si="639">AJ369-SUM(AJ365:AJ367)</f>
      </c>
      <c r="AK368" s="459">
        <f t="shared" si="639"/>
      </c>
      <c r="AL368" s="459">
        <f t="shared" si="639"/>
      </c>
      <c r="AM368" s="459">
        <f t="shared" si="639"/>
      </c>
      <c r="AN368" s="459">
        <f t="shared" si="639"/>
      </c>
      <c r="AO368" s="964">
        <f t="shared" si="639"/>
      </c>
      <c r="AP368" s="459">
        <f t="shared" si="639"/>
      </c>
      <c r="AQ368" s="459">
        <f t="shared" si="639"/>
      </c>
      <c r="AR368" s="459">
        <f t="shared" si="639"/>
      </c>
      <c r="AS368" s="757"/>
      <c r="AT368" s="964">
        <f>AT369-SUM(AT365:AT367)</f>
      </c>
      <c r="AU368" s="757">
        <f>AU369-SUM(AU365:AU367)</f>
      </c>
      <c r="AV368" s="757">
        <f>AV369-SUM(AV365:AV367)</f>
      </c>
      <c r="AW368" s="757">
        <f>AW369-SUM(AW365:AW367)</f>
      </c>
      <c r="AX368" s="757"/>
      <c r="AY368" s="962">
        <f>AY369-SUM(AY365:AY367)</f>
      </c>
      <c r="AZ368" s="757">
        <f>AZ369-SUM(AZ365:AZ367)</f>
      </c>
      <c r="BA368" s="757">
        <f>BA369-SUM(BA365:BA367)</f>
      </c>
      <c r="BB368" s="757">
        <f>BB369-SUM(BB365:BB367)</f>
      </c>
      <c r="BC368" s="757"/>
      <c r="BD368" s="962">
        <f>BD369-SUM(BD365:BD367)</f>
      </c>
      <c r="BE368" s="757">
        <f>BE369-SUM(BE365:BE367)</f>
      </c>
      <c r="BF368" s="757">
        <f>BF369-SUM(BF365:BF367)</f>
      </c>
      <c r="BG368" s="757">
        <f>BG369-SUM(BG365:BG367)</f>
      </c>
      <c r="BH368" s="757"/>
      <c r="BI368" s="962">
        <f>BI369-SUM(BI365:BI367)</f>
      </c>
      <c r="BJ368" s="757">
        <f>BJ369-SUM(BJ365:BJ367)</f>
      </c>
      <c r="BK368" s="757">
        <f>BK369-SUM(BK365:BK367)</f>
      </c>
      <c r="BL368" s="757">
        <f>BL369-SUM(BL365:BL367)</f>
      </c>
      <c r="BM368" s="757"/>
      <c r="BN368" s="962">
        <f>BN369-SUM(BN365:BN367)</f>
      </c>
      <c r="BO368" s="757">
        <f>BO369-SUM(BO365:BO367)</f>
      </c>
      <c r="BP368" s="757">
        <f>BP369-SUM(BP365:BP367)</f>
      </c>
      <c r="BQ368" s="757">
        <f>BQ369-SUM(BQ365:BQ367)</f>
      </c>
      <c r="BR368" s="757"/>
      <c r="BS368" s="962">
        <f>BS369-SUM(BS365:BS367)</f>
      </c>
      <c r="BT368" s="758">
        <f>BT369-SUM(BT365:BT367)</f>
      </c>
      <c r="BU368" s="757"/>
      <c r="BV368" s="757"/>
      <c r="BW368" s="757"/>
      <c r="BX368" s="962"/>
      <c r="BY368" s="757"/>
      <c r="BZ368" s="757"/>
      <c r="CA368" s="757"/>
      <c r="CB368" s="757"/>
      <c r="CC368" s="962"/>
      <c r="CD368" s="962"/>
      <c r="CE368" s="962"/>
      <c r="CF368" s="962"/>
      <c r="CG368" s="459"/>
    </row>
    <row r="369" spans="1:85" hidden="1" outlineLevel="1" x14ac:dyDescent="0.3">
      <c r="A369" s="2" t="s">
        <v>439</v>
      </c>
      <c r="B369" s="426"/>
      <c r="C369" s="965"/>
      <c r="D369" s="965"/>
      <c r="E369" s="965"/>
      <c r="F369" s="965"/>
      <c r="G369" s="791"/>
      <c r="H369" s="791"/>
      <c r="I369" s="791"/>
      <c r="J369" s="791"/>
      <c r="K369" s="965"/>
      <c r="L369" s="791"/>
      <c r="M369" s="791"/>
      <c r="N369" s="791"/>
      <c r="O369" s="791"/>
      <c r="P369" s="965"/>
      <c r="Q369" s="791"/>
      <c r="R369" s="791"/>
      <c r="S369" s="791"/>
      <c r="T369" s="791"/>
      <c r="U369" s="965"/>
      <c r="V369" s="791"/>
      <c r="W369" s="791"/>
      <c r="X369" s="791"/>
      <c r="Y369" s="791"/>
      <c r="Z369" s="965"/>
      <c r="AA369" s="791"/>
      <c r="AB369" s="791"/>
      <c r="AC369" s="791"/>
      <c r="AD369" s="791"/>
      <c r="AE369" s="965"/>
      <c r="AF369" s="791"/>
      <c r="AG369" s="791"/>
      <c r="AH369" s="791"/>
      <c r="AI369" s="791"/>
      <c r="AJ369" s="986">
        <f t="shared" ref="AJ369:AR369" si="640">AJ422</f>
      </c>
      <c r="AK369" s="792">
        <f t="shared" si="640"/>
      </c>
      <c r="AL369" s="792">
        <f t="shared" si="640"/>
      </c>
      <c r="AM369" s="792">
        <f t="shared" si="640"/>
      </c>
      <c r="AN369" s="792">
        <f t="shared" si="640"/>
      </c>
      <c r="AO369" s="986">
        <f t="shared" si="640"/>
      </c>
      <c r="AP369" s="792">
        <f t="shared" si="640"/>
      </c>
      <c r="AQ369" s="792">
        <f t="shared" si="640"/>
      </c>
      <c r="AR369" s="792">
        <f t="shared" si="640"/>
      </c>
      <c r="AS369" s="791"/>
      <c r="AT369" s="986">
        <f>AT422</f>
      </c>
      <c r="AU369" s="791">
        <f>AU422</f>
      </c>
      <c r="AV369" s="791">
        <f>AV422</f>
      </c>
      <c r="AW369" s="791">
        <f>AW422</f>
      </c>
      <c r="AX369" s="791"/>
      <c r="AY369" s="965">
        <f>AY422</f>
      </c>
      <c r="AZ369" s="791">
        <f>AZ422</f>
      </c>
      <c r="BA369" s="791">
        <f>BA422</f>
      </c>
      <c r="BB369" s="791">
        <f>BB422</f>
      </c>
      <c r="BC369" s="791"/>
      <c r="BD369" s="965">
        <f>BD422</f>
      </c>
      <c r="BE369" s="791">
        <f>BE422</f>
      </c>
      <c r="BF369" s="791">
        <f>BF422</f>
      </c>
      <c r="BG369" s="791">
        <f>BG422</f>
      </c>
      <c r="BH369" s="791"/>
      <c r="BI369" s="965">
        <f>BI422</f>
      </c>
      <c r="BJ369" s="791">
        <f>BJ422</f>
      </c>
      <c r="BK369" s="791">
        <f>BK422</f>
      </c>
      <c r="BL369" s="791">
        <f>BL422</f>
      </c>
      <c r="BM369" s="791"/>
      <c r="BN369" s="965">
        <f>BN422</f>
      </c>
      <c r="BO369" s="791">
        <f>BO422</f>
      </c>
      <c r="BP369" s="791">
        <f>BP422</f>
      </c>
      <c r="BQ369" s="791">
        <f>BQ422</f>
      </c>
      <c r="BR369" s="791"/>
      <c r="BS369" s="965">
        <f>BS422</f>
      </c>
      <c r="BT369" s="797">
        <f>BT422</f>
      </c>
      <c r="BU369" s="791"/>
      <c r="BV369" s="791"/>
      <c r="BW369" s="791"/>
      <c r="BX369" s="965"/>
      <c r="BY369" s="791"/>
      <c r="BZ369" s="791"/>
      <c r="CA369" s="791"/>
      <c r="CB369" s="791"/>
      <c r="CC369" s="965"/>
      <c r="CD369" s="965"/>
      <c r="CE369" s="965"/>
      <c r="CF369" s="965"/>
      <c r="CG369" s="459"/>
    </row>
    <row r="370" spans="1:85" hidden="1" outlineLevel="1" x14ac:dyDescent="0.3">
      <c r="A370" s="429"/>
      <c r="B370" s="250"/>
      <c r="C370" s="969"/>
      <c r="D370" s="969"/>
      <c r="E370" s="969"/>
      <c r="F370" s="969"/>
      <c r="G370" s="759"/>
      <c r="H370" s="759"/>
      <c r="I370" s="759"/>
      <c r="J370" s="759"/>
      <c r="K370" s="969"/>
      <c r="L370" s="759"/>
      <c r="M370" s="759"/>
      <c r="N370" s="759"/>
      <c r="O370" s="759"/>
      <c r="P370" s="969"/>
      <c r="Q370" s="759"/>
      <c r="R370" s="759"/>
      <c r="S370" s="759"/>
      <c r="T370" s="759"/>
      <c r="U370" s="969"/>
      <c r="V370" s="759"/>
      <c r="W370" s="759"/>
      <c r="X370" s="759"/>
      <c r="Y370" s="759"/>
      <c r="Z370" s="969"/>
      <c r="AA370" s="759"/>
      <c r="AB370" s="759"/>
      <c r="AC370" s="759"/>
      <c r="AD370" s="759"/>
      <c r="AE370" s="969"/>
      <c r="AF370" s="759"/>
      <c r="AG370" s="759"/>
      <c r="AH370" s="759"/>
      <c r="AI370" s="759"/>
      <c r="AJ370" s="969"/>
      <c r="AK370" s="759"/>
      <c r="AL370" s="759"/>
      <c r="AM370" s="759"/>
      <c r="AN370" s="759"/>
      <c r="AO370" s="969"/>
      <c r="AP370" s="759"/>
      <c r="AQ370" s="759"/>
      <c r="AR370" s="759"/>
      <c r="AS370" s="759"/>
      <c r="AT370" s="969"/>
      <c r="AU370" s="759"/>
      <c r="AV370" s="759"/>
      <c r="AW370" s="759"/>
      <c r="AX370" s="759"/>
      <c r="AY370" s="969"/>
      <c r="AZ370" s="759"/>
      <c r="BA370" s="759"/>
      <c r="BB370" s="759"/>
      <c r="BC370" s="759"/>
      <c r="BD370" s="969"/>
      <c r="BE370" s="759"/>
      <c r="BF370" s="759"/>
      <c r="BG370" s="759"/>
      <c r="BH370" s="759"/>
      <c r="BI370" s="969"/>
      <c r="BJ370" s="759"/>
      <c r="BK370" s="759"/>
      <c r="BL370" s="759"/>
      <c r="BM370" s="759"/>
      <c r="BN370" s="969"/>
      <c r="BO370" s="759"/>
      <c r="BP370" s="759"/>
      <c r="BQ370" s="759"/>
      <c r="BR370" s="759"/>
      <c r="BS370" s="969"/>
      <c r="BT370" s="760"/>
      <c r="BU370" s="759"/>
      <c r="BV370" s="759"/>
      <c r="BW370" s="759"/>
      <c r="BX370" s="969"/>
      <c r="BY370" s="759"/>
      <c r="BZ370" s="759"/>
      <c r="CA370" s="759"/>
      <c r="CB370" s="759"/>
      <c r="CC370" s="969"/>
      <c r="CD370" s="969"/>
      <c r="CE370" s="969"/>
      <c r="CF370" s="969"/>
      <c r="CG370" s="459"/>
    </row>
    <row r="371" spans="1:85" hidden="1" outlineLevel="1" x14ac:dyDescent="0.3">
      <c r="A371" s="4" t="s">
        <v>440</v>
      </c>
      <c r="B371" s="250"/>
      <c r="C371" s="969"/>
      <c r="D371" s="969"/>
      <c r="E371" s="969"/>
      <c r="F371" s="969"/>
      <c r="G371" s="759"/>
      <c r="H371" s="759"/>
      <c r="I371" s="759"/>
      <c r="J371" s="759"/>
      <c r="K371" s="969"/>
      <c r="L371" s="759"/>
      <c r="M371" s="759"/>
      <c r="N371" s="759"/>
      <c r="O371" s="759"/>
      <c r="P371" s="969"/>
      <c r="Q371" s="759"/>
      <c r="R371" s="759"/>
      <c r="S371" s="759"/>
      <c r="T371" s="759"/>
      <c r="U371" s="969"/>
      <c r="V371" s="759"/>
      <c r="W371" s="759"/>
      <c r="X371" s="759"/>
      <c r="Y371" s="759"/>
      <c r="Z371" s="969"/>
      <c r="AA371" s="759"/>
      <c r="AB371" s="759"/>
      <c r="AC371" s="759"/>
      <c r="AD371" s="759"/>
      <c r="AE371" s="969"/>
      <c r="AF371" s="759"/>
      <c r="AG371" s="759"/>
      <c r="AH371" s="759"/>
      <c r="AI371" s="759"/>
      <c r="AJ371" s="985">
        <f t="shared" ref="AJ371:AR371" si="641">AE423</f>
      </c>
      <c r="AK371" s="183">
        <f t="shared" si="641"/>
      </c>
      <c r="AL371" s="183">
        <f t="shared" si="641"/>
      </c>
      <c r="AM371" s="183">
        <f t="shared" si="641"/>
      </c>
      <c r="AN371" s="183">
        <f t="shared" si="641"/>
      </c>
      <c r="AO371" s="985">
        <f t="shared" si="641"/>
      </c>
      <c r="AP371" s="183">
        <f t="shared" si="641"/>
      </c>
      <c r="AQ371" s="183">
        <f t="shared" si="641"/>
      </c>
      <c r="AR371" s="183">
        <f t="shared" si="641"/>
      </c>
      <c r="AS371" s="759"/>
      <c r="AT371" s="985">
        <f>AO423</f>
      </c>
      <c r="AU371" s="759">
        <f>AP423</f>
      </c>
      <c r="AV371" s="759">
        <f>AQ423</f>
      </c>
      <c r="AW371" s="759">
        <f>AR423</f>
      </c>
      <c r="AX371" s="759"/>
      <c r="AY371" s="969">
        <f>AT423</f>
      </c>
      <c r="AZ371" s="759">
        <f>AU423</f>
      </c>
      <c r="BA371" s="759">
        <f>AV423</f>
      </c>
      <c r="BB371" s="759">
        <f>AW423</f>
      </c>
      <c r="BC371" s="759"/>
      <c r="BD371" s="969">
        <f>AY423</f>
      </c>
      <c r="BE371" s="759">
        <f>AZ423</f>
      </c>
      <c r="BF371" s="759">
        <f>BA423</f>
      </c>
      <c r="BG371" s="759">
        <f>BB423</f>
      </c>
      <c r="BH371" s="759"/>
      <c r="BI371" s="969">
        <f>BD423</f>
      </c>
      <c r="BJ371" s="759">
        <f>BE423</f>
      </c>
      <c r="BK371" s="759">
        <f>BF423</f>
      </c>
      <c r="BL371" s="759">
        <f>BG423</f>
      </c>
      <c r="BM371" s="759"/>
      <c r="BN371" s="969">
        <f>BI423</f>
      </c>
      <c r="BO371" s="759">
        <f>BJ423</f>
      </c>
      <c r="BP371" s="759">
        <f>BK423</f>
      </c>
      <c r="BQ371" s="759">
        <f>BL423</f>
      </c>
      <c r="BR371" s="759"/>
      <c r="BS371" s="969">
        <f>BN423</f>
      </c>
      <c r="BT371" s="760">
        <f>BO423</f>
      </c>
      <c r="BU371" s="759"/>
      <c r="BV371" s="759"/>
      <c r="BW371" s="759"/>
      <c r="BX371" s="969"/>
      <c r="BY371" s="759"/>
      <c r="BZ371" s="759"/>
      <c r="CA371" s="759"/>
      <c r="CB371" s="759"/>
      <c r="CC371" s="969"/>
      <c r="CD371" s="969"/>
      <c r="CE371" s="969"/>
      <c r="CF371" s="969"/>
      <c r="CG371" s="459"/>
    </row>
    <row r="372" spans="1:85" hidden="1" outlineLevel="1" x14ac:dyDescent="0.3">
      <c r="A372" s="182" t="s">
        <v>441</v>
      </c>
      <c r="B372" s="430"/>
      <c r="C372" s="962"/>
      <c r="D372" s="962"/>
      <c r="E372" s="962"/>
      <c r="F372" s="962"/>
      <c r="G372" s="757"/>
      <c r="H372" s="757"/>
      <c r="I372" s="757"/>
      <c r="J372" s="757"/>
      <c r="K372" s="962"/>
      <c r="L372" s="757"/>
      <c r="M372" s="757"/>
      <c r="N372" s="757"/>
      <c r="O372" s="757"/>
      <c r="P372" s="962"/>
      <c r="Q372" s="757"/>
      <c r="R372" s="757"/>
      <c r="S372" s="757"/>
      <c r="T372" s="757"/>
      <c r="U372" s="962"/>
      <c r="V372" s="757"/>
      <c r="W372" s="757"/>
      <c r="X372" s="757"/>
      <c r="Y372" s="757"/>
      <c r="Z372" s="962"/>
      <c r="AA372" s="757"/>
      <c r="AB372" s="757"/>
      <c r="AC372" s="757"/>
      <c r="AD372" s="757"/>
      <c r="AE372" s="962"/>
      <c r="AF372" s="757"/>
      <c r="AG372" s="757"/>
      <c r="AH372" s="757"/>
      <c r="AI372" s="757"/>
      <c r="AJ372" s="963">
        <v>147</v>
      </c>
      <c r="AK372" s="857">
        <v>55</v>
      </c>
      <c r="AL372" s="857">
        <v>57</v>
      </c>
      <c r="AM372" s="857">
        <v>53</v>
      </c>
      <c r="AN372" s="459">
        <f>AO372-SUM(AK372,AL372,AM372)</f>
      </c>
      <c r="AO372" s="963">
        <v>233</v>
      </c>
      <c r="AP372" s="857">
        <v>46</v>
      </c>
      <c r="AQ372" s="857">
        <v>40</v>
      </c>
      <c r="AR372" s="857">
        <v>32</v>
      </c>
      <c r="AS372" s="757"/>
      <c r="AT372" s="963">
        <v>128</v>
      </c>
      <c r="AU372" s="857">
        <v>19</v>
      </c>
      <c r="AV372" s="857">
        <v>26</v>
      </c>
      <c r="AW372" s="857">
        <v>43</v>
      </c>
      <c r="AX372" s="757"/>
      <c r="AY372" s="963">
        <v>187</v>
      </c>
      <c r="AZ372" s="857">
        <v>80</v>
      </c>
      <c r="BA372" s="857">
        <v>95</v>
      </c>
      <c r="BB372" s="857">
        <v>47</v>
      </c>
      <c r="BC372" s="757"/>
      <c r="BD372" s="963">
        <v>224</v>
      </c>
      <c r="BE372" s="757"/>
      <c r="BF372" s="857">
        <v>-15</v>
      </c>
      <c r="BG372" s="857">
        <v>52</v>
      </c>
      <c r="BH372" s="757"/>
      <c r="BI372" s="963">
        <v>78</v>
      </c>
      <c r="BJ372" s="757"/>
      <c r="BK372" s="857">
        <v>9</v>
      </c>
      <c r="BL372" s="857">
        <v>-38</v>
      </c>
      <c r="BM372" s="757"/>
      <c r="BN372" s="962"/>
      <c r="BO372" s="757"/>
      <c r="BP372" s="857">
        <v>8</v>
      </c>
      <c r="BQ372" s="857">
        <v>20</v>
      </c>
      <c r="BR372" s="757"/>
      <c r="BS372" s="963">
        <v>92</v>
      </c>
      <c r="BT372" s="864">
        <v>79</v>
      </c>
      <c r="BU372" s="757"/>
      <c r="BV372" s="757"/>
      <c r="BW372" s="757"/>
      <c r="BX372" s="962"/>
      <c r="BY372" s="757"/>
      <c r="BZ372" s="757"/>
      <c r="CA372" s="757"/>
      <c r="CB372" s="757"/>
      <c r="CC372" s="962"/>
      <c r="CD372" s="962"/>
      <c r="CE372" s="962"/>
      <c r="CF372" s="962"/>
      <c r="CG372" s="459"/>
    </row>
    <row r="373" spans="1:85" hidden="1" outlineLevel="1" x14ac:dyDescent="0.3">
      <c r="A373" s="182" t="s">
        <v>442</v>
      </c>
      <c r="B373" s="430"/>
      <c r="C373" s="962"/>
      <c r="D373" s="962"/>
      <c r="E373" s="962"/>
      <c r="F373" s="962"/>
      <c r="G373" s="757"/>
      <c r="H373" s="757"/>
      <c r="I373" s="757"/>
      <c r="J373" s="757"/>
      <c r="K373" s="962"/>
      <c r="L373" s="757"/>
      <c r="M373" s="757"/>
      <c r="N373" s="757"/>
      <c r="O373" s="757"/>
      <c r="P373" s="962"/>
      <c r="Q373" s="757"/>
      <c r="R373" s="757"/>
      <c r="S373" s="757"/>
      <c r="T373" s="757"/>
      <c r="U373" s="962"/>
      <c r="V373" s="757"/>
      <c r="W373" s="757"/>
      <c r="X373" s="757"/>
      <c r="Y373" s="757"/>
      <c r="Z373" s="962"/>
      <c r="AA373" s="757"/>
      <c r="AB373" s="757"/>
      <c r="AC373" s="757"/>
      <c r="AD373" s="757"/>
      <c r="AE373" s="962"/>
      <c r="AF373" s="757"/>
      <c r="AG373" s="757"/>
      <c r="AH373" s="757"/>
      <c r="AI373" s="757"/>
      <c r="AJ373" s="963">
        <v>29</v>
      </c>
      <c r="AK373" s="857">
        <v>10</v>
      </c>
      <c r="AL373" s="857">
        <v>12</v>
      </c>
      <c r="AM373" s="857">
        <v>6</v>
      </c>
      <c r="AN373" s="459">
        <f>AO373-SUM(AK373,AL373,AM373)</f>
      </c>
      <c r="AO373" s="963">
        <v>40</v>
      </c>
      <c r="AP373" s="857">
        <v>0</v>
      </c>
      <c r="AQ373" s="757"/>
      <c r="AR373" s="757"/>
      <c r="AS373" s="757"/>
      <c r="AT373" s="962"/>
      <c r="AU373" s="857">
        <v>24</v>
      </c>
      <c r="AV373" s="857">
        <v>17</v>
      </c>
      <c r="AW373" s="757"/>
      <c r="AX373" s="757"/>
      <c r="AY373" s="963">
        <v>66</v>
      </c>
      <c r="AZ373" s="757"/>
      <c r="BA373" s="757"/>
      <c r="BB373" s="757"/>
      <c r="BC373" s="757"/>
      <c r="BD373" s="962"/>
      <c r="BE373" s="757"/>
      <c r="BF373" s="757"/>
      <c r="BG373" s="857">
        <v>40</v>
      </c>
      <c r="BH373" s="757"/>
      <c r="BI373" s="963">
        <v>82</v>
      </c>
      <c r="BJ373" s="757"/>
      <c r="BK373" s="757"/>
      <c r="BL373" s="857">
        <v>-24</v>
      </c>
      <c r="BM373" s="757"/>
      <c r="BN373" s="962"/>
      <c r="BO373" s="857">
        <v>25</v>
      </c>
      <c r="BP373" s="757"/>
      <c r="BQ373" s="857">
        <v>10</v>
      </c>
      <c r="BR373" s="757"/>
      <c r="BS373" s="963">
        <v>64</v>
      </c>
      <c r="BT373" s="864">
        <v>88</v>
      </c>
      <c r="BU373" s="757"/>
      <c r="BV373" s="757"/>
      <c r="BW373" s="757"/>
      <c r="BX373" s="962"/>
      <c r="BY373" s="757"/>
      <c r="BZ373" s="757"/>
      <c r="CA373" s="757"/>
      <c r="CB373" s="757"/>
      <c r="CC373" s="962"/>
      <c r="CD373" s="962"/>
      <c r="CE373" s="962"/>
      <c r="CF373" s="962"/>
      <c r="CG373" s="459"/>
    </row>
    <row r="374" spans="1:85" hidden="1" outlineLevel="1" x14ac:dyDescent="0.3">
      <c r="A374" s="182" t="s">
        <v>443</v>
      </c>
      <c r="B374" s="430"/>
      <c r="C374" s="962"/>
      <c r="D374" s="962"/>
      <c r="E374" s="962"/>
      <c r="F374" s="962"/>
      <c r="G374" s="757"/>
      <c r="H374" s="757"/>
      <c r="I374" s="757"/>
      <c r="J374" s="757"/>
      <c r="K374" s="962"/>
      <c r="L374" s="757"/>
      <c r="M374" s="757"/>
      <c r="N374" s="757"/>
      <c r="O374" s="757"/>
      <c r="P374" s="962"/>
      <c r="Q374" s="757"/>
      <c r="R374" s="757"/>
      <c r="S374" s="757"/>
      <c r="T374" s="757"/>
      <c r="U374" s="962"/>
      <c r="V374" s="757"/>
      <c r="W374" s="757"/>
      <c r="X374" s="757"/>
      <c r="Y374" s="757"/>
      <c r="Z374" s="962"/>
      <c r="AA374" s="757"/>
      <c r="AB374" s="757"/>
      <c r="AC374" s="757"/>
      <c r="AD374" s="757"/>
      <c r="AE374" s="962"/>
      <c r="AF374" s="757"/>
      <c r="AG374" s="757"/>
      <c r="AH374" s="757"/>
      <c r="AI374" s="757"/>
      <c r="AJ374" s="964">
        <f t="shared" ref="AJ374:AR374" si="642">AJ375-SUM(AJ371:AJ373)</f>
      </c>
      <c r="AK374" s="459">
        <f t="shared" si="642"/>
      </c>
      <c r="AL374" s="459">
        <f t="shared" si="642"/>
      </c>
      <c r="AM374" s="459">
        <f t="shared" si="642"/>
      </c>
      <c r="AN374" s="459">
        <f t="shared" si="642"/>
      </c>
      <c r="AO374" s="964">
        <f t="shared" si="642"/>
      </c>
      <c r="AP374" s="459">
        <f t="shared" si="642"/>
      </c>
      <c r="AQ374" s="459">
        <f t="shared" si="642"/>
      </c>
      <c r="AR374" s="459">
        <f t="shared" si="642"/>
      </c>
      <c r="AS374" s="757"/>
      <c r="AT374" s="964">
        <f>AT375-SUM(AT371:AT373)</f>
      </c>
      <c r="AU374" s="757">
        <f>AU375-SUM(AU371:AU373)</f>
      </c>
      <c r="AV374" s="757">
        <f>AV375-SUM(AV371:AV373)</f>
      </c>
      <c r="AW374" s="757">
        <f>AW375-SUM(AW371:AW373)</f>
      </c>
      <c r="AX374" s="757"/>
      <c r="AY374" s="962">
        <f>AY375-SUM(AY371:AY373)</f>
      </c>
      <c r="AZ374" s="757">
        <f>AZ375-SUM(AZ371:AZ373)</f>
      </c>
      <c r="BA374" s="757">
        <f>BA375-SUM(BA371:BA373)</f>
      </c>
      <c r="BB374" s="757">
        <f>BB375-SUM(BB371:BB373)</f>
      </c>
      <c r="BC374" s="757"/>
      <c r="BD374" s="962">
        <f>BD375-SUM(BD371:BD373)</f>
      </c>
      <c r="BE374" s="757">
        <f>BE375-SUM(BE371:BE373)</f>
      </c>
      <c r="BF374" s="757">
        <f>BF375-SUM(BF371:BF373)</f>
      </c>
      <c r="BG374" s="757">
        <f>BG375-SUM(BG371:BG373)</f>
      </c>
      <c r="BH374" s="757"/>
      <c r="BI374" s="962">
        <f>BI375-SUM(BI371:BI373)</f>
      </c>
      <c r="BJ374" s="757">
        <f>BJ375-SUM(BJ371:BJ373)</f>
      </c>
      <c r="BK374" s="757">
        <f>BK375-SUM(BK371:BK373)</f>
      </c>
      <c r="BL374" s="757">
        <f>BL375-SUM(BL371:BL373)</f>
      </c>
      <c r="BM374" s="757"/>
      <c r="BN374" s="962">
        <f>BN375-SUM(BN371:BN373)</f>
      </c>
      <c r="BO374" s="757">
        <f>BO375-SUM(BO371:BO373)</f>
      </c>
      <c r="BP374" s="757">
        <f>BP375-SUM(BP371:BP373)</f>
      </c>
      <c r="BQ374" s="757">
        <f>BQ375-SUM(BQ371:BQ373)</f>
      </c>
      <c r="BR374" s="757"/>
      <c r="BS374" s="962">
        <f>BS375-SUM(BS371:BS373)</f>
      </c>
      <c r="BT374" s="758">
        <f>BT375-SUM(BT371:BT373)</f>
      </c>
      <c r="BU374" s="757"/>
      <c r="BV374" s="757"/>
      <c r="BW374" s="757"/>
      <c r="BX374" s="962"/>
      <c r="BY374" s="757"/>
      <c r="BZ374" s="757"/>
      <c r="CA374" s="757"/>
      <c r="CB374" s="757"/>
      <c r="CC374" s="962"/>
      <c r="CD374" s="962"/>
      <c r="CE374" s="962"/>
      <c r="CF374" s="962"/>
      <c r="CG374" s="459"/>
    </row>
    <row r="375" spans="1:85" hidden="1" outlineLevel="1" x14ac:dyDescent="0.3">
      <c r="A375" s="2" t="s">
        <v>444</v>
      </c>
      <c r="B375" s="426"/>
      <c r="C375" s="965"/>
      <c r="D375" s="965"/>
      <c r="E375" s="965"/>
      <c r="F375" s="965"/>
      <c r="G375" s="791"/>
      <c r="H375" s="791"/>
      <c r="I375" s="791"/>
      <c r="J375" s="791"/>
      <c r="K375" s="965"/>
      <c r="L375" s="791"/>
      <c r="M375" s="791"/>
      <c r="N375" s="791"/>
      <c r="O375" s="791"/>
      <c r="P375" s="965"/>
      <c r="Q375" s="791"/>
      <c r="R375" s="791"/>
      <c r="S375" s="791"/>
      <c r="T375" s="791"/>
      <c r="U375" s="965"/>
      <c r="V375" s="791"/>
      <c r="W375" s="791"/>
      <c r="X375" s="791"/>
      <c r="Y375" s="791"/>
      <c r="Z375" s="965"/>
      <c r="AA375" s="791"/>
      <c r="AB375" s="791"/>
      <c r="AC375" s="791"/>
      <c r="AD375" s="791"/>
      <c r="AE375" s="965"/>
      <c r="AF375" s="791"/>
      <c r="AG375" s="791"/>
      <c r="AH375" s="791"/>
      <c r="AI375" s="791"/>
      <c r="AJ375" s="986">
        <f t="shared" ref="AJ375:AR375" si="643">AJ423</f>
      </c>
      <c r="AK375" s="792">
        <f t="shared" si="643"/>
      </c>
      <c r="AL375" s="792">
        <f t="shared" si="643"/>
      </c>
      <c r="AM375" s="792">
        <f t="shared" si="643"/>
      </c>
      <c r="AN375" s="792">
        <f t="shared" si="643"/>
      </c>
      <c r="AO375" s="986">
        <f t="shared" si="643"/>
      </c>
      <c r="AP375" s="792">
        <f t="shared" si="643"/>
      </c>
      <c r="AQ375" s="792">
        <f t="shared" si="643"/>
      </c>
      <c r="AR375" s="792">
        <f t="shared" si="643"/>
      </c>
      <c r="AS375" s="791"/>
      <c r="AT375" s="986">
        <f>AT423</f>
      </c>
      <c r="AU375" s="791">
        <f>AU423</f>
      </c>
      <c r="AV375" s="791">
        <f>AV423</f>
      </c>
      <c r="AW375" s="791">
        <f>AW423</f>
      </c>
      <c r="AX375" s="791"/>
      <c r="AY375" s="965">
        <f>AY423</f>
      </c>
      <c r="AZ375" s="791">
        <f>AZ423</f>
      </c>
      <c r="BA375" s="791">
        <f>BA423</f>
      </c>
      <c r="BB375" s="791">
        <f>BB423</f>
      </c>
      <c r="BC375" s="791"/>
      <c r="BD375" s="965">
        <f>BD423</f>
      </c>
      <c r="BE375" s="791">
        <f>BE423</f>
      </c>
      <c r="BF375" s="791">
        <f>BF423</f>
      </c>
      <c r="BG375" s="791">
        <f>BG423</f>
      </c>
      <c r="BH375" s="791"/>
      <c r="BI375" s="965">
        <f>BI423</f>
      </c>
      <c r="BJ375" s="791">
        <f>BJ423</f>
      </c>
      <c r="BK375" s="791">
        <f>BK423</f>
      </c>
      <c r="BL375" s="791">
        <f>BL423</f>
      </c>
      <c r="BM375" s="791"/>
      <c r="BN375" s="965">
        <f>BN423</f>
      </c>
      <c r="BO375" s="791">
        <f>BO423</f>
      </c>
      <c r="BP375" s="791">
        <f>BP423</f>
      </c>
      <c r="BQ375" s="791">
        <f>BQ423</f>
      </c>
      <c r="BR375" s="791"/>
      <c r="BS375" s="965">
        <f>BS423</f>
      </c>
      <c r="BT375" s="797">
        <f>BT423</f>
      </c>
      <c r="BU375" s="791"/>
      <c r="BV375" s="791"/>
      <c r="BW375" s="791"/>
      <c r="BX375" s="965"/>
      <c r="BY375" s="791"/>
      <c r="BZ375" s="791"/>
      <c r="CA375" s="791"/>
      <c r="CB375" s="791"/>
      <c r="CC375" s="965"/>
      <c r="CD375" s="965"/>
      <c r="CE375" s="965"/>
      <c r="CF375" s="965"/>
      <c r="CG375" s="459"/>
    </row>
    <row r="376" spans="1:85" hidden="1" outlineLevel="1" x14ac:dyDescent="0.3">
      <c r="A376" s="429"/>
      <c r="B376" s="250"/>
      <c r="C376" s="969"/>
      <c r="D376" s="969"/>
      <c r="E376" s="969"/>
      <c r="F376" s="969"/>
      <c r="G376" s="759"/>
      <c r="H376" s="759"/>
      <c r="I376" s="759"/>
      <c r="J376" s="759"/>
      <c r="K376" s="969"/>
      <c r="L376" s="759"/>
      <c r="M376" s="759"/>
      <c r="N376" s="759"/>
      <c r="O376" s="759"/>
      <c r="P376" s="969"/>
      <c r="Q376" s="759"/>
      <c r="R376" s="759"/>
      <c r="S376" s="759"/>
      <c r="T376" s="759"/>
      <c r="U376" s="969"/>
      <c r="V376" s="759"/>
      <c r="W376" s="759"/>
      <c r="X376" s="759"/>
      <c r="Y376" s="759"/>
      <c r="Z376" s="969"/>
      <c r="AA376" s="759"/>
      <c r="AB376" s="759"/>
      <c r="AC376" s="759"/>
      <c r="AD376" s="759"/>
      <c r="AE376" s="969"/>
      <c r="AF376" s="759"/>
      <c r="AG376" s="759"/>
      <c r="AH376" s="759"/>
      <c r="AI376" s="759"/>
      <c r="AJ376" s="969"/>
      <c r="AK376" s="759"/>
      <c r="AL376" s="759"/>
      <c r="AM376" s="759"/>
      <c r="AN376" s="759"/>
      <c r="AO376" s="969"/>
      <c r="AP376" s="759"/>
      <c r="AQ376" s="759"/>
      <c r="AR376" s="759"/>
      <c r="AS376" s="759"/>
      <c r="AT376" s="969"/>
      <c r="AU376" s="759"/>
      <c r="AV376" s="759"/>
      <c r="AW376" s="759"/>
      <c r="AX376" s="759"/>
      <c r="AY376" s="969"/>
      <c r="AZ376" s="759"/>
      <c r="BA376" s="759"/>
      <c r="BB376" s="759"/>
      <c r="BC376" s="759"/>
      <c r="BD376" s="969"/>
      <c r="BE376" s="759"/>
      <c r="BF376" s="759"/>
      <c r="BG376" s="759"/>
      <c r="BH376" s="759"/>
      <c r="BI376" s="969"/>
      <c r="BJ376" s="759"/>
      <c r="BK376" s="759"/>
      <c r="BL376" s="759"/>
      <c r="BM376" s="759"/>
      <c r="BN376" s="969"/>
      <c r="BO376" s="759"/>
      <c r="BP376" s="759"/>
      <c r="BQ376" s="759"/>
      <c r="BR376" s="759"/>
      <c r="BS376" s="969"/>
      <c r="BT376" s="760"/>
      <c r="BU376" s="759"/>
      <c r="BV376" s="759"/>
      <c r="BW376" s="759"/>
      <c r="BX376" s="969"/>
      <c r="BY376" s="759"/>
      <c r="BZ376" s="759"/>
      <c r="CA376" s="759"/>
      <c r="CB376" s="759"/>
      <c r="CC376" s="969"/>
      <c r="CD376" s="969"/>
      <c r="CE376" s="969"/>
      <c r="CF376" s="969"/>
      <c r="CG376" s="459"/>
    </row>
    <row r="377" spans="1:85" hidden="1" outlineLevel="1" x14ac:dyDescent="0.3">
      <c r="A377" s="4" t="s">
        <v>383</v>
      </c>
      <c r="B377" s="250"/>
      <c r="C377" s="969"/>
      <c r="D377" s="969"/>
      <c r="E377" s="969"/>
      <c r="F377" s="969"/>
      <c r="G377" s="759"/>
      <c r="H377" s="759"/>
      <c r="I377" s="759"/>
      <c r="J377" s="759"/>
      <c r="K377" s="969"/>
      <c r="L377" s="759"/>
      <c r="M377" s="759"/>
      <c r="N377" s="759"/>
      <c r="O377" s="759"/>
      <c r="P377" s="970">
        <f>'Supplemental Data'!K35</f>
      </c>
      <c r="Q377" s="759"/>
      <c r="R377" s="759"/>
      <c r="S377" s="759"/>
      <c r="T377" s="759"/>
      <c r="U377" s="970">
        <f>'Supplemental Data'!P35</f>
      </c>
      <c r="V377" s="759"/>
      <c r="W377" s="759"/>
      <c r="X377" s="759"/>
      <c r="Y377" s="759"/>
      <c r="Z377" s="970">
        <f>'Supplemental Data'!U35</f>
      </c>
      <c r="AA377" s="860">
        <f>'Supplemental Data'!V35</f>
      </c>
      <c r="AB377" s="860">
        <f>'Supplemental Data'!W35</f>
      </c>
      <c r="AC377" s="860">
        <f>'Supplemental Data'!X35</f>
      </c>
      <c r="AD377" s="860">
        <f>'Supplemental Data'!Y35</f>
      </c>
      <c r="AE377" s="970">
        <f>'Supplemental Data'!Z35</f>
      </c>
      <c r="AF377" s="860">
        <f>'Supplemental Data'!AA35</f>
      </c>
      <c r="AG377" s="860">
        <f>'Supplemental Data'!AB35</f>
      </c>
      <c r="AH377" s="860">
        <f>'Supplemental Data'!AC35</f>
      </c>
      <c r="AI377" s="860">
        <f>'Supplemental Data'!AD35</f>
      </c>
      <c r="AJ377" s="970">
        <f>'Supplemental Data'!AE35</f>
      </c>
      <c r="AK377" s="860">
        <f>'Supplemental Data'!AF35</f>
      </c>
      <c r="AL377" s="860">
        <f>'Supplemental Data'!AG35</f>
      </c>
      <c r="AM377" s="860">
        <f>'Supplemental Data'!AH35</f>
      </c>
      <c r="AN377" s="759"/>
      <c r="AO377" s="969"/>
      <c r="AP377" s="759"/>
      <c r="AQ377" s="759"/>
      <c r="AR377" s="759"/>
      <c r="AS377" s="759"/>
      <c r="AT377" s="969"/>
      <c r="AU377" s="759"/>
      <c r="AV377" s="759"/>
      <c r="AW377" s="759"/>
      <c r="AX377" s="759"/>
      <c r="AY377" s="969"/>
      <c r="AZ377" s="759"/>
      <c r="BA377" s="759"/>
      <c r="BB377" s="759"/>
      <c r="BC377" s="759"/>
      <c r="BD377" s="969"/>
      <c r="BE377" s="759"/>
      <c r="BF377" s="759"/>
      <c r="BG377" s="759"/>
      <c r="BH377" s="759"/>
      <c r="BI377" s="969"/>
      <c r="BJ377" s="759"/>
      <c r="BK377" s="759"/>
      <c r="BL377" s="759"/>
      <c r="BM377" s="759"/>
      <c r="BN377" s="969"/>
      <c r="BO377" s="759"/>
      <c r="BP377" s="759"/>
      <c r="BQ377" s="759"/>
      <c r="BR377" s="759"/>
      <c r="BS377" s="969"/>
      <c r="BT377" s="760"/>
      <c r="BU377" s="759"/>
      <c r="BV377" s="759"/>
      <c r="BW377" s="759"/>
      <c r="BX377" s="969"/>
      <c r="BY377" s="759"/>
      <c r="BZ377" s="759"/>
      <c r="CA377" s="759"/>
      <c r="CB377" s="759"/>
      <c r="CC377" s="969"/>
      <c r="CD377" s="969"/>
      <c r="CE377" s="969"/>
      <c r="CF377" s="969"/>
      <c r="CG377" s="183"/>
    </row>
    <row r="378" spans="1:85" hidden="1" outlineLevel="1" x14ac:dyDescent="0.3">
      <c r="A378" s="182" t="s">
        <v>387</v>
      </c>
      <c r="B378" s="430"/>
      <c r="C378" s="962"/>
      <c r="D378" s="962"/>
      <c r="E378" s="962"/>
      <c r="F378" s="962"/>
      <c r="G378" s="757"/>
      <c r="H378" s="757"/>
      <c r="I378" s="757"/>
      <c r="J378" s="757"/>
      <c r="K378" s="962"/>
      <c r="L378" s="757"/>
      <c r="M378" s="757"/>
      <c r="N378" s="757"/>
      <c r="O378" s="757"/>
      <c r="P378" s="963">
        <v>242.3</v>
      </c>
      <c r="Q378" s="757"/>
      <c r="R378" s="757"/>
      <c r="S378" s="757"/>
      <c r="T378" s="757"/>
      <c r="U378" s="963">
        <v>208.1</v>
      </c>
      <c r="V378" s="757"/>
      <c r="W378" s="757"/>
      <c r="X378" s="757"/>
      <c r="Y378" s="757"/>
      <c r="Z378" s="963">
        <v>335.4</v>
      </c>
      <c r="AA378" s="857">
        <v>80.400000000000006</v>
      </c>
      <c r="AB378" s="857">
        <v>114.6</v>
      </c>
      <c r="AC378" s="857">
        <v>136.5</v>
      </c>
      <c r="AD378" s="459">
        <f>AE378-AC378-AB378-AA378</f>
      </c>
      <c r="AE378" s="963">
        <v>419</v>
      </c>
      <c r="AF378" s="857">
        <v>121.5</v>
      </c>
      <c r="AG378" s="857">
        <v>55.3</v>
      </c>
      <c r="AH378" s="857">
        <v>73.099999999999994</v>
      </c>
      <c r="AI378" s="459">
        <f>AJ378-AH378-AG378-AF378</f>
      </c>
      <c r="AJ378" s="963">
        <v>358</v>
      </c>
      <c r="AK378" s="857">
        <v>134</v>
      </c>
      <c r="AL378" s="857">
        <v>165</v>
      </c>
      <c r="AM378" s="857">
        <v>112</v>
      </c>
      <c r="AN378" s="757"/>
      <c r="AO378" s="962"/>
      <c r="AP378" s="757"/>
      <c r="AQ378" s="757"/>
      <c r="AR378" s="757"/>
      <c r="AS378" s="757"/>
      <c r="AT378" s="962"/>
      <c r="AU378" s="757"/>
      <c r="AV378" s="757"/>
      <c r="AW378" s="757"/>
      <c r="AX378" s="757"/>
      <c r="AY378" s="962"/>
      <c r="AZ378" s="757"/>
      <c r="BA378" s="757"/>
      <c r="BB378" s="757"/>
      <c r="BC378" s="757"/>
      <c r="BD378" s="962"/>
      <c r="BE378" s="757"/>
      <c r="BF378" s="757"/>
      <c r="BG378" s="757"/>
      <c r="BH378" s="757"/>
      <c r="BI378" s="962"/>
      <c r="BJ378" s="757"/>
      <c r="BK378" s="757"/>
      <c r="BL378" s="757"/>
      <c r="BM378" s="757"/>
      <c r="BN378" s="962"/>
      <c r="BO378" s="757"/>
      <c r="BP378" s="757"/>
      <c r="BQ378" s="757"/>
      <c r="BR378" s="757"/>
      <c r="BS378" s="962"/>
      <c r="BT378" s="758"/>
      <c r="BU378" s="757"/>
      <c r="BV378" s="757"/>
      <c r="BW378" s="757"/>
      <c r="BX378" s="962"/>
      <c r="BY378" s="757"/>
      <c r="BZ378" s="757"/>
      <c r="CA378" s="757"/>
      <c r="CB378" s="757"/>
      <c r="CC378" s="962"/>
      <c r="CD378" s="962"/>
      <c r="CE378" s="962"/>
      <c r="CF378" s="962"/>
      <c r="CG378" s="459"/>
    </row>
    <row r="379" spans="1:85" hidden="1" outlineLevel="1" x14ac:dyDescent="0.3">
      <c r="A379" s="182" t="s">
        <v>388</v>
      </c>
      <c r="B379" s="430"/>
      <c r="C379" s="962"/>
      <c r="D379" s="962"/>
      <c r="E379" s="962"/>
      <c r="F379" s="962"/>
      <c r="G379" s="757"/>
      <c r="H379" s="757"/>
      <c r="I379" s="757"/>
      <c r="J379" s="757"/>
      <c r="K379" s="962"/>
      <c r="L379" s="757"/>
      <c r="M379" s="757"/>
      <c r="N379" s="757"/>
      <c r="O379" s="757"/>
      <c r="P379" s="963">
        <v>59.5</v>
      </c>
      <c r="Q379" s="757"/>
      <c r="R379" s="757"/>
      <c r="S379" s="757"/>
      <c r="T379" s="757"/>
      <c r="U379" s="963">
        <v>37.9</v>
      </c>
      <c r="V379" s="757"/>
      <c r="W379" s="757"/>
      <c r="X379" s="757"/>
      <c r="Y379" s="757"/>
      <c r="Z379" s="962"/>
      <c r="AA379" s="757"/>
      <c r="AB379" s="757"/>
      <c r="AC379" s="757"/>
      <c r="AD379" s="757"/>
      <c r="AE379" s="962"/>
      <c r="AF379" s="757"/>
      <c r="AG379" s="757"/>
      <c r="AH379" s="757"/>
      <c r="AI379" s="757"/>
      <c r="AJ379" s="962"/>
      <c r="AK379" s="757"/>
      <c r="AL379" s="757"/>
      <c r="AM379" s="757"/>
      <c r="AN379" s="757"/>
      <c r="AO379" s="962"/>
      <c r="AP379" s="757"/>
      <c r="AQ379" s="757"/>
      <c r="AR379" s="757"/>
      <c r="AS379" s="757"/>
      <c r="AT379" s="962"/>
      <c r="AU379" s="757"/>
      <c r="AV379" s="757"/>
      <c r="AW379" s="757"/>
      <c r="AX379" s="757"/>
      <c r="AY379" s="962"/>
      <c r="AZ379" s="757"/>
      <c r="BA379" s="757"/>
      <c r="BB379" s="757"/>
      <c r="BC379" s="757"/>
      <c r="BD379" s="962"/>
      <c r="BE379" s="757"/>
      <c r="BF379" s="757"/>
      <c r="BG379" s="757"/>
      <c r="BH379" s="757"/>
      <c r="BI379" s="962"/>
      <c r="BJ379" s="757"/>
      <c r="BK379" s="757"/>
      <c r="BL379" s="757"/>
      <c r="BM379" s="757"/>
      <c r="BN379" s="962"/>
      <c r="BO379" s="757"/>
      <c r="BP379" s="757"/>
      <c r="BQ379" s="757"/>
      <c r="BR379" s="757"/>
      <c r="BS379" s="962"/>
      <c r="BT379" s="758"/>
      <c r="BU379" s="757"/>
      <c r="BV379" s="757"/>
      <c r="BW379" s="757"/>
      <c r="BX379" s="962"/>
      <c r="BY379" s="757"/>
      <c r="BZ379" s="757"/>
      <c r="CA379" s="757"/>
      <c r="CB379" s="757"/>
      <c r="CC379" s="962"/>
      <c r="CD379" s="962"/>
      <c r="CE379" s="962"/>
      <c r="CF379" s="962"/>
      <c r="CG379" s="459"/>
    </row>
    <row r="380" spans="1:85" hidden="1" outlineLevel="1" x14ac:dyDescent="0.3">
      <c r="A380" s="182" t="s">
        <v>389</v>
      </c>
      <c r="B380" s="430"/>
      <c r="C380" s="962"/>
      <c r="D380" s="962"/>
      <c r="E380" s="962"/>
      <c r="F380" s="962"/>
      <c r="G380" s="757"/>
      <c r="H380" s="757"/>
      <c r="I380" s="757"/>
      <c r="J380" s="757"/>
      <c r="K380" s="962"/>
      <c r="L380" s="757"/>
      <c r="M380" s="757"/>
      <c r="N380" s="757"/>
      <c r="O380" s="757"/>
      <c r="P380" s="963">
        <v>36.6</v>
      </c>
      <c r="Q380" s="757"/>
      <c r="R380" s="757"/>
      <c r="S380" s="757"/>
      <c r="T380" s="757"/>
      <c r="U380" s="963">
        <v>39.4</v>
      </c>
      <c r="V380" s="757"/>
      <c r="W380" s="757"/>
      <c r="X380" s="757"/>
      <c r="Y380" s="757"/>
      <c r="Z380" s="963">
        <v>33.200000000000003</v>
      </c>
      <c r="AA380" s="857">
        <v>0</v>
      </c>
      <c r="AB380" s="857">
        <v>0</v>
      </c>
      <c r="AC380" s="857">
        <v>0</v>
      </c>
      <c r="AD380" s="459">
        <f>AE380-AC380-AB380-AA380</f>
      </c>
      <c r="AE380" s="963">
        <v>100</v>
      </c>
      <c r="AF380" s="857">
        <v>23.9</v>
      </c>
      <c r="AG380" s="857">
        <v>38.4</v>
      </c>
      <c r="AH380" s="857">
        <v>54.3</v>
      </c>
      <c r="AI380" s="459">
        <f>AJ380-AH380-AG380-AF380</f>
      </c>
      <c r="AJ380" s="963">
        <v>210</v>
      </c>
      <c r="AK380" s="857">
        <v>69</v>
      </c>
      <c r="AL380" s="857">
        <v>61</v>
      </c>
      <c r="AM380" s="857">
        <v>60</v>
      </c>
      <c r="AN380" s="757"/>
      <c r="AO380" s="962"/>
      <c r="AP380" s="757"/>
      <c r="AQ380" s="757"/>
      <c r="AR380" s="757"/>
      <c r="AS380" s="757"/>
      <c r="AT380" s="962"/>
      <c r="AU380" s="757"/>
      <c r="AV380" s="757"/>
      <c r="AW380" s="757"/>
      <c r="AX380" s="757"/>
      <c r="AY380" s="962"/>
      <c r="AZ380" s="757"/>
      <c r="BA380" s="757"/>
      <c r="BB380" s="757"/>
      <c r="BC380" s="757"/>
      <c r="BD380" s="962"/>
      <c r="BE380" s="757"/>
      <c r="BF380" s="757"/>
      <c r="BG380" s="757"/>
      <c r="BH380" s="757"/>
      <c r="BI380" s="962"/>
      <c r="BJ380" s="757"/>
      <c r="BK380" s="757"/>
      <c r="BL380" s="757"/>
      <c r="BM380" s="757"/>
      <c r="BN380" s="962"/>
      <c r="BO380" s="757"/>
      <c r="BP380" s="757"/>
      <c r="BQ380" s="757"/>
      <c r="BR380" s="757"/>
      <c r="BS380" s="962"/>
      <c r="BT380" s="758"/>
      <c r="BU380" s="757"/>
      <c r="BV380" s="757"/>
      <c r="BW380" s="757"/>
      <c r="BX380" s="962"/>
      <c r="BY380" s="757"/>
      <c r="BZ380" s="757"/>
      <c r="CA380" s="757"/>
      <c r="CB380" s="757"/>
      <c r="CC380" s="962"/>
      <c r="CD380" s="962"/>
      <c r="CE380" s="962"/>
      <c r="CF380" s="962"/>
      <c r="CG380" s="459"/>
    </row>
    <row r="381" spans="1:85" hidden="1" outlineLevel="1" x14ac:dyDescent="0.3">
      <c r="A381" s="182" t="s">
        <v>390</v>
      </c>
      <c r="B381" s="430"/>
      <c r="C381" s="962"/>
      <c r="D381" s="962"/>
      <c r="E381" s="962"/>
      <c r="F381" s="962"/>
      <c r="G381" s="757"/>
      <c r="H381" s="757"/>
      <c r="I381" s="757"/>
      <c r="J381" s="757"/>
      <c r="K381" s="962"/>
      <c r="L381" s="757"/>
      <c r="M381" s="757"/>
      <c r="N381" s="757"/>
      <c r="O381" s="757"/>
      <c r="P381" s="964">
        <f>P382-SUM(P377:P380)</f>
      </c>
      <c r="Q381" s="757"/>
      <c r="R381" s="757"/>
      <c r="S381" s="757"/>
      <c r="T381" s="757"/>
      <c r="U381" s="964">
        <f>U382-SUM(U377:U380)</f>
      </c>
      <c r="V381" s="757"/>
      <c r="W381" s="757"/>
      <c r="X381" s="757"/>
      <c r="Y381" s="757"/>
      <c r="Z381" s="964">
        <f t="shared" ref="Z381:AM381" si="644">Z382-SUM(Z377:Z380)</f>
      </c>
      <c r="AA381" s="459">
        <f t="shared" si="644"/>
      </c>
      <c r="AB381" s="459">
        <f t="shared" si="644"/>
      </c>
      <c r="AC381" s="459">
        <f t="shared" si="644"/>
      </c>
      <c r="AD381" s="459">
        <f t="shared" si="644"/>
      </c>
      <c r="AE381" s="964">
        <f t="shared" si="644"/>
      </c>
      <c r="AF381" s="459">
        <f t="shared" si="644"/>
      </c>
      <c r="AG381" s="459">
        <f t="shared" si="644"/>
      </c>
      <c r="AH381" s="459">
        <f t="shared" si="644"/>
      </c>
      <c r="AI381" s="459">
        <f t="shared" si="644"/>
      </c>
      <c r="AJ381" s="964">
        <f t="shared" si="644"/>
      </c>
      <c r="AK381" s="800">
        <f t="shared" si="644"/>
      </c>
      <c r="AL381" s="459">
        <f t="shared" si="644"/>
      </c>
      <c r="AM381" s="459">
        <f t="shared" si="644"/>
      </c>
      <c r="AN381" s="757"/>
      <c r="AO381" s="962"/>
      <c r="AP381" s="761"/>
      <c r="AQ381" s="757"/>
      <c r="AR381" s="757"/>
      <c r="AS381" s="757"/>
      <c r="AT381" s="962"/>
      <c r="AU381" s="761"/>
      <c r="AV381" s="757"/>
      <c r="AW381" s="757"/>
      <c r="AX381" s="757"/>
      <c r="AY381" s="962"/>
      <c r="AZ381" s="761"/>
      <c r="BA381" s="757"/>
      <c r="BB381" s="757"/>
      <c r="BC381" s="757"/>
      <c r="BD381" s="962"/>
      <c r="BE381" s="761"/>
      <c r="BF381" s="757"/>
      <c r="BG381" s="757"/>
      <c r="BH381" s="757"/>
      <c r="BI381" s="962"/>
      <c r="BJ381" s="761"/>
      <c r="BK381" s="757"/>
      <c r="BL381" s="757"/>
      <c r="BM381" s="757"/>
      <c r="BN381" s="962"/>
      <c r="BO381" s="761"/>
      <c r="BP381" s="757"/>
      <c r="BQ381" s="757"/>
      <c r="BR381" s="757"/>
      <c r="BS381" s="962"/>
      <c r="BT381" s="762"/>
      <c r="BU381" s="757"/>
      <c r="BV381" s="757"/>
      <c r="BW381" s="757"/>
      <c r="BX381" s="962"/>
      <c r="BY381" s="757"/>
      <c r="BZ381" s="757"/>
      <c r="CA381" s="757"/>
      <c r="CB381" s="757"/>
      <c r="CC381" s="962"/>
      <c r="CD381" s="962"/>
      <c r="CE381" s="962"/>
      <c r="CF381" s="962"/>
      <c r="CG381" s="459"/>
    </row>
    <row r="382" spans="1:85" hidden="1" outlineLevel="1" x14ac:dyDescent="0.3">
      <c r="A382" s="2" t="s">
        <v>384</v>
      </c>
      <c r="B382" s="426"/>
      <c r="C382" s="965"/>
      <c r="D382" s="965"/>
      <c r="E382" s="965"/>
      <c r="F382" s="965"/>
      <c r="G382" s="791"/>
      <c r="H382" s="791"/>
      <c r="I382" s="791"/>
      <c r="J382" s="791"/>
      <c r="K382" s="965"/>
      <c r="L382" s="791"/>
      <c r="M382" s="791"/>
      <c r="N382" s="791"/>
      <c r="O382" s="791"/>
      <c r="P382" s="995">
        <f>'Supplemental Data'!P35</f>
      </c>
      <c r="Q382" s="791"/>
      <c r="R382" s="791"/>
      <c r="S382" s="791"/>
      <c r="T382" s="791"/>
      <c r="U382" s="995">
        <f>'Supplemental Data'!U35</f>
      </c>
      <c r="V382" s="791"/>
      <c r="W382" s="791"/>
      <c r="X382" s="791"/>
      <c r="Y382" s="791"/>
      <c r="Z382" s="995">
        <f>'Supplemental Data'!Z35</f>
      </c>
      <c r="AA382" s="869">
        <f>'Supplemental Data'!AA35</f>
      </c>
      <c r="AB382" s="869">
        <f>'Supplemental Data'!AB35</f>
      </c>
      <c r="AC382" s="869">
        <f>'Supplemental Data'!AC35</f>
      </c>
      <c r="AD382" s="869">
        <f>'Supplemental Data'!AD35</f>
      </c>
      <c r="AE382" s="995">
        <f>'Supplemental Data'!AE35</f>
      </c>
      <c r="AF382" s="869">
        <f>'Supplemental Data'!AF35</f>
      </c>
      <c r="AG382" s="869">
        <f>'Supplemental Data'!AG35</f>
      </c>
      <c r="AH382" s="869">
        <f>'Supplemental Data'!AH35</f>
      </c>
      <c r="AI382" s="869">
        <f>'Supplemental Data'!AI35</f>
      </c>
      <c r="AJ382" s="995">
        <f>'Supplemental Data'!AJ35</f>
      </c>
      <c r="AK382" s="869">
        <f>'Supplemental Data'!AK35</f>
      </c>
      <c r="AL382" s="869">
        <f>'Supplemental Data'!AL35</f>
      </c>
      <c r="AM382" s="869">
        <f>'Supplemental Data'!AM35</f>
      </c>
      <c r="AN382" s="791"/>
      <c r="AO382" s="965"/>
      <c r="AP382" s="791"/>
      <c r="AQ382" s="791"/>
      <c r="AR382" s="791"/>
      <c r="AS382" s="791"/>
      <c r="AT382" s="965"/>
      <c r="AU382" s="791"/>
      <c r="AV382" s="791"/>
      <c r="AW382" s="791"/>
      <c r="AX382" s="791"/>
      <c r="AY382" s="965"/>
      <c r="AZ382" s="791"/>
      <c r="BA382" s="791"/>
      <c r="BB382" s="791"/>
      <c r="BC382" s="791"/>
      <c r="BD382" s="965"/>
      <c r="BE382" s="791"/>
      <c r="BF382" s="791"/>
      <c r="BG382" s="791"/>
      <c r="BH382" s="791"/>
      <c r="BI382" s="965"/>
      <c r="BJ382" s="791"/>
      <c r="BK382" s="791"/>
      <c r="BL382" s="791"/>
      <c r="BM382" s="791"/>
      <c r="BN382" s="965"/>
      <c r="BO382" s="791"/>
      <c r="BP382" s="791"/>
      <c r="BQ382" s="791"/>
      <c r="BR382" s="791"/>
      <c r="BS382" s="965"/>
      <c r="BT382" s="797"/>
      <c r="BU382" s="791"/>
      <c r="BV382" s="791"/>
      <c r="BW382" s="791"/>
      <c r="BX382" s="965"/>
      <c r="BY382" s="791"/>
      <c r="BZ382" s="791"/>
      <c r="CA382" s="791"/>
      <c r="CB382" s="791"/>
      <c r="CC382" s="965"/>
      <c r="CD382" s="965"/>
      <c r="CE382" s="965"/>
      <c r="CF382" s="965"/>
      <c r="CG382" s="459"/>
    </row>
    <row r="383" spans="1:85" hidden="1" outlineLevel="1" x14ac:dyDescent="0.3">
      <c r="A383" s="442"/>
      <c r="B383" s="430"/>
      <c r="C383" s="962"/>
      <c r="D383" s="962"/>
      <c r="E383" s="962"/>
      <c r="F383" s="962"/>
      <c r="G383" s="757"/>
      <c r="H383" s="757"/>
      <c r="I383" s="757"/>
      <c r="J383" s="757"/>
      <c r="K383" s="962"/>
      <c r="L383" s="757"/>
      <c r="M383" s="757"/>
      <c r="N383" s="757"/>
      <c r="O383" s="757"/>
      <c r="P383" s="962"/>
      <c r="Q383" s="757"/>
      <c r="R383" s="757"/>
      <c r="S383" s="757"/>
      <c r="T383" s="757"/>
      <c r="U383" s="962"/>
      <c r="V383" s="757"/>
      <c r="W383" s="757"/>
      <c r="X383" s="757"/>
      <c r="Y383" s="757"/>
      <c r="Z383" s="962"/>
      <c r="AA383" s="757"/>
      <c r="AB383" s="757"/>
      <c r="AC383" s="757"/>
      <c r="AD383" s="757"/>
      <c r="AE383" s="962"/>
      <c r="AF383" s="757"/>
      <c r="AG383" s="757"/>
      <c r="AH383" s="757"/>
      <c r="AI383" s="757"/>
      <c r="AJ383" s="962"/>
      <c r="AK383" s="757"/>
      <c r="AL383" s="757"/>
      <c r="AM383" s="757"/>
      <c r="AN383" s="757"/>
      <c r="AO383" s="962"/>
      <c r="AP383" s="757"/>
      <c r="AQ383" s="757"/>
      <c r="AR383" s="757"/>
      <c r="AS383" s="757"/>
      <c r="AT383" s="962"/>
      <c r="AU383" s="757"/>
      <c r="AV383" s="757"/>
      <c r="AW383" s="757"/>
      <c r="AX383" s="757"/>
      <c r="AY383" s="962"/>
      <c r="AZ383" s="757"/>
      <c r="BA383" s="757"/>
      <c r="BB383" s="757"/>
      <c r="BC383" s="757"/>
      <c r="BD383" s="962"/>
      <c r="BE383" s="757"/>
      <c r="BF383" s="757"/>
      <c r="BG383" s="757"/>
      <c r="BH383" s="757"/>
      <c r="BI383" s="962"/>
      <c r="BJ383" s="757"/>
      <c r="BK383" s="757"/>
      <c r="BL383" s="757"/>
      <c r="BM383" s="757"/>
      <c r="BN383" s="962"/>
      <c r="BO383" s="757"/>
      <c r="BP383" s="757"/>
      <c r="BQ383" s="757"/>
      <c r="BR383" s="757"/>
      <c r="BS383" s="962"/>
      <c r="BT383" s="758"/>
      <c r="BU383" s="757"/>
      <c r="BV383" s="757"/>
      <c r="BW383" s="757"/>
      <c r="BX383" s="962"/>
      <c r="BY383" s="757"/>
      <c r="BZ383" s="757"/>
      <c r="CA383" s="757"/>
      <c r="CB383" s="757"/>
      <c r="CC383" s="962"/>
      <c r="CD383" s="962"/>
      <c r="CE383" s="962"/>
      <c r="CF383" s="962"/>
      <c r="CG383" s="459"/>
    </row>
    <row r="384" spans="1:85" hidden="1" outlineLevel="1" x14ac:dyDescent="0.3">
      <c r="A384" s="4" t="s">
        <v>385</v>
      </c>
      <c r="B384" s="250"/>
      <c r="C384" s="969"/>
      <c r="D384" s="969"/>
      <c r="E384" s="969"/>
      <c r="F384" s="969"/>
      <c r="G384" s="759"/>
      <c r="H384" s="759"/>
      <c r="I384" s="759"/>
      <c r="J384" s="759"/>
      <c r="K384" s="969"/>
      <c r="L384" s="759"/>
      <c r="M384" s="759"/>
      <c r="N384" s="759"/>
      <c r="O384" s="759"/>
      <c r="P384" s="970">
        <f>'Supplemental Data'!K36</f>
      </c>
      <c r="Q384" s="759"/>
      <c r="R384" s="759"/>
      <c r="S384" s="759"/>
      <c r="T384" s="759"/>
      <c r="U384" s="970">
        <f>'Supplemental Data'!P36</f>
      </c>
      <c r="V384" s="759"/>
      <c r="W384" s="759"/>
      <c r="X384" s="759"/>
      <c r="Y384" s="759"/>
      <c r="Z384" s="970">
        <f>'Supplemental Data'!U36</f>
      </c>
      <c r="AA384" s="860">
        <f>'Supplemental Data'!V36</f>
      </c>
      <c r="AB384" s="860">
        <f>'Supplemental Data'!W36</f>
      </c>
      <c r="AC384" s="860">
        <f>'Supplemental Data'!X36</f>
      </c>
      <c r="AD384" s="860">
        <f>'Supplemental Data'!Y36</f>
      </c>
      <c r="AE384" s="970">
        <f>'Supplemental Data'!Z36</f>
      </c>
      <c r="AF384" s="860">
        <f>'Supplemental Data'!AA36</f>
      </c>
      <c r="AG384" s="860">
        <f>'Supplemental Data'!AB36</f>
      </c>
      <c r="AH384" s="860">
        <f>'Supplemental Data'!AC36</f>
      </c>
      <c r="AI384" s="860">
        <f>'Supplemental Data'!AD36</f>
      </c>
      <c r="AJ384" s="970">
        <f>'Supplemental Data'!AE36</f>
      </c>
      <c r="AK384" s="860">
        <f>'Supplemental Data'!AF36</f>
      </c>
      <c r="AL384" s="860">
        <f>'Supplemental Data'!AG36</f>
      </c>
      <c r="AM384" s="860">
        <f>'Supplemental Data'!AH36</f>
      </c>
      <c r="AN384" s="759"/>
      <c r="AO384" s="969"/>
      <c r="AP384" s="759"/>
      <c r="AQ384" s="759"/>
      <c r="AR384" s="759"/>
      <c r="AS384" s="759"/>
      <c r="AT384" s="969"/>
      <c r="AU384" s="759"/>
      <c r="AV384" s="759"/>
      <c r="AW384" s="759"/>
      <c r="AX384" s="759"/>
      <c r="AY384" s="969"/>
      <c r="AZ384" s="759"/>
      <c r="BA384" s="759"/>
      <c r="BB384" s="759"/>
      <c r="BC384" s="759"/>
      <c r="BD384" s="969"/>
      <c r="BE384" s="759"/>
      <c r="BF384" s="759"/>
      <c r="BG384" s="759"/>
      <c r="BH384" s="759"/>
      <c r="BI384" s="969"/>
      <c r="BJ384" s="759"/>
      <c r="BK384" s="759"/>
      <c r="BL384" s="759"/>
      <c r="BM384" s="759"/>
      <c r="BN384" s="969"/>
      <c r="BO384" s="759"/>
      <c r="BP384" s="759"/>
      <c r="BQ384" s="759"/>
      <c r="BR384" s="759"/>
      <c r="BS384" s="969"/>
      <c r="BT384" s="760"/>
      <c r="BU384" s="759"/>
      <c r="BV384" s="759"/>
      <c r="BW384" s="759"/>
      <c r="BX384" s="969"/>
      <c r="BY384" s="759"/>
      <c r="BZ384" s="759"/>
      <c r="CA384" s="759"/>
      <c r="CB384" s="759"/>
      <c r="CC384" s="969"/>
      <c r="CD384" s="969"/>
      <c r="CE384" s="969"/>
      <c r="CF384" s="969"/>
      <c r="CG384" s="183"/>
    </row>
    <row r="385" spans="1:85" hidden="1" outlineLevel="1" x14ac:dyDescent="0.3">
      <c r="A385" s="182" t="s">
        <v>391</v>
      </c>
      <c r="B385" s="430"/>
      <c r="C385" s="962"/>
      <c r="D385" s="962"/>
      <c r="E385" s="962"/>
      <c r="F385" s="962"/>
      <c r="G385" s="757"/>
      <c r="H385" s="757"/>
      <c r="I385" s="757"/>
      <c r="J385" s="757"/>
      <c r="K385" s="962"/>
      <c r="L385" s="757"/>
      <c r="M385" s="757"/>
      <c r="N385" s="757"/>
      <c r="O385" s="757"/>
      <c r="P385" s="963">
        <v>311.5</v>
      </c>
      <c r="Q385" s="757"/>
      <c r="R385" s="757"/>
      <c r="S385" s="757"/>
      <c r="T385" s="757"/>
      <c r="U385" s="963">
        <v>522.1</v>
      </c>
      <c r="V385" s="757"/>
      <c r="W385" s="757"/>
      <c r="X385" s="757"/>
      <c r="Y385" s="757"/>
      <c r="Z385" s="963">
        <v>998.5</v>
      </c>
      <c r="AA385" s="857">
        <v>187.1</v>
      </c>
      <c r="AB385" s="857">
        <v>284.3</v>
      </c>
      <c r="AC385" s="857">
        <v>298.3</v>
      </c>
      <c r="AD385" s="459">
        <f>AE385-AC385-AB385-AA385</f>
      </c>
      <c r="AE385" s="963">
        <v>990</v>
      </c>
      <c r="AF385" s="857">
        <v>321.60000000000002</v>
      </c>
      <c r="AG385" s="857">
        <v>211.8</v>
      </c>
      <c r="AH385" s="857">
        <v>211.2</v>
      </c>
      <c r="AI385" s="459">
        <f>AJ385-AH385-AG385-AF385</f>
      </c>
      <c r="AJ385" s="963">
        <v>976</v>
      </c>
      <c r="AK385" s="857">
        <v>242</v>
      </c>
      <c r="AL385" s="857">
        <v>250</v>
      </c>
      <c r="AM385" s="857">
        <v>256</v>
      </c>
      <c r="AN385" s="757"/>
      <c r="AO385" s="962"/>
      <c r="AP385" s="757"/>
      <c r="AQ385" s="757"/>
      <c r="AR385" s="757"/>
      <c r="AS385" s="757"/>
      <c r="AT385" s="962"/>
      <c r="AU385" s="757"/>
      <c r="AV385" s="757"/>
      <c r="AW385" s="757"/>
      <c r="AX385" s="757"/>
      <c r="AY385" s="962"/>
      <c r="AZ385" s="757"/>
      <c r="BA385" s="757"/>
      <c r="BB385" s="757"/>
      <c r="BC385" s="757"/>
      <c r="BD385" s="962"/>
      <c r="BE385" s="757"/>
      <c r="BF385" s="757"/>
      <c r="BG385" s="757"/>
      <c r="BH385" s="757"/>
      <c r="BI385" s="962"/>
      <c r="BJ385" s="757"/>
      <c r="BK385" s="757"/>
      <c r="BL385" s="757"/>
      <c r="BM385" s="757"/>
      <c r="BN385" s="962"/>
      <c r="BO385" s="757"/>
      <c r="BP385" s="757"/>
      <c r="BQ385" s="757"/>
      <c r="BR385" s="757"/>
      <c r="BS385" s="962"/>
      <c r="BT385" s="758"/>
      <c r="BU385" s="757"/>
      <c r="BV385" s="757"/>
      <c r="BW385" s="757"/>
      <c r="BX385" s="962"/>
      <c r="BY385" s="757"/>
      <c r="BZ385" s="757"/>
      <c r="CA385" s="757"/>
      <c r="CB385" s="757"/>
      <c r="CC385" s="962"/>
      <c r="CD385" s="962"/>
      <c r="CE385" s="962"/>
      <c r="CF385" s="962"/>
      <c r="CG385" s="459"/>
    </row>
    <row r="386" spans="1:85" hidden="1" outlineLevel="1" x14ac:dyDescent="0.3">
      <c r="A386" s="182" t="s">
        <v>392</v>
      </c>
      <c r="B386" s="430"/>
      <c r="C386" s="962"/>
      <c r="D386" s="962"/>
      <c r="E386" s="962"/>
      <c r="F386" s="962"/>
      <c r="G386" s="757"/>
      <c r="H386" s="757"/>
      <c r="I386" s="757"/>
      <c r="J386" s="757"/>
      <c r="K386" s="962"/>
      <c r="L386" s="757"/>
      <c r="M386" s="757"/>
      <c r="N386" s="757"/>
      <c r="O386" s="757"/>
      <c r="P386" s="963">
        <v>60.3</v>
      </c>
      <c r="Q386" s="757"/>
      <c r="R386" s="757"/>
      <c r="S386" s="757"/>
      <c r="T386" s="757"/>
      <c r="U386" s="963">
        <v>104.2</v>
      </c>
      <c r="V386" s="757"/>
      <c r="W386" s="757"/>
      <c r="X386" s="757"/>
      <c r="Y386" s="757"/>
      <c r="Z386" s="963">
        <v>132.5</v>
      </c>
      <c r="AA386" s="857">
        <v>30.3</v>
      </c>
      <c r="AB386" s="857">
        <v>35.1</v>
      </c>
      <c r="AC386" s="857">
        <v>34.700000000000003</v>
      </c>
      <c r="AD386" s="459">
        <f>AE386-AC386-AB386-AA386</f>
      </c>
      <c r="AE386" s="963">
        <v>327</v>
      </c>
      <c r="AF386" s="857">
        <v>89.9</v>
      </c>
      <c r="AG386" s="857">
        <v>94.8</v>
      </c>
      <c r="AH386" s="857">
        <v>90.7</v>
      </c>
      <c r="AI386" s="459">
        <f>AJ386-AH386-AG386-AF386</f>
      </c>
      <c r="AJ386" s="963">
        <v>440</v>
      </c>
      <c r="AK386" s="857">
        <v>133</v>
      </c>
      <c r="AL386" s="857">
        <v>136</v>
      </c>
      <c r="AM386" s="857">
        <v>148</v>
      </c>
      <c r="AN386" s="757"/>
      <c r="AO386" s="962"/>
      <c r="AP386" s="757"/>
      <c r="AQ386" s="757"/>
      <c r="AR386" s="757"/>
      <c r="AS386" s="757"/>
      <c r="AT386" s="962"/>
      <c r="AU386" s="757"/>
      <c r="AV386" s="757"/>
      <c r="AW386" s="757"/>
      <c r="AX386" s="757"/>
      <c r="AY386" s="962"/>
      <c r="AZ386" s="757"/>
      <c r="BA386" s="757"/>
      <c r="BB386" s="757"/>
      <c r="BC386" s="757"/>
      <c r="BD386" s="962"/>
      <c r="BE386" s="757"/>
      <c r="BF386" s="757"/>
      <c r="BG386" s="757"/>
      <c r="BH386" s="757"/>
      <c r="BI386" s="962"/>
      <c r="BJ386" s="757"/>
      <c r="BK386" s="757"/>
      <c r="BL386" s="757"/>
      <c r="BM386" s="757"/>
      <c r="BN386" s="962"/>
      <c r="BO386" s="757"/>
      <c r="BP386" s="757"/>
      <c r="BQ386" s="757"/>
      <c r="BR386" s="757"/>
      <c r="BS386" s="962"/>
      <c r="BT386" s="758"/>
      <c r="BU386" s="757"/>
      <c r="BV386" s="757"/>
      <c r="BW386" s="757"/>
      <c r="BX386" s="962"/>
      <c r="BY386" s="757"/>
      <c r="BZ386" s="757"/>
      <c r="CA386" s="757"/>
      <c r="CB386" s="757"/>
      <c r="CC386" s="962"/>
      <c r="CD386" s="962"/>
      <c r="CE386" s="962"/>
      <c r="CF386" s="962"/>
      <c r="CG386" s="459"/>
    </row>
    <row r="387" spans="1:85" hidden="1" outlineLevel="1" x14ac:dyDescent="0.3">
      <c r="A387" s="182" t="s">
        <v>393</v>
      </c>
      <c r="B387" s="430"/>
      <c r="C387" s="962"/>
      <c r="D387" s="962"/>
      <c r="E387" s="962"/>
      <c r="F387" s="962"/>
      <c r="G387" s="757"/>
      <c r="H387" s="757"/>
      <c r="I387" s="757"/>
      <c r="J387" s="757"/>
      <c r="K387" s="962"/>
      <c r="L387" s="757"/>
      <c r="M387" s="757"/>
      <c r="N387" s="757"/>
      <c r="O387" s="757"/>
      <c r="P387" s="964">
        <f>P388-SUM(P384:P386)</f>
      </c>
      <c r="Q387" s="757"/>
      <c r="R387" s="757"/>
      <c r="S387" s="757"/>
      <c r="T387" s="757"/>
      <c r="U387" s="964">
        <f>U388-SUM(U384:U386)</f>
      </c>
      <c r="V387" s="757"/>
      <c r="W387" s="757"/>
      <c r="X387" s="757"/>
      <c r="Y387" s="757"/>
      <c r="Z387" s="964">
        <f t="shared" ref="Z387:AM387" si="645">Z388-SUM(Z384:Z386)</f>
      </c>
      <c r="AA387" s="459">
        <f t="shared" si="645"/>
      </c>
      <c r="AB387" s="459">
        <f t="shared" si="645"/>
      </c>
      <c r="AC387" s="459">
        <f t="shared" si="645"/>
      </c>
      <c r="AD387" s="459">
        <f t="shared" si="645"/>
      </c>
      <c r="AE387" s="964">
        <f t="shared" si="645"/>
      </c>
      <c r="AF387" s="459">
        <f t="shared" si="645"/>
      </c>
      <c r="AG387" s="459">
        <f t="shared" si="645"/>
      </c>
      <c r="AH387" s="459">
        <f t="shared" si="645"/>
      </c>
      <c r="AI387" s="459">
        <f t="shared" si="645"/>
      </c>
      <c r="AJ387" s="964">
        <f t="shared" si="645"/>
      </c>
      <c r="AK387" s="459">
        <f t="shared" si="645"/>
      </c>
      <c r="AL387" s="459">
        <f t="shared" si="645"/>
      </c>
      <c r="AM387" s="459">
        <f t="shared" si="645"/>
      </c>
      <c r="AN387" s="757"/>
      <c r="AO387" s="962"/>
      <c r="AP387" s="757"/>
      <c r="AQ387" s="757"/>
      <c r="AR387" s="757"/>
      <c r="AS387" s="757"/>
      <c r="AT387" s="962"/>
      <c r="AU387" s="757"/>
      <c r="AV387" s="757"/>
      <c r="AW387" s="757"/>
      <c r="AX387" s="757"/>
      <c r="AY387" s="962"/>
      <c r="AZ387" s="757"/>
      <c r="BA387" s="757"/>
      <c r="BB387" s="757"/>
      <c r="BC387" s="757"/>
      <c r="BD387" s="962"/>
      <c r="BE387" s="757"/>
      <c r="BF387" s="757"/>
      <c r="BG387" s="757"/>
      <c r="BH387" s="757"/>
      <c r="BI387" s="962"/>
      <c r="BJ387" s="757"/>
      <c r="BK387" s="757"/>
      <c r="BL387" s="757"/>
      <c r="BM387" s="757"/>
      <c r="BN387" s="962"/>
      <c r="BO387" s="757"/>
      <c r="BP387" s="757"/>
      <c r="BQ387" s="757"/>
      <c r="BR387" s="757"/>
      <c r="BS387" s="962"/>
      <c r="BT387" s="758"/>
      <c r="BU387" s="757"/>
      <c r="BV387" s="757"/>
      <c r="BW387" s="757"/>
      <c r="BX387" s="962"/>
      <c r="BY387" s="757"/>
      <c r="BZ387" s="757"/>
      <c r="CA387" s="757"/>
      <c r="CB387" s="757"/>
      <c r="CC387" s="962"/>
      <c r="CD387" s="962"/>
      <c r="CE387" s="962"/>
      <c r="CF387" s="962"/>
      <c r="CG387" s="459"/>
    </row>
    <row r="388" spans="1:85" hidden="1" outlineLevel="1" x14ac:dyDescent="0.3">
      <c r="A388" s="2" t="s">
        <v>386</v>
      </c>
      <c r="B388" s="426"/>
      <c r="C388" s="965"/>
      <c r="D388" s="965"/>
      <c r="E388" s="965"/>
      <c r="F388" s="965"/>
      <c r="G388" s="791"/>
      <c r="H388" s="791"/>
      <c r="I388" s="791"/>
      <c r="J388" s="791"/>
      <c r="K388" s="965"/>
      <c r="L388" s="791"/>
      <c r="M388" s="791"/>
      <c r="N388" s="791"/>
      <c r="O388" s="791"/>
      <c r="P388" s="995">
        <f>'Supplemental Data'!P36</f>
      </c>
      <c r="Q388" s="791"/>
      <c r="R388" s="791"/>
      <c r="S388" s="791"/>
      <c r="T388" s="791"/>
      <c r="U388" s="995">
        <f>'Supplemental Data'!U36</f>
      </c>
      <c r="V388" s="791"/>
      <c r="W388" s="791"/>
      <c r="X388" s="791"/>
      <c r="Y388" s="791"/>
      <c r="Z388" s="995">
        <f>'Supplemental Data'!Z36</f>
      </c>
      <c r="AA388" s="869">
        <f>'Supplemental Data'!AA36</f>
      </c>
      <c r="AB388" s="869">
        <f>'Supplemental Data'!AB36</f>
      </c>
      <c r="AC388" s="869">
        <f>'Supplemental Data'!AC36</f>
      </c>
      <c r="AD388" s="869">
        <f>'Supplemental Data'!AD36</f>
      </c>
      <c r="AE388" s="995">
        <f>'Supplemental Data'!AE36</f>
      </c>
      <c r="AF388" s="869">
        <f>'Supplemental Data'!AF36</f>
      </c>
      <c r="AG388" s="869">
        <f>'Supplemental Data'!AG36</f>
      </c>
      <c r="AH388" s="869">
        <f>'Supplemental Data'!AH36</f>
      </c>
      <c r="AI388" s="869">
        <f>'Supplemental Data'!AI36</f>
      </c>
      <c r="AJ388" s="995">
        <f>'Supplemental Data'!AJ36</f>
      </c>
      <c r="AK388" s="869">
        <f>'Supplemental Data'!AK36</f>
      </c>
      <c r="AL388" s="869">
        <f>'Supplemental Data'!AL36</f>
      </c>
      <c r="AM388" s="869">
        <f>'Supplemental Data'!AM36</f>
      </c>
      <c r="AN388" s="791"/>
      <c r="AO388" s="965"/>
      <c r="AP388" s="791"/>
      <c r="AQ388" s="791"/>
      <c r="AR388" s="791"/>
      <c r="AS388" s="791"/>
      <c r="AT388" s="965"/>
      <c r="AU388" s="791"/>
      <c r="AV388" s="791"/>
      <c r="AW388" s="791"/>
      <c r="AX388" s="791"/>
      <c r="AY388" s="965"/>
      <c r="AZ388" s="791"/>
      <c r="BA388" s="791"/>
      <c r="BB388" s="791"/>
      <c r="BC388" s="791"/>
      <c r="BD388" s="965"/>
      <c r="BE388" s="791"/>
      <c r="BF388" s="791"/>
      <c r="BG388" s="791"/>
      <c r="BH388" s="791"/>
      <c r="BI388" s="965"/>
      <c r="BJ388" s="791"/>
      <c r="BK388" s="791"/>
      <c r="BL388" s="791"/>
      <c r="BM388" s="791"/>
      <c r="BN388" s="965"/>
      <c r="BO388" s="791"/>
      <c r="BP388" s="791"/>
      <c r="BQ388" s="791"/>
      <c r="BR388" s="791"/>
      <c r="BS388" s="965"/>
      <c r="BT388" s="797"/>
      <c r="BU388" s="791"/>
      <c r="BV388" s="791"/>
      <c r="BW388" s="791"/>
      <c r="BX388" s="965"/>
      <c r="BY388" s="791"/>
      <c r="BZ388" s="791"/>
      <c r="CA388" s="791"/>
      <c r="CB388" s="791"/>
      <c r="CC388" s="965"/>
      <c r="CD388" s="965"/>
      <c r="CE388" s="965"/>
      <c r="CF388" s="965"/>
      <c r="CG388" s="459"/>
    </row>
    <row r="389" spans="1:85" collapsed="1" x14ac:dyDescent="0.3">
      <c r="A389" s="442"/>
      <c r="B389" s="430"/>
      <c r="C389" s="962"/>
      <c r="D389" s="962"/>
      <c r="E389" s="962"/>
      <c r="F389" s="962"/>
      <c r="G389" s="757"/>
      <c r="H389" s="757"/>
      <c r="I389" s="757"/>
      <c r="J389" s="757"/>
      <c r="K389" s="962"/>
      <c r="L389" s="757"/>
      <c r="M389" s="757"/>
      <c r="N389" s="757"/>
      <c r="O389" s="757"/>
      <c r="P389" s="962"/>
      <c r="Q389" s="757"/>
      <c r="R389" s="757"/>
      <c r="S389" s="757"/>
      <c r="T389" s="757"/>
      <c r="U389" s="962"/>
      <c r="V389" s="757"/>
      <c r="W389" s="757"/>
      <c r="X389" s="757"/>
      <c r="Y389" s="757"/>
      <c r="Z389" s="962"/>
      <c r="AA389" s="757"/>
      <c r="AB389" s="757"/>
      <c r="AC389" s="757"/>
      <c r="AD389" s="757"/>
      <c r="AE389" s="962"/>
      <c r="AF389" s="757"/>
      <c r="AG389" s="757"/>
      <c r="AH389" s="757"/>
      <c r="AI389" s="757"/>
      <c r="AJ389" s="962"/>
      <c r="AK389" s="757"/>
      <c r="AL389" s="757"/>
      <c r="AM389" s="757"/>
      <c r="AN389" s="757"/>
      <c r="AO389" s="962"/>
      <c r="AP389" s="757"/>
      <c r="AQ389" s="757"/>
      <c r="AR389" s="757"/>
      <c r="AS389" s="757"/>
      <c r="AT389" s="962"/>
      <c r="AU389" s="757"/>
      <c r="AV389" s="757"/>
      <c r="AW389" s="757"/>
      <c r="AX389" s="757"/>
      <c r="AY389" s="962"/>
      <c r="AZ389" s="757"/>
      <c r="BA389" s="757"/>
      <c r="BB389" s="757"/>
      <c r="BC389" s="757"/>
      <c r="BD389" s="962"/>
      <c r="BE389" s="757"/>
      <c r="BF389" s="757"/>
      <c r="BG389" s="757"/>
      <c r="BH389" s="757"/>
      <c r="BI389" s="962"/>
      <c r="BJ389" s="757"/>
      <c r="BK389" s="757"/>
      <c r="BL389" s="757"/>
      <c r="BM389" s="757"/>
      <c r="BN389" s="962"/>
      <c r="BO389" s="757"/>
      <c r="BP389" s="757"/>
      <c r="BQ389" s="757"/>
      <c r="BR389" s="757"/>
      <c r="BS389" s="962"/>
      <c r="BT389" s="758"/>
      <c r="BU389" s="757"/>
      <c r="BV389" s="757"/>
      <c r="BW389" s="757"/>
      <c r="BX389" s="962"/>
      <c r="BY389" s="757"/>
      <c r="BZ389" s="757"/>
      <c r="CA389" s="757"/>
      <c r="CB389" s="757"/>
      <c r="CC389" s="962"/>
      <c r="CD389" s="962"/>
      <c r="CE389" s="962"/>
      <c r="CF389" s="962"/>
      <c r="CG389" s="459"/>
    </row>
    <row r="390" spans="1:85" x14ac:dyDescent="0.3">
      <c r="A390" s="23" t="s">
        <v>25</v>
      </c>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93"/>
      <c r="BU390" s="23"/>
      <c r="BV390" s="23"/>
      <c r="BW390" s="23"/>
      <c r="BX390" s="23"/>
      <c r="BY390" s="23"/>
      <c r="BZ390" s="23"/>
      <c r="CA390" s="23"/>
      <c r="CB390" s="23"/>
      <c r="CC390" s="23"/>
      <c r="CD390" s="23"/>
      <c r="CE390" s="23"/>
      <c r="CF390" s="23"/>
      <c r="CG390" s="11"/>
    </row>
    <row r="391" spans="1:85" hidden="1" outlineLevel="2" x14ac:dyDescent="0.3">
      <c r="A391" s="306" t="s">
        <v>26</v>
      </c>
      <c r="B391" s="115"/>
      <c r="C391" s="978"/>
      <c r="D391" s="978"/>
      <c r="E391" s="978"/>
      <c r="F391" s="996">
        <f>'Supplemental Data'!F35/'Supplemental Data'!F26</f>
      </c>
      <c r="G391" s="870">
        <f>'Supplemental Data'!G35/'Supplemental Data'!G26</f>
      </c>
      <c r="H391" s="870">
        <f>'Supplemental Data'!H35/'Supplemental Data'!H26</f>
      </c>
      <c r="I391" s="870">
        <f>'Supplemental Data'!I35/'Supplemental Data'!I26</f>
      </c>
      <c r="J391" s="870">
        <f>'Supplemental Data'!J35/'Supplemental Data'!J26</f>
      </c>
      <c r="K391" s="996">
        <f>'Supplemental Data'!K35/'Supplemental Data'!K26</f>
      </c>
      <c r="L391" s="870">
        <f>'Supplemental Data'!L35/'Supplemental Data'!L26</f>
      </c>
      <c r="M391" s="870">
        <f>'Supplemental Data'!M35/'Supplemental Data'!M26</f>
      </c>
      <c r="N391" s="870">
        <f>'Supplemental Data'!N35/'Supplemental Data'!N26</f>
      </c>
      <c r="O391" s="870">
        <f>'Supplemental Data'!O35/'Supplemental Data'!O26</f>
      </c>
      <c r="P391" s="996">
        <f>'Supplemental Data'!P35/'Supplemental Data'!P26</f>
      </c>
      <c r="Q391" s="870">
        <f>'Supplemental Data'!Q35/'Supplemental Data'!Q26</f>
      </c>
      <c r="R391" s="870">
        <f>'Supplemental Data'!R35/'Supplemental Data'!R26</f>
      </c>
      <c r="S391" s="870">
        <f>'Supplemental Data'!S35/'Supplemental Data'!S26</f>
      </c>
      <c r="T391" s="870">
        <f>'Supplemental Data'!T35/'Supplemental Data'!T26</f>
      </c>
      <c r="U391" s="996">
        <f>'Supplemental Data'!U35/'Supplemental Data'!U26</f>
      </c>
      <c r="V391" s="870">
        <f>'Supplemental Data'!V35/'Supplemental Data'!V26</f>
      </c>
      <c r="W391" s="870">
        <f>'Supplemental Data'!W35/'Supplemental Data'!W26</f>
      </c>
      <c r="X391" s="870">
        <f>'Supplemental Data'!X35/'Supplemental Data'!X26</f>
      </c>
      <c r="Y391" s="870">
        <f>'Supplemental Data'!Y35/'Supplemental Data'!Y26</f>
      </c>
      <c r="Z391" s="996">
        <f>'Supplemental Data'!Z35/'Supplemental Data'!Z26</f>
      </c>
      <c r="AA391" s="870">
        <f>'Supplemental Data'!AA35/'Supplemental Data'!AA26</f>
      </c>
      <c r="AB391" s="870">
        <f>'Supplemental Data'!AB35/'Supplemental Data'!AB26</f>
      </c>
      <c r="AC391" s="870">
        <f>'Supplemental Data'!AC35/'Supplemental Data'!AC26</f>
      </c>
      <c r="AD391" s="870">
        <f>'Supplemental Data'!AD35/'Supplemental Data'!AD26</f>
      </c>
      <c r="AE391" s="996">
        <f>'Supplemental Data'!AE35/'Supplemental Data'!AE26</f>
      </c>
      <c r="AF391" s="870">
        <f>'Supplemental Data'!AF35/'Supplemental Data'!AF26</f>
      </c>
      <c r="AG391" s="870">
        <f>'Supplemental Data'!AG35/'Supplemental Data'!AG26</f>
      </c>
      <c r="AH391" s="870">
        <f>'Supplemental Data'!AH35/'Supplemental Data'!AH26</f>
      </c>
      <c r="AI391" s="870">
        <f>'Supplemental Data'!AI35/'Supplemental Data'!AI26</f>
      </c>
      <c r="AJ391" s="996">
        <f>'Supplemental Data'!AJ35/'Supplemental Data'!AJ26</f>
      </c>
      <c r="AK391" s="870">
        <f>'Supplemental Data'!AK35/'Supplemental Data'!AK26</f>
      </c>
      <c r="AL391" s="870">
        <f>'Supplemental Data'!AL35/'Supplemental Data'!AL26</f>
      </c>
      <c r="AM391" s="870">
        <f>'Supplemental Data'!AM35/'Supplemental Data'!AM26</f>
      </c>
      <c r="AN391" s="870">
        <f>'Supplemental Data'!AN35/'Supplemental Data'!AN26</f>
      </c>
      <c r="AO391" s="996">
        <f>'Supplemental Data'!AO35/'Supplemental Data'!AO26</f>
      </c>
      <c r="AP391" s="68"/>
      <c r="AQ391" s="68"/>
      <c r="AR391" s="68"/>
      <c r="AS391" s="68"/>
      <c r="AT391" s="978"/>
      <c r="AU391" s="68"/>
      <c r="AV391" s="68"/>
      <c r="AW391" s="68"/>
      <c r="AX391" s="68"/>
      <c r="AY391" s="978"/>
      <c r="AZ391" s="68"/>
      <c r="BA391" s="68"/>
      <c r="BB391" s="68"/>
      <c r="BC391" s="68"/>
      <c r="BD391" s="978"/>
      <c r="BE391" s="68"/>
      <c r="BF391" s="68"/>
      <c r="BG391" s="68"/>
      <c r="BH391" s="68"/>
      <c r="BI391" s="978"/>
      <c r="BJ391" s="68"/>
      <c r="BK391" s="68"/>
      <c r="BL391" s="68"/>
      <c r="BM391" s="68"/>
      <c r="BN391" s="978"/>
      <c r="BO391" s="68"/>
      <c r="BP391" s="68"/>
      <c r="BQ391" s="68"/>
      <c r="BR391" s="68"/>
      <c r="BS391" s="978"/>
      <c r="BT391" s="541"/>
      <c r="BU391" s="68"/>
      <c r="BV391" s="68"/>
      <c r="BW391" s="68"/>
      <c r="BX391" s="978"/>
      <c r="BY391" s="68"/>
      <c r="BZ391" s="68"/>
      <c r="CA391" s="68"/>
      <c r="CB391" s="68"/>
      <c r="CC391" s="978"/>
      <c r="CD391" s="978"/>
      <c r="CE391" s="978"/>
      <c r="CF391" s="978"/>
      <c r="CG391" s="8"/>
    </row>
    <row r="392" spans="1:85" hidden="1" outlineLevel="2" x14ac:dyDescent="0.3">
      <c r="A392" s="306" t="s">
        <v>27</v>
      </c>
      <c r="B392" s="115"/>
      <c r="C392" s="978"/>
      <c r="D392" s="978"/>
      <c r="E392" s="978"/>
      <c r="F392" s="996">
        <f>'Supplemental Data'!F36/'Supplemental Data'!F28</f>
      </c>
      <c r="G392" s="870">
        <f>'Supplemental Data'!G36/'Supplemental Data'!G28</f>
      </c>
      <c r="H392" s="870">
        <f>'Supplemental Data'!H36/'Supplemental Data'!H28</f>
      </c>
      <c r="I392" s="870">
        <f>'Supplemental Data'!I36/'Supplemental Data'!I28</f>
      </c>
      <c r="J392" s="870">
        <f>'Supplemental Data'!J36/'Supplemental Data'!J28</f>
      </c>
      <c r="K392" s="996">
        <f>'Supplemental Data'!K36/'Supplemental Data'!K28</f>
      </c>
      <c r="L392" s="870">
        <f>'Supplemental Data'!L36/'Supplemental Data'!L28</f>
      </c>
      <c r="M392" s="870">
        <f>'Supplemental Data'!M36/'Supplemental Data'!M28</f>
      </c>
      <c r="N392" s="870">
        <f>'Supplemental Data'!N36/'Supplemental Data'!N28</f>
      </c>
      <c r="O392" s="870">
        <f>'Supplemental Data'!O36/'Supplemental Data'!O28</f>
      </c>
      <c r="P392" s="996">
        <f>'Supplemental Data'!P36/'Supplemental Data'!P28</f>
      </c>
      <c r="Q392" s="870">
        <f>'Supplemental Data'!Q36/'Supplemental Data'!Q28</f>
      </c>
      <c r="R392" s="870">
        <f>'Supplemental Data'!R36/'Supplemental Data'!R28</f>
      </c>
      <c r="S392" s="870">
        <f>'Supplemental Data'!S36/'Supplemental Data'!S28</f>
      </c>
      <c r="T392" s="870">
        <f>'Supplemental Data'!T36/'Supplemental Data'!T28</f>
      </c>
      <c r="U392" s="996">
        <f>'Supplemental Data'!U36/'Supplemental Data'!U28</f>
      </c>
      <c r="V392" s="870">
        <f>'Supplemental Data'!V36/'Supplemental Data'!V28</f>
      </c>
      <c r="W392" s="870">
        <f>'Supplemental Data'!W36/'Supplemental Data'!W28</f>
      </c>
      <c r="X392" s="870">
        <f>'Supplemental Data'!X36/'Supplemental Data'!X28</f>
      </c>
      <c r="Y392" s="870">
        <f>'Supplemental Data'!Y36/'Supplemental Data'!Y28</f>
      </c>
      <c r="Z392" s="996">
        <f>'Supplemental Data'!Z36/'Supplemental Data'!Z28</f>
      </c>
      <c r="AA392" s="870">
        <f>'Supplemental Data'!AA36/'Supplemental Data'!AA28</f>
      </c>
      <c r="AB392" s="870">
        <f>'Supplemental Data'!AB36/'Supplemental Data'!AB28</f>
      </c>
      <c r="AC392" s="870">
        <f>'Supplemental Data'!AC36/'Supplemental Data'!AC28</f>
      </c>
      <c r="AD392" s="870">
        <f>'Supplemental Data'!AD36/'Supplemental Data'!AD28</f>
      </c>
      <c r="AE392" s="996">
        <f>'Supplemental Data'!AE36/'Supplemental Data'!AE28</f>
      </c>
      <c r="AF392" s="870">
        <f>'Supplemental Data'!AF36/'Supplemental Data'!AF28</f>
      </c>
      <c r="AG392" s="870">
        <f>'Supplemental Data'!AG36/'Supplemental Data'!AG28</f>
      </c>
      <c r="AH392" s="870">
        <f>'Supplemental Data'!AH36/'Supplemental Data'!AH28</f>
      </c>
      <c r="AI392" s="870">
        <f>'Supplemental Data'!AI36/'Supplemental Data'!AI28</f>
      </c>
      <c r="AJ392" s="996">
        <f>'Supplemental Data'!AJ36/'Supplemental Data'!AJ28</f>
      </c>
      <c r="AK392" s="870">
        <f>'Supplemental Data'!AK36/'Supplemental Data'!AK28</f>
      </c>
      <c r="AL392" s="870">
        <f>'Supplemental Data'!AL36/'Supplemental Data'!AL28</f>
      </c>
      <c r="AM392" s="870">
        <f>'Supplemental Data'!AM36/'Supplemental Data'!AM28</f>
      </c>
      <c r="AN392" s="870">
        <f>'Supplemental Data'!AN36/'Supplemental Data'!AN28</f>
      </c>
      <c r="AO392" s="996">
        <f>'Supplemental Data'!AO36/'Supplemental Data'!AO28</f>
      </c>
      <c r="AP392" s="68"/>
      <c r="AQ392" s="68"/>
      <c r="AR392" s="68"/>
      <c r="AS392" s="68"/>
      <c r="AT392" s="978"/>
      <c r="AU392" s="68"/>
      <c r="AV392" s="68"/>
      <c r="AW392" s="68"/>
      <c r="AX392" s="68"/>
      <c r="AY392" s="978"/>
      <c r="AZ392" s="68"/>
      <c r="BA392" s="68"/>
      <c r="BB392" s="68"/>
      <c r="BC392" s="68"/>
      <c r="BD392" s="978"/>
      <c r="BE392" s="68"/>
      <c r="BF392" s="68"/>
      <c r="BG392" s="68"/>
      <c r="BH392" s="68"/>
      <c r="BI392" s="978"/>
      <c r="BJ392" s="68"/>
      <c r="BK392" s="68"/>
      <c r="BL392" s="68"/>
      <c r="BM392" s="68"/>
      <c r="BN392" s="978"/>
      <c r="BO392" s="68"/>
      <c r="BP392" s="68"/>
      <c r="BQ392" s="68"/>
      <c r="BR392" s="68"/>
      <c r="BS392" s="978"/>
      <c r="BT392" s="541"/>
      <c r="BU392" s="68"/>
      <c r="BV392" s="68"/>
      <c r="BW392" s="68"/>
      <c r="BX392" s="978"/>
      <c r="BY392" s="68"/>
      <c r="BZ392" s="68"/>
      <c r="CA392" s="68"/>
      <c r="CB392" s="68"/>
      <c r="CC392" s="978"/>
      <c r="CD392" s="978"/>
      <c r="CE392" s="978"/>
      <c r="CF392" s="978"/>
      <c r="CG392" s="8"/>
    </row>
    <row r="393" spans="1:85" hidden="1" outlineLevel="2" x14ac:dyDescent="0.3">
      <c r="A393" s="306" t="s">
        <v>28</v>
      </c>
      <c r="B393" s="115"/>
      <c r="C393" s="978"/>
      <c r="D393" s="978"/>
      <c r="E393" s="978"/>
      <c r="F393" s="996">
        <f>'Supplemental Data'!F37/'Supplemental Data'!F30</f>
      </c>
      <c r="G393" s="870">
        <f>'Supplemental Data'!G37/'Supplemental Data'!G30</f>
      </c>
      <c r="H393" s="870">
        <f>'Supplemental Data'!H37/'Supplemental Data'!H30</f>
      </c>
      <c r="I393" s="870">
        <f>'Supplemental Data'!I37/'Supplemental Data'!I30</f>
      </c>
      <c r="J393" s="870">
        <f>'Supplemental Data'!J37/'Supplemental Data'!J30</f>
      </c>
      <c r="K393" s="996">
        <f>'Supplemental Data'!K37/'Supplemental Data'!K30</f>
      </c>
      <c r="L393" s="870">
        <f>'Supplemental Data'!L37/'Supplemental Data'!L30</f>
      </c>
      <c r="M393" s="870">
        <f>'Supplemental Data'!M37/'Supplemental Data'!M30</f>
      </c>
      <c r="N393" s="870">
        <f>'Supplemental Data'!N37/'Supplemental Data'!N30</f>
      </c>
      <c r="O393" s="870">
        <f>'Supplemental Data'!O37/'Supplemental Data'!O30</f>
      </c>
      <c r="P393" s="996">
        <f>'Supplemental Data'!P37/'Supplemental Data'!P30</f>
      </c>
      <c r="Q393" s="870">
        <f>'Supplemental Data'!Q37/'Supplemental Data'!Q30</f>
      </c>
      <c r="R393" s="870">
        <f>'Supplemental Data'!R37/'Supplemental Data'!R30</f>
      </c>
      <c r="S393" s="870">
        <f>'Supplemental Data'!S37/'Supplemental Data'!S30</f>
      </c>
      <c r="T393" s="870">
        <f>'Supplemental Data'!T37/'Supplemental Data'!T30</f>
      </c>
      <c r="U393" s="996">
        <f>'Supplemental Data'!U37/'Supplemental Data'!U30</f>
      </c>
      <c r="V393" s="870">
        <f>'Supplemental Data'!V37/'Supplemental Data'!V30</f>
      </c>
      <c r="W393" s="870">
        <f>'Supplemental Data'!W37/'Supplemental Data'!W30</f>
      </c>
      <c r="X393" s="870">
        <f>'Supplemental Data'!X37/'Supplemental Data'!X30</f>
      </c>
      <c r="Y393" s="870">
        <f>'Supplemental Data'!Y37/'Supplemental Data'!Y30</f>
      </c>
      <c r="Z393" s="996">
        <f>'Supplemental Data'!Z37/'Supplemental Data'!Z30</f>
      </c>
      <c r="AA393" s="870">
        <f>'Supplemental Data'!AA37/'Supplemental Data'!AA30</f>
      </c>
      <c r="AB393" s="870">
        <f>'Supplemental Data'!AB37/'Supplemental Data'!AB30</f>
      </c>
      <c r="AC393" s="870">
        <f>'Supplemental Data'!AC37/'Supplemental Data'!AC30</f>
      </c>
      <c r="AD393" s="870">
        <f>'Supplemental Data'!AD37/'Supplemental Data'!AD30</f>
      </c>
      <c r="AE393" s="996">
        <f>'Supplemental Data'!AE37/'Supplemental Data'!AE30</f>
      </c>
      <c r="AF393" s="870">
        <f>'Supplemental Data'!AF37/'Supplemental Data'!AF30</f>
      </c>
      <c r="AG393" s="870">
        <f>'Supplemental Data'!AG37/'Supplemental Data'!AG30</f>
      </c>
      <c r="AH393" s="870">
        <f>'Supplemental Data'!AH37/'Supplemental Data'!AH30</f>
      </c>
      <c r="AI393" s="870">
        <f>'Supplemental Data'!AI37/'Supplemental Data'!AI30</f>
      </c>
      <c r="AJ393" s="996">
        <f>'Supplemental Data'!AJ37/'Supplemental Data'!AJ30</f>
      </c>
      <c r="AK393" s="870">
        <f>'Supplemental Data'!AK37/'Supplemental Data'!AK30</f>
      </c>
      <c r="AL393" s="870">
        <f>'Supplemental Data'!AL37/'Supplemental Data'!AL30</f>
      </c>
      <c r="AM393" s="870">
        <f>'Supplemental Data'!AM37/'Supplemental Data'!AM30</f>
      </c>
      <c r="AN393" s="870">
        <f>'Supplemental Data'!AN37/'Supplemental Data'!AN30</f>
      </c>
      <c r="AO393" s="996">
        <f>'Supplemental Data'!AO37/'Supplemental Data'!AO30</f>
      </c>
      <c r="AP393" s="68"/>
      <c r="AQ393" s="68"/>
      <c r="AR393" s="68"/>
      <c r="AS393" s="68"/>
      <c r="AT393" s="978"/>
      <c r="AU393" s="68"/>
      <c r="AV393" s="68"/>
      <c r="AW393" s="68"/>
      <c r="AX393" s="68"/>
      <c r="AY393" s="978"/>
      <c r="AZ393" s="68"/>
      <c r="BA393" s="68"/>
      <c r="BB393" s="68"/>
      <c r="BC393" s="68"/>
      <c r="BD393" s="978"/>
      <c r="BE393" s="68"/>
      <c r="BF393" s="68"/>
      <c r="BG393" s="68"/>
      <c r="BH393" s="68"/>
      <c r="BI393" s="978"/>
      <c r="BJ393" s="68"/>
      <c r="BK393" s="68"/>
      <c r="BL393" s="68"/>
      <c r="BM393" s="68"/>
      <c r="BN393" s="978"/>
      <c r="BO393" s="68"/>
      <c r="BP393" s="68"/>
      <c r="BQ393" s="68"/>
      <c r="BR393" s="68"/>
      <c r="BS393" s="978"/>
      <c r="BT393" s="541"/>
      <c r="BU393" s="68"/>
      <c r="BV393" s="68"/>
      <c r="BW393" s="68"/>
      <c r="BX393" s="978"/>
      <c r="BY393" s="68"/>
      <c r="BZ393" s="68"/>
      <c r="CA393" s="68"/>
      <c r="CB393" s="68"/>
      <c r="CC393" s="978"/>
      <c r="CD393" s="978"/>
      <c r="CE393" s="978"/>
      <c r="CF393" s="978"/>
      <c r="CG393" s="8"/>
    </row>
    <row r="394" spans="1:85" hidden="1" outlineLevel="1" collapsed="1" x14ac:dyDescent="0.3">
      <c r="A394" s="372" t="s">
        <v>29</v>
      </c>
      <c r="B394" s="373"/>
      <c r="C394" s="997">
        <f t="shared" ref="C394:AH394" si="646">C466/C462</f>
      </c>
      <c r="D394" s="997">
        <f t="shared" si="646"/>
      </c>
      <c r="E394" s="997">
        <f t="shared" si="646"/>
      </c>
      <c r="F394" s="997">
        <f t="shared" si="646"/>
      </c>
      <c r="G394" s="374">
        <f t="shared" si="646"/>
      </c>
      <c r="H394" s="374">
        <f t="shared" si="646"/>
      </c>
      <c r="I394" s="374">
        <f t="shared" si="646"/>
      </c>
      <c r="J394" s="374">
        <f t="shared" si="646"/>
      </c>
      <c r="K394" s="997">
        <f t="shared" si="646"/>
      </c>
      <c r="L394" s="374">
        <f t="shared" si="646"/>
      </c>
      <c r="M394" s="374">
        <f t="shared" si="646"/>
      </c>
      <c r="N394" s="374">
        <f t="shared" si="646"/>
      </c>
      <c r="O394" s="374">
        <f t="shared" si="646"/>
      </c>
      <c r="P394" s="997">
        <f t="shared" si="646"/>
      </c>
      <c r="Q394" s="374">
        <f t="shared" si="646"/>
      </c>
      <c r="R394" s="374">
        <f t="shared" si="646"/>
      </c>
      <c r="S394" s="374">
        <f t="shared" si="646"/>
      </c>
      <c r="T394" s="374">
        <f t="shared" si="646"/>
      </c>
      <c r="U394" s="997">
        <f t="shared" si="646"/>
      </c>
      <c r="V394" s="374">
        <f t="shared" si="646"/>
      </c>
      <c r="W394" s="374">
        <f t="shared" si="646"/>
      </c>
      <c r="X394" s="374">
        <f t="shared" si="646"/>
      </c>
      <c r="Y394" s="374">
        <f t="shared" si="646"/>
      </c>
      <c r="Z394" s="997">
        <f t="shared" si="646"/>
      </c>
      <c r="AA394" s="374">
        <f t="shared" si="646"/>
      </c>
      <c r="AB394" s="374">
        <f t="shared" si="646"/>
      </c>
      <c r="AC394" s="374">
        <f t="shared" si="646"/>
      </c>
      <c r="AD394" s="374">
        <f t="shared" si="646"/>
      </c>
      <c r="AE394" s="997">
        <f t="shared" si="646"/>
      </c>
      <c r="AF394" s="374">
        <f t="shared" si="646"/>
      </c>
      <c r="AG394" s="374">
        <f t="shared" si="646"/>
      </c>
      <c r="AH394" s="374">
        <f t="shared" si="646"/>
      </c>
      <c r="AI394" s="374">
        <f t="shared" ref="AI394:AW394" si="647">AI466/AI462</f>
      </c>
      <c r="AJ394" s="997">
        <f t="shared" si="647"/>
      </c>
      <c r="AK394" s="374">
        <f t="shared" si="647"/>
      </c>
      <c r="AL394" s="374">
        <f t="shared" si="647"/>
      </c>
      <c r="AM394" s="374">
        <f t="shared" si="647"/>
      </c>
      <c r="AN394" s="374">
        <f t="shared" si="647"/>
      </c>
      <c r="AO394" s="997">
        <f t="shared" si="647"/>
      </c>
      <c r="AP394" s="374">
        <f t="shared" si="647"/>
      </c>
      <c r="AQ394" s="374">
        <f t="shared" si="647"/>
      </c>
      <c r="AR394" s="374">
        <f t="shared" si="647"/>
      </c>
      <c r="AS394" s="374">
        <f t="shared" si="647"/>
      </c>
      <c r="AT394" s="997">
        <f t="shared" si="647"/>
      </c>
      <c r="AU394" s="374">
        <f t="shared" si="647"/>
      </c>
      <c r="AV394" s="374">
        <f t="shared" si="647"/>
      </c>
      <c r="AW394" s="374">
        <f t="shared" si="647"/>
      </c>
      <c r="AX394" s="374">
        <f t="shared" ref="AX394:BD394" si="648">AX466/AX462</f>
      </c>
      <c r="AY394" s="997">
        <f t="shared" si="648"/>
      </c>
      <c r="AZ394" s="374">
        <f t="shared" si="648"/>
      </c>
      <c r="BA394" s="374">
        <f t="shared" si="648"/>
      </c>
      <c r="BB394" s="374">
        <f t="shared" si="648"/>
      </c>
      <c r="BC394" s="374">
        <f t="shared" si="648"/>
      </c>
      <c r="BD394" s="997">
        <f t="shared" si="648"/>
      </c>
      <c r="BE394" s="374">
        <f t="shared" ref="BE394:BI394" si="649">BE466/BE462</f>
      </c>
      <c r="BF394" s="374">
        <f t="shared" si="649"/>
      </c>
      <c r="BG394" s="374">
        <f t="shared" si="649"/>
      </c>
      <c r="BH394" s="374">
        <f t="shared" si="649"/>
      </c>
      <c r="BI394" s="997">
        <f t="shared" si="649"/>
      </c>
      <c r="BJ394" s="374">
        <f t="shared" ref="BJ394:BX394" si="650">BJ466/BJ462</f>
      </c>
      <c r="BK394" s="374">
        <f t="shared" si="650"/>
      </c>
      <c r="BL394" s="374">
        <f t="shared" si="650"/>
      </c>
      <c r="BM394" s="374">
        <f t="shared" si="650"/>
      </c>
      <c r="BN394" s="997">
        <f t="shared" si="650"/>
      </c>
      <c r="BO394" s="374">
        <f t="shared" ref="BO394:BW394" si="651">BO466/BO462</f>
      </c>
      <c r="BP394" s="374">
        <f t="shared" si="651"/>
      </c>
      <c r="BQ394" s="374">
        <f t="shared" si="651"/>
      </c>
      <c r="BR394" s="374">
        <f t="shared" si="651"/>
      </c>
      <c r="BS394" s="997">
        <f t="shared" si="651"/>
      </c>
      <c r="BT394" s="689">
        <f>BT466/BT462</f>
      </c>
      <c r="BU394" s="374">
        <f t="shared" si="651"/>
      </c>
      <c r="BV394" s="374">
        <f t="shared" si="651"/>
      </c>
      <c r="BW394" s="374">
        <f t="shared" si="651"/>
      </c>
      <c r="BX394" s="997">
        <f t="shared" si="650"/>
      </c>
      <c r="BY394" s="374">
        <f t="shared" ref="BY394:CF394" si="652">BY466/BY462</f>
      </c>
      <c r="BZ394" s="374">
        <f t="shared" si="652"/>
      </c>
      <c r="CA394" s="374">
        <f t="shared" si="652"/>
      </c>
      <c r="CB394" s="374">
        <f t="shared" si="652"/>
      </c>
      <c r="CC394" s="997">
        <f t="shared" si="652"/>
      </c>
      <c r="CD394" s="997">
        <f t="shared" si="652"/>
      </c>
      <c r="CE394" s="997">
        <f t="shared" si="652"/>
      </c>
      <c r="CF394" s="997">
        <f t="shared" si="652"/>
      </c>
      <c r="CG394" s="184"/>
    </row>
    <row r="395" spans="1:85" hidden="1" outlineLevel="1" x14ac:dyDescent="0.3">
      <c r="A395" s="63" t="s">
        <v>30</v>
      </c>
      <c r="B395" s="55"/>
      <c r="C395" s="980">
        <f t="shared" ref="C395:AV395" si="653">C420/C416</f>
      </c>
      <c r="D395" s="980">
        <f t="shared" si="653"/>
      </c>
      <c r="E395" s="980">
        <f t="shared" si="653"/>
      </c>
      <c r="F395" s="980">
        <f t="shared" si="653"/>
      </c>
      <c r="G395" s="26">
        <f t="shared" si="653"/>
      </c>
      <c r="H395" s="26">
        <f t="shared" si="653"/>
      </c>
      <c r="I395" s="26">
        <f t="shared" si="653"/>
      </c>
      <c r="J395" s="26">
        <f t="shared" si="653"/>
      </c>
      <c r="K395" s="980">
        <f t="shared" si="653"/>
      </c>
      <c r="L395" s="26">
        <f t="shared" si="653"/>
      </c>
      <c r="M395" s="26">
        <f t="shared" si="653"/>
      </c>
      <c r="N395" s="26">
        <f t="shared" si="653"/>
      </c>
      <c r="O395" s="26">
        <f t="shared" si="653"/>
      </c>
      <c r="P395" s="980">
        <f t="shared" si="653"/>
      </c>
      <c r="Q395" s="26">
        <f t="shared" si="653"/>
      </c>
      <c r="R395" s="26">
        <f t="shared" si="653"/>
      </c>
      <c r="S395" s="26">
        <f t="shared" si="653"/>
      </c>
      <c r="T395" s="26">
        <f t="shared" si="653"/>
      </c>
      <c r="U395" s="980">
        <f t="shared" si="653"/>
      </c>
      <c r="V395" s="26">
        <f t="shared" si="653"/>
      </c>
      <c r="W395" s="26">
        <f t="shared" si="653"/>
      </c>
      <c r="X395" s="26">
        <f t="shared" si="653"/>
      </c>
      <c r="Y395" s="26">
        <f t="shared" si="653"/>
      </c>
      <c r="Z395" s="980">
        <f t="shared" si="653"/>
      </c>
      <c r="AA395" s="26">
        <f t="shared" si="653"/>
      </c>
      <c r="AB395" s="26">
        <f t="shared" si="653"/>
      </c>
      <c r="AC395" s="26">
        <f t="shared" si="653"/>
      </c>
      <c r="AD395" s="26">
        <f t="shared" si="653"/>
      </c>
      <c r="AE395" s="980">
        <f t="shared" si="653"/>
      </c>
      <c r="AF395" s="26">
        <f t="shared" si="653"/>
      </c>
      <c r="AG395" s="26">
        <f t="shared" si="653"/>
      </c>
      <c r="AH395" s="26">
        <f t="shared" si="653"/>
      </c>
      <c r="AI395" s="26">
        <f t="shared" si="653"/>
      </c>
      <c r="AJ395" s="980">
        <f t="shared" si="653"/>
      </c>
      <c r="AK395" s="26">
        <f t="shared" si="653"/>
      </c>
      <c r="AL395" s="26">
        <f t="shared" si="653"/>
      </c>
      <c r="AM395" s="26">
        <f t="shared" si="653"/>
      </c>
      <c r="AN395" s="26">
        <f t="shared" si="653"/>
      </c>
      <c r="AO395" s="980">
        <f t="shared" si="653"/>
      </c>
      <c r="AP395" s="26">
        <f t="shared" si="653"/>
      </c>
      <c r="AQ395" s="26">
        <f t="shared" si="653"/>
      </c>
      <c r="AR395" s="26">
        <f t="shared" si="653"/>
      </c>
      <c r="AS395" s="26">
        <f t="shared" si="653"/>
      </c>
      <c r="AT395" s="980">
        <f t="shared" si="653"/>
      </c>
      <c r="AU395" s="26">
        <f t="shared" si="653"/>
      </c>
      <c r="AV395" s="26">
        <f t="shared" si="653"/>
      </c>
      <c r="AW395" s="26">
        <f t="shared" ref="AW395:BB395" si="654">AW420/AW416</f>
      </c>
      <c r="AX395" s="26">
        <f t="shared" si="654"/>
      </c>
      <c r="AY395" s="980">
        <f t="shared" si="654"/>
      </c>
      <c r="AZ395" s="26">
        <f t="shared" si="654"/>
      </c>
      <c r="BA395" s="26">
        <f t="shared" si="654"/>
      </c>
      <c r="BB395" s="26">
        <f t="shared" si="654"/>
      </c>
      <c r="BC395" s="26">
        <f t="shared" ref="BC395:BI395" si="655">BC420/BC416</f>
      </c>
      <c r="BD395" s="980">
        <f t="shared" si="655"/>
      </c>
      <c r="BE395" s="26">
        <f t="shared" si="655"/>
      </c>
      <c r="BF395" s="26">
        <f t="shared" si="655"/>
      </c>
      <c r="BG395" s="26">
        <f t="shared" si="655"/>
      </c>
      <c r="BH395" s="26">
        <f t="shared" si="655"/>
      </c>
      <c r="BI395" s="980">
        <f t="shared" si="655"/>
      </c>
      <c r="BJ395" s="26">
        <f t="shared" ref="BJ395:BO395" si="656">BJ420/BJ416</f>
      </c>
      <c r="BK395" s="26">
        <f t="shared" si="656"/>
      </c>
      <c r="BL395" s="26">
        <f t="shared" si="656"/>
      </c>
      <c r="BM395" s="26">
        <f t="shared" si="656"/>
      </c>
      <c r="BN395" s="980">
        <f t="shared" si="656"/>
      </c>
      <c r="BO395" s="26">
        <f t="shared" si="656"/>
      </c>
      <c r="BP395" s="26">
        <f>BP420/BP416</f>
      </c>
      <c r="BQ395" s="26">
        <f>BQ420/BQ416</f>
      </c>
      <c r="BR395" s="26">
        <f>BR420/BR416</f>
      </c>
      <c r="BS395" s="980">
        <f>BS420/BS416</f>
      </c>
      <c r="BT395" s="680">
        <f>BT420/BT416</f>
      </c>
      <c r="BU395" s="26">
        <f>BU467/BU462</f>
      </c>
      <c r="BV395" s="26">
        <f>BV467/BV462</f>
      </c>
      <c r="BW395" s="26">
        <f>BW467/BW462</f>
      </c>
      <c r="BX395" s="980">
        <f>1-BX394</f>
      </c>
      <c r="BY395" s="26">
        <f>BY467/BY462</f>
      </c>
      <c r="BZ395" s="26">
        <f>BZ467/BZ462</f>
      </c>
      <c r="CA395" s="26">
        <f>CA467/CA462</f>
      </c>
      <c r="CB395" s="26">
        <f>CB467/CB462</f>
      </c>
      <c r="CC395" s="980">
        <f>1-CC394</f>
      </c>
      <c r="CD395" s="980">
        <f>CD467/CD462</f>
      </c>
      <c r="CE395" s="980">
        <f>CE467/CE462</f>
      </c>
      <c r="CF395" s="980">
        <f>CF467/CF462</f>
      </c>
      <c r="CG395" s="184"/>
    </row>
    <row r="396" spans="1:85" hidden="1" outlineLevel="1" x14ac:dyDescent="0.3">
      <c r="A396" s="57" t="s">
        <v>31</v>
      </c>
      <c r="B396" s="66"/>
      <c r="C396" s="935"/>
      <c r="D396" s="935"/>
      <c r="E396" s="935"/>
      <c r="F396" s="935"/>
      <c r="G396" s="58"/>
      <c r="H396" s="58"/>
      <c r="I396" s="58"/>
      <c r="J396" s="58"/>
      <c r="K396" s="935"/>
      <c r="L396" s="58"/>
      <c r="M396" s="58"/>
      <c r="N396" s="58"/>
      <c r="O396" s="58"/>
      <c r="P396" s="935"/>
      <c r="Q396" s="58"/>
      <c r="R396" s="58"/>
      <c r="S396" s="58"/>
      <c r="T396" s="58"/>
      <c r="U396" s="935"/>
      <c r="V396" s="58"/>
      <c r="W396" s="631"/>
      <c r="X396" s="58"/>
      <c r="Y396" s="631"/>
      <c r="Z396" s="936"/>
      <c r="AA396" s="58"/>
      <c r="AB396" s="631"/>
      <c r="AC396" s="58"/>
      <c r="AD396" s="631"/>
      <c r="AE396" s="936"/>
      <c r="AF396" s="58"/>
      <c r="AG396" s="631"/>
      <c r="AH396" s="58"/>
      <c r="AI396" s="631"/>
      <c r="AJ396" s="936"/>
      <c r="AK396" s="58"/>
      <c r="AL396" s="631"/>
      <c r="AM396" s="58"/>
      <c r="AN396" s="631"/>
      <c r="AO396" s="936"/>
      <c r="AP396" s="58"/>
      <c r="AQ396" s="631"/>
      <c r="AR396" s="58"/>
      <c r="AS396" s="631"/>
      <c r="AT396" s="936"/>
      <c r="AU396" s="58"/>
      <c r="AV396" s="631"/>
      <c r="AW396" s="58"/>
      <c r="AX396" s="631"/>
      <c r="AY396" s="936"/>
      <c r="AZ396" s="58"/>
      <c r="BA396" s="631"/>
      <c r="BB396" s="58"/>
      <c r="BC396" s="631"/>
      <c r="BD396" s="936"/>
      <c r="BE396" s="58"/>
      <c r="BF396" s="631"/>
      <c r="BG396" s="58"/>
      <c r="BH396" s="631"/>
      <c r="BI396" s="936"/>
      <c r="BJ396" s="58"/>
      <c r="BK396" s="631"/>
      <c r="BL396" s="58"/>
      <c r="BM396" s="631"/>
      <c r="BN396" s="936"/>
      <c r="BO396" s="58"/>
      <c r="BP396" s="631"/>
      <c r="BQ396" s="58"/>
      <c r="BR396" s="631"/>
      <c r="BS396" s="936"/>
      <c r="BT396" s="669"/>
      <c r="BU396" s="446" t="str">
        <f t="shared" ref="BU396:CC396" ca="1" si="657">IFERROR(VLOOKUP($A396,tb_ConsensusEstimate,MATCH(BU$5,OFFSET(tb_ConsensusEstimate,0,0,1,COLUMNS(tb_ConsensusEstimate)),0),FALSE),"-")</f>
      </c>
      <c r="BV396" s="446" t="str">
        <f t="shared" ca="1" si="657"/>
      </c>
      <c r="BW396" s="446" t="str">
        <f t="shared" ca="1" si="657"/>
      </c>
      <c r="BX396" s="936" t="str">
        <f t="shared" ca="1" si="657"/>
      </c>
      <c r="BY396" s="446" t="str">
        <f t="shared" ca="1" si="657"/>
      </c>
      <c r="BZ396" s="446" t="str">
        <f t="shared" ca="1" si="657"/>
      </c>
      <c r="CA396" s="446" t="str">
        <f t="shared" ca="1" si="657"/>
      </c>
      <c r="CB396" s="446" t="str">
        <f t="shared" ca="1" si="657"/>
      </c>
      <c r="CC396" s="936" t="str">
        <f t="shared" ca="1" si="657"/>
      </c>
      <c r="CD396" s="936" t="str">
        <f ca="1">IFERROR(VLOOKUP($A396,tb_ConsensusEstimate,MATCH(CD5,OFFSET(tb_ConsensusEstimate,0,0,1,COLUMNS(tb_ConsensusEstimate)),0),FALSE),"-")</f>
      </c>
      <c r="CE396" s="936" t="str">
        <f ca="1">IFERROR(VLOOKUP($A396,tb_ConsensusEstimate,MATCH(CE5,OFFSET(tb_ConsensusEstimate,0,0,1,COLUMNS(tb_ConsensusEstimate)),0),FALSE),"-")</f>
      </c>
      <c r="CF396" s="936" t="str">
        <f ca="1">IFERROR(VLOOKUP($A396,tb_ConsensusEstimate,MATCH(CF5,OFFSET(tb_ConsensusEstimate,0,0,1,COLUMNS(tb_ConsensusEstimate)),0),FALSE),"-")</f>
      </c>
      <c r="CG396" s="58"/>
    </row>
    <row r="397" spans="1:85" hidden="1" outlineLevel="1" x14ac:dyDescent="0.3">
      <c r="A397" s="63"/>
      <c r="B397" s="55"/>
      <c r="C397" s="980"/>
      <c r="D397" s="980"/>
      <c r="E397" s="980"/>
      <c r="F397" s="980"/>
      <c r="G397" s="26"/>
      <c r="H397" s="26"/>
      <c r="I397" s="26"/>
      <c r="J397" s="26"/>
      <c r="K397" s="980"/>
      <c r="L397" s="26"/>
      <c r="M397" s="26"/>
      <c r="N397" s="26"/>
      <c r="O397" s="26"/>
      <c r="P397" s="980"/>
      <c r="Q397" s="26"/>
      <c r="R397" s="26"/>
      <c r="S397" s="26"/>
      <c r="T397" s="26"/>
      <c r="U397" s="980"/>
      <c r="V397" s="26"/>
      <c r="W397" s="26"/>
      <c r="X397" s="26"/>
      <c r="Y397" s="26"/>
      <c r="Z397" s="980"/>
      <c r="AA397" s="26"/>
      <c r="AB397" s="26"/>
      <c r="AC397" s="26"/>
      <c r="AD397" s="26"/>
      <c r="AE397" s="980"/>
      <c r="AF397" s="26"/>
      <c r="AG397" s="26"/>
      <c r="AH397" s="26"/>
      <c r="AI397" s="26"/>
      <c r="AJ397" s="980"/>
      <c r="AK397" s="26"/>
      <c r="AL397" s="26"/>
      <c r="AM397" s="26"/>
      <c r="AN397" s="26"/>
      <c r="AO397" s="980"/>
      <c r="AP397" s="26"/>
      <c r="AQ397" s="26"/>
      <c r="AR397" s="26"/>
      <c r="AS397" s="26"/>
      <c r="AT397" s="980"/>
      <c r="AU397" s="26"/>
      <c r="AV397" s="26"/>
      <c r="AW397" s="26"/>
      <c r="AX397" s="26"/>
      <c r="AY397" s="980"/>
      <c r="AZ397" s="26"/>
      <c r="BA397" s="26"/>
      <c r="BB397" s="26"/>
      <c r="BC397" s="26"/>
      <c r="BD397" s="980"/>
      <c r="BE397" s="26"/>
      <c r="BF397" s="26"/>
      <c r="BG397" s="26"/>
      <c r="BH397" s="26"/>
      <c r="BI397" s="980"/>
      <c r="BJ397" s="26"/>
      <c r="BK397" s="26"/>
      <c r="BL397" s="26"/>
      <c r="BM397" s="26"/>
      <c r="BN397" s="980"/>
      <c r="BO397" s="26"/>
      <c r="BP397" s="26"/>
      <c r="BQ397" s="26"/>
      <c r="BR397" s="26"/>
      <c r="BS397" s="980"/>
      <c r="BT397" s="680"/>
      <c r="BU397" s="26"/>
      <c r="BV397" s="26"/>
      <c r="BW397" s="26"/>
      <c r="BX397" s="980"/>
      <c r="BY397" s="26"/>
      <c r="BZ397" s="26"/>
      <c r="CA397" s="26"/>
      <c r="CB397" s="26"/>
      <c r="CC397" s="980"/>
      <c r="CD397" s="980"/>
      <c r="CE397" s="980"/>
      <c r="CF397" s="980"/>
      <c r="CG397" s="11"/>
    </row>
    <row r="398" spans="1:85" hidden="1" outlineLevel="1" x14ac:dyDescent="0.3">
      <c r="A398" s="64" t="s">
        <v>32</v>
      </c>
      <c r="B398" s="55"/>
      <c r="C398" s="998">
        <f t="shared" ref="C398:AW398" si="658">C469/C462</f>
      </c>
      <c r="D398" s="998">
        <f t="shared" si="658"/>
      </c>
      <c r="E398" s="998">
        <f t="shared" si="658"/>
      </c>
      <c r="F398" s="998">
        <f t="shared" si="658"/>
      </c>
      <c r="G398" s="620">
        <f t="shared" si="658"/>
      </c>
      <c r="H398" s="620">
        <f t="shared" si="658"/>
      </c>
      <c r="I398" s="620">
        <f t="shared" si="658"/>
      </c>
      <c r="J398" s="620">
        <f t="shared" si="658"/>
      </c>
      <c r="K398" s="998">
        <f t="shared" si="658"/>
      </c>
      <c r="L398" s="620">
        <f t="shared" si="658"/>
      </c>
      <c r="M398" s="620">
        <f t="shared" si="658"/>
      </c>
      <c r="N398" s="620">
        <f t="shared" si="658"/>
      </c>
      <c r="O398" s="620">
        <f t="shared" si="658"/>
      </c>
      <c r="P398" s="998">
        <f t="shared" si="658"/>
      </c>
      <c r="Q398" s="620">
        <f t="shared" si="658"/>
      </c>
      <c r="R398" s="620">
        <f t="shared" si="658"/>
      </c>
      <c r="S398" s="620">
        <f t="shared" si="658"/>
      </c>
      <c r="T398" s="620">
        <f t="shared" si="658"/>
      </c>
      <c r="U398" s="998">
        <f t="shared" si="658"/>
      </c>
      <c r="V398" s="620">
        <f t="shared" si="658"/>
      </c>
      <c r="W398" s="620">
        <f t="shared" si="658"/>
      </c>
      <c r="X398" s="620">
        <f t="shared" si="658"/>
      </c>
      <c r="Y398" s="620">
        <f t="shared" si="658"/>
      </c>
      <c r="Z398" s="998">
        <f t="shared" si="658"/>
      </c>
      <c r="AA398" s="620">
        <f t="shared" si="658"/>
      </c>
      <c r="AB398" s="620">
        <f t="shared" si="658"/>
      </c>
      <c r="AC398" s="620">
        <f t="shared" si="658"/>
      </c>
      <c r="AD398" s="620">
        <f t="shared" si="658"/>
      </c>
      <c r="AE398" s="998">
        <f t="shared" si="658"/>
      </c>
      <c r="AF398" s="620">
        <f t="shared" si="658"/>
      </c>
      <c r="AG398" s="620">
        <f t="shared" si="658"/>
      </c>
      <c r="AH398" s="620">
        <f t="shared" si="658"/>
      </c>
      <c r="AI398" s="620">
        <f t="shared" si="658"/>
      </c>
      <c r="AJ398" s="998">
        <f t="shared" si="658"/>
      </c>
      <c r="AK398" s="620">
        <f t="shared" si="658"/>
      </c>
      <c r="AL398" s="620">
        <f t="shared" si="658"/>
      </c>
      <c r="AM398" s="620">
        <f t="shared" si="658"/>
      </c>
      <c r="AN398" s="620">
        <f t="shared" si="658"/>
      </c>
      <c r="AO398" s="998">
        <f t="shared" si="658"/>
      </c>
      <c r="AP398" s="620">
        <f t="shared" si="658"/>
      </c>
      <c r="AQ398" s="620">
        <f t="shared" si="658"/>
      </c>
      <c r="AR398" s="620">
        <f t="shared" si="658"/>
      </c>
      <c r="AS398" s="620">
        <f t="shared" si="658"/>
      </c>
      <c r="AT398" s="998">
        <f t="shared" si="658"/>
      </c>
      <c r="AU398" s="620">
        <f t="shared" si="658"/>
      </c>
      <c r="AV398" s="620">
        <f t="shared" si="658"/>
      </c>
      <c r="AW398" s="620">
        <f t="shared" si="658"/>
      </c>
      <c r="AX398" s="620">
        <f t="shared" ref="AX398:BA398" si="659">AX469/AX462</f>
      </c>
      <c r="AY398" s="998">
        <f t="shared" si="659"/>
      </c>
      <c r="AZ398" s="620">
        <f t="shared" si="659"/>
      </c>
      <c r="BA398" s="620">
        <f t="shared" si="659"/>
      </c>
      <c r="BB398" s="620">
        <f t="shared" ref="BB398:BD398" si="660">BB469/BB462</f>
      </c>
      <c r="BC398" s="620">
        <f t="shared" si="660"/>
      </c>
      <c r="BD398" s="998">
        <f t="shared" si="660"/>
      </c>
      <c r="BE398" s="620">
        <f t="shared" ref="BE398:BI398" si="661">BE469/BE462</f>
      </c>
      <c r="BF398" s="620">
        <f t="shared" si="661"/>
      </c>
      <c r="BG398" s="620">
        <f t="shared" si="661"/>
      </c>
      <c r="BH398" s="620">
        <f t="shared" si="661"/>
      </c>
      <c r="BI398" s="998">
        <f t="shared" si="661"/>
      </c>
      <c r="BJ398" s="620">
        <f t="shared" ref="BJ398:BX398" si="662">BJ469/BJ462</f>
      </c>
      <c r="BK398" s="620">
        <f t="shared" si="662"/>
      </c>
      <c r="BL398" s="620">
        <f t="shared" si="662"/>
      </c>
      <c r="BM398" s="620">
        <f t="shared" si="662"/>
      </c>
      <c r="BN398" s="998">
        <f t="shared" si="662"/>
      </c>
      <c r="BO398" s="620">
        <f t="shared" ref="BO398:BW398" si="663">BO469/BO462</f>
      </c>
      <c r="BP398" s="620">
        <f t="shared" si="663"/>
      </c>
      <c r="BQ398" s="620">
        <f t="shared" si="663"/>
      </c>
      <c r="BR398" s="620">
        <f t="shared" si="663"/>
      </c>
      <c r="BS398" s="998">
        <f t="shared" si="663"/>
      </c>
      <c r="BT398" s="690">
        <f>BT469/BT462</f>
      </c>
      <c r="BU398" s="26">
        <f t="shared" si="663"/>
      </c>
      <c r="BV398" s="26">
        <f t="shared" si="663"/>
      </c>
      <c r="BW398" s="26">
        <f t="shared" si="663"/>
      </c>
      <c r="BX398" s="980">
        <f t="shared" si="662"/>
      </c>
      <c r="BY398" s="26">
        <f t="shared" ref="BY398:CF398" si="664">BY469/BY462</f>
      </c>
      <c r="BZ398" s="26">
        <f t="shared" si="664"/>
      </c>
      <c r="CA398" s="26">
        <f t="shared" si="664"/>
      </c>
      <c r="CB398" s="26">
        <f t="shared" si="664"/>
      </c>
      <c r="CC398" s="980">
        <f t="shared" si="664"/>
      </c>
      <c r="CD398" s="980">
        <f t="shared" si="664"/>
      </c>
      <c r="CE398" s="980">
        <f t="shared" si="664"/>
      </c>
      <c r="CF398" s="980">
        <f t="shared" si="664"/>
      </c>
      <c r="CG398" s="11"/>
    </row>
    <row r="399" spans="1:85" hidden="1" outlineLevel="2" x14ac:dyDescent="0.3">
      <c r="A399" s="65" t="s">
        <v>33</v>
      </c>
      <c r="B399" s="115"/>
      <c r="C399" s="978"/>
      <c r="D399" s="978"/>
      <c r="E399" s="978"/>
      <c r="F399" s="996">
        <f>'Supplemental Data'!F40/'Supplemental Data'!F26</f>
      </c>
      <c r="G399" s="870">
        <f>'Supplemental Data'!G40/'Supplemental Data'!G26</f>
      </c>
      <c r="H399" s="870">
        <f>'Supplemental Data'!H40/'Supplemental Data'!H26</f>
      </c>
      <c r="I399" s="870">
        <f>'Supplemental Data'!I40/'Supplemental Data'!I26</f>
      </c>
      <c r="J399" s="870">
        <f>'Supplemental Data'!J40/'Supplemental Data'!J26</f>
      </c>
      <c r="K399" s="996">
        <f>'Supplemental Data'!K40/'Supplemental Data'!K26</f>
      </c>
      <c r="L399" s="870">
        <f>'Supplemental Data'!L40/'Supplemental Data'!L26</f>
      </c>
      <c r="M399" s="870">
        <f>'Supplemental Data'!M40/'Supplemental Data'!M26</f>
      </c>
      <c r="N399" s="870">
        <f>'Supplemental Data'!N40/'Supplemental Data'!N26</f>
      </c>
      <c r="O399" s="870">
        <f>'Supplemental Data'!O40/'Supplemental Data'!O26</f>
      </c>
      <c r="P399" s="996">
        <f>'Supplemental Data'!P40/'Supplemental Data'!P26</f>
      </c>
      <c r="Q399" s="870">
        <f>'Supplemental Data'!Q40/'Supplemental Data'!Q26</f>
      </c>
      <c r="R399" s="870">
        <f>'Supplemental Data'!R40/'Supplemental Data'!R26</f>
      </c>
      <c r="S399" s="870">
        <f>'Supplemental Data'!S40/'Supplemental Data'!S26</f>
      </c>
      <c r="T399" s="870">
        <f>'Supplemental Data'!T40/'Supplemental Data'!T26</f>
      </c>
      <c r="U399" s="996">
        <f>'Supplemental Data'!U40/'Supplemental Data'!U26</f>
      </c>
      <c r="V399" s="870">
        <f>'Supplemental Data'!V40/'Supplemental Data'!V26</f>
      </c>
      <c r="W399" s="870">
        <f>'Supplemental Data'!W40/'Supplemental Data'!W26</f>
      </c>
      <c r="X399" s="870">
        <f>'Supplemental Data'!X40/'Supplemental Data'!X26</f>
      </c>
      <c r="Y399" s="870">
        <f>'Supplemental Data'!Y40/'Supplemental Data'!Y26</f>
      </c>
      <c r="Z399" s="996">
        <f>'Supplemental Data'!Z40/'Supplemental Data'!Z26</f>
      </c>
      <c r="AA399" s="870">
        <f>'Supplemental Data'!AA40/'Supplemental Data'!AA26</f>
      </c>
      <c r="AB399" s="870">
        <f>'Supplemental Data'!AB40/'Supplemental Data'!AB26</f>
      </c>
      <c r="AC399" s="870">
        <f>'Supplemental Data'!AC40/'Supplemental Data'!AC26</f>
      </c>
      <c r="AD399" s="870">
        <f>'Supplemental Data'!AD40/'Supplemental Data'!AD26</f>
      </c>
      <c r="AE399" s="996">
        <f>'Supplemental Data'!AE40/'Supplemental Data'!AE26</f>
      </c>
      <c r="AF399" s="870">
        <f>'Supplemental Data'!AF40/'Supplemental Data'!AF26</f>
      </c>
      <c r="AG399" s="870">
        <f>'Supplemental Data'!AG40/'Supplemental Data'!AG26</f>
      </c>
      <c r="AH399" s="870">
        <f>'Supplemental Data'!AH40/'Supplemental Data'!AH26</f>
      </c>
      <c r="AI399" s="870">
        <f>'Supplemental Data'!AI40/'Supplemental Data'!AI26</f>
      </c>
      <c r="AJ399" s="996">
        <f>'Supplemental Data'!AJ40/'Supplemental Data'!AJ26</f>
      </c>
      <c r="AK399" s="870">
        <f>'Supplemental Data'!AK40/'Supplemental Data'!AK26</f>
      </c>
      <c r="AL399" s="870">
        <f>'Supplemental Data'!AL40/'Supplemental Data'!AL26</f>
      </c>
      <c r="AM399" s="870">
        <f>'Supplemental Data'!AM40/'Supplemental Data'!AM26</f>
      </c>
      <c r="AN399" s="870">
        <f>'Supplemental Data'!AN40/'Supplemental Data'!AN26</f>
      </c>
      <c r="AO399" s="996">
        <f>'Supplemental Data'!AO40/'Supplemental Data'!AO26</f>
      </c>
      <c r="AP399" s="68"/>
      <c r="AQ399" s="68"/>
      <c r="AR399" s="68"/>
      <c r="AS399" s="68"/>
      <c r="AT399" s="978"/>
      <c r="AU399" s="68"/>
      <c r="AV399" s="68"/>
      <c r="AW399" s="68"/>
      <c r="AX399" s="68"/>
      <c r="AY399" s="978"/>
      <c r="AZ399" s="68"/>
      <c r="BA399" s="68"/>
      <c r="BB399" s="68"/>
      <c r="BC399" s="68"/>
      <c r="BD399" s="978"/>
      <c r="BE399" s="68"/>
      <c r="BF399" s="68"/>
      <c r="BG399" s="68"/>
      <c r="BH399" s="68"/>
      <c r="BI399" s="978"/>
      <c r="BJ399" s="68"/>
      <c r="BK399" s="68"/>
      <c r="BL399" s="68"/>
      <c r="BM399" s="68"/>
      <c r="BN399" s="978"/>
      <c r="BO399" s="68"/>
      <c r="BP399" s="68"/>
      <c r="BQ399" s="68"/>
      <c r="BR399" s="68"/>
      <c r="BS399" s="978"/>
      <c r="BT399" s="541"/>
      <c r="BU399" s="68"/>
      <c r="BV399" s="68"/>
      <c r="BW399" s="68"/>
      <c r="BX399" s="978"/>
      <c r="BY399" s="68"/>
      <c r="BZ399" s="68"/>
      <c r="CA399" s="68"/>
      <c r="CB399" s="68"/>
      <c r="CC399" s="978"/>
      <c r="CD399" s="978"/>
      <c r="CE399" s="978"/>
      <c r="CF399" s="978"/>
      <c r="CG399" s="8"/>
    </row>
    <row r="400" spans="1:85" hidden="1" outlineLevel="2" x14ac:dyDescent="0.3">
      <c r="A400" s="65" t="s">
        <v>34</v>
      </c>
      <c r="B400" s="115"/>
      <c r="C400" s="978"/>
      <c r="D400" s="978"/>
      <c r="E400" s="978"/>
      <c r="F400" s="996">
        <f>'Supplemental Data'!F41/'Supplemental Data'!F28</f>
      </c>
      <c r="G400" s="870">
        <f>'Supplemental Data'!G41/'Supplemental Data'!G28</f>
      </c>
      <c r="H400" s="870">
        <f>'Supplemental Data'!H41/'Supplemental Data'!H28</f>
      </c>
      <c r="I400" s="870">
        <f>'Supplemental Data'!I41/'Supplemental Data'!I28</f>
      </c>
      <c r="J400" s="870">
        <f>'Supplemental Data'!J41/'Supplemental Data'!J28</f>
      </c>
      <c r="K400" s="996">
        <f>'Supplemental Data'!K41/'Supplemental Data'!K28</f>
      </c>
      <c r="L400" s="870">
        <f>'Supplemental Data'!L41/'Supplemental Data'!L28</f>
      </c>
      <c r="M400" s="870">
        <f>'Supplemental Data'!M41/'Supplemental Data'!M28</f>
      </c>
      <c r="N400" s="870">
        <f>'Supplemental Data'!N41/'Supplemental Data'!N28</f>
      </c>
      <c r="O400" s="870">
        <f>'Supplemental Data'!O41/'Supplemental Data'!O28</f>
      </c>
      <c r="P400" s="996">
        <f>'Supplemental Data'!P41/'Supplemental Data'!P28</f>
      </c>
      <c r="Q400" s="870">
        <f>'Supplemental Data'!Q41/'Supplemental Data'!Q28</f>
      </c>
      <c r="R400" s="870">
        <f>'Supplemental Data'!R41/'Supplemental Data'!R28</f>
      </c>
      <c r="S400" s="870">
        <f>'Supplemental Data'!S41/'Supplemental Data'!S28</f>
      </c>
      <c r="T400" s="870">
        <f>'Supplemental Data'!T41/'Supplemental Data'!T28</f>
      </c>
      <c r="U400" s="996">
        <f>'Supplemental Data'!U41/'Supplemental Data'!U28</f>
      </c>
      <c r="V400" s="870">
        <f>'Supplemental Data'!V41/'Supplemental Data'!V28</f>
      </c>
      <c r="W400" s="870">
        <f>'Supplemental Data'!W41/'Supplemental Data'!W28</f>
      </c>
      <c r="X400" s="870">
        <f>'Supplemental Data'!X41/'Supplemental Data'!X28</f>
      </c>
      <c r="Y400" s="870">
        <f>'Supplemental Data'!Y41/'Supplemental Data'!Y28</f>
      </c>
      <c r="Z400" s="996">
        <f>'Supplemental Data'!Z41/'Supplemental Data'!Z28</f>
      </c>
      <c r="AA400" s="870">
        <f>'Supplemental Data'!AA41/'Supplemental Data'!AA28</f>
      </c>
      <c r="AB400" s="870">
        <f>'Supplemental Data'!AB41/'Supplemental Data'!AB28</f>
      </c>
      <c r="AC400" s="870">
        <f>'Supplemental Data'!AC41/'Supplemental Data'!AC28</f>
      </c>
      <c r="AD400" s="870">
        <f>'Supplemental Data'!AD41/'Supplemental Data'!AD28</f>
      </c>
      <c r="AE400" s="996">
        <f>'Supplemental Data'!AE41/'Supplemental Data'!AE28</f>
      </c>
      <c r="AF400" s="870">
        <f>'Supplemental Data'!AF41/'Supplemental Data'!AF28</f>
      </c>
      <c r="AG400" s="870">
        <f>'Supplemental Data'!AG41/'Supplemental Data'!AG28</f>
      </c>
      <c r="AH400" s="870">
        <f>'Supplemental Data'!AH41/'Supplemental Data'!AH28</f>
      </c>
      <c r="AI400" s="870">
        <f>'Supplemental Data'!AI41/'Supplemental Data'!AI28</f>
      </c>
      <c r="AJ400" s="996">
        <f>'Supplemental Data'!AJ41/'Supplemental Data'!AJ28</f>
      </c>
      <c r="AK400" s="870">
        <f>'Supplemental Data'!AK41/'Supplemental Data'!AK28</f>
      </c>
      <c r="AL400" s="870">
        <f>'Supplemental Data'!AL41/'Supplemental Data'!AL28</f>
      </c>
      <c r="AM400" s="870">
        <f>'Supplemental Data'!AM41/'Supplemental Data'!AM28</f>
      </c>
      <c r="AN400" s="870">
        <f>'Supplemental Data'!AN41/'Supplemental Data'!AN28</f>
      </c>
      <c r="AO400" s="996">
        <f>'Supplemental Data'!AO41/'Supplemental Data'!AO28</f>
      </c>
      <c r="AP400" s="68"/>
      <c r="AQ400" s="68"/>
      <c r="AR400" s="68"/>
      <c r="AS400" s="68"/>
      <c r="AT400" s="978"/>
      <c r="AU400" s="68"/>
      <c r="AV400" s="68"/>
      <c r="AW400" s="68"/>
      <c r="AX400" s="68"/>
      <c r="AY400" s="978"/>
      <c r="AZ400" s="68"/>
      <c r="BA400" s="68"/>
      <c r="BB400" s="68"/>
      <c r="BC400" s="68"/>
      <c r="BD400" s="978"/>
      <c r="BE400" s="68"/>
      <c r="BF400" s="68"/>
      <c r="BG400" s="68"/>
      <c r="BH400" s="68"/>
      <c r="BI400" s="978"/>
      <c r="BJ400" s="68"/>
      <c r="BK400" s="68"/>
      <c r="BL400" s="68"/>
      <c r="BM400" s="68"/>
      <c r="BN400" s="978"/>
      <c r="BO400" s="68"/>
      <c r="BP400" s="68"/>
      <c r="BQ400" s="68"/>
      <c r="BR400" s="68"/>
      <c r="BS400" s="978"/>
      <c r="BT400" s="541"/>
      <c r="BU400" s="68"/>
      <c r="BV400" s="68"/>
      <c r="BW400" s="68"/>
      <c r="BX400" s="978"/>
      <c r="BY400" s="68"/>
      <c r="BZ400" s="68"/>
      <c r="CA400" s="68"/>
      <c r="CB400" s="68"/>
      <c r="CC400" s="978"/>
      <c r="CD400" s="978"/>
      <c r="CE400" s="978"/>
      <c r="CF400" s="978"/>
      <c r="CG400" s="8"/>
    </row>
    <row r="401" spans="1:85" hidden="1" outlineLevel="2" x14ac:dyDescent="0.3">
      <c r="A401" s="7" t="s">
        <v>35</v>
      </c>
      <c r="B401" s="177"/>
      <c r="C401" s="979"/>
      <c r="D401" s="979"/>
      <c r="E401" s="979"/>
      <c r="F401" s="999">
        <f>'Supplemental Data'!F42/'Supplemental Data'!F30</f>
      </c>
      <c r="G401" s="871">
        <f>'Supplemental Data'!G42/'Supplemental Data'!G30</f>
      </c>
      <c r="H401" s="871">
        <f>'Supplemental Data'!H42/'Supplemental Data'!H30</f>
      </c>
      <c r="I401" s="871">
        <f>'Supplemental Data'!I42/'Supplemental Data'!I30</f>
      </c>
      <c r="J401" s="871">
        <f>'Supplemental Data'!J42/'Supplemental Data'!J30</f>
      </c>
      <c r="K401" s="999">
        <f>'Supplemental Data'!K42/'Supplemental Data'!K30</f>
      </c>
      <c r="L401" s="871">
        <f>'Supplemental Data'!L42/'Supplemental Data'!L30</f>
      </c>
      <c r="M401" s="871">
        <f>'Supplemental Data'!M42/'Supplemental Data'!M30</f>
      </c>
      <c r="N401" s="871">
        <f>'Supplemental Data'!N42/'Supplemental Data'!N30</f>
      </c>
      <c r="O401" s="871">
        <f>'Supplemental Data'!O42/'Supplemental Data'!O30</f>
      </c>
      <c r="P401" s="999">
        <f>'Supplemental Data'!P42/'Supplemental Data'!P30</f>
      </c>
      <c r="Q401" s="871">
        <f>'Supplemental Data'!Q42/'Supplemental Data'!Q30</f>
      </c>
      <c r="R401" s="871">
        <f>'Supplemental Data'!R42/'Supplemental Data'!R30</f>
      </c>
      <c r="S401" s="871">
        <f>'Supplemental Data'!S42/'Supplemental Data'!S30</f>
      </c>
      <c r="T401" s="871">
        <f>'Supplemental Data'!T42/'Supplemental Data'!T30</f>
      </c>
      <c r="U401" s="999">
        <f>'Supplemental Data'!U42/'Supplemental Data'!U30</f>
      </c>
      <c r="V401" s="871">
        <f>'Supplemental Data'!V42/'Supplemental Data'!V30</f>
      </c>
      <c r="W401" s="871">
        <f>'Supplemental Data'!W42/'Supplemental Data'!W30</f>
      </c>
      <c r="X401" s="871">
        <f>'Supplemental Data'!X42/'Supplemental Data'!X30</f>
      </c>
      <c r="Y401" s="871">
        <f>'Supplemental Data'!Y42/'Supplemental Data'!Y30</f>
      </c>
      <c r="Z401" s="999">
        <f>'Supplemental Data'!Z42/'Supplemental Data'!Z30</f>
      </c>
      <c r="AA401" s="871">
        <f>'Supplemental Data'!AA42/'Supplemental Data'!AA30</f>
      </c>
      <c r="AB401" s="871">
        <f>'Supplemental Data'!AB42/'Supplemental Data'!AB30</f>
      </c>
      <c r="AC401" s="871">
        <f>'Supplemental Data'!AC42/'Supplemental Data'!AC30</f>
      </c>
      <c r="AD401" s="871">
        <f>'Supplemental Data'!AD42/'Supplemental Data'!AD30</f>
      </c>
      <c r="AE401" s="999">
        <f>'Supplemental Data'!AE42/'Supplemental Data'!AE30</f>
      </c>
      <c r="AF401" s="871">
        <f>'Supplemental Data'!AF42/'Supplemental Data'!AF30</f>
      </c>
      <c r="AG401" s="871">
        <f>'Supplemental Data'!AG42/'Supplemental Data'!AG30</f>
      </c>
      <c r="AH401" s="871">
        <f>'Supplemental Data'!AH42/'Supplemental Data'!AH30</f>
      </c>
      <c r="AI401" s="871">
        <f>'Supplemental Data'!AI42/'Supplemental Data'!AI30</f>
      </c>
      <c r="AJ401" s="999">
        <f>'Supplemental Data'!AJ42/'Supplemental Data'!AJ30</f>
      </c>
      <c r="AK401" s="871">
        <f>'Supplemental Data'!AK42/'Supplemental Data'!AK30</f>
      </c>
      <c r="AL401" s="871">
        <f>'Supplemental Data'!AL42/'Supplemental Data'!AL30</f>
      </c>
      <c r="AM401" s="871">
        <f>'Supplemental Data'!AM42/'Supplemental Data'!AM30</f>
      </c>
      <c r="AN401" s="871">
        <f>'Supplemental Data'!AN42/'Supplemental Data'!AN30</f>
      </c>
      <c r="AO401" s="999">
        <f>'Supplemental Data'!AO42/'Supplemental Data'!AO30</f>
      </c>
      <c r="AP401" s="155"/>
      <c r="AQ401" s="155"/>
      <c r="AR401" s="155"/>
      <c r="AS401" s="155"/>
      <c r="AT401" s="979"/>
      <c r="AU401" s="155"/>
      <c r="AV401" s="155"/>
      <c r="AW401" s="155"/>
      <c r="AX401" s="155"/>
      <c r="AY401" s="979"/>
      <c r="AZ401" s="155"/>
      <c r="BA401" s="155"/>
      <c r="BB401" s="155"/>
      <c r="BC401" s="155"/>
      <c r="BD401" s="979"/>
      <c r="BE401" s="155"/>
      <c r="BF401" s="155"/>
      <c r="BG401" s="155"/>
      <c r="BH401" s="155"/>
      <c r="BI401" s="979"/>
      <c r="BJ401" s="155"/>
      <c r="BK401" s="155"/>
      <c r="BL401" s="155"/>
      <c r="BM401" s="155"/>
      <c r="BN401" s="979"/>
      <c r="BO401" s="155"/>
      <c r="BP401" s="155"/>
      <c r="BQ401" s="155"/>
      <c r="BR401" s="155"/>
      <c r="BS401" s="979"/>
      <c r="BT401" s="679"/>
      <c r="BU401" s="155"/>
      <c r="BV401" s="155"/>
      <c r="BW401" s="155"/>
      <c r="BX401" s="979"/>
      <c r="BY401" s="155"/>
      <c r="BZ401" s="155"/>
      <c r="CA401" s="155"/>
      <c r="CB401" s="155"/>
      <c r="CC401" s="979"/>
      <c r="CD401" s="979"/>
      <c r="CE401" s="979"/>
      <c r="CF401" s="979"/>
      <c r="CG401" s="8"/>
    </row>
    <row r="402" spans="1:85" hidden="1" outlineLevel="1" collapsed="1" x14ac:dyDescent="0.3">
      <c r="A402" s="63" t="s">
        <v>36</v>
      </c>
      <c r="B402" s="55"/>
      <c r="C402" s="980">
        <f t="shared" ref="C402:AW402" si="665">C470/C462</f>
      </c>
      <c r="D402" s="980">
        <f t="shared" si="665"/>
      </c>
      <c r="E402" s="980">
        <f t="shared" si="665"/>
      </c>
      <c r="F402" s="980">
        <f t="shared" si="665"/>
      </c>
      <c r="G402" s="26">
        <f t="shared" si="665"/>
      </c>
      <c r="H402" s="26">
        <f t="shared" si="665"/>
      </c>
      <c r="I402" s="26">
        <f t="shared" si="665"/>
      </c>
      <c r="J402" s="26">
        <f t="shared" si="665"/>
      </c>
      <c r="K402" s="980">
        <f t="shared" si="665"/>
      </c>
      <c r="L402" s="26">
        <f t="shared" si="665"/>
      </c>
      <c r="M402" s="26">
        <f t="shared" si="665"/>
      </c>
      <c r="N402" s="26">
        <f t="shared" si="665"/>
      </c>
      <c r="O402" s="26">
        <f t="shared" si="665"/>
      </c>
      <c r="P402" s="980">
        <f t="shared" si="665"/>
      </c>
      <c r="Q402" s="26">
        <f t="shared" si="665"/>
      </c>
      <c r="R402" s="26">
        <f t="shared" si="665"/>
      </c>
      <c r="S402" s="26">
        <f t="shared" si="665"/>
      </c>
      <c r="T402" s="26">
        <f t="shared" si="665"/>
      </c>
      <c r="U402" s="980">
        <f t="shared" si="665"/>
      </c>
      <c r="V402" s="26">
        <f t="shared" si="665"/>
      </c>
      <c r="W402" s="26">
        <f t="shared" si="665"/>
      </c>
      <c r="X402" s="26">
        <f t="shared" si="665"/>
      </c>
      <c r="Y402" s="26">
        <f t="shared" si="665"/>
      </c>
      <c r="Z402" s="980">
        <f t="shared" si="665"/>
      </c>
      <c r="AA402" s="26">
        <f t="shared" si="665"/>
      </c>
      <c r="AB402" s="26">
        <f t="shared" si="665"/>
      </c>
      <c r="AC402" s="26">
        <f t="shared" si="665"/>
      </c>
      <c r="AD402" s="26">
        <f t="shared" si="665"/>
      </c>
      <c r="AE402" s="980">
        <f t="shared" si="665"/>
      </c>
      <c r="AF402" s="26">
        <f t="shared" si="665"/>
      </c>
      <c r="AG402" s="26">
        <f t="shared" si="665"/>
      </c>
      <c r="AH402" s="26">
        <f t="shared" si="665"/>
      </c>
      <c r="AI402" s="26">
        <f t="shared" si="665"/>
      </c>
      <c r="AJ402" s="980">
        <f t="shared" si="665"/>
      </c>
      <c r="AK402" s="26">
        <f t="shared" si="665"/>
      </c>
      <c r="AL402" s="26">
        <f t="shared" si="665"/>
      </c>
      <c r="AM402" s="26">
        <f t="shared" si="665"/>
      </c>
      <c r="AN402" s="26">
        <f t="shared" si="665"/>
      </c>
      <c r="AO402" s="980">
        <f t="shared" si="665"/>
      </c>
      <c r="AP402" s="26">
        <f t="shared" si="665"/>
      </c>
      <c r="AQ402" s="26">
        <f t="shared" si="665"/>
      </c>
      <c r="AR402" s="26">
        <f t="shared" si="665"/>
      </c>
      <c r="AS402" s="26">
        <f t="shared" si="665"/>
      </c>
      <c r="AT402" s="980">
        <f t="shared" si="665"/>
      </c>
      <c r="AU402" s="26">
        <f t="shared" si="665"/>
      </c>
      <c r="AV402" s="26">
        <f t="shared" si="665"/>
      </c>
      <c r="AW402" s="26">
        <f t="shared" si="665"/>
      </c>
      <c r="AX402" s="26">
        <f t="shared" ref="AX402:BA402" si="666">AX470/AX462</f>
      </c>
      <c r="AY402" s="980">
        <f t="shared" si="666"/>
      </c>
      <c r="AZ402" s="26">
        <f t="shared" si="666"/>
      </c>
      <c r="BA402" s="26">
        <f t="shared" si="666"/>
      </c>
      <c r="BB402" s="26">
        <f t="shared" ref="BB402:BD402" si="667">BB470/BB462</f>
      </c>
      <c r="BC402" s="26">
        <f t="shared" si="667"/>
      </c>
      <c r="BD402" s="980">
        <f t="shared" si="667"/>
      </c>
      <c r="BE402" s="26">
        <f t="shared" ref="BE402:BI402" si="668">BE470/BE462</f>
      </c>
      <c r="BF402" s="26">
        <f t="shared" si="668"/>
      </c>
      <c r="BG402" s="26">
        <f t="shared" si="668"/>
      </c>
      <c r="BH402" s="26">
        <f t="shared" si="668"/>
      </c>
      <c r="BI402" s="980">
        <f t="shared" si="668"/>
      </c>
      <c r="BJ402" s="26">
        <f t="shared" ref="BJ402:BX402" si="669">BJ470/BJ462</f>
      </c>
      <c r="BK402" s="26">
        <f t="shared" si="669"/>
      </c>
      <c r="BL402" s="26">
        <f t="shared" si="669"/>
      </c>
      <c r="BM402" s="26">
        <f t="shared" si="669"/>
      </c>
      <c r="BN402" s="980">
        <f t="shared" si="669"/>
      </c>
      <c r="BO402" s="26">
        <f t="shared" ref="BO402:BW402" si="670">BO470/BO462</f>
      </c>
      <c r="BP402" s="26">
        <f t="shared" si="670"/>
      </c>
      <c r="BQ402" s="26">
        <f t="shared" si="670"/>
      </c>
      <c r="BR402" s="26">
        <f t="shared" si="670"/>
      </c>
      <c r="BS402" s="980">
        <f t="shared" si="670"/>
      </c>
      <c r="BT402" s="680">
        <f>BT470/BT462</f>
      </c>
      <c r="BU402" s="26">
        <f t="shared" si="670"/>
      </c>
      <c r="BV402" s="26">
        <f t="shared" si="670"/>
      </c>
      <c r="BW402" s="26">
        <f t="shared" si="670"/>
      </c>
      <c r="BX402" s="980">
        <f t="shared" si="669"/>
      </c>
      <c r="BY402" s="26">
        <f t="shared" ref="BY402:CF402" si="671">BY470/BY462</f>
      </c>
      <c r="BZ402" s="26">
        <f t="shared" si="671"/>
      </c>
      <c r="CA402" s="26">
        <f t="shared" si="671"/>
      </c>
      <c r="CB402" s="26">
        <f t="shared" si="671"/>
      </c>
      <c r="CC402" s="980">
        <f t="shared" si="671"/>
      </c>
      <c r="CD402" s="980">
        <f t="shared" si="671"/>
      </c>
      <c r="CE402" s="980">
        <f t="shared" si="671"/>
      </c>
      <c r="CF402" s="980">
        <f t="shared" si="671"/>
      </c>
      <c r="CG402" s="11"/>
    </row>
    <row r="403" spans="1:85" hidden="1" outlineLevel="1" x14ac:dyDescent="0.3">
      <c r="A403" s="64" t="s">
        <v>37</v>
      </c>
      <c r="B403" s="55"/>
      <c r="C403" s="998">
        <f t="shared" ref="C403:AW403" si="672">C471/C$462</f>
      </c>
      <c r="D403" s="998">
        <f t="shared" si="672"/>
      </c>
      <c r="E403" s="998">
        <f t="shared" si="672"/>
      </c>
      <c r="F403" s="998">
        <f t="shared" si="672"/>
      </c>
      <c r="G403" s="620">
        <f t="shared" si="672"/>
      </c>
      <c r="H403" s="620">
        <f t="shared" si="672"/>
      </c>
      <c r="I403" s="620">
        <f t="shared" si="672"/>
      </c>
      <c r="J403" s="620">
        <f t="shared" si="672"/>
      </c>
      <c r="K403" s="998">
        <f t="shared" si="672"/>
      </c>
      <c r="L403" s="620">
        <f t="shared" si="672"/>
      </c>
      <c r="M403" s="620">
        <f t="shared" si="672"/>
      </c>
      <c r="N403" s="620">
        <f t="shared" si="672"/>
      </c>
      <c r="O403" s="620">
        <f t="shared" si="672"/>
      </c>
      <c r="P403" s="998">
        <f t="shared" si="672"/>
      </c>
      <c r="Q403" s="620">
        <f t="shared" si="672"/>
      </c>
      <c r="R403" s="620">
        <f t="shared" si="672"/>
      </c>
      <c r="S403" s="620">
        <f t="shared" si="672"/>
      </c>
      <c r="T403" s="620">
        <f t="shared" si="672"/>
      </c>
      <c r="U403" s="998">
        <f t="shared" si="672"/>
      </c>
      <c r="V403" s="620">
        <f t="shared" si="672"/>
      </c>
      <c r="W403" s="620">
        <f t="shared" si="672"/>
      </c>
      <c r="X403" s="620">
        <f t="shared" si="672"/>
      </c>
      <c r="Y403" s="620">
        <f t="shared" si="672"/>
      </c>
      <c r="Z403" s="998">
        <f t="shared" si="672"/>
      </c>
      <c r="AA403" s="620">
        <f t="shared" si="672"/>
      </c>
      <c r="AB403" s="620">
        <f t="shared" si="672"/>
      </c>
      <c r="AC403" s="620">
        <f t="shared" si="672"/>
      </c>
      <c r="AD403" s="620">
        <f t="shared" si="672"/>
      </c>
      <c r="AE403" s="998">
        <f t="shared" si="672"/>
      </c>
      <c r="AF403" s="620">
        <f t="shared" si="672"/>
      </c>
      <c r="AG403" s="620">
        <f t="shared" si="672"/>
      </c>
      <c r="AH403" s="620">
        <f t="shared" si="672"/>
      </c>
      <c r="AI403" s="620">
        <f t="shared" si="672"/>
      </c>
      <c r="AJ403" s="998">
        <f t="shared" si="672"/>
      </c>
      <c r="AK403" s="620">
        <f t="shared" si="672"/>
      </c>
      <c r="AL403" s="620">
        <f t="shared" si="672"/>
      </c>
      <c r="AM403" s="620">
        <f t="shared" si="672"/>
      </c>
      <c r="AN403" s="620">
        <f t="shared" si="672"/>
      </c>
      <c r="AO403" s="998">
        <f t="shared" si="672"/>
      </c>
      <c r="AP403" s="620">
        <f t="shared" si="672"/>
      </c>
      <c r="AQ403" s="620">
        <f t="shared" si="672"/>
      </c>
      <c r="AR403" s="620">
        <f t="shared" si="672"/>
      </c>
      <c r="AS403" s="620">
        <f t="shared" si="672"/>
      </c>
      <c r="AT403" s="998">
        <f t="shared" si="672"/>
      </c>
      <c r="AU403" s="620">
        <f t="shared" si="672"/>
      </c>
      <c r="AV403" s="620">
        <f t="shared" si="672"/>
      </c>
      <c r="AW403" s="620">
        <f t="shared" si="672"/>
      </c>
      <c r="AX403" s="620">
        <f t="shared" ref="AX403:BA403" si="673">AX471/AX$462</f>
      </c>
      <c r="AY403" s="998">
        <f t="shared" si="673"/>
      </c>
      <c r="AZ403" s="620">
        <f t="shared" si="673"/>
      </c>
      <c r="BA403" s="620">
        <f t="shared" si="673"/>
      </c>
      <c r="BB403" s="620">
        <f t="shared" ref="BB403:BD403" si="674">BB471/BB$462</f>
      </c>
      <c r="BC403" s="620">
        <f t="shared" si="674"/>
      </c>
      <c r="BD403" s="998">
        <f t="shared" si="674"/>
      </c>
      <c r="BE403" s="620">
        <f t="shared" ref="BE403:BI403" si="675">BE471/BE$462</f>
      </c>
      <c r="BF403" s="620">
        <f t="shared" si="675"/>
      </c>
      <c r="BG403" s="620">
        <f t="shared" si="675"/>
      </c>
      <c r="BH403" s="620">
        <f t="shared" si="675"/>
      </c>
      <c r="BI403" s="998">
        <f t="shared" si="675"/>
      </c>
      <c r="BJ403" s="620">
        <f t="shared" ref="BJ403:BX403" si="676">BJ471/BJ$462</f>
      </c>
      <c r="BK403" s="620">
        <f t="shared" si="676"/>
      </c>
      <c r="BL403" s="620">
        <f t="shared" si="676"/>
      </c>
      <c r="BM403" s="620">
        <f t="shared" si="676"/>
      </c>
      <c r="BN403" s="998">
        <f t="shared" si="676"/>
      </c>
      <c r="BO403" s="620">
        <f t="shared" ref="BO403:BW403" si="677">BO471/BO$462</f>
      </c>
      <c r="BP403" s="620">
        <f t="shared" si="677"/>
      </c>
      <c r="BQ403" s="620">
        <f t="shared" si="677"/>
      </c>
      <c r="BR403" s="620">
        <f t="shared" si="677"/>
      </c>
      <c r="BS403" s="998">
        <f t="shared" si="677"/>
      </c>
      <c r="BT403" s="690">
        <f>BT471/BT$462</f>
      </c>
      <c r="BU403" s="26">
        <f t="shared" si="677"/>
      </c>
      <c r="BV403" s="26">
        <f t="shared" si="677"/>
      </c>
      <c r="BW403" s="26">
        <f t="shared" si="677"/>
      </c>
      <c r="BX403" s="980">
        <f t="shared" si="676"/>
      </c>
      <c r="BY403" s="26">
        <f t="shared" ref="BY403:CF403" si="678">BY471/BY$462</f>
      </c>
      <c r="BZ403" s="26">
        <f t="shared" si="678"/>
      </c>
      <c r="CA403" s="26">
        <f t="shared" si="678"/>
      </c>
      <c r="CB403" s="26">
        <f t="shared" si="678"/>
      </c>
      <c r="CC403" s="980">
        <f t="shared" si="678"/>
      </c>
      <c r="CD403" s="980">
        <f t="shared" si="678"/>
      </c>
      <c r="CE403" s="980">
        <f t="shared" si="678"/>
      </c>
      <c r="CF403" s="980">
        <f t="shared" si="678"/>
      </c>
      <c r="CG403" s="11"/>
    </row>
    <row r="404" spans="1:85" hidden="1" outlineLevel="1" x14ac:dyDescent="0.3">
      <c r="A404" s="1" t="s">
        <v>519</v>
      </c>
      <c r="B404" s="56"/>
      <c r="C404" s="1000">
        <f t="shared" ref="C404:AH404" si="679">C472/C462</f>
      </c>
      <c r="D404" s="1000">
        <f t="shared" si="679"/>
      </c>
      <c r="E404" s="1000">
        <f t="shared" si="679"/>
      </c>
      <c r="F404" s="1000">
        <f t="shared" si="679"/>
      </c>
      <c r="G404" s="17">
        <f t="shared" si="679"/>
      </c>
      <c r="H404" s="17">
        <f t="shared" si="679"/>
      </c>
      <c r="I404" s="17">
        <f t="shared" si="679"/>
      </c>
      <c r="J404" s="17">
        <f t="shared" si="679"/>
      </c>
      <c r="K404" s="1000">
        <f t="shared" si="679"/>
      </c>
      <c r="L404" s="17">
        <f t="shared" si="679"/>
      </c>
      <c r="M404" s="17">
        <f t="shared" si="679"/>
      </c>
      <c r="N404" s="17">
        <f t="shared" si="679"/>
      </c>
      <c r="O404" s="17">
        <f t="shared" si="679"/>
      </c>
      <c r="P404" s="1000">
        <f t="shared" si="679"/>
      </c>
      <c r="Q404" s="17">
        <f t="shared" si="679"/>
      </c>
      <c r="R404" s="17">
        <f t="shared" si="679"/>
      </c>
      <c r="S404" s="17">
        <f t="shared" si="679"/>
      </c>
      <c r="T404" s="17">
        <f t="shared" si="679"/>
      </c>
      <c r="U404" s="1000">
        <f t="shared" si="679"/>
      </c>
      <c r="V404" s="17">
        <f t="shared" si="679"/>
      </c>
      <c r="W404" s="17">
        <f t="shared" si="679"/>
      </c>
      <c r="X404" s="17">
        <f t="shared" si="679"/>
      </c>
      <c r="Y404" s="25">
        <f t="shared" si="679"/>
      </c>
      <c r="Z404" s="1001">
        <f t="shared" si="679"/>
      </c>
      <c r="AA404" s="17">
        <f t="shared" si="679"/>
      </c>
      <c r="AB404" s="17">
        <f t="shared" si="679"/>
      </c>
      <c r="AC404" s="17">
        <f t="shared" si="679"/>
      </c>
      <c r="AD404" s="25">
        <f t="shared" si="679"/>
      </c>
      <c r="AE404" s="1001">
        <f t="shared" si="679"/>
      </c>
      <c r="AF404" s="17">
        <f t="shared" si="679"/>
      </c>
      <c r="AG404" s="17">
        <f t="shared" si="679"/>
      </c>
      <c r="AH404" s="17">
        <f t="shared" si="679"/>
      </c>
      <c r="AI404" s="25">
        <f t="shared" ref="AI404:AW404" si="680">AI472/AI462</f>
      </c>
      <c r="AJ404" s="1001">
        <f t="shared" si="680"/>
      </c>
      <c r="AK404" s="17">
        <f t="shared" si="680"/>
      </c>
      <c r="AL404" s="17">
        <f t="shared" si="680"/>
      </c>
      <c r="AM404" s="17">
        <f t="shared" si="680"/>
      </c>
      <c r="AN404" s="25">
        <f t="shared" si="680"/>
      </c>
      <c r="AO404" s="1001">
        <f t="shared" si="680"/>
      </c>
      <c r="AP404" s="17">
        <f t="shared" si="680"/>
      </c>
      <c r="AQ404" s="17">
        <f t="shared" si="680"/>
      </c>
      <c r="AR404" s="17">
        <f t="shared" si="680"/>
      </c>
      <c r="AS404" s="25">
        <f t="shared" si="680"/>
      </c>
      <c r="AT404" s="1001">
        <f t="shared" si="680"/>
      </c>
      <c r="AU404" s="17">
        <f t="shared" si="680"/>
      </c>
      <c r="AV404" s="17">
        <f t="shared" si="680"/>
      </c>
      <c r="AW404" s="17">
        <f t="shared" si="680"/>
      </c>
      <c r="AX404" s="25">
        <f t="shared" ref="AX404:BD404" si="681">AX472/AX462</f>
      </c>
      <c r="AY404" s="1001">
        <f t="shared" si="681"/>
      </c>
      <c r="AZ404" s="17">
        <f t="shared" si="681"/>
      </c>
      <c r="BA404" s="17">
        <f t="shared" si="681"/>
      </c>
      <c r="BB404" s="17">
        <f t="shared" si="681"/>
      </c>
      <c r="BC404" s="25">
        <f t="shared" si="681"/>
      </c>
      <c r="BD404" s="1001">
        <f t="shared" si="681"/>
      </c>
      <c r="BE404" s="17">
        <f t="shared" ref="BE404:BI404" si="682">BE472/BE462</f>
      </c>
      <c r="BF404" s="17">
        <f t="shared" si="682"/>
      </c>
      <c r="BG404" s="17">
        <f t="shared" si="682"/>
      </c>
      <c r="BH404" s="25">
        <f t="shared" si="682"/>
      </c>
      <c r="BI404" s="1001">
        <f t="shared" si="682"/>
      </c>
      <c r="BJ404" s="17">
        <f t="shared" ref="BJ404:BX404" si="683">BJ472/BJ462</f>
      </c>
      <c r="BK404" s="17">
        <f t="shared" si="683"/>
      </c>
      <c r="BL404" s="17">
        <f t="shared" si="683"/>
      </c>
      <c r="BM404" s="25">
        <f t="shared" si="683"/>
      </c>
      <c r="BN404" s="1001">
        <f t="shared" si="683"/>
      </c>
      <c r="BO404" s="17">
        <f t="shared" ref="BO404:BW404" si="684">BO472/BO462</f>
      </c>
      <c r="BP404" s="17">
        <f t="shared" si="684"/>
      </c>
      <c r="BQ404" s="17">
        <f t="shared" si="684"/>
      </c>
      <c r="BR404" s="25">
        <f t="shared" si="684"/>
      </c>
      <c r="BS404" s="1001">
        <f t="shared" si="684"/>
      </c>
      <c r="BT404" s="691">
        <f>BT472/BT462</f>
      </c>
      <c r="BU404" s="25">
        <f t="shared" si="684"/>
      </c>
      <c r="BV404" s="25">
        <f t="shared" si="684"/>
      </c>
      <c r="BW404" s="25">
        <f t="shared" si="684"/>
      </c>
      <c r="BX404" s="1001">
        <f t="shared" si="683"/>
      </c>
      <c r="BY404" s="25">
        <f t="shared" ref="BY404:CF404" si="685">BY472/BY462</f>
      </c>
      <c r="BZ404" s="25">
        <f t="shared" si="685"/>
      </c>
      <c r="CA404" s="25">
        <f t="shared" si="685"/>
      </c>
      <c r="CB404" s="25">
        <f t="shared" si="685"/>
      </c>
      <c r="CC404" s="1001">
        <f t="shared" si="685"/>
      </c>
      <c r="CD404" s="1001">
        <f t="shared" si="685"/>
      </c>
      <c r="CE404" s="1001">
        <f t="shared" si="685"/>
      </c>
      <c r="CF404" s="1001">
        <f t="shared" si="685"/>
      </c>
      <c r="CG404" s="11"/>
    </row>
    <row r="405" spans="1:85" s="590" customFormat="1" hidden="1" outlineLevel="1" x14ac:dyDescent="0.3">
      <c r="A405" s="57" t="str">
        <f>CONCATENATE("Guidance - ",IFERROR(LEFT(A404,FIND("(",A404)-1),A404))</f>
      </c>
      <c r="B405" s="66"/>
      <c r="C405" s="935"/>
      <c r="D405" s="935"/>
      <c r="E405" s="935"/>
      <c r="F405" s="935"/>
      <c r="G405" s="58"/>
      <c r="H405" s="58"/>
      <c r="I405" s="58"/>
      <c r="J405" s="58"/>
      <c r="K405" s="935"/>
      <c r="L405" s="58"/>
      <c r="M405" s="58"/>
      <c r="N405" s="58"/>
      <c r="O405" s="58"/>
      <c r="P405" s="935"/>
      <c r="Q405" s="58"/>
      <c r="R405" s="58"/>
      <c r="S405" s="58"/>
      <c r="T405" s="58"/>
      <c r="U405" s="935"/>
      <c r="V405" s="58"/>
      <c r="W405" s="631"/>
      <c r="X405" s="58"/>
      <c r="Y405" s="631"/>
      <c r="Z405" s="936"/>
      <c r="AA405" s="58"/>
      <c r="AB405" s="631"/>
      <c r="AC405" s="58"/>
      <c r="AD405" s="631" t="str">
        <f t="shared" ref="AD405:BN405" si="686">AD667</f>
      </c>
      <c r="AE405" s="936" t="str">
        <f t="shared" si="686"/>
      </c>
      <c r="AF405" s="58" t="str">
        <f t="shared" si="686"/>
      </c>
      <c r="AG405" s="631">
        <f t="shared" si="686"/>
      </c>
      <c r="AH405" s="58" t="str">
        <f t="shared" si="686"/>
      </c>
      <c r="AI405" s="631" t="str">
        <f t="shared" si="686"/>
      </c>
      <c r="AJ405" s="936">
        <f t="shared" si="686"/>
      </c>
      <c r="AK405" s="58">
        <f t="shared" si="686"/>
      </c>
      <c r="AL405" s="631">
        <f t="shared" si="686"/>
      </c>
      <c r="AM405" s="58">
        <f t="shared" si="686"/>
      </c>
      <c r="AN405" s="631">
        <f t="shared" si="686"/>
      </c>
      <c r="AO405" s="936">
        <f t="shared" si="686"/>
      </c>
      <c r="AP405" s="58" t="str">
        <f t="shared" si="686"/>
      </c>
      <c r="AQ405" s="631" t="str">
        <f t="shared" si="686"/>
      </c>
      <c r="AR405" s="58">
        <f t="shared" si="686"/>
      </c>
      <c r="AS405" s="631">
        <f t="shared" si="686"/>
      </c>
      <c r="AT405" s="936">
        <f t="shared" si="686"/>
      </c>
      <c r="AU405" s="58">
        <f t="shared" si="686"/>
      </c>
      <c r="AV405" s="631">
        <f t="shared" si="686"/>
      </c>
      <c r="AW405" s="58">
        <f t="shared" si="686"/>
      </c>
      <c r="AX405" s="631">
        <f t="shared" si="686"/>
      </c>
      <c r="AY405" s="936">
        <f t="shared" si="686"/>
      </c>
      <c r="AZ405" s="58">
        <f t="shared" si="686"/>
      </c>
      <c r="BA405" s="58">
        <f t="shared" si="686"/>
      </c>
      <c r="BB405" s="58">
        <f t="shared" si="686"/>
      </c>
      <c r="BC405" s="631">
        <f t="shared" si="686"/>
      </c>
      <c r="BD405" s="936">
        <f t="shared" si="686"/>
      </c>
      <c r="BE405" s="58">
        <f t="shared" si="686"/>
      </c>
      <c r="BF405" s="58">
        <f t="shared" si="686"/>
      </c>
      <c r="BG405" s="58">
        <f t="shared" si="686"/>
      </c>
      <c r="BH405" s="631">
        <f t="shared" si="686"/>
      </c>
      <c r="BI405" s="936">
        <f t="shared" si="686"/>
      </c>
      <c r="BJ405" s="58">
        <f t="shared" si="686"/>
      </c>
      <c r="BK405" s="58">
        <f t="shared" si="686"/>
      </c>
      <c r="BL405" s="58">
        <f t="shared" si="686"/>
      </c>
      <c r="BM405" s="631">
        <f t="shared" si="686"/>
      </c>
      <c r="BN405" s="936">
        <f t="shared" si="686"/>
      </c>
      <c r="BO405" s="58">
        <f t="shared" ref="BO405" si="687">BO667</f>
      </c>
      <c r="BP405" s="58">
        <f t="shared" ref="BP405:BW405" si="688">BP667</f>
      </c>
      <c r="BQ405" s="58">
        <f t="shared" si="688"/>
      </c>
      <c r="BR405" s="631">
        <f t="shared" si="688"/>
      </c>
      <c r="BS405" s="936">
        <f t="shared" si="688"/>
      </c>
      <c r="BT405" s="669">
        <f>BT667</f>
      </c>
      <c r="BU405" s="446">
        <f t="shared" si="688"/>
      </c>
      <c r="BV405" s="446" t="str">
        <f t="shared" si="688"/>
      </c>
      <c r="BW405" s="446" t="str">
        <f t="shared" si="688"/>
      </c>
      <c r="BX405" s="936">
        <f t="shared" ref="BX405" si="689">BX667</f>
      </c>
      <c r="BY405" s="446" t="str">
        <f t="shared" ref="BY405:CF405" si="690">BY667</f>
      </c>
      <c r="BZ405" s="446" t="str">
        <f t="shared" si="690"/>
      </c>
      <c r="CA405" s="446" t="str">
        <f t="shared" si="690"/>
      </c>
      <c r="CB405" s="446" t="str">
        <f t="shared" si="690"/>
      </c>
      <c r="CC405" s="936" t="str">
        <f t="shared" si="690"/>
      </c>
      <c r="CD405" s="936">
        <f t="shared" si="690"/>
      </c>
      <c r="CE405" s="936">
        <f t="shared" si="690"/>
      </c>
      <c r="CF405" s="936">
        <f t="shared" si="690"/>
      </c>
      <c r="CG405" s="58"/>
    </row>
    <row r="406" spans="1:85" hidden="1" outlineLevel="1" x14ac:dyDescent="0.3">
      <c r="A406" s="61" t="s">
        <v>903</v>
      </c>
      <c r="B406" s="55"/>
      <c r="C406" s="998">
        <f t="shared" ref="C406:AH406" si="691">C474/C462</f>
      </c>
      <c r="D406" s="998">
        <f t="shared" si="691"/>
      </c>
      <c r="E406" s="998">
        <f t="shared" si="691"/>
      </c>
      <c r="F406" s="998">
        <f t="shared" si="691"/>
      </c>
      <c r="G406" s="620">
        <f t="shared" si="691"/>
      </c>
      <c r="H406" s="620">
        <f t="shared" si="691"/>
      </c>
      <c r="I406" s="620">
        <f t="shared" si="691"/>
      </c>
      <c r="J406" s="620">
        <f t="shared" si="691"/>
      </c>
      <c r="K406" s="998">
        <f t="shared" si="691"/>
      </c>
      <c r="L406" s="620">
        <f t="shared" si="691"/>
      </c>
      <c r="M406" s="620">
        <f t="shared" si="691"/>
      </c>
      <c r="N406" s="620">
        <f t="shared" si="691"/>
      </c>
      <c r="O406" s="620">
        <f t="shared" si="691"/>
      </c>
      <c r="P406" s="998">
        <f t="shared" si="691"/>
      </c>
      <c r="Q406" s="620">
        <f t="shared" si="691"/>
      </c>
      <c r="R406" s="620">
        <f t="shared" si="691"/>
      </c>
      <c r="S406" s="620">
        <f t="shared" si="691"/>
      </c>
      <c r="T406" s="620">
        <f t="shared" si="691"/>
      </c>
      <c r="U406" s="998">
        <f t="shared" si="691"/>
      </c>
      <c r="V406" s="620">
        <f t="shared" si="691"/>
      </c>
      <c r="W406" s="620">
        <f t="shared" si="691"/>
      </c>
      <c r="X406" s="620">
        <f t="shared" si="691"/>
      </c>
      <c r="Y406" s="26">
        <f t="shared" si="691"/>
      </c>
      <c r="Z406" s="980">
        <f t="shared" si="691"/>
      </c>
      <c r="AA406" s="620">
        <f t="shared" si="691"/>
      </c>
      <c r="AB406" s="620">
        <f t="shared" si="691"/>
      </c>
      <c r="AC406" s="620">
        <f t="shared" si="691"/>
      </c>
      <c r="AD406" s="26">
        <f t="shared" si="691"/>
      </c>
      <c r="AE406" s="980">
        <f t="shared" si="691"/>
      </c>
      <c r="AF406" s="620">
        <f t="shared" si="691"/>
      </c>
      <c r="AG406" s="620">
        <f t="shared" si="691"/>
      </c>
      <c r="AH406" s="620">
        <f t="shared" si="691"/>
      </c>
      <c r="AI406" s="26">
        <f t="shared" ref="AI406:AW406" si="692">AI474/AI462</f>
      </c>
      <c r="AJ406" s="980">
        <f t="shared" si="692"/>
      </c>
      <c r="AK406" s="620">
        <f t="shared" si="692"/>
      </c>
      <c r="AL406" s="620">
        <f t="shared" si="692"/>
      </c>
      <c r="AM406" s="620">
        <f t="shared" si="692"/>
      </c>
      <c r="AN406" s="26">
        <f t="shared" si="692"/>
      </c>
      <c r="AO406" s="980">
        <f t="shared" si="692"/>
      </c>
      <c r="AP406" s="620">
        <f t="shared" si="692"/>
      </c>
      <c r="AQ406" s="620">
        <f t="shared" si="692"/>
      </c>
      <c r="AR406" s="620">
        <f t="shared" si="692"/>
      </c>
      <c r="AS406" s="26">
        <f t="shared" si="692"/>
      </c>
      <c r="AT406" s="980">
        <f t="shared" si="692"/>
      </c>
      <c r="AU406" s="620">
        <f t="shared" si="692"/>
      </c>
      <c r="AV406" s="620">
        <f t="shared" si="692"/>
      </c>
      <c r="AW406" s="620">
        <f t="shared" si="692"/>
      </c>
      <c r="AX406" s="26">
        <f t="shared" ref="AX406:BD406" si="693">AX474/AX462</f>
      </c>
      <c r="AY406" s="980">
        <f t="shared" si="693"/>
      </c>
      <c r="AZ406" s="620">
        <f t="shared" si="693"/>
      </c>
      <c r="BA406" s="620">
        <f t="shared" si="693"/>
      </c>
      <c r="BB406" s="620">
        <f t="shared" si="693"/>
      </c>
      <c r="BC406" s="26">
        <f t="shared" si="693"/>
      </c>
      <c r="BD406" s="980">
        <f t="shared" si="693"/>
      </c>
      <c r="BE406" s="620">
        <f t="shared" ref="BE406:BI406" si="694">BE474/BE462</f>
      </c>
      <c r="BF406" s="620">
        <f t="shared" si="694"/>
      </c>
      <c r="BG406" s="620">
        <f t="shared" si="694"/>
      </c>
      <c r="BH406" s="26">
        <f t="shared" si="694"/>
      </c>
      <c r="BI406" s="980">
        <f t="shared" si="694"/>
      </c>
      <c r="BJ406" s="620">
        <f t="shared" ref="BJ406:BX406" si="695">BJ474/BJ462</f>
      </c>
      <c r="BK406" s="620">
        <f t="shared" si="695"/>
      </c>
      <c r="BL406" s="620">
        <f t="shared" si="695"/>
      </c>
      <c r="BM406" s="26">
        <f t="shared" si="695"/>
      </c>
      <c r="BN406" s="980">
        <f t="shared" si="695"/>
      </c>
      <c r="BO406" s="620">
        <f t="shared" ref="BO406:BW406" si="696">BO474/BO462</f>
      </c>
      <c r="BP406" s="620">
        <f t="shared" si="696"/>
      </c>
      <c r="BQ406" s="620">
        <f t="shared" si="696"/>
      </c>
      <c r="BR406" s="26">
        <f t="shared" si="696"/>
      </c>
      <c r="BS406" s="980">
        <f t="shared" si="696"/>
      </c>
      <c r="BT406" s="690">
        <f>BT474/BT462</f>
      </c>
      <c r="BU406" s="26">
        <f t="shared" si="696"/>
      </c>
      <c r="BV406" s="26">
        <f t="shared" si="696"/>
      </c>
      <c r="BW406" s="26">
        <f t="shared" si="696"/>
      </c>
      <c r="BX406" s="980">
        <f t="shared" si="695"/>
      </c>
      <c r="BY406" s="26">
        <f t="shared" ref="BY406:CF406" si="697">BY474/BY462</f>
      </c>
      <c r="BZ406" s="26">
        <f t="shared" si="697"/>
      </c>
      <c r="CA406" s="26">
        <f t="shared" si="697"/>
      </c>
      <c r="CB406" s="26">
        <f t="shared" si="697"/>
      </c>
      <c r="CC406" s="980">
        <f t="shared" si="697"/>
      </c>
      <c r="CD406" s="980">
        <f t="shared" si="697"/>
      </c>
      <c r="CE406" s="980">
        <f t="shared" si="697"/>
      </c>
      <c r="CF406" s="980">
        <f t="shared" si="697"/>
      </c>
      <c r="CG406" s="11"/>
    </row>
    <row r="407" spans="1:85" hidden="1" outlineLevel="1" x14ac:dyDescent="0.3">
      <c r="A407" s="47" t="s">
        <v>521</v>
      </c>
      <c r="B407" s="305"/>
      <c r="C407" s="936"/>
      <c r="D407" s="936"/>
      <c r="E407" s="936"/>
      <c r="F407" s="936"/>
      <c r="G407" s="446"/>
      <c r="H407" s="446"/>
      <c r="I407" s="446"/>
      <c r="J407" s="446"/>
      <c r="K407" s="936"/>
      <c r="L407" s="446"/>
      <c r="M407" s="446"/>
      <c r="N407" s="446"/>
      <c r="O407" s="446"/>
      <c r="P407" s="936"/>
      <c r="Q407" s="446"/>
      <c r="R407" s="446"/>
      <c r="S407" s="446"/>
      <c r="T407" s="446"/>
      <c r="U407" s="936"/>
      <c r="V407" s="446"/>
      <c r="W407" s="446"/>
      <c r="X407" s="446"/>
      <c r="Y407" s="446"/>
      <c r="Z407" s="936"/>
      <c r="AA407" s="446"/>
      <c r="AB407" s="446"/>
      <c r="AC407" s="446"/>
      <c r="AD407" s="446"/>
      <c r="AE407" s="936"/>
      <c r="AF407" s="446"/>
      <c r="AG407" s="446"/>
      <c r="AH407" s="446"/>
      <c r="AI407" s="446"/>
      <c r="AJ407" s="936"/>
      <c r="AK407" s="446"/>
      <c r="AL407" s="446"/>
      <c r="AM407" s="446"/>
      <c r="AN407" s="446"/>
      <c r="AO407" s="936"/>
      <c r="AP407" s="446"/>
      <c r="AQ407" s="446"/>
      <c r="AR407" s="446"/>
      <c r="AS407" s="446"/>
      <c r="AT407" s="936"/>
      <c r="AU407" s="446"/>
      <c r="AV407" s="446"/>
      <c r="AW407" s="446"/>
      <c r="AX407" s="446"/>
      <c r="AY407" s="936"/>
      <c r="AZ407" s="446"/>
      <c r="BA407" s="446"/>
      <c r="BB407" s="446"/>
      <c r="BC407" s="446"/>
      <c r="BD407" s="936"/>
      <c r="BE407" s="446"/>
      <c r="BF407" s="446"/>
      <c r="BG407" s="446"/>
      <c r="BH407" s="446"/>
      <c r="BI407" s="936"/>
      <c r="BJ407" s="446"/>
      <c r="BK407" s="446"/>
      <c r="BL407" s="446"/>
      <c r="BM407" s="446"/>
      <c r="BN407" s="936"/>
      <c r="BO407" s="446"/>
      <c r="BP407" s="446"/>
      <c r="BQ407" s="446"/>
      <c r="BR407" s="446"/>
      <c r="BS407" s="936"/>
      <c r="BT407" s="665"/>
      <c r="BU407" s="446">
        <f t="shared" ref="BU407:CF407" ca="1" si="698">IFERROR(BU475/BU463,0)</f>
      </c>
      <c r="BV407" s="446">
        <f t="shared" ca="1" si="698"/>
      </c>
      <c r="BW407" s="446">
        <f t="shared" ca="1" si="698"/>
      </c>
      <c r="BX407" s="936">
        <f t="shared" ca="1" si="698"/>
      </c>
      <c r="BY407" s="446">
        <f t="shared" ca="1" si="698"/>
      </c>
      <c r="BZ407" s="446">
        <f t="shared" ca="1" si="698"/>
      </c>
      <c r="CA407" s="446">
        <f t="shared" ca="1" si="698"/>
      </c>
      <c r="CB407" s="446">
        <f t="shared" ca="1" si="698"/>
      </c>
      <c r="CC407" s="936">
        <f t="shared" ca="1" si="698"/>
      </c>
      <c r="CD407" s="936">
        <f t="shared" ca="1" si="698"/>
      </c>
      <c r="CE407" s="936">
        <f t="shared" ca="1" si="698"/>
      </c>
      <c r="CF407" s="936">
        <f t="shared" ca="1" si="698"/>
      </c>
      <c r="CG407" s="11"/>
    </row>
    <row r="408" spans="1:85" hidden="1" outlineLevel="1" x14ac:dyDescent="0.3">
      <c r="A408" s="325"/>
      <c r="B408" s="55"/>
      <c r="C408" s="980"/>
      <c r="D408" s="980"/>
      <c r="E408" s="980"/>
      <c r="F408" s="980"/>
      <c r="G408" s="26"/>
      <c r="H408" s="26"/>
      <c r="I408" s="26"/>
      <c r="J408" s="26"/>
      <c r="K408" s="980"/>
      <c r="L408" s="26"/>
      <c r="M408" s="26"/>
      <c r="N408" s="26"/>
      <c r="O408" s="26"/>
      <c r="P408" s="980"/>
      <c r="Q408" s="26"/>
      <c r="R408" s="26"/>
      <c r="S408" s="26"/>
      <c r="T408" s="26"/>
      <c r="U408" s="980"/>
      <c r="V408" s="26"/>
      <c r="W408" s="26"/>
      <c r="X408" s="26"/>
      <c r="Y408" s="26"/>
      <c r="Z408" s="980"/>
      <c r="AA408" s="26"/>
      <c r="AB408" s="26"/>
      <c r="AC408" s="26"/>
      <c r="AD408" s="26"/>
      <c r="AE408" s="980"/>
      <c r="AF408" s="26"/>
      <c r="AG408" s="26"/>
      <c r="AH408" s="26"/>
      <c r="AI408" s="26"/>
      <c r="AJ408" s="980"/>
      <c r="AK408" s="26"/>
      <c r="AL408" s="26"/>
      <c r="AM408" s="26"/>
      <c r="AN408" s="26"/>
      <c r="AO408" s="980"/>
      <c r="AP408" s="26"/>
      <c r="AQ408" s="26"/>
      <c r="AR408" s="26"/>
      <c r="AS408" s="26"/>
      <c r="AT408" s="980"/>
      <c r="AU408" s="26"/>
      <c r="AV408" s="26"/>
      <c r="AW408" s="26"/>
      <c r="AX408" s="26"/>
      <c r="AY408" s="980"/>
      <c r="AZ408" s="26"/>
      <c r="BA408" s="26"/>
      <c r="BB408" s="26"/>
      <c r="BC408" s="26"/>
      <c r="BD408" s="980"/>
      <c r="BE408" s="26"/>
      <c r="BF408" s="26"/>
      <c r="BG408" s="26"/>
      <c r="BH408" s="26"/>
      <c r="BI408" s="980"/>
      <c r="BJ408" s="26"/>
      <c r="BK408" s="26"/>
      <c r="BL408" s="26"/>
      <c r="BM408" s="26"/>
      <c r="BN408" s="980"/>
      <c r="BO408" s="26"/>
      <c r="BP408" s="26"/>
      <c r="BQ408" s="26"/>
      <c r="BR408" s="26"/>
      <c r="BS408" s="980"/>
      <c r="BT408" s="680"/>
      <c r="BU408" s="26"/>
      <c r="BV408" s="26"/>
      <c r="BW408" s="26"/>
      <c r="BX408" s="980"/>
      <c r="BY408" s="26"/>
      <c r="BZ408" s="26"/>
      <c r="CA408" s="26"/>
      <c r="CB408" s="26"/>
      <c r="CC408" s="980"/>
      <c r="CD408" s="980"/>
      <c r="CE408" s="980"/>
      <c r="CF408" s="980"/>
      <c r="CG408" s="11"/>
    </row>
    <row r="409" spans="1:85" hidden="1" outlineLevel="1" x14ac:dyDescent="0.3">
      <c r="A409" s="60" t="s">
        <v>523</v>
      </c>
      <c r="B409" s="115"/>
      <c r="C409" s="1002">
        <f t="shared" ref="C409:AH409" si="699">C477/C462</f>
      </c>
      <c r="D409" s="1002">
        <f t="shared" si="699"/>
      </c>
      <c r="E409" s="1002">
        <f t="shared" si="699"/>
      </c>
      <c r="F409" s="1002">
        <f t="shared" si="699"/>
      </c>
      <c r="G409" s="621">
        <f t="shared" si="699"/>
      </c>
      <c r="H409" s="621">
        <f t="shared" si="699"/>
      </c>
      <c r="I409" s="621">
        <f t="shared" si="699"/>
      </c>
      <c r="J409" s="621">
        <f t="shared" si="699"/>
      </c>
      <c r="K409" s="1002">
        <f t="shared" si="699"/>
      </c>
      <c r="L409" s="621">
        <f t="shared" si="699"/>
      </c>
      <c r="M409" s="621">
        <f t="shared" si="699"/>
      </c>
      <c r="N409" s="621">
        <f t="shared" si="699"/>
      </c>
      <c r="O409" s="621">
        <f t="shared" si="699"/>
      </c>
      <c r="P409" s="1002">
        <f t="shared" si="699"/>
      </c>
      <c r="Q409" s="621">
        <f t="shared" si="699"/>
      </c>
      <c r="R409" s="621">
        <f t="shared" si="699"/>
      </c>
      <c r="S409" s="621">
        <f t="shared" si="699"/>
      </c>
      <c r="T409" s="621">
        <f t="shared" si="699"/>
      </c>
      <c r="U409" s="1002">
        <f t="shared" si="699"/>
      </c>
      <c r="V409" s="621">
        <f t="shared" si="699"/>
      </c>
      <c r="W409" s="621">
        <f t="shared" si="699"/>
      </c>
      <c r="X409" s="621">
        <f t="shared" si="699"/>
      </c>
      <c r="Y409" s="68">
        <f t="shared" si="699"/>
      </c>
      <c r="Z409" s="978">
        <f t="shared" si="699"/>
      </c>
      <c r="AA409" s="621">
        <f t="shared" si="699"/>
      </c>
      <c r="AB409" s="621">
        <f t="shared" si="699"/>
      </c>
      <c r="AC409" s="621">
        <f t="shared" si="699"/>
      </c>
      <c r="AD409" s="68">
        <f t="shared" si="699"/>
      </c>
      <c r="AE409" s="978">
        <f t="shared" si="699"/>
      </c>
      <c r="AF409" s="621">
        <f t="shared" si="699"/>
      </c>
      <c r="AG409" s="621">
        <f t="shared" si="699"/>
      </c>
      <c r="AH409" s="621">
        <f t="shared" si="699"/>
      </c>
      <c r="AI409" s="68">
        <f t="shared" ref="AI409:AW409" si="700">AI477/AI462</f>
      </c>
      <c r="AJ409" s="978">
        <f t="shared" si="700"/>
      </c>
      <c r="AK409" s="621">
        <f t="shared" si="700"/>
      </c>
      <c r="AL409" s="621">
        <f t="shared" si="700"/>
      </c>
      <c r="AM409" s="621">
        <f t="shared" si="700"/>
      </c>
      <c r="AN409" s="68">
        <f t="shared" si="700"/>
      </c>
      <c r="AO409" s="978">
        <f t="shared" si="700"/>
      </c>
      <c r="AP409" s="621">
        <f t="shared" si="700"/>
      </c>
      <c r="AQ409" s="621">
        <f t="shared" si="700"/>
      </c>
      <c r="AR409" s="621">
        <f t="shared" si="700"/>
      </c>
      <c r="AS409" s="68">
        <f t="shared" si="700"/>
      </c>
      <c r="AT409" s="978">
        <f t="shared" si="700"/>
      </c>
      <c r="AU409" s="621">
        <f t="shared" si="700"/>
      </c>
      <c r="AV409" s="621">
        <f t="shared" si="700"/>
      </c>
      <c r="AW409" s="621">
        <f t="shared" si="700"/>
      </c>
      <c r="AX409" s="68">
        <f t="shared" ref="AX409:BD409" si="701">AX477/AX462</f>
      </c>
      <c r="AY409" s="978">
        <f t="shared" si="701"/>
      </c>
      <c r="AZ409" s="621">
        <f t="shared" si="701"/>
      </c>
      <c r="BA409" s="621">
        <f t="shared" si="701"/>
      </c>
      <c r="BB409" s="621">
        <f t="shared" si="701"/>
      </c>
      <c r="BC409" s="68">
        <f t="shared" si="701"/>
      </c>
      <c r="BD409" s="978">
        <f t="shared" si="701"/>
      </c>
      <c r="BE409" s="621">
        <f t="shared" ref="BE409:BI409" si="702">BE477/BE462</f>
      </c>
      <c r="BF409" s="621">
        <f t="shared" si="702"/>
      </c>
      <c r="BG409" s="621">
        <f t="shared" si="702"/>
      </c>
      <c r="BH409" s="68">
        <f t="shared" si="702"/>
      </c>
      <c r="BI409" s="978">
        <f t="shared" si="702"/>
      </c>
      <c r="BJ409" s="621">
        <f t="shared" ref="BJ409:BX409" si="703">BJ477/BJ462</f>
      </c>
      <c r="BK409" s="621">
        <f t="shared" si="703"/>
      </c>
      <c r="BL409" s="621">
        <f t="shared" si="703"/>
      </c>
      <c r="BM409" s="68">
        <f t="shared" si="703"/>
      </c>
      <c r="BN409" s="978">
        <f t="shared" si="703"/>
      </c>
      <c r="BO409" s="621">
        <f t="shared" ref="BO409:BW409" si="704">BO477/BO462</f>
      </c>
      <c r="BP409" s="621">
        <f t="shared" si="704"/>
      </c>
      <c r="BQ409" s="621">
        <f t="shared" si="704"/>
      </c>
      <c r="BR409" s="68">
        <f t="shared" si="704"/>
      </c>
      <c r="BS409" s="978">
        <f t="shared" si="704"/>
      </c>
      <c r="BT409" s="692">
        <f>BT477/BT462</f>
      </c>
      <c r="BU409" s="68">
        <f t="shared" si="704"/>
      </c>
      <c r="BV409" s="68">
        <f t="shared" si="704"/>
      </c>
      <c r="BW409" s="68">
        <f t="shared" si="704"/>
      </c>
      <c r="BX409" s="978">
        <f t="shared" si="703"/>
      </c>
      <c r="BY409" s="68">
        <f t="shared" ref="BY409:CF409" si="705">BY477/BY462</f>
      </c>
      <c r="BZ409" s="68">
        <f t="shared" si="705"/>
      </c>
      <c r="CA409" s="68">
        <f t="shared" si="705"/>
      </c>
      <c r="CB409" s="68">
        <f t="shared" si="705"/>
      </c>
      <c r="CC409" s="978">
        <f t="shared" si="705"/>
      </c>
      <c r="CD409" s="978">
        <f t="shared" si="705"/>
      </c>
      <c r="CE409" s="978">
        <f t="shared" si="705"/>
      </c>
      <c r="CF409" s="978">
        <f t="shared" si="705"/>
      </c>
      <c r="CG409" s="11"/>
    </row>
    <row r="410" spans="1:85" hidden="1" outlineLevel="1" x14ac:dyDescent="0.3">
      <c r="A410" s="60" t="s">
        <v>524</v>
      </c>
      <c r="B410" s="115"/>
      <c r="C410" s="1002">
        <f t="shared" ref="C410:AH410" si="706">C478/C462</f>
      </c>
      <c r="D410" s="1002">
        <f t="shared" si="706"/>
      </c>
      <c r="E410" s="1002">
        <f t="shared" si="706"/>
      </c>
      <c r="F410" s="1002">
        <f t="shared" si="706"/>
      </c>
      <c r="G410" s="621">
        <f t="shared" si="706"/>
      </c>
      <c r="H410" s="621">
        <f t="shared" si="706"/>
      </c>
      <c r="I410" s="621">
        <f t="shared" si="706"/>
      </c>
      <c r="J410" s="621">
        <f t="shared" si="706"/>
      </c>
      <c r="K410" s="1002">
        <f t="shared" si="706"/>
      </c>
      <c r="L410" s="621">
        <f t="shared" si="706"/>
      </c>
      <c r="M410" s="621">
        <f t="shared" si="706"/>
      </c>
      <c r="N410" s="621">
        <f t="shared" si="706"/>
      </c>
      <c r="O410" s="621">
        <f t="shared" si="706"/>
      </c>
      <c r="P410" s="1002">
        <f t="shared" si="706"/>
      </c>
      <c r="Q410" s="621">
        <f t="shared" si="706"/>
      </c>
      <c r="R410" s="621">
        <f t="shared" si="706"/>
      </c>
      <c r="S410" s="621">
        <f t="shared" si="706"/>
      </c>
      <c r="T410" s="621">
        <f t="shared" si="706"/>
      </c>
      <c r="U410" s="1002">
        <f t="shared" si="706"/>
      </c>
      <c r="V410" s="621">
        <f t="shared" si="706"/>
      </c>
      <c r="W410" s="621">
        <f t="shared" si="706"/>
      </c>
      <c r="X410" s="621">
        <f t="shared" si="706"/>
      </c>
      <c r="Y410" s="68">
        <f t="shared" si="706"/>
      </c>
      <c r="Z410" s="978">
        <f t="shared" si="706"/>
      </c>
      <c r="AA410" s="621">
        <f t="shared" si="706"/>
      </c>
      <c r="AB410" s="621">
        <f t="shared" si="706"/>
      </c>
      <c r="AC410" s="621">
        <f t="shared" si="706"/>
      </c>
      <c r="AD410" s="68">
        <f t="shared" si="706"/>
      </c>
      <c r="AE410" s="978">
        <f t="shared" si="706"/>
      </c>
      <c r="AF410" s="621">
        <f t="shared" si="706"/>
      </c>
      <c r="AG410" s="621">
        <f t="shared" si="706"/>
      </c>
      <c r="AH410" s="621">
        <f t="shared" si="706"/>
      </c>
      <c r="AI410" s="68">
        <f t="shared" ref="AI410:AW410" si="707">AI478/AI462</f>
      </c>
      <c r="AJ410" s="978">
        <f t="shared" si="707"/>
      </c>
      <c r="AK410" s="621">
        <f t="shared" si="707"/>
      </c>
      <c r="AL410" s="621">
        <f t="shared" si="707"/>
      </c>
      <c r="AM410" s="621">
        <f t="shared" si="707"/>
      </c>
      <c r="AN410" s="68">
        <f t="shared" si="707"/>
      </c>
      <c r="AO410" s="978">
        <f t="shared" si="707"/>
      </c>
      <c r="AP410" s="621">
        <f t="shared" si="707"/>
      </c>
      <c r="AQ410" s="621">
        <f t="shared" si="707"/>
      </c>
      <c r="AR410" s="621">
        <f t="shared" si="707"/>
      </c>
      <c r="AS410" s="68">
        <f t="shared" si="707"/>
      </c>
      <c r="AT410" s="978">
        <f t="shared" si="707"/>
      </c>
      <c r="AU410" s="621">
        <f t="shared" si="707"/>
      </c>
      <c r="AV410" s="621">
        <f t="shared" si="707"/>
      </c>
      <c r="AW410" s="621">
        <f t="shared" si="707"/>
      </c>
      <c r="AX410" s="68">
        <f t="shared" ref="AX410:BD410" si="708">AX478/AX462</f>
      </c>
      <c r="AY410" s="978">
        <f t="shared" si="708"/>
      </c>
      <c r="AZ410" s="621">
        <f t="shared" si="708"/>
      </c>
      <c r="BA410" s="621">
        <f t="shared" si="708"/>
      </c>
      <c r="BB410" s="621">
        <f t="shared" si="708"/>
      </c>
      <c r="BC410" s="68">
        <f t="shared" si="708"/>
      </c>
      <c r="BD410" s="978">
        <f t="shared" si="708"/>
      </c>
      <c r="BE410" s="621">
        <f t="shared" ref="BE410:BI410" si="709">BE478/BE462</f>
      </c>
      <c r="BF410" s="621">
        <f t="shared" si="709"/>
      </c>
      <c r="BG410" s="621">
        <f t="shared" si="709"/>
      </c>
      <c r="BH410" s="68">
        <f t="shared" si="709"/>
      </c>
      <c r="BI410" s="978">
        <f t="shared" si="709"/>
      </c>
      <c r="BJ410" s="621">
        <f t="shared" ref="BJ410:BX410" si="710">BJ478/BJ462</f>
      </c>
      <c r="BK410" s="621">
        <f t="shared" si="710"/>
      </c>
      <c r="BL410" s="621">
        <f t="shared" si="710"/>
      </c>
      <c r="BM410" s="68">
        <f t="shared" si="710"/>
      </c>
      <c r="BN410" s="978">
        <f t="shared" si="710"/>
      </c>
      <c r="BO410" s="621">
        <f t="shared" ref="BO410:BW410" si="711">BO478/BO462</f>
      </c>
      <c r="BP410" s="621">
        <f t="shared" si="711"/>
      </c>
      <c r="BQ410" s="621">
        <f t="shared" si="711"/>
      </c>
      <c r="BR410" s="68">
        <f t="shared" si="711"/>
      </c>
      <c r="BS410" s="978">
        <f t="shared" si="711"/>
      </c>
      <c r="BT410" s="692">
        <f>BT478/BT462</f>
      </c>
      <c r="BU410" s="68">
        <f t="shared" si="711"/>
      </c>
      <c r="BV410" s="68">
        <f t="shared" si="711"/>
      </c>
      <c r="BW410" s="68">
        <f t="shared" si="711"/>
      </c>
      <c r="BX410" s="978">
        <f t="shared" si="710"/>
      </c>
      <c r="BY410" s="68">
        <f t="shared" ref="BY410:CF410" si="712">BY478/BY462</f>
      </c>
      <c r="BZ410" s="68">
        <f t="shared" si="712"/>
      </c>
      <c r="CA410" s="68">
        <f t="shared" si="712"/>
      </c>
      <c r="CB410" s="68">
        <f t="shared" si="712"/>
      </c>
      <c r="CC410" s="978">
        <f t="shared" si="712"/>
      </c>
      <c r="CD410" s="978">
        <f t="shared" si="712"/>
      </c>
      <c r="CE410" s="978">
        <f t="shared" si="712"/>
      </c>
      <c r="CF410" s="978">
        <f t="shared" si="712"/>
      </c>
      <c r="CG410" s="11"/>
    </row>
    <row r="411" spans="1:85" hidden="1" outlineLevel="1" x14ac:dyDescent="0.3">
      <c r="A411" s="1" t="s">
        <v>38</v>
      </c>
      <c r="B411" s="56"/>
      <c r="C411" s="1000">
        <f t="shared" ref="C411:AH411" si="713">C479/C462</f>
      </c>
      <c r="D411" s="1000">
        <f t="shared" si="713"/>
      </c>
      <c r="E411" s="1000">
        <f t="shared" si="713"/>
      </c>
      <c r="F411" s="1000">
        <f t="shared" si="713"/>
      </c>
      <c r="G411" s="17">
        <f t="shared" si="713"/>
      </c>
      <c r="H411" s="17">
        <f t="shared" si="713"/>
      </c>
      <c r="I411" s="17">
        <f t="shared" si="713"/>
      </c>
      <c r="J411" s="17">
        <f t="shared" si="713"/>
      </c>
      <c r="K411" s="1000">
        <f t="shared" si="713"/>
      </c>
      <c r="L411" s="17">
        <f t="shared" si="713"/>
      </c>
      <c r="M411" s="17">
        <f t="shared" si="713"/>
      </c>
      <c r="N411" s="17">
        <f t="shared" si="713"/>
      </c>
      <c r="O411" s="17">
        <f t="shared" si="713"/>
      </c>
      <c r="P411" s="1000">
        <f t="shared" si="713"/>
      </c>
      <c r="Q411" s="17">
        <f t="shared" si="713"/>
      </c>
      <c r="R411" s="17">
        <f t="shared" si="713"/>
      </c>
      <c r="S411" s="17">
        <f t="shared" si="713"/>
      </c>
      <c r="T411" s="17">
        <f t="shared" si="713"/>
      </c>
      <c r="U411" s="1000">
        <f t="shared" si="713"/>
      </c>
      <c r="V411" s="17">
        <f t="shared" si="713"/>
      </c>
      <c r="W411" s="17">
        <f t="shared" si="713"/>
      </c>
      <c r="X411" s="17">
        <f t="shared" si="713"/>
      </c>
      <c r="Y411" s="17">
        <f t="shared" si="713"/>
      </c>
      <c r="Z411" s="1000">
        <f t="shared" si="713"/>
      </c>
      <c r="AA411" s="17">
        <f t="shared" si="713"/>
      </c>
      <c r="AB411" s="17">
        <f t="shared" si="713"/>
      </c>
      <c r="AC411" s="17">
        <f t="shared" si="713"/>
      </c>
      <c r="AD411" s="17">
        <f t="shared" si="713"/>
      </c>
      <c r="AE411" s="1000">
        <f t="shared" si="713"/>
      </c>
      <c r="AF411" s="17">
        <f t="shared" si="713"/>
      </c>
      <c r="AG411" s="17">
        <f t="shared" si="713"/>
      </c>
      <c r="AH411" s="17">
        <f t="shared" si="713"/>
      </c>
      <c r="AI411" s="17">
        <f t="shared" ref="AI411:AW411" si="714">AI479/AI462</f>
      </c>
      <c r="AJ411" s="1000">
        <f t="shared" si="714"/>
      </c>
      <c r="AK411" s="17">
        <f t="shared" si="714"/>
      </c>
      <c r="AL411" s="17">
        <f t="shared" si="714"/>
      </c>
      <c r="AM411" s="17">
        <f t="shared" si="714"/>
      </c>
      <c r="AN411" s="17">
        <f t="shared" si="714"/>
      </c>
      <c r="AO411" s="1000">
        <f t="shared" si="714"/>
      </c>
      <c r="AP411" s="17">
        <f t="shared" si="714"/>
      </c>
      <c r="AQ411" s="17">
        <f t="shared" si="714"/>
      </c>
      <c r="AR411" s="17">
        <f t="shared" si="714"/>
      </c>
      <c r="AS411" s="17">
        <f t="shared" si="714"/>
      </c>
      <c r="AT411" s="1000">
        <f t="shared" si="714"/>
      </c>
      <c r="AU411" s="17">
        <f t="shared" si="714"/>
      </c>
      <c r="AV411" s="17">
        <f t="shared" si="714"/>
      </c>
      <c r="AW411" s="17">
        <f t="shared" si="714"/>
      </c>
      <c r="AX411" s="17">
        <f t="shared" ref="AX411:BD411" si="715">AX479/AX462</f>
      </c>
      <c r="AY411" s="1000">
        <f t="shared" si="715"/>
      </c>
      <c r="AZ411" s="17">
        <f t="shared" si="715"/>
      </c>
      <c r="BA411" s="17">
        <f t="shared" si="715"/>
      </c>
      <c r="BB411" s="17">
        <f t="shared" si="715"/>
      </c>
      <c r="BC411" s="17">
        <f t="shared" si="715"/>
      </c>
      <c r="BD411" s="1000">
        <f t="shared" si="715"/>
      </c>
      <c r="BE411" s="17">
        <f t="shared" ref="BE411:BI411" si="716">BE479/BE462</f>
      </c>
      <c r="BF411" s="17">
        <f t="shared" si="716"/>
      </c>
      <c r="BG411" s="17">
        <f t="shared" si="716"/>
      </c>
      <c r="BH411" s="17">
        <f t="shared" si="716"/>
      </c>
      <c r="BI411" s="1000">
        <f t="shared" si="716"/>
      </c>
      <c r="BJ411" s="17">
        <f t="shared" ref="BJ411:BX411" si="717">BJ479/BJ462</f>
      </c>
      <c r="BK411" s="17">
        <f t="shared" si="717"/>
      </c>
      <c r="BL411" s="17">
        <f t="shared" si="717"/>
      </c>
      <c r="BM411" s="17">
        <f t="shared" si="717"/>
      </c>
      <c r="BN411" s="1000">
        <f t="shared" si="717"/>
      </c>
      <c r="BO411" s="17">
        <f t="shared" ref="BO411:BW411" si="718">BO479/BO462</f>
      </c>
      <c r="BP411" s="17">
        <f t="shared" si="718"/>
      </c>
      <c r="BQ411" s="17">
        <f t="shared" si="718"/>
      </c>
      <c r="BR411" s="17">
        <f t="shared" si="718"/>
      </c>
      <c r="BS411" s="1000">
        <f t="shared" si="718"/>
      </c>
      <c r="BT411" s="691">
        <f>BT479/BT462</f>
      </c>
      <c r="BU411" s="25">
        <f t="shared" si="718"/>
      </c>
      <c r="BV411" s="25">
        <f t="shared" si="718"/>
      </c>
      <c r="BW411" s="25">
        <f t="shared" si="718"/>
      </c>
      <c r="BX411" s="1001">
        <f t="shared" si="717"/>
      </c>
      <c r="BY411" s="25">
        <f t="shared" ref="BY411:CF411" si="719">BY479/BY462</f>
      </c>
      <c r="BZ411" s="25">
        <f t="shared" si="719"/>
      </c>
      <c r="CA411" s="25">
        <f t="shared" si="719"/>
      </c>
      <c r="CB411" s="25">
        <f t="shared" si="719"/>
      </c>
      <c r="CC411" s="1001">
        <f t="shared" si="719"/>
      </c>
      <c r="CD411" s="1001">
        <f t="shared" si="719"/>
      </c>
      <c r="CE411" s="1001">
        <f t="shared" si="719"/>
      </c>
      <c r="CF411" s="1001">
        <f t="shared" si="719"/>
      </c>
      <c r="CG411" s="11"/>
    </row>
    <row r="412" spans="1:85" hidden="1" outlineLevel="1" x14ac:dyDescent="0.3">
      <c r="A412" s="61" t="s">
        <v>904</v>
      </c>
      <c r="B412" s="55"/>
      <c r="C412" s="998">
        <f t="shared" ref="C412:AH412" si="720">C480/C462</f>
      </c>
      <c r="D412" s="998">
        <f t="shared" si="720"/>
      </c>
      <c r="E412" s="998">
        <f t="shared" si="720"/>
      </c>
      <c r="F412" s="998">
        <f t="shared" si="720"/>
      </c>
      <c r="G412" s="620">
        <f t="shared" si="720"/>
      </c>
      <c r="H412" s="620">
        <f t="shared" si="720"/>
      </c>
      <c r="I412" s="620">
        <f t="shared" si="720"/>
      </c>
      <c r="J412" s="620">
        <f t="shared" si="720"/>
      </c>
      <c r="K412" s="998">
        <f t="shared" si="720"/>
      </c>
      <c r="L412" s="620">
        <f t="shared" si="720"/>
      </c>
      <c r="M412" s="620">
        <f t="shared" si="720"/>
      </c>
      <c r="N412" s="620">
        <f t="shared" si="720"/>
      </c>
      <c r="O412" s="620">
        <f t="shared" si="720"/>
      </c>
      <c r="P412" s="998">
        <f t="shared" si="720"/>
      </c>
      <c r="Q412" s="620">
        <f t="shared" si="720"/>
      </c>
      <c r="R412" s="620">
        <f t="shared" si="720"/>
      </c>
      <c r="S412" s="620">
        <f t="shared" si="720"/>
      </c>
      <c r="T412" s="620">
        <f t="shared" si="720"/>
      </c>
      <c r="U412" s="998">
        <f t="shared" si="720"/>
      </c>
      <c r="V412" s="620">
        <f t="shared" si="720"/>
      </c>
      <c r="W412" s="620">
        <f t="shared" si="720"/>
      </c>
      <c r="X412" s="620">
        <f t="shared" si="720"/>
      </c>
      <c r="Y412" s="26">
        <f t="shared" si="720"/>
      </c>
      <c r="Z412" s="980">
        <f t="shared" si="720"/>
      </c>
      <c r="AA412" s="620">
        <f t="shared" si="720"/>
      </c>
      <c r="AB412" s="620">
        <f t="shared" si="720"/>
      </c>
      <c r="AC412" s="620">
        <f t="shared" si="720"/>
      </c>
      <c r="AD412" s="26">
        <f t="shared" si="720"/>
      </c>
      <c r="AE412" s="980">
        <f t="shared" si="720"/>
      </c>
      <c r="AF412" s="620">
        <f t="shared" si="720"/>
      </c>
      <c r="AG412" s="620">
        <f t="shared" si="720"/>
      </c>
      <c r="AH412" s="620">
        <f t="shared" si="720"/>
      </c>
      <c r="AI412" s="26">
        <f t="shared" ref="AI412:AW412" si="721">AI480/AI462</f>
      </c>
      <c r="AJ412" s="980">
        <f t="shared" si="721"/>
      </c>
      <c r="AK412" s="620">
        <f t="shared" si="721"/>
      </c>
      <c r="AL412" s="620">
        <f t="shared" si="721"/>
      </c>
      <c r="AM412" s="620">
        <f t="shared" si="721"/>
      </c>
      <c r="AN412" s="26">
        <f t="shared" si="721"/>
      </c>
      <c r="AO412" s="980">
        <f t="shared" si="721"/>
      </c>
      <c r="AP412" s="620">
        <f t="shared" si="721"/>
      </c>
      <c r="AQ412" s="620">
        <f t="shared" si="721"/>
      </c>
      <c r="AR412" s="620">
        <f t="shared" si="721"/>
      </c>
      <c r="AS412" s="26">
        <f t="shared" si="721"/>
      </c>
      <c r="AT412" s="980">
        <f t="shared" si="721"/>
      </c>
      <c r="AU412" s="620">
        <f t="shared" si="721"/>
      </c>
      <c r="AV412" s="620">
        <f t="shared" si="721"/>
      </c>
      <c r="AW412" s="620">
        <f t="shared" si="721"/>
      </c>
      <c r="AX412" s="26">
        <f t="shared" ref="AX412:BD412" si="722">AX480/AX462</f>
      </c>
      <c r="AY412" s="980">
        <f t="shared" si="722"/>
      </c>
      <c r="AZ412" s="620">
        <f t="shared" si="722"/>
      </c>
      <c r="BA412" s="620">
        <f t="shared" si="722"/>
      </c>
      <c r="BB412" s="620">
        <f t="shared" si="722"/>
      </c>
      <c r="BC412" s="26">
        <f t="shared" si="722"/>
      </c>
      <c r="BD412" s="980">
        <f t="shared" si="722"/>
      </c>
      <c r="BE412" s="620">
        <f t="shared" ref="BE412:BI412" si="723">BE480/BE462</f>
      </c>
      <c r="BF412" s="620">
        <f t="shared" si="723"/>
      </c>
      <c r="BG412" s="620">
        <f t="shared" si="723"/>
      </c>
      <c r="BH412" s="26">
        <f t="shared" si="723"/>
      </c>
      <c r="BI412" s="980">
        <f t="shared" si="723"/>
      </c>
      <c r="BJ412" s="620">
        <f t="shared" ref="BJ412:BX412" si="724">BJ480/BJ462</f>
      </c>
      <c r="BK412" s="620">
        <f t="shared" si="724"/>
      </c>
      <c r="BL412" s="620">
        <f t="shared" si="724"/>
      </c>
      <c r="BM412" s="26">
        <f t="shared" si="724"/>
      </c>
      <c r="BN412" s="980">
        <f t="shared" si="724"/>
      </c>
      <c r="BO412" s="620">
        <f t="shared" ref="BO412:BW412" si="725">BO480/BO462</f>
      </c>
      <c r="BP412" s="620">
        <f t="shared" si="725"/>
      </c>
      <c r="BQ412" s="620">
        <f t="shared" si="725"/>
      </c>
      <c r="BR412" s="26">
        <f t="shared" si="725"/>
      </c>
      <c r="BS412" s="980">
        <f t="shared" si="725"/>
      </c>
      <c r="BT412" s="690">
        <f>BT480/BT462</f>
      </c>
      <c r="BU412" s="26">
        <f t="shared" si="725"/>
      </c>
      <c r="BV412" s="26">
        <f t="shared" si="725"/>
      </c>
      <c r="BW412" s="26">
        <f t="shared" si="725"/>
      </c>
      <c r="BX412" s="980">
        <f t="shared" si="724"/>
      </c>
      <c r="BY412" s="26">
        <f t="shared" ref="BY412:CF412" si="726">BY480/BY462</f>
      </c>
      <c r="BZ412" s="26">
        <f t="shared" si="726"/>
      </c>
      <c r="CA412" s="26">
        <f t="shared" si="726"/>
      </c>
      <c r="CB412" s="26">
        <f t="shared" si="726"/>
      </c>
      <c r="CC412" s="980">
        <f t="shared" si="726"/>
      </c>
      <c r="CD412" s="980">
        <f t="shared" si="726"/>
      </c>
      <c r="CE412" s="980">
        <f t="shared" si="726"/>
      </c>
      <c r="CF412" s="980">
        <f t="shared" si="726"/>
      </c>
      <c r="CG412" s="11"/>
    </row>
    <row r="413" spans="1:85" hidden="1" outlineLevel="1" x14ac:dyDescent="0.3">
      <c r="A413" s="47" t="s">
        <v>39</v>
      </c>
      <c r="B413" s="259"/>
      <c r="C413" s="1003"/>
      <c r="D413" s="1003"/>
      <c r="E413" s="1003"/>
      <c r="F413" s="1003"/>
      <c r="G413" s="69"/>
      <c r="H413" s="69"/>
      <c r="I413" s="69"/>
      <c r="J413" s="69"/>
      <c r="K413" s="1003"/>
      <c r="L413" s="69"/>
      <c r="M413" s="69"/>
      <c r="N413" s="69"/>
      <c r="O413" s="69"/>
      <c r="P413" s="1003"/>
      <c r="Q413" s="69"/>
      <c r="R413" s="69"/>
      <c r="S413" s="69"/>
      <c r="T413" s="69"/>
      <c r="U413" s="1003"/>
      <c r="V413" s="69"/>
      <c r="W413" s="69"/>
      <c r="X413" s="69"/>
      <c r="Y413" s="69"/>
      <c r="Z413" s="1003"/>
      <c r="AA413" s="69"/>
      <c r="AB413" s="69"/>
      <c r="AC413" s="69"/>
      <c r="AD413" s="69"/>
      <c r="AE413" s="1003"/>
      <c r="AF413" s="69"/>
      <c r="AG413" s="69"/>
      <c r="AH413" s="69"/>
      <c r="AI413" s="69"/>
      <c r="AJ413" s="1003"/>
      <c r="AK413" s="69"/>
      <c r="AL413" s="69"/>
      <c r="AM413" s="69"/>
      <c r="AN413" s="69"/>
      <c r="AO413" s="1003"/>
      <c r="AP413" s="69"/>
      <c r="AQ413" s="69"/>
      <c r="AR413" s="69"/>
      <c r="AS413" s="69"/>
      <c r="AT413" s="1003"/>
      <c r="AU413" s="69"/>
      <c r="AV413" s="69"/>
      <c r="AW413" s="69"/>
      <c r="AX413" s="69"/>
      <c r="AY413" s="1003"/>
      <c r="AZ413" s="69"/>
      <c r="BA413" s="69"/>
      <c r="BB413" s="69"/>
      <c r="BC413" s="69"/>
      <c r="BD413" s="1003"/>
      <c r="BE413" s="69"/>
      <c r="BF413" s="69"/>
      <c r="BG413" s="69"/>
      <c r="BH413" s="69"/>
      <c r="BI413" s="1003"/>
      <c r="BJ413" s="69"/>
      <c r="BK413" s="69"/>
      <c r="BL413" s="69"/>
      <c r="BM413" s="69"/>
      <c r="BN413" s="1003"/>
      <c r="BO413" s="69"/>
      <c r="BP413" s="69"/>
      <c r="BQ413" s="69"/>
      <c r="BR413" s="69"/>
      <c r="BS413" s="1003"/>
      <c r="BT413" s="693"/>
      <c r="BU413" s="535">
        <f t="shared" ref="BU413:CF413" ca="1" si="727">IFERROR(BU481/BU463,0)</f>
      </c>
      <c r="BV413" s="535">
        <f t="shared" ca="1" si="727"/>
      </c>
      <c r="BW413" s="535">
        <f t="shared" ca="1" si="727"/>
      </c>
      <c r="BX413" s="1004">
        <f t="shared" ca="1" si="727"/>
      </c>
      <c r="BY413" s="535">
        <f t="shared" ca="1" si="727"/>
      </c>
      <c r="BZ413" s="535">
        <f t="shared" ca="1" si="727"/>
      </c>
      <c r="CA413" s="535">
        <f t="shared" ca="1" si="727"/>
      </c>
      <c r="CB413" s="535">
        <f t="shared" ca="1" si="727"/>
      </c>
      <c r="CC413" s="1004">
        <f t="shared" ca="1" si="727"/>
      </c>
      <c r="CD413" s="1004">
        <f t="shared" ca="1" si="727"/>
      </c>
      <c r="CE413" s="1004">
        <f t="shared" ca="1" si="727"/>
      </c>
      <c r="CF413" s="1004">
        <f t="shared" ca="1" si="727"/>
      </c>
      <c r="CG413" s="47"/>
    </row>
    <row r="414" spans="1:85" collapsed="1" x14ac:dyDescent="0.3">
      <c r="A414" s="69"/>
      <c r="B414" s="259"/>
      <c r="C414" s="1003"/>
      <c r="D414" s="1003"/>
      <c r="E414" s="1003"/>
      <c r="F414" s="1003"/>
      <c r="G414" s="69"/>
      <c r="H414" s="69"/>
      <c r="I414" s="69"/>
      <c r="J414" s="69"/>
      <c r="K414" s="1003"/>
      <c r="L414" s="69"/>
      <c r="M414" s="69"/>
      <c r="N414" s="69"/>
      <c r="O414" s="69"/>
      <c r="P414" s="1003"/>
      <c r="Q414" s="69"/>
      <c r="R414" s="69"/>
      <c r="S414" s="69"/>
      <c r="T414" s="69"/>
      <c r="U414" s="1003"/>
      <c r="V414" s="69"/>
      <c r="W414" s="69"/>
      <c r="X414" s="69"/>
      <c r="Y414" s="69"/>
      <c r="Z414" s="1003"/>
      <c r="AA414" s="69"/>
      <c r="AB414" s="69"/>
      <c r="AC414" s="69"/>
      <c r="AD414" s="69"/>
      <c r="AE414" s="1003"/>
      <c r="AF414" s="69"/>
      <c r="AG414" s="69"/>
      <c r="AH414" s="69"/>
      <c r="AI414" s="69"/>
      <c r="AJ414" s="1003"/>
      <c r="AK414" s="69"/>
      <c r="AL414" s="69"/>
      <c r="AM414" s="69"/>
      <c r="AN414" s="69"/>
      <c r="AO414" s="1003"/>
      <c r="AP414" s="69"/>
      <c r="AQ414" s="69"/>
      <c r="AR414" s="69"/>
      <c r="AS414" s="69"/>
      <c r="AT414" s="1003"/>
      <c r="AU414" s="69"/>
      <c r="AV414" s="69"/>
      <c r="AW414" s="69"/>
      <c r="AX414" s="69"/>
      <c r="AY414" s="1003"/>
      <c r="AZ414" s="69"/>
      <c r="BA414" s="69"/>
      <c r="BB414" s="69"/>
      <c r="BC414" s="69"/>
      <c r="BD414" s="1003"/>
      <c r="BE414" s="69"/>
      <c r="BF414" s="69"/>
      <c r="BG414" s="69"/>
      <c r="BH414" s="69"/>
      <c r="BI414" s="1003"/>
      <c r="BJ414" s="69"/>
      <c r="BK414" s="69"/>
      <c r="BL414" s="69"/>
      <c r="BM414" s="69"/>
      <c r="BN414" s="1003"/>
      <c r="BO414" s="69"/>
      <c r="BP414" s="69"/>
      <c r="BQ414" s="69"/>
      <c r="BR414" s="69"/>
      <c r="BS414" s="1003"/>
      <c r="BT414" s="693"/>
      <c r="BU414" s="69"/>
      <c r="BV414" s="69"/>
      <c r="BW414" s="69"/>
      <c r="BX414" s="1003"/>
      <c r="BY414" s="69"/>
      <c r="BZ414" s="69"/>
      <c r="CA414" s="69"/>
      <c r="CB414" s="69"/>
      <c r="CC414" s="1003"/>
      <c r="CD414" s="1003"/>
      <c r="CE414" s="1003"/>
      <c r="CF414" s="1003"/>
      <c r="CG414" s="47"/>
    </row>
    <row r="415" spans="1:85" x14ac:dyDescent="0.3">
      <c r="A415" s="754" t="s">
        <v>40</v>
      </c>
      <c r="B415" s="754"/>
      <c r="C415" s="754"/>
      <c r="D415" s="754"/>
      <c r="E415" s="754"/>
      <c r="F415" s="754"/>
      <c r="G415" s="754"/>
      <c r="H415" s="754"/>
      <c r="I415" s="754"/>
      <c r="J415" s="754"/>
      <c r="K415" s="754"/>
      <c r="L415" s="754"/>
      <c r="M415" s="754"/>
      <c r="N415" s="754"/>
      <c r="O415" s="754"/>
      <c r="P415" s="754"/>
      <c r="Q415" s="754"/>
      <c r="R415" s="754"/>
      <c r="S415" s="754"/>
      <c r="T415" s="754"/>
      <c r="U415" s="754"/>
      <c r="V415" s="754"/>
      <c r="W415" s="754"/>
      <c r="X415" s="754"/>
      <c r="Y415" s="754"/>
      <c r="Z415" s="754"/>
      <c r="AA415" s="754"/>
      <c r="AB415" s="754"/>
      <c r="AC415" s="754"/>
      <c r="AD415" s="754"/>
      <c r="AE415" s="754"/>
      <c r="AF415" s="754"/>
      <c r="AG415" s="754"/>
      <c r="AH415" s="754"/>
      <c r="AI415" s="754"/>
      <c r="AJ415" s="754"/>
      <c r="AK415" s="754"/>
      <c r="AL415" s="754"/>
      <c r="AM415" s="754"/>
      <c r="AN415" s="754"/>
      <c r="AO415" s="754"/>
      <c r="AP415" s="754"/>
      <c r="AQ415" s="754"/>
      <c r="AR415" s="754"/>
      <c r="AS415" s="754"/>
      <c r="AT415" s="754"/>
      <c r="AU415" s="754"/>
      <c r="AV415" s="754"/>
      <c r="AW415" s="754"/>
      <c r="AX415" s="754"/>
      <c r="AY415" s="754"/>
      <c r="AZ415" s="754"/>
      <c r="BA415" s="754"/>
      <c r="BB415" s="754"/>
      <c r="BC415" s="754"/>
      <c r="BD415" s="754"/>
      <c r="BE415" s="754"/>
      <c r="BF415" s="754"/>
      <c r="BG415" s="754"/>
      <c r="BH415" s="754"/>
      <c r="BI415" s="754"/>
      <c r="BJ415" s="754"/>
      <c r="BK415" s="754"/>
      <c r="BL415" s="754"/>
      <c r="BM415" s="754"/>
      <c r="BN415" s="754"/>
      <c r="BO415" s="754"/>
      <c r="BP415" s="754"/>
      <c r="BQ415" s="754"/>
      <c r="BR415" s="754"/>
      <c r="BS415" s="754"/>
      <c r="BT415" s="755"/>
      <c r="BU415" s="754"/>
      <c r="BV415" s="754"/>
      <c r="BW415" s="754"/>
      <c r="BX415" s="754"/>
      <c r="BY415" s="754"/>
      <c r="BZ415" s="754"/>
      <c r="CA415" s="754"/>
      <c r="CB415" s="754"/>
      <c r="CC415" s="754"/>
      <c r="CD415" s="754"/>
      <c r="CE415" s="754"/>
      <c r="CF415" s="754"/>
      <c r="CG415" s="183"/>
    </row>
    <row r="416" spans="1:85" s="587" customFormat="1" hidden="1" outlineLevel="1" x14ac:dyDescent="0.3">
      <c r="A416" s="4" t="s">
        <v>41</v>
      </c>
      <c r="B416" s="428"/>
      <c r="C416" s="971">
        <v>1670.269</v>
      </c>
      <c r="D416" s="971">
        <v>2162.625</v>
      </c>
      <c r="E416" s="971">
        <v>3204.5770000000002</v>
      </c>
      <c r="F416" s="971">
        <v>3609.2820000000002</v>
      </c>
      <c r="G416" s="861">
        <v>1023.961</v>
      </c>
      <c r="H416" s="861">
        <v>1069.3720000000001</v>
      </c>
      <c r="I416" s="861">
        <v>1105.999</v>
      </c>
      <c r="J416" s="183">
        <f>K416-G416-H416-I416</f>
      </c>
      <c r="K416" s="971">
        <v>4374.5619999999999</v>
      </c>
      <c r="L416" s="861">
        <v>1270.0889999999999</v>
      </c>
      <c r="M416" s="861">
        <v>1340.4069999999999</v>
      </c>
      <c r="N416" s="861">
        <v>1409.432</v>
      </c>
      <c r="O416" s="183">
        <f>P416-L416-M416-N416</f>
      </c>
      <c r="P416" s="971">
        <v>5504.6559999999999</v>
      </c>
      <c r="Q416" s="861">
        <v>1573.1289999999999</v>
      </c>
      <c r="R416" s="861">
        <v>1644.694</v>
      </c>
      <c r="S416" s="861">
        <v>1738.355</v>
      </c>
      <c r="T416" s="183">
        <f>U416-Q416-R416-S416</f>
      </c>
      <c r="U416" s="971">
        <v>6779.5110000000004</v>
      </c>
      <c r="V416" s="861">
        <v>1957.7360000000001</v>
      </c>
      <c r="W416" s="861">
        <v>2105.2040000000002</v>
      </c>
      <c r="X416" s="861">
        <v>2290.1880000000001</v>
      </c>
      <c r="Y416" s="183">
        <f>Z416-V416-W416-X416</f>
      </c>
      <c r="Z416" s="971">
        <v>8830.6689999999999</v>
      </c>
      <c r="AA416" s="861">
        <v>2636.6350000000002</v>
      </c>
      <c r="AB416" s="861">
        <v>2785.4639999999999</v>
      </c>
      <c r="AC416" s="861">
        <v>2984.8589999999999</v>
      </c>
      <c r="AD416" s="183">
        <f>AE416-AA416-AB416-AC416</f>
      </c>
      <c r="AE416" s="971">
        <v>11692.713</v>
      </c>
      <c r="AF416" s="861">
        <v>3700.8560000000002</v>
      </c>
      <c r="AG416" s="861">
        <v>3907.27</v>
      </c>
      <c r="AH416" s="861">
        <v>3999.3739999999998</v>
      </c>
      <c r="AI416" s="183">
        <f>AJ416-AF416-AG416-AH416</f>
      </c>
      <c r="AJ416" s="971">
        <v>15794.341</v>
      </c>
      <c r="AK416" s="861">
        <v>4520.9920000000002</v>
      </c>
      <c r="AL416" s="861">
        <v>4923.116</v>
      </c>
      <c r="AM416" s="861">
        <v>5244.9049999999997</v>
      </c>
      <c r="AN416" s="183">
        <f>AO416-AK416-AL416-AM416</f>
      </c>
      <c r="AO416" s="971">
        <v>20156.447</v>
      </c>
      <c r="AP416" s="861">
        <v>5767.6909999999998</v>
      </c>
      <c r="AQ416" s="861">
        <v>6148.2860000000001</v>
      </c>
      <c r="AR416" s="861">
        <v>6435.6369999999997</v>
      </c>
      <c r="AS416" s="183">
        <f>AT416-AP416-AQ416-AR416</f>
      </c>
      <c r="AT416" s="971">
        <v>24996.056</v>
      </c>
      <c r="AU416" s="861">
        <v>7163.2820000000002</v>
      </c>
      <c r="AV416" s="861">
        <v>7341.777</v>
      </c>
      <c r="AW416" s="861">
        <v>7483.4669999999996</v>
      </c>
      <c r="AX416" s="183">
        <f>AY416-AU416-AV416-AW416</f>
      </c>
      <c r="AY416" s="971">
        <v>29697.844000000001</v>
      </c>
      <c r="AZ416" s="861">
        <v>7867.7669999999998</v>
      </c>
      <c r="BA416" s="861">
        <v>7970.1409999999996</v>
      </c>
      <c r="BB416" s="861">
        <v>7925.5889999999999</v>
      </c>
      <c r="BC416" s="183">
        <f>BD416-AZ416-BA416-BB416</f>
      </c>
      <c r="BD416" s="971">
        <v>31615.55</v>
      </c>
      <c r="BE416" s="861">
        <v>8161.5029999999997</v>
      </c>
      <c r="BF416" s="861">
        <v>8187.3010000000004</v>
      </c>
      <c r="BG416" s="861">
        <v>8541.6679999999997</v>
      </c>
      <c r="BH416" s="183">
        <f>BI416-BE416-BF416-BG416</f>
      </c>
      <c r="BI416" s="971">
        <v>33723.296999999999</v>
      </c>
      <c r="BJ416" s="861">
        <v>9370.44</v>
      </c>
      <c r="BK416" s="861">
        <v>9559.31</v>
      </c>
      <c r="BL416" s="861">
        <v>9824.7029999999995</v>
      </c>
      <c r="BM416" s="183">
        <f>BN416-BJ416-BK416-BL416</f>
      </c>
      <c r="BN416" s="971">
        <v>39000.966</v>
      </c>
      <c r="BO416" s="861">
        <v>10542.800999999999</v>
      </c>
      <c r="BP416" s="861">
        <v>11079.165999999999</v>
      </c>
      <c r="BQ416" s="861">
        <v>11510.307000000001</v>
      </c>
      <c r="BR416" s="183">
        <f>BS416-BO416-BP416-BQ416</f>
      </c>
      <c r="BS416" s="971">
        <v>45183.036</v>
      </c>
      <c r="BT416" s="872">
        <v>12249.757</v>
      </c>
      <c r="BU416" s="759"/>
      <c r="BV416" s="759"/>
      <c r="BW416" s="759"/>
      <c r="BX416" s="969"/>
      <c r="BY416" s="759"/>
      <c r="BZ416" s="759"/>
      <c r="CA416" s="759"/>
      <c r="CB416" s="759"/>
      <c r="CC416" s="969"/>
      <c r="CD416" s="969"/>
      <c r="CE416" s="969"/>
      <c r="CF416" s="969"/>
      <c r="CG416" s="183"/>
    </row>
    <row r="417" spans="1:85" s="587" customFormat="1" hidden="1" outlineLevel="2" x14ac:dyDescent="0.3">
      <c r="A417" s="182" t="s">
        <v>42</v>
      </c>
      <c r="B417" s="414"/>
      <c r="C417" s="963">
        <v>909.46100000000001</v>
      </c>
      <c r="D417" s="963">
        <v>1154.1089999999999</v>
      </c>
      <c r="E417" s="963">
        <v>1789.596</v>
      </c>
      <c r="F417" s="963">
        <v>0</v>
      </c>
      <c r="G417" s="857">
        <v>0</v>
      </c>
      <c r="H417" s="857">
        <v>0</v>
      </c>
      <c r="I417" s="857">
        <v>0</v>
      </c>
      <c r="J417" s="459">
        <f>K417-G417-H417-I417</f>
      </c>
      <c r="K417" s="963">
        <v>0</v>
      </c>
      <c r="L417" s="857">
        <v>0</v>
      </c>
      <c r="M417" s="857">
        <v>0</v>
      </c>
      <c r="N417" s="857">
        <v>0</v>
      </c>
      <c r="O417" s="459">
        <f>P417-L417-M417-N417</f>
      </c>
      <c r="P417" s="963">
        <v>0</v>
      </c>
      <c r="Q417" s="857">
        <v>0</v>
      </c>
      <c r="R417" s="857">
        <v>0</v>
      </c>
      <c r="S417" s="857">
        <v>0</v>
      </c>
      <c r="T417" s="459">
        <f>U417-Q417-R417-S417</f>
      </c>
      <c r="U417" s="963">
        <v>0</v>
      </c>
      <c r="V417" s="857">
        <v>0</v>
      </c>
      <c r="W417" s="857">
        <v>0</v>
      </c>
      <c r="X417" s="857">
        <v>0</v>
      </c>
      <c r="Y417" s="459">
        <f>Z417-V417-W417-X417</f>
      </c>
      <c r="Z417" s="963">
        <v>0</v>
      </c>
      <c r="AA417" s="857">
        <v>0</v>
      </c>
      <c r="AB417" s="857">
        <v>0</v>
      </c>
      <c r="AC417" s="857">
        <v>0</v>
      </c>
      <c r="AD417" s="459">
        <f>AE417-AA417-AB417-AC417</f>
      </c>
      <c r="AE417" s="963">
        <v>0</v>
      </c>
      <c r="AF417" s="757"/>
      <c r="AG417" s="757"/>
      <c r="AH417" s="757"/>
      <c r="AI417" s="757"/>
      <c r="AJ417" s="962"/>
      <c r="AK417" s="757"/>
      <c r="AL417" s="757"/>
      <c r="AM417" s="757"/>
      <c r="AN417" s="757"/>
      <c r="AO417" s="962"/>
      <c r="AP417" s="757"/>
      <c r="AQ417" s="757"/>
      <c r="AR417" s="757"/>
      <c r="AS417" s="757"/>
      <c r="AT417" s="962"/>
      <c r="AU417" s="757"/>
      <c r="AV417" s="757"/>
      <c r="AW417" s="757"/>
      <c r="AX417" s="757"/>
      <c r="AY417" s="962"/>
      <c r="AZ417" s="757"/>
      <c r="BA417" s="757"/>
      <c r="BB417" s="757"/>
      <c r="BC417" s="757"/>
      <c r="BD417" s="962"/>
      <c r="BE417" s="757"/>
      <c r="BF417" s="757"/>
      <c r="BG417" s="757"/>
      <c r="BH417" s="757"/>
      <c r="BI417" s="962"/>
      <c r="BJ417" s="757"/>
      <c r="BK417" s="757"/>
      <c r="BL417" s="757"/>
      <c r="BM417" s="757"/>
      <c r="BN417" s="962"/>
      <c r="BO417" s="757"/>
      <c r="BP417" s="757"/>
      <c r="BQ417" s="757"/>
      <c r="BR417" s="757"/>
      <c r="BS417" s="962"/>
      <c r="BT417" s="758"/>
      <c r="BU417" s="757"/>
      <c r="BV417" s="757"/>
      <c r="BW417" s="757"/>
      <c r="BX417" s="962"/>
      <c r="BY417" s="757"/>
      <c r="BZ417" s="757"/>
      <c r="CA417" s="757"/>
      <c r="CB417" s="757"/>
      <c r="CC417" s="962"/>
      <c r="CD417" s="962"/>
      <c r="CE417" s="962"/>
      <c r="CF417" s="962"/>
      <c r="CG417" s="459"/>
    </row>
    <row r="418" spans="1:85" s="587" customFormat="1" hidden="1" outlineLevel="2" x14ac:dyDescent="0.3">
      <c r="A418" s="182" t="s">
        <v>43</v>
      </c>
      <c r="B418" s="414"/>
      <c r="C418" s="963">
        <v>169.81</v>
      </c>
      <c r="D418" s="963">
        <v>203.24600000000001</v>
      </c>
      <c r="E418" s="963">
        <v>250.30500000000001</v>
      </c>
      <c r="F418" s="963">
        <v>0</v>
      </c>
      <c r="G418" s="857">
        <v>0</v>
      </c>
      <c r="H418" s="857">
        <v>0</v>
      </c>
      <c r="I418" s="857">
        <v>0</v>
      </c>
      <c r="J418" s="459">
        <f>K418-G418-H418-I418</f>
      </c>
      <c r="K418" s="963">
        <v>0</v>
      </c>
      <c r="L418" s="857">
        <v>0</v>
      </c>
      <c r="M418" s="857">
        <v>0</v>
      </c>
      <c r="N418" s="857">
        <v>0</v>
      </c>
      <c r="O418" s="459">
        <f>P418-L418-M418-N418</f>
      </c>
      <c r="P418" s="963">
        <v>0</v>
      </c>
      <c r="Q418" s="857">
        <v>0</v>
      </c>
      <c r="R418" s="857">
        <v>0</v>
      </c>
      <c r="S418" s="857">
        <v>0</v>
      </c>
      <c r="T418" s="459">
        <f>U418-Q418-R418-S418</f>
      </c>
      <c r="U418" s="963">
        <v>0</v>
      </c>
      <c r="V418" s="857">
        <v>0</v>
      </c>
      <c r="W418" s="857">
        <v>0</v>
      </c>
      <c r="X418" s="857">
        <v>0</v>
      </c>
      <c r="Y418" s="459">
        <f>Z418-V418-W418-X418</f>
      </c>
      <c r="Z418" s="963">
        <v>0</v>
      </c>
      <c r="AA418" s="857">
        <v>0</v>
      </c>
      <c r="AB418" s="857">
        <v>0</v>
      </c>
      <c r="AC418" s="857">
        <v>0</v>
      </c>
      <c r="AD418" s="459">
        <f>AE418-AA418-AB418-AC418</f>
      </c>
      <c r="AE418" s="963">
        <v>0</v>
      </c>
      <c r="AF418" s="757"/>
      <c r="AG418" s="757"/>
      <c r="AH418" s="757"/>
      <c r="AI418" s="757"/>
      <c r="AJ418" s="962"/>
      <c r="AK418" s="757"/>
      <c r="AL418" s="757"/>
      <c r="AM418" s="757"/>
      <c r="AN418" s="757"/>
      <c r="AO418" s="962"/>
      <c r="AP418" s="757"/>
      <c r="AQ418" s="757"/>
      <c r="AR418" s="757"/>
      <c r="AS418" s="757"/>
      <c r="AT418" s="962"/>
      <c r="AU418" s="757"/>
      <c r="AV418" s="757"/>
      <c r="AW418" s="757"/>
      <c r="AX418" s="757"/>
      <c r="AY418" s="962"/>
      <c r="AZ418" s="757"/>
      <c r="BA418" s="757"/>
      <c r="BB418" s="757"/>
      <c r="BC418" s="757"/>
      <c r="BD418" s="962"/>
      <c r="BE418" s="757"/>
      <c r="BF418" s="757"/>
      <c r="BG418" s="757"/>
      <c r="BH418" s="757"/>
      <c r="BI418" s="962"/>
      <c r="BJ418" s="757"/>
      <c r="BK418" s="757"/>
      <c r="BL418" s="757"/>
      <c r="BM418" s="757"/>
      <c r="BN418" s="962"/>
      <c r="BO418" s="757"/>
      <c r="BP418" s="757"/>
      <c r="BQ418" s="757"/>
      <c r="BR418" s="757"/>
      <c r="BS418" s="962"/>
      <c r="BT418" s="758"/>
      <c r="BU418" s="757"/>
      <c r="BV418" s="757"/>
      <c r="BW418" s="757"/>
      <c r="BX418" s="962"/>
      <c r="BY418" s="757"/>
      <c r="BZ418" s="757"/>
      <c r="CA418" s="757"/>
      <c r="CB418" s="757"/>
      <c r="CC418" s="962"/>
      <c r="CD418" s="962"/>
      <c r="CE418" s="962"/>
      <c r="CF418" s="962"/>
      <c r="CG418" s="459"/>
    </row>
    <row r="419" spans="1:85" s="587" customFormat="1" hidden="1" outlineLevel="1" collapsed="1" x14ac:dyDescent="0.3">
      <c r="A419" s="30" t="s">
        <v>44</v>
      </c>
      <c r="B419" s="416"/>
      <c r="C419" s="1005">
        <f>SUM(C417:C418)</f>
      </c>
      <c r="D419" s="1005">
        <f>SUM(D417:D418)</f>
      </c>
      <c r="E419" s="1005">
        <f>SUM(E417:E418)</f>
      </c>
      <c r="F419" s="989">
        <v>2625.866</v>
      </c>
      <c r="G419" s="863">
        <v>736.952</v>
      </c>
      <c r="H419" s="863">
        <v>760.67399999999998</v>
      </c>
      <c r="I419" s="863">
        <v>798.9</v>
      </c>
      <c r="J419" s="800">
        <f>K419-G419-H419-I419</f>
      </c>
      <c r="K419" s="989">
        <v>3117.203</v>
      </c>
      <c r="L419" s="863">
        <v>869.18600000000004</v>
      </c>
      <c r="M419" s="863">
        <v>914.84799999999996</v>
      </c>
      <c r="N419" s="863">
        <v>954.39400000000001</v>
      </c>
      <c r="O419" s="800">
        <f>P419-L419-M419-N419</f>
      </c>
      <c r="P419" s="989">
        <v>3752.76</v>
      </c>
      <c r="Q419" s="863">
        <v>1046.4010000000001</v>
      </c>
      <c r="R419" s="863">
        <v>1121.752</v>
      </c>
      <c r="S419" s="863">
        <v>1173.9580000000001</v>
      </c>
      <c r="T419" s="800">
        <f>U419-Q419-R419-S419</f>
      </c>
      <c r="U419" s="989">
        <v>4591.4759999999997</v>
      </c>
      <c r="V419" s="863">
        <v>1418.5809999999999</v>
      </c>
      <c r="W419" s="863">
        <v>1525.3969999999999</v>
      </c>
      <c r="X419" s="863">
        <v>1593.768</v>
      </c>
      <c r="Y419" s="863">
        <v>1719.7159999999999</v>
      </c>
      <c r="Z419" s="989">
        <v>6257.4620000000004</v>
      </c>
      <c r="AA419" s="863">
        <v>1740.731</v>
      </c>
      <c r="AB419" s="863">
        <v>1991.6959999999999</v>
      </c>
      <c r="AC419" s="863">
        <v>2086.239</v>
      </c>
      <c r="AD419" s="863">
        <v>2214.3339999999998</v>
      </c>
      <c r="AE419" s="989">
        <v>8033</v>
      </c>
      <c r="AF419" s="863">
        <v>2300.5790000000002</v>
      </c>
      <c r="AG419" s="863">
        <v>2402.431</v>
      </c>
      <c r="AH419" s="863">
        <v>2531.1280000000002</v>
      </c>
      <c r="AI419" s="800">
        <f>AJ419-AF419-AG419-AH419</f>
      </c>
      <c r="AJ419" s="989">
        <v>9967.5380000000005</v>
      </c>
      <c r="AK419" s="863">
        <v>2870.614</v>
      </c>
      <c r="AL419" s="863">
        <v>3005.6570000000002</v>
      </c>
      <c r="AM419" s="863">
        <v>3097.9189999999999</v>
      </c>
      <c r="AN419" s="800">
        <f>AO419-AK419-AL419-AM419</f>
      </c>
      <c r="AO419" s="989">
        <v>12440.213</v>
      </c>
      <c r="AP419" s="863">
        <v>3599.701</v>
      </c>
      <c r="AQ419" s="863">
        <v>3643.7069999999999</v>
      </c>
      <c r="AR419" s="863">
        <v>3867.7510000000002</v>
      </c>
      <c r="AS419" s="800">
        <f>AT419-AP419-AQ419-AR419</f>
      </c>
      <c r="AT419" s="989">
        <v>15276.319</v>
      </c>
      <c r="AU419" s="863">
        <v>3868.511</v>
      </c>
      <c r="AV419" s="863">
        <v>4018.0079999999998</v>
      </c>
      <c r="AW419" s="863">
        <v>4206.5889999999999</v>
      </c>
      <c r="AX419" s="800">
        <f>AY419-AU419-AV419-AW419</f>
      </c>
      <c r="AY419" s="989">
        <v>17332.683000000001</v>
      </c>
      <c r="AZ419" s="863">
        <v>4284.7049999999999</v>
      </c>
      <c r="BA419" s="863">
        <v>4690.7550000000001</v>
      </c>
      <c r="BB419" s="863">
        <v>4788.665</v>
      </c>
      <c r="BC419" s="800">
        <f>BD419-AZ419-BA419-BB419</f>
      </c>
      <c r="BD419" s="989">
        <v>19168.285</v>
      </c>
      <c r="BE419" s="863">
        <v>4803.625</v>
      </c>
      <c r="BF419" s="863">
        <v>4673.47</v>
      </c>
      <c r="BG419" s="863">
        <v>4930.7879999999996</v>
      </c>
      <c r="BH419" s="800">
        <f>BI419-BE419-BF419-BG419</f>
      </c>
      <c r="BI419" s="989">
        <v>19715.367999999999</v>
      </c>
      <c r="BJ419" s="863">
        <v>4977.0730000000003</v>
      </c>
      <c r="BK419" s="863">
        <v>5174.143</v>
      </c>
      <c r="BL419" s="863">
        <v>5119.884</v>
      </c>
      <c r="BM419" s="800">
        <f>BN419-BJ419-BK419-BL419</f>
      </c>
      <c r="BN419" s="989">
        <v>21038.464</v>
      </c>
      <c r="BO419" s="863">
        <v>5263.1469999999999</v>
      </c>
      <c r="BP419" s="863">
        <v>5325.3109999999997</v>
      </c>
      <c r="BQ419" s="863">
        <v>6164.25</v>
      </c>
      <c r="BR419" s="800">
        <f>BS419-BO419-BP419-BQ419</f>
      </c>
      <c r="BS419" s="989">
        <v>23275.329000000002</v>
      </c>
      <c r="BT419" s="873">
        <v>5888.2380000000003</v>
      </c>
      <c r="BU419" s="761"/>
      <c r="BV419" s="761"/>
      <c r="BW419" s="761"/>
      <c r="BX419" s="984"/>
      <c r="BY419" s="761"/>
      <c r="BZ419" s="761"/>
      <c r="CA419" s="761"/>
      <c r="CB419" s="761"/>
      <c r="CC419" s="984"/>
      <c r="CD419" s="984"/>
      <c r="CE419" s="984"/>
      <c r="CF419" s="984"/>
      <c r="CG419" s="459"/>
    </row>
    <row r="420" spans="1:85" s="587" customFormat="1" hidden="1" outlineLevel="1" x14ac:dyDescent="0.3">
      <c r="A420" s="2" t="s">
        <v>45</v>
      </c>
      <c r="B420" s="422"/>
      <c r="C420" s="986">
        <f t="shared" ref="C420:AH420" si="728">C416-C419</f>
      </c>
      <c r="D420" s="986">
        <f t="shared" si="728"/>
      </c>
      <c r="E420" s="986">
        <f t="shared" si="728"/>
      </c>
      <c r="F420" s="986">
        <f t="shared" si="728"/>
      </c>
      <c r="G420" s="792">
        <f t="shared" si="728"/>
      </c>
      <c r="H420" s="792">
        <f t="shared" si="728"/>
      </c>
      <c r="I420" s="792">
        <f t="shared" si="728"/>
      </c>
      <c r="J420" s="792">
        <f t="shared" si="728"/>
      </c>
      <c r="K420" s="986">
        <f t="shared" si="728"/>
      </c>
      <c r="L420" s="792">
        <f t="shared" si="728"/>
      </c>
      <c r="M420" s="792">
        <f t="shared" si="728"/>
      </c>
      <c r="N420" s="792">
        <f t="shared" si="728"/>
      </c>
      <c r="O420" s="792">
        <f t="shared" si="728"/>
      </c>
      <c r="P420" s="986">
        <f t="shared" si="728"/>
      </c>
      <c r="Q420" s="792">
        <f t="shared" si="728"/>
      </c>
      <c r="R420" s="792">
        <f t="shared" si="728"/>
      </c>
      <c r="S420" s="792">
        <f t="shared" si="728"/>
      </c>
      <c r="T420" s="792">
        <f t="shared" si="728"/>
      </c>
      <c r="U420" s="986">
        <f t="shared" si="728"/>
      </c>
      <c r="V420" s="792">
        <f t="shared" si="728"/>
      </c>
      <c r="W420" s="792">
        <f t="shared" si="728"/>
      </c>
      <c r="X420" s="792">
        <f t="shared" si="728"/>
      </c>
      <c r="Y420" s="791">
        <f t="shared" si="728"/>
      </c>
      <c r="Z420" s="965">
        <f t="shared" si="728"/>
      </c>
      <c r="AA420" s="792">
        <f t="shared" si="728"/>
      </c>
      <c r="AB420" s="792">
        <f t="shared" si="728"/>
      </c>
      <c r="AC420" s="792">
        <f t="shared" si="728"/>
      </c>
      <c r="AD420" s="791">
        <f t="shared" si="728"/>
      </c>
      <c r="AE420" s="965">
        <f t="shared" si="728"/>
      </c>
      <c r="AF420" s="792">
        <f t="shared" si="728"/>
      </c>
      <c r="AG420" s="792">
        <f t="shared" si="728"/>
      </c>
      <c r="AH420" s="792">
        <f t="shared" si="728"/>
      </c>
      <c r="AI420" s="791">
        <f t="shared" ref="AI420:AQ420" si="729">AI416-AI419</f>
      </c>
      <c r="AJ420" s="965">
        <f t="shared" si="729"/>
      </c>
      <c r="AK420" s="792">
        <f t="shared" si="729"/>
      </c>
      <c r="AL420" s="792">
        <f t="shared" si="729"/>
      </c>
      <c r="AM420" s="792">
        <f t="shared" si="729"/>
      </c>
      <c r="AN420" s="791">
        <f t="shared" si="729"/>
      </c>
      <c r="AO420" s="965">
        <f t="shared" si="729"/>
      </c>
      <c r="AP420" s="792">
        <f t="shared" si="729"/>
      </c>
      <c r="AQ420" s="792">
        <f t="shared" si="729"/>
      </c>
      <c r="AR420" s="792">
        <f>AR416-AR419</f>
      </c>
      <c r="AS420" s="791">
        <f>AS416-AS419</f>
      </c>
      <c r="AT420" s="965">
        <f>AT416-AT419</f>
      </c>
      <c r="AU420" s="792">
        <f t="shared" ref="AU420" si="730">AU416-AU419</f>
      </c>
      <c r="AV420" s="792">
        <f t="shared" ref="AV420:BA420" si="731">AV416-AV419</f>
      </c>
      <c r="AW420" s="792">
        <f t="shared" si="731"/>
      </c>
      <c r="AX420" s="791">
        <f t="shared" si="731"/>
      </c>
      <c r="AY420" s="965">
        <f t="shared" si="731"/>
      </c>
      <c r="AZ420" s="792">
        <f t="shared" si="731"/>
      </c>
      <c r="BA420" s="791">
        <f t="shared" si="731"/>
      </c>
      <c r="BB420" s="792">
        <f t="shared" ref="BB420:BG420" si="732">BB416-BB419</f>
      </c>
      <c r="BC420" s="791">
        <f t="shared" si="732"/>
      </c>
      <c r="BD420" s="965">
        <f t="shared" si="732"/>
      </c>
      <c r="BE420" s="792">
        <f t="shared" si="732"/>
      </c>
      <c r="BF420" s="791">
        <f t="shared" si="732"/>
      </c>
      <c r="BG420" s="792">
        <f t="shared" si="732"/>
      </c>
      <c r="BH420" s="791">
        <f t="shared" ref="BH420:BN420" si="733">BH416-BH419</f>
      </c>
      <c r="BI420" s="965">
        <f t="shared" si="733"/>
      </c>
      <c r="BJ420" s="792">
        <f t="shared" si="733"/>
      </c>
      <c r="BK420" s="791">
        <f t="shared" si="733"/>
      </c>
      <c r="BL420" s="792">
        <f t="shared" si="733"/>
      </c>
      <c r="BM420" s="791">
        <f t="shared" si="733"/>
      </c>
      <c r="BN420" s="965">
        <f t="shared" si="733"/>
      </c>
      <c r="BO420" s="792">
        <f t="shared" ref="BO420:BT420" si="734">BO416-BO419</f>
      </c>
      <c r="BP420" s="791">
        <f t="shared" si="734"/>
      </c>
      <c r="BQ420" s="792">
        <f t="shared" si="734"/>
      </c>
      <c r="BR420" s="791">
        <f t="shared" si="734"/>
      </c>
      <c r="BS420" s="965">
        <f t="shared" si="734"/>
      </c>
      <c r="BT420" s="793">
        <f t="shared" si="734"/>
      </c>
      <c r="BU420" s="791"/>
      <c r="BV420" s="791"/>
      <c r="BW420" s="791"/>
      <c r="BX420" s="965"/>
      <c r="BY420" s="791"/>
      <c r="BZ420" s="791"/>
      <c r="CA420" s="791"/>
      <c r="CB420" s="791"/>
      <c r="CC420" s="965"/>
      <c r="CD420" s="965"/>
      <c r="CE420" s="965"/>
      <c r="CF420" s="965"/>
      <c r="CG420" s="183"/>
    </row>
    <row r="421" spans="1:85" s="587" customFormat="1" hidden="1" outlineLevel="1" x14ac:dyDescent="0.3">
      <c r="A421" s="182" t="s">
        <v>46</v>
      </c>
      <c r="B421" s="414"/>
      <c r="C421" s="963">
        <v>237.744</v>
      </c>
      <c r="D421" s="963">
        <v>293.839</v>
      </c>
      <c r="E421" s="963">
        <v>402.63799999999998</v>
      </c>
      <c r="F421" s="963">
        <v>465.4</v>
      </c>
      <c r="G421" s="857">
        <v>119.086</v>
      </c>
      <c r="H421" s="857">
        <v>114.611</v>
      </c>
      <c r="I421" s="857">
        <v>108.22799999999999</v>
      </c>
      <c r="J421" s="459">
        <f>K421-G421-H421-I421</f>
      </c>
      <c r="K421" s="963">
        <v>469.94200000000001</v>
      </c>
      <c r="L421" s="857">
        <v>137.09800000000001</v>
      </c>
      <c r="M421" s="857">
        <v>120.76300000000001</v>
      </c>
      <c r="N421" s="857">
        <v>145.654</v>
      </c>
      <c r="O421" s="459">
        <f>P421-L421-M421-N421</f>
      </c>
      <c r="P421" s="963">
        <v>607.18600000000004</v>
      </c>
      <c r="Q421" s="857">
        <v>194.67699999999999</v>
      </c>
      <c r="R421" s="857">
        <v>197.14</v>
      </c>
      <c r="S421" s="857">
        <v>208.102</v>
      </c>
      <c r="T421" s="459">
        <f>U421-Q421-R421-S421</f>
      </c>
      <c r="U421" s="963">
        <v>824.09199999999998</v>
      </c>
      <c r="V421" s="857">
        <v>231.465</v>
      </c>
      <c r="W421" s="857">
        <v>240.59</v>
      </c>
      <c r="X421" s="857">
        <v>311.017</v>
      </c>
      <c r="Y421" s="857">
        <v>314.447</v>
      </c>
      <c r="Z421" s="963">
        <v>1097.519</v>
      </c>
      <c r="AA421" s="857">
        <v>306.14800000000002</v>
      </c>
      <c r="AB421" s="857">
        <v>311.16000000000003</v>
      </c>
      <c r="AC421" s="857">
        <v>352.44600000000003</v>
      </c>
      <c r="AD421" s="857">
        <v>466.52699999999999</v>
      </c>
      <c r="AE421" s="963">
        <v>1436.2809999999999</v>
      </c>
      <c r="AF421" s="857">
        <v>536.77700000000004</v>
      </c>
      <c r="AG421" s="857">
        <v>592.00699999999995</v>
      </c>
      <c r="AH421" s="857">
        <v>510.33</v>
      </c>
      <c r="AI421" s="459">
        <f>AJ421-AF421-AG421-AH421</f>
      </c>
      <c r="AJ421" s="963">
        <v>2369.4690000000001</v>
      </c>
      <c r="AK421" s="857">
        <v>616.57799999999997</v>
      </c>
      <c r="AL421" s="857">
        <v>603.15</v>
      </c>
      <c r="AM421" s="857">
        <v>553.79700000000003</v>
      </c>
      <c r="AN421" s="459">
        <f>AO421-AK421-AL421-AM421</f>
      </c>
      <c r="AO421" s="963">
        <v>2652.462</v>
      </c>
      <c r="AP421" s="857">
        <v>503.83</v>
      </c>
      <c r="AQ421" s="857">
        <v>434.37</v>
      </c>
      <c r="AR421" s="857">
        <v>527.59699999999998</v>
      </c>
      <c r="AS421" s="459">
        <f>AT421-AP421-AQ421-AR421</f>
      </c>
      <c r="AT421" s="963">
        <v>2228.3620000000001</v>
      </c>
      <c r="AU421" s="857">
        <v>512.51199999999994</v>
      </c>
      <c r="AV421" s="857">
        <v>603.97299999999996</v>
      </c>
      <c r="AW421" s="857">
        <v>635.94799999999998</v>
      </c>
      <c r="AX421" s="459">
        <f>AY421-AU421-AV421-AW421</f>
      </c>
      <c r="AY421" s="963">
        <v>2545.1460000000002</v>
      </c>
      <c r="AZ421" s="857">
        <v>555.97799999999995</v>
      </c>
      <c r="BA421" s="857">
        <v>574.96</v>
      </c>
      <c r="BB421" s="857">
        <v>567.95399999999995</v>
      </c>
      <c r="BC421" s="459">
        <f>BD421-AZ421-BA421-BB421</f>
      </c>
      <c r="BD421" s="963">
        <v>2530.502</v>
      </c>
      <c r="BE421" s="857">
        <v>555.36199999999997</v>
      </c>
      <c r="BF421" s="857">
        <v>627.16800000000001</v>
      </c>
      <c r="BG421" s="857">
        <v>558.73599999999999</v>
      </c>
      <c r="BH421" s="459">
        <f>BI421-BE421-BF421-BG421</f>
      </c>
      <c r="BI421" s="963">
        <v>2657.8829999999998</v>
      </c>
      <c r="BJ421" s="857">
        <v>654.34</v>
      </c>
      <c r="BK421" s="857">
        <v>644.08399999999995</v>
      </c>
      <c r="BL421" s="857">
        <v>642.92600000000004</v>
      </c>
      <c r="BM421" s="459">
        <f>BN421-BJ421-BK421-BL421</f>
      </c>
      <c r="BN421" s="963">
        <v>2917.5540000000001</v>
      </c>
      <c r="BO421" s="857">
        <v>688.37</v>
      </c>
      <c r="BP421" s="857">
        <v>713.26499999999999</v>
      </c>
      <c r="BQ421" s="857">
        <v>786.29499999999996</v>
      </c>
      <c r="BR421" s="459">
        <f>BS421-BO421-BP421-BQ421</f>
      </c>
      <c r="BS421" s="963">
        <v>3301.306</v>
      </c>
      <c r="BT421" s="864">
        <v>842.21699999999998</v>
      </c>
      <c r="BU421" s="757"/>
      <c r="BV421" s="757"/>
      <c r="BW421" s="757"/>
      <c r="BX421" s="962"/>
      <c r="BY421" s="757"/>
      <c r="BZ421" s="757"/>
      <c r="CA421" s="757"/>
      <c r="CB421" s="757"/>
      <c r="CC421" s="962"/>
      <c r="CD421" s="962"/>
      <c r="CE421" s="962"/>
      <c r="CF421" s="962"/>
      <c r="CG421" s="459"/>
    </row>
    <row r="422" spans="1:85" s="587" customFormat="1" hidden="1" outlineLevel="1" x14ac:dyDescent="0.3">
      <c r="A422" s="182" t="s">
        <v>47</v>
      </c>
      <c r="B422" s="414"/>
      <c r="C422" s="963">
        <v>114.542</v>
      </c>
      <c r="D422" s="963">
        <v>163.32900000000001</v>
      </c>
      <c r="E422" s="963">
        <v>259.03300000000002</v>
      </c>
      <c r="F422" s="963">
        <v>329.00799999999998</v>
      </c>
      <c r="G422" s="857">
        <v>91.974999999999994</v>
      </c>
      <c r="H422" s="857">
        <v>93.126000000000005</v>
      </c>
      <c r="I422" s="857">
        <v>95.54</v>
      </c>
      <c r="J422" s="459">
        <f>K422-G422-H422-I422</f>
      </c>
      <c r="K422" s="963">
        <v>378.76900000000001</v>
      </c>
      <c r="L422" s="857">
        <v>110.31</v>
      </c>
      <c r="M422" s="857">
        <v>115.182</v>
      </c>
      <c r="N422" s="857">
        <v>120.953</v>
      </c>
      <c r="O422" s="459">
        <f>P422-L422-M422-N422</f>
      </c>
      <c r="P422" s="963">
        <v>472.32100000000003</v>
      </c>
      <c r="Q422" s="857">
        <v>143.10599999999999</v>
      </c>
      <c r="R422" s="857">
        <v>155.06100000000001</v>
      </c>
      <c r="S422" s="857">
        <v>171.762</v>
      </c>
      <c r="T422" s="459">
        <f>U422-Q422-R422-S422</f>
      </c>
      <c r="U422" s="963">
        <v>650.78800000000001</v>
      </c>
      <c r="V422" s="857">
        <v>186.61</v>
      </c>
      <c r="W422" s="857">
        <v>190.20400000000001</v>
      </c>
      <c r="X422" s="857">
        <v>197.506</v>
      </c>
      <c r="Y422" s="857">
        <v>205.91200000000001</v>
      </c>
      <c r="Z422" s="963">
        <v>780.23199999999997</v>
      </c>
      <c r="AA422" s="857">
        <v>233.87100000000001</v>
      </c>
      <c r="AB422" s="857">
        <v>242.48400000000001</v>
      </c>
      <c r="AC422" s="857">
        <v>230.22300000000001</v>
      </c>
      <c r="AD422" s="857">
        <v>247.13200000000001</v>
      </c>
      <c r="AE422" s="963">
        <v>953.71</v>
      </c>
      <c r="AF422" s="857">
        <v>282.31</v>
      </c>
      <c r="AG422" s="857">
        <v>299.09500000000003</v>
      </c>
      <c r="AH422" s="857">
        <v>308.62</v>
      </c>
      <c r="AI422" s="459">
        <f>AJ422-AF422-AG422-AH422</f>
      </c>
      <c r="AJ422" s="963">
        <v>1221.8140000000001</v>
      </c>
      <c r="AK422" s="857">
        <v>372.76400000000001</v>
      </c>
      <c r="AL422" s="857">
        <v>383.233</v>
      </c>
      <c r="AM422" s="857">
        <v>379.77600000000001</v>
      </c>
      <c r="AN422" s="459">
        <f>AO422-AK422-AL422-AM422</f>
      </c>
      <c r="AO422" s="963">
        <v>1545.1489999999999</v>
      </c>
      <c r="AP422" s="857">
        <v>453.81700000000001</v>
      </c>
      <c r="AQ422" s="857">
        <v>435.04500000000002</v>
      </c>
      <c r="AR422" s="857">
        <v>453.80200000000002</v>
      </c>
      <c r="AS422" s="459">
        <f>AT422-AP422-AQ422-AR422</f>
      </c>
      <c r="AT422" s="963">
        <v>1829.6</v>
      </c>
      <c r="AU422" s="857">
        <v>525.20699999999999</v>
      </c>
      <c r="AV422" s="857">
        <v>537.32100000000003</v>
      </c>
      <c r="AW422" s="857">
        <v>563.88699999999994</v>
      </c>
      <c r="AX422" s="459">
        <f>AY422-AU422-AV422-AW422</f>
      </c>
      <c r="AY422" s="963">
        <v>2273.8850000000002</v>
      </c>
      <c r="AZ422" s="857">
        <v>657.53</v>
      </c>
      <c r="BA422" s="857">
        <v>716.846</v>
      </c>
      <c r="BB422" s="857">
        <v>662.73900000000003</v>
      </c>
      <c r="BC422" s="459">
        <f>BD422-AZ422-BA422-BB422</f>
      </c>
      <c r="BD422" s="963">
        <v>2711.0410000000002</v>
      </c>
      <c r="BE422" s="857">
        <v>687.27499999999998</v>
      </c>
      <c r="BF422" s="857">
        <v>657.98299999999995</v>
      </c>
      <c r="BG422" s="857">
        <v>657.15899999999999</v>
      </c>
      <c r="BH422" s="459">
        <f>BI422-BE422-BF422-BG422</f>
      </c>
      <c r="BI422" s="963">
        <v>2675.7579999999998</v>
      </c>
      <c r="BJ422" s="857">
        <v>702.47299999999996</v>
      </c>
      <c r="BK422" s="857">
        <v>711.25400000000002</v>
      </c>
      <c r="BL422" s="857">
        <v>735.06299999999999</v>
      </c>
      <c r="BM422" s="459">
        <f>BN422-BJ422-BK422-BL422</f>
      </c>
      <c r="BN422" s="963">
        <v>2925.2950000000001</v>
      </c>
      <c r="BO422" s="857">
        <v>822.82299999999998</v>
      </c>
      <c r="BP422" s="857">
        <v>824.68299999999999</v>
      </c>
      <c r="BQ422" s="857">
        <v>853.58399999999995</v>
      </c>
      <c r="BR422" s="459">
        <f>BS422-BO422-BP422-BQ422</f>
      </c>
      <c r="BS422" s="963">
        <v>3391.39</v>
      </c>
      <c r="BT422" s="864">
        <v>959.69600000000003</v>
      </c>
      <c r="BU422" s="757"/>
      <c r="BV422" s="757"/>
      <c r="BW422" s="757"/>
      <c r="BX422" s="962"/>
      <c r="BY422" s="757"/>
      <c r="BZ422" s="757"/>
      <c r="CA422" s="757"/>
      <c r="CB422" s="757"/>
      <c r="CC422" s="962"/>
      <c r="CD422" s="962"/>
      <c r="CE422" s="962"/>
      <c r="CF422" s="962"/>
      <c r="CG422" s="459"/>
    </row>
    <row r="423" spans="1:85" s="587" customFormat="1" hidden="1" outlineLevel="1" x14ac:dyDescent="0.3">
      <c r="A423" s="182" t="s">
        <v>48</v>
      </c>
      <c r="B423" s="414"/>
      <c r="C423" s="963">
        <v>46.773000000000003</v>
      </c>
      <c r="D423" s="963">
        <v>64.460999999999999</v>
      </c>
      <c r="E423" s="963">
        <v>126.937</v>
      </c>
      <c r="F423" s="963">
        <v>139.01599999999999</v>
      </c>
      <c r="G423" s="857">
        <v>44.125999999999998</v>
      </c>
      <c r="H423" s="857">
        <v>43.844000000000001</v>
      </c>
      <c r="I423" s="857">
        <v>46.210999999999999</v>
      </c>
      <c r="J423" s="459">
        <f>K423-G423-H423-I423</f>
      </c>
      <c r="K423" s="963">
        <v>180.30099999999999</v>
      </c>
      <c r="L423" s="857">
        <v>55.9</v>
      </c>
      <c r="M423" s="857">
        <v>60.014000000000003</v>
      </c>
      <c r="N423" s="857">
        <v>78.024000000000001</v>
      </c>
      <c r="O423" s="459">
        <f>P423-L423-M423-N423</f>
      </c>
      <c r="P423" s="963">
        <v>269.74099999999999</v>
      </c>
      <c r="Q423" s="857">
        <v>91.489000000000004</v>
      </c>
      <c r="R423" s="857">
        <v>95.906000000000006</v>
      </c>
      <c r="S423" s="857">
        <v>110.892</v>
      </c>
      <c r="T423" s="459">
        <f>U423-Q423-R423-S423</f>
      </c>
      <c r="U423" s="963">
        <v>407.32900000000001</v>
      </c>
      <c r="V423" s="857">
        <v>71.626999999999995</v>
      </c>
      <c r="W423" s="857">
        <v>78.643000000000001</v>
      </c>
      <c r="X423" s="857">
        <v>81.861000000000004</v>
      </c>
      <c r="Y423" s="857">
        <v>83.531999999999996</v>
      </c>
      <c r="Z423" s="963">
        <v>315.66300000000001</v>
      </c>
      <c r="AA423" s="857">
        <v>98.942999999999998</v>
      </c>
      <c r="AB423" s="857">
        <v>112.31699999999999</v>
      </c>
      <c r="AC423" s="857">
        <v>107.324</v>
      </c>
      <c r="AD423" s="857">
        <v>112.459</v>
      </c>
      <c r="AE423" s="963">
        <v>431.04300000000001</v>
      </c>
      <c r="AF423" s="857">
        <v>134.61199999999999</v>
      </c>
      <c r="AG423" s="857">
        <v>151.524</v>
      </c>
      <c r="AH423" s="857">
        <v>168.62799999999999</v>
      </c>
      <c r="AI423" s="459">
        <f>AJ423-AF423-AG423-AH423</f>
      </c>
      <c r="AJ423" s="963">
        <v>630.29399999999998</v>
      </c>
      <c r="AK423" s="857">
        <v>201.952</v>
      </c>
      <c r="AL423" s="857">
        <v>224.65700000000001</v>
      </c>
      <c r="AM423" s="857">
        <v>233.17400000000001</v>
      </c>
      <c r="AN423" s="459">
        <f>AO423-AK423-AL423-AM423</f>
      </c>
      <c r="AO423" s="963">
        <v>914.36900000000003</v>
      </c>
      <c r="AP423" s="857">
        <v>252.08699999999999</v>
      </c>
      <c r="AQ423" s="857">
        <v>277.23599999999999</v>
      </c>
      <c r="AR423" s="857">
        <v>271.62400000000002</v>
      </c>
      <c r="AS423" s="459">
        <f>AT423-AP423-AQ423-AR423</f>
      </c>
      <c r="AT423" s="963">
        <v>1076.4860000000001</v>
      </c>
      <c r="AU423" s="857">
        <v>297.19600000000003</v>
      </c>
      <c r="AV423" s="857">
        <v>334.84500000000003</v>
      </c>
      <c r="AW423" s="857">
        <v>321.79000000000002</v>
      </c>
      <c r="AX423" s="459">
        <f>AY423-AU423-AV423-AW423</f>
      </c>
      <c r="AY423" s="963">
        <v>1351.6210000000001</v>
      </c>
      <c r="AZ423" s="857">
        <v>397.928</v>
      </c>
      <c r="BA423" s="857">
        <v>409.29700000000003</v>
      </c>
      <c r="BB423" s="857">
        <v>373.21300000000002</v>
      </c>
      <c r="BC423" s="459">
        <f>BD423-AZ423-BA423-BB423</f>
      </c>
      <c r="BD423" s="963">
        <v>1572.8910000000001</v>
      </c>
      <c r="BE423" s="857">
        <v>400.92399999999998</v>
      </c>
      <c r="BF423" s="857">
        <v>401.49700000000001</v>
      </c>
      <c r="BG423" s="857">
        <v>478.59100000000001</v>
      </c>
      <c r="BH423" s="459">
        <f>BI423-BE423-BF423-BG423</f>
      </c>
      <c r="BI423" s="963">
        <v>1720.2850000000001</v>
      </c>
      <c r="BJ423" s="857">
        <v>404.02</v>
      </c>
      <c r="BK423" s="857">
        <v>426.99200000000002</v>
      </c>
      <c r="BL423" s="857">
        <v>417.35300000000001</v>
      </c>
      <c r="BM423" s="459">
        <f>BN423-BJ423-BK423-BL423</f>
      </c>
      <c r="BN423" s="963">
        <v>1702.039</v>
      </c>
      <c r="BO423" s="857">
        <v>421.46199999999999</v>
      </c>
      <c r="BP423" s="857">
        <v>441.21300000000002</v>
      </c>
      <c r="BQ423" s="857">
        <v>457.93099999999998</v>
      </c>
      <c r="BR423" s="459">
        <f>BS423-BO423-BP423-BQ423</f>
      </c>
      <c r="BS423" s="963">
        <v>1888.4079999999999</v>
      </c>
      <c r="BT423" s="864">
        <v>602.60900000000004</v>
      </c>
      <c r="BU423" s="757"/>
      <c r="BV423" s="757"/>
      <c r="BW423" s="757"/>
      <c r="BX423" s="962"/>
      <c r="BY423" s="757"/>
      <c r="BZ423" s="757"/>
      <c r="CA423" s="757"/>
      <c r="CB423" s="757"/>
      <c r="CC423" s="962"/>
      <c r="CD423" s="962"/>
      <c r="CE423" s="962"/>
      <c r="CF423" s="962"/>
      <c r="CG423" s="459"/>
    </row>
    <row r="424" spans="1:85" s="587" customFormat="1" hidden="1" outlineLevel="1" x14ac:dyDescent="0.3">
      <c r="A424" s="2" t="s">
        <v>49</v>
      </c>
      <c r="B424" s="422"/>
      <c r="C424" s="986">
        <f t="shared" ref="C424:AH424" si="735">SUM(C421:C423)</f>
      </c>
      <c r="D424" s="986">
        <f t="shared" si="735"/>
      </c>
      <c r="E424" s="986">
        <f t="shared" si="735"/>
      </c>
      <c r="F424" s="986">
        <f t="shared" si="735"/>
      </c>
      <c r="G424" s="792">
        <f t="shared" si="735"/>
      </c>
      <c r="H424" s="792">
        <f t="shared" si="735"/>
      </c>
      <c r="I424" s="792">
        <f t="shared" si="735"/>
      </c>
      <c r="J424" s="792">
        <f t="shared" si="735"/>
      </c>
      <c r="K424" s="986">
        <f t="shared" si="735"/>
      </c>
      <c r="L424" s="792">
        <f t="shared" si="735"/>
      </c>
      <c r="M424" s="792">
        <f t="shared" si="735"/>
      </c>
      <c r="N424" s="792">
        <f t="shared" si="735"/>
      </c>
      <c r="O424" s="792">
        <f t="shared" si="735"/>
      </c>
      <c r="P424" s="986">
        <f t="shared" si="735"/>
      </c>
      <c r="Q424" s="792">
        <f t="shared" si="735"/>
      </c>
      <c r="R424" s="792">
        <f t="shared" si="735"/>
      </c>
      <c r="S424" s="792">
        <f t="shared" si="735"/>
      </c>
      <c r="T424" s="792">
        <f t="shared" si="735"/>
      </c>
      <c r="U424" s="986">
        <f t="shared" si="735"/>
      </c>
      <c r="V424" s="792">
        <f t="shared" si="735"/>
      </c>
      <c r="W424" s="792">
        <f t="shared" si="735"/>
      </c>
      <c r="X424" s="792">
        <f t="shared" si="735"/>
      </c>
      <c r="Y424" s="791">
        <f t="shared" si="735"/>
      </c>
      <c r="Z424" s="965">
        <f t="shared" si="735"/>
      </c>
      <c r="AA424" s="792">
        <f t="shared" si="735"/>
      </c>
      <c r="AB424" s="792">
        <f t="shared" si="735"/>
      </c>
      <c r="AC424" s="792">
        <f t="shared" si="735"/>
      </c>
      <c r="AD424" s="791">
        <f t="shared" si="735"/>
      </c>
      <c r="AE424" s="965">
        <f t="shared" si="735"/>
      </c>
      <c r="AF424" s="792">
        <f t="shared" si="735"/>
      </c>
      <c r="AG424" s="792">
        <f t="shared" si="735"/>
      </c>
      <c r="AH424" s="792">
        <f t="shared" si="735"/>
      </c>
      <c r="AI424" s="791">
        <f t="shared" ref="AI424:AW424" si="736">SUM(AI421:AI423)</f>
      </c>
      <c r="AJ424" s="965">
        <f t="shared" si="736"/>
      </c>
      <c r="AK424" s="792">
        <f t="shared" si="736"/>
      </c>
      <c r="AL424" s="792">
        <f t="shared" si="736"/>
      </c>
      <c r="AM424" s="792">
        <f t="shared" si="736"/>
      </c>
      <c r="AN424" s="791">
        <f t="shared" si="736"/>
      </c>
      <c r="AO424" s="965">
        <f t="shared" si="736"/>
      </c>
      <c r="AP424" s="792">
        <f t="shared" si="736"/>
      </c>
      <c r="AQ424" s="792">
        <f t="shared" si="736"/>
      </c>
      <c r="AR424" s="792">
        <f t="shared" si="736"/>
      </c>
      <c r="AS424" s="791">
        <f t="shared" si="736"/>
      </c>
      <c r="AT424" s="965">
        <f t="shared" si="736"/>
      </c>
      <c r="AU424" s="792">
        <f t="shared" si="736"/>
      </c>
      <c r="AV424" s="792">
        <f t="shared" si="736"/>
      </c>
      <c r="AW424" s="792">
        <f t="shared" si="736"/>
      </c>
      <c r="AX424" s="791">
        <f t="shared" ref="AX424:BD424" si="737">SUM(AX421:AX423)</f>
      </c>
      <c r="AY424" s="965">
        <f t="shared" si="737"/>
      </c>
      <c r="AZ424" s="792">
        <f t="shared" si="737"/>
      </c>
      <c r="BA424" s="791">
        <f t="shared" si="737"/>
      </c>
      <c r="BB424" s="792">
        <f t="shared" si="737"/>
      </c>
      <c r="BC424" s="791">
        <f t="shared" si="737"/>
      </c>
      <c r="BD424" s="965">
        <f t="shared" si="737"/>
      </c>
      <c r="BE424" s="792">
        <f t="shared" ref="BE424:BJ424" si="738">SUM(BE421:BE423)</f>
      </c>
      <c r="BF424" s="791">
        <f t="shared" si="738"/>
      </c>
      <c r="BG424" s="792">
        <f t="shared" si="738"/>
      </c>
      <c r="BH424" s="791">
        <f t="shared" si="738"/>
      </c>
      <c r="BI424" s="965">
        <f t="shared" si="738"/>
      </c>
      <c r="BJ424" s="792">
        <f t="shared" si="738"/>
      </c>
      <c r="BK424" s="791">
        <f t="shared" ref="BK424:BP424" si="739">SUM(BK421:BK423)</f>
      </c>
      <c r="BL424" s="792">
        <f t="shared" si="739"/>
      </c>
      <c r="BM424" s="791">
        <f t="shared" si="739"/>
      </c>
      <c r="BN424" s="965">
        <f t="shared" si="739"/>
      </c>
      <c r="BO424" s="792">
        <f t="shared" si="739"/>
      </c>
      <c r="BP424" s="791">
        <f t="shared" si="739"/>
      </c>
      <c r="BQ424" s="792">
        <f>SUM(BQ421:BQ423)</f>
      </c>
      <c r="BR424" s="791">
        <f>SUM(BR421:BR423)</f>
      </c>
      <c r="BS424" s="965">
        <f>SUM(BS421:BS423)</f>
      </c>
      <c r="BT424" s="793">
        <f>SUM(BT421:BT423)</f>
      </c>
      <c r="BU424" s="791"/>
      <c r="BV424" s="791"/>
      <c r="BW424" s="791"/>
      <c r="BX424" s="965"/>
      <c r="BY424" s="791"/>
      <c r="BZ424" s="791"/>
      <c r="CA424" s="791"/>
      <c r="CB424" s="791"/>
      <c r="CC424" s="965"/>
      <c r="CD424" s="965"/>
      <c r="CE424" s="965"/>
      <c r="CF424" s="965"/>
      <c r="CG424" s="183"/>
    </row>
    <row r="425" spans="1:85" s="587" customFormat="1" hidden="1" outlineLevel="1" x14ac:dyDescent="0.3">
      <c r="A425" s="4" t="s">
        <v>50</v>
      </c>
      <c r="B425" s="428"/>
      <c r="C425" s="985">
        <f t="shared" ref="C425:AH425" si="740">C420-C424</f>
      </c>
      <c r="D425" s="985">
        <f t="shared" si="740"/>
      </c>
      <c r="E425" s="985">
        <f t="shared" si="740"/>
      </c>
      <c r="F425" s="985">
        <f t="shared" si="740"/>
      </c>
      <c r="G425" s="183">
        <f t="shared" si="740"/>
      </c>
      <c r="H425" s="183">
        <f t="shared" si="740"/>
      </c>
      <c r="I425" s="183">
        <f t="shared" si="740"/>
      </c>
      <c r="J425" s="183">
        <f t="shared" si="740"/>
      </c>
      <c r="K425" s="985">
        <f t="shared" si="740"/>
      </c>
      <c r="L425" s="183">
        <f t="shared" si="740"/>
      </c>
      <c r="M425" s="183">
        <f t="shared" si="740"/>
      </c>
      <c r="N425" s="183">
        <f t="shared" si="740"/>
      </c>
      <c r="O425" s="183">
        <f t="shared" si="740"/>
      </c>
      <c r="P425" s="985">
        <f t="shared" si="740"/>
      </c>
      <c r="Q425" s="183">
        <f t="shared" si="740"/>
      </c>
      <c r="R425" s="183">
        <f t="shared" si="740"/>
      </c>
      <c r="S425" s="183">
        <f t="shared" si="740"/>
      </c>
      <c r="T425" s="183">
        <f t="shared" si="740"/>
      </c>
      <c r="U425" s="985">
        <f t="shared" si="740"/>
      </c>
      <c r="V425" s="183">
        <f t="shared" si="740"/>
      </c>
      <c r="W425" s="183">
        <f t="shared" si="740"/>
      </c>
      <c r="X425" s="183">
        <f t="shared" si="740"/>
      </c>
      <c r="Y425" s="759">
        <f t="shared" si="740"/>
      </c>
      <c r="Z425" s="969">
        <f t="shared" si="740"/>
      </c>
      <c r="AA425" s="183">
        <f t="shared" si="740"/>
      </c>
      <c r="AB425" s="183">
        <f t="shared" si="740"/>
      </c>
      <c r="AC425" s="183">
        <f t="shared" si="740"/>
      </c>
      <c r="AD425" s="759">
        <f t="shared" si="740"/>
      </c>
      <c r="AE425" s="969">
        <f t="shared" si="740"/>
      </c>
      <c r="AF425" s="183">
        <f t="shared" si="740"/>
      </c>
      <c r="AG425" s="183">
        <f t="shared" si="740"/>
      </c>
      <c r="AH425" s="183">
        <f t="shared" si="740"/>
      </c>
      <c r="AI425" s="759">
        <f t="shared" ref="AI425:AW425" si="741">AI420-AI424</f>
      </c>
      <c r="AJ425" s="969">
        <f t="shared" si="741"/>
      </c>
      <c r="AK425" s="183">
        <f t="shared" si="741"/>
      </c>
      <c r="AL425" s="183">
        <f t="shared" si="741"/>
      </c>
      <c r="AM425" s="183">
        <f t="shared" si="741"/>
      </c>
      <c r="AN425" s="759">
        <f t="shared" si="741"/>
      </c>
      <c r="AO425" s="969">
        <f t="shared" si="741"/>
      </c>
      <c r="AP425" s="183">
        <f t="shared" si="741"/>
      </c>
      <c r="AQ425" s="183">
        <f t="shared" si="741"/>
      </c>
      <c r="AR425" s="183">
        <f t="shared" si="741"/>
      </c>
      <c r="AS425" s="759">
        <f t="shared" si="741"/>
      </c>
      <c r="AT425" s="969">
        <f t="shared" si="741"/>
      </c>
      <c r="AU425" s="183">
        <f t="shared" si="741"/>
      </c>
      <c r="AV425" s="183">
        <f t="shared" si="741"/>
      </c>
      <c r="AW425" s="183">
        <f t="shared" si="741"/>
      </c>
      <c r="AX425" s="759">
        <f t="shared" ref="AX425:BD425" si="742">AX420-AX424</f>
      </c>
      <c r="AY425" s="969">
        <f t="shared" si="742"/>
      </c>
      <c r="AZ425" s="183">
        <f t="shared" si="742"/>
      </c>
      <c r="BA425" s="759">
        <f t="shared" si="742"/>
      </c>
      <c r="BB425" s="183">
        <f t="shared" si="742"/>
      </c>
      <c r="BC425" s="759">
        <f t="shared" si="742"/>
      </c>
      <c r="BD425" s="969">
        <f t="shared" si="742"/>
      </c>
      <c r="BE425" s="183">
        <f t="shared" ref="BE425:BJ425" si="743">BE420-BE424</f>
      </c>
      <c r="BF425" s="759">
        <f t="shared" si="743"/>
      </c>
      <c r="BG425" s="183">
        <f t="shared" si="743"/>
      </c>
      <c r="BH425" s="759">
        <f t="shared" si="743"/>
      </c>
      <c r="BI425" s="969">
        <f t="shared" si="743"/>
      </c>
      <c r="BJ425" s="183">
        <f t="shared" si="743"/>
      </c>
      <c r="BK425" s="759">
        <f t="shared" ref="BK425:BP425" si="744">BK420-BK424</f>
      </c>
      <c r="BL425" s="183">
        <f t="shared" si="744"/>
      </c>
      <c r="BM425" s="759">
        <f t="shared" si="744"/>
      </c>
      <c r="BN425" s="969">
        <f t="shared" si="744"/>
      </c>
      <c r="BO425" s="183">
        <f t="shared" si="744"/>
      </c>
      <c r="BP425" s="759">
        <f t="shared" si="744"/>
      </c>
      <c r="BQ425" s="183">
        <f>BQ420-BQ424</f>
      </c>
      <c r="BR425" s="759">
        <f>BR420-BR424</f>
      </c>
      <c r="BS425" s="969">
        <f>BS420-BS424</f>
      </c>
      <c r="BT425" s="794">
        <f>BT420-BT424</f>
      </c>
      <c r="BU425" s="759"/>
      <c r="BV425" s="759"/>
      <c r="BW425" s="759"/>
      <c r="BX425" s="969"/>
      <c r="BY425" s="759"/>
      <c r="BZ425" s="759"/>
      <c r="CA425" s="759"/>
      <c r="CB425" s="759"/>
      <c r="CC425" s="969"/>
      <c r="CD425" s="969"/>
      <c r="CE425" s="969"/>
      <c r="CF425" s="969"/>
      <c r="CG425" s="183"/>
    </row>
    <row r="426" spans="1:85" s="587" customFormat="1" hidden="1" outlineLevel="1" x14ac:dyDescent="0.3">
      <c r="A426" s="182" t="s">
        <v>51</v>
      </c>
      <c r="B426" s="414"/>
      <c r="C426" s="963">
        <v>-6.4749999999999996</v>
      </c>
      <c r="D426" s="963">
        <v>-19.629000000000001</v>
      </c>
      <c r="E426" s="963">
        <v>-20.024999999999999</v>
      </c>
      <c r="F426" s="963">
        <v>-19.986000000000001</v>
      </c>
      <c r="G426" s="857">
        <v>-6.74</v>
      </c>
      <c r="H426" s="857">
        <v>-7.5279999999999996</v>
      </c>
      <c r="I426" s="857">
        <v>-7.4359999999999999</v>
      </c>
      <c r="J426" s="459">
        <f>K426-G426-H426-I426</f>
      </c>
      <c r="K426" s="963">
        <v>-29.141999999999999</v>
      </c>
      <c r="L426" s="857">
        <v>-10.052</v>
      </c>
      <c r="M426" s="857">
        <v>-13.327999999999999</v>
      </c>
      <c r="N426" s="857">
        <v>-13.486000000000001</v>
      </c>
      <c r="O426" s="459">
        <f>P426-L426-M426-N426</f>
      </c>
      <c r="P426" s="963">
        <v>-50.219000000000001</v>
      </c>
      <c r="Q426" s="857">
        <v>-26.736999999999998</v>
      </c>
      <c r="R426" s="857">
        <v>-35.216999999999999</v>
      </c>
      <c r="S426" s="857">
        <v>-35.332999999999998</v>
      </c>
      <c r="T426" s="459">
        <f>U426-Q426-R426-S426</f>
      </c>
      <c r="U426" s="963">
        <v>-132.71600000000001</v>
      </c>
      <c r="V426" s="857">
        <v>-35.536999999999999</v>
      </c>
      <c r="W426" s="857">
        <v>-35.454999999999998</v>
      </c>
      <c r="X426" s="857">
        <v>-35.536000000000001</v>
      </c>
      <c r="Y426" s="459">
        <f>Z426-V426-W426-X426</f>
      </c>
      <c r="Z426" s="963">
        <v>-150.114</v>
      </c>
      <c r="AA426" s="857">
        <v>-46.741999999999997</v>
      </c>
      <c r="AB426" s="857">
        <v>-55.481999999999999</v>
      </c>
      <c r="AC426" s="857">
        <v>-60.688000000000002</v>
      </c>
      <c r="AD426" s="459">
        <f>AE426-AA426-AB426-AC426</f>
      </c>
      <c r="AE426" s="963">
        <v>-238.20400000000001</v>
      </c>
      <c r="AF426" s="857">
        <v>-81.218999999999994</v>
      </c>
      <c r="AG426" s="857">
        <v>-101.605</v>
      </c>
      <c r="AH426" s="857">
        <v>-108.86199999999999</v>
      </c>
      <c r="AI426" s="857">
        <v>-128.80699999999999</v>
      </c>
      <c r="AJ426" s="963">
        <v>-420.49299999999999</v>
      </c>
      <c r="AK426" s="857">
        <v>-135.529</v>
      </c>
      <c r="AL426" s="857">
        <v>-152.03299999999999</v>
      </c>
      <c r="AM426" s="857">
        <v>-160.66</v>
      </c>
      <c r="AN426" s="459">
        <f>AO426-SUM(AK426,AL426,AM426)</f>
      </c>
      <c r="AO426" s="963">
        <v>-626.02300000000002</v>
      </c>
      <c r="AP426" s="857">
        <v>-184.083</v>
      </c>
      <c r="AQ426" s="857">
        <v>-189.15100000000001</v>
      </c>
      <c r="AR426" s="857">
        <v>-197.07900000000001</v>
      </c>
      <c r="AS426" s="459">
        <f>AT426-SUM(AP426,AQ426,AR426)</f>
      </c>
      <c r="AT426" s="963">
        <v>-767.49900000000002</v>
      </c>
      <c r="AU426" s="857">
        <v>-194.44</v>
      </c>
      <c r="AV426" s="857">
        <v>-191.322</v>
      </c>
      <c r="AW426" s="857">
        <v>-190.429</v>
      </c>
      <c r="AX426" s="459">
        <f>AY426-SUM(AU426,AV426,AW426)</f>
      </c>
      <c r="AY426" s="963">
        <v>-765.62</v>
      </c>
      <c r="AZ426" s="857">
        <v>-187.57900000000001</v>
      </c>
      <c r="BA426" s="857">
        <v>-175.45500000000001</v>
      </c>
      <c r="BB426" s="857">
        <v>-172.57499999999999</v>
      </c>
      <c r="BC426" s="459">
        <f>BD426-SUM(AZ426,BA426,BB426)</f>
      </c>
      <c r="BD426" s="963">
        <v>-706.21199999999999</v>
      </c>
      <c r="BE426" s="857">
        <v>-174.239</v>
      </c>
      <c r="BF426" s="857">
        <v>-174.81200000000001</v>
      </c>
      <c r="BG426" s="857">
        <v>-175.56299999999999</v>
      </c>
      <c r="BH426" s="459">
        <f>BI426-SUM(BE426,BF426,BG426)</f>
      </c>
      <c r="BI426" s="963">
        <v>-699.82600000000002</v>
      </c>
      <c r="BJ426" s="857">
        <v>-173.31399999999999</v>
      </c>
      <c r="BK426" s="857">
        <v>-167.98599999999999</v>
      </c>
      <c r="BL426" s="857">
        <v>-184.83</v>
      </c>
      <c r="BM426" s="459">
        <f>BN426-SUM(BJ426,BK426,BL426)</f>
      </c>
      <c r="BN426" s="963">
        <v>-718.73299999999995</v>
      </c>
      <c r="BO426" s="857">
        <v>-184.172</v>
      </c>
      <c r="BP426" s="857">
        <v>-182.649</v>
      </c>
      <c r="BQ426" s="857">
        <v>-175.29400000000001</v>
      </c>
      <c r="BR426" s="459">
        <f>BS426-SUM(BO426,BP426,BQ426)</f>
      </c>
      <c r="BS426" s="963">
        <v>-776.51</v>
      </c>
      <c r="BT426" s="864">
        <v>-262.077</v>
      </c>
      <c r="BU426" s="757"/>
      <c r="BV426" s="757"/>
      <c r="BW426" s="757"/>
      <c r="BX426" s="962"/>
      <c r="BY426" s="757"/>
      <c r="BZ426" s="757"/>
      <c r="CA426" s="757"/>
      <c r="CB426" s="757"/>
      <c r="CC426" s="962"/>
      <c r="CD426" s="962"/>
      <c r="CE426" s="962"/>
      <c r="CF426" s="962"/>
      <c r="CG426" s="459"/>
    </row>
    <row r="427" spans="1:85" s="587" customFormat="1" hidden="1" outlineLevel="1" x14ac:dyDescent="0.3">
      <c r="A427" s="182" t="s">
        <v>52</v>
      </c>
      <c r="B427" s="414"/>
      <c r="C427" s="963">
        <v>6.7279999999999998</v>
      </c>
      <c r="D427" s="963">
        <v>3.6840000000000002</v>
      </c>
      <c r="E427" s="963">
        <v>3.4790000000000001</v>
      </c>
      <c r="F427" s="963">
        <v>0.47399999999999998</v>
      </c>
      <c r="G427" s="857">
        <v>0.97699999999999998</v>
      </c>
      <c r="H427" s="857">
        <v>-2.94</v>
      </c>
      <c r="I427" s="857">
        <v>-0.193</v>
      </c>
      <c r="J427" s="459">
        <f>K427-G427-H427-I427</f>
      </c>
      <c r="K427" s="963">
        <v>-3.0019999999999998</v>
      </c>
      <c r="L427" s="857">
        <v>1.401</v>
      </c>
      <c r="M427" s="857">
        <v>1.1000000000000001</v>
      </c>
      <c r="N427" s="857">
        <v>0.61599999999999999</v>
      </c>
      <c r="O427" s="459">
        <f>P427-L427-M427-N427</f>
      </c>
      <c r="P427" s="963">
        <v>-3.06</v>
      </c>
      <c r="Q427" s="857">
        <v>-32.292999999999999</v>
      </c>
      <c r="R427" s="857">
        <v>0.872</v>
      </c>
      <c r="S427" s="857">
        <v>3.93</v>
      </c>
      <c r="T427" s="459">
        <f>U427-Q427-R427-S427</f>
      </c>
      <c r="U427" s="963">
        <v>-31.225000000000001</v>
      </c>
      <c r="V427" s="857">
        <v>25.963000000000001</v>
      </c>
      <c r="W427" s="857">
        <v>16.317</v>
      </c>
      <c r="X427" s="857">
        <v>8.6270000000000007</v>
      </c>
      <c r="Y427" s="459">
        <f>Z427-V427-W427-X427</f>
      </c>
      <c r="Z427" s="963">
        <v>30.827999999999999</v>
      </c>
      <c r="AA427" s="857">
        <v>13.592000000000001</v>
      </c>
      <c r="AB427" s="857">
        <v>-58.363</v>
      </c>
      <c r="AC427" s="857">
        <v>-31.702000000000002</v>
      </c>
      <c r="AD427" s="459">
        <f>AE427-AA427-AB427-AC427</f>
      </c>
      <c r="AE427" s="963">
        <v>-115.154</v>
      </c>
      <c r="AF427" s="857">
        <v>-65.742999999999995</v>
      </c>
      <c r="AG427" s="857">
        <v>68.028000000000006</v>
      </c>
      <c r="AH427" s="857">
        <v>7.0039999999999996</v>
      </c>
      <c r="AI427" s="857">
        <v>32.436</v>
      </c>
      <c r="AJ427" s="963">
        <v>41.725000000000001</v>
      </c>
      <c r="AK427" s="857">
        <v>76.103999999999999</v>
      </c>
      <c r="AL427" s="857">
        <v>-53.47</v>
      </c>
      <c r="AM427" s="857">
        <v>192.744</v>
      </c>
      <c r="AN427" s="459">
        <f>AO427-SUM(AK427,AL427,AM427)</f>
      </c>
      <c r="AO427" s="963">
        <v>84</v>
      </c>
      <c r="AP427" s="857">
        <v>21.696999999999999</v>
      </c>
      <c r="AQ427" s="857">
        <v>-133.17500000000001</v>
      </c>
      <c r="AR427" s="857">
        <v>-256.32400000000001</v>
      </c>
      <c r="AS427" s="459">
        <f>AT427-SUM(AP427,AQ427,AR427)</f>
      </c>
      <c r="AT427" s="963">
        <v>-618.44100000000003</v>
      </c>
      <c r="AU427" s="857">
        <v>269.08600000000001</v>
      </c>
      <c r="AV427" s="857">
        <v>-62.518999999999998</v>
      </c>
      <c r="AW427" s="857">
        <v>96.135000000000005</v>
      </c>
      <c r="AX427" s="459">
        <f>AY427-SUM(AU427,AV427,AW427)</f>
      </c>
      <c r="AY427" s="963">
        <v>411.214</v>
      </c>
      <c r="AZ427" s="857">
        <v>195.64500000000001</v>
      </c>
      <c r="BA427" s="857">
        <v>220.226</v>
      </c>
      <c r="BB427" s="857">
        <v>261.404</v>
      </c>
      <c r="BC427" s="459">
        <f>BD427-SUM(AZ427,BA427,BB427)</f>
      </c>
      <c r="BD427" s="963">
        <v>337.31</v>
      </c>
      <c r="BE427" s="857">
        <v>-71.203999999999994</v>
      </c>
      <c r="BF427" s="857">
        <v>26.960999999999999</v>
      </c>
      <c r="BG427" s="857">
        <v>168.21799999999999</v>
      </c>
      <c r="BH427" s="459">
        <f>BI427-SUM(BE427,BF427,BG427)</f>
      </c>
      <c r="BI427" s="963">
        <v>-48.771999999999998</v>
      </c>
      <c r="BJ427" s="857">
        <v>155.35900000000001</v>
      </c>
      <c r="BK427" s="857">
        <v>79.004999999999995</v>
      </c>
      <c r="BL427" s="857">
        <v>-21.693000000000001</v>
      </c>
      <c r="BM427" s="459">
        <f>BN427-SUM(BJ427,BK427,BL427)</f>
      </c>
      <c r="BN427" s="963">
        <v>266.77600000000001</v>
      </c>
      <c r="BO427" s="857">
        <v>50.899000000000001</v>
      </c>
      <c r="BP427" s="857">
        <v>39.630000000000003</v>
      </c>
      <c r="BQ427" s="857">
        <v>36.457000000000001</v>
      </c>
      <c r="BR427" s="459">
        <f>BS427-SUM(BO427,BP427,BQ427)</f>
      </c>
      <c r="BS427" s="963">
        <v>172.459</v>
      </c>
      <c r="BT427" s="864">
        <v>2852.1660000000002</v>
      </c>
      <c r="BU427" s="757"/>
      <c r="BV427" s="757"/>
      <c r="BW427" s="757"/>
      <c r="BX427" s="962"/>
      <c r="BY427" s="757"/>
      <c r="BZ427" s="757"/>
      <c r="CA427" s="757"/>
      <c r="CB427" s="757"/>
      <c r="CC427" s="962"/>
      <c r="CD427" s="962"/>
      <c r="CE427" s="962"/>
      <c r="CF427" s="962"/>
      <c r="CG427" s="459"/>
    </row>
    <row r="428" spans="1:85" s="587" customFormat="1" hidden="1" outlineLevel="1" x14ac:dyDescent="0.3">
      <c r="A428" s="30" t="s">
        <v>53</v>
      </c>
      <c r="B428" s="416"/>
      <c r="C428" s="989">
        <v>0</v>
      </c>
      <c r="D428" s="989">
        <v>0</v>
      </c>
      <c r="E428" s="989">
        <v>0</v>
      </c>
      <c r="F428" s="989">
        <v>0</v>
      </c>
      <c r="G428" s="863">
        <v>-25.129000000000001</v>
      </c>
      <c r="H428" s="863">
        <v>0</v>
      </c>
      <c r="I428" s="863">
        <v>0</v>
      </c>
      <c r="J428" s="800">
        <f>K428-G428-H428-I428</f>
      </c>
      <c r="K428" s="989">
        <v>-25.129000000000001</v>
      </c>
      <c r="L428" s="863">
        <v>0</v>
      </c>
      <c r="M428" s="863">
        <v>0</v>
      </c>
      <c r="N428" s="863">
        <v>0</v>
      </c>
      <c r="O428" s="800">
        <f>P428-L428-M428-N428</f>
      </c>
      <c r="P428" s="989">
        <v>0</v>
      </c>
      <c r="Q428" s="863">
        <v>0</v>
      </c>
      <c r="R428" s="863">
        <v>0</v>
      </c>
      <c r="S428" s="863">
        <v>0</v>
      </c>
      <c r="T428" s="800">
        <f>U428-Q428-R428-S428</f>
      </c>
      <c r="U428" s="989">
        <v>0</v>
      </c>
      <c r="V428" s="863">
        <v>0</v>
      </c>
      <c r="W428" s="761"/>
      <c r="X428" s="761"/>
      <c r="Y428" s="800">
        <f>Z428-V428-W428-X428</f>
      </c>
      <c r="Z428" s="984"/>
      <c r="AA428" s="761"/>
      <c r="AB428" s="761"/>
      <c r="AC428" s="761"/>
      <c r="AD428" s="800">
        <f>AE428-AA428-AB428-AC428</f>
      </c>
      <c r="AE428" s="984"/>
      <c r="AF428" s="761"/>
      <c r="AG428" s="761"/>
      <c r="AH428" s="761"/>
      <c r="AI428" s="863">
        <v>0</v>
      </c>
      <c r="AJ428" s="984"/>
      <c r="AK428" s="761"/>
      <c r="AL428" s="761"/>
      <c r="AM428" s="761"/>
      <c r="AN428" s="761"/>
      <c r="AO428" s="984"/>
      <c r="AP428" s="761"/>
      <c r="AQ428" s="761"/>
      <c r="AR428" s="761"/>
      <c r="AS428" s="761"/>
      <c r="AT428" s="984"/>
      <c r="AU428" s="761"/>
      <c r="AV428" s="761"/>
      <c r="AW428" s="761"/>
      <c r="AX428" s="761"/>
      <c r="AY428" s="984"/>
      <c r="AZ428" s="761"/>
      <c r="BA428" s="761"/>
      <c r="BB428" s="761"/>
      <c r="BC428" s="761"/>
      <c r="BD428" s="984"/>
      <c r="BE428" s="761"/>
      <c r="BF428" s="761"/>
      <c r="BG428" s="761"/>
      <c r="BH428" s="761"/>
      <c r="BI428" s="984"/>
      <c r="BJ428" s="761"/>
      <c r="BK428" s="761"/>
      <c r="BL428" s="761"/>
      <c r="BM428" s="761"/>
      <c r="BN428" s="984"/>
      <c r="BO428" s="761"/>
      <c r="BP428" s="761"/>
      <c r="BQ428" s="761"/>
      <c r="BR428" s="761"/>
      <c r="BS428" s="984"/>
      <c r="BT428" s="762"/>
      <c r="BU428" s="761"/>
      <c r="BV428" s="761"/>
      <c r="BW428" s="761"/>
      <c r="BX428" s="984"/>
      <c r="BY428" s="761"/>
      <c r="BZ428" s="761"/>
      <c r="CA428" s="761"/>
      <c r="CB428" s="761"/>
      <c r="CC428" s="984"/>
      <c r="CD428" s="984"/>
      <c r="CE428" s="984"/>
      <c r="CF428" s="984"/>
      <c r="CG428" s="459"/>
    </row>
    <row r="429" spans="1:85" s="587" customFormat="1" hidden="1" outlineLevel="1" x14ac:dyDescent="0.3">
      <c r="A429" s="2" t="s">
        <v>54</v>
      </c>
      <c r="B429" s="422"/>
      <c r="C429" s="986">
        <f t="shared" ref="C429:AH429" si="745">SUM(C425:C428)</f>
      </c>
      <c r="D429" s="986">
        <f t="shared" si="745"/>
      </c>
      <c r="E429" s="986">
        <f t="shared" si="745"/>
      </c>
      <c r="F429" s="986">
        <f t="shared" si="745"/>
      </c>
      <c r="G429" s="792">
        <f t="shared" si="745"/>
      </c>
      <c r="H429" s="792">
        <f t="shared" si="745"/>
      </c>
      <c r="I429" s="792">
        <f t="shared" si="745"/>
      </c>
      <c r="J429" s="792">
        <f t="shared" si="745"/>
      </c>
      <c r="K429" s="986">
        <f t="shared" si="745"/>
      </c>
      <c r="L429" s="792">
        <f t="shared" si="745"/>
      </c>
      <c r="M429" s="792">
        <f t="shared" si="745"/>
      </c>
      <c r="N429" s="792">
        <f t="shared" si="745"/>
      </c>
      <c r="O429" s="792">
        <f t="shared" si="745"/>
      </c>
      <c r="P429" s="986">
        <f t="shared" si="745"/>
      </c>
      <c r="Q429" s="792">
        <f t="shared" si="745"/>
      </c>
      <c r="R429" s="792">
        <f t="shared" si="745"/>
      </c>
      <c r="S429" s="792">
        <f t="shared" si="745"/>
      </c>
      <c r="T429" s="792">
        <f t="shared" si="745"/>
      </c>
      <c r="U429" s="986">
        <f t="shared" si="745"/>
      </c>
      <c r="V429" s="792">
        <f t="shared" si="745"/>
      </c>
      <c r="W429" s="792">
        <f t="shared" si="745"/>
      </c>
      <c r="X429" s="792">
        <f t="shared" si="745"/>
      </c>
      <c r="Y429" s="791">
        <f t="shared" si="745"/>
      </c>
      <c r="Z429" s="965">
        <f t="shared" si="745"/>
      </c>
      <c r="AA429" s="792">
        <f t="shared" si="745"/>
      </c>
      <c r="AB429" s="792">
        <f t="shared" si="745"/>
      </c>
      <c r="AC429" s="792">
        <f t="shared" si="745"/>
      </c>
      <c r="AD429" s="791">
        <f t="shared" si="745"/>
      </c>
      <c r="AE429" s="965">
        <f t="shared" si="745"/>
      </c>
      <c r="AF429" s="792">
        <f t="shared" si="745"/>
      </c>
      <c r="AG429" s="792">
        <f t="shared" si="745"/>
      </c>
      <c r="AH429" s="792">
        <f t="shared" si="745"/>
      </c>
      <c r="AI429" s="791">
        <f t="shared" ref="AI429:AQ429" si="746">SUM(AI425:AI428)</f>
      </c>
      <c r="AJ429" s="965">
        <f t="shared" si="746"/>
      </c>
      <c r="AK429" s="792">
        <f t="shared" si="746"/>
      </c>
      <c r="AL429" s="792">
        <f t="shared" si="746"/>
      </c>
      <c r="AM429" s="792">
        <f t="shared" si="746"/>
      </c>
      <c r="AN429" s="791">
        <f t="shared" si="746"/>
      </c>
      <c r="AO429" s="965">
        <f t="shared" si="746"/>
      </c>
      <c r="AP429" s="792">
        <f t="shared" si="746"/>
      </c>
      <c r="AQ429" s="792">
        <f t="shared" si="746"/>
      </c>
      <c r="AR429" s="792">
        <f>SUM(AR425:AR428)</f>
      </c>
      <c r="AS429" s="791">
        <f>SUM(AS425:AS428)</f>
      </c>
      <c r="AT429" s="965">
        <f>SUM(AT425:AT428)</f>
      </c>
      <c r="AU429" s="792">
        <f t="shared" ref="AU429" si="747">SUM(AU425:AU428)</f>
      </c>
      <c r="AV429" s="792">
        <f t="shared" ref="AV429:BA429" si="748">SUM(AV425:AV428)</f>
      </c>
      <c r="AW429" s="792">
        <f t="shared" si="748"/>
      </c>
      <c r="AX429" s="791">
        <f t="shared" si="748"/>
      </c>
      <c r="AY429" s="965">
        <f t="shared" si="748"/>
      </c>
      <c r="AZ429" s="792">
        <f t="shared" si="748"/>
      </c>
      <c r="BA429" s="791">
        <f t="shared" si="748"/>
      </c>
      <c r="BB429" s="792">
        <f t="shared" ref="BB429:BG429" si="749">SUM(BB425:BB428)</f>
      </c>
      <c r="BC429" s="791">
        <f t="shared" si="749"/>
      </c>
      <c r="BD429" s="965">
        <f t="shared" si="749"/>
      </c>
      <c r="BE429" s="792">
        <f t="shared" si="749"/>
      </c>
      <c r="BF429" s="791">
        <f t="shared" si="749"/>
      </c>
      <c r="BG429" s="792">
        <f t="shared" si="749"/>
      </c>
      <c r="BH429" s="791">
        <f t="shared" ref="BH429:BN429" si="750">SUM(BH425:BH428)</f>
      </c>
      <c r="BI429" s="965">
        <f t="shared" si="750"/>
      </c>
      <c r="BJ429" s="792">
        <f t="shared" si="750"/>
      </c>
      <c r="BK429" s="791">
        <f t="shared" si="750"/>
      </c>
      <c r="BL429" s="792">
        <f t="shared" si="750"/>
      </c>
      <c r="BM429" s="791">
        <f t="shared" si="750"/>
      </c>
      <c r="BN429" s="965">
        <f t="shared" si="750"/>
      </c>
      <c r="BO429" s="792">
        <f t="shared" ref="BO429:BT429" si="751">SUM(BO425:BO428)</f>
      </c>
      <c r="BP429" s="791">
        <f t="shared" si="751"/>
      </c>
      <c r="BQ429" s="792">
        <f t="shared" si="751"/>
      </c>
      <c r="BR429" s="791">
        <f t="shared" si="751"/>
      </c>
      <c r="BS429" s="965">
        <f t="shared" si="751"/>
      </c>
      <c r="BT429" s="793">
        <f t="shared" si="751"/>
      </c>
      <c r="BU429" s="791"/>
      <c r="BV429" s="791"/>
      <c r="BW429" s="791"/>
      <c r="BX429" s="965"/>
      <c r="BY429" s="791"/>
      <c r="BZ429" s="791"/>
      <c r="CA429" s="791"/>
      <c r="CB429" s="791"/>
      <c r="CC429" s="965"/>
      <c r="CD429" s="965"/>
      <c r="CE429" s="965"/>
      <c r="CF429" s="965"/>
      <c r="CG429" s="183"/>
    </row>
    <row r="430" spans="1:85" s="587" customFormat="1" hidden="1" outlineLevel="1" x14ac:dyDescent="0.3">
      <c r="A430" s="30" t="s">
        <v>55</v>
      </c>
      <c r="B430" s="416"/>
      <c r="C430" s="989">
        <v>76.331999999999994</v>
      </c>
      <c r="D430" s="989">
        <v>106.843</v>
      </c>
      <c r="E430" s="989">
        <v>133.39599999999999</v>
      </c>
      <c r="F430" s="989">
        <v>13.327999999999999</v>
      </c>
      <c r="G430" s="863">
        <v>-1.7589999999999999</v>
      </c>
      <c r="H430" s="863">
        <v>17.178000000000001</v>
      </c>
      <c r="I430" s="863">
        <v>17.669</v>
      </c>
      <c r="J430" s="800">
        <f>K430-G430-H430-I430</f>
      </c>
      <c r="K430" s="989">
        <v>58.670999999999999</v>
      </c>
      <c r="L430" s="863">
        <v>35.829000000000001</v>
      </c>
      <c r="M430" s="863">
        <v>46.353999999999999</v>
      </c>
      <c r="N430" s="863">
        <v>38.241999999999997</v>
      </c>
      <c r="O430" s="800">
        <f>P430-L430-M430-N430</f>
      </c>
      <c r="P430" s="989">
        <v>82.57</v>
      </c>
      <c r="Q430" s="863">
        <v>14.73</v>
      </c>
      <c r="R430" s="863">
        <v>14.154999999999999</v>
      </c>
      <c r="S430" s="863">
        <v>12.805999999999999</v>
      </c>
      <c r="T430" s="800">
        <f>U430-Q430-R430-S430</f>
      </c>
      <c r="U430" s="989">
        <v>19.244</v>
      </c>
      <c r="V430" s="863">
        <v>12.221</v>
      </c>
      <c r="W430" s="863">
        <v>10.477</v>
      </c>
      <c r="X430" s="863">
        <v>27.61</v>
      </c>
      <c r="Y430" s="800">
        <f>Z430-V430-W430-X430</f>
      </c>
      <c r="Z430" s="989">
        <v>73.828999999999994</v>
      </c>
      <c r="AA430" s="863">
        <v>45.57</v>
      </c>
      <c r="AB430" s="863">
        <v>-51.637999999999998</v>
      </c>
      <c r="AC430" s="863">
        <v>-13.353</v>
      </c>
      <c r="AD430" s="800">
        <f>AE430-AA430-AB430-AC430</f>
      </c>
      <c r="AE430" s="989">
        <v>-73.608000000000004</v>
      </c>
      <c r="AF430" s="863">
        <v>9.4920000000000009</v>
      </c>
      <c r="AG430" s="863">
        <v>44.286999999999999</v>
      </c>
      <c r="AH430" s="863">
        <v>-24.024999999999999</v>
      </c>
      <c r="AI430" s="863">
        <v>-14.538</v>
      </c>
      <c r="AJ430" s="989">
        <v>15.215999999999999</v>
      </c>
      <c r="AK430" s="863">
        <v>55.606999999999999</v>
      </c>
      <c r="AL430" s="863">
        <v>230.26599999999999</v>
      </c>
      <c r="AM430" s="863">
        <v>347.07900000000001</v>
      </c>
      <c r="AN430" s="800">
        <f>AO430-SUM(AK430,AL430,AM430)</f>
      </c>
      <c r="AO430" s="989">
        <v>195.315</v>
      </c>
      <c r="AP430" s="863">
        <v>86.802999999999997</v>
      </c>
      <c r="AQ430" s="863">
        <v>315.40600000000001</v>
      </c>
      <c r="AR430" s="863">
        <v>71.483999999999995</v>
      </c>
      <c r="AS430" s="800">
        <f>AT430-SUM(AP430,AQ430,AR430)</f>
      </c>
      <c r="AT430" s="989">
        <v>437.95400000000001</v>
      </c>
      <c r="AU430" s="863">
        <v>327.78699999999998</v>
      </c>
      <c r="AV430" s="863">
        <v>240.77600000000001</v>
      </c>
      <c r="AW430" s="863">
        <v>211.88800000000001</v>
      </c>
      <c r="AX430" s="800">
        <f>AY430-SUM(AU430,AV430,AW430)</f>
      </c>
      <c r="AY430" s="989">
        <v>723.875</v>
      </c>
      <c r="AZ430" s="863">
        <v>382.245</v>
      </c>
      <c r="BA430" s="863">
        <v>182.10300000000001</v>
      </c>
      <c r="BB430" s="863">
        <v>223.60499999999999</v>
      </c>
      <c r="BC430" s="800">
        <f>BD430-SUM(AZ430,BA430,BB430)</f>
      </c>
      <c r="BD430" s="989">
        <v>772.005</v>
      </c>
      <c r="BE430" s="863">
        <v>163.75399999999999</v>
      </c>
      <c r="BF430" s="863">
        <v>191.72200000000001</v>
      </c>
      <c r="BG430" s="863">
        <v>231.62700000000001</v>
      </c>
      <c r="BH430" s="800">
        <f>BI430-SUM(BE430,BF430,BG430)</f>
      </c>
      <c r="BI430" s="989">
        <v>797.41499999999996</v>
      </c>
      <c r="BJ430" s="863">
        <v>282.37</v>
      </c>
      <c r="BK430" s="863">
        <v>366.55</v>
      </c>
      <c r="BL430" s="863">
        <v>339.44499999999999</v>
      </c>
      <c r="BM430" s="800">
        <f>BN430-SUM(BJ430,BK430,BL430)</f>
      </c>
      <c r="BN430" s="989">
        <v>1254.0260000000001</v>
      </c>
      <c r="BO430" s="863">
        <v>323.375</v>
      </c>
      <c r="BP430" s="863">
        <v>506.262</v>
      </c>
      <c r="BQ430" s="863">
        <v>562.49400000000003</v>
      </c>
      <c r="BR430" s="800">
        <f>BS430-SUM(BO430,BP430,BQ430)</f>
      </c>
      <c r="BS430" s="989">
        <v>1741.3510000000001</v>
      </c>
      <c r="BT430" s="873">
        <v>1264.2950000000001</v>
      </c>
      <c r="BU430" s="761"/>
      <c r="BV430" s="761"/>
      <c r="BW430" s="761"/>
      <c r="BX430" s="984"/>
      <c r="BY430" s="761"/>
      <c r="BZ430" s="761"/>
      <c r="CA430" s="761"/>
      <c r="CB430" s="761"/>
      <c r="CC430" s="984"/>
      <c r="CD430" s="984"/>
      <c r="CE430" s="984"/>
      <c r="CF430" s="984"/>
      <c r="CG430" s="459"/>
    </row>
    <row r="431" spans="1:85" s="587" customFormat="1" hidden="1" outlineLevel="1" x14ac:dyDescent="0.3">
      <c r="A431" s="10" t="s">
        <v>56</v>
      </c>
      <c r="B431" s="260"/>
      <c r="C431" s="1006">
        <f t="shared" ref="C431:AH431" si="752">C429-C430</f>
      </c>
      <c r="D431" s="1006">
        <f t="shared" si="752"/>
      </c>
      <c r="E431" s="1006">
        <f t="shared" si="752"/>
      </c>
      <c r="F431" s="1006">
        <f t="shared" si="752"/>
      </c>
      <c r="G431" s="801">
        <f t="shared" si="752"/>
      </c>
      <c r="H431" s="801">
        <f t="shared" si="752"/>
      </c>
      <c r="I431" s="801">
        <f t="shared" si="752"/>
      </c>
      <c r="J431" s="801">
        <f t="shared" si="752"/>
      </c>
      <c r="K431" s="1006">
        <f t="shared" si="752"/>
      </c>
      <c r="L431" s="801">
        <f t="shared" si="752"/>
      </c>
      <c r="M431" s="801">
        <f t="shared" si="752"/>
      </c>
      <c r="N431" s="801">
        <f t="shared" si="752"/>
      </c>
      <c r="O431" s="801">
        <f t="shared" si="752"/>
      </c>
      <c r="P431" s="1006">
        <f t="shared" si="752"/>
      </c>
      <c r="Q431" s="801">
        <f t="shared" si="752"/>
      </c>
      <c r="R431" s="801">
        <f t="shared" si="752"/>
      </c>
      <c r="S431" s="801">
        <f t="shared" si="752"/>
      </c>
      <c r="T431" s="801">
        <f t="shared" si="752"/>
      </c>
      <c r="U431" s="1006">
        <f t="shared" si="752"/>
      </c>
      <c r="V431" s="801">
        <f t="shared" si="752"/>
      </c>
      <c r="W431" s="801">
        <f t="shared" si="752"/>
      </c>
      <c r="X431" s="801">
        <f t="shared" si="752"/>
      </c>
      <c r="Y431" s="802">
        <f t="shared" si="752"/>
      </c>
      <c r="Z431" s="1007">
        <f t="shared" si="752"/>
      </c>
      <c r="AA431" s="801">
        <f t="shared" si="752"/>
      </c>
      <c r="AB431" s="801">
        <f t="shared" si="752"/>
      </c>
      <c r="AC431" s="801">
        <f t="shared" si="752"/>
      </c>
      <c r="AD431" s="802">
        <f t="shared" si="752"/>
      </c>
      <c r="AE431" s="1007">
        <f t="shared" si="752"/>
      </c>
      <c r="AF431" s="801">
        <f t="shared" si="752"/>
      </c>
      <c r="AG431" s="801">
        <f t="shared" si="752"/>
      </c>
      <c r="AH431" s="801">
        <f t="shared" si="752"/>
      </c>
      <c r="AI431" s="802">
        <f t="shared" ref="AI431:AQ431" si="753">AI429-AI430</f>
      </c>
      <c r="AJ431" s="1007">
        <f t="shared" si="753"/>
      </c>
      <c r="AK431" s="801">
        <f t="shared" si="753"/>
      </c>
      <c r="AL431" s="801">
        <f t="shared" si="753"/>
      </c>
      <c r="AM431" s="801">
        <f t="shared" si="753"/>
      </c>
      <c r="AN431" s="802">
        <f t="shared" si="753"/>
      </c>
      <c r="AO431" s="1007">
        <f t="shared" si="753"/>
      </c>
      <c r="AP431" s="801">
        <f t="shared" si="753"/>
      </c>
      <c r="AQ431" s="801">
        <f t="shared" si="753"/>
      </c>
      <c r="AR431" s="801">
        <f>AR429-AR430</f>
      </c>
      <c r="AS431" s="802">
        <f>AS429-AS430</f>
      </c>
      <c r="AT431" s="1007">
        <f>AT429-AT430</f>
      </c>
      <c r="AU431" s="801">
        <f t="shared" ref="AU431" si="754">AU429-AU430</f>
      </c>
      <c r="AV431" s="801">
        <f t="shared" ref="AV431:BA431" si="755">AV429-AV430</f>
      </c>
      <c r="AW431" s="801">
        <f t="shared" si="755"/>
      </c>
      <c r="AX431" s="802">
        <f t="shared" si="755"/>
      </c>
      <c r="AY431" s="1007">
        <f t="shared" si="755"/>
      </c>
      <c r="AZ431" s="801">
        <f t="shared" si="755"/>
      </c>
      <c r="BA431" s="802">
        <f t="shared" si="755"/>
      </c>
      <c r="BB431" s="801">
        <f t="shared" ref="BB431:BG431" si="756">BB429-BB430</f>
      </c>
      <c r="BC431" s="802">
        <f t="shared" si="756"/>
      </c>
      <c r="BD431" s="1007">
        <f t="shared" si="756"/>
      </c>
      <c r="BE431" s="801">
        <f t="shared" si="756"/>
      </c>
      <c r="BF431" s="802">
        <f t="shared" si="756"/>
      </c>
      <c r="BG431" s="801">
        <f t="shared" si="756"/>
      </c>
      <c r="BH431" s="802">
        <f t="shared" ref="BH431:BN431" si="757">BH429-BH430</f>
      </c>
      <c r="BI431" s="1007">
        <f t="shared" si="757"/>
      </c>
      <c r="BJ431" s="801">
        <f t="shared" si="757"/>
      </c>
      <c r="BK431" s="802">
        <f t="shared" si="757"/>
      </c>
      <c r="BL431" s="801">
        <f t="shared" si="757"/>
      </c>
      <c r="BM431" s="802">
        <f t="shared" si="757"/>
      </c>
      <c r="BN431" s="1007">
        <f t="shared" si="757"/>
      </c>
      <c r="BO431" s="801">
        <f t="shared" ref="BO431:BT431" si="758">BO429-BO430</f>
      </c>
      <c r="BP431" s="802">
        <f t="shared" si="758"/>
      </c>
      <c r="BQ431" s="801">
        <f t="shared" si="758"/>
      </c>
      <c r="BR431" s="802">
        <f t="shared" si="758"/>
      </c>
      <c r="BS431" s="1007">
        <f t="shared" si="758"/>
      </c>
      <c r="BT431" s="803">
        <f t="shared" si="758"/>
      </c>
      <c r="BU431" s="802"/>
      <c r="BV431" s="802"/>
      <c r="BW431" s="802"/>
      <c r="BX431" s="1007"/>
      <c r="BY431" s="802"/>
      <c r="BZ431" s="802"/>
      <c r="CA431" s="802"/>
      <c r="CB431" s="802"/>
      <c r="CC431" s="1007"/>
      <c r="CD431" s="1007"/>
      <c r="CE431" s="1007"/>
      <c r="CF431" s="1007"/>
      <c r="CG431" s="183"/>
    </row>
    <row r="432" spans="1:85" s="587" customFormat="1" hidden="1" outlineLevel="1" x14ac:dyDescent="0.3">
      <c r="A432" s="261"/>
      <c r="B432" s="419"/>
      <c r="C432" s="1008"/>
      <c r="D432" s="1008"/>
      <c r="E432" s="1008"/>
      <c r="F432" s="1008"/>
      <c r="G432" s="804"/>
      <c r="H432" s="804"/>
      <c r="I432" s="804"/>
      <c r="J432" s="804"/>
      <c r="K432" s="1008"/>
      <c r="L432" s="804"/>
      <c r="M432" s="804"/>
      <c r="N432" s="804"/>
      <c r="O432" s="804"/>
      <c r="P432" s="1008"/>
      <c r="Q432" s="804"/>
      <c r="R432" s="804"/>
      <c r="S432" s="804"/>
      <c r="T432" s="804"/>
      <c r="U432" s="1008"/>
      <c r="V432" s="804"/>
      <c r="W432" s="804"/>
      <c r="X432" s="804"/>
      <c r="Y432" s="804"/>
      <c r="Z432" s="1008"/>
      <c r="AA432" s="804"/>
      <c r="AB432" s="804"/>
      <c r="AC432" s="804"/>
      <c r="AD432" s="804"/>
      <c r="AE432" s="1008"/>
      <c r="AF432" s="804"/>
      <c r="AG432" s="804"/>
      <c r="AH432" s="804"/>
      <c r="AI432" s="804"/>
      <c r="AJ432" s="1008"/>
      <c r="AK432" s="804"/>
      <c r="AL432" s="804"/>
      <c r="AM432" s="804"/>
      <c r="AN432" s="804"/>
      <c r="AO432" s="1008"/>
      <c r="AP432" s="804"/>
      <c r="AQ432" s="804"/>
      <c r="AR432" s="804"/>
      <c r="AS432" s="804"/>
      <c r="AT432" s="1008"/>
      <c r="AU432" s="804"/>
      <c r="AV432" s="804"/>
      <c r="AW432" s="804"/>
      <c r="AX432" s="804"/>
      <c r="AY432" s="1008"/>
      <c r="AZ432" s="804"/>
      <c r="BA432" s="804"/>
      <c r="BB432" s="804"/>
      <c r="BC432" s="804"/>
      <c r="BD432" s="1008"/>
      <c r="BE432" s="804"/>
      <c r="BF432" s="804"/>
      <c r="BG432" s="804"/>
      <c r="BH432" s="804"/>
      <c r="BI432" s="1008"/>
      <c r="BJ432" s="804"/>
      <c r="BK432" s="757"/>
      <c r="BL432" s="804"/>
      <c r="BM432" s="804"/>
      <c r="BN432" s="1008"/>
      <c r="BO432" s="804"/>
      <c r="BP432" s="757"/>
      <c r="BQ432" s="804"/>
      <c r="BR432" s="804"/>
      <c r="BS432" s="1008"/>
      <c r="BT432" s="805"/>
      <c r="BU432" s="804"/>
      <c r="BV432" s="804"/>
      <c r="BW432" s="804"/>
      <c r="BX432" s="1008"/>
      <c r="BY432" s="804"/>
      <c r="BZ432" s="804"/>
      <c r="CA432" s="804"/>
      <c r="CB432" s="804"/>
      <c r="CC432" s="1008"/>
      <c r="CD432" s="1008"/>
      <c r="CE432" s="1008"/>
      <c r="CF432" s="1008"/>
      <c r="CG432" s="459"/>
    </row>
    <row r="433" spans="1:85" hidden="1" outlineLevel="1" x14ac:dyDescent="0.3">
      <c r="A433" s="656" t="s">
        <v>57</v>
      </c>
      <c r="B433" s="656"/>
      <c r="C433" s="830">
        <f t="shared" ref="C433:AH433" si="759">IF(ISBLANK(INDEX(MO_IS_FirstRow,0,COLUMN())),0,ROUND(C431-C1099,6))</f>
      </c>
      <c r="D433" s="830">
        <f t="shared" si="759"/>
      </c>
      <c r="E433" s="830">
        <f t="shared" si="759"/>
      </c>
      <c r="F433" s="830">
        <f t="shared" si="759"/>
      </c>
      <c r="G433" s="830">
        <f t="shared" si="759"/>
      </c>
      <c r="H433" s="830">
        <f t="shared" si="759"/>
      </c>
      <c r="I433" s="830">
        <f t="shared" si="759"/>
      </c>
      <c r="J433" s="830">
        <f t="shared" si="759"/>
      </c>
      <c r="K433" s="830">
        <f t="shared" si="759"/>
      </c>
      <c r="L433" s="830">
        <f t="shared" si="759"/>
      </c>
      <c r="M433" s="830">
        <f t="shared" si="759"/>
      </c>
      <c r="N433" s="830">
        <f t="shared" si="759"/>
      </c>
      <c r="O433" s="830">
        <f t="shared" si="759"/>
      </c>
      <c r="P433" s="830">
        <f t="shared" si="759"/>
      </c>
      <c r="Q433" s="830">
        <f t="shared" si="759"/>
      </c>
      <c r="R433" s="830">
        <f t="shared" si="759"/>
      </c>
      <c r="S433" s="830">
        <f t="shared" si="759"/>
      </c>
      <c r="T433" s="830">
        <f t="shared" si="759"/>
      </c>
      <c r="U433" s="830">
        <f t="shared" si="759"/>
      </c>
      <c r="V433" s="830">
        <f t="shared" si="759"/>
      </c>
      <c r="W433" s="830">
        <f t="shared" si="759"/>
      </c>
      <c r="X433" s="830">
        <f t="shared" si="759"/>
      </c>
      <c r="Y433" s="830">
        <f t="shared" si="759"/>
      </c>
      <c r="Z433" s="830">
        <f t="shared" si="759"/>
      </c>
      <c r="AA433" s="830">
        <f t="shared" si="759"/>
      </c>
      <c r="AB433" s="830">
        <f t="shared" si="759"/>
      </c>
      <c r="AC433" s="830">
        <f t="shared" si="759"/>
      </c>
      <c r="AD433" s="830">
        <f t="shared" si="759"/>
      </c>
      <c r="AE433" s="830">
        <f t="shared" si="759"/>
      </c>
      <c r="AF433" s="830">
        <f t="shared" si="759"/>
      </c>
      <c r="AG433" s="830">
        <f t="shared" si="759"/>
      </c>
      <c r="AH433" s="830">
        <f t="shared" si="759"/>
      </c>
      <c r="AI433" s="830">
        <f t="shared" ref="AI433:BJ433" si="760">IF(ISBLANK(INDEX(MO_IS_FirstRow,0,COLUMN())),0,ROUND(AI431-AI1099,6))</f>
      </c>
      <c r="AJ433" s="830">
        <f t="shared" si="760"/>
      </c>
      <c r="AK433" s="830">
        <f t="shared" si="760"/>
      </c>
      <c r="AL433" s="830">
        <f t="shared" si="760"/>
      </c>
      <c r="AM433" s="830">
        <f t="shared" si="760"/>
      </c>
      <c r="AN433" s="830">
        <f t="shared" si="760"/>
      </c>
      <c r="AO433" s="830">
        <f t="shared" si="760"/>
      </c>
      <c r="AP433" s="830">
        <f t="shared" si="760"/>
      </c>
      <c r="AQ433" s="830">
        <f t="shared" si="760"/>
      </c>
      <c r="AR433" s="830">
        <f t="shared" si="760"/>
      </c>
      <c r="AS433" s="830">
        <f t="shared" si="760"/>
      </c>
      <c r="AT433" s="830">
        <f t="shared" si="760"/>
      </c>
      <c r="AU433" s="830">
        <f t="shared" si="760"/>
      </c>
      <c r="AV433" s="830">
        <f t="shared" si="760"/>
      </c>
      <c r="AW433" s="830">
        <f t="shared" si="760"/>
      </c>
      <c r="AX433" s="830">
        <f t="shared" si="760"/>
      </c>
      <c r="AY433" s="830">
        <f t="shared" si="760"/>
      </c>
      <c r="AZ433" s="830">
        <f t="shared" si="760"/>
      </c>
      <c r="BA433" s="830">
        <f t="shared" si="760"/>
      </c>
      <c r="BB433" s="830">
        <f t="shared" si="760"/>
      </c>
      <c r="BC433" s="830">
        <f t="shared" si="760"/>
      </c>
      <c r="BD433" s="830">
        <f t="shared" si="760"/>
      </c>
      <c r="BE433" s="830">
        <f t="shared" si="760"/>
      </c>
      <c r="BF433" s="830">
        <f t="shared" si="760"/>
      </c>
      <c r="BG433" s="830">
        <f t="shared" si="760"/>
      </c>
      <c r="BH433" s="830">
        <f t="shared" si="760"/>
      </c>
      <c r="BI433" s="830">
        <f t="shared" si="760"/>
      </c>
      <c r="BJ433" s="830">
        <f t="shared" si="760"/>
      </c>
      <c r="BK433" s="830">
        <f t="shared" ref="BK433:BX433" si="761">IF(ISBLANK(INDEX(MO_IS_FirstRow,0,COLUMN())),0,ROUND(BK431-BK1099,6))</f>
      </c>
      <c r="BL433" s="830">
        <f t="shared" si="761"/>
      </c>
      <c r="BM433" s="830">
        <f t="shared" si="761"/>
      </c>
      <c r="BN433" s="830">
        <f t="shared" si="761"/>
      </c>
      <c r="BO433" s="830">
        <f t="shared" ref="BO433:BW433" si="762">IF(ISBLANK(INDEX(MO_IS_FirstRow,0,COLUMN())),0,ROUND(BO431-BO1099,6))</f>
      </c>
      <c r="BP433" s="830">
        <f t="shared" si="762"/>
      </c>
      <c r="BQ433" s="830">
        <f t="shared" si="762"/>
      </c>
      <c r="BR433" s="830">
        <f t="shared" si="762"/>
      </c>
      <c r="BS433" s="830">
        <f t="shared" si="762"/>
      </c>
      <c r="BT433" s="831">
        <f>IF(ISBLANK(INDEX(MO_IS_FirstRow,0,COLUMN())),0,ROUND(BT431-BT1099,6))</f>
      </c>
      <c r="BU433" s="830">
        <f t="shared" si="762"/>
      </c>
      <c r="BV433" s="830">
        <f t="shared" si="762"/>
      </c>
      <c r="BW433" s="830">
        <f t="shared" si="762"/>
      </c>
      <c r="BX433" s="830">
        <f t="shared" si="761"/>
      </c>
      <c r="BY433" s="830">
        <f t="shared" ref="BY433:CF433" si="763">IF(ISBLANK(INDEX(MO_IS_FirstRow,0,COLUMN())),0,ROUND(BY431-BY1099,6))</f>
      </c>
      <c r="BZ433" s="830">
        <f t="shared" si="763"/>
      </c>
      <c r="CA433" s="830">
        <f t="shared" si="763"/>
      </c>
      <c r="CB433" s="830">
        <f t="shared" si="763"/>
      </c>
      <c r="CC433" s="830">
        <f t="shared" si="763"/>
      </c>
      <c r="CD433" s="830">
        <f t="shared" si="763"/>
      </c>
      <c r="CE433" s="830">
        <f t="shared" si="763"/>
      </c>
      <c r="CF433" s="830">
        <f t="shared" si="763"/>
      </c>
      <c r="CG433" s="459"/>
    </row>
    <row r="434" spans="1:85" collapsed="1" x14ac:dyDescent="0.3">
      <c r="A434" s="436"/>
      <c r="B434" s="414"/>
      <c r="C434" s="962"/>
      <c r="D434" s="962"/>
      <c r="E434" s="962"/>
      <c r="F434" s="962"/>
      <c r="G434" s="757"/>
      <c r="H434" s="757"/>
      <c r="I434" s="757"/>
      <c r="J434" s="757"/>
      <c r="K434" s="962"/>
      <c r="L434" s="757"/>
      <c r="M434" s="757"/>
      <c r="N434" s="757"/>
      <c r="O434" s="757"/>
      <c r="P434" s="962"/>
      <c r="Q434" s="757"/>
      <c r="R434" s="757"/>
      <c r="S434" s="757"/>
      <c r="T434" s="757"/>
      <c r="U434" s="962"/>
      <c r="V434" s="757"/>
      <c r="W434" s="757"/>
      <c r="X434" s="757"/>
      <c r="Y434" s="757"/>
      <c r="Z434" s="962"/>
      <c r="AA434" s="757"/>
      <c r="AB434" s="757"/>
      <c r="AC434" s="757"/>
      <c r="AD434" s="757"/>
      <c r="AE434" s="962"/>
      <c r="AF434" s="757"/>
      <c r="AG434" s="757"/>
      <c r="AH434" s="757"/>
      <c r="AI434" s="757"/>
      <c r="AJ434" s="962"/>
      <c r="AK434" s="757"/>
      <c r="AL434" s="757"/>
      <c r="AM434" s="757"/>
      <c r="AN434" s="757"/>
      <c r="AO434" s="962"/>
      <c r="AP434" s="757"/>
      <c r="AQ434" s="757"/>
      <c r="AR434" s="757"/>
      <c r="AS434" s="757"/>
      <c r="AT434" s="962"/>
      <c r="AU434" s="757"/>
      <c r="AV434" s="757"/>
      <c r="AW434" s="757"/>
      <c r="AX434" s="757"/>
      <c r="AY434" s="962"/>
      <c r="AZ434" s="757"/>
      <c r="BA434" s="757"/>
      <c r="BB434" s="757"/>
      <c r="BC434" s="757"/>
      <c r="BD434" s="962"/>
      <c r="BE434" s="757"/>
      <c r="BF434" s="757"/>
      <c r="BG434" s="757"/>
      <c r="BH434" s="757"/>
      <c r="BI434" s="962"/>
      <c r="BJ434" s="757"/>
      <c r="BK434" s="757"/>
      <c r="BL434" s="757"/>
      <c r="BM434" s="757"/>
      <c r="BN434" s="962"/>
      <c r="BO434" s="757"/>
      <c r="BP434" s="757"/>
      <c r="BQ434" s="757"/>
      <c r="BR434" s="757"/>
      <c r="BS434" s="962"/>
      <c r="BT434" s="758"/>
      <c r="BU434" s="757"/>
      <c r="BV434" s="757"/>
      <c r="BW434" s="757"/>
      <c r="BX434" s="962"/>
      <c r="BY434" s="757"/>
      <c r="BZ434" s="757"/>
      <c r="CA434" s="757"/>
      <c r="CB434" s="757"/>
      <c r="CC434" s="962"/>
      <c r="CD434" s="962"/>
      <c r="CE434" s="962"/>
      <c r="CF434" s="962"/>
      <c r="CG434" s="459"/>
    </row>
    <row r="435" spans="1:85" x14ac:dyDescent="0.3">
      <c r="A435" s="754" t="s">
        <v>58</v>
      </c>
      <c r="B435" s="754"/>
      <c r="C435" s="754"/>
      <c r="D435" s="754"/>
      <c r="E435" s="754"/>
      <c r="F435" s="754"/>
      <c r="G435" s="754"/>
      <c r="H435" s="754"/>
      <c r="I435" s="754"/>
      <c r="J435" s="754"/>
      <c r="K435" s="754"/>
      <c r="L435" s="754"/>
      <c r="M435" s="754"/>
      <c r="N435" s="754"/>
      <c r="O435" s="754"/>
      <c r="P435" s="754"/>
      <c r="Q435" s="754"/>
      <c r="R435" s="754"/>
      <c r="S435" s="754"/>
      <c r="T435" s="754"/>
      <c r="U435" s="754"/>
      <c r="V435" s="754"/>
      <c r="W435" s="754"/>
      <c r="X435" s="754"/>
      <c r="Y435" s="754"/>
      <c r="Z435" s="754"/>
      <c r="AA435" s="754"/>
      <c r="AB435" s="754"/>
      <c r="AC435" s="754"/>
      <c r="AD435" s="754"/>
      <c r="AE435" s="754"/>
      <c r="AF435" s="754"/>
      <c r="AG435" s="754"/>
      <c r="AH435" s="754"/>
      <c r="AI435" s="754"/>
      <c r="AJ435" s="754"/>
      <c r="AK435" s="754"/>
      <c r="AL435" s="754"/>
      <c r="AM435" s="754"/>
      <c r="AN435" s="754"/>
      <c r="AO435" s="754"/>
      <c r="AP435" s="754"/>
      <c r="AQ435" s="754"/>
      <c r="AR435" s="754"/>
      <c r="AS435" s="754"/>
      <c r="AT435" s="754"/>
      <c r="AU435" s="754"/>
      <c r="AV435" s="754"/>
      <c r="AW435" s="754"/>
      <c r="AX435" s="754"/>
      <c r="AY435" s="754"/>
      <c r="AZ435" s="754"/>
      <c r="BA435" s="754"/>
      <c r="BB435" s="754"/>
      <c r="BC435" s="754"/>
      <c r="BD435" s="754"/>
      <c r="BE435" s="754"/>
      <c r="BF435" s="754"/>
      <c r="BG435" s="754"/>
      <c r="BH435" s="754"/>
      <c r="BI435" s="754"/>
      <c r="BJ435" s="754"/>
      <c r="BK435" s="754"/>
      <c r="BL435" s="754"/>
      <c r="BM435" s="754"/>
      <c r="BN435" s="754"/>
      <c r="BO435" s="754"/>
      <c r="BP435" s="754"/>
      <c r="BQ435" s="754"/>
      <c r="BR435" s="754"/>
      <c r="BS435" s="754"/>
      <c r="BT435" s="755"/>
      <c r="BU435" s="754"/>
      <c r="BV435" s="754"/>
      <c r="BW435" s="754"/>
      <c r="BX435" s="754"/>
      <c r="BY435" s="754"/>
      <c r="BZ435" s="754"/>
      <c r="CA435" s="754"/>
      <c r="CB435" s="754"/>
      <c r="CC435" s="754"/>
      <c r="CD435" s="754"/>
      <c r="CE435" s="754"/>
      <c r="CF435" s="754"/>
      <c r="CG435" s="183"/>
    </row>
    <row r="436" spans="1:85" s="587" customFormat="1" hidden="1" outlineLevel="1" x14ac:dyDescent="0.3">
      <c r="A436" s="4" t="s">
        <v>59</v>
      </c>
      <c r="B436" s="428"/>
      <c r="C436" s="969">
        <f t="shared" ref="C436:K436" si="764">C431</f>
      </c>
      <c r="D436" s="969">
        <f t="shared" si="764"/>
      </c>
      <c r="E436" s="969">
        <f t="shared" si="764"/>
      </c>
      <c r="F436" s="969">
        <f t="shared" si="764"/>
      </c>
      <c r="G436" s="759">
        <f t="shared" si="764"/>
      </c>
      <c r="H436" s="759">
        <f t="shared" si="764"/>
      </c>
      <c r="I436" s="759">
        <f t="shared" si="764"/>
      </c>
      <c r="J436" s="759">
        <f t="shared" si="764"/>
      </c>
      <c r="K436" s="969">
        <f t="shared" si="764"/>
      </c>
      <c r="L436" s="759">
        <f t="shared" ref="L436:AQ436" si="765">L431</f>
      </c>
      <c r="M436" s="183">
        <f t="shared" si="765"/>
      </c>
      <c r="N436" s="183">
        <f t="shared" si="765"/>
      </c>
      <c r="O436" s="183">
        <f t="shared" si="765"/>
      </c>
      <c r="P436" s="985">
        <f t="shared" si="765"/>
      </c>
      <c r="Q436" s="183">
        <f t="shared" si="765"/>
      </c>
      <c r="R436" s="183">
        <f t="shared" si="765"/>
      </c>
      <c r="S436" s="183">
        <f t="shared" si="765"/>
      </c>
      <c r="T436" s="183">
        <f t="shared" si="765"/>
      </c>
      <c r="U436" s="985">
        <f t="shared" si="765"/>
      </c>
      <c r="V436" s="183">
        <f t="shared" si="765"/>
      </c>
      <c r="W436" s="183">
        <f t="shared" si="765"/>
      </c>
      <c r="X436" s="183">
        <f t="shared" si="765"/>
      </c>
      <c r="Y436" s="183">
        <f t="shared" si="765"/>
      </c>
      <c r="Z436" s="985">
        <f t="shared" si="765"/>
      </c>
      <c r="AA436" s="183">
        <f t="shared" si="765"/>
      </c>
      <c r="AB436" s="183">
        <f t="shared" si="765"/>
      </c>
      <c r="AC436" s="183">
        <f t="shared" si="765"/>
      </c>
      <c r="AD436" s="183">
        <f t="shared" si="765"/>
      </c>
      <c r="AE436" s="985">
        <f t="shared" si="765"/>
      </c>
      <c r="AF436" s="183">
        <f t="shared" si="765"/>
      </c>
      <c r="AG436" s="183">
        <f t="shared" si="765"/>
      </c>
      <c r="AH436" s="183">
        <f t="shared" si="765"/>
      </c>
      <c r="AI436" s="183">
        <f t="shared" si="765"/>
      </c>
      <c r="AJ436" s="985">
        <f t="shared" si="765"/>
      </c>
      <c r="AK436" s="183">
        <f t="shared" si="765"/>
      </c>
      <c r="AL436" s="183">
        <f t="shared" si="765"/>
      </c>
      <c r="AM436" s="183">
        <f t="shared" si="765"/>
      </c>
      <c r="AN436" s="183">
        <f t="shared" si="765"/>
      </c>
      <c r="AO436" s="985">
        <f t="shared" si="765"/>
      </c>
      <c r="AP436" s="183">
        <f t="shared" si="765"/>
      </c>
      <c r="AQ436" s="183">
        <f t="shared" si="765"/>
      </c>
      <c r="AR436" s="183">
        <f>AR431</f>
      </c>
      <c r="AS436" s="183">
        <f>AS431</f>
      </c>
      <c r="AT436" s="985">
        <f>AT431</f>
      </c>
      <c r="AU436" s="183">
        <f t="shared" ref="AU436" si="766">AU431</f>
      </c>
      <c r="AV436" s="183">
        <f t="shared" ref="AV436:BB436" si="767">AV431</f>
      </c>
      <c r="AW436" s="183">
        <f t="shared" si="767"/>
      </c>
      <c r="AX436" s="183">
        <f t="shared" si="767"/>
      </c>
      <c r="AY436" s="985">
        <f t="shared" si="767"/>
      </c>
      <c r="AZ436" s="183">
        <f t="shared" si="767"/>
      </c>
      <c r="BA436" s="759">
        <f t="shared" si="767"/>
      </c>
      <c r="BB436" s="759">
        <f t="shared" si="767"/>
      </c>
      <c r="BC436" s="183">
        <f t="shared" ref="BC436:BI436" si="768">BC431</f>
      </c>
      <c r="BD436" s="985">
        <f t="shared" si="768"/>
      </c>
      <c r="BE436" s="183">
        <f t="shared" si="768"/>
      </c>
      <c r="BF436" s="759">
        <f t="shared" si="768"/>
      </c>
      <c r="BG436" s="759">
        <f t="shared" si="768"/>
      </c>
      <c r="BH436" s="183">
        <f t="shared" si="768"/>
      </c>
      <c r="BI436" s="985">
        <f t="shared" si="768"/>
      </c>
      <c r="BJ436" s="183">
        <f t="shared" ref="BJ436:BO436" si="769">BJ431</f>
      </c>
      <c r="BK436" s="759">
        <f t="shared" si="769"/>
      </c>
      <c r="BL436" s="759">
        <f t="shared" si="769"/>
      </c>
      <c r="BM436" s="183">
        <f t="shared" si="769"/>
      </c>
      <c r="BN436" s="985">
        <f t="shared" si="769"/>
      </c>
      <c r="BO436" s="183">
        <f t="shared" si="769"/>
      </c>
      <c r="BP436" s="759">
        <f>BP431</f>
      </c>
      <c r="BQ436" s="759">
        <f>BQ431</f>
      </c>
      <c r="BR436" s="183">
        <f>BR431</f>
      </c>
      <c r="BS436" s="985">
        <f>BS431</f>
      </c>
      <c r="BT436" s="794">
        <f>BT431</f>
      </c>
      <c r="BU436" s="759"/>
      <c r="BV436" s="759"/>
      <c r="BW436" s="759"/>
      <c r="BX436" s="969"/>
      <c r="BY436" s="759"/>
      <c r="BZ436" s="759"/>
      <c r="CA436" s="759"/>
      <c r="CB436" s="759"/>
      <c r="CC436" s="969"/>
      <c r="CD436" s="969"/>
      <c r="CE436" s="969"/>
      <c r="CF436" s="969"/>
      <c r="CG436" s="183"/>
    </row>
    <row r="437" spans="1:85" s="587" customFormat="1" hidden="1" outlineLevel="1" x14ac:dyDescent="0.3">
      <c r="A437" s="182" t="s">
        <v>60</v>
      </c>
      <c r="B437" s="414"/>
      <c r="C437" s="962">
        <f t="shared" ref="C437:K437" si="770">-(C426+C427)</f>
      </c>
      <c r="D437" s="962">
        <f t="shared" si="770"/>
      </c>
      <c r="E437" s="962">
        <f t="shared" si="770"/>
      </c>
      <c r="F437" s="962">
        <f t="shared" si="770"/>
      </c>
      <c r="G437" s="757">
        <f t="shared" si="770"/>
      </c>
      <c r="H437" s="757">
        <f t="shared" si="770"/>
      </c>
      <c r="I437" s="757">
        <f t="shared" si="770"/>
      </c>
      <c r="J437" s="757">
        <f t="shared" si="770"/>
      </c>
      <c r="K437" s="962">
        <f t="shared" si="770"/>
      </c>
      <c r="L437" s="757">
        <f>-(L426+L427)</f>
      </c>
      <c r="M437" s="857">
        <v>12.228</v>
      </c>
      <c r="N437" s="857">
        <v>12.87</v>
      </c>
      <c r="O437" s="857">
        <v>19.53</v>
      </c>
      <c r="P437" s="964">
        <f>SUM(L437,M437,N437,O437)</f>
      </c>
      <c r="Q437" s="857">
        <v>59.03</v>
      </c>
      <c r="R437" s="857">
        <v>34.344999999999999</v>
      </c>
      <c r="S437" s="857">
        <v>31.402999999999999</v>
      </c>
      <c r="T437" s="857">
        <v>39.162999999999997</v>
      </c>
      <c r="U437" s="964">
        <f>SUM(Q437,R437,S437,T437)</f>
      </c>
      <c r="V437" s="857">
        <v>9.5739999999999998</v>
      </c>
      <c r="W437" s="857">
        <v>19.138000000000002</v>
      </c>
      <c r="X437" s="857">
        <v>26.908999999999999</v>
      </c>
      <c r="Y437" s="857">
        <v>63.664999999999999</v>
      </c>
      <c r="Z437" s="964">
        <f>SUM(V437,W437,X437,Y437)</f>
      </c>
      <c r="AA437" s="857">
        <v>33.15</v>
      </c>
      <c r="AB437" s="857">
        <v>113.845</v>
      </c>
      <c r="AC437" s="857">
        <v>92.39</v>
      </c>
      <c r="AD437" s="857">
        <v>113.973</v>
      </c>
      <c r="AE437" s="964">
        <f>SUM(AA437,AB437,AC437,AD437)</f>
      </c>
      <c r="AF437" s="857">
        <v>146.96199999999999</v>
      </c>
      <c r="AG437" s="857">
        <v>33.576999999999998</v>
      </c>
      <c r="AH437" s="857">
        <v>101.858</v>
      </c>
      <c r="AI437" s="857">
        <v>96.370999999999995</v>
      </c>
      <c r="AJ437" s="964">
        <f>SUM(AF437,AG437,AH437,AI437)</f>
      </c>
      <c r="AK437" s="857">
        <v>59.424999999999997</v>
      </c>
      <c r="AL437" s="857">
        <v>205.50299999999999</v>
      </c>
      <c r="AM437" s="857">
        <v>-32.084000000000003</v>
      </c>
      <c r="AN437" s="857">
        <v>309.17899999999997</v>
      </c>
      <c r="AO437" s="964">
        <f>SUM(AK437,AL437,AM437,AN437)</f>
      </c>
      <c r="AP437" s="857">
        <v>162.386</v>
      </c>
      <c r="AQ437" s="857">
        <v>322.32600000000002</v>
      </c>
      <c r="AR437" s="857">
        <v>453.40300000000002</v>
      </c>
      <c r="AS437" s="459">
        <f>-SUM(AS426:AS427)</f>
      </c>
      <c r="AT437" s="964">
        <f>SUM(AP437,AQ437,AR437,AS437)</f>
      </c>
      <c r="AU437" s="459">
        <f>-SUM(AU426:AU427)</f>
      </c>
      <c r="AV437" s="459">
        <f>-SUM(AV426:AV427)</f>
      </c>
      <c r="AW437" s="459">
        <f>-SUM(AW426:AW427)</f>
      </c>
      <c r="AX437" s="459">
        <f>-SUM(AX426:AX427)</f>
      </c>
      <c r="AY437" s="964">
        <f>SUM(AU437,AV437,AW437,AX437)</f>
      </c>
      <c r="AZ437" s="459">
        <f>-SUM(AZ426:AZ427)</f>
      </c>
      <c r="BA437" s="757">
        <f>-SUM(BA426:BA427)</f>
      </c>
      <c r="BB437" s="857">
        <v>-88.828999999999994</v>
      </c>
      <c r="BC437" s="459">
        <f>-SUM(BC426:BC427)</f>
      </c>
      <c r="BD437" s="964">
        <f>SUM(AZ437,BA437,BB437,BC437)</f>
      </c>
      <c r="BE437" s="459">
        <f>-SUM(BE426:BE427)</f>
      </c>
      <c r="BF437" s="757">
        <f>-SUM(BF426:BF427)</f>
      </c>
      <c r="BG437" s="757">
        <f>-SUM(BG426:BG427)</f>
      </c>
      <c r="BH437" s="459">
        <f>-SUM(BH426:BH427)</f>
      </c>
      <c r="BI437" s="964">
        <f>SUM(BE437,BF437,BG437,BH437)</f>
      </c>
      <c r="BJ437" s="459">
        <f>-SUM(BJ426:BJ427)</f>
      </c>
      <c r="BK437" s="757">
        <f>-SUM(BK426:BK427)</f>
      </c>
      <c r="BL437" s="757">
        <f>-SUM(BL426:BL427)</f>
      </c>
      <c r="BM437" s="459">
        <f>-SUM(BM426:BM427)</f>
      </c>
      <c r="BN437" s="964">
        <f>SUM(BJ437,BK437,BL437,BM437)</f>
      </c>
      <c r="BO437" s="459">
        <f>-SUM(BO426:BO427)</f>
      </c>
      <c r="BP437" s="757">
        <f>-SUM(BP426:BP427)</f>
      </c>
      <c r="BQ437" s="757">
        <f>-SUM(BQ426:BQ427)</f>
      </c>
      <c r="BR437" s="459">
        <f>-SUM(BR426:BR427)</f>
      </c>
      <c r="BS437" s="964">
        <f>SUM(BO437,BP437,BQ437,BR437)</f>
      </c>
      <c r="BT437" s="795">
        <f>-SUM(BT426:BT427)</f>
      </c>
      <c r="BU437" s="757"/>
      <c r="BV437" s="757"/>
      <c r="BW437" s="757"/>
      <c r="BX437" s="962"/>
      <c r="BY437" s="757"/>
      <c r="BZ437" s="757"/>
      <c r="CA437" s="757"/>
      <c r="CB437" s="757"/>
      <c r="CC437" s="962"/>
      <c r="CD437" s="962"/>
      <c r="CE437" s="962"/>
      <c r="CF437" s="962"/>
      <c r="CG437" s="459"/>
    </row>
    <row r="438" spans="1:85" s="587" customFormat="1" hidden="1" outlineLevel="1" x14ac:dyDescent="0.3">
      <c r="A438" s="182" t="s">
        <v>61</v>
      </c>
      <c r="B438" s="414"/>
      <c r="C438" s="962">
        <f t="shared" ref="C438:L438" si="771">C430</f>
      </c>
      <c r="D438" s="962">
        <f t="shared" si="771"/>
      </c>
      <c r="E438" s="962">
        <f t="shared" si="771"/>
      </c>
      <c r="F438" s="962">
        <f t="shared" si="771"/>
      </c>
      <c r="G438" s="757">
        <f t="shared" si="771"/>
      </c>
      <c r="H438" s="757">
        <f t="shared" si="771"/>
      </c>
      <c r="I438" s="757">
        <f t="shared" si="771"/>
      </c>
      <c r="J438" s="757">
        <f t="shared" si="771"/>
      </c>
      <c r="K438" s="962">
        <f t="shared" si="771"/>
      </c>
      <c r="L438" s="757">
        <f t="shared" si="771"/>
      </c>
      <c r="M438" s="857">
        <v>46.353999999999999</v>
      </c>
      <c r="N438" s="857">
        <v>38.241999999999997</v>
      </c>
      <c r="O438" s="857">
        <v>-37.854999999999997</v>
      </c>
      <c r="P438" s="964">
        <f>SUM(L438,M438,N438,O438)</f>
      </c>
      <c r="Q438" s="857">
        <v>14.73</v>
      </c>
      <c r="R438" s="857">
        <v>14.154999999999999</v>
      </c>
      <c r="S438" s="857">
        <v>12.805999999999999</v>
      </c>
      <c r="T438" s="857">
        <v>-22.446999999999999</v>
      </c>
      <c r="U438" s="964">
        <f>SUM(Q438,R438,S438,T438)</f>
      </c>
      <c r="V438" s="857">
        <v>12.221</v>
      </c>
      <c r="W438" s="857">
        <v>10.477</v>
      </c>
      <c r="X438" s="857">
        <v>27.61</v>
      </c>
      <c r="Y438" s="857">
        <v>23.521000000000001</v>
      </c>
      <c r="Z438" s="964">
        <f>SUM(V438,W438,X438,Y438)</f>
      </c>
      <c r="AA438" s="857">
        <v>45.57</v>
      </c>
      <c r="AB438" s="857">
        <v>-51.637999999999998</v>
      </c>
      <c r="AC438" s="857">
        <v>-13.353</v>
      </c>
      <c r="AD438" s="857">
        <v>-54.186999999999998</v>
      </c>
      <c r="AE438" s="964">
        <f>SUM(AA438,AB438,AC438,AD438)</f>
      </c>
      <c r="AF438" s="857">
        <v>9.4920000000000009</v>
      </c>
      <c r="AG438" s="857">
        <v>44.286999999999999</v>
      </c>
      <c r="AH438" s="857">
        <v>-24.024999999999999</v>
      </c>
      <c r="AI438" s="857">
        <v>-14.538</v>
      </c>
      <c r="AJ438" s="964">
        <f>SUM(AF438,AG438,AH438,AI438)</f>
      </c>
      <c r="AK438" s="857">
        <v>55.606999999999999</v>
      </c>
      <c r="AL438" s="857">
        <v>230.26599999999999</v>
      </c>
      <c r="AM438" s="857">
        <v>347.07900000000001</v>
      </c>
      <c r="AN438" s="857">
        <v>-437.637</v>
      </c>
      <c r="AO438" s="964">
        <f>SUM(AK438,AL438,AM438,AN438)</f>
      </c>
      <c r="AP438" s="857">
        <v>86.802999999999997</v>
      </c>
      <c r="AQ438" s="857">
        <v>315.40600000000001</v>
      </c>
      <c r="AR438" s="857">
        <v>71.483999999999995</v>
      </c>
      <c r="AS438" s="459">
        <f>AS430</f>
      </c>
      <c r="AT438" s="964">
        <f>SUM(AP438,AQ438,AR438,AS438)</f>
      </c>
      <c r="AU438" s="459">
        <f>AU430</f>
      </c>
      <c r="AV438" s="459">
        <f>AV430</f>
      </c>
      <c r="AW438" s="459">
        <f>AW430</f>
      </c>
      <c r="AX438" s="459">
        <f>AX430</f>
      </c>
      <c r="AY438" s="964">
        <f>SUM(AU438,AV438,AW438,AX438)</f>
      </c>
      <c r="AZ438" s="459">
        <f>AZ430</f>
      </c>
      <c r="BA438" s="757">
        <f>BA430</f>
      </c>
      <c r="BB438" s="857">
        <v>223.60499999999999</v>
      </c>
      <c r="BC438" s="459">
        <f>BC430</f>
      </c>
      <c r="BD438" s="964">
        <f>SUM(AZ438,BA438,BB438,BC438)</f>
      </c>
      <c r="BE438" s="459">
        <f>BE430</f>
      </c>
      <c r="BF438" s="757">
        <f>BF430</f>
      </c>
      <c r="BG438" s="857">
        <v>231.62700000000001</v>
      </c>
      <c r="BH438" s="459">
        <f>BH430</f>
      </c>
      <c r="BI438" s="964">
        <f>SUM(BE438,BF438,BG438,BH438)</f>
      </c>
      <c r="BJ438" s="459">
        <f>BJ430</f>
      </c>
      <c r="BK438" s="757">
        <f>BK430</f>
      </c>
      <c r="BL438" s="757">
        <f>BL430</f>
      </c>
      <c r="BM438" s="459">
        <f>BM430</f>
      </c>
      <c r="BN438" s="964">
        <f>SUM(BJ438,BK438,BL438,BM438)</f>
      </c>
      <c r="BO438" s="459">
        <f>BO430</f>
      </c>
      <c r="BP438" s="757">
        <f>BP430</f>
      </c>
      <c r="BQ438" s="757">
        <f>BQ430</f>
      </c>
      <c r="BR438" s="459">
        <f>BR430</f>
      </c>
      <c r="BS438" s="964">
        <f>SUM(BO438,BP438,BQ438,BR438)</f>
      </c>
      <c r="BT438" s="795">
        <f>BT430</f>
      </c>
      <c r="BU438" s="757"/>
      <c r="BV438" s="757"/>
      <c r="BW438" s="757"/>
      <c r="BX438" s="962"/>
      <c r="BY438" s="757"/>
      <c r="BZ438" s="757"/>
      <c r="CA438" s="757"/>
      <c r="CB438" s="757"/>
      <c r="CC438" s="962"/>
      <c r="CD438" s="962"/>
      <c r="CE438" s="962"/>
      <c r="CF438" s="962"/>
      <c r="CG438" s="459"/>
    </row>
    <row r="439" spans="1:85" s="587" customFormat="1" hidden="1" outlineLevel="1" x14ac:dyDescent="0.3">
      <c r="A439" s="182" t="s">
        <v>62</v>
      </c>
      <c r="B439" s="414"/>
      <c r="C439" s="962">
        <f t="shared" ref="C439:K439" si="772">C1104</f>
      </c>
      <c r="D439" s="962">
        <f t="shared" si="772"/>
      </c>
      <c r="E439" s="962">
        <f t="shared" si="772"/>
      </c>
      <c r="F439" s="962">
        <f t="shared" si="772"/>
      </c>
      <c r="G439" s="757">
        <f t="shared" si="772"/>
      </c>
      <c r="H439" s="757">
        <f t="shared" si="772"/>
      </c>
      <c r="I439" s="757">
        <f t="shared" si="772"/>
      </c>
      <c r="J439" s="757">
        <f t="shared" si="772"/>
      </c>
      <c r="K439" s="962">
        <f t="shared" si="772"/>
      </c>
      <c r="L439" s="757">
        <f t="shared" ref="L439" si="773">L1104</f>
      </c>
      <c r="M439" s="857">
        <v>12.977</v>
      </c>
      <c r="N439" s="857">
        <v>14.356999999999999</v>
      </c>
      <c r="O439" s="857">
        <v>14.311999999999999</v>
      </c>
      <c r="P439" s="964">
        <f>SUM(L439,M439,N439,O439)</f>
      </c>
      <c r="Q439" s="857">
        <v>15.167</v>
      </c>
      <c r="R439" s="857">
        <v>15.581</v>
      </c>
      <c r="S439" s="857">
        <v>16.047000000000001</v>
      </c>
      <c r="T439" s="857">
        <v>15.488</v>
      </c>
      <c r="U439" s="964">
        <f>SUM(Q439,R439,S439,T439)</f>
      </c>
      <c r="V439" s="857">
        <v>14.798</v>
      </c>
      <c r="W439" s="857">
        <v>14.131</v>
      </c>
      <c r="X439" s="857">
        <v>14.41</v>
      </c>
      <c r="Y439" s="857">
        <v>14.189</v>
      </c>
      <c r="Z439" s="964">
        <f>SUM(V439,W439,X439,Y439)</f>
      </c>
      <c r="AA439" s="857">
        <v>15.048999999999999</v>
      </c>
      <c r="AB439" s="857">
        <v>18.550999999999998</v>
      </c>
      <c r="AC439" s="857">
        <v>19.238</v>
      </c>
      <c r="AD439" s="857">
        <v>19.073</v>
      </c>
      <c r="AE439" s="964">
        <f>SUM(AA439,AB439,AC439,AD439)</f>
      </c>
      <c r="AF439" s="857">
        <v>19.041</v>
      </c>
      <c r="AG439" s="857">
        <v>19.736000000000001</v>
      </c>
      <c r="AH439" s="857">
        <v>21.161000000000001</v>
      </c>
      <c r="AI439" s="857">
        <v>23.219000000000001</v>
      </c>
      <c r="AJ439" s="964">
        <f>SUM(AF439,AG439,AH439,AI439)</f>
      </c>
      <c r="AK439" s="857">
        <v>23.561</v>
      </c>
      <c r="AL439" s="857">
        <v>25.495999999999999</v>
      </c>
      <c r="AM439" s="857">
        <v>26.704000000000001</v>
      </c>
      <c r="AN439" s="857">
        <v>27.818000000000001</v>
      </c>
      <c r="AO439" s="964">
        <f>SUM(AK439,AL439,AM439,AN439)</f>
      </c>
      <c r="AP439" s="857">
        <v>28.516999999999999</v>
      </c>
      <c r="AQ439" s="857">
        <v>26.661000000000001</v>
      </c>
      <c r="AR439" s="857">
        <v>28.588999999999999</v>
      </c>
      <c r="AS439" s="459">
        <f>AS1104</f>
      </c>
      <c r="AT439" s="964">
        <f>SUM(AP439,AQ439,AR439,AS439)</f>
      </c>
      <c r="AU439" s="459">
        <f t="shared" ref="AU439:AW439" si="774">AU1104</f>
      </c>
      <c r="AV439" s="459">
        <f t="shared" si="774"/>
      </c>
      <c r="AW439" s="459">
        <f t="shared" si="774"/>
      </c>
      <c r="AX439" s="459">
        <f>AX1104</f>
      </c>
      <c r="AY439" s="964">
        <f>SUM(AU439,AV439,AW439,AX439)</f>
      </c>
      <c r="AZ439" s="459">
        <f>AZ1104</f>
      </c>
      <c r="BA439" s="757">
        <f>BA1104</f>
      </c>
      <c r="BB439" s="857">
        <v>85.188000000000002</v>
      </c>
      <c r="BC439" s="459">
        <f>BC1104</f>
      </c>
      <c r="BD439" s="964">
        <f>SUM(AZ439,BA439,BB439,BC439)</f>
      </c>
      <c r="BE439" s="459">
        <f>BE1104</f>
      </c>
      <c r="BF439" s="757">
        <f>BF1104</f>
      </c>
      <c r="BG439" s="857">
        <v>90.66</v>
      </c>
      <c r="BH439" s="459">
        <f>BH1104</f>
      </c>
      <c r="BI439" s="964">
        <f>SUM(BE439,BF439,BG439,BH439)</f>
      </c>
      <c r="BJ439" s="459">
        <f>BJ1104</f>
      </c>
      <c r="BK439" s="757">
        <f>BK1104</f>
      </c>
      <c r="BL439" s="757">
        <f>BL1104</f>
      </c>
      <c r="BM439" s="459">
        <f>BM1104</f>
      </c>
      <c r="BN439" s="964">
        <f>SUM(BJ439,BK439,BL439,BM439)</f>
      </c>
      <c r="BO439" s="459">
        <f>BO1104</f>
      </c>
      <c r="BP439" s="757">
        <f>BP1104</f>
      </c>
      <c r="BQ439" s="757">
        <f>BQ1104</f>
      </c>
      <c r="BR439" s="459">
        <f>BR1104</f>
      </c>
      <c r="BS439" s="964">
        <f>SUM(BO439,BP439,BQ439,BR439)</f>
      </c>
      <c r="BT439" s="795">
        <f>BT1104</f>
      </c>
      <c r="BU439" s="757"/>
      <c r="BV439" s="757"/>
      <c r="BW439" s="757"/>
      <c r="BX439" s="962"/>
      <c r="BY439" s="757"/>
      <c r="BZ439" s="757"/>
      <c r="CA439" s="757"/>
      <c r="CB439" s="757"/>
      <c r="CC439" s="962"/>
      <c r="CD439" s="962"/>
      <c r="CE439" s="962"/>
      <c r="CF439" s="962"/>
      <c r="CG439" s="459"/>
    </row>
    <row r="440" spans="1:85" s="587" customFormat="1" hidden="1" outlineLevel="1" x14ac:dyDescent="0.3">
      <c r="A440" s="182" t="s">
        <v>63</v>
      </c>
      <c r="B440" s="414"/>
      <c r="C440" s="962">
        <f t="shared" ref="C440:K440" si="775">C1106</f>
      </c>
      <c r="D440" s="962">
        <f t="shared" si="775"/>
      </c>
      <c r="E440" s="962">
        <f t="shared" si="775"/>
      </c>
      <c r="F440" s="962">
        <f t="shared" si="775"/>
      </c>
      <c r="G440" s="757">
        <f t="shared" si="775"/>
      </c>
      <c r="H440" s="757">
        <f t="shared" si="775"/>
      </c>
      <c r="I440" s="757">
        <f t="shared" si="775"/>
      </c>
      <c r="J440" s="757">
        <f t="shared" si="775"/>
      </c>
      <c r="K440" s="962">
        <f t="shared" si="775"/>
      </c>
      <c r="L440" s="757">
        <f>L1106</f>
      </c>
      <c r="M440" s="857">
        <v>29.285</v>
      </c>
      <c r="N440" s="857">
        <v>29.878</v>
      </c>
      <c r="O440" s="857">
        <v>30.251000000000001</v>
      </c>
      <c r="P440" s="964">
        <f>SUM(L440,M440,N440,O440)</f>
      </c>
      <c r="Q440" s="857">
        <v>27.440999999999999</v>
      </c>
      <c r="R440" s="857">
        <v>28.59</v>
      </c>
      <c r="S440" s="857">
        <v>32.834000000000003</v>
      </c>
      <c r="T440" s="857">
        <v>35.86</v>
      </c>
      <c r="U440" s="964">
        <f>SUM(Q440,R440,S440,T440)</f>
      </c>
      <c r="V440" s="857">
        <v>42.421999999999997</v>
      </c>
      <c r="W440" s="857">
        <v>44.112000000000002</v>
      </c>
      <c r="X440" s="857">
        <v>43.494999999999997</v>
      </c>
      <c r="Y440" s="857">
        <v>43.646000000000001</v>
      </c>
      <c r="Z440" s="964">
        <f>SUM(V440,W440,X440,Y440)</f>
      </c>
      <c r="AA440" s="857">
        <v>44.887999999999998</v>
      </c>
      <c r="AB440" s="857">
        <v>44.027999999999999</v>
      </c>
      <c r="AC440" s="857">
        <v>44.762999999999998</v>
      </c>
      <c r="AD440" s="857">
        <v>48.53</v>
      </c>
      <c r="AE440" s="964">
        <f>SUM(AA440,AB440,AC440,AD440)</f>
      </c>
      <c r="AF440" s="857">
        <v>68.394999999999996</v>
      </c>
      <c r="AG440" s="857">
        <v>81.231999999999999</v>
      </c>
      <c r="AH440" s="857">
        <v>82.316000000000003</v>
      </c>
      <c r="AI440" s="857">
        <v>88.713999999999999</v>
      </c>
      <c r="AJ440" s="964">
        <f>SUM(AF440,AG440,AH440,AI440)</f>
      </c>
      <c r="AK440" s="857">
        <v>101.2</v>
      </c>
      <c r="AL440" s="857">
        <v>103.848</v>
      </c>
      <c r="AM440" s="857">
        <v>100.262</v>
      </c>
      <c r="AN440" s="857">
        <v>100.066</v>
      </c>
      <c r="AO440" s="964">
        <f>SUM(AK440,AL440,AM440,AN440)</f>
      </c>
      <c r="AP440" s="857">
        <v>97.019000000000005</v>
      </c>
      <c r="AQ440" s="857">
        <v>104.21</v>
      </c>
      <c r="AR440" s="857">
        <v>106.357</v>
      </c>
      <c r="AS440" s="459">
        <f>AS1106</f>
      </c>
      <c r="AT440" s="964">
        <f>SUM(AP440,AQ440,AR440,AS440)</f>
      </c>
      <c r="AU440" s="459">
        <f>AU1106</f>
      </c>
      <c r="AV440" s="459">
        <f>AV1106</f>
      </c>
      <c r="AW440" s="459">
        <f>AW1106</f>
      </c>
      <c r="AX440" s="459">
        <f>AX1106</f>
      </c>
      <c r="AY440" s="964">
        <f>SUM(AU440,AV440,AW440,AX440)</f>
      </c>
      <c r="AZ440" s="459">
        <f>AZ1106</f>
      </c>
      <c r="BA440" s="757">
        <f>BA1106</f>
      </c>
      <c r="BB440" s="857">
        <v>152.06200000000001</v>
      </c>
      <c r="BC440" s="459">
        <f>BC1106</f>
      </c>
      <c r="BD440" s="964">
        <f>SUM(AZ440,BA440,BB440,BC440)</f>
      </c>
      <c r="BE440" s="459">
        <f>BE1106</f>
      </c>
      <c r="BF440" s="757">
        <f>BF1106</f>
      </c>
      <c r="BG440" s="857">
        <v>79.72</v>
      </c>
      <c r="BH440" s="459">
        <f>BH1106</f>
      </c>
      <c r="BI440" s="964">
        <f>SUM(BE440,BF440,BG440,BH440)</f>
      </c>
      <c r="BJ440" s="459">
        <f>BJ1106</f>
      </c>
      <c r="BK440" s="757">
        <f>BK1106</f>
      </c>
      <c r="BL440" s="757">
        <f>BL1106</f>
      </c>
      <c r="BM440" s="459">
        <f>BM1106</f>
      </c>
      <c r="BN440" s="964">
        <f>SUM(BJ440,BK440,BL440,BM440)</f>
      </c>
      <c r="BO440" s="459">
        <f>BO1106</f>
      </c>
      <c r="BP440" s="757">
        <f>BP1106</f>
      </c>
      <c r="BQ440" s="757">
        <f>BQ1106</f>
      </c>
      <c r="BR440" s="459">
        <f>BR1106</f>
      </c>
      <c r="BS440" s="964">
        <f>SUM(BO440,BP440,BQ440,BR440)</f>
      </c>
      <c r="BT440" s="795">
        <f>BT1106</f>
      </c>
      <c r="BU440" s="757"/>
      <c r="BV440" s="757"/>
      <c r="BW440" s="757"/>
      <c r="BX440" s="962"/>
      <c r="BY440" s="757"/>
      <c r="BZ440" s="757"/>
      <c r="CA440" s="757"/>
      <c r="CB440" s="757"/>
      <c r="CC440" s="962"/>
      <c r="CD440" s="962"/>
      <c r="CE440" s="962"/>
      <c r="CF440" s="962"/>
      <c r="CG440" s="459"/>
    </row>
    <row r="441" spans="1:85" s="587" customFormat="1" hidden="1" outlineLevel="1" x14ac:dyDescent="0.3">
      <c r="A441" s="30" t="s">
        <v>55</v>
      </c>
      <c r="B441" s="416"/>
      <c r="C441" s="984">
        <f t="shared" ref="C441:P441" si="776">-C428</f>
      </c>
      <c r="D441" s="984">
        <f t="shared" si="776"/>
      </c>
      <c r="E441" s="984">
        <f t="shared" si="776"/>
      </c>
      <c r="F441" s="984">
        <f t="shared" si="776"/>
      </c>
      <c r="G441" s="761">
        <f t="shared" si="776"/>
      </c>
      <c r="H441" s="761">
        <f t="shared" si="776"/>
      </c>
      <c r="I441" s="761">
        <f t="shared" si="776"/>
      </c>
      <c r="J441" s="761">
        <f t="shared" si="776"/>
      </c>
      <c r="K441" s="984">
        <f t="shared" si="776"/>
      </c>
      <c r="L441" s="761">
        <f t="shared" si="776"/>
      </c>
      <c r="M441" s="800">
        <f t="shared" si="776"/>
      </c>
      <c r="N441" s="800">
        <f t="shared" si="776"/>
      </c>
      <c r="O441" s="800">
        <f t="shared" si="776"/>
      </c>
      <c r="P441" s="1005">
        <f t="shared" si="776"/>
      </c>
      <c r="Q441" s="761"/>
      <c r="R441" s="761"/>
      <c r="S441" s="761"/>
      <c r="T441" s="761"/>
      <c r="U441" s="984"/>
      <c r="V441" s="761"/>
      <c r="W441" s="761"/>
      <c r="X441" s="761"/>
      <c r="Y441" s="761"/>
      <c r="Z441" s="984"/>
      <c r="AA441" s="761"/>
      <c r="AB441" s="761"/>
      <c r="AC441" s="761"/>
      <c r="AD441" s="761"/>
      <c r="AE441" s="984"/>
      <c r="AF441" s="761"/>
      <c r="AG441" s="761"/>
      <c r="AH441" s="761"/>
      <c r="AI441" s="761"/>
      <c r="AJ441" s="984"/>
      <c r="AK441" s="761"/>
      <c r="AL441" s="761"/>
      <c r="AM441" s="761"/>
      <c r="AN441" s="761"/>
      <c r="AO441" s="984"/>
      <c r="AP441" s="761"/>
      <c r="AQ441" s="761"/>
      <c r="AR441" s="761"/>
      <c r="AS441" s="761"/>
      <c r="AT441" s="984"/>
      <c r="AU441" s="761"/>
      <c r="AV441" s="761"/>
      <c r="AW441" s="761"/>
      <c r="AX441" s="761"/>
      <c r="AY441" s="984"/>
      <c r="AZ441" s="761"/>
      <c r="BA441" s="761"/>
      <c r="BB441" s="761"/>
      <c r="BC441" s="761"/>
      <c r="BD441" s="984"/>
      <c r="BE441" s="761"/>
      <c r="BF441" s="761"/>
      <c r="BG441" s="761"/>
      <c r="BH441" s="761"/>
      <c r="BI441" s="984"/>
      <c r="BJ441" s="761"/>
      <c r="BK441" s="761"/>
      <c r="BL441" s="761"/>
      <c r="BM441" s="761"/>
      <c r="BN441" s="984"/>
      <c r="BO441" s="761"/>
      <c r="BP441" s="761"/>
      <c r="BQ441" s="761"/>
      <c r="BR441" s="761"/>
      <c r="BS441" s="984"/>
      <c r="BT441" s="762"/>
      <c r="BU441" s="761"/>
      <c r="BV441" s="761"/>
      <c r="BW441" s="761"/>
      <c r="BX441" s="984"/>
      <c r="BY441" s="761"/>
      <c r="BZ441" s="761"/>
      <c r="CA441" s="761"/>
      <c r="CB441" s="761"/>
      <c r="CC441" s="984"/>
      <c r="CD441" s="984"/>
      <c r="CE441" s="984"/>
      <c r="CF441" s="984"/>
      <c r="CG441" s="459"/>
    </row>
    <row r="442" spans="1:85" s="587" customFormat="1" hidden="1" outlineLevel="1" x14ac:dyDescent="0.3">
      <c r="A442" s="2" t="s">
        <v>64</v>
      </c>
      <c r="B442" s="422"/>
      <c r="C442" s="965">
        <f t="shared" ref="C442:AH442" si="777">SUM(C436:C441)</f>
      </c>
      <c r="D442" s="965">
        <f t="shared" si="777"/>
      </c>
      <c r="E442" s="965">
        <f t="shared" si="777"/>
      </c>
      <c r="F442" s="965">
        <f t="shared" si="777"/>
      </c>
      <c r="G442" s="791">
        <f t="shared" si="777"/>
      </c>
      <c r="H442" s="791">
        <f t="shared" si="777"/>
      </c>
      <c r="I442" s="791">
        <f t="shared" si="777"/>
      </c>
      <c r="J442" s="791">
        <f t="shared" si="777"/>
      </c>
      <c r="K442" s="965">
        <f t="shared" si="777"/>
      </c>
      <c r="L442" s="791">
        <f t="shared" si="777"/>
      </c>
      <c r="M442" s="792">
        <f t="shared" si="777"/>
      </c>
      <c r="N442" s="792">
        <f t="shared" si="777"/>
      </c>
      <c r="O442" s="792">
        <f t="shared" si="777"/>
      </c>
      <c r="P442" s="986">
        <f t="shared" si="777"/>
      </c>
      <c r="Q442" s="792">
        <f t="shared" si="777"/>
      </c>
      <c r="R442" s="792">
        <f t="shared" si="777"/>
      </c>
      <c r="S442" s="792">
        <f t="shared" si="777"/>
      </c>
      <c r="T442" s="792">
        <f t="shared" si="777"/>
      </c>
      <c r="U442" s="986">
        <f t="shared" si="777"/>
      </c>
      <c r="V442" s="792">
        <f t="shared" si="777"/>
      </c>
      <c r="W442" s="792">
        <f t="shared" si="777"/>
      </c>
      <c r="X442" s="792">
        <f t="shared" si="777"/>
      </c>
      <c r="Y442" s="791">
        <f t="shared" si="777"/>
      </c>
      <c r="Z442" s="965">
        <f t="shared" si="777"/>
      </c>
      <c r="AA442" s="792">
        <f t="shared" si="777"/>
      </c>
      <c r="AB442" s="792">
        <f t="shared" si="777"/>
      </c>
      <c r="AC442" s="792">
        <f t="shared" si="777"/>
      </c>
      <c r="AD442" s="791">
        <f t="shared" si="777"/>
      </c>
      <c r="AE442" s="965">
        <f t="shared" si="777"/>
      </c>
      <c r="AF442" s="792">
        <f t="shared" si="777"/>
      </c>
      <c r="AG442" s="792">
        <f t="shared" si="777"/>
      </c>
      <c r="AH442" s="792">
        <f t="shared" si="777"/>
      </c>
      <c r="AI442" s="791">
        <f t="shared" ref="AI442:BE442" si="778">SUM(AI436:AI441)</f>
      </c>
      <c r="AJ442" s="965">
        <f t="shared" si="778"/>
      </c>
      <c r="AK442" s="792">
        <f t="shared" si="778"/>
      </c>
      <c r="AL442" s="792">
        <f t="shared" si="778"/>
      </c>
      <c r="AM442" s="792">
        <f t="shared" si="778"/>
      </c>
      <c r="AN442" s="791">
        <f t="shared" si="778"/>
      </c>
      <c r="AO442" s="965">
        <f t="shared" si="778"/>
      </c>
      <c r="AP442" s="792">
        <f t="shared" si="778"/>
      </c>
      <c r="AQ442" s="792">
        <f t="shared" si="778"/>
      </c>
      <c r="AR442" s="792">
        <f t="shared" si="778"/>
      </c>
      <c r="AS442" s="791">
        <f t="shared" si="778"/>
      </c>
      <c r="AT442" s="965">
        <f t="shared" si="778"/>
      </c>
      <c r="AU442" s="792">
        <f t="shared" si="778"/>
      </c>
      <c r="AV442" s="792">
        <f t="shared" si="778"/>
      </c>
      <c r="AW442" s="792">
        <f t="shared" si="778"/>
      </c>
      <c r="AX442" s="791">
        <f t="shared" si="778"/>
      </c>
      <c r="AY442" s="965">
        <f t="shared" si="778"/>
      </c>
      <c r="AZ442" s="792">
        <f t="shared" si="778"/>
      </c>
      <c r="BA442" s="791">
        <f t="shared" si="778"/>
      </c>
      <c r="BB442" s="791">
        <f t="shared" si="778"/>
      </c>
      <c r="BC442" s="791">
        <f t="shared" si="778"/>
      </c>
      <c r="BD442" s="965">
        <f t="shared" si="778"/>
      </c>
      <c r="BE442" s="792">
        <f t="shared" si="778"/>
      </c>
      <c r="BF442" s="791">
        <f t="shared" ref="BF442:BK442" si="779">SUM(BF436:BF441)</f>
      </c>
      <c r="BG442" s="791">
        <f t="shared" si="779"/>
      </c>
      <c r="BH442" s="791">
        <f t="shared" si="779"/>
      </c>
      <c r="BI442" s="965">
        <f t="shared" si="779"/>
      </c>
      <c r="BJ442" s="792">
        <f t="shared" si="779"/>
      </c>
      <c r="BK442" s="791">
        <f t="shared" si="779"/>
      </c>
      <c r="BL442" s="791">
        <f t="shared" ref="BL442:BQ442" si="780">SUM(BL436:BL441)</f>
      </c>
      <c r="BM442" s="791">
        <f t="shared" si="780"/>
      </c>
      <c r="BN442" s="965">
        <f t="shared" si="780"/>
      </c>
      <c r="BO442" s="792">
        <f t="shared" si="780"/>
      </c>
      <c r="BP442" s="791">
        <f t="shared" si="780"/>
      </c>
      <c r="BQ442" s="791">
        <f t="shared" si="780"/>
      </c>
      <c r="BR442" s="791">
        <f>SUM(BR436:BR441)</f>
      </c>
      <c r="BS442" s="965">
        <f>SUM(BS436:BS441)</f>
      </c>
      <c r="BT442" s="793">
        <f>SUM(BT436:BT441)</f>
      </c>
      <c r="BU442" s="791"/>
      <c r="BV442" s="791"/>
      <c r="BW442" s="791"/>
      <c r="BX442" s="965"/>
      <c r="BY442" s="791"/>
      <c r="BZ442" s="791"/>
      <c r="CA442" s="791"/>
      <c r="CB442" s="791"/>
      <c r="CC442" s="965"/>
      <c r="CD442" s="965"/>
      <c r="CE442" s="965"/>
      <c r="CF442" s="965"/>
      <c r="CG442" s="183"/>
    </row>
    <row r="443" spans="1:85" s="587" customFormat="1" hidden="1" outlineLevel="1" x14ac:dyDescent="0.3">
      <c r="A443" s="436"/>
      <c r="B443" s="414"/>
      <c r="C443" s="962"/>
      <c r="D443" s="962"/>
      <c r="E443" s="962"/>
      <c r="F443" s="962"/>
      <c r="G443" s="757"/>
      <c r="H443" s="757"/>
      <c r="I443" s="757"/>
      <c r="J443" s="757"/>
      <c r="K443" s="962"/>
      <c r="L443" s="757"/>
      <c r="M443" s="757"/>
      <c r="N443" s="757"/>
      <c r="O443" s="757"/>
      <c r="P443" s="962"/>
      <c r="Q443" s="757"/>
      <c r="R443" s="757"/>
      <c r="S443" s="757"/>
      <c r="T443" s="757"/>
      <c r="U443" s="962"/>
      <c r="V443" s="757"/>
      <c r="W443" s="757"/>
      <c r="X443" s="757"/>
      <c r="Y443" s="757"/>
      <c r="Z443" s="962"/>
      <c r="AA443" s="757"/>
      <c r="AB443" s="757"/>
      <c r="AC443" s="757"/>
      <c r="AD443" s="757"/>
      <c r="AE443" s="962"/>
      <c r="AF443" s="757"/>
      <c r="AG443" s="757"/>
      <c r="AH443" s="757"/>
      <c r="AI443" s="757"/>
      <c r="AJ443" s="962"/>
      <c r="AK443" s="757"/>
      <c r="AL443" s="757"/>
      <c r="AM443" s="757"/>
      <c r="AN443" s="757"/>
      <c r="AO443" s="962"/>
      <c r="AP443" s="757"/>
      <c r="AQ443" s="757"/>
      <c r="AR443" s="757"/>
      <c r="AS443" s="757"/>
      <c r="AT443" s="962"/>
      <c r="AU443" s="757"/>
      <c r="AV443" s="757"/>
      <c r="AW443" s="757"/>
      <c r="AX443" s="757"/>
      <c r="AY443" s="962"/>
      <c r="AZ443" s="757"/>
      <c r="BA443" s="757"/>
      <c r="BB443" s="757"/>
      <c r="BC443" s="757"/>
      <c r="BD443" s="962"/>
      <c r="BE443" s="757"/>
      <c r="BF443" s="757"/>
      <c r="BG443" s="757"/>
      <c r="BH443" s="757"/>
      <c r="BI443" s="962"/>
      <c r="BJ443" s="757"/>
      <c r="BK443" s="757"/>
      <c r="BL443" s="757"/>
      <c r="BM443" s="757"/>
      <c r="BN443" s="962"/>
      <c r="BO443" s="757"/>
      <c r="BP443" s="757"/>
      <c r="BQ443" s="757"/>
      <c r="BR443" s="757"/>
      <c r="BS443" s="962"/>
      <c r="BT443" s="758"/>
      <c r="BU443" s="757"/>
      <c r="BV443" s="757"/>
      <c r="BW443" s="757"/>
      <c r="BX443" s="962"/>
      <c r="BY443" s="757"/>
      <c r="BZ443" s="757"/>
      <c r="CA443" s="757"/>
      <c r="CB443" s="757"/>
      <c r="CC443" s="962"/>
      <c r="CD443" s="962"/>
      <c r="CE443" s="962"/>
      <c r="CF443" s="962"/>
      <c r="CG443" s="459"/>
    </row>
    <row r="444" spans="1:85" s="587" customFormat="1" hidden="1" outlineLevel="1" x14ac:dyDescent="0.3">
      <c r="A444" s="4" t="s">
        <v>445</v>
      </c>
      <c r="B444" s="428"/>
      <c r="C444" s="985">
        <f t="shared" ref="C444:AQ444" si="781">C1121</f>
      </c>
      <c r="D444" s="985">
        <f t="shared" si="781"/>
      </c>
      <c r="E444" s="985">
        <f t="shared" si="781"/>
      </c>
      <c r="F444" s="985">
        <f t="shared" si="781"/>
      </c>
      <c r="G444" s="183">
        <f t="shared" si="781"/>
      </c>
      <c r="H444" s="183">
        <f t="shared" si="781"/>
      </c>
      <c r="I444" s="183">
        <f t="shared" si="781"/>
      </c>
      <c r="J444" s="183">
        <f t="shared" si="781"/>
      </c>
      <c r="K444" s="985">
        <f t="shared" si="781"/>
      </c>
      <c r="L444" s="183">
        <f t="shared" si="781"/>
      </c>
      <c r="M444" s="183">
        <f t="shared" si="781"/>
      </c>
      <c r="N444" s="183">
        <f t="shared" si="781"/>
      </c>
      <c r="O444" s="183">
        <f t="shared" si="781"/>
      </c>
      <c r="P444" s="985">
        <f t="shared" si="781"/>
      </c>
      <c r="Q444" s="183">
        <f t="shared" si="781"/>
      </c>
      <c r="R444" s="183">
        <f t="shared" si="781"/>
      </c>
      <c r="S444" s="183">
        <f t="shared" si="781"/>
      </c>
      <c r="T444" s="183">
        <f t="shared" si="781"/>
      </c>
      <c r="U444" s="985">
        <f t="shared" si="781"/>
      </c>
      <c r="V444" s="183">
        <f t="shared" si="781"/>
      </c>
      <c r="W444" s="183">
        <f t="shared" si="781"/>
      </c>
      <c r="X444" s="183">
        <f t="shared" si="781"/>
      </c>
      <c r="Y444" s="759">
        <f t="shared" si="781"/>
      </c>
      <c r="Z444" s="969">
        <f t="shared" si="781"/>
      </c>
      <c r="AA444" s="183">
        <f t="shared" si="781"/>
      </c>
      <c r="AB444" s="183">
        <f t="shared" si="781"/>
      </c>
      <c r="AC444" s="183">
        <f t="shared" si="781"/>
      </c>
      <c r="AD444" s="759">
        <f t="shared" si="781"/>
      </c>
      <c r="AE444" s="969">
        <f t="shared" si="781"/>
      </c>
      <c r="AF444" s="183">
        <f t="shared" si="781"/>
      </c>
      <c r="AG444" s="183">
        <f t="shared" si="781"/>
      </c>
      <c r="AH444" s="183">
        <f t="shared" si="781"/>
      </c>
      <c r="AI444" s="759">
        <f t="shared" si="781"/>
      </c>
      <c r="AJ444" s="969">
        <f t="shared" si="781"/>
      </c>
      <c r="AK444" s="183">
        <f t="shared" si="781"/>
      </c>
      <c r="AL444" s="183">
        <f t="shared" si="781"/>
      </c>
      <c r="AM444" s="183">
        <f t="shared" si="781"/>
      </c>
      <c r="AN444" s="759">
        <f t="shared" si="781"/>
      </c>
      <c r="AO444" s="969">
        <f t="shared" si="781"/>
      </c>
      <c r="AP444" s="183">
        <f t="shared" si="781"/>
      </c>
      <c r="AQ444" s="183">
        <f t="shared" si="781"/>
      </c>
      <c r="AR444" s="183">
        <f>AR1121</f>
      </c>
      <c r="AS444" s="759">
        <f>AS1121</f>
      </c>
      <c r="AT444" s="969">
        <f>AT1121</f>
      </c>
      <c r="AU444" s="183">
        <f t="shared" ref="AU444" si="782">AU1121</f>
      </c>
      <c r="AV444" s="183">
        <f t="shared" ref="AV444:BA444" si="783">AV1121</f>
      </c>
      <c r="AW444" s="183">
        <f t="shared" si="783"/>
      </c>
      <c r="AX444" s="759">
        <f t="shared" si="783"/>
      </c>
      <c r="AY444" s="969">
        <f t="shared" si="783"/>
      </c>
      <c r="AZ444" s="183">
        <f t="shared" si="783"/>
      </c>
      <c r="BA444" s="759">
        <f t="shared" si="783"/>
      </c>
      <c r="BB444" s="759">
        <f t="shared" ref="BB444:BG444" si="784">BB1121</f>
      </c>
      <c r="BC444" s="759">
        <f t="shared" si="784"/>
      </c>
      <c r="BD444" s="969">
        <f t="shared" si="784"/>
      </c>
      <c r="BE444" s="183">
        <f t="shared" si="784"/>
      </c>
      <c r="BF444" s="759">
        <f t="shared" si="784"/>
      </c>
      <c r="BG444" s="759">
        <f t="shared" si="784"/>
      </c>
      <c r="BH444" s="759">
        <f t="shared" ref="BH444:BN444" si="785">BH1121</f>
      </c>
      <c r="BI444" s="969">
        <f t="shared" si="785"/>
      </c>
      <c r="BJ444" s="183">
        <f t="shared" si="785"/>
      </c>
      <c r="BK444" s="759">
        <f t="shared" si="785"/>
      </c>
      <c r="BL444" s="759">
        <f t="shared" si="785"/>
      </c>
      <c r="BM444" s="759">
        <f t="shared" si="785"/>
      </c>
      <c r="BN444" s="969">
        <f t="shared" si="785"/>
      </c>
      <c r="BO444" s="183">
        <f t="shared" ref="BO444:BT444" si="786">BO1121</f>
      </c>
      <c r="BP444" s="759">
        <f t="shared" si="786"/>
      </c>
      <c r="BQ444" s="759">
        <f t="shared" si="786"/>
      </c>
      <c r="BR444" s="759">
        <f t="shared" si="786"/>
      </c>
      <c r="BS444" s="969">
        <f t="shared" si="786"/>
      </c>
      <c r="BT444" s="794">
        <f t="shared" si="786"/>
      </c>
      <c r="BU444" s="759"/>
      <c r="BV444" s="759"/>
      <c r="BW444" s="759"/>
      <c r="BX444" s="969"/>
      <c r="BY444" s="759"/>
      <c r="BZ444" s="759"/>
      <c r="CA444" s="759"/>
      <c r="CB444" s="759"/>
      <c r="CC444" s="969"/>
      <c r="CD444" s="969"/>
      <c r="CE444" s="969"/>
      <c r="CF444" s="969"/>
      <c r="CG444" s="459"/>
    </row>
    <row r="445" spans="1:85" s="587" customFormat="1" hidden="1" outlineLevel="1" x14ac:dyDescent="0.3">
      <c r="A445" s="182" t="s">
        <v>448</v>
      </c>
      <c r="B445" s="414"/>
      <c r="C445" s="964">
        <f t="shared" ref="C445:AM445" si="787">C1124</f>
      </c>
      <c r="D445" s="964">
        <f t="shared" si="787"/>
      </c>
      <c r="E445" s="964">
        <f t="shared" si="787"/>
      </c>
      <c r="F445" s="964">
        <f t="shared" si="787"/>
      </c>
      <c r="G445" s="459">
        <f t="shared" si="787"/>
      </c>
      <c r="H445" s="459">
        <f t="shared" si="787"/>
      </c>
      <c r="I445" s="459">
        <f t="shared" si="787"/>
      </c>
      <c r="J445" s="459">
        <f t="shared" si="787"/>
      </c>
      <c r="K445" s="964">
        <f t="shared" si="787"/>
      </c>
      <c r="L445" s="459">
        <f t="shared" si="787"/>
      </c>
      <c r="M445" s="459">
        <f t="shared" si="787"/>
      </c>
      <c r="N445" s="459">
        <f t="shared" si="787"/>
      </c>
      <c r="O445" s="459">
        <f t="shared" si="787"/>
      </c>
      <c r="P445" s="964">
        <f t="shared" si="787"/>
      </c>
      <c r="Q445" s="459">
        <f t="shared" si="787"/>
      </c>
      <c r="R445" s="459">
        <f t="shared" si="787"/>
      </c>
      <c r="S445" s="459">
        <f t="shared" si="787"/>
      </c>
      <c r="T445" s="459">
        <f t="shared" si="787"/>
      </c>
      <c r="U445" s="964">
        <f t="shared" si="787"/>
      </c>
      <c r="V445" s="459">
        <f t="shared" si="787"/>
      </c>
      <c r="W445" s="459">
        <f t="shared" si="787"/>
      </c>
      <c r="X445" s="459">
        <f t="shared" si="787"/>
      </c>
      <c r="Y445" s="757">
        <f t="shared" si="787"/>
      </c>
      <c r="Z445" s="962">
        <f t="shared" si="787"/>
      </c>
      <c r="AA445" s="459">
        <f t="shared" si="787"/>
      </c>
      <c r="AB445" s="459">
        <f t="shared" si="787"/>
      </c>
      <c r="AC445" s="459">
        <f t="shared" si="787"/>
      </c>
      <c r="AD445" s="757">
        <f t="shared" si="787"/>
      </c>
      <c r="AE445" s="962">
        <f t="shared" si="787"/>
      </c>
      <c r="AF445" s="459">
        <f t="shared" si="787"/>
      </c>
      <c r="AG445" s="459">
        <f t="shared" si="787"/>
      </c>
      <c r="AH445" s="459">
        <f t="shared" si="787"/>
      </c>
      <c r="AI445" s="757">
        <f t="shared" si="787"/>
      </c>
      <c r="AJ445" s="962">
        <f t="shared" si="787"/>
      </c>
      <c r="AK445" s="459">
        <f t="shared" si="787"/>
      </c>
      <c r="AL445" s="459">
        <f t="shared" si="787"/>
      </c>
      <c r="AM445" s="459">
        <f t="shared" si="787"/>
      </c>
      <c r="AN445" s="757">
        <f>AO445-SUM(AK445,AL445,AM445)</f>
      </c>
      <c r="AO445" s="962"/>
      <c r="AP445" s="857">
        <v>0</v>
      </c>
      <c r="AQ445" s="459">
        <f>AQ1124</f>
      </c>
      <c r="AR445" s="459">
        <f>AR1124</f>
      </c>
      <c r="AS445" s="757">
        <f>AT445-SUM(AP445,AQ445,AR445)</f>
      </c>
      <c r="AT445" s="963">
        <v>0</v>
      </c>
      <c r="AU445" s="857">
        <v>0</v>
      </c>
      <c r="AV445" s="459">
        <f>AV1124</f>
      </c>
      <c r="AW445" s="459">
        <f>AW1124</f>
      </c>
      <c r="AX445" s="757">
        <f>AY445-SUM(AU445,AV445,AW445)</f>
      </c>
      <c r="AY445" s="963">
        <v>0</v>
      </c>
      <c r="AZ445" s="857">
        <v>0</v>
      </c>
      <c r="BA445" s="857">
        <v>0</v>
      </c>
      <c r="BB445" s="857">
        <v>0</v>
      </c>
      <c r="BC445" s="757">
        <f>BD445-SUM(AZ445,BA445,BB445)</f>
      </c>
      <c r="BD445" s="963">
        <v>0</v>
      </c>
      <c r="BE445" s="857">
        <v>0</v>
      </c>
      <c r="BF445" s="757"/>
      <c r="BG445" s="757"/>
      <c r="BH445" s="757">
        <f>BI445-SUM(BE445,BF445,BG445)</f>
      </c>
      <c r="BI445" s="962"/>
      <c r="BJ445" s="757"/>
      <c r="BK445" s="757"/>
      <c r="BL445" s="757"/>
      <c r="BM445" s="757">
        <f>BN445-SUM(BJ445,BK445,BL445)</f>
      </c>
      <c r="BN445" s="962"/>
      <c r="BO445" s="757"/>
      <c r="BP445" s="757"/>
      <c r="BQ445" s="757"/>
      <c r="BR445" s="757">
        <f>BS445-SUM(BO445,BP445,BQ445)</f>
      </c>
      <c r="BS445" s="962"/>
      <c r="BT445" s="758"/>
      <c r="BU445" s="757"/>
      <c r="BV445" s="757"/>
      <c r="BW445" s="757"/>
      <c r="BX445" s="962"/>
      <c r="BY445" s="757"/>
      <c r="BZ445" s="757"/>
      <c r="CA445" s="757"/>
      <c r="CB445" s="757"/>
      <c r="CC445" s="962"/>
      <c r="CD445" s="962"/>
      <c r="CE445" s="962"/>
      <c r="CF445" s="962"/>
      <c r="CG445" s="459"/>
    </row>
    <row r="446" spans="1:85" s="587" customFormat="1" hidden="1" outlineLevel="1" x14ac:dyDescent="0.3">
      <c r="A446" s="182" t="s">
        <v>148</v>
      </c>
      <c r="B446" s="414"/>
      <c r="C446" s="964">
        <f t="shared" ref="C446:AM446" si="788">C1125</f>
      </c>
      <c r="D446" s="964">
        <f t="shared" si="788"/>
      </c>
      <c r="E446" s="964">
        <f t="shared" si="788"/>
      </c>
      <c r="F446" s="964">
        <f t="shared" si="788"/>
      </c>
      <c r="G446" s="459">
        <f t="shared" si="788"/>
      </c>
      <c r="H446" s="459">
        <f t="shared" si="788"/>
      </c>
      <c r="I446" s="459">
        <f t="shared" si="788"/>
      </c>
      <c r="J446" s="459">
        <f t="shared" si="788"/>
      </c>
      <c r="K446" s="964">
        <f t="shared" si="788"/>
      </c>
      <c r="L446" s="459">
        <f t="shared" si="788"/>
      </c>
      <c r="M446" s="459">
        <f t="shared" si="788"/>
      </c>
      <c r="N446" s="459">
        <f t="shared" si="788"/>
      </c>
      <c r="O446" s="459">
        <f t="shared" si="788"/>
      </c>
      <c r="P446" s="964">
        <f t="shared" si="788"/>
      </c>
      <c r="Q446" s="459">
        <f t="shared" si="788"/>
      </c>
      <c r="R446" s="459">
        <f t="shared" si="788"/>
      </c>
      <c r="S446" s="459">
        <f t="shared" si="788"/>
      </c>
      <c r="T446" s="459">
        <f t="shared" si="788"/>
      </c>
      <c r="U446" s="964">
        <f t="shared" si="788"/>
      </c>
      <c r="V446" s="459">
        <f t="shared" si="788"/>
      </c>
      <c r="W446" s="459">
        <f t="shared" si="788"/>
      </c>
      <c r="X446" s="459">
        <f t="shared" si="788"/>
      </c>
      <c r="Y446" s="757">
        <f t="shared" si="788"/>
      </c>
      <c r="Z446" s="962">
        <f t="shared" si="788"/>
      </c>
      <c r="AA446" s="459">
        <f t="shared" si="788"/>
      </c>
      <c r="AB446" s="459">
        <f t="shared" si="788"/>
      </c>
      <c r="AC446" s="459">
        <f t="shared" si="788"/>
      </c>
      <c r="AD446" s="757">
        <f t="shared" si="788"/>
      </c>
      <c r="AE446" s="962">
        <f t="shared" si="788"/>
      </c>
      <c r="AF446" s="459">
        <f t="shared" si="788"/>
      </c>
      <c r="AG446" s="459">
        <f t="shared" si="788"/>
      </c>
      <c r="AH446" s="459">
        <f t="shared" si="788"/>
      </c>
      <c r="AI446" s="757">
        <f t="shared" si="788"/>
      </c>
      <c r="AJ446" s="962">
        <f t="shared" si="788"/>
      </c>
      <c r="AK446" s="459">
        <f t="shared" si="788"/>
      </c>
      <c r="AL446" s="459">
        <f t="shared" si="788"/>
      </c>
      <c r="AM446" s="459">
        <f t="shared" si="788"/>
      </c>
      <c r="AN446" s="757">
        <f>AN1125</f>
      </c>
      <c r="AO446" s="962">
        <f>AO1125</f>
      </c>
      <c r="AP446" s="459">
        <f>AP1125</f>
      </c>
      <c r="AQ446" s="459">
        <f>AQ1125</f>
      </c>
      <c r="AR446" s="459">
        <f>AR1125</f>
      </c>
      <c r="AS446" s="757">
        <f>AS1125</f>
      </c>
      <c r="AT446" s="962">
        <f>AT1125</f>
      </c>
      <c r="AU446" s="459">
        <f>AU1125</f>
      </c>
      <c r="AV446" s="459">
        <f>AV1125</f>
      </c>
      <c r="AW446" s="459">
        <f>AW1125</f>
      </c>
      <c r="AX446" s="757">
        <f>AX1125</f>
      </c>
      <c r="AY446" s="962">
        <f>AY1125</f>
      </c>
      <c r="AZ446" s="459">
        <f>AZ1125</f>
      </c>
      <c r="BA446" s="757">
        <f>BA1125</f>
      </c>
      <c r="BB446" s="857">
        <v>-84.96</v>
      </c>
      <c r="BC446" s="757">
        <f>BC1125</f>
      </c>
      <c r="BD446" s="962">
        <f>BD1125</f>
      </c>
      <c r="BE446" s="459">
        <f>BE1125</f>
      </c>
      <c r="BF446" s="757">
        <f>BF1125</f>
      </c>
      <c r="BG446" s="857">
        <v>-103.929</v>
      </c>
      <c r="BH446" s="757">
        <f t="shared" ref="BH446:BN446" si="789">BH1125</f>
      </c>
      <c r="BI446" s="962">
        <f t="shared" si="789"/>
      </c>
      <c r="BJ446" s="459">
        <f t="shared" si="789"/>
      </c>
      <c r="BK446" s="757">
        <f t="shared" si="789"/>
      </c>
      <c r="BL446" s="757">
        <f t="shared" si="789"/>
      </c>
      <c r="BM446" s="757">
        <f t="shared" si="789"/>
      </c>
      <c r="BN446" s="962">
        <f t="shared" si="789"/>
      </c>
      <c r="BO446" s="459">
        <f t="shared" ref="BO446:BT446" si="790">BO1125</f>
      </c>
      <c r="BP446" s="757">
        <f t="shared" si="790"/>
      </c>
      <c r="BQ446" s="757">
        <f t="shared" si="790"/>
      </c>
      <c r="BR446" s="757">
        <f t="shared" si="790"/>
      </c>
      <c r="BS446" s="962">
        <f t="shared" si="790"/>
      </c>
      <c r="BT446" s="795">
        <f t="shared" si="790"/>
      </c>
      <c r="BU446" s="757"/>
      <c r="BV446" s="757"/>
      <c r="BW446" s="757"/>
      <c r="BX446" s="962"/>
      <c r="BY446" s="757"/>
      <c r="BZ446" s="757"/>
      <c r="CA446" s="757"/>
      <c r="CB446" s="757"/>
      <c r="CC446" s="962"/>
      <c r="CD446" s="962"/>
      <c r="CE446" s="962"/>
      <c r="CF446" s="962"/>
      <c r="CG446" s="459"/>
    </row>
    <row r="447" spans="1:85" s="587" customFormat="1" hidden="1" outlineLevel="1" x14ac:dyDescent="0.3">
      <c r="A447" s="182" t="s">
        <v>446</v>
      </c>
      <c r="B447" s="414"/>
      <c r="C447" s="963">
        <f>-0.2+11.164+0.071</f>
      </c>
      <c r="D447" s="963">
        <v>12.343999999999999</v>
      </c>
      <c r="E447" s="963">
        <v>3.6739999999999999</v>
      </c>
      <c r="F447" s="963">
        <v>8.8160000000000007</v>
      </c>
      <c r="G447" s="857">
        <v>4.05</v>
      </c>
      <c r="H447" s="857">
        <v>1.087</v>
      </c>
      <c r="I447" s="857">
        <v>-1.329</v>
      </c>
      <c r="J447" s="459">
        <f>K447-SUM(G447,H447,I447)</f>
      </c>
      <c r="K447" s="963">
        <v>5.9390000000000001</v>
      </c>
      <c r="L447" s="857">
        <v>0.29499999999999998</v>
      </c>
      <c r="M447" s="857">
        <v>1.129</v>
      </c>
      <c r="N447" s="857">
        <v>0.34100000000000003</v>
      </c>
      <c r="O447" s="459">
        <f>P447-SUM(L447,M447,N447)</f>
      </c>
      <c r="P447" s="963">
        <v>1.3340000000000001</v>
      </c>
      <c r="Q447" s="857">
        <v>0.22500000000000001</v>
      </c>
      <c r="R447" s="857">
        <v>-0.63900000000000001</v>
      </c>
      <c r="S447" s="857">
        <v>-3.76</v>
      </c>
      <c r="T447" s="459">
        <f>U447-SUM(Q447,R447,S447)</f>
      </c>
      <c r="U447" s="963">
        <v>-1.9119999999999999</v>
      </c>
      <c r="V447" s="857">
        <v>-0.35599999999999998</v>
      </c>
      <c r="W447" s="857">
        <v>0.90700000000000003</v>
      </c>
      <c r="X447" s="857">
        <v>0.125</v>
      </c>
      <c r="Y447" s="757">
        <f>Z447-SUM(V447,W447,X447)</f>
      </c>
      <c r="Z447" s="963">
        <v>-0.94099999999999995</v>
      </c>
      <c r="AA447" s="857">
        <v>-0.76900000000000002</v>
      </c>
      <c r="AB447" s="857">
        <v>-1.0640000000000001</v>
      </c>
      <c r="AC447" s="857">
        <v>-1.107</v>
      </c>
      <c r="AD447" s="757">
        <f>AE447-SUM(AA447,AB447,AC447)</f>
      </c>
      <c r="AE447" s="963">
        <v>-6.6890000000000001</v>
      </c>
      <c r="AF447" s="857">
        <v>-1.786</v>
      </c>
      <c r="AG447" s="857">
        <v>-0.441</v>
      </c>
      <c r="AH447" s="857">
        <v>-121.63</v>
      </c>
      <c r="AI447" s="757">
        <f>AJ447-SUM(AF447,AG447,AH447)</f>
      </c>
      <c r="AJ447" s="963">
        <v>-165.17400000000001</v>
      </c>
      <c r="AK447" s="857">
        <v>-10.552</v>
      </c>
      <c r="AL447" s="857">
        <v>-2.6539999999999999</v>
      </c>
      <c r="AM447" s="857">
        <v>0.61299999999999999</v>
      </c>
      <c r="AN447" s="757">
        <f>AO447-SUM(AK447,AL447,AM447)</f>
      </c>
      <c r="AO447" s="963">
        <v>-134.029</v>
      </c>
      <c r="AP447" s="459">
        <f>AP1129</f>
      </c>
      <c r="AQ447" s="459">
        <f>AQ1129</f>
      </c>
      <c r="AR447" s="459">
        <f>AR1129</f>
      </c>
      <c r="AS447" s="757">
        <f>AT447-SUM(AP447,AQ447,AR447)</f>
      </c>
      <c r="AT447" s="963">
        <v>-7.431</v>
      </c>
      <c r="AU447" s="459">
        <f>AU1129</f>
      </c>
      <c r="AV447" s="459">
        <f>AV1129</f>
      </c>
      <c r="AW447" s="459">
        <f>AW1129</f>
      </c>
      <c r="AX447" s="757">
        <f>AY447-SUM(AU447,AV447,AW447)</f>
      </c>
      <c r="AY447" s="963">
        <v>-26.919</v>
      </c>
      <c r="AZ447" s="459">
        <f>AZ1129</f>
      </c>
      <c r="BA447" s="757">
        <f>BA1129</f>
      </c>
      <c r="BB447" s="857">
        <v>0</v>
      </c>
      <c r="BC447" s="757">
        <f>BD447-SUM(AZ447,BA447,BB447)</f>
      </c>
      <c r="BD447" s="963">
        <v>0</v>
      </c>
      <c r="BE447" s="459">
        <f>BE1129</f>
      </c>
      <c r="BF447" s="757">
        <f>BF1129</f>
      </c>
      <c r="BG447" s="757"/>
      <c r="BH447" s="757">
        <f>BI447-SUM(BE447,BF447,BG447)</f>
      </c>
      <c r="BI447" s="962"/>
      <c r="BJ447" s="459">
        <f>BJ1129</f>
      </c>
      <c r="BK447" s="757">
        <f>BK1129</f>
      </c>
      <c r="BL447" s="757"/>
      <c r="BM447" s="757">
        <f>BN447-SUM(BJ447,BK447,BL447)</f>
      </c>
      <c r="BN447" s="962"/>
      <c r="BO447" s="459">
        <f>BO1129</f>
      </c>
      <c r="BP447" s="757">
        <f>BP1129</f>
      </c>
      <c r="BQ447" s="757"/>
      <c r="BR447" s="757">
        <f>BS447-SUM(BO447,BP447,BQ447)</f>
      </c>
      <c r="BS447" s="962"/>
      <c r="BT447" s="758"/>
      <c r="BU447" s="757"/>
      <c r="BV447" s="757"/>
      <c r="BW447" s="757"/>
      <c r="BX447" s="962"/>
      <c r="BY447" s="757"/>
      <c r="BZ447" s="757"/>
      <c r="CA447" s="757"/>
      <c r="CB447" s="757"/>
      <c r="CC447" s="962"/>
      <c r="CD447" s="962"/>
      <c r="CE447" s="962"/>
      <c r="CF447" s="962"/>
      <c r="CG447" s="459"/>
    </row>
    <row r="448" spans="1:85" s="587" customFormat="1" hidden="1" outlineLevel="1" x14ac:dyDescent="0.3">
      <c r="A448" s="2" t="s">
        <v>447</v>
      </c>
      <c r="B448" s="422"/>
      <c r="C448" s="986">
        <f t="shared" ref="C448:AQ448" si="791">SUM(C444:C447)</f>
      </c>
      <c r="D448" s="986">
        <f t="shared" si="791"/>
      </c>
      <c r="E448" s="986">
        <f t="shared" si="791"/>
      </c>
      <c r="F448" s="986">
        <f t="shared" si="791"/>
      </c>
      <c r="G448" s="792">
        <f t="shared" si="791"/>
      </c>
      <c r="H448" s="792">
        <f t="shared" si="791"/>
      </c>
      <c r="I448" s="792">
        <f t="shared" si="791"/>
      </c>
      <c r="J448" s="792">
        <f t="shared" si="791"/>
      </c>
      <c r="K448" s="986">
        <f t="shared" si="791"/>
      </c>
      <c r="L448" s="792">
        <f t="shared" si="791"/>
      </c>
      <c r="M448" s="792">
        <f t="shared" si="791"/>
      </c>
      <c r="N448" s="792">
        <f t="shared" si="791"/>
      </c>
      <c r="O448" s="792">
        <f t="shared" si="791"/>
      </c>
      <c r="P448" s="986">
        <f t="shared" si="791"/>
      </c>
      <c r="Q448" s="792">
        <f t="shared" si="791"/>
      </c>
      <c r="R448" s="792">
        <f t="shared" si="791"/>
      </c>
      <c r="S448" s="792">
        <f t="shared" si="791"/>
      </c>
      <c r="T448" s="792">
        <f t="shared" si="791"/>
      </c>
      <c r="U448" s="986">
        <f t="shared" si="791"/>
      </c>
      <c r="V448" s="792">
        <f t="shared" si="791"/>
      </c>
      <c r="W448" s="792">
        <f t="shared" si="791"/>
      </c>
      <c r="X448" s="792">
        <f t="shared" si="791"/>
      </c>
      <c r="Y448" s="791">
        <f t="shared" si="791"/>
      </c>
      <c r="Z448" s="965">
        <f t="shared" si="791"/>
      </c>
      <c r="AA448" s="792">
        <f t="shared" si="791"/>
      </c>
      <c r="AB448" s="792">
        <f t="shared" si="791"/>
      </c>
      <c r="AC448" s="792">
        <f t="shared" si="791"/>
      </c>
      <c r="AD448" s="791">
        <f t="shared" si="791"/>
      </c>
      <c r="AE448" s="965">
        <f t="shared" si="791"/>
      </c>
      <c r="AF448" s="792">
        <f t="shared" si="791"/>
      </c>
      <c r="AG448" s="792">
        <f t="shared" si="791"/>
      </c>
      <c r="AH448" s="792">
        <f t="shared" si="791"/>
      </c>
      <c r="AI448" s="791">
        <f t="shared" si="791"/>
      </c>
      <c r="AJ448" s="965">
        <f t="shared" si="791"/>
      </c>
      <c r="AK448" s="792">
        <f t="shared" si="791"/>
      </c>
      <c r="AL448" s="792">
        <f t="shared" si="791"/>
      </c>
      <c r="AM448" s="792">
        <f t="shared" si="791"/>
      </c>
      <c r="AN448" s="791">
        <f t="shared" si="791"/>
      </c>
      <c r="AO448" s="965">
        <f t="shared" si="791"/>
      </c>
      <c r="AP448" s="792">
        <f t="shared" si="791"/>
      </c>
      <c r="AQ448" s="792">
        <f t="shared" si="791"/>
      </c>
      <c r="AR448" s="792">
        <f>SUM(AR444:AR447)</f>
      </c>
      <c r="AS448" s="791">
        <f>SUM(AS444:AS447)</f>
      </c>
      <c r="AT448" s="965">
        <f>SUM(AT444:AT447)</f>
      </c>
      <c r="AU448" s="792">
        <f t="shared" ref="AU448" si="792">SUM(AU444:AU447)</f>
      </c>
      <c r="AV448" s="792">
        <f t="shared" ref="AV448:BB448" si="793">SUM(AV444:AV447)</f>
      </c>
      <c r="AW448" s="792">
        <f t="shared" si="793"/>
      </c>
      <c r="AX448" s="791">
        <f t="shared" si="793"/>
      </c>
      <c r="AY448" s="965">
        <f t="shared" si="793"/>
      </c>
      <c r="AZ448" s="792">
        <f t="shared" si="793"/>
      </c>
      <c r="BA448" s="791">
        <f t="shared" si="793"/>
      </c>
      <c r="BB448" s="791">
        <f t="shared" si="793"/>
      </c>
      <c r="BC448" s="791">
        <f t="shared" ref="BC448:BI448" si="794">SUM(BC444:BC447)</f>
      </c>
      <c r="BD448" s="965">
        <f t="shared" si="794"/>
      </c>
      <c r="BE448" s="792">
        <f t="shared" si="794"/>
      </c>
      <c r="BF448" s="791">
        <f t="shared" si="794"/>
      </c>
      <c r="BG448" s="791">
        <f t="shared" si="794"/>
      </c>
      <c r="BH448" s="791">
        <f t="shared" si="794"/>
      </c>
      <c r="BI448" s="965">
        <f t="shared" si="794"/>
      </c>
      <c r="BJ448" s="792">
        <f t="shared" ref="BJ448:BO448" si="795">SUM(BJ444:BJ447)</f>
      </c>
      <c r="BK448" s="791">
        <f t="shared" si="795"/>
      </c>
      <c r="BL448" s="791">
        <f t="shared" si="795"/>
      </c>
      <c r="BM448" s="791">
        <f t="shared" si="795"/>
      </c>
      <c r="BN448" s="965">
        <f t="shared" si="795"/>
      </c>
      <c r="BO448" s="792">
        <f t="shared" si="795"/>
      </c>
      <c r="BP448" s="791">
        <f>SUM(BP444:BP447)</f>
      </c>
      <c r="BQ448" s="791">
        <f>SUM(BQ444:BQ447)</f>
      </c>
      <c r="BR448" s="791">
        <f>SUM(BR444:BR447)</f>
      </c>
      <c r="BS448" s="965">
        <f>SUM(BS444:BS447)</f>
      </c>
      <c r="BT448" s="793">
        <f>SUM(BT444:BT447)</f>
      </c>
      <c r="BU448" s="791"/>
      <c r="BV448" s="791"/>
      <c r="BW448" s="791"/>
      <c r="BX448" s="965"/>
      <c r="BY448" s="791"/>
      <c r="BZ448" s="791"/>
      <c r="CA448" s="791"/>
      <c r="CB448" s="791"/>
      <c r="CC448" s="965"/>
      <c r="CD448" s="965"/>
      <c r="CE448" s="965"/>
      <c r="CF448" s="965"/>
      <c r="CG448" s="459"/>
    </row>
    <row r="449" spans="1:85" hidden="1" outlineLevel="1" x14ac:dyDescent="0.3">
      <c r="A449" s="429"/>
      <c r="B449" s="428"/>
      <c r="C449" s="969"/>
      <c r="D449" s="969"/>
      <c r="E449" s="969"/>
      <c r="F449" s="969"/>
      <c r="G449" s="759"/>
      <c r="H449" s="759"/>
      <c r="I449" s="759"/>
      <c r="J449" s="759"/>
      <c r="K449" s="969"/>
      <c r="L449" s="759"/>
      <c r="M449" s="759"/>
      <c r="N449" s="759"/>
      <c r="O449" s="759"/>
      <c r="P449" s="969"/>
      <c r="Q449" s="759"/>
      <c r="R449" s="759"/>
      <c r="S449" s="759"/>
      <c r="T449" s="759"/>
      <c r="U449" s="969"/>
      <c r="V449" s="759"/>
      <c r="W449" s="759"/>
      <c r="X449" s="759"/>
      <c r="Y449" s="759"/>
      <c r="Z449" s="969"/>
      <c r="AA449" s="759"/>
      <c r="AB449" s="759"/>
      <c r="AC449" s="759"/>
      <c r="AD449" s="759"/>
      <c r="AE449" s="969"/>
      <c r="AF449" s="759"/>
      <c r="AG449" s="759"/>
      <c r="AH449" s="759"/>
      <c r="AI449" s="759"/>
      <c r="AJ449" s="969"/>
      <c r="AK449" s="759"/>
      <c r="AL449" s="759"/>
      <c r="AM449" s="759"/>
      <c r="AN449" s="759"/>
      <c r="AO449" s="969"/>
      <c r="AP449" s="759"/>
      <c r="AQ449" s="759"/>
      <c r="AR449" s="759"/>
      <c r="AS449" s="759"/>
      <c r="AT449" s="969"/>
      <c r="AU449" s="759"/>
      <c r="AV449" s="759"/>
      <c r="AW449" s="759"/>
      <c r="AX449" s="759"/>
      <c r="AY449" s="969"/>
      <c r="AZ449" s="759"/>
      <c r="BA449" s="759"/>
      <c r="BB449" s="759"/>
      <c r="BC449" s="759"/>
      <c r="BD449" s="969"/>
      <c r="BE449" s="759"/>
      <c r="BF449" s="759"/>
      <c r="BG449" s="759"/>
      <c r="BH449" s="759"/>
      <c r="BI449" s="969"/>
      <c r="BJ449" s="759"/>
      <c r="BK449" s="759"/>
      <c r="BL449" s="759"/>
      <c r="BM449" s="759"/>
      <c r="BN449" s="969"/>
      <c r="BO449" s="759"/>
      <c r="BP449" s="759"/>
      <c r="BQ449" s="759"/>
      <c r="BR449" s="759"/>
      <c r="BS449" s="969"/>
      <c r="BT449" s="760"/>
      <c r="BU449" s="759"/>
      <c r="BV449" s="759"/>
      <c r="BW449" s="759"/>
      <c r="BX449" s="969"/>
      <c r="BY449" s="759"/>
      <c r="BZ449" s="759"/>
      <c r="CA449" s="759"/>
      <c r="CB449" s="759"/>
      <c r="CC449" s="969"/>
      <c r="CD449" s="969"/>
      <c r="CE449" s="969"/>
      <c r="CF449" s="969"/>
      <c r="CG449" s="459"/>
    </row>
    <row r="450" spans="1:85" hidden="1" outlineLevel="1" x14ac:dyDescent="0.3">
      <c r="A450" s="4" t="s">
        <v>59</v>
      </c>
      <c r="B450" s="428"/>
      <c r="C450" s="969"/>
      <c r="D450" s="969"/>
      <c r="E450" s="969"/>
      <c r="F450" s="969"/>
      <c r="G450" s="183">
        <f t="shared" ref="G450:U450" si="796">G431</f>
      </c>
      <c r="H450" s="183">
        <f t="shared" si="796"/>
      </c>
      <c r="I450" s="183">
        <f t="shared" si="796"/>
      </c>
      <c r="J450" s="183">
        <f t="shared" si="796"/>
      </c>
      <c r="K450" s="985">
        <f t="shared" si="796"/>
      </c>
      <c r="L450" s="183">
        <f t="shared" si="796"/>
      </c>
      <c r="M450" s="183">
        <f t="shared" si="796"/>
      </c>
      <c r="N450" s="183">
        <f t="shared" si="796"/>
      </c>
      <c r="O450" s="183">
        <f t="shared" si="796"/>
      </c>
      <c r="P450" s="985">
        <f t="shared" si="796"/>
      </c>
      <c r="Q450" s="183">
        <f t="shared" si="796"/>
      </c>
      <c r="R450" s="183">
        <f t="shared" si="796"/>
      </c>
      <c r="S450" s="183">
        <f t="shared" si="796"/>
      </c>
      <c r="T450" s="183">
        <f t="shared" si="796"/>
      </c>
      <c r="U450" s="985">
        <f t="shared" si="796"/>
      </c>
      <c r="V450" s="759"/>
      <c r="W450" s="759"/>
      <c r="X450" s="759"/>
      <c r="Y450" s="759"/>
      <c r="Z450" s="969"/>
      <c r="AA450" s="759"/>
      <c r="AB450" s="759"/>
      <c r="AC450" s="759"/>
      <c r="AD450" s="759"/>
      <c r="AE450" s="969"/>
      <c r="AF450" s="759"/>
      <c r="AG450" s="759"/>
      <c r="AH450" s="759"/>
      <c r="AI450" s="759"/>
      <c r="AJ450" s="969"/>
      <c r="AK450" s="759"/>
      <c r="AL450" s="759"/>
      <c r="AM450" s="759"/>
      <c r="AN450" s="759"/>
      <c r="AO450" s="969"/>
      <c r="AP450" s="759"/>
      <c r="AQ450" s="759"/>
      <c r="AR450" s="759"/>
      <c r="AS450" s="759"/>
      <c r="AT450" s="969"/>
      <c r="AU450" s="759"/>
      <c r="AV450" s="759"/>
      <c r="AW450" s="759"/>
      <c r="AX450" s="759"/>
      <c r="AY450" s="969"/>
      <c r="AZ450" s="759"/>
      <c r="BA450" s="759"/>
      <c r="BB450" s="759"/>
      <c r="BC450" s="759"/>
      <c r="BD450" s="969"/>
      <c r="BE450" s="759"/>
      <c r="BF450" s="759"/>
      <c r="BG450" s="759"/>
      <c r="BH450" s="759"/>
      <c r="BI450" s="969"/>
      <c r="BJ450" s="759"/>
      <c r="BK450" s="759"/>
      <c r="BL450" s="759"/>
      <c r="BM450" s="759"/>
      <c r="BN450" s="969"/>
      <c r="BO450" s="759"/>
      <c r="BP450" s="759"/>
      <c r="BQ450" s="759"/>
      <c r="BR450" s="759"/>
      <c r="BS450" s="969"/>
      <c r="BT450" s="760"/>
      <c r="BU450" s="759"/>
      <c r="BV450" s="759"/>
      <c r="BW450" s="759"/>
      <c r="BX450" s="969"/>
      <c r="BY450" s="759"/>
      <c r="BZ450" s="759"/>
      <c r="CA450" s="759"/>
      <c r="CB450" s="759"/>
      <c r="CC450" s="969"/>
      <c r="CD450" s="969"/>
      <c r="CE450" s="969"/>
      <c r="CF450" s="969"/>
      <c r="CG450" s="183"/>
    </row>
    <row r="451" spans="1:85" hidden="1" outlineLevel="1" x14ac:dyDescent="0.3">
      <c r="A451" s="182" t="s">
        <v>53</v>
      </c>
      <c r="B451" s="414"/>
      <c r="C451" s="962"/>
      <c r="D451" s="962"/>
      <c r="E451" s="962"/>
      <c r="F451" s="962"/>
      <c r="G451" s="857">
        <v>25.129000000000001</v>
      </c>
      <c r="H451" s="857">
        <v>0</v>
      </c>
      <c r="I451" s="857">
        <v>0</v>
      </c>
      <c r="J451" s="857">
        <v>0</v>
      </c>
      <c r="K451" s="964">
        <f>SUM(G451,H451,I451,J451)</f>
      </c>
      <c r="L451" s="857">
        <v>0</v>
      </c>
      <c r="M451" s="857">
        <v>0</v>
      </c>
      <c r="N451" s="857">
        <v>0</v>
      </c>
      <c r="O451" s="857">
        <v>0</v>
      </c>
      <c r="P451" s="964">
        <f>SUM(L451,M451,N451,O451)</f>
      </c>
      <c r="Q451" s="757"/>
      <c r="R451" s="857">
        <v>0</v>
      </c>
      <c r="S451" s="857">
        <v>0</v>
      </c>
      <c r="T451" s="857">
        <v>0</v>
      </c>
      <c r="U451" s="964">
        <f>SUM(Q451,R451,S451,T451)</f>
      </c>
      <c r="V451" s="757"/>
      <c r="W451" s="757"/>
      <c r="X451" s="757"/>
      <c r="Y451" s="757"/>
      <c r="Z451" s="962"/>
      <c r="AA451" s="757"/>
      <c r="AB451" s="757"/>
      <c r="AC451" s="757"/>
      <c r="AD451" s="757"/>
      <c r="AE451" s="962"/>
      <c r="AF451" s="757"/>
      <c r="AG451" s="757"/>
      <c r="AH451" s="757"/>
      <c r="AI451" s="757"/>
      <c r="AJ451" s="962"/>
      <c r="AK451" s="757"/>
      <c r="AL451" s="757"/>
      <c r="AM451" s="757"/>
      <c r="AN451" s="757"/>
      <c r="AO451" s="962"/>
      <c r="AP451" s="757"/>
      <c r="AQ451" s="757"/>
      <c r="AR451" s="757"/>
      <c r="AS451" s="757"/>
      <c r="AT451" s="962"/>
      <c r="AU451" s="757"/>
      <c r="AV451" s="757"/>
      <c r="AW451" s="757"/>
      <c r="AX451" s="757"/>
      <c r="AY451" s="962"/>
      <c r="AZ451" s="757"/>
      <c r="BA451" s="757"/>
      <c r="BB451" s="757"/>
      <c r="BC451" s="757"/>
      <c r="BD451" s="962"/>
      <c r="BE451" s="757"/>
      <c r="BF451" s="757"/>
      <c r="BG451" s="757"/>
      <c r="BH451" s="757"/>
      <c r="BI451" s="962"/>
      <c r="BJ451" s="757"/>
      <c r="BK451" s="757"/>
      <c r="BL451" s="757"/>
      <c r="BM451" s="757"/>
      <c r="BN451" s="962"/>
      <c r="BO451" s="757"/>
      <c r="BP451" s="757"/>
      <c r="BQ451" s="757"/>
      <c r="BR451" s="757"/>
      <c r="BS451" s="962"/>
      <c r="BT451" s="758"/>
      <c r="BU451" s="757"/>
      <c r="BV451" s="757"/>
      <c r="BW451" s="757"/>
      <c r="BX451" s="962"/>
      <c r="BY451" s="757"/>
      <c r="BZ451" s="757"/>
      <c r="CA451" s="757"/>
      <c r="CB451" s="757"/>
      <c r="CC451" s="962"/>
      <c r="CD451" s="962"/>
      <c r="CE451" s="962"/>
      <c r="CF451" s="962"/>
      <c r="CG451" s="459"/>
    </row>
    <row r="452" spans="1:85" hidden="1" outlineLevel="1" x14ac:dyDescent="0.3">
      <c r="A452" s="182" t="s">
        <v>65</v>
      </c>
      <c r="B452" s="414"/>
      <c r="C452" s="962"/>
      <c r="D452" s="962"/>
      <c r="E452" s="962"/>
      <c r="F452" s="962"/>
      <c r="G452" s="857">
        <v>0</v>
      </c>
      <c r="H452" s="857">
        <v>0</v>
      </c>
      <c r="I452" s="857">
        <v>0</v>
      </c>
      <c r="J452" s="857">
        <v>0</v>
      </c>
      <c r="K452" s="964">
        <f>SUM(G452,H452,I452,J452)</f>
      </c>
      <c r="L452" s="857">
        <v>0</v>
      </c>
      <c r="M452" s="857">
        <v>0</v>
      </c>
      <c r="N452" s="857">
        <v>0</v>
      </c>
      <c r="O452" s="857">
        <v>-38.612000000000002</v>
      </c>
      <c r="P452" s="964">
        <f>SUM(L452,M452,N452,O452)</f>
      </c>
      <c r="Q452" s="857">
        <v>0</v>
      </c>
      <c r="R452" s="857">
        <v>0</v>
      </c>
      <c r="S452" s="857">
        <v>0</v>
      </c>
      <c r="T452" s="857">
        <v>-13.438000000000001</v>
      </c>
      <c r="U452" s="964">
        <f>SUM(Q452,R452,S452,T452)</f>
      </c>
      <c r="V452" s="757"/>
      <c r="W452" s="757"/>
      <c r="X452" s="757"/>
      <c r="Y452" s="757"/>
      <c r="Z452" s="962"/>
      <c r="AA452" s="757"/>
      <c r="AB452" s="757"/>
      <c r="AC452" s="757"/>
      <c r="AD452" s="757"/>
      <c r="AE452" s="962"/>
      <c r="AF452" s="757"/>
      <c r="AG452" s="757"/>
      <c r="AH452" s="757"/>
      <c r="AI452" s="757"/>
      <c r="AJ452" s="962"/>
      <c r="AK452" s="757"/>
      <c r="AL452" s="757"/>
      <c r="AM452" s="757"/>
      <c r="AN452" s="757"/>
      <c r="AO452" s="962"/>
      <c r="AP452" s="757"/>
      <c r="AQ452" s="757"/>
      <c r="AR452" s="757"/>
      <c r="AS452" s="757"/>
      <c r="AT452" s="962"/>
      <c r="AU452" s="757"/>
      <c r="AV452" s="757"/>
      <c r="AW452" s="757"/>
      <c r="AX452" s="757"/>
      <c r="AY452" s="962"/>
      <c r="AZ452" s="757"/>
      <c r="BA452" s="757"/>
      <c r="BB452" s="757"/>
      <c r="BC452" s="757"/>
      <c r="BD452" s="962"/>
      <c r="BE452" s="757"/>
      <c r="BF452" s="757"/>
      <c r="BG452" s="757"/>
      <c r="BH452" s="757"/>
      <c r="BI452" s="962"/>
      <c r="BJ452" s="757"/>
      <c r="BK452" s="757"/>
      <c r="BL452" s="757"/>
      <c r="BM452" s="757"/>
      <c r="BN452" s="962"/>
      <c r="BO452" s="757"/>
      <c r="BP452" s="757"/>
      <c r="BQ452" s="757"/>
      <c r="BR452" s="757"/>
      <c r="BS452" s="962"/>
      <c r="BT452" s="758"/>
      <c r="BU452" s="757"/>
      <c r="BV452" s="757"/>
      <c r="BW452" s="757"/>
      <c r="BX452" s="962"/>
      <c r="BY452" s="757"/>
      <c r="BZ452" s="757"/>
      <c r="CA452" s="757"/>
      <c r="CB452" s="757"/>
      <c r="CC452" s="962"/>
      <c r="CD452" s="962"/>
      <c r="CE452" s="962"/>
      <c r="CF452" s="962"/>
      <c r="CG452" s="459"/>
    </row>
    <row r="453" spans="1:85" hidden="1" outlineLevel="1" x14ac:dyDescent="0.3">
      <c r="A453" s="182" t="s">
        <v>66</v>
      </c>
      <c r="B453" s="414"/>
      <c r="C453" s="962"/>
      <c r="D453" s="962"/>
      <c r="E453" s="962"/>
      <c r="F453" s="962"/>
      <c r="G453" s="857">
        <v>0</v>
      </c>
      <c r="H453" s="857">
        <v>0</v>
      </c>
      <c r="I453" s="857">
        <v>0</v>
      </c>
      <c r="J453" s="857">
        <v>0</v>
      </c>
      <c r="K453" s="964">
        <f>SUM(G453,H453,I453,J453)</f>
      </c>
      <c r="L453" s="857">
        <v>0</v>
      </c>
      <c r="M453" s="857">
        <v>0</v>
      </c>
      <c r="N453" s="857">
        <v>0</v>
      </c>
      <c r="O453" s="857">
        <v>0</v>
      </c>
      <c r="P453" s="964">
        <f>SUM(L453,M453,N453,O453)</f>
      </c>
      <c r="Q453" s="857">
        <v>33.695999999999998</v>
      </c>
      <c r="R453" s="857">
        <v>0</v>
      </c>
      <c r="S453" s="857">
        <v>0</v>
      </c>
      <c r="T453" s="857">
        <v>0</v>
      </c>
      <c r="U453" s="964">
        <f>SUM(Q453,R453,S453,T453)</f>
      </c>
      <c r="V453" s="757"/>
      <c r="W453" s="757"/>
      <c r="X453" s="757"/>
      <c r="Y453" s="757"/>
      <c r="Z453" s="962"/>
      <c r="AA453" s="757"/>
      <c r="AB453" s="757"/>
      <c r="AC453" s="757"/>
      <c r="AD453" s="757"/>
      <c r="AE453" s="962"/>
      <c r="AF453" s="757"/>
      <c r="AG453" s="757"/>
      <c r="AH453" s="757"/>
      <c r="AI453" s="757"/>
      <c r="AJ453" s="962"/>
      <c r="AK453" s="757"/>
      <c r="AL453" s="757"/>
      <c r="AM453" s="757"/>
      <c r="AN453" s="757"/>
      <c r="AO453" s="962"/>
      <c r="AP453" s="757"/>
      <c r="AQ453" s="757"/>
      <c r="AR453" s="757"/>
      <c r="AS453" s="757"/>
      <c r="AT453" s="962"/>
      <c r="AU453" s="757"/>
      <c r="AV453" s="757"/>
      <c r="AW453" s="757"/>
      <c r="AX453" s="757"/>
      <c r="AY453" s="962"/>
      <c r="AZ453" s="757"/>
      <c r="BA453" s="757"/>
      <c r="BB453" s="757"/>
      <c r="BC453" s="757"/>
      <c r="BD453" s="962"/>
      <c r="BE453" s="757"/>
      <c r="BF453" s="757"/>
      <c r="BG453" s="757"/>
      <c r="BH453" s="757"/>
      <c r="BI453" s="962"/>
      <c r="BJ453" s="757"/>
      <c r="BK453" s="757"/>
      <c r="BL453" s="757"/>
      <c r="BM453" s="757"/>
      <c r="BN453" s="962"/>
      <c r="BO453" s="757"/>
      <c r="BP453" s="757"/>
      <c r="BQ453" s="757"/>
      <c r="BR453" s="757"/>
      <c r="BS453" s="962"/>
      <c r="BT453" s="758"/>
      <c r="BU453" s="757"/>
      <c r="BV453" s="757"/>
      <c r="BW453" s="757"/>
      <c r="BX453" s="962"/>
      <c r="BY453" s="757"/>
      <c r="BZ453" s="757"/>
      <c r="CA453" s="757"/>
      <c r="CB453" s="757"/>
      <c r="CC453" s="962"/>
      <c r="CD453" s="962"/>
      <c r="CE453" s="962"/>
      <c r="CF453" s="962"/>
      <c r="CG453" s="459"/>
    </row>
    <row r="454" spans="1:85" hidden="1" outlineLevel="1" x14ac:dyDescent="0.3">
      <c r="A454" s="30" t="s">
        <v>67</v>
      </c>
      <c r="B454" s="416"/>
      <c r="C454" s="984"/>
      <c r="D454" s="984"/>
      <c r="E454" s="984"/>
      <c r="F454" s="984"/>
      <c r="G454" s="863">
        <v>-9.1519999999999992</v>
      </c>
      <c r="H454" s="863">
        <v>0</v>
      </c>
      <c r="I454" s="863">
        <v>0</v>
      </c>
      <c r="J454" s="863">
        <v>0</v>
      </c>
      <c r="K454" s="1005">
        <f>SUM(G454,H454,I454,J454)</f>
      </c>
      <c r="L454" s="863">
        <v>0</v>
      </c>
      <c r="M454" s="863">
        <v>0</v>
      </c>
      <c r="N454" s="863">
        <v>0</v>
      </c>
      <c r="O454" s="863">
        <v>0</v>
      </c>
      <c r="P454" s="1005">
        <f>SUM(L454,M454,N454,O454)</f>
      </c>
      <c r="Q454" s="863">
        <v>-9.3829999999999991</v>
      </c>
      <c r="R454" s="863">
        <v>0</v>
      </c>
      <c r="S454" s="863">
        <v>0</v>
      </c>
      <c r="T454" s="863">
        <v>0</v>
      </c>
      <c r="U454" s="1005">
        <f>SUM(Q454,R454,S454,T454)</f>
      </c>
      <c r="V454" s="761"/>
      <c r="W454" s="761"/>
      <c r="X454" s="761"/>
      <c r="Y454" s="761"/>
      <c r="Z454" s="984"/>
      <c r="AA454" s="761"/>
      <c r="AB454" s="761"/>
      <c r="AC454" s="761"/>
      <c r="AD454" s="761"/>
      <c r="AE454" s="984"/>
      <c r="AF454" s="761"/>
      <c r="AG454" s="761"/>
      <c r="AH454" s="761"/>
      <c r="AI454" s="761"/>
      <c r="AJ454" s="984"/>
      <c r="AK454" s="761"/>
      <c r="AL454" s="761"/>
      <c r="AM454" s="761"/>
      <c r="AN454" s="761"/>
      <c r="AO454" s="984"/>
      <c r="AP454" s="761"/>
      <c r="AQ454" s="761"/>
      <c r="AR454" s="761"/>
      <c r="AS454" s="761"/>
      <c r="AT454" s="984"/>
      <c r="AU454" s="761"/>
      <c r="AV454" s="761"/>
      <c r="AW454" s="761"/>
      <c r="AX454" s="761"/>
      <c r="AY454" s="984"/>
      <c r="AZ454" s="761"/>
      <c r="BA454" s="761"/>
      <c r="BB454" s="761"/>
      <c r="BC454" s="761"/>
      <c r="BD454" s="984"/>
      <c r="BE454" s="761"/>
      <c r="BF454" s="761"/>
      <c r="BG454" s="761"/>
      <c r="BH454" s="761"/>
      <c r="BI454" s="984"/>
      <c r="BJ454" s="761"/>
      <c r="BK454" s="761"/>
      <c r="BL454" s="761"/>
      <c r="BM454" s="761"/>
      <c r="BN454" s="984"/>
      <c r="BO454" s="761"/>
      <c r="BP454" s="761"/>
      <c r="BQ454" s="761"/>
      <c r="BR454" s="761"/>
      <c r="BS454" s="984"/>
      <c r="BT454" s="762"/>
      <c r="BU454" s="761"/>
      <c r="BV454" s="761"/>
      <c r="BW454" s="761"/>
      <c r="BX454" s="984"/>
      <c r="BY454" s="761"/>
      <c r="BZ454" s="761"/>
      <c r="CA454" s="761"/>
      <c r="CB454" s="761"/>
      <c r="CC454" s="984"/>
      <c r="CD454" s="984"/>
      <c r="CE454" s="984"/>
      <c r="CF454" s="984"/>
      <c r="CG454" s="459"/>
    </row>
    <row r="455" spans="1:85" hidden="1" outlineLevel="1" x14ac:dyDescent="0.3">
      <c r="A455" s="2" t="s">
        <v>68</v>
      </c>
      <c r="B455" s="422"/>
      <c r="C455" s="965"/>
      <c r="D455" s="965"/>
      <c r="E455" s="965"/>
      <c r="F455" s="965"/>
      <c r="G455" s="792">
        <f t="shared" ref="G455:U455" si="797">SUM(G450:G454)</f>
      </c>
      <c r="H455" s="792">
        <f t="shared" si="797"/>
      </c>
      <c r="I455" s="792">
        <f t="shared" si="797"/>
      </c>
      <c r="J455" s="792">
        <f t="shared" si="797"/>
      </c>
      <c r="K455" s="986">
        <f t="shared" si="797"/>
      </c>
      <c r="L455" s="792">
        <f t="shared" si="797"/>
      </c>
      <c r="M455" s="792">
        <f t="shared" si="797"/>
      </c>
      <c r="N455" s="792">
        <f t="shared" si="797"/>
      </c>
      <c r="O455" s="792">
        <f t="shared" si="797"/>
      </c>
      <c r="P455" s="986">
        <f t="shared" si="797"/>
      </c>
      <c r="Q455" s="792">
        <f t="shared" si="797"/>
      </c>
      <c r="R455" s="792">
        <f t="shared" si="797"/>
      </c>
      <c r="S455" s="792">
        <f t="shared" si="797"/>
      </c>
      <c r="T455" s="792">
        <f t="shared" si="797"/>
      </c>
      <c r="U455" s="986">
        <f t="shared" si="797"/>
      </c>
      <c r="V455" s="791"/>
      <c r="W455" s="791"/>
      <c r="X455" s="791"/>
      <c r="Y455" s="791"/>
      <c r="Z455" s="965"/>
      <c r="AA455" s="791"/>
      <c r="AB455" s="791"/>
      <c r="AC455" s="791"/>
      <c r="AD455" s="791"/>
      <c r="AE455" s="965"/>
      <c r="AF455" s="791"/>
      <c r="AG455" s="791"/>
      <c r="AH455" s="791"/>
      <c r="AI455" s="791"/>
      <c r="AJ455" s="965"/>
      <c r="AK455" s="791"/>
      <c r="AL455" s="791"/>
      <c r="AM455" s="791"/>
      <c r="AN455" s="791"/>
      <c r="AO455" s="965"/>
      <c r="AP455" s="791"/>
      <c r="AQ455" s="791"/>
      <c r="AR455" s="791"/>
      <c r="AS455" s="791"/>
      <c r="AT455" s="965"/>
      <c r="AU455" s="791"/>
      <c r="AV455" s="791"/>
      <c r="AW455" s="791"/>
      <c r="AX455" s="791"/>
      <c r="AY455" s="965"/>
      <c r="AZ455" s="791"/>
      <c r="BA455" s="791"/>
      <c r="BB455" s="791"/>
      <c r="BC455" s="791"/>
      <c r="BD455" s="965"/>
      <c r="BE455" s="791"/>
      <c r="BF455" s="791"/>
      <c r="BG455" s="791"/>
      <c r="BH455" s="791"/>
      <c r="BI455" s="965"/>
      <c r="BJ455" s="791"/>
      <c r="BK455" s="791"/>
      <c r="BL455" s="791"/>
      <c r="BM455" s="791"/>
      <c r="BN455" s="965"/>
      <c r="BO455" s="791"/>
      <c r="BP455" s="791"/>
      <c r="BQ455" s="791"/>
      <c r="BR455" s="791"/>
      <c r="BS455" s="965"/>
      <c r="BT455" s="797"/>
      <c r="BU455" s="791"/>
      <c r="BV455" s="791"/>
      <c r="BW455" s="791"/>
      <c r="BX455" s="965"/>
      <c r="BY455" s="791"/>
      <c r="BZ455" s="791"/>
      <c r="CA455" s="791"/>
      <c r="CB455" s="791"/>
      <c r="CC455" s="965"/>
      <c r="CD455" s="965"/>
      <c r="CE455" s="965"/>
      <c r="CF455" s="965"/>
      <c r="CG455" s="183"/>
    </row>
    <row r="456" spans="1:85" hidden="1" outlineLevel="1" x14ac:dyDescent="0.3">
      <c r="A456" s="429"/>
      <c r="B456" s="428"/>
      <c r="C456" s="969"/>
      <c r="D456" s="969"/>
      <c r="E456" s="969"/>
      <c r="F456" s="969"/>
      <c r="G456" s="759"/>
      <c r="H456" s="759"/>
      <c r="I456" s="759"/>
      <c r="J456" s="759"/>
      <c r="K456" s="969"/>
      <c r="L456" s="759"/>
      <c r="M456" s="759"/>
      <c r="N456" s="759"/>
      <c r="O456" s="759"/>
      <c r="P456" s="969"/>
      <c r="Q456" s="759"/>
      <c r="R456" s="759"/>
      <c r="S456" s="759"/>
      <c r="T456" s="759"/>
      <c r="U456" s="969"/>
      <c r="V456" s="759"/>
      <c r="W456" s="759"/>
      <c r="X456" s="759"/>
      <c r="Y456" s="759"/>
      <c r="Z456" s="969"/>
      <c r="AA456" s="759"/>
      <c r="AB456" s="759"/>
      <c r="AC456" s="759"/>
      <c r="AD456" s="759"/>
      <c r="AE456" s="969"/>
      <c r="AF456" s="759"/>
      <c r="AG456" s="759"/>
      <c r="AH456" s="759"/>
      <c r="AI456" s="759"/>
      <c r="AJ456" s="969"/>
      <c r="AK456" s="759"/>
      <c r="AL456" s="759"/>
      <c r="AM456" s="759"/>
      <c r="AN456" s="759"/>
      <c r="AO456" s="969"/>
      <c r="AP456" s="759"/>
      <c r="AQ456" s="759"/>
      <c r="AR456" s="759"/>
      <c r="AS456" s="759"/>
      <c r="AT456" s="969"/>
      <c r="AU456" s="759"/>
      <c r="AV456" s="759"/>
      <c r="AW456" s="759"/>
      <c r="AX456" s="759"/>
      <c r="AY456" s="969"/>
      <c r="AZ456" s="759"/>
      <c r="BA456" s="759"/>
      <c r="BB456" s="759"/>
      <c r="BC456" s="759"/>
      <c r="BD456" s="969"/>
      <c r="BE456" s="759"/>
      <c r="BF456" s="759"/>
      <c r="BG456" s="759"/>
      <c r="BH456" s="759"/>
      <c r="BI456" s="969"/>
      <c r="BJ456" s="759"/>
      <c r="BK456" s="759"/>
      <c r="BL456" s="759"/>
      <c r="BM456" s="759"/>
      <c r="BN456" s="969"/>
      <c r="BO456" s="759"/>
      <c r="BP456" s="759"/>
      <c r="BQ456" s="759"/>
      <c r="BR456" s="759"/>
      <c r="BS456" s="969"/>
      <c r="BT456" s="760"/>
      <c r="BU456" s="759"/>
      <c r="BV456" s="759"/>
      <c r="BW456" s="759"/>
      <c r="BX456" s="969"/>
      <c r="BY456" s="759"/>
      <c r="BZ456" s="759"/>
      <c r="CA456" s="759"/>
      <c r="CB456" s="759"/>
      <c r="CC456" s="969"/>
      <c r="CD456" s="969"/>
      <c r="CE456" s="969"/>
      <c r="CF456" s="969"/>
      <c r="CG456" s="183"/>
    </row>
    <row r="457" spans="1:85" hidden="1" outlineLevel="1" x14ac:dyDescent="0.3">
      <c r="A457" s="4" t="s">
        <v>56</v>
      </c>
      <c r="B457" s="428"/>
      <c r="C457" s="969"/>
      <c r="D457" s="969"/>
      <c r="E457" s="985">
        <f>E431</f>
      </c>
      <c r="F457" s="985">
        <f>F431</f>
      </c>
      <c r="G457" s="183">
        <f>G431</f>
      </c>
      <c r="H457" s="759"/>
      <c r="I457" s="759"/>
      <c r="J457" s="759"/>
      <c r="K457" s="985">
        <f>K431</f>
      </c>
      <c r="L457" s="759"/>
      <c r="M457" s="759"/>
      <c r="N457" s="759"/>
      <c r="O457" s="759"/>
      <c r="P457" s="969"/>
      <c r="Q457" s="759"/>
      <c r="R457" s="759"/>
      <c r="S457" s="759"/>
      <c r="T457" s="759"/>
      <c r="U457" s="969"/>
      <c r="V457" s="759"/>
      <c r="W457" s="759"/>
      <c r="X457" s="759"/>
      <c r="Y457" s="759"/>
      <c r="Z457" s="969"/>
      <c r="AA457" s="759"/>
      <c r="AB457" s="759"/>
      <c r="AC457" s="759"/>
      <c r="AD457" s="759"/>
      <c r="AE457" s="969"/>
      <c r="AF457" s="759"/>
      <c r="AG457" s="759"/>
      <c r="AH457" s="759"/>
      <c r="AI457" s="759"/>
      <c r="AJ457" s="969"/>
      <c r="AK457" s="759"/>
      <c r="AL457" s="759"/>
      <c r="AM457" s="759"/>
      <c r="AN457" s="759"/>
      <c r="AO457" s="969"/>
      <c r="AP457" s="759"/>
      <c r="AQ457" s="759"/>
      <c r="AR457" s="759"/>
      <c r="AS457" s="759"/>
      <c r="AT457" s="969"/>
      <c r="AU457" s="759"/>
      <c r="AV457" s="759"/>
      <c r="AW457" s="759"/>
      <c r="AX457" s="759"/>
      <c r="AY457" s="969"/>
      <c r="AZ457" s="759"/>
      <c r="BA457" s="759"/>
      <c r="BB457" s="759"/>
      <c r="BC457" s="759"/>
      <c r="BD457" s="969"/>
      <c r="BE457" s="759"/>
      <c r="BF457" s="759"/>
      <c r="BG457" s="759"/>
      <c r="BH457" s="759"/>
      <c r="BI457" s="969"/>
      <c r="BJ457" s="759"/>
      <c r="BK457" s="759"/>
      <c r="BL457" s="759"/>
      <c r="BM457" s="759"/>
      <c r="BN457" s="969"/>
      <c r="BO457" s="759"/>
      <c r="BP457" s="759"/>
      <c r="BQ457" s="759"/>
      <c r="BR457" s="759"/>
      <c r="BS457" s="969"/>
      <c r="BT457" s="760"/>
      <c r="BU457" s="759"/>
      <c r="BV457" s="759"/>
      <c r="BW457" s="759"/>
      <c r="BX457" s="969"/>
      <c r="BY457" s="759"/>
      <c r="BZ457" s="759"/>
      <c r="CA457" s="759"/>
      <c r="CB457" s="759"/>
      <c r="CC457" s="969"/>
      <c r="CD457" s="969"/>
      <c r="CE457" s="969"/>
      <c r="CF457" s="969"/>
      <c r="CG457" s="183"/>
    </row>
    <row r="458" spans="1:85" hidden="1" outlineLevel="1" x14ac:dyDescent="0.3">
      <c r="A458" s="30" t="s">
        <v>69</v>
      </c>
      <c r="B458" s="416"/>
      <c r="C458" s="984"/>
      <c r="D458" s="984"/>
      <c r="E458" s="989">
        <v>1.7000000000000001E-2</v>
      </c>
      <c r="F458" s="989">
        <v>0.19500000000000001</v>
      </c>
      <c r="G458" s="863">
        <v>4.9000000000000002E-2</v>
      </c>
      <c r="H458" s="761"/>
      <c r="I458" s="761"/>
      <c r="J458" s="761"/>
      <c r="K458" s="989">
        <v>4.9000000000000002E-2</v>
      </c>
      <c r="L458" s="761"/>
      <c r="M458" s="761"/>
      <c r="N458" s="761"/>
      <c r="O458" s="761"/>
      <c r="P458" s="984"/>
      <c r="Q458" s="761"/>
      <c r="R458" s="761"/>
      <c r="S458" s="761"/>
      <c r="T458" s="761"/>
      <c r="U458" s="984"/>
      <c r="V458" s="761"/>
      <c r="W458" s="761"/>
      <c r="X458" s="761"/>
      <c r="Y458" s="761"/>
      <c r="Z458" s="984"/>
      <c r="AA458" s="761"/>
      <c r="AB458" s="761"/>
      <c r="AC458" s="761"/>
      <c r="AD458" s="761"/>
      <c r="AE458" s="984"/>
      <c r="AF458" s="761"/>
      <c r="AG458" s="761"/>
      <c r="AH458" s="761"/>
      <c r="AI458" s="761"/>
      <c r="AJ458" s="984"/>
      <c r="AK458" s="761"/>
      <c r="AL458" s="761"/>
      <c r="AM458" s="761"/>
      <c r="AN458" s="761"/>
      <c r="AO458" s="984"/>
      <c r="AP458" s="761"/>
      <c r="AQ458" s="761"/>
      <c r="AR458" s="761"/>
      <c r="AS458" s="761"/>
      <c r="AT458" s="984"/>
      <c r="AU458" s="761"/>
      <c r="AV458" s="761"/>
      <c r="AW458" s="761"/>
      <c r="AX458" s="761"/>
      <c r="AY458" s="984"/>
      <c r="AZ458" s="761"/>
      <c r="BA458" s="761"/>
      <c r="BB458" s="761"/>
      <c r="BC458" s="761"/>
      <c r="BD458" s="984"/>
      <c r="BE458" s="761"/>
      <c r="BF458" s="761"/>
      <c r="BG458" s="761"/>
      <c r="BH458" s="761"/>
      <c r="BI458" s="984"/>
      <c r="BJ458" s="761"/>
      <c r="BK458" s="761"/>
      <c r="BL458" s="761"/>
      <c r="BM458" s="761"/>
      <c r="BN458" s="984"/>
      <c r="BO458" s="761"/>
      <c r="BP458" s="761"/>
      <c r="BQ458" s="761"/>
      <c r="BR458" s="761"/>
      <c r="BS458" s="984"/>
      <c r="BT458" s="762"/>
      <c r="BU458" s="761"/>
      <c r="BV458" s="761"/>
      <c r="BW458" s="761"/>
      <c r="BX458" s="984"/>
      <c r="BY458" s="761"/>
      <c r="BZ458" s="761"/>
      <c r="CA458" s="761"/>
      <c r="CB458" s="761"/>
      <c r="CC458" s="984"/>
      <c r="CD458" s="984"/>
      <c r="CE458" s="984"/>
      <c r="CF458" s="984"/>
      <c r="CG458" s="459"/>
    </row>
    <row r="459" spans="1:85" hidden="1" outlineLevel="1" x14ac:dyDescent="0.3">
      <c r="A459" s="2" t="s">
        <v>70</v>
      </c>
      <c r="B459" s="422"/>
      <c r="C459" s="965"/>
      <c r="D459" s="965"/>
      <c r="E459" s="986">
        <f>SUM(E457:E458)</f>
      </c>
      <c r="F459" s="986">
        <f>SUM(F457:F458)</f>
      </c>
      <c r="G459" s="792">
        <f>SUM(G457:G458)</f>
      </c>
      <c r="H459" s="791"/>
      <c r="I459" s="791"/>
      <c r="J459" s="791"/>
      <c r="K459" s="986">
        <f>SUM(K457:K458)</f>
      </c>
      <c r="L459" s="791"/>
      <c r="M459" s="791"/>
      <c r="N459" s="791"/>
      <c r="O459" s="791"/>
      <c r="P459" s="965"/>
      <c r="Q459" s="791"/>
      <c r="R459" s="791"/>
      <c r="S459" s="791"/>
      <c r="T459" s="791"/>
      <c r="U459" s="965"/>
      <c r="V459" s="791"/>
      <c r="W459" s="791"/>
      <c r="X459" s="791"/>
      <c r="Y459" s="791"/>
      <c r="Z459" s="965"/>
      <c r="AA459" s="791"/>
      <c r="AB459" s="791"/>
      <c r="AC459" s="791"/>
      <c r="AD459" s="791"/>
      <c r="AE459" s="965"/>
      <c r="AF459" s="791"/>
      <c r="AG459" s="791"/>
      <c r="AH459" s="791"/>
      <c r="AI459" s="791"/>
      <c r="AJ459" s="965"/>
      <c r="AK459" s="791"/>
      <c r="AL459" s="791"/>
      <c r="AM459" s="791"/>
      <c r="AN459" s="791"/>
      <c r="AO459" s="965"/>
      <c r="AP459" s="791"/>
      <c r="AQ459" s="791"/>
      <c r="AR459" s="791"/>
      <c r="AS459" s="791"/>
      <c r="AT459" s="965"/>
      <c r="AU459" s="791"/>
      <c r="AV459" s="791"/>
      <c r="AW459" s="791"/>
      <c r="AX459" s="791"/>
      <c r="AY459" s="965"/>
      <c r="AZ459" s="791"/>
      <c r="BA459" s="791"/>
      <c r="BB459" s="791"/>
      <c r="BC459" s="791"/>
      <c r="BD459" s="965"/>
      <c r="BE459" s="791"/>
      <c r="BF459" s="791"/>
      <c r="BG459" s="791"/>
      <c r="BH459" s="791"/>
      <c r="BI459" s="965"/>
      <c r="BJ459" s="791"/>
      <c r="BK459" s="791"/>
      <c r="BL459" s="791"/>
      <c r="BM459" s="791"/>
      <c r="BN459" s="965"/>
      <c r="BO459" s="791"/>
      <c r="BP459" s="791"/>
      <c r="BQ459" s="791"/>
      <c r="BR459" s="791"/>
      <c r="BS459" s="965"/>
      <c r="BT459" s="797"/>
      <c r="BU459" s="791"/>
      <c r="BV459" s="791"/>
      <c r="BW459" s="791"/>
      <c r="BX459" s="965"/>
      <c r="BY459" s="791"/>
      <c r="BZ459" s="791"/>
      <c r="CA459" s="791"/>
      <c r="CB459" s="791"/>
      <c r="CC459" s="965"/>
      <c r="CD459" s="965"/>
      <c r="CE459" s="965"/>
      <c r="CF459" s="965"/>
      <c r="CG459" s="183"/>
    </row>
    <row r="460" spans="1:85" collapsed="1" x14ac:dyDescent="0.3">
      <c r="A460" s="429"/>
      <c r="B460" s="428"/>
      <c r="C460" s="969"/>
      <c r="D460" s="969"/>
      <c r="E460" s="969"/>
      <c r="F460" s="969"/>
      <c r="G460" s="759"/>
      <c r="H460" s="759"/>
      <c r="I460" s="759"/>
      <c r="J460" s="759"/>
      <c r="K460" s="969"/>
      <c r="L460" s="759"/>
      <c r="M460" s="759"/>
      <c r="N460" s="759"/>
      <c r="O460" s="759"/>
      <c r="P460" s="969"/>
      <c r="Q460" s="759"/>
      <c r="R460" s="759"/>
      <c r="S460" s="759"/>
      <c r="T460" s="759"/>
      <c r="U460" s="969"/>
      <c r="V460" s="759"/>
      <c r="W460" s="759"/>
      <c r="X460" s="759"/>
      <c r="Y460" s="759"/>
      <c r="Z460" s="969"/>
      <c r="AA460" s="759"/>
      <c r="AB460" s="759"/>
      <c r="AC460" s="759"/>
      <c r="AD460" s="759"/>
      <c r="AE460" s="969"/>
      <c r="AF460" s="759"/>
      <c r="AG460" s="759"/>
      <c r="AH460" s="759"/>
      <c r="AI460" s="759"/>
      <c r="AJ460" s="969"/>
      <c r="AK460" s="759"/>
      <c r="AL460" s="759"/>
      <c r="AM460" s="759"/>
      <c r="AN460" s="759"/>
      <c r="AO460" s="969"/>
      <c r="AP460" s="759"/>
      <c r="AQ460" s="759"/>
      <c r="AR460" s="759"/>
      <c r="AS460" s="759"/>
      <c r="AT460" s="969"/>
      <c r="AU460" s="759"/>
      <c r="AV460" s="759"/>
      <c r="AW460" s="759"/>
      <c r="AX460" s="759"/>
      <c r="AY460" s="969"/>
      <c r="AZ460" s="759"/>
      <c r="BA460" s="759"/>
      <c r="BB460" s="759"/>
      <c r="BC460" s="759"/>
      <c r="BD460" s="969"/>
      <c r="BE460" s="759"/>
      <c r="BF460" s="759"/>
      <c r="BG460" s="759"/>
      <c r="BH460" s="759"/>
      <c r="BI460" s="969"/>
      <c r="BJ460" s="759"/>
      <c r="BK460" s="759"/>
      <c r="BL460" s="759"/>
      <c r="BM460" s="759"/>
      <c r="BN460" s="969"/>
      <c r="BO460" s="759"/>
      <c r="BP460" s="759"/>
      <c r="BQ460" s="759"/>
      <c r="BR460" s="759"/>
      <c r="BS460" s="969"/>
      <c r="BT460" s="760"/>
      <c r="BU460" s="759"/>
      <c r="BV460" s="759"/>
      <c r="BW460" s="759"/>
      <c r="BX460" s="969"/>
      <c r="BY460" s="759"/>
      <c r="BZ460" s="759"/>
      <c r="CA460" s="759"/>
      <c r="CB460" s="759"/>
      <c r="CC460" s="969"/>
      <c r="CD460" s="969"/>
      <c r="CE460" s="969"/>
      <c r="CF460" s="969"/>
      <c r="CG460" s="183"/>
    </row>
    <row r="461" spans="1:85" x14ac:dyDescent="0.3">
      <c r="A461" s="754" t="s">
        <v>71</v>
      </c>
      <c r="B461" s="754"/>
      <c r="C461" s="754"/>
      <c r="D461" s="754"/>
      <c r="E461" s="754"/>
      <c r="F461" s="754"/>
      <c r="G461" s="754"/>
      <c r="H461" s="754"/>
      <c r="I461" s="754"/>
      <c r="J461" s="754"/>
      <c r="K461" s="754"/>
      <c r="L461" s="754"/>
      <c r="M461" s="754"/>
      <c r="N461" s="754"/>
      <c r="O461" s="754"/>
      <c r="P461" s="754"/>
      <c r="Q461" s="754"/>
      <c r="R461" s="754"/>
      <c r="S461" s="754"/>
      <c r="T461" s="754"/>
      <c r="U461" s="754"/>
      <c r="V461" s="754"/>
      <c r="W461" s="754"/>
      <c r="X461" s="754"/>
      <c r="Y461" s="754"/>
      <c r="Z461" s="754"/>
      <c r="AA461" s="754"/>
      <c r="AB461" s="754"/>
      <c r="AC461" s="754"/>
      <c r="AD461" s="754"/>
      <c r="AE461" s="754"/>
      <c r="AF461" s="754"/>
      <c r="AG461" s="754"/>
      <c r="AH461" s="754"/>
      <c r="AI461" s="754"/>
      <c r="AJ461" s="754"/>
      <c r="AK461" s="754"/>
      <c r="AL461" s="754"/>
      <c r="AM461" s="754"/>
      <c r="AN461" s="754"/>
      <c r="AO461" s="754"/>
      <c r="AP461" s="754"/>
      <c r="AQ461" s="754"/>
      <c r="AR461" s="754"/>
      <c r="AS461" s="754"/>
      <c r="AT461" s="754"/>
      <c r="AU461" s="754"/>
      <c r="AV461" s="754"/>
      <c r="AW461" s="754"/>
      <c r="AX461" s="754"/>
      <c r="AY461" s="754"/>
      <c r="AZ461" s="754"/>
      <c r="BA461" s="754"/>
      <c r="BB461" s="754"/>
      <c r="BC461" s="754"/>
      <c r="BD461" s="754"/>
      <c r="BE461" s="754"/>
      <c r="BF461" s="754"/>
      <c r="BG461" s="754"/>
      <c r="BH461" s="754"/>
      <c r="BI461" s="754"/>
      <c r="BJ461" s="754"/>
      <c r="BK461" s="754"/>
      <c r="BL461" s="754"/>
      <c r="BM461" s="754"/>
      <c r="BN461" s="754"/>
      <c r="BO461" s="754"/>
      <c r="BP461" s="754"/>
      <c r="BQ461" s="754"/>
      <c r="BR461" s="754"/>
      <c r="BS461" s="754"/>
      <c r="BT461" s="755"/>
      <c r="BU461" s="754"/>
      <c r="BV461" s="754"/>
      <c r="BW461" s="754"/>
      <c r="BX461" s="754"/>
      <c r="BY461" s="754"/>
      <c r="BZ461" s="754"/>
      <c r="CA461" s="754"/>
      <c r="CB461" s="754"/>
      <c r="CC461" s="754"/>
      <c r="CD461" s="754"/>
      <c r="CE461" s="754"/>
      <c r="CF461" s="754"/>
      <c r="CG461" s="183"/>
    </row>
    <row r="462" spans="1:85" x14ac:dyDescent="0.3">
      <c r="A462" s="4" t="s">
        <v>72</v>
      </c>
      <c r="B462" s="428"/>
      <c r="C462" s="985">
        <f t="shared" ref="C462:AH462" si="798">C416</f>
      </c>
      <c r="D462" s="985">
        <f t="shared" si="798"/>
      </c>
      <c r="E462" s="985">
        <f t="shared" si="798"/>
      </c>
      <c r="F462" s="985">
        <f t="shared" si="798"/>
      </c>
      <c r="G462" s="183">
        <f t="shared" si="798"/>
      </c>
      <c r="H462" s="183">
        <f t="shared" si="798"/>
      </c>
      <c r="I462" s="183">
        <f t="shared" si="798"/>
      </c>
      <c r="J462" s="183">
        <f t="shared" si="798"/>
      </c>
      <c r="K462" s="985">
        <f t="shared" si="798"/>
      </c>
      <c r="L462" s="183">
        <f t="shared" si="798"/>
      </c>
      <c r="M462" s="183">
        <f t="shared" si="798"/>
      </c>
      <c r="N462" s="183">
        <f t="shared" si="798"/>
      </c>
      <c r="O462" s="183">
        <f t="shared" si="798"/>
      </c>
      <c r="P462" s="985">
        <f t="shared" si="798"/>
      </c>
      <c r="Q462" s="183">
        <f t="shared" si="798"/>
      </c>
      <c r="R462" s="183">
        <f t="shared" si="798"/>
      </c>
      <c r="S462" s="183">
        <f t="shared" si="798"/>
      </c>
      <c r="T462" s="183">
        <f t="shared" si="798"/>
      </c>
      <c r="U462" s="985">
        <f t="shared" si="798"/>
      </c>
      <c r="V462" s="183">
        <f t="shared" si="798"/>
      </c>
      <c r="W462" s="183">
        <f t="shared" si="798"/>
      </c>
      <c r="X462" s="183">
        <f t="shared" si="798"/>
      </c>
      <c r="Y462" s="759">
        <f t="shared" si="798"/>
      </c>
      <c r="Z462" s="969">
        <f t="shared" si="798"/>
      </c>
      <c r="AA462" s="183">
        <f t="shared" si="798"/>
      </c>
      <c r="AB462" s="183">
        <f t="shared" si="798"/>
      </c>
      <c r="AC462" s="183">
        <f t="shared" si="798"/>
      </c>
      <c r="AD462" s="759">
        <f t="shared" si="798"/>
      </c>
      <c r="AE462" s="969">
        <f t="shared" si="798"/>
      </c>
      <c r="AF462" s="183">
        <f t="shared" si="798"/>
      </c>
      <c r="AG462" s="183">
        <f t="shared" si="798"/>
      </c>
      <c r="AH462" s="183">
        <f t="shared" si="798"/>
      </c>
      <c r="AI462" s="759">
        <f t="shared" ref="AI462:BE462" si="799">AI416</f>
      </c>
      <c r="AJ462" s="969">
        <f t="shared" si="799"/>
      </c>
      <c r="AK462" s="183">
        <f t="shared" si="799"/>
      </c>
      <c r="AL462" s="183">
        <f t="shared" si="799"/>
      </c>
      <c r="AM462" s="183">
        <f t="shared" si="799"/>
      </c>
      <c r="AN462" s="759">
        <f t="shared" si="799"/>
      </c>
      <c r="AO462" s="969">
        <f t="shared" si="799"/>
      </c>
      <c r="AP462" s="183">
        <f t="shared" si="799"/>
      </c>
      <c r="AQ462" s="183">
        <f t="shared" si="799"/>
      </c>
      <c r="AR462" s="183">
        <f t="shared" si="799"/>
      </c>
      <c r="AS462" s="759">
        <f t="shared" si="799"/>
      </c>
      <c r="AT462" s="969">
        <f t="shared" si="799"/>
      </c>
      <c r="AU462" s="183">
        <f t="shared" si="799"/>
      </c>
      <c r="AV462" s="183">
        <f t="shared" si="799"/>
      </c>
      <c r="AW462" s="183">
        <f t="shared" si="799"/>
      </c>
      <c r="AX462" s="759">
        <f t="shared" si="799"/>
      </c>
      <c r="AY462" s="969">
        <f t="shared" si="799"/>
      </c>
      <c r="AZ462" s="183">
        <f t="shared" si="799"/>
      </c>
      <c r="BA462" s="183">
        <f t="shared" si="799"/>
      </c>
      <c r="BB462" s="183">
        <f t="shared" si="799"/>
      </c>
      <c r="BC462" s="759">
        <f t="shared" si="799"/>
      </c>
      <c r="BD462" s="969">
        <f t="shared" si="799"/>
      </c>
      <c r="BE462" s="183">
        <f t="shared" si="799"/>
      </c>
      <c r="BF462" s="183">
        <f t="shared" ref="BF462:BK462" si="800">BF416</f>
      </c>
      <c r="BG462" s="183">
        <f t="shared" si="800"/>
      </c>
      <c r="BH462" s="759">
        <f t="shared" si="800"/>
      </c>
      <c r="BI462" s="969">
        <f t="shared" si="800"/>
      </c>
      <c r="BJ462" s="183">
        <f t="shared" si="800"/>
      </c>
      <c r="BK462" s="183">
        <f t="shared" si="800"/>
      </c>
      <c r="BL462" s="183">
        <f t="shared" ref="BL462:BQ462" si="801">BL416</f>
      </c>
      <c r="BM462" s="759">
        <f t="shared" si="801"/>
      </c>
      <c r="BN462" s="969">
        <f t="shared" si="801"/>
      </c>
      <c r="BO462" s="183">
        <f t="shared" si="801"/>
      </c>
      <c r="BP462" s="183">
        <f t="shared" si="801"/>
      </c>
      <c r="BQ462" s="183">
        <f t="shared" si="801"/>
      </c>
      <c r="BR462" s="759">
        <f>BR416</f>
      </c>
      <c r="BS462" s="969">
        <f>BS416</f>
      </c>
      <c r="BT462" s="794">
        <f>BT416</f>
      </c>
      <c r="BU462" s="759">
        <f>+BU194</f>
      </c>
      <c r="BV462" s="759">
        <f>+BV194</f>
      </c>
      <c r="BW462" s="759">
        <f>+BW194</f>
      </c>
      <c r="BX462" s="969">
        <f>SUM(BT462,BU462,BV462,BW462)</f>
      </c>
      <c r="BY462" s="759">
        <f>+BY194</f>
      </c>
      <c r="BZ462" s="759">
        <f>+BZ194</f>
      </c>
      <c r="CA462" s="759">
        <f>+CA194</f>
      </c>
      <c r="CB462" s="759">
        <f>+CB194</f>
      </c>
      <c r="CC462" s="969">
        <f>SUM(BY462,BZ462,CA462,CB462)</f>
      </c>
      <c r="CD462" s="969">
        <f>+CD194</f>
      </c>
      <c r="CE462" s="969">
        <f>+CE194</f>
      </c>
      <c r="CF462" s="969">
        <f>+CF194</f>
      </c>
      <c r="CG462" s="183"/>
    </row>
    <row r="463" spans="1:85" x14ac:dyDescent="0.3">
      <c r="A463" s="769" t="str">
        <f>CONCATENATE("Consensus Estimates - ",IFERROR(LEFT(A462,FIND("(",A462)-1),A462))</f>
      </c>
      <c r="B463" s="770"/>
      <c r="C463" s="1009"/>
      <c r="D463" s="1009"/>
      <c r="E463" s="1009"/>
      <c r="F463" s="1009"/>
      <c r="G463" s="763"/>
      <c r="H463" s="763"/>
      <c r="I463" s="763"/>
      <c r="J463" s="763"/>
      <c r="K463" s="1009"/>
      <c r="L463" s="763"/>
      <c r="M463" s="763"/>
      <c r="N463" s="763"/>
      <c r="O463" s="763"/>
      <c r="P463" s="1009"/>
      <c r="Q463" s="763"/>
      <c r="R463" s="763"/>
      <c r="S463" s="763"/>
      <c r="T463" s="763"/>
      <c r="U463" s="1009"/>
      <c r="V463" s="763"/>
      <c r="W463" s="806"/>
      <c r="X463" s="763"/>
      <c r="Y463" s="806"/>
      <c r="Z463" s="942"/>
      <c r="AA463" s="763"/>
      <c r="AB463" s="806"/>
      <c r="AC463" s="763"/>
      <c r="AD463" s="806"/>
      <c r="AE463" s="942"/>
      <c r="AF463" s="763"/>
      <c r="AG463" s="806"/>
      <c r="AH463" s="763"/>
      <c r="AI463" s="806"/>
      <c r="AJ463" s="942"/>
      <c r="AK463" s="763"/>
      <c r="AL463" s="806"/>
      <c r="AM463" s="763"/>
      <c r="AN463" s="806"/>
      <c r="AO463" s="942"/>
      <c r="AP463" s="763"/>
      <c r="AQ463" s="806"/>
      <c r="AR463" s="763"/>
      <c r="AS463" s="806"/>
      <c r="AT463" s="942"/>
      <c r="AU463" s="763"/>
      <c r="AV463" s="806"/>
      <c r="AW463" s="763"/>
      <c r="AX463" s="806"/>
      <c r="AY463" s="942"/>
      <c r="AZ463" s="763"/>
      <c r="BA463" s="763"/>
      <c r="BB463" s="763"/>
      <c r="BC463" s="806"/>
      <c r="BD463" s="942"/>
      <c r="BE463" s="763"/>
      <c r="BF463" s="763"/>
      <c r="BG463" s="763"/>
      <c r="BH463" s="806"/>
      <c r="BI463" s="942"/>
      <c r="BJ463" s="763"/>
      <c r="BK463" s="763"/>
      <c r="BL463" s="763"/>
      <c r="BM463" s="806"/>
      <c r="BN463" s="942"/>
      <c r="BO463" s="763"/>
      <c r="BP463" s="763"/>
      <c r="BQ463" s="763"/>
      <c r="BR463" s="806"/>
      <c r="BS463" s="942"/>
      <c r="BT463" s="807"/>
      <c r="BU463" s="780" t="str">
        <f t="shared" ref="BU463:CC463" ca="1" si="802">IFERROR(VLOOKUP($A463,tb_ConsensusEstimate,MATCH(BU$5,OFFSET(tb_ConsensusEstimate,0,0,1,COLUMNS(tb_ConsensusEstimate)),0),FALSE),"-")</f>
      </c>
      <c r="BV463" s="780" t="str">
        <f t="shared" ca="1" si="802"/>
      </c>
      <c r="BW463" s="780" t="str">
        <f t="shared" ca="1" si="802"/>
      </c>
      <c r="BX463" s="942" t="str">
        <f t="shared" ca="1" si="802"/>
      </c>
      <c r="BY463" s="780" t="str">
        <f t="shared" ca="1" si="802"/>
      </c>
      <c r="BZ463" s="780" t="str">
        <f t="shared" ca="1" si="802"/>
      </c>
      <c r="CA463" s="780" t="str">
        <f t="shared" ca="1" si="802"/>
      </c>
      <c r="CB463" s="780" t="str">
        <f t="shared" ca="1" si="802"/>
      </c>
      <c r="CC463" s="942" t="str">
        <f t="shared" ca="1" si="802"/>
      </c>
      <c r="CD463" s="942" t="str">
        <f ca="1">IFERROR(VLOOKUP($A463,tb_ConsensusEstimate,MATCH(CD5,OFFSET(tb_ConsensusEstimate,0,0,1,COLUMNS(tb_ConsensusEstimate)),0),FALSE),"-")</f>
      </c>
      <c r="CE463" s="942" t="str">
        <f ca="1">IFERROR(VLOOKUP($A463,tb_ConsensusEstimate,MATCH(CE5,OFFSET(tb_ConsensusEstimate,0,0,1,COLUMNS(tb_ConsensusEstimate)),0),FALSE),"-")</f>
      </c>
      <c r="CF463" s="942" t="str">
        <f ca="1">IFERROR(VLOOKUP($A463,tb_ConsensusEstimate,MATCH(CF5,OFFSET(tb_ConsensusEstimate,0,0,1,COLUMNS(tb_ConsensusEstimate)),0),FALSE),"-")</f>
      </c>
      <c r="CG463" s="763"/>
    </row>
    <row r="464" spans="1:85" s="587" customFormat="1" x14ac:dyDescent="0.3">
      <c r="A464" s="769" t="str">
        <f>CONCATENATE("Guidance - ",IFERROR(LEFT(A462,FIND("(",A462)-1),A462))</f>
      </c>
      <c r="B464" s="770"/>
      <c r="C464" s="1009"/>
      <c r="D464" s="1009"/>
      <c r="E464" s="1009"/>
      <c r="F464" s="1009"/>
      <c r="G464" s="763"/>
      <c r="H464" s="763"/>
      <c r="I464" s="763"/>
      <c r="J464" s="763"/>
      <c r="K464" s="1009"/>
      <c r="L464" s="763"/>
      <c r="M464" s="763"/>
      <c r="N464" s="763"/>
      <c r="O464" s="763"/>
      <c r="P464" s="1009"/>
      <c r="Q464" s="763"/>
      <c r="R464" s="763"/>
      <c r="S464" s="763"/>
      <c r="T464" s="763"/>
      <c r="U464" s="1009"/>
      <c r="V464" s="763"/>
      <c r="W464" s="806"/>
      <c r="X464" s="763"/>
      <c r="Y464" s="806"/>
      <c r="Z464" s="942"/>
      <c r="AA464" s="763"/>
      <c r="AB464" s="806"/>
      <c r="AC464" s="763"/>
      <c r="AD464" s="806" t="str">
        <f t="shared" ref="AD464:BN464" si="803">AD597</f>
      </c>
      <c r="AE464" s="942" t="str">
        <f t="shared" si="803"/>
      </c>
      <c r="AF464" s="763" t="str">
        <f t="shared" si="803"/>
      </c>
      <c r="AG464" s="806" t="str">
        <f t="shared" si="803"/>
      </c>
      <c r="AH464" s="763">
        <f t="shared" si="803"/>
      </c>
      <c r="AI464" s="806">
        <f t="shared" si="803"/>
      </c>
      <c r="AJ464" s="942" t="str">
        <f t="shared" si="803"/>
      </c>
      <c r="AK464" s="763">
        <f t="shared" si="803"/>
      </c>
      <c r="AL464" s="806">
        <f t="shared" si="803"/>
      </c>
      <c r="AM464" s="763">
        <f t="shared" si="803"/>
      </c>
      <c r="AN464" s="806">
        <f t="shared" si="803"/>
      </c>
      <c r="AO464" s="942" t="str">
        <f t="shared" si="803"/>
      </c>
      <c r="AP464" s="763">
        <f t="shared" si="803"/>
      </c>
      <c r="AQ464" s="806">
        <f t="shared" si="803"/>
      </c>
      <c r="AR464" s="763">
        <f t="shared" si="803"/>
      </c>
      <c r="AS464" s="806">
        <f t="shared" si="803"/>
      </c>
      <c r="AT464" s="942" t="str">
        <f t="shared" si="803"/>
      </c>
      <c r="AU464" s="763">
        <f t="shared" si="803"/>
      </c>
      <c r="AV464" s="806">
        <f t="shared" si="803"/>
      </c>
      <c r="AW464" s="763">
        <f t="shared" si="803"/>
      </c>
      <c r="AX464" s="806">
        <f t="shared" si="803"/>
      </c>
      <c r="AY464" s="942" t="str">
        <f t="shared" si="803"/>
      </c>
      <c r="AZ464" s="763">
        <f t="shared" si="803"/>
      </c>
      <c r="BA464" s="763">
        <f t="shared" si="803"/>
      </c>
      <c r="BB464" s="763">
        <f t="shared" si="803"/>
      </c>
      <c r="BC464" s="806">
        <f t="shared" si="803"/>
      </c>
      <c r="BD464" s="942" t="str">
        <f t="shared" si="803"/>
      </c>
      <c r="BE464" s="763">
        <f t="shared" si="803"/>
      </c>
      <c r="BF464" s="763">
        <f t="shared" si="803"/>
      </c>
      <c r="BG464" s="763">
        <f t="shared" si="803"/>
      </c>
      <c r="BH464" s="806">
        <f t="shared" si="803"/>
      </c>
      <c r="BI464" s="942" t="str">
        <f t="shared" si="803"/>
      </c>
      <c r="BJ464" s="763">
        <f t="shared" si="803"/>
      </c>
      <c r="BK464" s="763">
        <f t="shared" si="803"/>
      </c>
      <c r="BL464" s="763">
        <f t="shared" si="803"/>
      </c>
      <c r="BM464" s="806">
        <f t="shared" si="803"/>
      </c>
      <c r="BN464" s="942" t="str">
        <f t="shared" si="803"/>
      </c>
      <c r="BO464" s="763">
        <f t="shared" ref="BO464" si="804">BO597</f>
      </c>
      <c r="BP464" s="763">
        <f t="shared" ref="BP464:BW464" si="805">BP597</f>
      </c>
      <c r="BQ464" s="763">
        <f t="shared" si="805"/>
      </c>
      <c r="BR464" s="806">
        <f t="shared" si="805"/>
      </c>
      <c r="BS464" s="942">
        <f t="shared" si="805"/>
      </c>
      <c r="BT464" s="807">
        <f>BT597</f>
      </c>
      <c r="BU464" s="780">
        <f t="shared" si="805"/>
      </c>
      <c r="BV464" s="780" t="str">
        <f t="shared" si="805"/>
      </c>
      <c r="BW464" s="780" t="str">
        <f t="shared" si="805"/>
      </c>
      <c r="BX464" s="942">
        <f t="shared" ref="BX464" si="806">BX597</f>
      </c>
      <c r="BY464" s="780" t="str">
        <f t="shared" ref="BY464:CF464" si="807">BY597</f>
      </c>
      <c r="BZ464" s="780" t="str">
        <f t="shared" si="807"/>
      </c>
      <c r="CA464" s="780" t="str">
        <f t="shared" si="807"/>
      </c>
      <c r="CB464" s="780" t="str">
        <f t="shared" si="807"/>
      </c>
      <c r="CC464" s="942" t="str">
        <f t="shared" si="807"/>
      </c>
      <c r="CD464" s="942" t="str">
        <f t="shared" si="807"/>
      </c>
      <c r="CE464" s="942" t="str">
        <f t="shared" si="807"/>
      </c>
      <c r="CF464" s="942" t="str">
        <f t="shared" si="807"/>
      </c>
      <c r="CG464" s="763"/>
    </row>
    <row r="465" spans="1:85" x14ac:dyDescent="0.3">
      <c r="A465" s="429"/>
      <c r="B465" s="428"/>
      <c r="C465" s="969"/>
      <c r="D465" s="969"/>
      <c r="E465" s="969"/>
      <c r="F465" s="969"/>
      <c r="G465" s="759"/>
      <c r="H465" s="759"/>
      <c r="I465" s="759"/>
      <c r="J465" s="759"/>
      <c r="K465" s="969"/>
      <c r="L465" s="759"/>
      <c r="M465" s="759"/>
      <c r="N465" s="759"/>
      <c r="O465" s="759"/>
      <c r="P465" s="969"/>
      <c r="Q465" s="759"/>
      <c r="R465" s="759"/>
      <c r="S465" s="759"/>
      <c r="T465" s="759"/>
      <c r="U465" s="969"/>
      <c r="V465" s="759"/>
      <c r="W465" s="759"/>
      <c r="X465" s="759"/>
      <c r="Y465" s="759"/>
      <c r="Z465" s="969"/>
      <c r="AA465" s="759"/>
      <c r="AB465" s="759"/>
      <c r="AC465" s="759"/>
      <c r="AD465" s="759"/>
      <c r="AE465" s="969"/>
      <c r="AF465" s="759"/>
      <c r="AG465" s="759"/>
      <c r="AH465" s="759"/>
      <c r="AI465" s="759"/>
      <c r="AJ465" s="969"/>
      <c r="AK465" s="759"/>
      <c r="AL465" s="759"/>
      <c r="AM465" s="759"/>
      <c r="AN465" s="759"/>
      <c r="AO465" s="969"/>
      <c r="AP465" s="759"/>
      <c r="AQ465" s="759"/>
      <c r="AR465" s="759"/>
      <c r="AS465" s="759"/>
      <c r="AT465" s="969"/>
      <c r="AU465" s="759"/>
      <c r="AV465" s="759"/>
      <c r="AW465" s="759"/>
      <c r="AX465" s="759"/>
      <c r="AY465" s="969"/>
      <c r="AZ465" s="759"/>
      <c r="BA465" s="759"/>
      <c r="BB465" s="759"/>
      <c r="BC465" s="759"/>
      <c r="BD465" s="969"/>
      <c r="BE465" s="759"/>
      <c r="BF465" s="759"/>
      <c r="BG465" s="759"/>
      <c r="BH465" s="759"/>
      <c r="BI465" s="969"/>
      <c r="BJ465" s="759"/>
      <c r="BK465" s="759"/>
      <c r="BL465" s="759"/>
      <c r="BM465" s="759"/>
      <c r="BN465" s="969"/>
      <c r="BO465" s="759"/>
      <c r="BP465" s="759"/>
      <c r="BQ465" s="759"/>
      <c r="BR465" s="759"/>
      <c r="BS465" s="969"/>
      <c r="BT465" s="760"/>
      <c r="BU465" s="759"/>
      <c r="BV465" s="759"/>
      <c r="BW465" s="759"/>
      <c r="BX465" s="969"/>
      <c r="BY465" s="759"/>
      <c r="BZ465" s="759"/>
      <c r="CA465" s="759"/>
      <c r="CB465" s="759"/>
      <c r="CC465" s="969"/>
      <c r="CD465" s="969"/>
      <c r="CE465" s="969"/>
      <c r="CF465" s="969"/>
      <c r="CG465" s="183"/>
    </row>
    <row r="466" spans="1:85" x14ac:dyDescent="0.3">
      <c r="A466" s="182" t="s">
        <v>456</v>
      </c>
      <c r="B466" s="414"/>
      <c r="C466" s="964">
        <f t="shared" ref="C466:AH466" si="808">C419</f>
      </c>
      <c r="D466" s="964">
        <f t="shared" si="808"/>
      </c>
      <c r="E466" s="964">
        <f t="shared" si="808"/>
      </c>
      <c r="F466" s="964">
        <f t="shared" si="808"/>
      </c>
      <c r="G466" s="459">
        <f t="shared" si="808"/>
      </c>
      <c r="H466" s="459">
        <f t="shared" si="808"/>
      </c>
      <c r="I466" s="459">
        <f t="shared" si="808"/>
      </c>
      <c r="J466" s="459">
        <f t="shared" si="808"/>
      </c>
      <c r="K466" s="964">
        <f t="shared" si="808"/>
      </c>
      <c r="L466" s="459">
        <f t="shared" si="808"/>
      </c>
      <c r="M466" s="459">
        <f t="shared" si="808"/>
      </c>
      <c r="N466" s="459">
        <f t="shared" si="808"/>
      </c>
      <c r="O466" s="459">
        <f t="shared" si="808"/>
      </c>
      <c r="P466" s="964">
        <f t="shared" si="808"/>
      </c>
      <c r="Q466" s="459">
        <f t="shared" si="808"/>
      </c>
      <c r="R466" s="459">
        <f t="shared" si="808"/>
      </c>
      <c r="S466" s="459">
        <f t="shared" si="808"/>
      </c>
      <c r="T466" s="459">
        <f t="shared" si="808"/>
      </c>
      <c r="U466" s="964">
        <f t="shared" si="808"/>
      </c>
      <c r="V466" s="459">
        <f t="shared" si="808"/>
      </c>
      <c r="W466" s="459">
        <f t="shared" si="808"/>
      </c>
      <c r="X466" s="459">
        <f t="shared" si="808"/>
      </c>
      <c r="Y466" s="459">
        <f t="shared" si="808"/>
      </c>
      <c r="Z466" s="964">
        <f t="shared" si="808"/>
      </c>
      <c r="AA466" s="459">
        <f t="shared" si="808"/>
      </c>
      <c r="AB466" s="459">
        <f t="shared" si="808"/>
      </c>
      <c r="AC466" s="459">
        <f t="shared" si="808"/>
      </c>
      <c r="AD466" s="459">
        <f t="shared" si="808"/>
      </c>
      <c r="AE466" s="964">
        <f t="shared" si="808"/>
      </c>
      <c r="AF466" s="459">
        <f t="shared" si="808"/>
      </c>
      <c r="AG466" s="459">
        <f t="shared" si="808"/>
      </c>
      <c r="AH466" s="459">
        <f t="shared" si="808"/>
      </c>
      <c r="AI466" s="459">
        <f t="shared" ref="AI466:BE466" si="809">AI419</f>
      </c>
      <c r="AJ466" s="964">
        <f t="shared" si="809"/>
      </c>
      <c r="AK466" s="459">
        <f t="shared" si="809"/>
      </c>
      <c r="AL466" s="459">
        <f t="shared" si="809"/>
      </c>
      <c r="AM466" s="459">
        <f t="shared" si="809"/>
      </c>
      <c r="AN466" s="459">
        <f t="shared" si="809"/>
      </c>
      <c r="AO466" s="964">
        <f t="shared" si="809"/>
      </c>
      <c r="AP466" s="459">
        <f t="shared" si="809"/>
      </c>
      <c r="AQ466" s="459">
        <f t="shared" si="809"/>
      </c>
      <c r="AR466" s="459">
        <f t="shared" si="809"/>
      </c>
      <c r="AS466" s="459">
        <f t="shared" si="809"/>
      </c>
      <c r="AT466" s="964">
        <f t="shared" si="809"/>
      </c>
      <c r="AU466" s="459">
        <f t="shared" si="809"/>
      </c>
      <c r="AV466" s="459">
        <f t="shared" si="809"/>
      </c>
      <c r="AW466" s="459">
        <f t="shared" si="809"/>
      </c>
      <c r="AX466" s="459">
        <f t="shared" si="809"/>
      </c>
      <c r="AY466" s="964">
        <f t="shared" si="809"/>
      </c>
      <c r="AZ466" s="459">
        <f t="shared" si="809"/>
      </c>
      <c r="BA466" s="459">
        <f t="shared" si="809"/>
      </c>
      <c r="BB466" s="459">
        <f t="shared" si="809"/>
      </c>
      <c r="BC466" s="459">
        <f t="shared" si="809"/>
      </c>
      <c r="BD466" s="964">
        <f t="shared" si="809"/>
      </c>
      <c r="BE466" s="459">
        <f t="shared" si="809"/>
      </c>
      <c r="BF466" s="459">
        <f t="shared" ref="BF466:BK466" si="810">BF419</f>
      </c>
      <c r="BG466" s="459">
        <f t="shared" si="810"/>
      </c>
      <c r="BH466" s="459">
        <f t="shared" si="810"/>
      </c>
      <c r="BI466" s="964">
        <f t="shared" si="810"/>
      </c>
      <c r="BJ466" s="459">
        <f t="shared" si="810"/>
      </c>
      <c r="BK466" s="459">
        <f t="shared" si="810"/>
      </c>
      <c r="BL466" s="459">
        <f t="shared" ref="BL466:BQ466" si="811">BL419</f>
      </c>
      <c r="BM466" s="459">
        <f t="shared" si="811"/>
      </c>
      <c r="BN466" s="964">
        <f t="shared" si="811"/>
      </c>
      <c r="BO466" s="459">
        <f t="shared" si="811"/>
      </c>
      <c r="BP466" s="459">
        <f t="shared" si="811"/>
      </c>
      <c r="BQ466" s="459">
        <f t="shared" si="811"/>
      </c>
      <c r="BR466" s="459">
        <f>BR419</f>
      </c>
      <c r="BS466" s="964">
        <f>BS419</f>
      </c>
      <c r="BT466" s="795">
        <f>BT419</f>
      </c>
      <c r="BU466" s="757">
        <f>BU462-BU467</f>
      </c>
      <c r="BV466" s="757">
        <f>BV462-BV467</f>
      </c>
      <c r="BW466" s="757">
        <f>BW462-BW467</f>
      </c>
      <c r="BX466" s="962">
        <f>SUM(BT466,BU466,BV466,BW466)</f>
      </c>
      <c r="BY466" s="757">
        <f>BY462-BY467</f>
      </c>
      <c r="BZ466" s="757">
        <f>BZ462-BZ467</f>
      </c>
      <c r="CA466" s="757">
        <f>CA462-CA467</f>
      </c>
      <c r="CB466" s="757">
        <f>CB462-CB467</f>
      </c>
      <c r="CC466" s="962">
        <f>SUM(BY466,BZ466,CA466,CB466)</f>
      </c>
      <c r="CD466" s="962">
        <f>CD462-CD467</f>
      </c>
      <c r="CE466" s="962">
        <f>CE462-CE467</f>
      </c>
      <c r="CF466" s="962">
        <f>CF462-CF467</f>
      </c>
      <c r="CG466" s="459"/>
    </row>
    <row r="467" spans="1:85" x14ac:dyDescent="0.3">
      <c r="A467" s="2" t="s">
        <v>73</v>
      </c>
      <c r="B467" s="422"/>
      <c r="C467" s="986">
        <f t="shared" ref="C467:AH467" si="812">C462-SUM(C466:C466)</f>
      </c>
      <c r="D467" s="986">
        <f t="shared" si="812"/>
      </c>
      <c r="E467" s="986">
        <f t="shared" si="812"/>
      </c>
      <c r="F467" s="986">
        <f t="shared" si="812"/>
      </c>
      <c r="G467" s="792">
        <f t="shared" si="812"/>
      </c>
      <c r="H467" s="792">
        <f t="shared" si="812"/>
      </c>
      <c r="I467" s="792">
        <f t="shared" si="812"/>
      </c>
      <c r="J467" s="792">
        <f t="shared" si="812"/>
      </c>
      <c r="K467" s="986">
        <f t="shared" si="812"/>
      </c>
      <c r="L467" s="792">
        <f t="shared" si="812"/>
      </c>
      <c r="M467" s="792">
        <f t="shared" si="812"/>
      </c>
      <c r="N467" s="792">
        <f t="shared" si="812"/>
      </c>
      <c r="O467" s="792">
        <f t="shared" si="812"/>
      </c>
      <c r="P467" s="986">
        <f t="shared" si="812"/>
      </c>
      <c r="Q467" s="792">
        <f t="shared" si="812"/>
      </c>
      <c r="R467" s="792">
        <f t="shared" si="812"/>
      </c>
      <c r="S467" s="792">
        <f t="shared" si="812"/>
      </c>
      <c r="T467" s="792">
        <f t="shared" si="812"/>
      </c>
      <c r="U467" s="986">
        <f t="shared" si="812"/>
      </c>
      <c r="V467" s="792">
        <f t="shared" si="812"/>
      </c>
      <c r="W467" s="792">
        <f t="shared" si="812"/>
      </c>
      <c r="X467" s="792">
        <f t="shared" si="812"/>
      </c>
      <c r="Y467" s="792">
        <f t="shared" si="812"/>
      </c>
      <c r="Z467" s="986">
        <f t="shared" si="812"/>
      </c>
      <c r="AA467" s="792">
        <f t="shared" si="812"/>
      </c>
      <c r="AB467" s="792">
        <f t="shared" si="812"/>
      </c>
      <c r="AC467" s="792">
        <f t="shared" si="812"/>
      </c>
      <c r="AD467" s="792">
        <f t="shared" si="812"/>
      </c>
      <c r="AE467" s="986">
        <f t="shared" si="812"/>
      </c>
      <c r="AF467" s="792">
        <f t="shared" si="812"/>
      </c>
      <c r="AG467" s="792">
        <f t="shared" si="812"/>
      </c>
      <c r="AH467" s="792">
        <f t="shared" si="812"/>
      </c>
      <c r="AI467" s="792">
        <f t="shared" ref="AI467:AW467" si="813">AI462-SUM(AI466:AI466)</f>
      </c>
      <c r="AJ467" s="986">
        <f t="shared" si="813"/>
      </c>
      <c r="AK467" s="792">
        <f t="shared" si="813"/>
      </c>
      <c r="AL467" s="792">
        <f t="shared" si="813"/>
      </c>
      <c r="AM467" s="792">
        <f t="shared" si="813"/>
      </c>
      <c r="AN467" s="792">
        <f t="shared" si="813"/>
      </c>
      <c r="AO467" s="986">
        <f t="shared" si="813"/>
      </c>
      <c r="AP467" s="792">
        <f t="shared" si="813"/>
      </c>
      <c r="AQ467" s="792">
        <f t="shared" si="813"/>
      </c>
      <c r="AR467" s="792">
        <f t="shared" si="813"/>
      </c>
      <c r="AS467" s="792">
        <f t="shared" si="813"/>
      </c>
      <c r="AT467" s="986">
        <f t="shared" si="813"/>
      </c>
      <c r="AU467" s="792">
        <f t="shared" si="813"/>
      </c>
      <c r="AV467" s="792">
        <f t="shared" si="813"/>
      </c>
      <c r="AW467" s="792">
        <f t="shared" si="813"/>
      </c>
      <c r="AX467" s="792">
        <f t="shared" ref="AX467:BD467" si="814">AX462-SUM(AX466:AX466)</f>
      </c>
      <c r="AY467" s="986">
        <f t="shared" si="814"/>
      </c>
      <c r="AZ467" s="792">
        <f t="shared" si="814"/>
      </c>
      <c r="BA467" s="792">
        <f t="shared" si="814"/>
      </c>
      <c r="BB467" s="792">
        <f t="shared" si="814"/>
      </c>
      <c r="BC467" s="792">
        <f t="shared" si="814"/>
      </c>
      <c r="BD467" s="986">
        <f t="shared" si="814"/>
      </c>
      <c r="BE467" s="792">
        <f t="shared" ref="BE467:BJ467" si="815">BE462-SUM(BE466:BE466)</f>
      </c>
      <c r="BF467" s="792">
        <f t="shared" si="815"/>
      </c>
      <c r="BG467" s="792">
        <f t="shared" si="815"/>
      </c>
      <c r="BH467" s="792">
        <f t="shared" si="815"/>
      </c>
      <c r="BI467" s="986">
        <f t="shared" si="815"/>
      </c>
      <c r="BJ467" s="792">
        <f t="shared" si="815"/>
      </c>
      <c r="BK467" s="792">
        <f t="shared" ref="BK467:BP467" si="816">BK462-SUM(BK466:BK466)</f>
      </c>
      <c r="BL467" s="792">
        <f t="shared" si="816"/>
      </c>
      <c r="BM467" s="792">
        <f t="shared" si="816"/>
      </c>
      <c r="BN467" s="986">
        <f t="shared" si="816"/>
      </c>
      <c r="BO467" s="792">
        <f t="shared" si="816"/>
      </c>
      <c r="BP467" s="792">
        <f t="shared" si="816"/>
      </c>
      <c r="BQ467" s="792">
        <f>BQ462-SUM(BQ466:BQ466)</f>
      </c>
      <c r="BR467" s="792">
        <f>BR462-SUM(BR466:BR466)</f>
      </c>
      <c r="BS467" s="986">
        <f>BS462-SUM(BS466:BS466)</f>
      </c>
      <c r="BT467" s="793">
        <f>BT462-SUM(BT466:BT466)</f>
      </c>
      <c r="BU467" s="791">
        <f>BU217</f>
      </c>
      <c r="BV467" s="791">
        <f>BV217</f>
      </c>
      <c r="BW467" s="791">
        <f>BW217</f>
      </c>
      <c r="BX467" s="965">
        <f>BX462-SUM(BX466:BX466)</f>
      </c>
      <c r="BY467" s="791">
        <f>BY217</f>
      </c>
      <c r="BZ467" s="791">
        <f>BZ217</f>
      </c>
      <c r="CA467" s="791">
        <f>CA217</f>
      </c>
      <c r="CB467" s="791">
        <f>CB217</f>
      </c>
      <c r="CC467" s="965">
        <f>CC462-SUM(CC466:CC466)</f>
      </c>
      <c r="CD467" s="965">
        <f>CD217</f>
      </c>
      <c r="CE467" s="965">
        <f>CE217</f>
      </c>
      <c r="CF467" s="965">
        <f>CF217</f>
      </c>
      <c r="CG467" s="183"/>
    </row>
    <row r="468" spans="1:85" x14ac:dyDescent="0.3">
      <c r="A468" s="429"/>
      <c r="B468" s="428"/>
      <c r="C468" s="969"/>
      <c r="D468" s="969"/>
      <c r="E468" s="969"/>
      <c r="F468" s="969"/>
      <c r="G468" s="759"/>
      <c r="H468" s="759"/>
      <c r="I468" s="759"/>
      <c r="J468" s="759"/>
      <c r="K468" s="969"/>
      <c r="L468" s="759"/>
      <c r="M468" s="759"/>
      <c r="N468" s="759"/>
      <c r="O468" s="759"/>
      <c r="P468" s="969"/>
      <c r="Q468" s="759"/>
      <c r="R468" s="759"/>
      <c r="S468" s="759"/>
      <c r="T468" s="759"/>
      <c r="U468" s="969"/>
      <c r="V468" s="759"/>
      <c r="W468" s="759"/>
      <c r="X468" s="759"/>
      <c r="Y468" s="759"/>
      <c r="Z468" s="969"/>
      <c r="AA468" s="759"/>
      <c r="AB468" s="759"/>
      <c r="AC468" s="759"/>
      <c r="AD468" s="759"/>
      <c r="AE468" s="969"/>
      <c r="AF468" s="759"/>
      <c r="AG468" s="759"/>
      <c r="AH468" s="759"/>
      <c r="AI468" s="759"/>
      <c r="AJ468" s="969"/>
      <c r="AK468" s="759"/>
      <c r="AL468" s="759"/>
      <c r="AM468" s="759"/>
      <c r="AN468" s="759"/>
      <c r="AO468" s="969"/>
      <c r="AP468" s="759"/>
      <c r="AQ468" s="759"/>
      <c r="AR468" s="759"/>
      <c r="AS468" s="759"/>
      <c r="AT468" s="969"/>
      <c r="AU468" s="759"/>
      <c r="AV468" s="759"/>
      <c r="AW468" s="759"/>
      <c r="AX468" s="759"/>
      <c r="AY468" s="969"/>
      <c r="AZ468" s="759"/>
      <c r="BA468" s="759"/>
      <c r="BB468" s="759"/>
      <c r="BC468" s="759"/>
      <c r="BD468" s="969"/>
      <c r="BE468" s="759"/>
      <c r="BF468" s="759"/>
      <c r="BG468" s="759"/>
      <c r="BH468" s="759"/>
      <c r="BI468" s="969"/>
      <c r="BJ468" s="759"/>
      <c r="BK468" s="759"/>
      <c r="BL468" s="759"/>
      <c r="BM468" s="759"/>
      <c r="BN468" s="969"/>
      <c r="BO468" s="759"/>
      <c r="BP468" s="759"/>
      <c r="BQ468" s="759"/>
      <c r="BR468" s="759"/>
      <c r="BS468" s="969"/>
      <c r="BT468" s="760"/>
      <c r="BU468" s="759"/>
      <c r="BV468" s="759"/>
      <c r="BW468" s="759"/>
      <c r="BX468" s="969"/>
      <c r="BY468" s="759"/>
      <c r="BZ468" s="759"/>
      <c r="CA468" s="759"/>
      <c r="CB468" s="759"/>
      <c r="CC468" s="969"/>
      <c r="CD468" s="969"/>
      <c r="CE468" s="969"/>
      <c r="CF468" s="969"/>
      <c r="CG468" s="183"/>
    </row>
    <row r="469" spans="1:85" x14ac:dyDescent="0.3">
      <c r="A469" s="182" t="s">
        <v>74</v>
      </c>
      <c r="B469" s="414"/>
      <c r="C469" s="964">
        <f t="shared" ref="C469:AH469" si="817">C422</f>
      </c>
      <c r="D469" s="964">
        <f t="shared" si="817"/>
      </c>
      <c r="E469" s="964">
        <f t="shared" si="817"/>
      </c>
      <c r="F469" s="964">
        <f t="shared" si="817"/>
      </c>
      <c r="G469" s="459">
        <f t="shared" si="817"/>
      </c>
      <c r="H469" s="459">
        <f t="shared" si="817"/>
      </c>
      <c r="I469" s="459">
        <f t="shared" si="817"/>
      </c>
      <c r="J469" s="459">
        <f t="shared" si="817"/>
      </c>
      <c r="K469" s="964">
        <f t="shared" si="817"/>
      </c>
      <c r="L469" s="459">
        <f t="shared" si="817"/>
      </c>
      <c r="M469" s="459">
        <f t="shared" si="817"/>
      </c>
      <c r="N469" s="459">
        <f t="shared" si="817"/>
      </c>
      <c r="O469" s="459">
        <f t="shared" si="817"/>
      </c>
      <c r="P469" s="964">
        <f t="shared" si="817"/>
      </c>
      <c r="Q469" s="459">
        <f t="shared" si="817"/>
      </c>
      <c r="R469" s="459">
        <f t="shared" si="817"/>
      </c>
      <c r="S469" s="459">
        <f t="shared" si="817"/>
      </c>
      <c r="T469" s="459">
        <f t="shared" si="817"/>
      </c>
      <c r="U469" s="964">
        <f t="shared" si="817"/>
      </c>
      <c r="V469" s="459">
        <f t="shared" si="817"/>
      </c>
      <c r="W469" s="459">
        <f t="shared" si="817"/>
      </c>
      <c r="X469" s="459">
        <f t="shared" si="817"/>
      </c>
      <c r="Y469" s="459">
        <f t="shared" si="817"/>
      </c>
      <c r="Z469" s="964">
        <f t="shared" si="817"/>
      </c>
      <c r="AA469" s="459">
        <f t="shared" si="817"/>
      </c>
      <c r="AB469" s="459">
        <f t="shared" si="817"/>
      </c>
      <c r="AC469" s="459">
        <f t="shared" si="817"/>
      </c>
      <c r="AD469" s="459">
        <f t="shared" si="817"/>
      </c>
      <c r="AE469" s="964">
        <f t="shared" si="817"/>
      </c>
      <c r="AF469" s="459">
        <f t="shared" si="817"/>
      </c>
      <c r="AG469" s="459">
        <f t="shared" si="817"/>
      </c>
      <c r="AH469" s="459">
        <f t="shared" si="817"/>
      </c>
      <c r="AI469" s="459">
        <f t="shared" ref="AI469:BE469" si="818">AI422</f>
      </c>
      <c r="AJ469" s="964">
        <f t="shared" si="818"/>
      </c>
      <c r="AK469" s="459">
        <f t="shared" si="818"/>
      </c>
      <c r="AL469" s="459">
        <f t="shared" si="818"/>
      </c>
      <c r="AM469" s="459">
        <f t="shared" si="818"/>
      </c>
      <c r="AN469" s="459">
        <f t="shared" si="818"/>
      </c>
      <c r="AO469" s="964">
        <f t="shared" si="818"/>
      </c>
      <c r="AP469" s="459">
        <f t="shared" si="818"/>
      </c>
      <c r="AQ469" s="459">
        <f t="shared" si="818"/>
      </c>
      <c r="AR469" s="459">
        <f t="shared" si="818"/>
      </c>
      <c r="AS469" s="459">
        <f t="shared" si="818"/>
      </c>
      <c r="AT469" s="964">
        <f t="shared" si="818"/>
      </c>
      <c r="AU469" s="459">
        <f t="shared" si="818"/>
      </c>
      <c r="AV469" s="459">
        <f t="shared" si="818"/>
      </c>
      <c r="AW469" s="459">
        <f t="shared" si="818"/>
      </c>
      <c r="AX469" s="459">
        <f t="shared" si="818"/>
      </c>
      <c r="AY469" s="964">
        <f t="shared" si="818"/>
      </c>
      <c r="AZ469" s="459">
        <f t="shared" si="818"/>
      </c>
      <c r="BA469" s="459">
        <f t="shared" si="818"/>
      </c>
      <c r="BB469" s="459">
        <f t="shared" si="818"/>
      </c>
      <c r="BC469" s="459">
        <f t="shared" si="818"/>
      </c>
      <c r="BD469" s="964">
        <f t="shared" si="818"/>
      </c>
      <c r="BE469" s="459">
        <f t="shared" si="818"/>
      </c>
      <c r="BF469" s="459">
        <f t="shared" ref="BF469:BK469" si="819">BF422</f>
      </c>
      <c r="BG469" s="459">
        <f t="shared" si="819"/>
      </c>
      <c r="BH469" s="459">
        <f t="shared" si="819"/>
      </c>
      <c r="BI469" s="964">
        <f t="shared" si="819"/>
      </c>
      <c r="BJ469" s="459">
        <f t="shared" si="819"/>
      </c>
      <c r="BK469" s="459">
        <f t="shared" si="819"/>
      </c>
      <c r="BL469" s="459">
        <f t="shared" ref="BL469:BQ469" si="820">BL422</f>
      </c>
      <c r="BM469" s="459">
        <f t="shared" si="820"/>
      </c>
      <c r="BN469" s="964">
        <f t="shared" si="820"/>
      </c>
      <c r="BO469" s="459">
        <f t="shared" si="820"/>
      </c>
      <c r="BP469" s="459">
        <f t="shared" si="820"/>
      </c>
      <c r="BQ469" s="459">
        <f t="shared" si="820"/>
      </c>
      <c r="BR469" s="459">
        <f>BR422</f>
      </c>
      <c r="BS469" s="964">
        <f>BS422</f>
      </c>
      <c r="BT469" s="795">
        <f>BT422</f>
      </c>
      <c r="BU469" s="757">
        <f>BU223</f>
      </c>
      <c r="BV469" s="757">
        <f>BV223</f>
      </c>
      <c r="BW469" s="757">
        <f>BW223</f>
      </c>
      <c r="BX469" s="962">
        <f>SUM(BT469,BU469,BV469,BW469)</f>
      </c>
      <c r="BY469" s="757">
        <f>BY223</f>
      </c>
      <c r="BZ469" s="757">
        <f>BZ223</f>
      </c>
      <c r="CA469" s="757">
        <f>CA223</f>
      </c>
      <c r="CB469" s="757">
        <f>CB223</f>
      </c>
      <c r="CC469" s="962">
        <f>SUM(BY469,BZ469,CA469,CB469)</f>
      </c>
      <c r="CD469" s="962">
        <f>CD223</f>
      </c>
      <c r="CE469" s="962">
        <f>CE223</f>
      </c>
      <c r="CF469" s="962">
        <f>CF223</f>
      </c>
      <c r="CG469" s="459"/>
    </row>
    <row r="470" spans="1:85" x14ac:dyDescent="0.3">
      <c r="A470" s="182" t="s">
        <v>75</v>
      </c>
      <c r="B470" s="414"/>
      <c r="C470" s="964">
        <f t="shared" ref="C470:AH470" si="821">C421</f>
      </c>
      <c r="D470" s="964">
        <f t="shared" si="821"/>
      </c>
      <c r="E470" s="964">
        <f t="shared" si="821"/>
      </c>
      <c r="F470" s="964">
        <f t="shared" si="821"/>
      </c>
      <c r="G470" s="459">
        <f t="shared" si="821"/>
      </c>
      <c r="H470" s="459">
        <f t="shared" si="821"/>
      </c>
      <c r="I470" s="459">
        <f t="shared" si="821"/>
      </c>
      <c r="J470" s="459">
        <f t="shared" si="821"/>
      </c>
      <c r="K470" s="964">
        <f t="shared" si="821"/>
      </c>
      <c r="L470" s="459">
        <f t="shared" si="821"/>
      </c>
      <c r="M470" s="459">
        <f t="shared" si="821"/>
      </c>
      <c r="N470" s="459">
        <f t="shared" si="821"/>
      </c>
      <c r="O470" s="459">
        <f t="shared" si="821"/>
      </c>
      <c r="P470" s="964">
        <f t="shared" si="821"/>
      </c>
      <c r="Q470" s="459">
        <f t="shared" si="821"/>
      </c>
      <c r="R470" s="459">
        <f t="shared" si="821"/>
      </c>
      <c r="S470" s="459">
        <f t="shared" si="821"/>
      </c>
      <c r="T470" s="459">
        <f t="shared" si="821"/>
      </c>
      <c r="U470" s="964">
        <f t="shared" si="821"/>
      </c>
      <c r="V470" s="459">
        <f t="shared" si="821"/>
      </c>
      <c r="W470" s="459">
        <f t="shared" si="821"/>
      </c>
      <c r="X470" s="459">
        <f t="shared" si="821"/>
      </c>
      <c r="Y470" s="459">
        <f t="shared" si="821"/>
      </c>
      <c r="Z470" s="964">
        <f t="shared" si="821"/>
      </c>
      <c r="AA470" s="459">
        <f t="shared" si="821"/>
      </c>
      <c r="AB470" s="459">
        <f t="shared" si="821"/>
      </c>
      <c r="AC470" s="459">
        <f t="shared" si="821"/>
      </c>
      <c r="AD470" s="459">
        <f t="shared" si="821"/>
      </c>
      <c r="AE470" s="964">
        <f t="shared" si="821"/>
      </c>
      <c r="AF470" s="459">
        <f t="shared" si="821"/>
      </c>
      <c r="AG470" s="459">
        <f t="shared" si="821"/>
      </c>
      <c r="AH470" s="459">
        <f t="shared" si="821"/>
      </c>
      <c r="AI470" s="459">
        <f t="shared" ref="AI470:BE470" si="822">AI421</f>
      </c>
      <c r="AJ470" s="964">
        <f t="shared" si="822"/>
      </c>
      <c r="AK470" s="459">
        <f t="shared" si="822"/>
      </c>
      <c r="AL470" s="459">
        <f t="shared" si="822"/>
      </c>
      <c r="AM470" s="459">
        <f t="shared" si="822"/>
      </c>
      <c r="AN470" s="459">
        <f t="shared" si="822"/>
      </c>
      <c r="AO470" s="964">
        <f t="shared" si="822"/>
      </c>
      <c r="AP470" s="459">
        <f t="shared" si="822"/>
      </c>
      <c r="AQ470" s="459">
        <f t="shared" si="822"/>
      </c>
      <c r="AR470" s="459">
        <f t="shared" si="822"/>
      </c>
      <c r="AS470" s="459">
        <f t="shared" si="822"/>
      </c>
      <c r="AT470" s="964">
        <f t="shared" si="822"/>
      </c>
      <c r="AU470" s="459">
        <f t="shared" si="822"/>
      </c>
      <c r="AV470" s="459">
        <f t="shared" si="822"/>
      </c>
      <c r="AW470" s="459">
        <f t="shared" si="822"/>
      </c>
      <c r="AX470" s="459">
        <f t="shared" si="822"/>
      </c>
      <c r="AY470" s="964">
        <f t="shared" si="822"/>
      </c>
      <c r="AZ470" s="459">
        <f t="shared" si="822"/>
      </c>
      <c r="BA470" s="459">
        <f t="shared" si="822"/>
      </c>
      <c r="BB470" s="459">
        <f t="shared" si="822"/>
      </c>
      <c r="BC470" s="459">
        <f t="shared" si="822"/>
      </c>
      <c r="BD470" s="964">
        <f t="shared" si="822"/>
      </c>
      <c r="BE470" s="459">
        <f t="shared" si="822"/>
      </c>
      <c r="BF470" s="459">
        <f t="shared" ref="BF470:BK470" si="823">BF421</f>
      </c>
      <c r="BG470" s="459">
        <f t="shared" si="823"/>
      </c>
      <c r="BH470" s="459">
        <f t="shared" si="823"/>
      </c>
      <c r="BI470" s="964">
        <f t="shared" si="823"/>
      </c>
      <c r="BJ470" s="459">
        <f t="shared" si="823"/>
      </c>
      <c r="BK470" s="459">
        <f t="shared" si="823"/>
      </c>
      <c r="BL470" s="459">
        <f t="shared" ref="BL470:BQ470" si="824">BL421</f>
      </c>
      <c r="BM470" s="459">
        <f t="shared" si="824"/>
      </c>
      <c r="BN470" s="964">
        <f t="shared" si="824"/>
      </c>
      <c r="BO470" s="459">
        <f t="shared" si="824"/>
      </c>
      <c r="BP470" s="459">
        <f t="shared" si="824"/>
      </c>
      <c r="BQ470" s="459">
        <f t="shared" si="824"/>
      </c>
      <c r="BR470" s="459">
        <f>BR421</f>
      </c>
      <c r="BS470" s="964">
        <f>BS421</f>
      </c>
      <c r="BT470" s="795">
        <f>BT421</f>
      </c>
      <c r="BU470" s="757">
        <f>BU228</f>
      </c>
      <c r="BV470" s="757">
        <f>BV228</f>
      </c>
      <c r="BW470" s="757">
        <f>BW228</f>
      </c>
      <c r="BX470" s="962">
        <f>SUM(BT470,BU470,BV470,BW470)</f>
      </c>
      <c r="BY470" s="757">
        <f>BY228</f>
      </c>
      <c r="BZ470" s="757">
        <f>BZ228</f>
      </c>
      <c r="CA470" s="757">
        <f>CA228</f>
      </c>
      <c r="CB470" s="757">
        <f>CB228</f>
      </c>
      <c r="CC470" s="962">
        <f>SUM(BY470,BZ470,CA470,CB470)</f>
      </c>
      <c r="CD470" s="962">
        <f>CD228</f>
      </c>
      <c r="CE470" s="962">
        <f>CE228</f>
      </c>
      <c r="CF470" s="962">
        <f>CF228</f>
      </c>
      <c r="CG470" s="459"/>
    </row>
    <row r="471" spans="1:85" x14ac:dyDescent="0.3">
      <c r="A471" s="30" t="s">
        <v>76</v>
      </c>
      <c r="B471" s="416"/>
      <c r="C471" s="1005">
        <f t="shared" ref="C471:AH471" si="825">C423</f>
      </c>
      <c r="D471" s="1005">
        <f t="shared" si="825"/>
      </c>
      <c r="E471" s="1005">
        <f t="shared" si="825"/>
      </c>
      <c r="F471" s="1005">
        <f t="shared" si="825"/>
      </c>
      <c r="G471" s="800">
        <f t="shared" si="825"/>
      </c>
      <c r="H471" s="800">
        <f t="shared" si="825"/>
      </c>
      <c r="I471" s="800">
        <f t="shared" si="825"/>
      </c>
      <c r="J471" s="800">
        <f t="shared" si="825"/>
      </c>
      <c r="K471" s="1005">
        <f t="shared" si="825"/>
      </c>
      <c r="L471" s="800">
        <f t="shared" si="825"/>
      </c>
      <c r="M471" s="800">
        <f t="shared" si="825"/>
      </c>
      <c r="N471" s="800">
        <f t="shared" si="825"/>
      </c>
      <c r="O471" s="800">
        <f t="shared" si="825"/>
      </c>
      <c r="P471" s="1005">
        <f t="shared" si="825"/>
      </c>
      <c r="Q471" s="800">
        <f t="shared" si="825"/>
      </c>
      <c r="R471" s="800">
        <f t="shared" si="825"/>
      </c>
      <c r="S471" s="800">
        <f t="shared" si="825"/>
      </c>
      <c r="T471" s="800">
        <f t="shared" si="825"/>
      </c>
      <c r="U471" s="1005">
        <f t="shared" si="825"/>
      </c>
      <c r="V471" s="800">
        <f t="shared" si="825"/>
      </c>
      <c r="W471" s="800">
        <f t="shared" si="825"/>
      </c>
      <c r="X471" s="800">
        <f t="shared" si="825"/>
      </c>
      <c r="Y471" s="800">
        <f t="shared" si="825"/>
      </c>
      <c r="Z471" s="1005">
        <f t="shared" si="825"/>
      </c>
      <c r="AA471" s="800">
        <f t="shared" si="825"/>
      </c>
      <c r="AB471" s="800">
        <f t="shared" si="825"/>
      </c>
      <c r="AC471" s="800">
        <f t="shared" si="825"/>
      </c>
      <c r="AD471" s="800">
        <f t="shared" si="825"/>
      </c>
      <c r="AE471" s="1005">
        <f t="shared" si="825"/>
      </c>
      <c r="AF471" s="800">
        <f t="shared" si="825"/>
      </c>
      <c r="AG471" s="800">
        <f t="shared" si="825"/>
      </c>
      <c r="AH471" s="800">
        <f t="shared" si="825"/>
      </c>
      <c r="AI471" s="800">
        <f t="shared" ref="AI471:BE471" si="826">AI423</f>
      </c>
      <c r="AJ471" s="1005">
        <f t="shared" si="826"/>
      </c>
      <c r="AK471" s="800">
        <f t="shared" si="826"/>
      </c>
      <c r="AL471" s="800">
        <f t="shared" si="826"/>
      </c>
      <c r="AM471" s="800">
        <f t="shared" si="826"/>
      </c>
      <c r="AN471" s="800">
        <f t="shared" si="826"/>
      </c>
      <c r="AO471" s="1005">
        <f t="shared" si="826"/>
      </c>
      <c r="AP471" s="800">
        <f t="shared" si="826"/>
      </c>
      <c r="AQ471" s="800">
        <f t="shared" si="826"/>
      </c>
      <c r="AR471" s="800">
        <f t="shared" si="826"/>
      </c>
      <c r="AS471" s="800">
        <f t="shared" si="826"/>
      </c>
      <c r="AT471" s="1005">
        <f t="shared" si="826"/>
      </c>
      <c r="AU471" s="800">
        <f t="shared" si="826"/>
      </c>
      <c r="AV471" s="800">
        <f t="shared" si="826"/>
      </c>
      <c r="AW471" s="800">
        <f t="shared" si="826"/>
      </c>
      <c r="AX471" s="800">
        <f t="shared" si="826"/>
      </c>
      <c r="AY471" s="1005">
        <f t="shared" si="826"/>
      </c>
      <c r="AZ471" s="800">
        <f t="shared" si="826"/>
      </c>
      <c r="BA471" s="800">
        <f t="shared" si="826"/>
      </c>
      <c r="BB471" s="800">
        <f t="shared" si="826"/>
      </c>
      <c r="BC471" s="800">
        <f t="shared" si="826"/>
      </c>
      <c r="BD471" s="1005">
        <f t="shared" si="826"/>
      </c>
      <c r="BE471" s="800">
        <f t="shared" si="826"/>
      </c>
      <c r="BF471" s="800">
        <f t="shared" ref="BF471:BK471" si="827">BF423</f>
      </c>
      <c r="BG471" s="800">
        <f t="shared" si="827"/>
      </c>
      <c r="BH471" s="800">
        <f t="shared" si="827"/>
      </c>
      <c r="BI471" s="1005">
        <f t="shared" si="827"/>
      </c>
      <c r="BJ471" s="800">
        <f t="shared" si="827"/>
      </c>
      <c r="BK471" s="800">
        <f t="shared" si="827"/>
      </c>
      <c r="BL471" s="800">
        <f t="shared" ref="BL471:BQ471" si="828">BL423</f>
      </c>
      <c r="BM471" s="800">
        <f t="shared" si="828"/>
      </c>
      <c r="BN471" s="1005">
        <f t="shared" si="828"/>
      </c>
      <c r="BO471" s="800">
        <f t="shared" si="828"/>
      </c>
      <c r="BP471" s="800">
        <f t="shared" si="828"/>
      </c>
      <c r="BQ471" s="800">
        <f t="shared" si="828"/>
      </c>
      <c r="BR471" s="800">
        <f>BR423</f>
      </c>
      <c r="BS471" s="1005">
        <f>BS423</f>
      </c>
      <c r="BT471" s="808">
        <f>BT423</f>
      </c>
      <c r="BU471" s="761">
        <f>BU233</f>
      </c>
      <c r="BV471" s="761">
        <f>BV233</f>
      </c>
      <c r="BW471" s="761">
        <f>BW233</f>
      </c>
      <c r="BX471" s="984">
        <f>SUM(BT471,BU471,BV471,BW471)</f>
      </c>
      <c r="BY471" s="761">
        <f>BY233</f>
      </c>
      <c r="BZ471" s="761">
        <f>BZ233</f>
      </c>
      <c r="CA471" s="761">
        <f>CA233</f>
      </c>
      <c r="CB471" s="761">
        <f>CB233</f>
      </c>
      <c r="CC471" s="984">
        <f>SUM(BY471,BZ471,CA471,CB471)</f>
      </c>
      <c r="CD471" s="984">
        <f>CD233</f>
      </c>
      <c r="CE471" s="984">
        <f>CE233</f>
      </c>
      <c r="CF471" s="984">
        <f>CF233</f>
      </c>
      <c r="CG471" s="459"/>
    </row>
    <row r="472" spans="1:85" x14ac:dyDescent="0.3">
      <c r="A472" s="2" t="s">
        <v>78</v>
      </c>
      <c r="B472" s="422"/>
      <c r="C472" s="986">
        <f t="shared" ref="C472:AH472" si="829">C467-SUM(C469:C471)</f>
      </c>
      <c r="D472" s="986">
        <f t="shared" si="829"/>
      </c>
      <c r="E472" s="986">
        <f t="shared" si="829"/>
      </c>
      <c r="F472" s="986">
        <f t="shared" si="829"/>
      </c>
      <c r="G472" s="792">
        <f t="shared" si="829"/>
      </c>
      <c r="H472" s="792">
        <f t="shared" si="829"/>
      </c>
      <c r="I472" s="792">
        <f t="shared" si="829"/>
      </c>
      <c r="J472" s="792">
        <f t="shared" si="829"/>
      </c>
      <c r="K472" s="986">
        <f t="shared" si="829"/>
      </c>
      <c r="L472" s="792">
        <f t="shared" si="829"/>
      </c>
      <c r="M472" s="792">
        <f t="shared" si="829"/>
      </c>
      <c r="N472" s="792">
        <f t="shared" si="829"/>
      </c>
      <c r="O472" s="792">
        <f t="shared" si="829"/>
      </c>
      <c r="P472" s="986">
        <f t="shared" si="829"/>
      </c>
      <c r="Q472" s="792">
        <f t="shared" si="829"/>
      </c>
      <c r="R472" s="792">
        <f t="shared" si="829"/>
      </c>
      <c r="S472" s="792">
        <f t="shared" si="829"/>
      </c>
      <c r="T472" s="792">
        <f t="shared" si="829"/>
      </c>
      <c r="U472" s="986">
        <f t="shared" si="829"/>
      </c>
      <c r="V472" s="792">
        <f t="shared" si="829"/>
      </c>
      <c r="W472" s="792">
        <f t="shared" si="829"/>
      </c>
      <c r="X472" s="792">
        <f t="shared" si="829"/>
      </c>
      <c r="Y472" s="792">
        <f t="shared" si="829"/>
      </c>
      <c r="Z472" s="986">
        <f t="shared" si="829"/>
      </c>
      <c r="AA472" s="792">
        <f t="shared" si="829"/>
      </c>
      <c r="AB472" s="792">
        <f t="shared" si="829"/>
      </c>
      <c r="AC472" s="792">
        <f t="shared" si="829"/>
      </c>
      <c r="AD472" s="792">
        <f t="shared" si="829"/>
      </c>
      <c r="AE472" s="986">
        <f t="shared" si="829"/>
      </c>
      <c r="AF472" s="792">
        <f t="shared" si="829"/>
      </c>
      <c r="AG472" s="792">
        <f t="shared" si="829"/>
      </c>
      <c r="AH472" s="792">
        <f t="shared" si="829"/>
      </c>
      <c r="AI472" s="792">
        <f t="shared" ref="AI472:AW472" si="830">AI467-SUM(AI469:AI471)</f>
      </c>
      <c r="AJ472" s="986">
        <f t="shared" si="830"/>
      </c>
      <c r="AK472" s="792">
        <f t="shared" si="830"/>
      </c>
      <c r="AL472" s="792">
        <f t="shared" si="830"/>
      </c>
      <c r="AM472" s="792">
        <f t="shared" si="830"/>
      </c>
      <c r="AN472" s="792">
        <f t="shared" si="830"/>
      </c>
      <c r="AO472" s="986">
        <f t="shared" si="830"/>
      </c>
      <c r="AP472" s="792">
        <f t="shared" si="830"/>
      </c>
      <c r="AQ472" s="792">
        <f t="shared" si="830"/>
      </c>
      <c r="AR472" s="792">
        <f t="shared" si="830"/>
      </c>
      <c r="AS472" s="792">
        <f t="shared" si="830"/>
      </c>
      <c r="AT472" s="986">
        <f t="shared" si="830"/>
      </c>
      <c r="AU472" s="792">
        <f t="shared" si="830"/>
      </c>
      <c r="AV472" s="792">
        <f t="shared" si="830"/>
      </c>
      <c r="AW472" s="792">
        <f t="shared" si="830"/>
      </c>
      <c r="AX472" s="792">
        <f t="shared" ref="AX472:BD472" si="831">AX467-SUM(AX469:AX471)</f>
      </c>
      <c r="AY472" s="986">
        <f t="shared" si="831"/>
      </c>
      <c r="AZ472" s="792">
        <f t="shared" si="831"/>
      </c>
      <c r="BA472" s="792">
        <f t="shared" si="831"/>
      </c>
      <c r="BB472" s="792">
        <f t="shared" si="831"/>
      </c>
      <c r="BC472" s="792">
        <f t="shared" si="831"/>
      </c>
      <c r="BD472" s="986">
        <f t="shared" si="831"/>
      </c>
      <c r="BE472" s="792">
        <f t="shared" ref="BE472:BI472" si="832">BE467-SUM(BE469:BE471)</f>
      </c>
      <c r="BF472" s="792">
        <f t="shared" si="832"/>
      </c>
      <c r="BG472" s="792">
        <f t="shared" si="832"/>
      </c>
      <c r="BH472" s="792">
        <f t="shared" si="832"/>
      </c>
      <c r="BI472" s="986">
        <f t="shared" si="832"/>
      </c>
      <c r="BJ472" s="792">
        <f t="shared" ref="BJ472:BX472" si="833">BJ467-SUM(BJ469:BJ471)</f>
      </c>
      <c r="BK472" s="792">
        <f t="shared" si="833"/>
      </c>
      <c r="BL472" s="792">
        <f t="shared" si="833"/>
      </c>
      <c r="BM472" s="792">
        <f t="shared" si="833"/>
      </c>
      <c r="BN472" s="986">
        <f t="shared" si="833"/>
      </c>
      <c r="BO472" s="792">
        <f t="shared" ref="BO472:BW472" si="834">BO467-SUM(BO469:BO471)</f>
      </c>
      <c r="BP472" s="792">
        <f t="shared" si="834"/>
      </c>
      <c r="BQ472" s="792">
        <f t="shared" si="834"/>
      </c>
      <c r="BR472" s="792">
        <f t="shared" si="834"/>
      </c>
      <c r="BS472" s="986">
        <f t="shared" si="834"/>
      </c>
      <c r="BT472" s="793">
        <f>BT467-SUM(BT469:BT471)</f>
      </c>
      <c r="BU472" s="791">
        <f t="shared" si="834"/>
      </c>
      <c r="BV472" s="791">
        <f t="shared" si="834"/>
      </c>
      <c r="BW472" s="791">
        <f t="shared" si="834"/>
      </c>
      <c r="BX472" s="965">
        <f t="shared" si="833"/>
      </c>
      <c r="BY472" s="791">
        <f t="shared" ref="BY472:CF472" si="835">BY467-SUM(BY469:BY471)</f>
      </c>
      <c r="BZ472" s="791">
        <f t="shared" si="835"/>
      </c>
      <c r="CA472" s="791">
        <f t="shared" si="835"/>
      </c>
      <c r="CB472" s="791">
        <f t="shared" si="835"/>
      </c>
      <c r="CC472" s="965">
        <f t="shared" si="835"/>
      </c>
      <c r="CD472" s="965">
        <f t="shared" si="835"/>
      </c>
      <c r="CE472" s="965">
        <f t="shared" si="835"/>
      </c>
      <c r="CF472" s="965">
        <f t="shared" si="835"/>
      </c>
      <c r="CG472" s="183"/>
    </row>
    <row r="473" spans="1:85" x14ac:dyDescent="0.3">
      <c r="A473" s="769" t="str">
        <f>CONCATENATE("Guidance - ",IFERROR(LEFT(A472,FIND("(",A472)-1),A472))</f>
      </c>
      <c r="B473" s="770"/>
      <c r="C473" s="1009"/>
      <c r="D473" s="1009"/>
      <c r="E473" s="1009"/>
      <c r="F473" s="1009"/>
      <c r="G473" s="763"/>
      <c r="H473" s="763"/>
      <c r="I473" s="763"/>
      <c r="J473" s="763"/>
      <c r="K473" s="1009"/>
      <c r="L473" s="763"/>
      <c r="M473" s="763"/>
      <c r="N473" s="763"/>
      <c r="O473" s="763"/>
      <c r="P473" s="1009"/>
      <c r="Q473" s="763"/>
      <c r="R473" s="763"/>
      <c r="S473" s="763"/>
      <c r="T473" s="763"/>
      <c r="U473" s="1009"/>
      <c r="V473" s="763"/>
      <c r="W473" s="806"/>
      <c r="X473" s="763"/>
      <c r="Y473" s="806"/>
      <c r="Z473" s="942"/>
      <c r="AA473" s="763"/>
      <c r="AB473" s="806"/>
      <c r="AC473" s="763"/>
      <c r="AD473" s="806" t="str">
        <f t="shared" ref="AD473:BN473" si="836">AD651</f>
      </c>
      <c r="AE473" s="942" t="str">
        <f t="shared" si="836"/>
      </c>
      <c r="AF473" s="763" t="str">
        <f t="shared" si="836"/>
      </c>
      <c r="AG473" s="806" t="str">
        <f t="shared" si="836"/>
      </c>
      <c r="AH473" s="763" t="str">
        <f t="shared" si="836"/>
      </c>
      <c r="AI473" s="806" t="str">
        <f t="shared" si="836"/>
      </c>
      <c r="AJ473" s="942" t="str">
        <f t="shared" si="836"/>
      </c>
      <c r="AK473" s="763">
        <f t="shared" si="836"/>
      </c>
      <c r="AL473" s="806">
        <f t="shared" si="836"/>
      </c>
      <c r="AM473" s="763">
        <f t="shared" si="836"/>
      </c>
      <c r="AN473" s="806">
        <f t="shared" si="836"/>
      </c>
      <c r="AO473" s="942" t="str">
        <f t="shared" si="836"/>
      </c>
      <c r="AP473" s="763">
        <f t="shared" si="836"/>
      </c>
      <c r="AQ473" s="806">
        <f t="shared" si="836"/>
      </c>
      <c r="AR473" s="763">
        <f t="shared" si="836"/>
      </c>
      <c r="AS473" s="806">
        <f t="shared" si="836"/>
      </c>
      <c r="AT473" s="942" t="str">
        <f t="shared" si="836"/>
      </c>
      <c r="AU473" s="763">
        <f t="shared" si="836"/>
      </c>
      <c r="AV473" s="806">
        <f t="shared" si="836"/>
      </c>
      <c r="AW473" s="763">
        <f t="shared" si="836"/>
      </c>
      <c r="AX473" s="806">
        <f t="shared" si="836"/>
      </c>
      <c r="AY473" s="942" t="str">
        <f t="shared" si="836"/>
      </c>
      <c r="AZ473" s="763">
        <f t="shared" si="836"/>
      </c>
      <c r="BA473" s="763">
        <f t="shared" si="836"/>
      </c>
      <c r="BB473" s="763">
        <f t="shared" si="836"/>
      </c>
      <c r="BC473" s="806">
        <f t="shared" si="836"/>
      </c>
      <c r="BD473" s="942" t="str">
        <f t="shared" si="836"/>
      </c>
      <c r="BE473" s="763">
        <f t="shared" si="836"/>
      </c>
      <c r="BF473" s="763">
        <f t="shared" si="836"/>
      </c>
      <c r="BG473" s="763">
        <f t="shared" si="836"/>
      </c>
      <c r="BH473" s="806">
        <f t="shared" si="836"/>
      </c>
      <c r="BI473" s="942" t="str">
        <f t="shared" si="836"/>
      </c>
      <c r="BJ473" s="763">
        <f t="shared" si="836"/>
      </c>
      <c r="BK473" s="763">
        <f t="shared" si="836"/>
      </c>
      <c r="BL473" s="763">
        <f t="shared" si="836"/>
      </c>
      <c r="BM473" s="806">
        <f t="shared" si="836"/>
      </c>
      <c r="BN473" s="942" t="str">
        <f t="shared" si="836"/>
      </c>
      <c r="BO473" s="763">
        <f t="shared" ref="BO473" si="837">BO651</f>
      </c>
      <c r="BP473" s="763">
        <f t="shared" ref="BP473:BW473" si="838">BP651</f>
      </c>
      <c r="BQ473" s="763">
        <f t="shared" si="838"/>
      </c>
      <c r="BR473" s="806">
        <f t="shared" si="838"/>
      </c>
      <c r="BS473" s="942" t="str">
        <f t="shared" si="838"/>
      </c>
      <c r="BT473" s="807">
        <f>BT651</f>
      </c>
      <c r="BU473" s="780">
        <f t="shared" si="838"/>
      </c>
      <c r="BV473" s="780" t="str">
        <f t="shared" si="838"/>
      </c>
      <c r="BW473" s="780" t="str">
        <f t="shared" si="838"/>
      </c>
      <c r="BX473" s="942" t="str">
        <f t="shared" ref="BX473" si="839">BX651</f>
      </c>
      <c r="BY473" s="780" t="str">
        <f t="shared" ref="BY473:CF473" si="840">BY651</f>
      </c>
      <c r="BZ473" s="780" t="str">
        <f t="shared" si="840"/>
      </c>
      <c r="CA473" s="780" t="str">
        <f t="shared" si="840"/>
      </c>
      <c r="CB473" s="780" t="str">
        <f t="shared" si="840"/>
      </c>
      <c r="CC473" s="942" t="str">
        <f t="shared" si="840"/>
      </c>
      <c r="CD473" s="942" t="str">
        <f t="shared" si="840"/>
      </c>
      <c r="CE473" s="942" t="str">
        <f t="shared" si="840"/>
      </c>
      <c r="CF473" s="942" t="str">
        <f t="shared" si="840"/>
      </c>
      <c r="CG473" s="763"/>
    </row>
    <row r="474" spans="1:85" x14ac:dyDescent="0.3">
      <c r="A474" s="4" t="str">
        <f>CONCATENATE("Adjusted ",A472,IF(AND(ROUND(SUM(C472:CG472)-SUM(C474:CG474),6)=0)," (No Adjustments)",""))</f>
      </c>
      <c r="B474" s="428"/>
      <c r="C474" s="985">
        <f t="shared" ref="C474:AH474" si="841">C472</f>
      </c>
      <c r="D474" s="985">
        <f t="shared" si="841"/>
      </c>
      <c r="E474" s="985">
        <f t="shared" si="841"/>
      </c>
      <c r="F474" s="985">
        <f t="shared" si="841"/>
      </c>
      <c r="G474" s="183">
        <f t="shared" si="841"/>
      </c>
      <c r="H474" s="183">
        <f t="shared" si="841"/>
      </c>
      <c r="I474" s="183">
        <f t="shared" si="841"/>
      </c>
      <c r="J474" s="183">
        <f t="shared" si="841"/>
      </c>
      <c r="K474" s="985">
        <f t="shared" si="841"/>
      </c>
      <c r="L474" s="183">
        <f t="shared" si="841"/>
      </c>
      <c r="M474" s="183">
        <f t="shared" si="841"/>
      </c>
      <c r="N474" s="183">
        <f t="shared" si="841"/>
      </c>
      <c r="O474" s="183">
        <f t="shared" si="841"/>
      </c>
      <c r="P474" s="985">
        <f t="shared" si="841"/>
      </c>
      <c r="Q474" s="183">
        <f t="shared" si="841"/>
      </c>
      <c r="R474" s="183">
        <f t="shared" si="841"/>
      </c>
      <c r="S474" s="183">
        <f t="shared" si="841"/>
      </c>
      <c r="T474" s="183">
        <f t="shared" si="841"/>
      </c>
      <c r="U474" s="985">
        <f t="shared" si="841"/>
      </c>
      <c r="V474" s="183">
        <f t="shared" si="841"/>
      </c>
      <c r="W474" s="183">
        <f t="shared" si="841"/>
      </c>
      <c r="X474" s="183">
        <f t="shared" si="841"/>
      </c>
      <c r="Y474" s="183">
        <f t="shared" si="841"/>
      </c>
      <c r="Z474" s="985">
        <f t="shared" si="841"/>
      </c>
      <c r="AA474" s="183">
        <f t="shared" si="841"/>
      </c>
      <c r="AB474" s="183">
        <f t="shared" si="841"/>
      </c>
      <c r="AC474" s="183">
        <f t="shared" si="841"/>
      </c>
      <c r="AD474" s="183">
        <f t="shared" si="841"/>
      </c>
      <c r="AE474" s="985">
        <f t="shared" si="841"/>
      </c>
      <c r="AF474" s="183">
        <f t="shared" si="841"/>
      </c>
      <c r="AG474" s="183">
        <f t="shared" si="841"/>
      </c>
      <c r="AH474" s="183">
        <f t="shared" si="841"/>
      </c>
      <c r="AI474" s="183">
        <f t="shared" ref="AI474:AW474" si="842">AI472</f>
      </c>
      <c r="AJ474" s="985">
        <f t="shared" si="842"/>
      </c>
      <c r="AK474" s="183">
        <f t="shared" si="842"/>
      </c>
      <c r="AL474" s="183">
        <f t="shared" si="842"/>
      </c>
      <c r="AM474" s="183">
        <f t="shared" si="842"/>
      </c>
      <c r="AN474" s="183">
        <f t="shared" si="842"/>
      </c>
      <c r="AO474" s="985">
        <f t="shared" si="842"/>
      </c>
      <c r="AP474" s="183">
        <f t="shared" si="842"/>
      </c>
      <c r="AQ474" s="183">
        <f t="shared" si="842"/>
      </c>
      <c r="AR474" s="183">
        <f t="shared" si="842"/>
      </c>
      <c r="AS474" s="183">
        <f t="shared" si="842"/>
      </c>
      <c r="AT474" s="985">
        <f t="shared" si="842"/>
      </c>
      <c r="AU474" s="183">
        <f t="shared" si="842"/>
      </c>
      <c r="AV474" s="183">
        <f t="shared" si="842"/>
      </c>
      <c r="AW474" s="183">
        <f t="shared" si="842"/>
      </c>
      <c r="AX474" s="183">
        <f t="shared" ref="AX474:BD474" si="843">AX472</f>
      </c>
      <c r="AY474" s="985">
        <f t="shared" si="843"/>
      </c>
      <c r="AZ474" s="183">
        <f t="shared" si="843"/>
      </c>
      <c r="BA474" s="183">
        <f t="shared" si="843"/>
      </c>
      <c r="BB474" s="183">
        <f t="shared" si="843"/>
      </c>
      <c r="BC474" s="183">
        <f t="shared" si="843"/>
      </c>
      <c r="BD474" s="985">
        <f t="shared" si="843"/>
      </c>
      <c r="BE474" s="183">
        <f t="shared" ref="BE474:BI474" si="844">BE472</f>
      </c>
      <c r="BF474" s="183">
        <f t="shared" si="844"/>
      </c>
      <c r="BG474" s="183">
        <f t="shared" si="844"/>
      </c>
      <c r="BH474" s="183">
        <f t="shared" si="844"/>
      </c>
      <c r="BI474" s="985">
        <f t="shared" si="844"/>
      </c>
      <c r="BJ474" s="183">
        <f t="shared" ref="BJ474:BX474" si="845">BJ472</f>
      </c>
      <c r="BK474" s="183">
        <f t="shared" si="845"/>
      </c>
      <c r="BL474" s="183">
        <f t="shared" si="845"/>
      </c>
      <c r="BM474" s="183">
        <f t="shared" si="845"/>
      </c>
      <c r="BN474" s="985">
        <f t="shared" si="845"/>
      </c>
      <c r="BO474" s="183">
        <f t="shared" ref="BO474:BW474" si="846">BO472</f>
      </c>
      <c r="BP474" s="183">
        <f t="shared" si="846"/>
      </c>
      <c r="BQ474" s="183">
        <f t="shared" si="846"/>
      </c>
      <c r="BR474" s="183">
        <f t="shared" si="846"/>
      </c>
      <c r="BS474" s="985">
        <f t="shared" si="846"/>
      </c>
      <c r="BT474" s="794">
        <f>BT472</f>
      </c>
      <c r="BU474" s="759">
        <f t="shared" si="846"/>
      </c>
      <c r="BV474" s="759">
        <f t="shared" si="846"/>
      </c>
      <c r="BW474" s="759">
        <f t="shared" si="846"/>
      </c>
      <c r="BX474" s="969">
        <f t="shared" si="845"/>
      </c>
      <c r="BY474" s="759">
        <f t="shared" ref="BY474:CF474" si="847">BY472</f>
      </c>
      <c r="BZ474" s="759">
        <f t="shared" si="847"/>
      </c>
      <c r="CA474" s="759">
        <f t="shared" si="847"/>
      </c>
      <c r="CB474" s="759">
        <f t="shared" si="847"/>
      </c>
      <c r="CC474" s="969">
        <f t="shared" si="847"/>
      </c>
      <c r="CD474" s="969">
        <f t="shared" si="847"/>
      </c>
      <c r="CE474" s="969">
        <f t="shared" si="847"/>
      </c>
      <c r="CF474" s="969">
        <f t="shared" si="847"/>
      </c>
      <c r="CG474" s="183"/>
    </row>
    <row r="475" spans="1:85" x14ac:dyDescent="0.3">
      <c r="A475" s="771" t="s">
        <v>520</v>
      </c>
      <c r="B475" s="770"/>
      <c r="C475" s="1009"/>
      <c r="D475" s="1009"/>
      <c r="E475" s="1009"/>
      <c r="F475" s="1009"/>
      <c r="G475" s="763"/>
      <c r="H475" s="763"/>
      <c r="I475" s="763"/>
      <c r="J475" s="763"/>
      <c r="K475" s="1009"/>
      <c r="L475" s="763"/>
      <c r="M475" s="763"/>
      <c r="N475" s="763"/>
      <c r="O475" s="763"/>
      <c r="P475" s="1009"/>
      <c r="Q475" s="763"/>
      <c r="R475" s="763"/>
      <c r="S475" s="763"/>
      <c r="T475" s="763"/>
      <c r="U475" s="1009"/>
      <c r="V475" s="763"/>
      <c r="W475" s="763"/>
      <c r="X475" s="763"/>
      <c r="Y475" s="763"/>
      <c r="Z475" s="1009"/>
      <c r="AA475" s="763"/>
      <c r="AB475" s="763"/>
      <c r="AC475" s="763"/>
      <c r="AD475" s="763"/>
      <c r="AE475" s="1009"/>
      <c r="AF475" s="763"/>
      <c r="AG475" s="763"/>
      <c r="AH475" s="763"/>
      <c r="AI475" s="763"/>
      <c r="AJ475" s="1009"/>
      <c r="AK475" s="763"/>
      <c r="AL475" s="763"/>
      <c r="AM475" s="763"/>
      <c r="AN475" s="763"/>
      <c r="AO475" s="1009"/>
      <c r="AP475" s="763"/>
      <c r="AQ475" s="763"/>
      <c r="AR475" s="763"/>
      <c r="AS475" s="763"/>
      <c r="AT475" s="1009"/>
      <c r="AU475" s="763"/>
      <c r="AV475" s="763"/>
      <c r="AW475" s="763"/>
      <c r="AX475" s="763"/>
      <c r="AY475" s="1009"/>
      <c r="AZ475" s="763"/>
      <c r="BA475" s="763"/>
      <c r="BB475" s="763"/>
      <c r="BC475" s="763"/>
      <c r="BD475" s="1009"/>
      <c r="BE475" s="763"/>
      <c r="BF475" s="763"/>
      <c r="BG475" s="763"/>
      <c r="BH475" s="763"/>
      <c r="BI475" s="1009"/>
      <c r="BJ475" s="763"/>
      <c r="BK475" s="763"/>
      <c r="BL475" s="763"/>
      <c r="BM475" s="763"/>
      <c r="BN475" s="1009"/>
      <c r="BO475" s="763"/>
      <c r="BP475" s="763"/>
      <c r="BQ475" s="763"/>
      <c r="BR475" s="763"/>
      <c r="BS475" s="1009"/>
      <c r="BT475" s="807"/>
      <c r="BU475" s="780" t="str">
        <f t="shared" ref="BU475:CF475" ca="1" si="848">IFERROR(VLOOKUP($A475,tb_ConsensusEstimate,MATCH(BU$5,OFFSET(tb_ConsensusEstimate,0,0,1,COLUMNS(tb_ConsensusEstimate)),0),FALSE),"-")</f>
      </c>
      <c r="BV475" s="780" t="str">
        <f t="shared" ca="1" si="848"/>
      </c>
      <c r="BW475" s="780" t="str">
        <f t="shared" ca="1" si="848"/>
      </c>
      <c r="BX475" s="942" t="str">
        <f t="shared" ca="1" si="848"/>
      </c>
      <c r="BY475" s="780" t="str">
        <f t="shared" ca="1" si="848"/>
      </c>
      <c r="BZ475" s="780" t="str">
        <f t="shared" ca="1" si="848"/>
      </c>
      <c r="CA475" s="780" t="str">
        <f t="shared" ca="1" si="848"/>
      </c>
      <c r="CB475" s="780" t="str">
        <f t="shared" ca="1" si="848"/>
      </c>
      <c r="CC475" s="942" t="str">
        <f t="shared" ca="1" si="848"/>
      </c>
      <c r="CD475" s="942" t="str">
        <f t="shared" ca="1" si="848"/>
      </c>
      <c r="CE475" s="942" t="str">
        <f t="shared" ca="1" si="848"/>
      </c>
      <c r="CF475" s="942" t="str">
        <f t="shared" ca="1" si="848"/>
      </c>
      <c r="CG475" s="183"/>
    </row>
    <row r="476" spans="1:85" x14ac:dyDescent="0.3">
      <c r="A476" s="262"/>
      <c r="B476" s="263"/>
      <c r="C476" s="973"/>
      <c r="D476" s="973"/>
      <c r="E476" s="973"/>
      <c r="F476" s="973"/>
      <c r="G476" s="59"/>
      <c r="H476" s="59"/>
      <c r="I476" s="59"/>
      <c r="J476" s="59"/>
      <c r="K476" s="973"/>
      <c r="L476" s="59"/>
      <c r="M476" s="59"/>
      <c r="N476" s="59"/>
      <c r="O476" s="59"/>
      <c r="P476" s="973"/>
      <c r="Q476" s="59"/>
      <c r="R476" s="59"/>
      <c r="S476" s="59"/>
      <c r="T476" s="59"/>
      <c r="U476" s="973"/>
      <c r="V476" s="59"/>
      <c r="W476" s="59"/>
      <c r="X476" s="59"/>
      <c r="Y476" s="59"/>
      <c r="Z476" s="973"/>
      <c r="AA476" s="59"/>
      <c r="AB476" s="59"/>
      <c r="AC476" s="59"/>
      <c r="AD476" s="59"/>
      <c r="AE476" s="973"/>
      <c r="AF476" s="59"/>
      <c r="AG476" s="59"/>
      <c r="AH476" s="59"/>
      <c r="AI476" s="59"/>
      <c r="AJ476" s="973"/>
      <c r="AK476" s="59"/>
      <c r="AL476" s="59"/>
      <c r="AM476" s="59"/>
      <c r="AN476" s="59"/>
      <c r="AO476" s="973"/>
      <c r="AP476" s="59"/>
      <c r="AQ476" s="59"/>
      <c r="AR476" s="59"/>
      <c r="AS476" s="59"/>
      <c r="AT476" s="973"/>
      <c r="AU476" s="59"/>
      <c r="AV476" s="59"/>
      <c r="AW476" s="59"/>
      <c r="AX476" s="59"/>
      <c r="AY476" s="973"/>
      <c r="AZ476" s="59"/>
      <c r="BA476" s="59"/>
      <c r="BB476" s="59"/>
      <c r="BC476" s="59"/>
      <c r="BD476" s="973"/>
      <c r="BE476" s="59"/>
      <c r="BF476" s="59"/>
      <c r="BG476" s="59"/>
      <c r="BH476" s="59"/>
      <c r="BI476" s="973"/>
      <c r="BJ476" s="59"/>
      <c r="BK476" s="59"/>
      <c r="BL476" s="59"/>
      <c r="BM476" s="59"/>
      <c r="BN476" s="973"/>
      <c r="BO476" s="59"/>
      <c r="BP476" s="59"/>
      <c r="BQ476" s="59"/>
      <c r="BR476" s="59"/>
      <c r="BS476" s="973"/>
      <c r="BT476" s="675"/>
      <c r="BU476" s="59"/>
      <c r="BV476" s="59"/>
      <c r="BW476" s="59"/>
      <c r="BX476" s="973"/>
      <c r="BY476" s="59"/>
      <c r="BZ476" s="59"/>
      <c r="CA476" s="59"/>
      <c r="CB476" s="59"/>
      <c r="CC476" s="973"/>
      <c r="CD476" s="973"/>
      <c r="CE476" s="973"/>
      <c r="CF476" s="973"/>
      <c r="CG476" s="8"/>
    </row>
    <row r="477" spans="1:85" x14ac:dyDescent="0.3">
      <c r="A477" s="436" t="s">
        <v>525</v>
      </c>
      <c r="B477" s="414"/>
      <c r="C477" s="962">
        <f t="shared" ref="C477:AW477" si="849">C1104</f>
      </c>
      <c r="D477" s="962">
        <f t="shared" si="849"/>
      </c>
      <c r="E477" s="962">
        <f t="shared" si="849"/>
      </c>
      <c r="F477" s="962">
        <f t="shared" si="849"/>
      </c>
      <c r="G477" s="757">
        <f t="shared" si="849"/>
      </c>
      <c r="H477" s="757">
        <f t="shared" si="849"/>
      </c>
      <c r="I477" s="757">
        <f t="shared" si="849"/>
      </c>
      <c r="J477" s="757">
        <f t="shared" si="849"/>
      </c>
      <c r="K477" s="962">
        <f t="shared" si="849"/>
      </c>
      <c r="L477" s="757">
        <f t="shared" si="849"/>
      </c>
      <c r="M477" s="757">
        <f t="shared" si="849"/>
      </c>
      <c r="N477" s="757">
        <f t="shared" si="849"/>
      </c>
      <c r="O477" s="757">
        <f t="shared" si="849"/>
      </c>
      <c r="P477" s="962">
        <f t="shared" si="849"/>
      </c>
      <c r="Q477" s="757">
        <f t="shared" si="849"/>
      </c>
      <c r="R477" s="757">
        <f t="shared" si="849"/>
      </c>
      <c r="S477" s="757">
        <f t="shared" si="849"/>
      </c>
      <c r="T477" s="757">
        <f t="shared" si="849"/>
      </c>
      <c r="U477" s="962">
        <f t="shared" si="849"/>
      </c>
      <c r="V477" s="757">
        <f t="shared" si="849"/>
      </c>
      <c r="W477" s="757">
        <f t="shared" si="849"/>
      </c>
      <c r="X477" s="757">
        <f t="shared" si="849"/>
      </c>
      <c r="Y477" s="757">
        <f t="shared" si="849"/>
      </c>
      <c r="Z477" s="962">
        <f t="shared" si="849"/>
      </c>
      <c r="AA477" s="757">
        <f t="shared" si="849"/>
      </c>
      <c r="AB477" s="757">
        <f t="shared" si="849"/>
      </c>
      <c r="AC477" s="757">
        <f t="shared" si="849"/>
      </c>
      <c r="AD477" s="757">
        <f t="shared" si="849"/>
      </c>
      <c r="AE477" s="962">
        <f t="shared" si="849"/>
      </c>
      <c r="AF477" s="757">
        <f t="shared" si="849"/>
      </c>
      <c r="AG477" s="757">
        <f t="shared" si="849"/>
      </c>
      <c r="AH477" s="757">
        <f t="shared" si="849"/>
      </c>
      <c r="AI477" s="757">
        <f t="shared" si="849"/>
      </c>
      <c r="AJ477" s="962">
        <f t="shared" si="849"/>
      </c>
      <c r="AK477" s="757">
        <f t="shared" si="849"/>
      </c>
      <c r="AL477" s="757">
        <f t="shared" si="849"/>
      </c>
      <c r="AM477" s="757">
        <f t="shared" si="849"/>
      </c>
      <c r="AN477" s="757">
        <f t="shared" si="849"/>
      </c>
      <c r="AO477" s="962">
        <f t="shared" si="849"/>
      </c>
      <c r="AP477" s="757">
        <f t="shared" si="849"/>
      </c>
      <c r="AQ477" s="757">
        <f t="shared" si="849"/>
      </c>
      <c r="AR477" s="757">
        <f t="shared" si="849"/>
      </c>
      <c r="AS477" s="757">
        <f t="shared" si="849"/>
      </c>
      <c r="AT477" s="962">
        <f t="shared" si="849"/>
      </c>
      <c r="AU477" s="757">
        <f t="shared" si="849"/>
      </c>
      <c r="AV477" s="757">
        <f t="shared" si="849"/>
      </c>
      <c r="AW477" s="757">
        <f t="shared" si="849"/>
      </c>
      <c r="AX477" s="757">
        <f t="shared" ref="AX477:AZ477" si="850">AX1104</f>
      </c>
      <c r="AY477" s="962">
        <f t="shared" si="850"/>
      </c>
      <c r="AZ477" s="757">
        <f t="shared" si="850"/>
      </c>
      <c r="BA477" s="459">
        <f t="shared" ref="BA477" si="851">BA1104</f>
      </c>
      <c r="BB477" s="459">
        <f t="shared" ref="BB477:BG477" si="852">BB1104</f>
      </c>
      <c r="BC477" s="757">
        <f t="shared" si="852"/>
      </c>
      <c r="BD477" s="962">
        <f t="shared" si="852"/>
      </c>
      <c r="BE477" s="757">
        <f t="shared" si="852"/>
      </c>
      <c r="BF477" s="459">
        <f t="shared" si="852"/>
      </c>
      <c r="BG477" s="459">
        <f t="shared" si="852"/>
      </c>
      <c r="BH477" s="757">
        <f t="shared" ref="BH477:BN477" si="853">BH1104</f>
      </c>
      <c r="BI477" s="962">
        <f t="shared" si="853"/>
      </c>
      <c r="BJ477" s="757">
        <f t="shared" si="853"/>
      </c>
      <c r="BK477" s="459">
        <f t="shared" si="853"/>
      </c>
      <c r="BL477" s="459">
        <f t="shared" si="853"/>
      </c>
      <c r="BM477" s="757">
        <f t="shared" si="853"/>
      </c>
      <c r="BN477" s="962">
        <f t="shared" si="853"/>
      </c>
      <c r="BO477" s="757">
        <f t="shared" ref="BO477:BT477" si="854">BO1104</f>
      </c>
      <c r="BP477" s="459">
        <f t="shared" si="854"/>
      </c>
      <c r="BQ477" s="459">
        <f t="shared" si="854"/>
      </c>
      <c r="BR477" s="757">
        <f t="shared" si="854"/>
      </c>
      <c r="BS477" s="962">
        <f t="shared" si="854"/>
      </c>
      <c r="BT477" s="758">
        <f t="shared" si="854"/>
      </c>
      <c r="BU477" s="757">
        <f>-BU1168</f>
      </c>
      <c r="BV477" s="757">
        <f>-BV1168</f>
      </c>
      <c r="BW477" s="757">
        <f>-BW1168</f>
      </c>
      <c r="BX477" s="962">
        <f>SUM(BT477,BU477,BV477,BW477)</f>
      </c>
      <c r="BY477" s="757">
        <f>-BY1168</f>
      </c>
      <c r="BZ477" s="757">
        <f>-BZ1168</f>
      </c>
      <c r="CA477" s="757">
        <f>-CA1168</f>
      </c>
      <c r="CB477" s="757">
        <f>-CB1168</f>
      </c>
      <c r="CC477" s="962">
        <f>SUM(BY477,BZ477,CA477,CB477)</f>
      </c>
      <c r="CD477" s="962">
        <f>-CD1168</f>
      </c>
      <c r="CE477" s="962">
        <f>-CE1168</f>
      </c>
      <c r="CF477" s="962">
        <f>-CF1168</f>
      </c>
      <c r="CG477" s="459"/>
    </row>
    <row r="478" spans="1:85" x14ac:dyDescent="0.3">
      <c r="A478" s="30" t="s">
        <v>526</v>
      </c>
      <c r="B478" s="416"/>
      <c r="C478" s="1005">
        <f t="shared" ref="C478:AW478" si="855">C1106</f>
      </c>
      <c r="D478" s="1005">
        <f t="shared" si="855"/>
      </c>
      <c r="E478" s="1005">
        <f t="shared" si="855"/>
      </c>
      <c r="F478" s="1005">
        <f t="shared" si="855"/>
      </c>
      <c r="G478" s="800">
        <f t="shared" si="855"/>
      </c>
      <c r="H478" s="800">
        <f t="shared" si="855"/>
      </c>
      <c r="I478" s="800">
        <f t="shared" si="855"/>
      </c>
      <c r="J478" s="800">
        <f t="shared" si="855"/>
      </c>
      <c r="K478" s="1005">
        <f t="shared" si="855"/>
      </c>
      <c r="L478" s="800">
        <f t="shared" si="855"/>
      </c>
      <c r="M478" s="800">
        <f t="shared" si="855"/>
      </c>
      <c r="N478" s="800">
        <f t="shared" si="855"/>
      </c>
      <c r="O478" s="800">
        <f t="shared" si="855"/>
      </c>
      <c r="P478" s="1005">
        <f t="shared" si="855"/>
      </c>
      <c r="Q478" s="800">
        <f t="shared" si="855"/>
      </c>
      <c r="R478" s="800">
        <f t="shared" si="855"/>
      </c>
      <c r="S478" s="800">
        <f t="shared" si="855"/>
      </c>
      <c r="T478" s="800">
        <f t="shared" si="855"/>
      </c>
      <c r="U478" s="1005">
        <f t="shared" si="855"/>
      </c>
      <c r="V478" s="800">
        <f t="shared" si="855"/>
      </c>
      <c r="W478" s="800">
        <f t="shared" si="855"/>
      </c>
      <c r="X478" s="800">
        <f t="shared" si="855"/>
      </c>
      <c r="Y478" s="800">
        <f t="shared" si="855"/>
      </c>
      <c r="Z478" s="1005">
        <f t="shared" si="855"/>
      </c>
      <c r="AA478" s="800">
        <f t="shared" si="855"/>
      </c>
      <c r="AB478" s="800">
        <f t="shared" si="855"/>
      </c>
      <c r="AC478" s="800">
        <f t="shared" si="855"/>
      </c>
      <c r="AD478" s="800">
        <f t="shared" si="855"/>
      </c>
      <c r="AE478" s="1005">
        <f t="shared" si="855"/>
      </c>
      <c r="AF478" s="800">
        <f t="shared" si="855"/>
      </c>
      <c r="AG478" s="800">
        <f t="shared" si="855"/>
      </c>
      <c r="AH478" s="800">
        <f t="shared" si="855"/>
      </c>
      <c r="AI478" s="800">
        <f t="shared" si="855"/>
      </c>
      <c r="AJ478" s="1005">
        <f t="shared" si="855"/>
      </c>
      <c r="AK478" s="800">
        <f t="shared" si="855"/>
      </c>
      <c r="AL478" s="800">
        <f t="shared" si="855"/>
      </c>
      <c r="AM478" s="800">
        <f t="shared" si="855"/>
      </c>
      <c r="AN478" s="800">
        <f t="shared" si="855"/>
      </c>
      <c r="AO478" s="1005">
        <f t="shared" si="855"/>
      </c>
      <c r="AP478" s="800">
        <f t="shared" si="855"/>
      </c>
      <c r="AQ478" s="800">
        <f t="shared" si="855"/>
      </c>
      <c r="AR478" s="800">
        <f t="shared" si="855"/>
      </c>
      <c r="AS478" s="800">
        <f t="shared" si="855"/>
      </c>
      <c r="AT478" s="1005">
        <f t="shared" si="855"/>
      </c>
      <c r="AU478" s="800">
        <f t="shared" si="855"/>
      </c>
      <c r="AV478" s="800">
        <f t="shared" si="855"/>
      </c>
      <c r="AW478" s="800">
        <f t="shared" si="855"/>
      </c>
      <c r="AX478" s="800">
        <f>AX1106</f>
      </c>
      <c r="AY478" s="1005">
        <f>AY1106</f>
      </c>
      <c r="AZ478" s="800">
        <f>AZ1106</f>
      </c>
      <c r="BA478" s="800">
        <f t="shared" ref="BA478" si="856">BA1106</f>
      </c>
      <c r="BB478" s="800">
        <f t="shared" ref="BB478:BG478" si="857">BB1106</f>
      </c>
      <c r="BC478" s="800">
        <f t="shared" si="857"/>
      </c>
      <c r="BD478" s="1005">
        <f t="shared" si="857"/>
      </c>
      <c r="BE478" s="800">
        <f t="shared" si="857"/>
      </c>
      <c r="BF478" s="800">
        <f t="shared" si="857"/>
      </c>
      <c r="BG478" s="800">
        <f t="shared" si="857"/>
      </c>
      <c r="BH478" s="800">
        <f t="shared" ref="BH478:BN478" si="858">BH1106</f>
      </c>
      <c r="BI478" s="1005">
        <f t="shared" si="858"/>
      </c>
      <c r="BJ478" s="800">
        <f t="shared" si="858"/>
      </c>
      <c r="BK478" s="800">
        <f t="shared" si="858"/>
      </c>
      <c r="BL478" s="800">
        <f t="shared" si="858"/>
      </c>
      <c r="BM478" s="800">
        <f t="shared" si="858"/>
      </c>
      <c r="BN478" s="1005">
        <f t="shared" si="858"/>
      </c>
      <c r="BO478" s="800">
        <f t="shared" ref="BO478:BT478" si="859">BO1106</f>
      </c>
      <c r="BP478" s="800">
        <f t="shared" si="859"/>
      </c>
      <c r="BQ478" s="800">
        <f t="shared" si="859"/>
      </c>
      <c r="BR478" s="800">
        <f t="shared" si="859"/>
      </c>
      <c r="BS478" s="1005">
        <f t="shared" si="859"/>
      </c>
      <c r="BT478" s="808">
        <f t="shared" si="859"/>
      </c>
      <c r="BU478" s="761">
        <f>BU737</f>
      </c>
      <c r="BV478" s="761">
        <f>BV737</f>
      </c>
      <c r="BW478" s="761">
        <f>BW737</f>
      </c>
      <c r="BX478" s="984">
        <f>SUM(BT478,BU478,BV478,BW478)</f>
      </c>
      <c r="BY478" s="761">
        <f>BY737</f>
      </c>
      <c r="BZ478" s="761">
        <f>BZ737</f>
      </c>
      <c r="CA478" s="761">
        <f>CA737</f>
      </c>
      <c r="CB478" s="761">
        <f>CB737</f>
      </c>
      <c r="CC478" s="984">
        <f>SUM(BY478,BZ478,CA478,CB478)</f>
      </c>
      <c r="CD478" s="984">
        <f>CD737</f>
      </c>
      <c r="CE478" s="984">
        <f>CE737</f>
      </c>
      <c r="CF478" s="984">
        <f>CF737</f>
      </c>
      <c r="CG478" s="459"/>
    </row>
    <row r="479" spans="1:85" x14ac:dyDescent="0.3">
      <c r="A479" s="2" t="s">
        <v>77</v>
      </c>
      <c r="B479" s="422"/>
      <c r="C479" s="986">
        <f t="shared" ref="C479:AH479" si="860">C472+SUM(C477:C478)</f>
      </c>
      <c r="D479" s="986">
        <f t="shared" si="860"/>
      </c>
      <c r="E479" s="986">
        <f t="shared" si="860"/>
      </c>
      <c r="F479" s="986">
        <f t="shared" si="860"/>
      </c>
      <c r="G479" s="792">
        <f t="shared" si="860"/>
      </c>
      <c r="H479" s="792">
        <f t="shared" si="860"/>
      </c>
      <c r="I479" s="792">
        <f t="shared" si="860"/>
      </c>
      <c r="J479" s="792">
        <f t="shared" si="860"/>
      </c>
      <c r="K479" s="986">
        <f t="shared" si="860"/>
      </c>
      <c r="L479" s="792">
        <f t="shared" si="860"/>
      </c>
      <c r="M479" s="792">
        <f t="shared" si="860"/>
      </c>
      <c r="N479" s="792">
        <f t="shared" si="860"/>
      </c>
      <c r="O479" s="792">
        <f t="shared" si="860"/>
      </c>
      <c r="P479" s="986">
        <f t="shared" si="860"/>
      </c>
      <c r="Q479" s="792">
        <f t="shared" si="860"/>
      </c>
      <c r="R479" s="792">
        <f t="shared" si="860"/>
      </c>
      <c r="S479" s="792">
        <f t="shared" si="860"/>
      </c>
      <c r="T479" s="792">
        <f t="shared" si="860"/>
      </c>
      <c r="U479" s="986">
        <f t="shared" si="860"/>
      </c>
      <c r="V479" s="792">
        <f t="shared" si="860"/>
      </c>
      <c r="W479" s="792">
        <f t="shared" si="860"/>
      </c>
      <c r="X479" s="792">
        <f t="shared" si="860"/>
      </c>
      <c r="Y479" s="792">
        <f t="shared" si="860"/>
      </c>
      <c r="Z479" s="986">
        <f t="shared" si="860"/>
      </c>
      <c r="AA479" s="792">
        <f t="shared" si="860"/>
      </c>
      <c r="AB479" s="792">
        <f t="shared" si="860"/>
      </c>
      <c r="AC479" s="792">
        <f t="shared" si="860"/>
      </c>
      <c r="AD479" s="792">
        <f t="shared" si="860"/>
      </c>
      <c r="AE479" s="986">
        <f t="shared" si="860"/>
      </c>
      <c r="AF479" s="792">
        <f t="shared" si="860"/>
      </c>
      <c r="AG479" s="792">
        <f t="shared" si="860"/>
      </c>
      <c r="AH479" s="792">
        <f t="shared" si="860"/>
      </c>
      <c r="AI479" s="792">
        <f t="shared" ref="AI479:AW479" si="861">AI472+SUM(AI477:AI478)</f>
      </c>
      <c r="AJ479" s="986">
        <f t="shared" si="861"/>
      </c>
      <c r="AK479" s="792">
        <f t="shared" si="861"/>
      </c>
      <c r="AL479" s="792">
        <f t="shared" si="861"/>
      </c>
      <c r="AM479" s="792">
        <f t="shared" si="861"/>
      </c>
      <c r="AN479" s="792">
        <f t="shared" si="861"/>
      </c>
      <c r="AO479" s="986">
        <f t="shared" si="861"/>
      </c>
      <c r="AP479" s="792">
        <f t="shared" si="861"/>
      </c>
      <c r="AQ479" s="792">
        <f t="shared" si="861"/>
      </c>
      <c r="AR479" s="792">
        <f t="shared" si="861"/>
      </c>
      <c r="AS479" s="792">
        <f t="shared" si="861"/>
      </c>
      <c r="AT479" s="986">
        <f t="shared" si="861"/>
      </c>
      <c r="AU479" s="792">
        <f t="shared" si="861"/>
      </c>
      <c r="AV479" s="792">
        <f t="shared" si="861"/>
      </c>
      <c r="AW479" s="792">
        <f t="shared" si="861"/>
      </c>
      <c r="AX479" s="792">
        <f t="shared" ref="AX479:BD479" si="862">AX472+SUM(AX477:AX478)</f>
      </c>
      <c r="AY479" s="986">
        <f t="shared" si="862"/>
      </c>
      <c r="AZ479" s="792">
        <f t="shared" si="862"/>
      </c>
      <c r="BA479" s="792">
        <f t="shared" si="862"/>
      </c>
      <c r="BB479" s="792">
        <f t="shared" si="862"/>
      </c>
      <c r="BC479" s="792">
        <f t="shared" si="862"/>
      </c>
      <c r="BD479" s="986">
        <f t="shared" si="862"/>
      </c>
      <c r="BE479" s="792">
        <f t="shared" ref="BE479:BI479" si="863">BE472+SUM(BE477:BE478)</f>
      </c>
      <c r="BF479" s="792">
        <f t="shared" si="863"/>
      </c>
      <c r="BG479" s="792">
        <f t="shared" si="863"/>
      </c>
      <c r="BH479" s="792">
        <f t="shared" si="863"/>
      </c>
      <c r="BI479" s="986">
        <f t="shared" si="863"/>
      </c>
      <c r="BJ479" s="792">
        <f t="shared" ref="BJ479:BX479" si="864">BJ472+SUM(BJ477:BJ478)</f>
      </c>
      <c r="BK479" s="792">
        <f t="shared" si="864"/>
      </c>
      <c r="BL479" s="792">
        <f t="shared" si="864"/>
      </c>
      <c r="BM479" s="792">
        <f t="shared" si="864"/>
      </c>
      <c r="BN479" s="986">
        <f t="shared" si="864"/>
      </c>
      <c r="BO479" s="792">
        <f t="shared" ref="BO479:BW479" si="865">BO472+SUM(BO477:BO478)</f>
      </c>
      <c r="BP479" s="792">
        <f t="shared" si="865"/>
      </c>
      <c r="BQ479" s="792">
        <f t="shared" si="865"/>
      </c>
      <c r="BR479" s="792">
        <f t="shared" si="865"/>
      </c>
      <c r="BS479" s="986">
        <f t="shared" si="865"/>
      </c>
      <c r="BT479" s="793">
        <f>BT472+SUM(BT477:BT478)</f>
      </c>
      <c r="BU479" s="791">
        <f t="shared" si="865"/>
      </c>
      <c r="BV479" s="791">
        <f t="shared" si="865"/>
      </c>
      <c r="BW479" s="791">
        <f t="shared" si="865"/>
      </c>
      <c r="BX479" s="965">
        <f t="shared" si="864"/>
      </c>
      <c r="BY479" s="791">
        <f t="shared" ref="BY479:CF479" si="866">BY472+SUM(BY477:BY478)</f>
      </c>
      <c r="BZ479" s="791">
        <f t="shared" si="866"/>
      </c>
      <c r="CA479" s="791">
        <f t="shared" si="866"/>
      </c>
      <c r="CB479" s="791">
        <f t="shared" si="866"/>
      </c>
      <c r="CC479" s="965">
        <f t="shared" si="866"/>
      </c>
      <c r="CD479" s="965">
        <f t="shared" si="866"/>
      </c>
      <c r="CE479" s="965">
        <f t="shared" si="866"/>
      </c>
      <c r="CF479" s="965">
        <f t="shared" si="866"/>
      </c>
      <c r="CG479" s="183"/>
    </row>
    <row r="480" spans="1:85" x14ac:dyDescent="0.3">
      <c r="A480" s="4" t="str">
        <f>CONCATENATE("Adjusted ",A479,IF(AND(ROUND(SUM(C479:CG479)-SUM(C480:CG480),6)=0)," (No Adjustments)",""))</f>
      </c>
      <c r="B480" s="428"/>
      <c r="C480" s="985">
        <f t="shared" ref="C480:K480" si="867">C479</f>
      </c>
      <c r="D480" s="985">
        <f t="shared" si="867"/>
      </c>
      <c r="E480" s="985">
        <f t="shared" si="867"/>
      </c>
      <c r="F480" s="985">
        <f t="shared" si="867"/>
      </c>
      <c r="G480" s="183">
        <f t="shared" si="867"/>
      </c>
      <c r="H480" s="183">
        <f t="shared" si="867"/>
      </c>
      <c r="I480" s="183">
        <f t="shared" si="867"/>
      </c>
      <c r="J480" s="183">
        <f t="shared" si="867"/>
      </c>
      <c r="K480" s="985">
        <f t="shared" si="867"/>
      </c>
      <c r="L480" s="183">
        <f t="shared" ref="L480:AW480" si="868">L442</f>
      </c>
      <c r="M480" s="183">
        <f t="shared" si="868"/>
      </c>
      <c r="N480" s="183">
        <f t="shared" si="868"/>
      </c>
      <c r="O480" s="183">
        <f t="shared" si="868"/>
      </c>
      <c r="P480" s="985">
        <f t="shared" si="868"/>
      </c>
      <c r="Q480" s="183">
        <f t="shared" si="868"/>
      </c>
      <c r="R480" s="183">
        <f t="shared" si="868"/>
      </c>
      <c r="S480" s="183">
        <f t="shared" si="868"/>
      </c>
      <c r="T480" s="183">
        <f t="shared" si="868"/>
      </c>
      <c r="U480" s="985">
        <f t="shared" si="868"/>
      </c>
      <c r="V480" s="183">
        <f t="shared" si="868"/>
      </c>
      <c r="W480" s="183">
        <f t="shared" si="868"/>
      </c>
      <c r="X480" s="183">
        <f t="shared" si="868"/>
      </c>
      <c r="Y480" s="183">
        <f t="shared" si="868"/>
      </c>
      <c r="Z480" s="985">
        <f t="shared" si="868"/>
      </c>
      <c r="AA480" s="183">
        <f t="shared" si="868"/>
      </c>
      <c r="AB480" s="183">
        <f t="shared" si="868"/>
      </c>
      <c r="AC480" s="183">
        <f t="shared" si="868"/>
      </c>
      <c r="AD480" s="183">
        <f t="shared" si="868"/>
      </c>
      <c r="AE480" s="985">
        <f t="shared" si="868"/>
      </c>
      <c r="AF480" s="183">
        <f t="shared" si="868"/>
      </c>
      <c r="AG480" s="183">
        <f t="shared" si="868"/>
      </c>
      <c r="AH480" s="183">
        <f t="shared" si="868"/>
      </c>
      <c r="AI480" s="183">
        <f t="shared" si="868"/>
      </c>
      <c r="AJ480" s="985">
        <f t="shared" si="868"/>
      </c>
      <c r="AK480" s="183">
        <f t="shared" si="868"/>
      </c>
      <c r="AL480" s="183">
        <f t="shared" si="868"/>
      </c>
      <c r="AM480" s="183">
        <f t="shared" si="868"/>
      </c>
      <c r="AN480" s="183">
        <f t="shared" si="868"/>
      </c>
      <c r="AO480" s="985">
        <f t="shared" si="868"/>
      </c>
      <c r="AP480" s="183">
        <f t="shared" si="868"/>
      </c>
      <c r="AQ480" s="183">
        <f t="shared" si="868"/>
      </c>
      <c r="AR480" s="183">
        <f t="shared" si="868"/>
      </c>
      <c r="AS480" s="183">
        <f t="shared" si="868"/>
      </c>
      <c r="AT480" s="985">
        <f t="shared" si="868"/>
      </c>
      <c r="AU480" s="183">
        <f t="shared" si="868"/>
      </c>
      <c r="AV480" s="183">
        <f t="shared" si="868"/>
      </c>
      <c r="AW480" s="183">
        <f t="shared" si="868"/>
      </c>
      <c r="AX480" s="183">
        <f t="shared" ref="AX480:BD480" si="869">AX442</f>
      </c>
      <c r="AY480" s="985">
        <f t="shared" si="869"/>
      </c>
      <c r="AZ480" s="183">
        <f t="shared" si="869"/>
      </c>
      <c r="BA480" s="183">
        <f t="shared" si="869"/>
      </c>
      <c r="BB480" s="183">
        <f t="shared" si="869"/>
      </c>
      <c r="BC480" s="183">
        <f t="shared" si="869"/>
      </c>
      <c r="BD480" s="985">
        <f t="shared" si="869"/>
      </c>
      <c r="BE480" s="183">
        <f t="shared" ref="BE480:BJ480" si="870">BE442</f>
      </c>
      <c r="BF480" s="183">
        <f t="shared" si="870"/>
      </c>
      <c r="BG480" s="183">
        <f t="shared" si="870"/>
      </c>
      <c r="BH480" s="183">
        <f t="shared" si="870"/>
      </c>
      <c r="BI480" s="985">
        <f t="shared" si="870"/>
      </c>
      <c r="BJ480" s="183">
        <f t="shared" si="870"/>
      </c>
      <c r="BK480" s="183">
        <f t="shared" ref="BK480:BP480" si="871">BK442</f>
      </c>
      <c r="BL480" s="183">
        <f t="shared" si="871"/>
      </c>
      <c r="BM480" s="183">
        <f t="shared" si="871"/>
      </c>
      <c r="BN480" s="985">
        <f t="shared" si="871"/>
      </c>
      <c r="BO480" s="183">
        <f t="shared" si="871"/>
      </c>
      <c r="BP480" s="183">
        <f t="shared" si="871"/>
      </c>
      <c r="BQ480" s="183">
        <f>BQ442</f>
      </c>
      <c r="BR480" s="183">
        <f>BR442</f>
      </c>
      <c r="BS480" s="985">
        <f>BS442</f>
      </c>
      <c r="BT480" s="794">
        <f>BT442</f>
      </c>
      <c r="BU480" s="759">
        <f>BU479</f>
      </c>
      <c r="BV480" s="759">
        <f>BV479</f>
      </c>
      <c r="BW480" s="759">
        <f>BW479</f>
      </c>
      <c r="BX480" s="969">
        <f>SUM(BT480,BU480,BV480,BW480)</f>
      </c>
      <c r="BY480" s="759">
        <f>BY479</f>
      </c>
      <c r="BZ480" s="759">
        <f>BZ479</f>
      </c>
      <c r="CA480" s="759">
        <f>CA479</f>
      </c>
      <c r="CB480" s="759">
        <f>CB479</f>
      </c>
      <c r="CC480" s="969">
        <f>SUM(BY480,BZ480,CA480,CB480)</f>
      </c>
      <c r="CD480" s="969">
        <f>CD479</f>
      </c>
      <c r="CE480" s="969">
        <f>CE479</f>
      </c>
      <c r="CF480" s="969">
        <f>CF479</f>
      </c>
      <c r="CG480" s="183"/>
    </row>
    <row r="481" spans="1:85" x14ac:dyDescent="0.3">
      <c r="A481" s="769" t="str">
        <f>CONCATENATE("Consensus Estimates - ",IFERROR(LEFT(A480,FIND("(",A480)-1),A480))</f>
      </c>
      <c r="B481" s="770"/>
      <c r="C481" s="1009"/>
      <c r="D481" s="1009"/>
      <c r="E481" s="1009"/>
      <c r="F481" s="1009"/>
      <c r="G481" s="763"/>
      <c r="H481" s="763"/>
      <c r="I481" s="763"/>
      <c r="J481" s="763"/>
      <c r="K481" s="1009"/>
      <c r="L481" s="763"/>
      <c r="M481" s="763"/>
      <c r="N481" s="763"/>
      <c r="O481" s="763"/>
      <c r="P481" s="1009"/>
      <c r="Q481" s="763"/>
      <c r="R481" s="763"/>
      <c r="S481" s="763"/>
      <c r="T481" s="763"/>
      <c r="U481" s="1009"/>
      <c r="V481" s="763"/>
      <c r="W481" s="806"/>
      <c r="X481" s="763"/>
      <c r="Y481" s="806"/>
      <c r="Z481" s="942"/>
      <c r="AA481" s="763"/>
      <c r="AB481" s="806"/>
      <c r="AC481" s="763"/>
      <c r="AD481" s="806"/>
      <c r="AE481" s="942"/>
      <c r="AF481" s="763"/>
      <c r="AG481" s="806"/>
      <c r="AH481" s="763"/>
      <c r="AI481" s="806"/>
      <c r="AJ481" s="942"/>
      <c r="AK481" s="763"/>
      <c r="AL481" s="806"/>
      <c r="AM481" s="763"/>
      <c r="AN481" s="806"/>
      <c r="AO481" s="942"/>
      <c r="AP481" s="763"/>
      <c r="AQ481" s="806"/>
      <c r="AR481" s="763"/>
      <c r="AS481" s="806"/>
      <c r="AT481" s="942"/>
      <c r="AU481" s="763"/>
      <c r="AV481" s="806"/>
      <c r="AW481" s="763"/>
      <c r="AX481" s="806"/>
      <c r="AY481" s="942"/>
      <c r="AZ481" s="763"/>
      <c r="BA481" s="763"/>
      <c r="BB481" s="763"/>
      <c r="BC481" s="806"/>
      <c r="BD481" s="942"/>
      <c r="BE481" s="763"/>
      <c r="BF481" s="763"/>
      <c r="BG481" s="763"/>
      <c r="BH481" s="806"/>
      <c r="BI481" s="942"/>
      <c r="BJ481" s="763"/>
      <c r="BK481" s="763"/>
      <c r="BL481" s="763"/>
      <c r="BM481" s="806"/>
      <c r="BN481" s="942"/>
      <c r="BO481" s="763"/>
      <c r="BP481" s="763"/>
      <c r="BQ481" s="763"/>
      <c r="BR481" s="806"/>
      <c r="BS481" s="942"/>
      <c r="BT481" s="807"/>
      <c r="BU481" s="780" t="str">
        <f t="shared" ref="BU481:CC481" ca="1" si="872">IFERROR(VLOOKUP($A481,tb_ConsensusEstimate,MATCH(BU$5,OFFSET(tb_ConsensusEstimate,0,0,1,COLUMNS(tb_ConsensusEstimate)),0),FALSE),"-")</f>
      </c>
      <c r="BV481" s="780" t="str">
        <f t="shared" ca="1" si="872"/>
      </c>
      <c r="BW481" s="780" t="str">
        <f t="shared" ca="1" si="872"/>
      </c>
      <c r="BX481" s="942" t="str">
        <f t="shared" ca="1" si="872"/>
      </c>
      <c r="BY481" s="780" t="str">
        <f t="shared" ca="1" si="872"/>
      </c>
      <c r="BZ481" s="780" t="str">
        <f t="shared" ca="1" si="872"/>
      </c>
      <c r="CA481" s="780" t="str">
        <f t="shared" ca="1" si="872"/>
      </c>
      <c r="CB481" s="780" t="str">
        <f t="shared" ca="1" si="872"/>
      </c>
      <c r="CC481" s="942" t="str">
        <f t="shared" ca="1" si="872"/>
      </c>
      <c r="CD481" s="942" t="str">
        <f ca="1">IFERROR(VLOOKUP($A481,tb_ConsensusEstimate,MATCH(CD5,OFFSET(tb_ConsensusEstimate,0,0,1,COLUMNS(tb_ConsensusEstimate)),0),FALSE),"-")</f>
      </c>
      <c r="CE481" s="942" t="str">
        <f ca="1">IFERROR(VLOOKUP($A481,tb_ConsensusEstimate,MATCH(CE5,OFFSET(tb_ConsensusEstimate,0,0,1,COLUMNS(tb_ConsensusEstimate)),0),FALSE),"-")</f>
      </c>
      <c r="CF481" s="942" t="str">
        <f ca="1">IFERROR(VLOOKUP($A481,tb_ConsensusEstimate,MATCH(CF5,OFFSET(tb_ConsensusEstimate,0,0,1,COLUMNS(tb_ConsensusEstimate)),0),FALSE),"-")</f>
      </c>
      <c r="CG481" s="763"/>
    </row>
    <row r="482" spans="1:85" x14ac:dyDescent="0.3">
      <c r="A482" s="45"/>
      <c r="B482" s="67"/>
      <c r="C482" s="1010"/>
      <c r="D482" s="1010"/>
      <c r="E482" s="1010"/>
      <c r="F482" s="1010"/>
      <c r="G482" s="46"/>
      <c r="H482" s="46"/>
      <c r="I482" s="46"/>
      <c r="J482" s="46"/>
      <c r="K482" s="1010"/>
      <c r="L482" s="46"/>
      <c r="M482" s="46"/>
      <c r="N482" s="46"/>
      <c r="O482" s="46"/>
      <c r="P482" s="1010"/>
      <c r="Q482" s="46"/>
      <c r="R482" s="46"/>
      <c r="S482" s="46"/>
      <c r="T482" s="46"/>
      <c r="U482" s="1010"/>
      <c r="V482" s="46"/>
      <c r="W482" s="632"/>
      <c r="X482" s="46"/>
      <c r="Y482" s="632"/>
      <c r="Z482" s="1010"/>
      <c r="AA482" s="46"/>
      <c r="AB482" s="632"/>
      <c r="AC482" s="46"/>
      <c r="AD482" s="632"/>
      <c r="AE482" s="1010"/>
      <c r="AF482" s="46"/>
      <c r="AG482" s="632"/>
      <c r="AH482" s="46"/>
      <c r="AI482" s="632"/>
      <c r="AJ482" s="1010"/>
      <c r="AK482" s="46"/>
      <c r="AL482" s="632"/>
      <c r="AM482" s="46"/>
      <c r="AN482" s="632"/>
      <c r="AO482" s="1010"/>
      <c r="AP482" s="46"/>
      <c r="AQ482" s="632"/>
      <c r="AR482" s="46"/>
      <c r="AS482" s="632"/>
      <c r="AT482" s="1010"/>
      <c r="AU482" s="46"/>
      <c r="AV482" s="632"/>
      <c r="AW482" s="46"/>
      <c r="AX482" s="632"/>
      <c r="AY482" s="1010"/>
      <c r="AZ482" s="46"/>
      <c r="BA482" s="46"/>
      <c r="BB482" s="46"/>
      <c r="BC482" s="632"/>
      <c r="BD482" s="1010"/>
      <c r="BE482" s="46"/>
      <c r="BF482" s="46"/>
      <c r="BG482" s="46"/>
      <c r="BH482" s="632"/>
      <c r="BI482" s="1010"/>
      <c r="BJ482" s="46"/>
      <c r="BK482" s="46"/>
      <c r="BL482" s="46"/>
      <c r="BM482" s="632"/>
      <c r="BN482" s="1010"/>
      <c r="BO482" s="46"/>
      <c r="BP482" s="46"/>
      <c r="BQ482" s="46"/>
      <c r="BR482" s="632"/>
      <c r="BS482" s="1010"/>
      <c r="BT482" s="694"/>
      <c r="BU482" s="46"/>
      <c r="BV482" s="46"/>
      <c r="BW482" s="46"/>
      <c r="BX482" s="1011"/>
      <c r="BY482" s="46"/>
      <c r="BZ482" s="46"/>
      <c r="CA482" s="46"/>
      <c r="CB482" s="46"/>
      <c r="CC482" s="1011"/>
      <c r="CD482" s="1011"/>
      <c r="CE482" s="1011"/>
      <c r="CF482" s="1011"/>
      <c r="CG482" s="21"/>
    </row>
    <row r="483" spans="1:85" x14ac:dyDescent="0.3">
      <c r="A483" s="436" t="s">
        <v>51</v>
      </c>
      <c r="B483" s="414"/>
      <c r="C483" s="962">
        <f t="shared" ref="C483:AH483" si="873">-C426</f>
      </c>
      <c r="D483" s="962">
        <f t="shared" si="873"/>
      </c>
      <c r="E483" s="962">
        <f t="shared" si="873"/>
      </c>
      <c r="F483" s="962">
        <f t="shared" si="873"/>
      </c>
      <c r="G483" s="757">
        <f t="shared" si="873"/>
      </c>
      <c r="H483" s="757">
        <f t="shared" si="873"/>
      </c>
      <c r="I483" s="757">
        <f t="shared" si="873"/>
      </c>
      <c r="J483" s="757">
        <f t="shared" si="873"/>
      </c>
      <c r="K483" s="962">
        <f t="shared" si="873"/>
      </c>
      <c r="L483" s="757">
        <f t="shared" si="873"/>
      </c>
      <c r="M483" s="757">
        <f t="shared" si="873"/>
      </c>
      <c r="N483" s="757">
        <f t="shared" si="873"/>
      </c>
      <c r="O483" s="757">
        <f t="shared" si="873"/>
      </c>
      <c r="P483" s="962">
        <f t="shared" si="873"/>
      </c>
      <c r="Q483" s="757">
        <f t="shared" si="873"/>
      </c>
      <c r="R483" s="757">
        <f t="shared" si="873"/>
      </c>
      <c r="S483" s="757">
        <f t="shared" si="873"/>
      </c>
      <c r="T483" s="757">
        <f t="shared" si="873"/>
      </c>
      <c r="U483" s="962">
        <f t="shared" si="873"/>
      </c>
      <c r="V483" s="757">
        <f t="shared" si="873"/>
      </c>
      <c r="W483" s="757">
        <f t="shared" si="873"/>
      </c>
      <c r="X483" s="757">
        <f t="shared" si="873"/>
      </c>
      <c r="Y483" s="757">
        <f t="shared" si="873"/>
      </c>
      <c r="Z483" s="962">
        <f t="shared" si="873"/>
      </c>
      <c r="AA483" s="757">
        <f t="shared" si="873"/>
      </c>
      <c r="AB483" s="757">
        <f t="shared" si="873"/>
      </c>
      <c r="AC483" s="757">
        <f t="shared" si="873"/>
      </c>
      <c r="AD483" s="757">
        <f t="shared" si="873"/>
      </c>
      <c r="AE483" s="962">
        <f t="shared" si="873"/>
      </c>
      <c r="AF483" s="757">
        <f t="shared" si="873"/>
      </c>
      <c r="AG483" s="757">
        <f t="shared" si="873"/>
      </c>
      <c r="AH483" s="757">
        <f t="shared" si="873"/>
      </c>
      <c r="AI483" s="757">
        <f t="shared" ref="AI483:BE483" si="874">-AI426</f>
      </c>
      <c r="AJ483" s="962">
        <f t="shared" si="874"/>
      </c>
      <c r="AK483" s="757">
        <f t="shared" si="874"/>
      </c>
      <c r="AL483" s="757">
        <f t="shared" si="874"/>
      </c>
      <c r="AM483" s="757">
        <f t="shared" si="874"/>
      </c>
      <c r="AN483" s="757">
        <f t="shared" si="874"/>
      </c>
      <c r="AO483" s="962">
        <f t="shared" si="874"/>
      </c>
      <c r="AP483" s="757">
        <f t="shared" si="874"/>
      </c>
      <c r="AQ483" s="757">
        <f t="shared" si="874"/>
      </c>
      <c r="AR483" s="757">
        <f t="shared" si="874"/>
      </c>
      <c r="AS483" s="757">
        <f t="shared" si="874"/>
      </c>
      <c r="AT483" s="962">
        <f t="shared" si="874"/>
      </c>
      <c r="AU483" s="757">
        <f t="shared" si="874"/>
      </c>
      <c r="AV483" s="757">
        <f t="shared" si="874"/>
      </c>
      <c r="AW483" s="757">
        <f t="shared" si="874"/>
      </c>
      <c r="AX483" s="757">
        <f t="shared" si="874"/>
      </c>
      <c r="AY483" s="962">
        <f t="shared" si="874"/>
      </c>
      <c r="AZ483" s="757">
        <f t="shared" si="874"/>
      </c>
      <c r="BA483" s="459">
        <f t="shared" si="874"/>
      </c>
      <c r="BB483" s="459">
        <f t="shared" si="874"/>
      </c>
      <c r="BC483" s="757">
        <f t="shared" si="874"/>
      </c>
      <c r="BD483" s="962">
        <f t="shared" si="874"/>
      </c>
      <c r="BE483" s="757">
        <f t="shared" si="874"/>
      </c>
      <c r="BF483" s="459">
        <f t="shared" ref="BF483:BK483" si="875">-BF426</f>
      </c>
      <c r="BG483" s="459">
        <f t="shared" si="875"/>
      </c>
      <c r="BH483" s="757">
        <f t="shared" si="875"/>
      </c>
      <c r="BI483" s="962">
        <f t="shared" si="875"/>
      </c>
      <c r="BJ483" s="757">
        <f t="shared" si="875"/>
      </c>
      <c r="BK483" s="459">
        <f t="shared" si="875"/>
      </c>
      <c r="BL483" s="459">
        <f t="shared" ref="BL483:BQ483" si="876">-BL426</f>
      </c>
      <c r="BM483" s="757">
        <f t="shared" si="876"/>
      </c>
      <c r="BN483" s="962">
        <f t="shared" si="876"/>
      </c>
      <c r="BO483" s="757">
        <f t="shared" si="876"/>
      </c>
      <c r="BP483" s="459">
        <f t="shared" si="876"/>
      </c>
      <c r="BQ483" s="459">
        <f t="shared" si="876"/>
      </c>
      <c r="BR483" s="757">
        <f>-BR426</f>
      </c>
      <c r="BS483" s="962">
        <f>-BS426</f>
      </c>
      <c r="BT483" s="758">
        <f>-BT426</f>
      </c>
      <c r="BU483" s="757">
        <f>BU757</f>
      </c>
      <c r="BV483" s="757">
        <f>BV757</f>
      </c>
      <c r="BW483" s="757">
        <f>BW757</f>
      </c>
      <c r="BX483" s="962">
        <f>SUM(BT483,BU483,BV483,BW483)</f>
      </c>
      <c r="BY483" s="757">
        <f>BY757</f>
      </c>
      <c r="BZ483" s="757">
        <f>BZ757</f>
      </c>
      <c r="CA483" s="757">
        <f>CA757</f>
      </c>
      <c r="CB483" s="757">
        <f>CB757</f>
      </c>
      <c r="CC483" s="962">
        <f>SUM(BY483,BZ483,CA483,CB483)</f>
      </c>
      <c r="CD483" s="962">
        <f>CD757</f>
      </c>
      <c r="CE483" s="962">
        <f>CE757</f>
      </c>
      <c r="CF483" s="962">
        <f>CF757</f>
      </c>
      <c r="CG483" s="459"/>
    </row>
    <row r="484" spans="1:85" x14ac:dyDescent="0.3">
      <c r="A484" s="436" t="s">
        <v>457</v>
      </c>
      <c r="B484" s="414"/>
      <c r="C484" s="962"/>
      <c r="D484" s="962"/>
      <c r="E484" s="962"/>
      <c r="F484" s="962"/>
      <c r="G484" s="757"/>
      <c r="H484" s="757"/>
      <c r="I484" s="757"/>
      <c r="J484" s="757">
        <f>(K484*K$3-SUM(G484*G$3,H484*H$3,I484*I$3))/J$3</f>
      </c>
      <c r="K484" s="962"/>
      <c r="L484" s="757"/>
      <c r="M484" s="757"/>
      <c r="N484" s="757"/>
      <c r="O484" s="757">
        <f>(P484*P$3-SUM(L484*L$3,M484*M$3,N484*N$3))/O$3</f>
      </c>
      <c r="P484" s="962"/>
      <c r="Q484" s="757"/>
      <c r="R484" s="757"/>
      <c r="S484" s="757"/>
      <c r="T484" s="757">
        <f>(U484*U$3-SUM(Q484*Q$3,R484*R$3,S484*S$3))/T$3</f>
      </c>
      <c r="U484" s="962"/>
      <c r="V484" s="757"/>
      <c r="W484" s="757"/>
      <c r="X484" s="757"/>
      <c r="Y484" s="757">
        <f>(Z484*Z$3-SUM(V484*V$3,W484*W$3,X484*X$3))/Y$3</f>
      </c>
      <c r="Z484" s="962"/>
      <c r="AA484" s="757"/>
      <c r="AB484" s="757"/>
      <c r="AC484" s="757"/>
      <c r="AD484" s="757">
        <f>(AE484*AE$3-SUM(AA484*AA$3,AB484*AB$3,AC484*AC$3))/AD$3</f>
      </c>
      <c r="AE484" s="962"/>
      <c r="AF484" s="757"/>
      <c r="AG484" s="757"/>
      <c r="AH484" s="757"/>
      <c r="AI484" s="757">
        <f>(AJ484*AJ$3-SUM(AF484*AF$3,AG484*AG$3,AH484*AH$3))/AI$3</f>
      </c>
      <c r="AJ484" s="962"/>
      <c r="AK484" s="757"/>
      <c r="AL484" s="757"/>
      <c r="AM484" s="757"/>
      <c r="AN484" s="757">
        <f>(AO484*AO$3-SUM(AK484*AK$3,AL484*AL$3,AM484*AM$3))/AN$3</f>
      </c>
      <c r="AO484" s="962"/>
      <c r="AP484" s="757"/>
      <c r="AQ484" s="757"/>
      <c r="AR484" s="757"/>
      <c r="AS484" s="757">
        <f>(AT484*AT$3-SUM(AP484*AP$3,AQ484*AQ$3,AR484*AR$3))/AS$3</f>
      </c>
      <c r="AT484" s="962"/>
      <c r="AU484" s="757"/>
      <c r="AV484" s="757"/>
      <c r="AW484" s="757"/>
      <c r="AX484" s="757">
        <f>(AY484*AY$3-SUM(AU484*AU$3,AV484*AV$3,AW484*AW$3))/AX$3</f>
      </c>
      <c r="AY484" s="962"/>
      <c r="AZ484" s="757"/>
      <c r="BA484" s="757"/>
      <c r="BB484" s="757"/>
      <c r="BC484" s="757">
        <f>(BD484*BD$3-SUM(AZ484*AZ$3,BA484*BA$3,BB484*BB$3))/BC$3</f>
      </c>
      <c r="BD484" s="962"/>
      <c r="BE484" s="757"/>
      <c r="BF484" s="757"/>
      <c r="BG484" s="757"/>
      <c r="BH484" s="757">
        <f>(BI484*BI$3-SUM(BE484*BE$3,BF484*BF$3,BG484*BG$3))/BH$3</f>
      </c>
      <c r="BI484" s="962"/>
      <c r="BJ484" s="757"/>
      <c r="BK484" s="757"/>
      <c r="BL484" s="757"/>
      <c r="BM484" s="757">
        <f>(BN484*BN$3-SUM(BJ484*BJ$3,BK484*BK$3,BL484*BL$3))/BM$3</f>
      </c>
      <c r="BN484" s="962"/>
      <c r="BO484" s="757"/>
      <c r="BP484" s="757"/>
      <c r="BQ484" s="757"/>
      <c r="BR484" s="757">
        <f>(BS484*BS$3-SUM(BO484*BO$3,BP484*BP$3,BQ484*BQ$3))/BR$3</f>
      </c>
      <c r="BS484" s="962"/>
      <c r="BT484" s="758"/>
      <c r="BU484" s="757">
        <f>-BU759</f>
      </c>
      <c r="BV484" s="757">
        <f>-BV759</f>
      </c>
      <c r="BW484" s="757">
        <f>-BW759</f>
      </c>
      <c r="BX484" s="962">
        <f>SUM(BT484,BU484,BV484,BW484)</f>
      </c>
      <c r="BY484" s="757">
        <f>-BY759</f>
      </c>
      <c r="BZ484" s="757">
        <f>-BZ759</f>
      </c>
      <c r="CA484" s="757">
        <f>-CA759</f>
      </c>
      <c r="CB484" s="757">
        <f>-CB759</f>
      </c>
      <c r="CC484" s="962">
        <f>SUM(BY484,BZ484,CA484,CB484)</f>
      </c>
      <c r="CD484" s="962">
        <f>-CD759</f>
      </c>
      <c r="CE484" s="962">
        <f>-CE759</f>
      </c>
      <c r="CF484" s="962">
        <f>-CF759</f>
      </c>
      <c r="CG484" s="459"/>
    </row>
    <row r="485" spans="1:85" x14ac:dyDescent="0.3">
      <c r="A485" s="182" t="s">
        <v>79</v>
      </c>
      <c r="B485" s="414"/>
      <c r="C485" s="964">
        <f t="shared" ref="C485:AH485" si="877">-C427</f>
      </c>
      <c r="D485" s="964">
        <f t="shared" si="877"/>
      </c>
      <c r="E485" s="964">
        <f t="shared" si="877"/>
      </c>
      <c r="F485" s="964">
        <f t="shared" si="877"/>
      </c>
      <c r="G485" s="459">
        <f t="shared" si="877"/>
      </c>
      <c r="H485" s="459">
        <f t="shared" si="877"/>
      </c>
      <c r="I485" s="459">
        <f t="shared" si="877"/>
      </c>
      <c r="J485" s="459">
        <f t="shared" si="877"/>
      </c>
      <c r="K485" s="964">
        <f t="shared" si="877"/>
      </c>
      <c r="L485" s="459">
        <f t="shared" si="877"/>
      </c>
      <c r="M485" s="459">
        <f t="shared" si="877"/>
      </c>
      <c r="N485" s="459">
        <f t="shared" si="877"/>
      </c>
      <c r="O485" s="459">
        <f t="shared" si="877"/>
      </c>
      <c r="P485" s="964">
        <f t="shared" si="877"/>
      </c>
      <c r="Q485" s="459">
        <f t="shared" si="877"/>
      </c>
      <c r="R485" s="459">
        <f t="shared" si="877"/>
      </c>
      <c r="S485" s="459">
        <f t="shared" si="877"/>
      </c>
      <c r="T485" s="459">
        <f t="shared" si="877"/>
      </c>
      <c r="U485" s="964">
        <f t="shared" si="877"/>
      </c>
      <c r="V485" s="459">
        <f t="shared" si="877"/>
      </c>
      <c r="W485" s="459">
        <f t="shared" si="877"/>
      </c>
      <c r="X485" s="459">
        <f t="shared" si="877"/>
      </c>
      <c r="Y485" s="459">
        <f t="shared" si="877"/>
      </c>
      <c r="Z485" s="964">
        <f t="shared" si="877"/>
      </c>
      <c r="AA485" s="459">
        <f t="shared" si="877"/>
      </c>
      <c r="AB485" s="459">
        <f t="shared" si="877"/>
      </c>
      <c r="AC485" s="459">
        <f t="shared" si="877"/>
      </c>
      <c r="AD485" s="459">
        <f t="shared" si="877"/>
      </c>
      <c r="AE485" s="964">
        <f t="shared" si="877"/>
      </c>
      <c r="AF485" s="459">
        <f t="shared" si="877"/>
      </c>
      <c r="AG485" s="459">
        <f t="shared" si="877"/>
      </c>
      <c r="AH485" s="459">
        <f t="shared" si="877"/>
      </c>
      <c r="AI485" s="459">
        <f t="shared" ref="AI485:BE485" si="878">-AI427</f>
      </c>
      <c r="AJ485" s="964">
        <f t="shared" si="878"/>
      </c>
      <c r="AK485" s="459">
        <f t="shared" si="878"/>
      </c>
      <c r="AL485" s="459">
        <f t="shared" si="878"/>
      </c>
      <c r="AM485" s="459">
        <f t="shared" si="878"/>
      </c>
      <c r="AN485" s="459">
        <f t="shared" si="878"/>
      </c>
      <c r="AO485" s="964">
        <f t="shared" si="878"/>
      </c>
      <c r="AP485" s="459">
        <f t="shared" si="878"/>
      </c>
      <c r="AQ485" s="459">
        <f t="shared" si="878"/>
      </c>
      <c r="AR485" s="459">
        <f t="shared" si="878"/>
      </c>
      <c r="AS485" s="459">
        <f t="shared" si="878"/>
      </c>
      <c r="AT485" s="964">
        <f t="shared" si="878"/>
      </c>
      <c r="AU485" s="459">
        <f t="shared" si="878"/>
      </c>
      <c r="AV485" s="459">
        <f t="shared" si="878"/>
      </c>
      <c r="AW485" s="459">
        <f t="shared" si="878"/>
      </c>
      <c r="AX485" s="459">
        <f t="shared" si="878"/>
      </c>
      <c r="AY485" s="964">
        <f t="shared" si="878"/>
      </c>
      <c r="AZ485" s="459">
        <f t="shared" si="878"/>
      </c>
      <c r="BA485" s="459">
        <f t="shared" si="878"/>
      </c>
      <c r="BB485" s="459">
        <f t="shared" si="878"/>
      </c>
      <c r="BC485" s="459">
        <f t="shared" si="878"/>
      </c>
      <c r="BD485" s="964">
        <f t="shared" si="878"/>
      </c>
      <c r="BE485" s="459">
        <f t="shared" si="878"/>
      </c>
      <c r="BF485" s="459">
        <f t="shared" ref="BF485:BP485" si="879">-BF427</f>
      </c>
      <c r="BG485" s="459">
        <f t="shared" si="879"/>
      </c>
      <c r="BH485" s="459">
        <f t="shared" si="879"/>
      </c>
      <c r="BI485" s="964">
        <f t="shared" si="879"/>
      </c>
      <c r="BJ485" s="459">
        <f t="shared" si="879"/>
      </c>
      <c r="BK485" s="459">
        <f t="shared" si="879"/>
      </c>
      <c r="BL485" s="459">
        <f t="shared" si="879"/>
      </c>
      <c r="BM485" s="459">
        <f t="shared" si="879"/>
      </c>
      <c r="BN485" s="964">
        <f t="shared" si="879"/>
      </c>
      <c r="BO485" s="459">
        <f t="shared" si="879"/>
      </c>
      <c r="BP485" s="459">
        <f t="shared" si="879"/>
      </c>
      <c r="BQ485" s="459">
        <f t="shared" ref="BQ485:BS486" si="880">-BQ427</f>
      </c>
      <c r="BR485" s="459">
        <f t="shared" si="880"/>
      </c>
      <c r="BS485" s="964">
        <f t="shared" si="880"/>
      </c>
      <c r="BT485" s="795">
        <f>-BT427</f>
      </c>
      <c r="BU485" s="857">
        <v>-50</v>
      </c>
      <c r="BV485" s="857">
        <v>-50</v>
      </c>
      <c r="BW485" s="857">
        <v>-50</v>
      </c>
      <c r="BX485" s="962">
        <f>SUM(BT485,BU485,BV485,BW485)</f>
      </c>
      <c r="BY485" s="857">
        <v>-50</v>
      </c>
      <c r="BZ485" s="857">
        <v>-50</v>
      </c>
      <c r="CA485" s="857">
        <v>-50</v>
      </c>
      <c r="CB485" s="857">
        <v>-50</v>
      </c>
      <c r="CC485" s="962">
        <f>SUM(BY485,BZ485,CA485,CB485)</f>
      </c>
      <c r="CD485" s="963">
        <v>-200</v>
      </c>
      <c r="CE485" s="963">
        <v>-200</v>
      </c>
      <c r="CF485" s="963">
        <v>-200</v>
      </c>
      <c r="CG485" s="459"/>
    </row>
    <row r="486" spans="1:85" x14ac:dyDescent="0.3">
      <c r="A486" s="30" t="s">
        <v>80</v>
      </c>
      <c r="B486" s="416"/>
      <c r="C486" s="1005">
        <f t="shared" ref="C486:AH486" si="881">-C428</f>
      </c>
      <c r="D486" s="1005">
        <f t="shared" si="881"/>
      </c>
      <c r="E486" s="1005">
        <f t="shared" si="881"/>
      </c>
      <c r="F486" s="1005">
        <f t="shared" si="881"/>
      </c>
      <c r="G486" s="800">
        <f t="shared" si="881"/>
      </c>
      <c r="H486" s="800">
        <f t="shared" si="881"/>
      </c>
      <c r="I486" s="800">
        <f t="shared" si="881"/>
      </c>
      <c r="J486" s="800">
        <f t="shared" si="881"/>
      </c>
      <c r="K486" s="1005">
        <f t="shared" si="881"/>
      </c>
      <c r="L486" s="800">
        <f t="shared" si="881"/>
      </c>
      <c r="M486" s="800">
        <f t="shared" si="881"/>
      </c>
      <c r="N486" s="800">
        <f t="shared" si="881"/>
      </c>
      <c r="O486" s="800">
        <f t="shared" si="881"/>
      </c>
      <c r="P486" s="1005">
        <f t="shared" si="881"/>
      </c>
      <c r="Q486" s="800">
        <f t="shared" si="881"/>
      </c>
      <c r="R486" s="800">
        <f t="shared" si="881"/>
      </c>
      <c r="S486" s="800">
        <f t="shared" si="881"/>
      </c>
      <c r="T486" s="800">
        <f t="shared" si="881"/>
      </c>
      <c r="U486" s="1005">
        <f t="shared" si="881"/>
      </c>
      <c r="V486" s="800">
        <f t="shared" si="881"/>
      </c>
      <c r="W486" s="800">
        <f t="shared" si="881"/>
      </c>
      <c r="X486" s="800">
        <f t="shared" si="881"/>
      </c>
      <c r="Y486" s="800">
        <f t="shared" si="881"/>
      </c>
      <c r="Z486" s="1005">
        <f t="shared" si="881"/>
      </c>
      <c r="AA486" s="800">
        <f t="shared" si="881"/>
      </c>
      <c r="AB486" s="800">
        <f t="shared" si="881"/>
      </c>
      <c r="AC486" s="800">
        <f t="shared" si="881"/>
      </c>
      <c r="AD486" s="800">
        <f t="shared" si="881"/>
      </c>
      <c r="AE486" s="1005">
        <f t="shared" si="881"/>
      </c>
      <c r="AF486" s="800">
        <f t="shared" si="881"/>
      </c>
      <c r="AG486" s="800">
        <f t="shared" si="881"/>
      </c>
      <c r="AH486" s="800">
        <f t="shared" si="881"/>
      </c>
      <c r="AI486" s="800">
        <f t="shared" ref="AI486:BE486" si="882">-AI428</f>
      </c>
      <c r="AJ486" s="1005">
        <f t="shared" si="882"/>
      </c>
      <c r="AK486" s="800">
        <f t="shared" si="882"/>
      </c>
      <c r="AL486" s="800">
        <f t="shared" si="882"/>
      </c>
      <c r="AM486" s="800">
        <f t="shared" si="882"/>
      </c>
      <c r="AN486" s="800">
        <f t="shared" si="882"/>
      </c>
      <c r="AO486" s="1005">
        <f t="shared" si="882"/>
      </c>
      <c r="AP486" s="800">
        <f t="shared" si="882"/>
      </c>
      <c r="AQ486" s="800">
        <f t="shared" si="882"/>
      </c>
      <c r="AR486" s="800">
        <f t="shared" si="882"/>
      </c>
      <c r="AS486" s="800">
        <f t="shared" si="882"/>
      </c>
      <c r="AT486" s="1005">
        <f t="shared" si="882"/>
      </c>
      <c r="AU486" s="800">
        <f t="shared" si="882"/>
      </c>
      <c r="AV486" s="800">
        <f t="shared" si="882"/>
      </c>
      <c r="AW486" s="800">
        <f t="shared" si="882"/>
      </c>
      <c r="AX486" s="800">
        <f t="shared" si="882"/>
      </c>
      <c r="AY486" s="1005">
        <f t="shared" si="882"/>
      </c>
      <c r="AZ486" s="800">
        <f t="shared" si="882"/>
      </c>
      <c r="BA486" s="800">
        <f t="shared" si="882"/>
      </c>
      <c r="BB486" s="800">
        <f t="shared" si="882"/>
      </c>
      <c r="BC486" s="800">
        <f t="shared" si="882"/>
      </c>
      <c r="BD486" s="1005">
        <f t="shared" si="882"/>
      </c>
      <c r="BE486" s="800">
        <f t="shared" si="882"/>
      </c>
      <c r="BF486" s="800">
        <f t="shared" ref="BF486:BP486" si="883">-BF428</f>
      </c>
      <c r="BG486" s="800">
        <f t="shared" si="883"/>
      </c>
      <c r="BH486" s="800">
        <f t="shared" si="883"/>
      </c>
      <c r="BI486" s="1005">
        <f t="shared" si="883"/>
      </c>
      <c r="BJ486" s="800">
        <f t="shared" si="883"/>
      </c>
      <c r="BK486" s="800">
        <f t="shared" si="883"/>
      </c>
      <c r="BL486" s="800">
        <f t="shared" si="883"/>
      </c>
      <c r="BM486" s="800">
        <f t="shared" si="883"/>
      </c>
      <c r="BN486" s="1005">
        <f t="shared" si="883"/>
      </c>
      <c r="BO486" s="800">
        <f t="shared" si="883"/>
      </c>
      <c r="BP486" s="800">
        <f t="shared" si="883"/>
      </c>
      <c r="BQ486" s="800">
        <f t="shared" si="880"/>
      </c>
      <c r="BR486" s="800">
        <f t="shared" si="880"/>
      </c>
      <c r="BS486" s="1005">
        <f t="shared" si="880"/>
      </c>
      <c r="BT486" s="808">
        <f>-BT428</f>
      </c>
      <c r="BU486" s="761"/>
      <c r="BV486" s="761"/>
      <c r="BW486" s="761"/>
      <c r="BX486" s="984">
        <f>SUM(BT486,BU486,BV486,BW486)</f>
      </c>
      <c r="BY486" s="761"/>
      <c r="BZ486" s="761"/>
      <c r="CA486" s="761"/>
      <c r="CB486" s="761"/>
      <c r="CC486" s="984">
        <f>SUM(BY486,BZ486,CA486,CB486)</f>
      </c>
      <c r="CD486" s="984"/>
      <c r="CE486" s="984"/>
      <c r="CF486" s="984"/>
      <c r="CG486" s="459"/>
    </row>
    <row r="487" spans="1:85" x14ac:dyDescent="0.3">
      <c r="A487" s="2" t="s">
        <v>81</v>
      </c>
      <c r="B487" s="422"/>
      <c r="C487" s="986">
        <f t="shared" ref="C487:AH487" si="884">C472-SUM(C483:C486)</f>
      </c>
      <c r="D487" s="986">
        <f t="shared" si="884"/>
      </c>
      <c r="E487" s="986">
        <f t="shared" si="884"/>
      </c>
      <c r="F487" s="986">
        <f t="shared" si="884"/>
      </c>
      <c r="G487" s="792">
        <f t="shared" si="884"/>
      </c>
      <c r="H487" s="792">
        <f t="shared" si="884"/>
      </c>
      <c r="I487" s="792">
        <f t="shared" si="884"/>
      </c>
      <c r="J487" s="792">
        <f t="shared" si="884"/>
      </c>
      <c r="K487" s="986">
        <f t="shared" si="884"/>
      </c>
      <c r="L487" s="792">
        <f t="shared" si="884"/>
      </c>
      <c r="M487" s="792">
        <f t="shared" si="884"/>
      </c>
      <c r="N487" s="792">
        <f t="shared" si="884"/>
      </c>
      <c r="O487" s="792">
        <f t="shared" si="884"/>
      </c>
      <c r="P487" s="986">
        <f t="shared" si="884"/>
      </c>
      <c r="Q487" s="792">
        <f t="shared" si="884"/>
      </c>
      <c r="R487" s="792">
        <f t="shared" si="884"/>
      </c>
      <c r="S487" s="792">
        <f t="shared" si="884"/>
      </c>
      <c r="T487" s="792">
        <f t="shared" si="884"/>
      </c>
      <c r="U487" s="986">
        <f t="shared" si="884"/>
      </c>
      <c r="V487" s="792">
        <f t="shared" si="884"/>
      </c>
      <c r="W487" s="792">
        <f t="shared" si="884"/>
      </c>
      <c r="X487" s="792">
        <f t="shared" si="884"/>
      </c>
      <c r="Y487" s="792">
        <f t="shared" si="884"/>
      </c>
      <c r="Z487" s="986">
        <f t="shared" si="884"/>
      </c>
      <c r="AA487" s="792">
        <f t="shared" si="884"/>
      </c>
      <c r="AB487" s="792">
        <f t="shared" si="884"/>
      </c>
      <c r="AC487" s="792">
        <f t="shared" si="884"/>
      </c>
      <c r="AD487" s="792">
        <f t="shared" si="884"/>
      </c>
      <c r="AE487" s="986">
        <f t="shared" si="884"/>
      </c>
      <c r="AF487" s="792">
        <f t="shared" si="884"/>
      </c>
      <c r="AG487" s="792">
        <f t="shared" si="884"/>
      </c>
      <c r="AH487" s="792">
        <f t="shared" si="884"/>
      </c>
      <c r="AI487" s="792">
        <f t="shared" ref="AI487:AQ487" si="885">AI472-SUM(AI483:AI486)</f>
      </c>
      <c r="AJ487" s="986">
        <f t="shared" si="885"/>
      </c>
      <c r="AK487" s="792">
        <f t="shared" si="885"/>
      </c>
      <c r="AL487" s="792">
        <f t="shared" si="885"/>
      </c>
      <c r="AM487" s="792">
        <f t="shared" si="885"/>
      </c>
      <c r="AN487" s="792">
        <f t="shared" si="885"/>
      </c>
      <c r="AO487" s="986">
        <f t="shared" si="885"/>
      </c>
      <c r="AP487" s="792">
        <f t="shared" si="885"/>
      </c>
      <c r="AQ487" s="792">
        <f t="shared" si="885"/>
      </c>
      <c r="AR487" s="792">
        <f>AR472-SUM(AR483:AR486)</f>
      </c>
      <c r="AS487" s="792">
        <f>AS472-SUM(AS483:AS486)</f>
      </c>
      <c r="AT487" s="986">
        <f>AT472-SUM(AT483:AT486)</f>
      </c>
      <c r="AU487" s="792">
        <f t="shared" ref="AU487" si="886">AU472-SUM(AU483:AU486)</f>
      </c>
      <c r="AV487" s="792">
        <f>AV472-SUM(AV483:AV486)</f>
      </c>
      <c r="AW487" s="792">
        <f t="shared" ref="AW487" si="887">AW472-SUM(AW483:AW486)</f>
      </c>
      <c r="AX487" s="792">
        <f t="shared" ref="AX487:BD487" si="888">AX472-SUM(AX483:AX486)</f>
      </c>
      <c r="AY487" s="986">
        <f t="shared" si="888"/>
      </c>
      <c r="AZ487" s="792">
        <f t="shared" si="888"/>
      </c>
      <c r="BA487" s="792">
        <f t="shared" si="888"/>
      </c>
      <c r="BB487" s="792">
        <f t="shared" si="888"/>
      </c>
      <c r="BC487" s="792">
        <f t="shared" si="888"/>
      </c>
      <c r="BD487" s="986">
        <f t="shared" si="888"/>
      </c>
      <c r="BE487" s="792">
        <f t="shared" ref="BE487:BI487" si="889">BE472-SUM(BE483:BE486)</f>
      </c>
      <c r="BF487" s="792">
        <f t="shared" si="889"/>
      </c>
      <c r="BG487" s="792">
        <f t="shared" si="889"/>
      </c>
      <c r="BH487" s="792">
        <f t="shared" si="889"/>
      </c>
      <c r="BI487" s="986">
        <f t="shared" si="889"/>
      </c>
      <c r="BJ487" s="792">
        <f t="shared" ref="BJ487:BX487" si="890">BJ472-SUM(BJ483:BJ486)</f>
      </c>
      <c r="BK487" s="792">
        <f t="shared" si="890"/>
      </c>
      <c r="BL487" s="792">
        <f t="shared" si="890"/>
      </c>
      <c r="BM487" s="792">
        <f t="shared" si="890"/>
      </c>
      <c r="BN487" s="986">
        <f t="shared" si="890"/>
      </c>
      <c r="BO487" s="792">
        <f t="shared" ref="BO487:BW487" si="891">BO472-SUM(BO483:BO486)</f>
      </c>
      <c r="BP487" s="792">
        <f t="shared" si="891"/>
      </c>
      <c r="BQ487" s="792">
        <f t="shared" si="891"/>
      </c>
      <c r="BR487" s="792">
        <f t="shared" si="891"/>
      </c>
      <c r="BS487" s="986">
        <f t="shared" si="891"/>
      </c>
      <c r="BT487" s="793">
        <f>BT472-SUM(BT483:BT486)</f>
      </c>
      <c r="BU487" s="791">
        <f t="shared" si="891"/>
      </c>
      <c r="BV487" s="791">
        <f t="shared" si="891"/>
      </c>
      <c r="BW487" s="791">
        <f t="shared" si="891"/>
      </c>
      <c r="BX487" s="965">
        <f t="shared" si="890"/>
      </c>
      <c r="BY487" s="791">
        <f t="shared" ref="BY487:CF487" si="892">BY472-SUM(BY483:BY486)</f>
      </c>
      <c r="BZ487" s="791">
        <f t="shared" si="892"/>
      </c>
      <c r="CA487" s="791">
        <f t="shared" si="892"/>
      </c>
      <c r="CB487" s="791">
        <f t="shared" si="892"/>
      </c>
      <c r="CC487" s="965">
        <f t="shared" si="892"/>
      </c>
      <c r="CD487" s="965">
        <f t="shared" si="892"/>
      </c>
      <c r="CE487" s="965">
        <f t="shared" si="892"/>
      </c>
      <c r="CF487" s="965">
        <f t="shared" si="892"/>
      </c>
      <c r="CG487" s="183"/>
    </row>
    <row r="488" spans="1:85" x14ac:dyDescent="0.3">
      <c r="A488" s="769"/>
      <c r="B488" s="770"/>
      <c r="C488" s="1009"/>
      <c r="D488" s="1009"/>
      <c r="E488" s="1009"/>
      <c r="F488" s="1009"/>
      <c r="G488" s="763"/>
      <c r="H488" s="763"/>
      <c r="I488" s="763"/>
      <c r="J488" s="763"/>
      <c r="K488" s="1009"/>
      <c r="L488" s="763"/>
      <c r="M488" s="763"/>
      <c r="N488" s="763"/>
      <c r="O488" s="763"/>
      <c r="P488" s="1009"/>
      <c r="Q488" s="763"/>
      <c r="R488" s="763"/>
      <c r="S488" s="763"/>
      <c r="T488" s="763"/>
      <c r="U488" s="1009"/>
      <c r="V488" s="763"/>
      <c r="W488" s="763"/>
      <c r="X488" s="763"/>
      <c r="Y488" s="763"/>
      <c r="Z488" s="1009"/>
      <c r="AA488" s="763"/>
      <c r="AB488" s="763"/>
      <c r="AC488" s="763"/>
      <c r="AD488" s="763"/>
      <c r="AE488" s="1009"/>
      <c r="AF488" s="763"/>
      <c r="AG488" s="763"/>
      <c r="AH488" s="763"/>
      <c r="AI488" s="763"/>
      <c r="AJ488" s="1009"/>
      <c r="AK488" s="763"/>
      <c r="AL488" s="763"/>
      <c r="AM488" s="763"/>
      <c r="AN488" s="763"/>
      <c r="AO488" s="1009"/>
      <c r="AP488" s="763"/>
      <c r="AQ488" s="763"/>
      <c r="AR488" s="763"/>
      <c r="AS488" s="763"/>
      <c r="AT488" s="1009"/>
      <c r="AU488" s="763"/>
      <c r="AV488" s="763"/>
      <c r="AW488" s="763"/>
      <c r="AX488" s="763"/>
      <c r="AY488" s="1009"/>
      <c r="AZ488" s="763"/>
      <c r="BA488" s="763"/>
      <c r="BB488" s="763"/>
      <c r="BC488" s="763"/>
      <c r="BD488" s="1009"/>
      <c r="BE488" s="763"/>
      <c r="BF488" s="763"/>
      <c r="BG488" s="763"/>
      <c r="BH488" s="763"/>
      <c r="BI488" s="1009"/>
      <c r="BJ488" s="763"/>
      <c r="BK488" s="763"/>
      <c r="BL488" s="763"/>
      <c r="BM488" s="763"/>
      <c r="BN488" s="1009"/>
      <c r="BO488" s="763"/>
      <c r="BP488" s="763"/>
      <c r="BQ488" s="763"/>
      <c r="BR488" s="763"/>
      <c r="BS488" s="1009"/>
      <c r="BT488" s="807"/>
      <c r="BU488" s="763"/>
      <c r="BV488" s="763"/>
      <c r="BW488" s="763"/>
      <c r="BX488" s="1009"/>
      <c r="BY488" s="763"/>
      <c r="BZ488" s="763"/>
      <c r="CA488" s="763"/>
      <c r="CB488" s="763"/>
      <c r="CC488" s="1009"/>
      <c r="CD488" s="1009"/>
      <c r="CE488" s="1009"/>
      <c r="CF488" s="1009"/>
      <c r="CG488" s="222"/>
    </row>
    <row r="489" spans="1:85" x14ac:dyDescent="0.3">
      <c r="A489" s="182" t="s">
        <v>82</v>
      </c>
      <c r="B489" s="414"/>
      <c r="C489" s="964">
        <f t="shared" ref="C489:AH489" si="893">C430-C490</f>
      </c>
      <c r="D489" s="964">
        <f t="shared" si="893"/>
      </c>
      <c r="E489" s="964">
        <f t="shared" si="893"/>
      </c>
      <c r="F489" s="964">
        <f t="shared" si="893"/>
      </c>
      <c r="G489" s="459">
        <f t="shared" si="893"/>
      </c>
      <c r="H489" s="459">
        <f t="shared" si="893"/>
      </c>
      <c r="I489" s="459">
        <f t="shared" si="893"/>
      </c>
      <c r="J489" s="459">
        <f t="shared" si="893"/>
      </c>
      <c r="K489" s="964">
        <f t="shared" si="893"/>
      </c>
      <c r="L489" s="459">
        <f t="shared" si="893"/>
      </c>
      <c r="M489" s="459">
        <f t="shared" si="893"/>
      </c>
      <c r="N489" s="459">
        <f t="shared" si="893"/>
      </c>
      <c r="O489" s="459">
        <f t="shared" si="893"/>
      </c>
      <c r="P489" s="964">
        <f t="shared" si="893"/>
      </c>
      <c r="Q489" s="459">
        <f t="shared" si="893"/>
      </c>
      <c r="R489" s="459">
        <f t="shared" si="893"/>
      </c>
      <c r="S489" s="459">
        <f t="shared" si="893"/>
      </c>
      <c r="T489" s="459">
        <f t="shared" si="893"/>
      </c>
      <c r="U489" s="964">
        <f t="shared" si="893"/>
      </c>
      <c r="V489" s="459">
        <f t="shared" si="893"/>
      </c>
      <c r="W489" s="459">
        <f t="shared" si="893"/>
      </c>
      <c r="X489" s="459">
        <f t="shared" si="893"/>
      </c>
      <c r="Y489" s="459">
        <f t="shared" si="893"/>
      </c>
      <c r="Z489" s="964">
        <f t="shared" si="893"/>
      </c>
      <c r="AA489" s="459">
        <f t="shared" si="893"/>
      </c>
      <c r="AB489" s="459">
        <f t="shared" si="893"/>
      </c>
      <c r="AC489" s="459">
        <f t="shared" si="893"/>
      </c>
      <c r="AD489" s="459">
        <f t="shared" si="893"/>
      </c>
      <c r="AE489" s="964">
        <f t="shared" si="893"/>
      </c>
      <c r="AF489" s="459">
        <f t="shared" si="893"/>
      </c>
      <c r="AG489" s="459">
        <f t="shared" si="893"/>
      </c>
      <c r="AH489" s="459">
        <f t="shared" si="893"/>
      </c>
      <c r="AI489" s="459">
        <f t="shared" ref="AI489:BE489" si="894">AI430-AI490</f>
      </c>
      <c r="AJ489" s="964">
        <f t="shared" si="894"/>
      </c>
      <c r="AK489" s="459">
        <f t="shared" si="894"/>
      </c>
      <c r="AL489" s="459">
        <f t="shared" si="894"/>
      </c>
      <c r="AM489" s="459">
        <f t="shared" si="894"/>
      </c>
      <c r="AN489" s="459">
        <f t="shared" si="894"/>
      </c>
      <c r="AO489" s="964">
        <f t="shared" si="894"/>
      </c>
      <c r="AP489" s="459">
        <f t="shared" si="894"/>
      </c>
      <c r="AQ489" s="459">
        <f t="shared" si="894"/>
      </c>
      <c r="AR489" s="459">
        <f t="shared" si="894"/>
      </c>
      <c r="AS489" s="459">
        <f t="shared" si="894"/>
      </c>
      <c r="AT489" s="964">
        <f t="shared" si="894"/>
      </c>
      <c r="AU489" s="459">
        <f t="shared" si="894"/>
      </c>
      <c r="AV489" s="459">
        <f t="shared" si="894"/>
      </c>
      <c r="AW489" s="459">
        <f t="shared" si="894"/>
      </c>
      <c r="AX489" s="459">
        <f t="shared" si="894"/>
      </c>
      <c r="AY489" s="964">
        <f t="shared" si="894"/>
      </c>
      <c r="AZ489" s="459">
        <f t="shared" si="894"/>
      </c>
      <c r="BA489" s="459">
        <f t="shared" si="894"/>
      </c>
      <c r="BB489" s="459">
        <f t="shared" si="894"/>
      </c>
      <c r="BC489" s="459">
        <f t="shared" si="894"/>
      </c>
      <c r="BD489" s="964">
        <f t="shared" si="894"/>
      </c>
      <c r="BE489" s="459">
        <f t="shared" si="894"/>
      </c>
      <c r="BF489" s="459">
        <f t="shared" ref="BF489:BK489" si="895">BF430-BF490</f>
      </c>
      <c r="BG489" s="459">
        <f t="shared" si="895"/>
      </c>
      <c r="BH489" s="459">
        <f t="shared" si="895"/>
      </c>
      <c r="BI489" s="964">
        <f t="shared" si="895"/>
      </c>
      <c r="BJ489" s="459">
        <f t="shared" si="895"/>
      </c>
      <c r="BK489" s="459">
        <f t="shared" si="895"/>
      </c>
      <c r="BL489" s="459">
        <f t="shared" ref="BL489:BQ489" si="896">BL430-BL490</f>
      </c>
      <c r="BM489" s="459">
        <f t="shared" si="896"/>
      </c>
      <c r="BN489" s="964">
        <f t="shared" si="896"/>
      </c>
      <c r="BO489" s="459">
        <f t="shared" si="896"/>
      </c>
      <c r="BP489" s="459">
        <f t="shared" si="896"/>
      </c>
      <c r="BQ489" s="459">
        <f t="shared" si="896"/>
      </c>
      <c r="BR489" s="459">
        <f>BR430-BR490</f>
      </c>
      <c r="BS489" s="964">
        <f>BS430-BS490</f>
      </c>
      <c r="BT489" s="795">
        <f>BT430-BT490</f>
      </c>
      <c r="BU489" s="757">
        <f t="shared" ref="BU489:BW490" si="897">BU502*BU$487</f>
      </c>
      <c r="BV489" s="757">
        <f t="shared" si="897"/>
      </c>
      <c r="BW489" s="757">
        <f t="shared" si="897"/>
      </c>
      <c r="BX489" s="962">
        <f>SUM(BT489,BU489,BV489,BW489)</f>
      </c>
      <c r="BY489" s="757">
        <f t="shared" ref="BY489:CB490" si="898">BY502*BY$487</f>
      </c>
      <c r="BZ489" s="757">
        <f t="shared" si="898"/>
      </c>
      <c r="CA489" s="757">
        <f t="shared" si="898"/>
      </c>
      <c r="CB489" s="757">
        <f t="shared" si="898"/>
      </c>
      <c r="CC489" s="962">
        <f>SUM(BY489,BZ489,CA489,CB489)</f>
      </c>
      <c r="CD489" s="962">
        <f>CD502*CD487</f>
      </c>
      <c r="CE489" s="962">
        <f>CE502*CE487</f>
      </c>
      <c r="CF489" s="962">
        <f>CF502*CF487</f>
      </c>
      <c r="CG489" s="459"/>
    </row>
    <row r="490" spans="1:85" x14ac:dyDescent="0.3">
      <c r="A490" s="30" t="s">
        <v>83</v>
      </c>
      <c r="B490" s="416"/>
      <c r="C490" s="1005">
        <f t="shared" ref="C490:AQ490" si="899">C1111</f>
      </c>
      <c r="D490" s="1005">
        <f t="shared" si="899"/>
      </c>
      <c r="E490" s="1005">
        <f t="shared" si="899"/>
      </c>
      <c r="F490" s="1005">
        <f t="shared" si="899"/>
      </c>
      <c r="G490" s="800">
        <f t="shared" si="899"/>
      </c>
      <c r="H490" s="800">
        <f t="shared" si="899"/>
      </c>
      <c r="I490" s="800">
        <f t="shared" si="899"/>
      </c>
      <c r="J490" s="800">
        <f t="shared" si="899"/>
      </c>
      <c r="K490" s="1005">
        <f t="shared" si="899"/>
      </c>
      <c r="L490" s="800">
        <f t="shared" si="899"/>
      </c>
      <c r="M490" s="800">
        <f t="shared" si="899"/>
      </c>
      <c r="N490" s="800">
        <f t="shared" si="899"/>
      </c>
      <c r="O490" s="800">
        <f t="shared" si="899"/>
      </c>
      <c r="P490" s="1005">
        <f t="shared" si="899"/>
      </c>
      <c r="Q490" s="800">
        <f t="shared" si="899"/>
      </c>
      <c r="R490" s="800">
        <f t="shared" si="899"/>
      </c>
      <c r="S490" s="800">
        <f t="shared" si="899"/>
      </c>
      <c r="T490" s="800">
        <f t="shared" si="899"/>
      </c>
      <c r="U490" s="1005">
        <f t="shared" si="899"/>
      </c>
      <c r="V490" s="800">
        <f t="shared" si="899"/>
      </c>
      <c r="W490" s="800">
        <f t="shared" si="899"/>
      </c>
      <c r="X490" s="800">
        <f t="shared" si="899"/>
      </c>
      <c r="Y490" s="800">
        <f t="shared" si="899"/>
      </c>
      <c r="Z490" s="1005">
        <f t="shared" si="899"/>
      </c>
      <c r="AA490" s="800">
        <f t="shared" si="899"/>
      </c>
      <c r="AB490" s="800">
        <f t="shared" si="899"/>
      </c>
      <c r="AC490" s="800">
        <f t="shared" si="899"/>
      </c>
      <c r="AD490" s="800">
        <f t="shared" si="899"/>
      </c>
      <c r="AE490" s="1005">
        <f t="shared" si="899"/>
      </c>
      <c r="AF490" s="800">
        <f t="shared" si="899"/>
      </c>
      <c r="AG490" s="800">
        <f t="shared" si="899"/>
      </c>
      <c r="AH490" s="800">
        <f t="shared" si="899"/>
      </c>
      <c r="AI490" s="800">
        <f t="shared" si="899"/>
      </c>
      <c r="AJ490" s="1005">
        <f t="shared" si="899"/>
      </c>
      <c r="AK490" s="800">
        <f t="shared" si="899"/>
      </c>
      <c r="AL490" s="800">
        <f t="shared" si="899"/>
      </c>
      <c r="AM490" s="800">
        <f t="shared" si="899"/>
      </c>
      <c r="AN490" s="800">
        <f t="shared" si="899"/>
      </c>
      <c r="AO490" s="1005">
        <f t="shared" si="899"/>
      </c>
      <c r="AP490" s="800">
        <f t="shared" si="899"/>
      </c>
      <c r="AQ490" s="800">
        <f t="shared" si="899"/>
      </c>
      <c r="AR490" s="800">
        <f>AR1111</f>
      </c>
      <c r="AS490" s="800">
        <f>AS1111</f>
      </c>
      <c r="AT490" s="1005">
        <f>AT1111</f>
      </c>
      <c r="AU490" s="800">
        <f t="shared" ref="AU490" si="900">AU1111</f>
      </c>
      <c r="AV490" s="800">
        <f>AV1111</f>
      </c>
      <c r="AW490" s="800">
        <f t="shared" ref="AW490" si="901">AW1111</f>
      </c>
      <c r="AX490" s="800">
        <f t="shared" ref="AX490:BD490" si="902">AX1111</f>
      </c>
      <c r="AY490" s="1005">
        <f t="shared" si="902"/>
      </c>
      <c r="AZ490" s="800">
        <f t="shared" si="902"/>
      </c>
      <c r="BA490" s="800">
        <f t="shared" si="902"/>
      </c>
      <c r="BB490" s="800">
        <f>BB1111</f>
      </c>
      <c r="BC490" s="800">
        <f t="shared" si="902"/>
      </c>
      <c r="BD490" s="1005">
        <f t="shared" si="902"/>
      </c>
      <c r="BE490" s="800">
        <f t="shared" ref="BE490:BJ490" si="903">BE1111</f>
      </c>
      <c r="BF490" s="800">
        <f t="shared" si="903"/>
      </c>
      <c r="BG490" s="800">
        <f t="shared" si="903"/>
      </c>
      <c r="BH490" s="800">
        <f t="shared" si="903"/>
      </c>
      <c r="BI490" s="1005">
        <f t="shared" si="903"/>
      </c>
      <c r="BJ490" s="800">
        <f t="shared" si="903"/>
      </c>
      <c r="BK490" s="800">
        <f t="shared" ref="BK490:BP490" si="904">BK1111</f>
      </c>
      <c r="BL490" s="800">
        <f t="shared" si="904"/>
      </c>
      <c r="BM490" s="800">
        <f t="shared" si="904"/>
      </c>
      <c r="BN490" s="1005">
        <f t="shared" si="904"/>
      </c>
      <c r="BO490" s="800">
        <f t="shared" si="904"/>
      </c>
      <c r="BP490" s="800">
        <f t="shared" si="904"/>
      </c>
      <c r="BQ490" s="800">
        <f>BQ1111</f>
      </c>
      <c r="BR490" s="800">
        <f>BR1111</f>
      </c>
      <c r="BS490" s="1005">
        <f>BS1111</f>
      </c>
      <c r="BT490" s="808">
        <f>BT1111</f>
      </c>
      <c r="BU490" s="761">
        <f t="shared" si="897"/>
      </c>
      <c r="BV490" s="761">
        <f t="shared" si="897"/>
      </c>
      <c r="BW490" s="761">
        <f t="shared" si="897"/>
      </c>
      <c r="BX490" s="984">
        <f>SUM(BT490,BU490,BV490,BW490)</f>
      </c>
      <c r="BY490" s="761">
        <f t="shared" si="898"/>
      </c>
      <c r="BZ490" s="761">
        <f t="shared" si="898"/>
      </c>
      <c r="CA490" s="761">
        <f t="shared" si="898"/>
      </c>
      <c r="CB490" s="761">
        <f t="shared" si="898"/>
      </c>
      <c r="CC490" s="984">
        <f>SUM(BY490,BZ490,CA490,CB490)</f>
      </c>
      <c r="CD490" s="984">
        <f>CD503*CD487</f>
      </c>
      <c r="CE490" s="984">
        <f>CE503*CE487</f>
      </c>
      <c r="CF490" s="984">
        <f>CF503*CF487</f>
      </c>
      <c r="CG490" s="459"/>
    </row>
    <row r="491" spans="1:85" x14ac:dyDescent="0.3">
      <c r="A491" s="2" t="s">
        <v>84</v>
      </c>
      <c r="B491" s="422"/>
      <c r="C491" s="986">
        <f t="shared" ref="C491:AH491" si="905">C487-SUM(C489:C490)</f>
      </c>
      <c r="D491" s="986">
        <f t="shared" si="905"/>
      </c>
      <c r="E491" s="986">
        <f t="shared" si="905"/>
      </c>
      <c r="F491" s="986">
        <f t="shared" si="905"/>
      </c>
      <c r="G491" s="792">
        <f t="shared" si="905"/>
      </c>
      <c r="H491" s="792">
        <f t="shared" si="905"/>
      </c>
      <c r="I491" s="792">
        <f t="shared" si="905"/>
      </c>
      <c r="J491" s="792">
        <f t="shared" si="905"/>
      </c>
      <c r="K491" s="986">
        <f t="shared" si="905"/>
      </c>
      <c r="L491" s="792">
        <f t="shared" si="905"/>
      </c>
      <c r="M491" s="792">
        <f t="shared" si="905"/>
      </c>
      <c r="N491" s="792">
        <f t="shared" si="905"/>
      </c>
      <c r="O491" s="792">
        <f t="shared" si="905"/>
      </c>
      <c r="P491" s="986">
        <f t="shared" si="905"/>
      </c>
      <c r="Q491" s="792">
        <f t="shared" si="905"/>
      </c>
      <c r="R491" s="792">
        <f t="shared" si="905"/>
      </c>
      <c r="S491" s="792">
        <f t="shared" si="905"/>
      </c>
      <c r="T491" s="792">
        <f t="shared" si="905"/>
      </c>
      <c r="U491" s="986">
        <f t="shared" si="905"/>
      </c>
      <c r="V491" s="792">
        <f t="shared" si="905"/>
      </c>
      <c r="W491" s="792">
        <f t="shared" si="905"/>
      </c>
      <c r="X491" s="792">
        <f t="shared" si="905"/>
      </c>
      <c r="Y491" s="792">
        <f t="shared" si="905"/>
      </c>
      <c r="Z491" s="986">
        <f t="shared" si="905"/>
      </c>
      <c r="AA491" s="792">
        <f t="shared" si="905"/>
      </c>
      <c r="AB491" s="792">
        <f t="shared" si="905"/>
      </c>
      <c r="AC491" s="792">
        <f t="shared" si="905"/>
      </c>
      <c r="AD491" s="792">
        <f t="shared" si="905"/>
      </c>
      <c r="AE491" s="986">
        <f t="shared" si="905"/>
      </c>
      <c r="AF491" s="792">
        <f t="shared" si="905"/>
      </c>
      <c r="AG491" s="792">
        <f t="shared" si="905"/>
      </c>
      <c r="AH491" s="792">
        <f t="shared" si="905"/>
      </c>
      <c r="AI491" s="792">
        <f t="shared" ref="AI491:AQ491" si="906">AI487-SUM(AI489:AI490)</f>
      </c>
      <c r="AJ491" s="986">
        <f t="shared" si="906"/>
      </c>
      <c r="AK491" s="792">
        <f t="shared" si="906"/>
      </c>
      <c r="AL491" s="792">
        <f t="shared" si="906"/>
      </c>
      <c r="AM491" s="792">
        <f t="shared" si="906"/>
      </c>
      <c r="AN491" s="792">
        <f t="shared" si="906"/>
      </c>
      <c r="AO491" s="986">
        <f t="shared" si="906"/>
      </c>
      <c r="AP491" s="792">
        <f t="shared" si="906"/>
      </c>
      <c r="AQ491" s="792">
        <f t="shared" si="906"/>
      </c>
      <c r="AR491" s="792">
        <f>AR487-SUM(AR489:AR490)</f>
      </c>
      <c r="AS491" s="792">
        <f>AS487-SUM(AS489:AS490)</f>
      </c>
      <c r="AT491" s="986">
        <f>AT487-SUM(AT489:AT490)</f>
      </c>
      <c r="AU491" s="792">
        <f t="shared" ref="AU491" si="907">AU487-SUM(AU489:AU490)</f>
      </c>
      <c r="AV491" s="792">
        <f>AV487-SUM(AV489:AV490)</f>
      </c>
      <c r="AW491" s="792">
        <f t="shared" ref="AW491" si="908">AW487-SUM(AW489:AW490)</f>
      </c>
      <c r="AX491" s="792">
        <f t="shared" ref="AX491:BD491" si="909">AX487-SUM(AX489:AX490)</f>
      </c>
      <c r="AY491" s="986">
        <f t="shared" si="909"/>
      </c>
      <c r="AZ491" s="792">
        <f t="shared" si="909"/>
      </c>
      <c r="BA491" s="792">
        <f t="shared" si="909"/>
      </c>
      <c r="BB491" s="792">
        <f t="shared" si="909"/>
      </c>
      <c r="BC491" s="792">
        <f t="shared" si="909"/>
      </c>
      <c r="BD491" s="986">
        <f t="shared" si="909"/>
      </c>
      <c r="BE491" s="792">
        <f t="shared" ref="BE491:BI491" si="910">BE487-SUM(BE489:BE490)</f>
      </c>
      <c r="BF491" s="792">
        <f t="shared" si="910"/>
      </c>
      <c r="BG491" s="792">
        <f t="shared" si="910"/>
      </c>
      <c r="BH491" s="792">
        <f t="shared" si="910"/>
      </c>
      <c r="BI491" s="986">
        <f t="shared" si="910"/>
      </c>
      <c r="BJ491" s="792">
        <f t="shared" ref="BJ491:BX491" si="911">BJ487-SUM(BJ489:BJ490)</f>
      </c>
      <c r="BK491" s="792">
        <f t="shared" si="911"/>
      </c>
      <c r="BL491" s="792">
        <f t="shared" si="911"/>
      </c>
      <c r="BM491" s="792">
        <f t="shared" si="911"/>
      </c>
      <c r="BN491" s="986">
        <f t="shared" si="911"/>
      </c>
      <c r="BO491" s="792">
        <f t="shared" ref="BO491:BW491" si="912">BO487-SUM(BO489:BO490)</f>
      </c>
      <c r="BP491" s="792">
        <f t="shared" si="912"/>
      </c>
      <c r="BQ491" s="792">
        <f t="shared" si="912"/>
      </c>
      <c r="BR491" s="792">
        <f t="shared" si="912"/>
      </c>
      <c r="BS491" s="986">
        <f t="shared" si="912"/>
      </c>
      <c r="BT491" s="793">
        <f>BT487-SUM(BT489:BT490)</f>
      </c>
      <c r="BU491" s="791">
        <f t="shared" si="912"/>
      </c>
      <c r="BV491" s="791">
        <f t="shared" si="912"/>
      </c>
      <c r="BW491" s="791">
        <f t="shared" si="912"/>
      </c>
      <c r="BX491" s="965">
        <f t="shared" si="911"/>
      </c>
      <c r="BY491" s="791">
        <f t="shared" ref="BY491:CF491" si="913">BY487-SUM(BY489:BY490)</f>
      </c>
      <c r="BZ491" s="791">
        <f t="shared" si="913"/>
      </c>
      <c r="CA491" s="791">
        <f t="shared" si="913"/>
      </c>
      <c r="CB491" s="791">
        <f t="shared" si="913"/>
      </c>
      <c r="CC491" s="965">
        <f t="shared" si="913"/>
      </c>
      <c r="CD491" s="965">
        <f t="shared" si="913"/>
      </c>
      <c r="CE491" s="965">
        <f t="shared" si="913"/>
      </c>
      <c r="CF491" s="965">
        <f t="shared" si="913"/>
      </c>
      <c r="CG491" s="183"/>
    </row>
    <row r="492" spans="1:85" x14ac:dyDescent="0.3">
      <c r="A492" s="182" t="s">
        <v>85</v>
      </c>
      <c r="B492" s="414"/>
      <c r="C492" s="962"/>
      <c r="D492" s="962"/>
      <c r="E492" s="962"/>
      <c r="F492" s="962"/>
      <c r="G492" s="757"/>
      <c r="H492" s="757"/>
      <c r="I492" s="757"/>
      <c r="J492" s="757"/>
      <c r="K492" s="962"/>
      <c r="L492" s="757"/>
      <c r="M492" s="757"/>
      <c r="N492" s="757"/>
      <c r="O492" s="757"/>
      <c r="P492" s="962"/>
      <c r="Q492" s="757"/>
      <c r="R492" s="757"/>
      <c r="S492" s="757"/>
      <c r="T492" s="757"/>
      <c r="U492" s="962"/>
      <c r="V492" s="757"/>
      <c r="W492" s="757"/>
      <c r="X492" s="757"/>
      <c r="Y492" s="757"/>
      <c r="Z492" s="962"/>
      <c r="AA492" s="757"/>
      <c r="AB492" s="757"/>
      <c r="AC492" s="757"/>
      <c r="AD492" s="757"/>
      <c r="AE492" s="962"/>
      <c r="AF492" s="757"/>
      <c r="AG492" s="757"/>
      <c r="AH492" s="757"/>
      <c r="AI492" s="757"/>
      <c r="AJ492" s="962"/>
      <c r="AK492" s="757"/>
      <c r="AL492" s="757"/>
      <c r="AM492" s="757"/>
      <c r="AN492" s="757"/>
      <c r="AO492" s="962"/>
      <c r="AP492" s="757"/>
      <c r="AQ492" s="757"/>
      <c r="AR492" s="757"/>
      <c r="AS492" s="757"/>
      <c r="AT492" s="962"/>
      <c r="AU492" s="757"/>
      <c r="AV492" s="757"/>
      <c r="AW492" s="757"/>
      <c r="AX492" s="757"/>
      <c r="AY492" s="962"/>
      <c r="AZ492" s="757"/>
      <c r="BA492" s="757"/>
      <c r="BB492" s="757"/>
      <c r="BC492" s="757"/>
      <c r="BD492" s="962"/>
      <c r="BE492" s="757"/>
      <c r="BF492" s="757"/>
      <c r="BG492" s="757"/>
      <c r="BH492" s="757"/>
      <c r="BI492" s="962"/>
      <c r="BJ492" s="757"/>
      <c r="BK492" s="757"/>
      <c r="BL492" s="757"/>
      <c r="BM492" s="757"/>
      <c r="BN492" s="962"/>
      <c r="BO492" s="757"/>
      <c r="BP492" s="757"/>
      <c r="BQ492" s="757"/>
      <c r="BR492" s="757"/>
      <c r="BS492" s="962"/>
      <c r="BT492" s="758"/>
      <c r="BU492" s="757"/>
      <c r="BV492" s="757"/>
      <c r="BW492" s="757"/>
      <c r="BX492" s="962">
        <f>SUM(BT492,BU492,BV492,BW492)</f>
      </c>
      <c r="BY492" s="757"/>
      <c r="BZ492" s="757"/>
      <c r="CA492" s="757"/>
      <c r="CB492" s="757"/>
      <c r="CC492" s="962">
        <f>SUM(BY492,BZ492,CA492,CB492)</f>
      </c>
      <c r="CD492" s="962"/>
      <c r="CE492" s="962"/>
      <c r="CF492" s="962"/>
      <c r="CG492" s="459"/>
    </row>
    <row r="493" spans="1:85" x14ac:dyDescent="0.3">
      <c r="A493" s="182" t="s">
        <v>86</v>
      </c>
      <c r="B493" s="414"/>
      <c r="C493" s="962"/>
      <c r="D493" s="962"/>
      <c r="E493" s="962"/>
      <c r="F493" s="962"/>
      <c r="G493" s="757"/>
      <c r="H493" s="757"/>
      <c r="I493" s="757"/>
      <c r="J493" s="757"/>
      <c r="K493" s="962"/>
      <c r="L493" s="757"/>
      <c r="M493" s="757"/>
      <c r="N493" s="757"/>
      <c r="O493" s="757"/>
      <c r="P493" s="962"/>
      <c r="Q493" s="757"/>
      <c r="R493" s="757"/>
      <c r="S493" s="757"/>
      <c r="T493" s="757"/>
      <c r="U493" s="962"/>
      <c r="V493" s="757"/>
      <c r="W493" s="757"/>
      <c r="X493" s="757"/>
      <c r="Y493" s="757"/>
      <c r="Z493" s="962"/>
      <c r="AA493" s="757"/>
      <c r="AB493" s="757"/>
      <c r="AC493" s="757"/>
      <c r="AD493" s="757"/>
      <c r="AE493" s="962"/>
      <c r="AF493" s="757"/>
      <c r="AG493" s="757"/>
      <c r="AH493" s="757"/>
      <c r="AI493" s="757"/>
      <c r="AJ493" s="962"/>
      <c r="AK493" s="757"/>
      <c r="AL493" s="757"/>
      <c r="AM493" s="757"/>
      <c r="AN493" s="757"/>
      <c r="AO493" s="962"/>
      <c r="AP493" s="757"/>
      <c r="AQ493" s="757"/>
      <c r="AR493" s="757"/>
      <c r="AS493" s="757"/>
      <c r="AT493" s="962"/>
      <c r="AU493" s="757"/>
      <c r="AV493" s="757"/>
      <c r="AW493" s="757"/>
      <c r="AX493" s="757"/>
      <c r="AY493" s="962"/>
      <c r="AZ493" s="757"/>
      <c r="BA493" s="757"/>
      <c r="BB493" s="757"/>
      <c r="BC493" s="757"/>
      <c r="BD493" s="962"/>
      <c r="BE493" s="757"/>
      <c r="BF493" s="757"/>
      <c r="BG493" s="757"/>
      <c r="BH493" s="757"/>
      <c r="BI493" s="962"/>
      <c r="BJ493" s="757"/>
      <c r="BK493" s="757"/>
      <c r="BL493" s="757"/>
      <c r="BM493" s="757"/>
      <c r="BN493" s="962"/>
      <c r="BO493" s="757"/>
      <c r="BP493" s="757"/>
      <c r="BQ493" s="757"/>
      <c r="BR493" s="757"/>
      <c r="BS493" s="962"/>
      <c r="BT493" s="758"/>
      <c r="BU493" s="757"/>
      <c r="BV493" s="757"/>
      <c r="BW493" s="757"/>
      <c r="BX493" s="962">
        <f>SUM(BT493,BU493,BV493,BW493)</f>
      </c>
      <c r="BY493" s="757"/>
      <c r="BZ493" s="757"/>
      <c r="CA493" s="757"/>
      <c r="CB493" s="757"/>
      <c r="CC493" s="962">
        <f>SUM(BY493,BZ493,CA493,CB493)</f>
      </c>
      <c r="CD493" s="962"/>
      <c r="CE493" s="962"/>
      <c r="CF493" s="962"/>
      <c r="CG493" s="459"/>
    </row>
    <row r="494" spans="1:85" x14ac:dyDescent="0.3">
      <c r="A494" s="30" t="s">
        <v>87</v>
      </c>
      <c r="B494" s="416"/>
      <c r="C494" s="984"/>
      <c r="D494" s="984"/>
      <c r="E494" s="984"/>
      <c r="F494" s="984"/>
      <c r="G494" s="761"/>
      <c r="H494" s="761"/>
      <c r="I494" s="761"/>
      <c r="J494" s="761"/>
      <c r="K494" s="984"/>
      <c r="L494" s="761"/>
      <c r="M494" s="761"/>
      <c r="N494" s="761"/>
      <c r="O494" s="761"/>
      <c r="P494" s="984"/>
      <c r="Q494" s="761"/>
      <c r="R494" s="761"/>
      <c r="S494" s="761"/>
      <c r="T494" s="761"/>
      <c r="U494" s="984"/>
      <c r="V494" s="761"/>
      <c r="W494" s="761"/>
      <c r="X494" s="761"/>
      <c r="Y494" s="761"/>
      <c r="Z494" s="984"/>
      <c r="AA494" s="761"/>
      <c r="AB494" s="761"/>
      <c r="AC494" s="761"/>
      <c r="AD494" s="761"/>
      <c r="AE494" s="984"/>
      <c r="AF494" s="761"/>
      <c r="AG494" s="761"/>
      <c r="AH494" s="761"/>
      <c r="AI494" s="761"/>
      <c r="AJ494" s="984"/>
      <c r="AK494" s="761"/>
      <c r="AL494" s="761"/>
      <c r="AM494" s="761"/>
      <c r="AN494" s="761"/>
      <c r="AO494" s="984"/>
      <c r="AP494" s="761"/>
      <c r="AQ494" s="761"/>
      <c r="AR494" s="761"/>
      <c r="AS494" s="761"/>
      <c r="AT494" s="984"/>
      <c r="AU494" s="761"/>
      <c r="AV494" s="761"/>
      <c r="AW494" s="761"/>
      <c r="AX494" s="761"/>
      <c r="AY494" s="984"/>
      <c r="AZ494" s="761"/>
      <c r="BA494" s="761"/>
      <c r="BB494" s="761"/>
      <c r="BC494" s="761"/>
      <c r="BD494" s="984"/>
      <c r="BE494" s="761"/>
      <c r="BF494" s="761"/>
      <c r="BG494" s="761"/>
      <c r="BH494" s="761"/>
      <c r="BI494" s="984"/>
      <c r="BJ494" s="761"/>
      <c r="BK494" s="761"/>
      <c r="BL494" s="761"/>
      <c r="BM494" s="761"/>
      <c r="BN494" s="984"/>
      <c r="BO494" s="761"/>
      <c r="BP494" s="761"/>
      <c r="BQ494" s="761"/>
      <c r="BR494" s="761"/>
      <c r="BS494" s="984"/>
      <c r="BT494" s="762"/>
      <c r="BU494" s="761"/>
      <c r="BV494" s="761"/>
      <c r="BW494" s="761"/>
      <c r="BX494" s="984">
        <f>SUM(BT494,BU494,BV494,BW494)</f>
      </c>
      <c r="BY494" s="761"/>
      <c r="BZ494" s="761"/>
      <c r="CA494" s="761"/>
      <c r="CB494" s="761"/>
      <c r="CC494" s="984">
        <f>SUM(BY494,BZ494,CA494,CB494)</f>
      </c>
      <c r="CD494" s="984"/>
      <c r="CE494" s="984"/>
      <c r="CF494" s="984"/>
      <c r="CG494" s="459"/>
    </row>
    <row r="495" spans="1:85" x14ac:dyDescent="0.3">
      <c r="A495" s="2" t="s">
        <v>88</v>
      </c>
      <c r="B495" s="422"/>
      <c r="C495" s="986">
        <f t="shared" ref="C495:AH495" si="914">C491-SUM(C492:C494)</f>
      </c>
      <c r="D495" s="986">
        <f t="shared" si="914"/>
      </c>
      <c r="E495" s="986">
        <f t="shared" si="914"/>
      </c>
      <c r="F495" s="986">
        <f t="shared" si="914"/>
      </c>
      <c r="G495" s="792">
        <f t="shared" si="914"/>
      </c>
      <c r="H495" s="792">
        <f t="shared" si="914"/>
      </c>
      <c r="I495" s="792">
        <f t="shared" si="914"/>
      </c>
      <c r="J495" s="792">
        <f t="shared" si="914"/>
      </c>
      <c r="K495" s="986">
        <f t="shared" si="914"/>
      </c>
      <c r="L495" s="792">
        <f t="shared" si="914"/>
      </c>
      <c r="M495" s="792">
        <f t="shared" si="914"/>
      </c>
      <c r="N495" s="792">
        <f t="shared" si="914"/>
      </c>
      <c r="O495" s="792">
        <f t="shared" si="914"/>
      </c>
      <c r="P495" s="986">
        <f t="shared" si="914"/>
      </c>
      <c r="Q495" s="792">
        <f t="shared" si="914"/>
      </c>
      <c r="R495" s="792">
        <f t="shared" si="914"/>
      </c>
      <c r="S495" s="792">
        <f t="shared" si="914"/>
      </c>
      <c r="T495" s="792">
        <f t="shared" si="914"/>
      </c>
      <c r="U495" s="986">
        <f t="shared" si="914"/>
      </c>
      <c r="V495" s="792">
        <f t="shared" si="914"/>
      </c>
      <c r="W495" s="792">
        <f t="shared" si="914"/>
      </c>
      <c r="X495" s="792">
        <f t="shared" si="914"/>
      </c>
      <c r="Y495" s="792">
        <f t="shared" si="914"/>
      </c>
      <c r="Z495" s="986">
        <f t="shared" si="914"/>
      </c>
      <c r="AA495" s="792">
        <f t="shared" si="914"/>
      </c>
      <c r="AB495" s="792">
        <f t="shared" si="914"/>
      </c>
      <c r="AC495" s="792">
        <f t="shared" si="914"/>
      </c>
      <c r="AD495" s="792">
        <f t="shared" si="914"/>
      </c>
      <c r="AE495" s="986">
        <f t="shared" si="914"/>
      </c>
      <c r="AF495" s="792">
        <f t="shared" si="914"/>
      </c>
      <c r="AG495" s="792">
        <f t="shared" si="914"/>
      </c>
      <c r="AH495" s="792">
        <f t="shared" si="914"/>
      </c>
      <c r="AI495" s="792">
        <f t="shared" ref="AI495:AQ495" si="915">AI491-SUM(AI492:AI494)</f>
      </c>
      <c r="AJ495" s="986">
        <f t="shared" si="915"/>
      </c>
      <c r="AK495" s="792">
        <f t="shared" si="915"/>
      </c>
      <c r="AL495" s="792">
        <f t="shared" si="915"/>
      </c>
      <c r="AM495" s="792">
        <f t="shared" si="915"/>
      </c>
      <c r="AN495" s="792">
        <f t="shared" si="915"/>
      </c>
      <c r="AO495" s="986">
        <f t="shared" si="915"/>
      </c>
      <c r="AP495" s="792">
        <f t="shared" si="915"/>
      </c>
      <c r="AQ495" s="792">
        <f t="shared" si="915"/>
      </c>
      <c r="AR495" s="792">
        <f>AR491-SUM(AR492:AR494)</f>
      </c>
      <c r="AS495" s="792">
        <f>AS491-SUM(AS492:AS494)</f>
      </c>
      <c r="AT495" s="986">
        <f>AT491-SUM(AT492:AT494)</f>
      </c>
      <c r="AU495" s="792">
        <f t="shared" ref="AU495" si="916">AU491-SUM(AU492:AU494)</f>
      </c>
      <c r="AV495" s="792">
        <f>AV491-SUM(AV492:AV494)</f>
      </c>
      <c r="AW495" s="792">
        <f t="shared" ref="AW495" si="917">AW491-SUM(AW492:AW494)</f>
      </c>
      <c r="AX495" s="792">
        <f t="shared" ref="AX495:BD495" si="918">AX491-SUM(AX492:AX494)</f>
      </c>
      <c r="AY495" s="986">
        <f t="shared" si="918"/>
      </c>
      <c r="AZ495" s="792">
        <f t="shared" si="918"/>
      </c>
      <c r="BA495" s="792">
        <f t="shared" si="918"/>
      </c>
      <c r="BB495" s="792">
        <f t="shared" si="918"/>
      </c>
      <c r="BC495" s="792">
        <f t="shared" si="918"/>
      </c>
      <c r="BD495" s="986">
        <f t="shared" si="918"/>
      </c>
      <c r="BE495" s="792">
        <f t="shared" ref="BE495:BI495" si="919">BE491-SUM(BE492:BE494)</f>
      </c>
      <c r="BF495" s="792">
        <f t="shared" si="919"/>
      </c>
      <c r="BG495" s="792">
        <f t="shared" si="919"/>
      </c>
      <c r="BH495" s="792">
        <f t="shared" si="919"/>
      </c>
      <c r="BI495" s="986">
        <f t="shared" si="919"/>
      </c>
      <c r="BJ495" s="792">
        <f t="shared" ref="BJ495:BX495" si="920">BJ491-SUM(BJ492:BJ494)</f>
      </c>
      <c r="BK495" s="792">
        <f t="shared" si="920"/>
      </c>
      <c r="BL495" s="792">
        <f t="shared" si="920"/>
      </c>
      <c r="BM495" s="792">
        <f t="shared" si="920"/>
      </c>
      <c r="BN495" s="986">
        <f t="shared" si="920"/>
      </c>
      <c r="BO495" s="792">
        <f t="shared" ref="BO495:BW495" si="921">BO491-SUM(BO492:BO494)</f>
      </c>
      <c r="BP495" s="792">
        <f t="shared" si="921"/>
      </c>
      <c r="BQ495" s="792">
        <f t="shared" si="921"/>
      </c>
      <c r="BR495" s="792">
        <f t="shared" si="921"/>
      </c>
      <c r="BS495" s="986">
        <f t="shared" si="921"/>
      </c>
      <c r="BT495" s="793">
        <f>BT491-SUM(BT492:BT494)</f>
      </c>
      <c r="BU495" s="791">
        <f t="shared" si="921"/>
      </c>
      <c r="BV495" s="791">
        <f t="shared" si="921"/>
      </c>
      <c r="BW495" s="791">
        <f t="shared" si="921"/>
      </c>
      <c r="BX495" s="965">
        <f t="shared" si="920"/>
      </c>
      <c r="BY495" s="791">
        <f t="shared" ref="BY495:CF495" si="922">BY491-SUM(BY492:BY494)</f>
      </c>
      <c r="BZ495" s="791">
        <f t="shared" si="922"/>
      </c>
      <c r="CA495" s="791">
        <f t="shared" si="922"/>
      </c>
      <c r="CB495" s="791">
        <f t="shared" si="922"/>
      </c>
      <c r="CC495" s="965">
        <f t="shared" si="922"/>
      </c>
      <c r="CD495" s="965">
        <f t="shared" si="922"/>
      </c>
      <c r="CE495" s="965">
        <f t="shared" si="922"/>
      </c>
      <c r="CF495" s="965">
        <f t="shared" si="922"/>
      </c>
      <c r="CG495" s="183"/>
    </row>
    <row r="496" spans="1:85" x14ac:dyDescent="0.3">
      <c r="A496" s="159" t="s">
        <v>89</v>
      </c>
      <c r="B496" s="264"/>
      <c r="C496" s="1012">
        <f>-C458</f>
      </c>
      <c r="D496" s="1012">
        <f t="shared" ref="D496:AW496" si="923">-D458</f>
      </c>
      <c r="E496" s="1012">
        <f t="shared" si="923"/>
      </c>
      <c r="F496" s="1012">
        <f t="shared" si="923"/>
      </c>
      <c r="G496" s="809">
        <f t="shared" si="923"/>
      </c>
      <c r="H496" s="809">
        <f t="shared" si="923"/>
      </c>
      <c r="I496" s="809">
        <f t="shared" si="923"/>
      </c>
      <c r="J496" s="809">
        <f t="shared" si="923"/>
      </c>
      <c r="K496" s="1012">
        <f t="shared" si="923"/>
      </c>
      <c r="L496" s="809">
        <f t="shared" si="923"/>
      </c>
      <c r="M496" s="809">
        <f t="shared" si="923"/>
      </c>
      <c r="N496" s="809">
        <f t="shared" si="923"/>
      </c>
      <c r="O496" s="809">
        <f t="shared" si="923"/>
      </c>
      <c r="P496" s="1012">
        <f t="shared" si="923"/>
      </c>
      <c r="Q496" s="809">
        <f t="shared" si="923"/>
      </c>
      <c r="R496" s="809">
        <f t="shared" si="923"/>
      </c>
      <c r="S496" s="809">
        <f t="shared" si="923"/>
      </c>
      <c r="T496" s="809">
        <f t="shared" si="923"/>
      </c>
      <c r="U496" s="1012">
        <f t="shared" si="923"/>
      </c>
      <c r="V496" s="809">
        <f t="shared" si="923"/>
      </c>
      <c r="W496" s="809">
        <f t="shared" si="923"/>
      </c>
      <c r="X496" s="809">
        <f t="shared" si="923"/>
      </c>
      <c r="Y496" s="809">
        <f t="shared" si="923"/>
      </c>
      <c r="Z496" s="1012">
        <f t="shared" si="923"/>
      </c>
      <c r="AA496" s="809">
        <f t="shared" si="923"/>
      </c>
      <c r="AB496" s="809">
        <f t="shared" si="923"/>
      </c>
      <c r="AC496" s="809">
        <f t="shared" si="923"/>
      </c>
      <c r="AD496" s="809">
        <f t="shared" si="923"/>
      </c>
      <c r="AE496" s="1012">
        <f t="shared" si="923"/>
      </c>
      <c r="AF496" s="809">
        <f t="shared" si="923"/>
      </c>
      <c r="AG496" s="809">
        <f t="shared" si="923"/>
      </c>
      <c r="AH496" s="809">
        <f t="shared" si="923"/>
      </c>
      <c r="AI496" s="809">
        <f t="shared" si="923"/>
      </c>
      <c r="AJ496" s="1012">
        <f t="shared" si="923"/>
      </c>
      <c r="AK496" s="809">
        <f t="shared" si="923"/>
      </c>
      <c r="AL496" s="809">
        <f t="shared" si="923"/>
      </c>
      <c r="AM496" s="809">
        <f t="shared" si="923"/>
      </c>
      <c r="AN496" s="809">
        <f t="shared" si="923"/>
      </c>
      <c r="AO496" s="1012">
        <f t="shared" si="923"/>
      </c>
      <c r="AP496" s="809">
        <f t="shared" si="923"/>
      </c>
      <c r="AQ496" s="809">
        <f t="shared" si="923"/>
      </c>
      <c r="AR496" s="809">
        <f t="shared" si="923"/>
      </c>
      <c r="AS496" s="809">
        <f t="shared" si="923"/>
      </c>
      <c r="AT496" s="1012">
        <f t="shared" si="923"/>
      </c>
      <c r="AU496" s="809">
        <f t="shared" si="923"/>
      </c>
      <c r="AV496" s="809">
        <f t="shared" si="923"/>
      </c>
      <c r="AW496" s="809">
        <f t="shared" si="923"/>
      </c>
      <c r="AX496" s="809">
        <f t="shared" ref="AX496:BD496" si="924">-AX458</f>
      </c>
      <c r="AY496" s="1012">
        <f t="shared" si="924"/>
      </c>
      <c r="AZ496" s="809">
        <f t="shared" si="924"/>
      </c>
      <c r="BA496" s="810">
        <f t="shared" si="924"/>
      </c>
      <c r="BB496" s="810">
        <f t="shared" si="924"/>
      </c>
      <c r="BC496" s="809">
        <f t="shared" si="924"/>
      </c>
      <c r="BD496" s="1012">
        <f t="shared" si="924"/>
      </c>
      <c r="BE496" s="809">
        <f t="shared" ref="BE496:BJ496" si="925">-BE458</f>
      </c>
      <c r="BF496" s="810">
        <f t="shared" si="925"/>
      </c>
      <c r="BG496" s="810">
        <f t="shared" si="925"/>
      </c>
      <c r="BH496" s="809">
        <f t="shared" si="925"/>
      </c>
      <c r="BI496" s="1012">
        <f t="shared" si="925"/>
      </c>
      <c r="BJ496" s="809">
        <f t="shared" si="925"/>
      </c>
      <c r="BK496" s="810">
        <f t="shared" ref="BK496:BP496" si="926">-BK458</f>
      </c>
      <c r="BL496" s="810">
        <f t="shared" si="926"/>
      </c>
      <c r="BM496" s="809">
        <f t="shared" si="926"/>
      </c>
      <c r="BN496" s="1012">
        <f t="shared" si="926"/>
      </c>
      <c r="BO496" s="809">
        <f t="shared" si="926"/>
      </c>
      <c r="BP496" s="810">
        <f t="shared" si="926"/>
      </c>
      <c r="BQ496" s="810">
        <f>-BQ458</f>
      </c>
      <c r="BR496" s="809">
        <f>-BR458</f>
      </c>
      <c r="BS496" s="1012">
        <f>-BS458</f>
      </c>
      <c r="BT496" s="811">
        <f>-BT458</f>
      </c>
      <c r="BU496" s="809"/>
      <c r="BV496" s="809"/>
      <c r="BW496" s="809"/>
      <c r="BX496" s="1012">
        <f>SUM(BT496,BU496,BV496,BW496)</f>
      </c>
      <c r="BY496" s="809"/>
      <c r="BZ496" s="809"/>
      <c r="CA496" s="809"/>
      <c r="CB496" s="809"/>
      <c r="CC496" s="1012">
        <f>SUM(BY496,BZ496,CA496,CB496)</f>
      </c>
      <c r="CD496" s="1012"/>
      <c r="CE496" s="1012"/>
      <c r="CF496" s="1012"/>
      <c r="CG496" s="459"/>
    </row>
    <row r="497" spans="1:85" x14ac:dyDescent="0.3">
      <c r="A497" s="2" t="s">
        <v>90</v>
      </c>
      <c r="B497" s="422"/>
      <c r="C497" s="986">
        <f t="shared" ref="C497:AH497" si="927">C495-C496</f>
      </c>
      <c r="D497" s="986">
        <f t="shared" si="927"/>
      </c>
      <c r="E497" s="986">
        <f t="shared" si="927"/>
      </c>
      <c r="F497" s="986">
        <f t="shared" si="927"/>
      </c>
      <c r="G497" s="792">
        <f t="shared" si="927"/>
      </c>
      <c r="H497" s="792">
        <f t="shared" si="927"/>
      </c>
      <c r="I497" s="792">
        <f t="shared" si="927"/>
      </c>
      <c r="J497" s="792">
        <f t="shared" si="927"/>
      </c>
      <c r="K497" s="986">
        <f t="shared" si="927"/>
      </c>
      <c r="L497" s="792">
        <f t="shared" si="927"/>
      </c>
      <c r="M497" s="792">
        <f t="shared" si="927"/>
      </c>
      <c r="N497" s="792">
        <f t="shared" si="927"/>
      </c>
      <c r="O497" s="792">
        <f t="shared" si="927"/>
      </c>
      <c r="P497" s="986">
        <f t="shared" si="927"/>
      </c>
      <c r="Q497" s="792">
        <f t="shared" si="927"/>
      </c>
      <c r="R497" s="792">
        <f t="shared" si="927"/>
      </c>
      <c r="S497" s="792">
        <f t="shared" si="927"/>
      </c>
      <c r="T497" s="792">
        <f t="shared" si="927"/>
      </c>
      <c r="U497" s="986">
        <f t="shared" si="927"/>
      </c>
      <c r="V497" s="792">
        <f t="shared" si="927"/>
      </c>
      <c r="W497" s="792">
        <f t="shared" si="927"/>
      </c>
      <c r="X497" s="792">
        <f t="shared" si="927"/>
      </c>
      <c r="Y497" s="792">
        <f t="shared" si="927"/>
      </c>
      <c r="Z497" s="986">
        <f t="shared" si="927"/>
      </c>
      <c r="AA497" s="792">
        <f t="shared" si="927"/>
      </c>
      <c r="AB497" s="792">
        <f t="shared" si="927"/>
      </c>
      <c r="AC497" s="792">
        <f t="shared" si="927"/>
      </c>
      <c r="AD497" s="792">
        <f t="shared" si="927"/>
      </c>
      <c r="AE497" s="986">
        <f t="shared" si="927"/>
      </c>
      <c r="AF497" s="792">
        <f t="shared" si="927"/>
      </c>
      <c r="AG497" s="792">
        <f t="shared" si="927"/>
      </c>
      <c r="AH497" s="792">
        <f t="shared" si="927"/>
      </c>
      <c r="AI497" s="792">
        <f t="shared" ref="AI497:AQ497" si="928">AI495-AI496</f>
      </c>
      <c r="AJ497" s="986">
        <f t="shared" si="928"/>
      </c>
      <c r="AK497" s="792">
        <f t="shared" si="928"/>
      </c>
      <c r="AL497" s="792">
        <f t="shared" si="928"/>
      </c>
      <c r="AM497" s="792">
        <f t="shared" si="928"/>
      </c>
      <c r="AN497" s="792">
        <f t="shared" si="928"/>
      </c>
      <c r="AO497" s="986">
        <f t="shared" si="928"/>
      </c>
      <c r="AP497" s="792">
        <f t="shared" si="928"/>
      </c>
      <c r="AQ497" s="792">
        <f t="shared" si="928"/>
      </c>
      <c r="AR497" s="792">
        <f>AR495-AR496</f>
      </c>
      <c r="AS497" s="792">
        <f>AS495-AS496</f>
      </c>
      <c r="AT497" s="986">
        <f>AT495-AT496</f>
      </c>
      <c r="AU497" s="792">
        <f t="shared" ref="AU497" si="929">AU495-AU496</f>
      </c>
      <c r="AV497" s="792">
        <f>AV495-AV496</f>
      </c>
      <c r="AW497" s="792">
        <f t="shared" ref="AW497" si="930">AW495-AW496</f>
      </c>
      <c r="AX497" s="792">
        <f t="shared" ref="AX497:BD497" si="931">AX495-AX496</f>
      </c>
      <c r="AY497" s="986">
        <f t="shared" si="931"/>
      </c>
      <c r="AZ497" s="792">
        <f t="shared" si="931"/>
      </c>
      <c r="BA497" s="792">
        <f t="shared" si="931"/>
      </c>
      <c r="BB497" s="792">
        <f t="shared" si="931"/>
      </c>
      <c r="BC497" s="792">
        <f t="shared" si="931"/>
      </c>
      <c r="BD497" s="986">
        <f t="shared" si="931"/>
      </c>
      <c r="BE497" s="792">
        <f t="shared" ref="BE497:BI497" si="932">BE495-BE496</f>
      </c>
      <c r="BF497" s="792">
        <f t="shared" si="932"/>
      </c>
      <c r="BG497" s="792">
        <f t="shared" si="932"/>
      </c>
      <c r="BH497" s="792">
        <f t="shared" si="932"/>
      </c>
      <c r="BI497" s="986">
        <f t="shared" si="932"/>
      </c>
      <c r="BJ497" s="792">
        <f t="shared" ref="BJ497:BX497" si="933">BJ495-BJ496</f>
      </c>
      <c r="BK497" s="792">
        <f t="shared" si="933"/>
      </c>
      <c r="BL497" s="792">
        <f t="shared" si="933"/>
      </c>
      <c r="BM497" s="792">
        <f t="shared" si="933"/>
      </c>
      <c r="BN497" s="986">
        <f t="shared" si="933"/>
      </c>
      <c r="BO497" s="792">
        <f t="shared" ref="BO497:BW497" si="934">BO495-BO496</f>
      </c>
      <c r="BP497" s="792">
        <f t="shared" si="934"/>
      </c>
      <c r="BQ497" s="792">
        <f t="shared" si="934"/>
      </c>
      <c r="BR497" s="792">
        <f t="shared" si="934"/>
      </c>
      <c r="BS497" s="986">
        <f t="shared" si="934"/>
      </c>
      <c r="BT497" s="793">
        <f>BT495-BT496</f>
      </c>
      <c r="BU497" s="791">
        <f t="shared" si="934"/>
      </c>
      <c r="BV497" s="791">
        <f t="shared" si="934"/>
      </c>
      <c r="BW497" s="791">
        <f t="shared" si="934"/>
      </c>
      <c r="BX497" s="965">
        <f t="shared" si="933"/>
      </c>
      <c r="BY497" s="791">
        <f t="shared" ref="BY497:CF497" si="935">BY495-BY496</f>
      </c>
      <c r="BZ497" s="791">
        <f t="shared" si="935"/>
      </c>
      <c r="CA497" s="791">
        <f t="shared" si="935"/>
      </c>
      <c r="CB497" s="791">
        <f t="shared" si="935"/>
      </c>
      <c r="CC497" s="965">
        <f t="shared" si="935"/>
      </c>
      <c r="CD497" s="965">
        <f t="shared" si="935"/>
      </c>
      <c r="CE497" s="965">
        <f t="shared" si="935"/>
      </c>
      <c r="CF497" s="965">
        <f t="shared" si="935"/>
      </c>
      <c r="CG497" s="183"/>
    </row>
    <row r="498" spans="1:85" x14ac:dyDescent="0.3">
      <c r="A498" s="158" t="s">
        <v>91</v>
      </c>
      <c r="B498" s="419"/>
      <c r="C498" s="1013">
        <f t="shared" ref="C498:AW498" si="936">-SUM(C451:C454)</f>
      </c>
      <c r="D498" s="1013">
        <f t="shared" si="936"/>
      </c>
      <c r="E498" s="1013">
        <f t="shared" si="936"/>
      </c>
      <c r="F498" s="1013">
        <f t="shared" si="936"/>
      </c>
      <c r="G498" s="812">
        <f>-SUM(G451:G454)</f>
      </c>
      <c r="H498" s="812">
        <f t="shared" si="936"/>
      </c>
      <c r="I498" s="812">
        <f t="shared" si="936"/>
      </c>
      <c r="J498" s="812">
        <f t="shared" si="936"/>
      </c>
      <c r="K498" s="1013">
        <f t="shared" si="936"/>
      </c>
      <c r="L498" s="812">
        <f t="shared" si="936"/>
      </c>
      <c r="M498" s="812">
        <f t="shared" si="936"/>
      </c>
      <c r="N498" s="812">
        <f t="shared" si="936"/>
      </c>
      <c r="O498" s="812">
        <f t="shared" si="936"/>
      </c>
      <c r="P498" s="1013">
        <f t="shared" si="936"/>
      </c>
      <c r="Q498" s="812">
        <f t="shared" si="936"/>
      </c>
      <c r="R498" s="812">
        <f t="shared" si="936"/>
      </c>
      <c r="S498" s="812">
        <f t="shared" si="936"/>
      </c>
      <c r="T498" s="812">
        <f t="shared" si="936"/>
      </c>
      <c r="U498" s="1013">
        <f t="shared" si="936"/>
      </c>
      <c r="V498" s="812">
        <f t="shared" si="936"/>
      </c>
      <c r="W498" s="812">
        <f t="shared" si="936"/>
      </c>
      <c r="X498" s="812">
        <f t="shared" si="936"/>
      </c>
      <c r="Y498" s="812">
        <f t="shared" si="936"/>
      </c>
      <c r="Z498" s="1013">
        <f t="shared" si="936"/>
      </c>
      <c r="AA498" s="812">
        <f t="shared" si="936"/>
      </c>
      <c r="AB498" s="812">
        <f t="shared" si="936"/>
      </c>
      <c r="AC498" s="812">
        <f t="shared" si="936"/>
      </c>
      <c r="AD498" s="812">
        <f t="shared" si="936"/>
      </c>
      <c r="AE498" s="1013">
        <f t="shared" si="936"/>
      </c>
      <c r="AF498" s="812">
        <f t="shared" si="936"/>
      </c>
      <c r="AG498" s="812">
        <f t="shared" si="936"/>
      </c>
      <c r="AH498" s="812">
        <f t="shared" si="936"/>
      </c>
      <c r="AI498" s="812">
        <f t="shared" si="936"/>
      </c>
      <c r="AJ498" s="1013">
        <f t="shared" si="936"/>
      </c>
      <c r="AK498" s="812">
        <f t="shared" si="936"/>
      </c>
      <c r="AL498" s="812">
        <f t="shared" si="936"/>
      </c>
      <c r="AM498" s="812">
        <f t="shared" si="936"/>
      </c>
      <c r="AN498" s="812">
        <f t="shared" si="936"/>
      </c>
      <c r="AO498" s="1013">
        <f t="shared" si="936"/>
      </c>
      <c r="AP498" s="812">
        <f t="shared" si="936"/>
      </c>
      <c r="AQ498" s="812">
        <f t="shared" si="936"/>
      </c>
      <c r="AR498" s="812">
        <f t="shared" si="936"/>
      </c>
      <c r="AS498" s="812">
        <f t="shared" si="936"/>
      </c>
      <c r="AT498" s="1013">
        <f t="shared" si="936"/>
      </c>
      <c r="AU498" s="812">
        <f t="shared" si="936"/>
      </c>
      <c r="AV498" s="812">
        <f t="shared" si="936"/>
      </c>
      <c r="AW498" s="812">
        <f t="shared" si="936"/>
      </c>
      <c r="AX498" s="812">
        <f t="shared" ref="AX498:BD498" si="937">-SUM(AX451:AX454)</f>
      </c>
      <c r="AY498" s="1013">
        <f t="shared" si="937"/>
      </c>
      <c r="AZ498" s="812">
        <f t="shared" si="937"/>
      </c>
      <c r="BA498" s="812">
        <f t="shared" si="937"/>
      </c>
      <c r="BB498" s="812">
        <f t="shared" si="937"/>
      </c>
      <c r="BC498" s="812">
        <f t="shared" si="937"/>
      </c>
      <c r="BD498" s="1013">
        <f t="shared" si="937"/>
      </c>
      <c r="BE498" s="812">
        <f t="shared" ref="BE498:BJ498" si="938">-SUM(BE451:BE454)</f>
      </c>
      <c r="BF498" s="812">
        <f t="shared" si="938"/>
      </c>
      <c r="BG498" s="812">
        <f t="shared" si="938"/>
      </c>
      <c r="BH498" s="812">
        <f t="shared" si="938"/>
      </c>
      <c r="BI498" s="1013">
        <f t="shared" si="938"/>
      </c>
      <c r="BJ498" s="812">
        <f t="shared" si="938"/>
      </c>
      <c r="BK498" s="812">
        <f t="shared" ref="BK498:BP498" si="939">-SUM(BK451:BK454)</f>
      </c>
      <c r="BL498" s="812">
        <f t="shared" si="939"/>
      </c>
      <c r="BM498" s="812">
        <f t="shared" si="939"/>
      </c>
      <c r="BN498" s="1013">
        <f t="shared" si="939"/>
      </c>
      <c r="BO498" s="812">
        <f t="shared" si="939"/>
      </c>
      <c r="BP498" s="812">
        <f t="shared" si="939"/>
      </c>
      <c r="BQ498" s="812">
        <f>-SUM(BQ451:BQ454)</f>
      </c>
      <c r="BR498" s="812">
        <f>-SUM(BR451:BR454)</f>
      </c>
      <c r="BS498" s="1013">
        <f>-SUM(BS451:BS454)</f>
      </c>
      <c r="BT498" s="813">
        <f>-SUM(BT451:BT454)</f>
      </c>
      <c r="BU498" s="804"/>
      <c r="BV498" s="804"/>
      <c r="BW498" s="804"/>
      <c r="BX498" s="1008">
        <f>SUM(BT498,BU498,BV498,BW498)</f>
      </c>
      <c r="BY498" s="804"/>
      <c r="BZ498" s="804"/>
      <c r="CA498" s="804"/>
      <c r="CB498" s="804"/>
      <c r="CC498" s="1008">
        <f>SUM(BY498,BZ498,CA498,CB498)</f>
      </c>
      <c r="CD498" s="1008"/>
      <c r="CE498" s="1008"/>
      <c r="CF498" s="1008"/>
      <c r="CG498" s="459"/>
    </row>
    <row r="499" spans="1:85" x14ac:dyDescent="0.3">
      <c r="A499" s="30" t="s">
        <v>92</v>
      </c>
      <c r="B499" s="416"/>
      <c r="C499" s="984"/>
      <c r="D499" s="984"/>
      <c r="E499" s="984"/>
      <c r="F499" s="984"/>
      <c r="G499" s="761"/>
      <c r="H499" s="761"/>
      <c r="I499" s="761"/>
      <c r="J499" s="761"/>
      <c r="K499" s="984"/>
      <c r="L499" s="761"/>
      <c r="M499" s="761"/>
      <c r="N499" s="761"/>
      <c r="O499" s="761"/>
      <c r="P499" s="984"/>
      <c r="Q499" s="761"/>
      <c r="R499" s="761"/>
      <c r="S499" s="761"/>
      <c r="T499" s="761"/>
      <c r="U499" s="984"/>
      <c r="V499" s="761"/>
      <c r="W499" s="761"/>
      <c r="X499" s="761"/>
      <c r="Y499" s="761"/>
      <c r="Z499" s="984"/>
      <c r="AA499" s="761"/>
      <c r="AB499" s="761"/>
      <c r="AC499" s="761"/>
      <c r="AD499" s="761"/>
      <c r="AE499" s="984"/>
      <c r="AF499" s="761"/>
      <c r="AG499" s="761"/>
      <c r="AH499" s="761"/>
      <c r="AI499" s="761"/>
      <c r="AJ499" s="984"/>
      <c r="AK499" s="761"/>
      <c r="AL499" s="761"/>
      <c r="AM499" s="761"/>
      <c r="AN499" s="761"/>
      <c r="AO499" s="984"/>
      <c r="AP499" s="761"/>
      <c r="AQ499" s="761"/>
      <c r="AR499" s="761"/>
      <c r="AS499" s="761"/>
      <c r="AT499" s="984"/>
      <c r="AU499" s="761"/>
      <c r="AV499" s="761"/>
      <c r="AW499" s="761"/>
      <c r="AX499" s="761"/>
      <c r="AY499" s="984"/>
      <c r="AZ499" s="761"/>
      <c r="BA499" s="761"/>
      <c r="BB499" s="761"/>
      <c r="BC499" s="761"/>
      <c r="BD499" s="984"/>
      <c r="BE499" s="761"/>
      <c r="BF499" s="761"/>
      <c r="BG499" s="761"/>
      <c r="BH499" s="761"/>
      <c r="BI499" s="984"/>
      <c r="BJ499" s="761"/>
      <c r="BK499" s="761"/>
      <c r="BL499" s="761"/>
      <c r="BM499" s="761"/>
      <c r="BN499" s="984"/>
      <c r="BO499" s="761"/>
      <c r="BP499" s="761"/>
      <c r="BQ499" s="761"/>
      <c r="BR499" s="761"/>
      <c r="BS499" s="984"/>
      <c r="BT499" s="762"/>
      <c r="BU499" s="761"/>
      <c r="BV499" s="761"/>
      <c r="BW499" s="761"/>
      <c r="BX499" s="984">
        <f>SUM(BT499,BU499,BV499,BW499)</f>
      </c>
      <c r="BY499" s="761"/>
      <c r="BZ499" s="761"/>
      <c r="CA499" s="761"/>
      <c r="CB499" s="761"/>
      <c r="CC499" s="984">
        <f>SUM(BY499,BZ499,CA499,CB499)</f>
      </c>
      <c r="CD499" s="984"/>
      <c r="CE499" s="984"/>
      <c r="CF499" s="984"/>
      <c r="CG499" s="459"/>
    </row>
    <row r="500" spans="1:85" x14ac:dyDescent="0.3">
      <c r="A500" s="2" t="s">
        <v>93</v>
      </c>
      <c r="B500" s="422"/>
      <c r="C500" s="986">
        <f>C495-SUM(C498:C499)</f>
      </c>
      <c r="D500" s="986">
        <f t="shared" ref="D500:AW500" si="940">D495-SUM(D498:D499)</f>
      </c>
      <c r="E500" s="986">
        <f t="shared" si="940"/>
      </c>
      <c r="F500" s="986">
        <f t="shared" si="940"/>
      </c>
      <c r="G500" s="792">
        <f t="shared" si="940"/>
      </c>
      <c r="H500" s="792">
        <f t="shared" si="940"/>
      </c>
      <c r="I500" s="792">
        <f t="shared" si="940"/>
      </c>
      <c r="J500" s="792">
        <f t="shared" si="940"/>
      </c>
      <c r="K500" s="986">
        <f t="shared" si="940"/>
      </c>
      <c r="L500" s="792">
        <f t="shared" si="940"/>
      </c>
      <c r="M500" s="792">
        <f t="shared" si="940"/>
      </c>
      <c r="N500" s="792">
        <f t="shared" si="940"/>
      </c>
      <c r="O500" s="792">
        <f t="shared" si="940"/>
      </c>
      <c r="P500" s="986">
        <f t="shared" si="940"/>
      </c>
      <c r="Q500" s="792">
        <f t="shared" si="940"/>
      </c>
      <c r="R500" s="792">
        <f t="shared" si="940"/>
      </c>
      <c r="S500" s="792">
        <f t="shared" si="940"/>
      </c>
      <c r="T500" s="792">
        <f t="shared" si="940"/>
      </c>
      <c r="U500" s="986">
        <f t="shared" si="940"/>
      </c>
      <c r="V500" s="792">
        <f t="shared" si="940"/>
      </c>
      <c r="W500" s="792">
        <f t="shared" si="940"/>
      </c>
      <c r="X500" s="792">
        <f t="shared" si="940"/>
      </c>
      <c r="Y500" s="792">
        <f t="shared" si="940"/>
      </c>
      <c r="Z500" s="986">
        <f t="shared" si="940"/>
      </c>
      <c r="AA500" s="792">
        <f t="shared" si="940"/>
      </c>
      <c r="AB500" s="792">
        <f t="shared" si="940"/>
      </c>
      <c r="AC500" s="792">
        <f t="shared" si="940"/>
      </c>
      <c r="AD500" s="792">
        <f t="shared" si="940"/>
      </c>
      <c r="AE500" s="986">
        <f t="shared" si="940"/>
      </c>
      <c r="AF500" s="792">
        <f t="shared" si="940"/>
      </c>
      <c r="AG500" s="792">
        <f t="shared" si="940"/>
      </c>
      <c r="AH500" s="792">
        <f t="shared" si="940"/>
      </c>
      <c r="AI500" s="792">
        <f t="shared" si="940"/>
      </c>
      <c r="AJ500" s="986">
        <f t="shared" si="940"/>
      </c>
      <c r="AK500" s="792">
        <f t="shared" si="940"/>
      </c>
      <c r="AL500" s="792">
        <f t="shared" si="940"/>
      </c>
      <c r="AM500" s="792">
        <f t="shared" si="940"/>
      </c>
      <c r="AN500" s="792">
        <f t="shared" si="940"/>
      </c>
      <c r="AO500" s="986">
        <f t="shared" si="940"/>
      </c>
      <c r="AP500" s="792">
        <f t="shared" si="940"/>
      </c>
      <c r="AQ500" s="792">
        <f t="shared" si="940"/>
      </c>
      <c r="AR500" s="792">
        <f t="shared" si="940"/>
      </c>
      <c r="AS500" s="792">
        <f t="shared" si="940"/>
      </c>
      <c r="AT500" s="986">
        <f t="shared" si="940"/>
      </c>
      <c r="AU500" s="792">
        <f t="shared" si="940"/>
      </c>
      <c r="AV500" s="792">
        <f t="shared" si="940"/>
      </c>
      <c r="AW500" s="792">
        <f t="shared" si="940"/>
      </c>
      <c r="AX500" s="792">
        <f t="shared" ref="AX500:BD500" si="941">AX495-SUM(AX498:AX499)</f>
      </c>
      <c r="AY500" s="986">
        <f t="shared" si="941"/>
      </c>
      <c r="AZ500" s="792">
        <f t="shared" si="941"/>
      </c>
      <c r="BA500" s="792">
        <f t="shared" si="941"/>
      </c>
      <c r="BB500" s="792">
        <f t="shared" si="941"/>
      </c>
      <c r="BC500" s="792">
        <f t="shared" si="941"/>
      </c>
      <c r="BD500" s="986">
        <f t="shared" si="941"/>
      </c>
      <c r="BE500" s="792">
        <f t="shared" ref="BE500:BJ500" si="942">BE495-SUM(BE498:BE499)</f>
      </c>
      <c r="BF500" s="792">
        <f t="shared" si="942"/>
      </c>
      <c r="BG500" s="792">
        <f t="shared" si="942"/>
      </c>
      <c r="BH500" s="792">
        <f t="shared" si="942"/>
      </c>
      <c r="BI500" s="986">
        <f t="shared" si="942"/>
      </c>
      <c r="BJ500" s="792">
        <f t="shared" si="942"/>
      </c>
      <c r="BK500" s="792">
        <f t="shared" ref="BK500:BP500" si="943">BK495-SUM(BK498:BK499)</f>
      </c>
      <c r="BL500" s="792">
        <f t="shared" si="943"/>
      </c>
      <c r="BM500" s="792">
        <f t="shared" si="943"/>
      </c>
      <c r="BN500" s="986">
        <f t="shared" si="943"/>
      </c>
      <c r="BO500" s="792">
        <f t="shared" si="943"/>
      </c>
      <c r="BP500" s="792">
        <f t="shared" si="943"/>
      </c>
      <c r="BQ500" s="792">
        <f>BQ495-SUM(BQ498:BQ499)</f>
      </c>
      <c r="BR500" s="792">
        <f>BR495-SUM(BR498:BR499)</f>
      </c>
      <c r="BS500" s="986">
        <f>BS495-SUM(BS498:BS499)</f>
      </c>
      <c r="BT500" s="793">
        <f>BT495-SUM(BT498:BT499)</f>
      </c>
      <c r="BU500" s="791">
        <f>BU497-SUM(BU498:BU499)</f>
      </c>
      <c r="BV500" s="791">
        <f>BV497-SUM(BV498:BV499)</f>
      </c>
      <c r="BW500" s="791">
        <f>BW497-SUM(BW498:BW499)</f>
      </c>
      <c r="BX500" s="965">
        <f t="shared" ref="BX500" si="944">BX497-SUM(BX498:BX499)</f>
      </c>
      <c r="BY500" s="791">
        <f t="shared" ref="BY500:CF500" si="945">BY497-SUM(BY498:BY499)</f>
      </c>
      <c r="BZ500" s="791">
        <f t="shared" si="945"/>
      </c>
      <c r="CA500" s="791">
        <f t="shared" si="945"/>
      </c>
      <c r="CB500" s="791">
        <f t="shared" si="945"/>
      </c>
      <c r="CC500" s="965">
        <f t="shared" si="945"/>
      </c>
      <c r="CD500" s="965">
        <f t="shared" si="945"/>
      </c>
      <c r="CE500" s="965">
        <f t="shared" si="945"/>
      </c>
      <c r="CF500" s="965">
        <f t="shared" si="945"/>
      </c>
      <c r="CG500" s="183"/>
    </row>
    <row r="501" spans="1:85" x14ac:dyDescent="0.3">
      <c r="A501" s="265"/>
      <c r="B501" s="266"/>
      <c r="C501" s="1014"/>
      <c r="D501" s="1014"/>
      <c r="E501" s="1014"/>
      <c r="F501" s="1014"/>
      <c r="G501" s="814"/>
      <c r="H501" s="814"/>
      <c r="I501" s="814"/>
      <c r="J501" s="814"/>
      <c r="K501" s="1014"/>
      <c r="L501" s="814"/>
      <c r="M501" s="814"/>
      <c r="N501" s="814"/>
      <c r="O501" s="814"/>
      <c r="P501" s="1014"/>
      <c r="Q501" s="814"/>
      <c r="R501" s="814"/>
      <c r="S501" s="814"/>
      <c r="T501" s="814"/>
      <c r="U501" s="1014"/>
      <c r="V501" s="814"/>
      <c r="W501" s="814"/>
      <c r="X501" s="814"/>
      <c r="Y501" s="814"/>
      <c r="Z501" s="1014"/>
      <c r="AA501" s="814"/>
      <c r="AB501" s="814"/>
      <c r="AC501" s="814"/>
      <c r="AD501" s="814"/>
      <c r="AE501" s="1014"/>
      <c r="AF501" s="814"/>
      <c r="AG501" s="814"/>
      <c r="AH501" s="814"/>
      <c r="AI501" s="814"/>
      <c r="AJ501" s="1014"/>
      <c r="AK501" s="814"/>
      <c r="AL501" s="814"/>
      <c r="AM501" s="814"/>
      <c r="AN501" s="814"/>
      <c r="AO501" s="1014"/>
      <c r="AP501" s="814"/>
      <c r="AQ501" s="814"/>
      <c r="AR501" s="814"/>
      <c r="AS501" s="814"/>
      <c r="AT501" s="1014"/>
      <c r="AU501" s="814"/>
      <c r="AV501" s="814"/>
      <c r="AW501" s="814"/>
      <c r="AX501" s="814"/>
      <c r="AY501" s="1014"/>
      <c r="AZ501" s="814"/>
      <c r="BA501" s="814"/>
      <c r="BB501" s="814"/>
      <c r="BC501" s="814"/>
      <c r="BD501" s="1014"/>
      <c r="BE501" s="814"/>
      <c r="BF501" s="814"/>
      <c r="BG501" s="814"/>
      <c r="BH501" s="814"/>
      <c r="BI501" s="1014"/>
      <c r="BJ501" s="814"/>
      <c r="BK501" s="814"/>
      <c r="BL501" s="814"/>
      <c r="BM501" s="814"/>
      <c r="BN501" s="1014"/>
      <c r="BO501" s="814"/>
      <c r="BP501" s="814"/>
      <c r="BQ501" s="814"/>
      <c r="BR501" s="814"/>
      <c r="BS501" s="1014"/>
      <c r="BT501" s="815"/>
      <c r="BU501" s="814"/>
      <c r="BV501" s="814"/>
      <c r="BW501" s="814"/>
      <c r="BX501" s="1014"/>
      <c r="BY501" s="814"/>
      <c r="BZ501" s="814"/>
      <c r="CA501" s="814"/>
      <c r="CB501" s="814"/>
      <c r="CC501" s="1014"/>
      <c r="CD501" s="1014"/>
      <c r="CE501" s="1014"/>
      <c r="CF501" s="1014"/>
      <c r="CG501" s="222"/>
    </row>
    <row r="502" spans="1:85" x14ac:dyDescent="0.3">
      <c r="A502" s="11" t="s">
        <v>94</v>
      </c>
      <c r="B502" s="267"/>
      <c r="C502" s="987">
        <f t="shared" ref="C502:AQ502" si="946">C489/C487</f>
      </c>
      <c r="D502" s="987">
        <f t="shared" si="946"/>
      </c>
      <c r="E502" s="987">
        <f t="shared" si="946"/>
      </c>
      <c r="F502" s="987">
        <f t="shared" si="946"/>
      </c>
      <c r="G502" s="11">
        <f t="shared" si="946"/>
      </c>
      <c r="H502" s="11">
        <f t="shared" si="946"/>
      </c>
      <c r="I502" s="11">
        <f t="shared" si="946"/>
      </c>
      <c r="J502" s="11">
        <f t="shared" si="946"/>
      </c>
      <c r="K502" s="987">
        <f t="shared" si="946"/>
      </c>
      <c r="L502" s="11">
        <f t="shared" si="946"/>
      </c>
      <c r="M502" s="11">
        <f t="shared" si="946"/>
      </c>
      <c r="N502" s="11">
        <f t="shared" si="946"/>
      </c>
      <c r="O502" s="11">
        <f t="shared" si="946"/>
      </c>
      <c r="P502" s="987">
        <f t="shared" si="946"/>
      </c>
      <c r="Q502" s="11">
        <f t="shared" si="946"/>
      </c>
      <c r="R502" s="11">
        <f t="shared" si="946"/>
      </c>
      <c r="S502" s="11">
        <f t="shared" si="946"/>
      </c>
      <c r="T502" s="11">
        <f t="shared" si="946"/>
      </c>
      <c r="U502" s="987">
        <f t="shared" si="946"/>
      </c>
      <c r="V502" s="11">
        <f t="shared" si="946"/>
      </c>
      <c r="W502" s="11">
        <f t="shared" si="946"/>
      </c>
      <c r="X502" s="11">
        <f t="shared" si="946"/>
      </c>
      <c r="Y502" s="11">
        <f t="shared" si="946"/>
      </c>
      <c r="Z502" s="987">
        <f t="shared" si="946"/>
      </c>
      <c r="AA502" s="11">
        <f t="shared" si="946"/>
      </c>
      <c r="AB502" s="11">
        <f t="shared" si="946"/>
      </c>
      <c r="AC502" s="11">
        <f t="shared" si="946"/>
      </c>
      <c r="AD502" s="11">
        <f t="shared" si="946"/>
      </c>
      <c r="AE502" s="987">
        <f t="shared" si="946"/>
      </c>
      <c r="AF502" s="11">
        <f t="shared" si="946"/>
      </c>
      <c r="AG502" s="11">
        <f t="shared" si="946"/>
      </c>
      <c r="AH502" s="11">
        <f t="shared" si="946"/>
      </c>
      <c r="AI502" s="11">
        <f t="shared" si="946"/>
      </c>
      <c r="AJ502" s="987">
        <f t="shared" si="946"/>
      </c>
      <c r="AK502" s="11">
        <f t="shared" si="946"/>
      </c>
      <c r="AL502" s="11">
        <f t="shared" si="946"/>
      </c>
      <c r="AM502" s="11">
        <f t="shared" si="946"/>
      </c>
      <c r="AN502" s="11">
        <f t="shared" si="946"/>
      </c>
      <c r="AO502" s="987">
        <f t="shared" si="946"/>
      </c>
      <c r="AP502" s="11">
        <f t="shared" si="946"/>
      </c>
      <c r="AQ502" s="11">
        <f t="shared" si="946"/>
      </c>
      <c r="AR502" s="11">
        <f>AR489/AR487</f>
      </c>
      <c r="AS502" s="11">
        <f>AS489/AS487</f>
      </c>
      <c r="AT502" s="987">
        <f>AT489/AT487</f>
      </c>
      <c r="AU502" s="11">
        <f t="shared" ref="AU502" si="947">AU489/AU487</f>
      </c>
      <c r="AV502" s="11">
        <f>AV489/AV487</f>
      </c>
      <c r="AW502" s="11">
        <f t="shared" ref="AW502" si="948">AW489/AW487</f>
      </c>
      <c r="AX502" s="11">
        <f t="shared" ref="AX502:BD502" si="949">AX489/AX487</f>
      </c>
      <c r="AY502" s="987">
        <f t="shared" si="949"/>
      </c>
      <c r="AZ502" s="11">
        <f t="shared" si="949"/>
      </c>
      <c r="BA502" s="11">
        <f t="shared" si="949"/>
      </c>
      <c r="BB502" s="11">
        <f t="shared" si="949"/>
      </c>
      <c r="BC502" s="11">
        <f t="shared" si="949"/>
      </c>
      <c r="BD502" s="987">
        <f t="shared" si="949"/>
      </c>
      <c r="BE502" s="11">
        <f t="shared" ref="BE502:BJ502" si="950">BE489/BE487</f>
      </c>
      <c r="BF502" s="11">
        <f t="shared" si="950"/>
      </c>
      <c r="BG502" s="11">
        <f t="shared" si="950"/>
      </c>
      <c r="BH502" s="11">
        <f t="shared" si="950"/>
      </c>
      <c r="BI502" s="987">
        <f t="shared" si="950"/>
      </c>
      <c r="BJ502" s="11">
        <f t="shared" si="950"/>
      </c>
      <c r="BK502" s="11">
        <f t="shared" ref="BK502:BP502" si="951">BK489/BK487</f>
      </c>
      <c r="BL502" s="11">
        <f t="shared" si="951"/>
      </c>
      <c r="BM502" s="11">
        <f t="shared" si="951"/>
      </c>
      <c r="BN502" s="987">
        <f t="shared" si="951"/>
      </c>
      <c r="BO502" s="11">
        <f t="shared" si="951"/>
      </c>
      <c r="BP502" s="11">
        <f t="shared" si="951"/>
      </c>
      <c r="BQ502" s="11">
        <f>BQ489/BQ487</f>
      </c>
      <c r="BR502" s="11">
        <f>BR489/BR487</f>
      </c>
      <c r="BS502" s="987">
        <f>BS489/BS487</f>
      </c>
      <c r="BT502" s="685">
        <f>BT489/BT487</f>
      </c>
      <c r="BU502" s="874">
        <v>0.17</v>
      </c>
      <c r="BV502" s="874">
        <v>0.17</v>
      </c>
      <c r="BW502" s="874">
        <v>0.17</v>
      </c>
      <c r="BX502" s="977">
        <f>BX489/BX487</f>
      </c>
      <c r="BY502" s="874">
        <v>0.17</v>
      </c>
      <c r="BZ502" s="874">
        <v>0.17</v>
      </c>
      <c r="CA502" s="874">
        <v>0.17</v>
      </c>
      <c r="CB502" s="874">
        <v>0.17</v>
      </c>
      <c r="CC502" s="977">
        <f>CC489/CC487</f>
      </c>
      <c r="CD502" s="1015">
        <v>0.17</v>
      </c>
      <c r="CE502" s="1015">
        <v>0.17</v>
      </c>
      <c r="CF502" s="1015">
        <v>0.17</v>
      </c>
      <c r="CG502" s="11"/>
    </row>
    <row r="503" spans="1:85" x14ac:dyDescent="0.3">
      <c r="A503" s="11" t="s">
        <v>95</v>
      </c>
      <c r="B503" s="267"/>
      <c r="C503" s="987">
        <f t="shared" ref="C503:AQ503" si="952">C490/C487</f>
      </c>
      <c r="D503" s="987">
        <f t="shared" si="952"/>
      </c>
      <c r="E503" s="987">
        <f t="shared" si="952"/>
      </c>
      <c r="F503" s="987">
        <f t="shared" si="952"/>
      </c>
      <c r="G503" s="11">
        <f t="shared" si="952"/>
      </c>
      <c r="H503" s="11">
        <f t="shared" si="952"/>
      </c>
      <c r="I503" s="11">
        <f t="shared" si="952"/>
      </c>
      <c r="J503" s="11">
        <f t="shared" si="952"/>
      </c>
      <c r="K503" s="987">
        <f t="shared" si="952"/>
      </c>
      <c r="L503" s="11">
        <f t="shared" si="952"/>
      </c>
      <c r="M503" s="11">
        <f t="shared" si="952"/>
      </c>
      <c r="N503" s="11">
        <f t="shared" si="952"/>
      </c>
      <c r="O503" s="11">
        <f t="shared" si="952"/>
      </c>
      <c r="P503" s="987">
        <f t="shared" si="952"/>
      </c>
      <c r="Q503" s="11">
        <f t="shared" si="952"/>
      </c>
      <c r="R503" s="11">
        <f t="shared" si="952"/>
      </c>
      <c r="S503" s="11">
        <f t="shared" si="952"/>
      </c>
      <c r="T503" s="11">
        <f t="shared" si="952"/>
      </c>
      <c r="U503" s="987">
        <f t="shared" si="952"/>
      </c>
      <c r="V503" s="11">
        <f t="shared" si="952"/>
      </c>
      <c r="W503" s="11">
        <f t="shared" si="952"/>
      </c>
      <c r="X503" s="11">
        <f t="shared" si="952"/>
      </c>
      <c r="Y503" s="11">
        <f t="shared" si="952"/>
      </c>
      <c r="Z503" s="987">
        <f t="shared" si="952"/>
      </c>
      <c r="AA503" s="11">
        <f t="shared" si="952"/>
      </c>
      <c r="AB503" s="11">
        <f t="shared" si="952"/>
      </c>
      <c r="AC503" s="11">
        <f t="shared" si="952"/>
      </c>
      <c r="AD503" s="11">
        <f t="shared" si="952"/>
      </c>
      <c r="AE503" s="987">
        <f t="shared" si="952"/>
      </c>
      <c r="AF503" s="11">
        <f t="shared" si="952"/>
      </c>
      <c r="AG503" s="11">
        <f t="shared" si="952"/>
      </c>
      <c r="AH503" s="11">
        <f t="shared" si="952"/>
      </c>
      <c r="AI503" s="11">
        <f t="shared" si="952"/>
      </c>
      <c r="AJ503" s="987">
        <f t="shared" si="952"/>
      </c>
      <c r="AK503" s="11">
        <f t="shared" si="952"/>
      </c>
      <c r="AL503" s="11">
        <f t="shared" si="952"/>
      </c>
      <c r="AM503" s="11">
        <f t="shared" si="952"/>
      </c>
      <c r="AN503" s="11">
        <f t="shared" si="952"/>
      </c>
      <c r="AO503" s="987">
        <f t="shared" si="952"/>
      </c>
      <c r="AP503" s="11">
        <f t="shared" si="952"/>
      </c>
      <c r="AQ503" s="11">
        <f t="shared" si="952"/>
      </c>
      <c r="AR503" s="11">
        <f>AR490/AR487</f>
      </c>
      <c r="AS503" s="11">
        <f>AS490/AS487</f>
      </c>
      <c r="AT503" s="987">
        <f>AT490/AT487</f>
      </c>
      <c r="AU503" s="11">
        <f t="shared" ref="AU503" si="953">AU490/AU487</f>
      </c>
      <c r="AV503" s="11">
        <f>AV490/AV487</f>
      </c>
      <c r="AW503" s="11">
        <f t="shared" ref="AW503" si="954">AW490/AW487</f>
      </c>
      <c r="AX503" s="11">
        <f t="shared" ref="AX503:BD503" si="955">AX490/AX487</f>
      </c>
      <c r="AY503" s="987">
        <f t="shared" si="955"/>
      </c>
      <c r="AZ503" s="11">
        <f t="shared" si="955"/>
      </c>
      <c r="BA503" s="11">
        <f t="shared" si="955"/>
      </c>
      <c r="BB503" s="11">
        <f t="shared" si="955"/>
      </c>
      <c r="BC503" s="11">
        <f t="shared" si="955"/>
      </c>
      <c r="BD503" s="987">
        <f t="shared" si="955"/>
      </c>
      <c r="BE503" s="11">
        <f t="shared" ref="BE503:BJ503" si="956">BE490/BE487</f>
      </c>
      <c r="BF503" s="11">
        <f t="shared" si="956"/>
      </c>
      <c r="BG503" s="11">
        <f t="shared" si="956"/>
      </c>
      <c r="BH503" s="11">
        <f t="shared" si="956"/>
      </c>
      <c r="BI503" s="987">
        <f t="shared" si="956"/>
      </c>
      <c r="BJ503" s="11">
        <f t="shared" si="956"/>
      </c>
      <c r="BK503" s="11">
        <f t="shared" ref="BK503:BP503" si="957">BK490/BK487</f>
      </c>
      <c r="BL503" s="11">
        <f t="shared" si="957"/>
      </c>
      <c r="BM503" s="11">
        <f t="shared" si="957"/>
      </c>
      <c r="BN503" s="987">
        <f t="shared" si="957"/>
      </c>
      <c r="BO503" s="11">
        <f t="shared" si="957"/>
      </c>
      <c r="BP503" s="11">
        <f t="shared" si="957"/>
      </c>
      <c r="BQ503" s="11">
        <f>BQ490/BQ487</f>
      </c>
      <c r="BR503" s="11">
        <f>BR490/BR487</f>
      </c>
      <c r="BS503" s="987">
        <f>BS490/BS487</f>
      </c>
      <c r="BT503" s="685">
        <f>BT490/BT487</f>
      </c>
      <c r="BU503" s="874">
        <v>-0.05</v>
      </c>
      <c r="BV503" s="874">
        <v>-0.05</v>
      </c>
      <c r="BW503" s="874">
        <v>0.05</v>
      </c>
      <c r="BX503" s="977">
        <f>BX490/BX487</f>
      </c>
      <c r="BY503" s="874">
        <v>-0.05</v>
      </c>
      <c r="BZ503" s="874">
        <v>-0.05</v>
      </c>
      <c r="CA503" s="874">
        <v>-0.05</v>
      </c>
      <c r="CB503" s="874">
        <v>0.05</v>
      </c>
      <c r="CC503" s="977">
        <f>CC490/CC487</f>
      </c>
      <c r="CD503" s="1015">
        <v>0.02</v>
      </c>
      <c r="CE503" s="1015">
        <v>0.03</v>
      </c>
      <c r="CF503" s="1015">
        <v>0</v>
      </c>
      <c r="CG503" s="11"/>
    </row>
    <row r="504" spans="1:85" x14ac:dyDescent="0.3">
      <c r="A504" s="757"/>
      <c r="B504" s="414"/>
      <c r="C504" s="962"/>
      <c r="D504" s="962"/>
      <c r="E504" s="962"/>
      <c r="F504" s="962"/>
      <c r="G504" s="757"/>
      <c r="H504" s="757"/>
      <c r="I504" s="757"/>
      <c r="J504" s="757"/>
      <c r="K504" s="962"/>
      <c r="L504" s="757"/>
      <c r="M504" s="757"/>
      <c r="N504" s="757"/>
      <c r="O504" s="757"/>
      <c r="P504" s="962"/>
      <c r="Q504" s="757"/>
      <c r="R504" s="757"/>
      <c r="S504" s="757"/>
      <c r="T504" s="757"/>
      <c r="U504" s="962"/>
      <c r="V504" s="757"/>
      <c r="W504" s="757"/>
      <c r="X504" s="757"/>
      <c r="Y504" s="757"/>
      <c r="Z504" s="962"/>
      <c r="AA504" s="757"/>
      <c r="AB504" s="757"/>
      <c r="AC504" s="757"/>
      <c r="AD504" s="757"/>
      <c r="AE504" s="962"/>
      <c r="AF504" s="757"/>
      <c r="AG504" s="757"/>
      <c r="AH504" s="757"/>
      <c r="AI504" s="757"/>
      <c r="AJ504" s="962"/>
      <c r="AK504" s="757"/>
      <c r="AL504" s="757"/>
      <c r="AM504" s="757"/>
      <c r="AN504" s="757"/>
      <c r="AO504" s="962"/>
      <c r="AP504" s="757"/>
      <c r="AQ504" s="757"/>
      <c r="AR504" s="757"/>
      <c r="AS504" s="757"/>
      <c r="AT504" s="962"/>
      <c r="AU504" s="757"/>
      <c r="AV504" s="757"/>
      <c r="AW504" s="757"/>
      <c r="AX504" s="757"/>
      <c r="AY504" s="962"/>
      <c r="AZ504" s="757"/>
      <c r="BA504" s="757"/>
      <c r="BB504" s="757"/>
      <c r="BC504" s="757"/>
      <c r="BD504" s="962"/>
      <c r="BE504" s="757"/>
      <c r="BF504" s="757"/>
      <c r="BG504" s="757"/>
      <c r="BH504" s="757"/>
      <c r="BI504" s="962"/>
      <c r="BJ504" s="757"/>
      <c r="BK504" s="757"/>
      <c r="BL504" s="757"/>
      <c r="BM504" s="757"/>
      <c r="BN504" s="962"/>
      <c r="BO504" s="757"/>
      <c r="BP504" s="757"/>
      <c r="BQ504" s="757"/>
      <c r="BR504" s="757"/>
      <c r="BS504" s="962"/>
      <c r="BT504" s="758"/>
      <c r="BU504" s="757"/>
      <c r="BV504" s="757"/>
      <c r="BW504" s="757"/>
      <c r="BX504" s="962"/>
      <c r="BY504" s="757"/>
      <c r="BZ504" s="757"/>
      <c r="CA504" s="757"/>
      <c r="CB504" s="757"/>
      <c r="CC504" s="962"/>
      <c r="CD504" s="962"/>
      <c r="CE504" s="962"/>
      <c r="CF504" s="962"/>
      <c r="CG504" s="459"/>
    </row>
    <row r="505" spans="1:85" x14ac:dyDescent="0.3">
      <c r="A505" s="12" t="s">
        <v>96</v>
      </c>
      <c r="B505" s="268"/>
      <c r="C505" s="983">
        <f t="shared" ref="C505:AQ505" si="958">C$495/C510</f>
      </c>
      <c r="D505" s="983">
        <f t="shared" si="958"/>
      </c>
      <c r="E505" s="983">
        <f t="shared" si="958"/>
      </c>
      <c r="F505" s="983">
        <f t="shared" si="958"/>
      </c>
      <c r="G505" s="20">
        <f t="shared" si="958"/>
      </c>
      <c r="H505" s="20">
        <f t="shared" si="958"/>
      </c>
      <c r="I505" s="20">
        <f t="shared" si="958"/>
      </c>
      <c r="J505" s="20">
        <f t="shared" si="958"/>
      </c>
      <c r="K505" s="983">
        <f t="shared" si="958"/>
      </c>
      <c r="L505" s="20">
        <f t="shared" si="958"/>
      </c>
      <c r="M505" s="20">
        <f t="shared" si="958"/>
      </c>
      <c r="N505" s="20">
        <f t="shared" si="958"/>
      </c>
      <c r="O505" s="20">
        <f t="shared" si="958"/>
      </c>
      <c r="P505" s="983">
        <f t="shared" si="958"/>
      </c>
      <c r="Q505" s="20">
        <f t="shared" si="958"/>
      </c>
      <c r="R505" s="20">
        <f t="shared" si="958"/>
      </c>
      <c r="S505" s="20">
        <f t="shared" si="958"/>
      </c>
      <c r="T505" s="20">
        <f t="shared" si="958"/>
      </c>
      <c r="U505" s="983">
        <f t="shared" si="958"/>
      </c>
      <c r="V505" s="20">
        <f t="shared" si="958"/>
      </c>
      <c r="W505" s="20">
        <f t="shared" si="958"/>
      </c>
      <c r="X505" s="20">
        <f t="shared" si="958"/>
      </c>
      <c r="Y505" s="20">
        <f t="shared" si="958"/>
      </c>
      <c r="Z505" s="983">
        <f t="shared" si="958"/>
      </c>
      <c r="AA505" s="20">
        <f t="shared" si="958"/>
      </c>
      <c r="AB505" s="20">
        <f t="shared" si="958"/>
      </c>
      <c r="AC505" s="20">
        <f t="shared" si="958"/>
      </c>
      <c r="AD505" s="20">
        <f t="shared" si="958"/>
      </c>
      <c r="AE505" s="983">
        <f t="shared" si="958"/>
      </c>
      <c r="AF505" s="20">
        <f t="shared" si="958"/>
      </c>
      <c r="AG505" s="20">
        <f t="shared" si="958"/>
      </c>
      <c r="AH505" s="20">
        <f t="shared" si="958"/>
      </c>
      <c r="AI505" s="20">
        <f t="shared" si="958"/>
      </c>
      <c r="AJ505" s="983">
        <f t="shared" si="958"/>
      </c>
      <c r="AK505" s="20">
        <f t="shared" si="958"/>
      </c>
      <c r="AL505" s="20">
        <f t="shared" si="958"/>
      </c>
      <c r="AM505" s="20">
        <f t="shared" si="958"/>
      </c>
      <c r="AN505" s="20">
        <f t="shared" si="958"/>
      </c>
      <c r="AO505" s="983">
        <f t="shared" si="958"/>
      </c>
      <c r="AP505" s="20">
        <f t="shared" si="958"/>
      </c>
      <c r="AQ505" s="20">
        <f t="shared" si="958"/>
      </c>
      <c r="AR505" s="20">
        <f>AR$495/AR510</f>
      </c>
      <c r="AS505" s="20">
        <f>AS$495/AS510</f>
      </c>
      <c r="AT505" s="983">
        <f>AT$495/AT510</f>
      </c>
      <c r="AU505" s="20">
        <f t="shared" ref="AU505" si="959">AU$495/AU510</f>
      </c>
      <c r="AV505" s="20">
        <f>AV$495/AV510</f>
      </c>
      <c r="AW505" s="20">
        <f t="shared" ref="AW505" si="960">AW$495/AW510</f>
      </c>
      <c r="AX505" s="20">
        <f t="shared" ref="AX505:BD505" si="961">AX$495/AX510</f>
      </c>
      <c r="AY505" s="983">
        <f t="shared" si="961"/>
      </c>
      <c r="AZ505" s="20">
        <f t="shared" si="961"/>
      </c>
      <c r="BA505" s="20">
        <f t="shared" si="961"/>
      </c>
      <c r="BB505" s="20">
        <f t="shared" si="961"/>
      </c>
      <c r="BC505" s="20">
        <f t="shared" si="961"/>
      </c>
      <c r="BD505" s="983">
        <f t="shared" si="961"/>
      </c>
      <c r="BE505" s="20">
        <f t="shared" ref="BE505:BJ505" si="962">BE$495/BE510</f>
      </c>
      <c r="BF505" s="20">
        <f t="shared" si="962"/>
      </c>
      <c r="BG505" s="20">
        <f t="shared" si="962"/>
      </c>
      <c r="BH505" s="20">
        <f t="shared" si="962"/>
      </c>
      <c r="BI505" s="983">
        <f t="shared" si="962"/>
      </c>
      <c r="BJ505" s="20">
        <f t="shared" si="962"/>
      </c>
      <c r="BK505" s="20">
        <f t="shared" ref="BK505:BP505" si="963">BK$495/BK510</f>
      </c>
      <c r="BL505" s="20">
        <f t="shared" si="963"/>
      </c>
      <c r="BM505" s="20">
        <f t="shared" si="963"/>
      </c>
      <c r="BN505" s="983">
        <f t="shared" si="963"/>
      </c>
      <c r="BO505" s="20">
        <f t="shared" si="963"/>
      </c>
      <c r="BP505" s="20">
        <f t="shared" si="963"/>
      </c>
      <c r="BQ505" s="20">
        <f>BQ$495/BQ510</f>
      </c>
      <c r="BR505" s="20">
        <f>BR$495/BR510</f>
      </c>
      <c r="BS505" s="983">
        <f>BS$495/BS510</f>
      </c>
      <c r="BT505" s="683">
        <f>BT$495/BT510</f>
      </c>
      <c r="BU505" s="70">
        <f>BU495/BU510</f>
      </c>
      <c r="BV505" s="70">
        <f>BV495/BV510</f>
      </c>
      <c r="BW505" s="70">
        <f>BW495/BW510</f>
      </c>
      <c r="BX505" s="959">
        <f t="shared" ref="BX505" si="964">BX495/BX510</f>
      </c>
      <c r="BY505" s="70">
        <f t="shared" ref="BY505:CF505" si="965">BY495/BY510</f>
      </c>
      <c r="BZ505" s="70">
        <f t="shared" si="965"/>
      </c>
      <c r="CA505" s="70">
        <f t="shared" si="965"/>
      </c>
      <c r="CB505" s="70">
        <f t="shared" si="965"/>
      </c>
      <c r="CC505" s="959">
        <f t="shared" si="965"/>
      </c>
      <c r="CD505" s="959">
        <f t="shared" si="965"/>
      </c>
      <c r="CE505" s="959">
        <f t="shared" si="965"/>
      </c>
      <c r="CF505" s="959">
        <f t="shared" si="965"/>
      </c>
      <c r="CG505" s="20"/>
    </row>
    <row r="506" spans="1:85" x14ac:dyDescent="0.3">
      <c r="A506" s="12" t="s">
        <v>97</v>
      </c>
      <c r="B506" s="268"/>
      <c r="C506" s="983">
        <f t="shared" ref="C506:AH506" si="966">C497/C511</f>
      </c>
      <c r="D506" s="983">
        <f t="shared" si="966"/>
      </c>
      <c r="E506" s="983">
        <f t="shared" si="966"/>
      </c>
      <c r="F506" s="983">
        <f t="shared" si="966"/>
      </c>
      <c r="G506" s="20">
        <f t="shared" si="966"/>
      </c>
      <c r="H506" s="20">
        <f t="shared" si="966"/>
      </c>
      <c r="I506" s="20">
        <f t="shared" si="966"/>
      </c>
      <c r="J506" s="20">
        <f t="shared" si="966"/>
      </c>
      <c r="K506" s="983">
        <f t="shared" si="966"/>
      </c>
      <c r="L506" s="20">
        <f t="shared" si="966"/>
      </c>
      <c r="M506" s="20">
        <f t="shared" si="966"/>
      </c>
      <c r="N506" s="20">
        <f t="shared" si="966"/>
      </c>
      <c r="O506" s="20">
        <f t="shared" si="966"/>
      </c>
      <c r="P506" s="983">
        <f t="shared" si="966"/>
      </c>
      <c r="Q506" s="20">
        <f t="shared" si="966"/>
      </c>
      <c r="R506" s="20">
        <f t="shared" si="966"/>
      </c>
      <c r="S506" s="20">
        <f t="shared" si="966"/>
      </c>
      <c r="T506" s="20">
        <f t="shared" si="966"/>
      </c>
      <c r="U506" s="983">
        <f t="shared" si="966"/>
      </c>
      <c r="V506" s="20">
        <f t="shared" si="966"/>
      </c>
      <c r="W506" s="20">
        <f t="shared" si="966"/>
      </c>
      <c r="X506" s="20">
        <f t="shared" si="966"/>
      </c>
      <c r="Y506" s="20">
        <f t="shared" si="966"/>
      </c>
      <c r="Z506" s="983">
        <f t="shared" si="966"/>
      </c>
      <c r="AA506" s="20">
        <f t="shared" si="966"/>
      </c>
      <c r="AB506" s="20">
        <f t="shared" si="966"/>
      </c>
      <c r="AC506" s="20">
        <f t="shared" si="966"/>
      </c>
      <c r="AD506" s="20">
        <f t="shared" si="966"/>
      </c>
      <c r="AE506" s="983">
        <f t="shared" si="966"/>
      </c>
      <c r="AF506" s="20">
        <f t="shared" si="966"/>
      </c>
      <c r="AG506" s="20">
        <f t="shared" si="966"/>
      </c>
      <c r="AH506" s="20">
        <f t="shared" si="966"/>
      </c>
      <c r="AI506" s="20">
        <f t="shared" ref="AI506:AQ506" si="967">AI497/AI511</f>
      </c>
      <c r="AJ506" s="983">
        <f t="shared" si="967"/>
      </c>
      <c r="AK506" s="20">
        <f t="shared" si="967"/>
      </c>
      <c r="AL506" s="20">
        <f t="shared" si="967"/>
      </c>
      <c r="AM506" s="20">
        <f t="shared" si="967"/>
      </c>
      <c r="AN506" s="20">
        <f t="shared" si="967"/>
      </c>
      <c r="AO506" s="983">
        <f t="shared" si="967"/>
      </c>
      <c r="AP506" s="20">
        <f t="shared" si="967"/>
      </c>
      <c r="AQ506" s="20">
        <f t="shared" si="967"/>
      </c>
      <c r="AR506" s="20">
        <f>AR497/AR511</f>
      </c>
      <c r="AS506" s="20">
        <f>AS497/AS511</f>
      </c>
      <c r="AT506" s="983">
        <f>AT497/AT511</f>
      </c>
      <c r="AU506" s="20">
        <f t="shared" ref="AU506" si="968">AU497/AU511</f>
      </c>
      <c r="AV506" s="20">
        <f>AV497/AV511</f>
      </c>
      <c r="AW506" s="20">
        <f t="shared" ref="AW506" si="969">AW497/AW511</f>
      </c>
      <c r="AX506" s="20">
        <f t="shared" ref="AX506:BD506" si="970">AX497/AX511</f>
      </c>
      <c r="AY506" s="983">
        <f t="shared" si="970"/>
      </c>
      <c r="AZ506" s="20">
        <f t="shared" si="970"/>
      </c>
      <c r="BA506" s="20">
        <f t="shared" si="970"/>
      </c>
      <c r="BB506" s="20">
        <f t="shared" si="970"/>
      </c>
      <c r="BC506" s="20">
        <f t="shared" si="970"/>
      </c>
      <c r="BD506" s="983">
        <f t="shared" si="970"/>
      </c>
      <c r="BE506" s="20">
        <f t="shared" ref="BE506:BI506" si="971">BE497/BE511</f>
      </c>
      <c r="BF506" s="20">
        <f t="shared" si="971"/>
      </c>
      <c r="BG506" s="20">
        <f t="shared" si="971"/>
      </c>
      <c r="BH506" s="20">
        <f t="shared" si="971"/>
      </c>
      <c r="BI506" s="983">
        <f t="shared" si="971"/>
      </c>
      <c r="BJ506" s="20">
        <f t="shared" ref="BJ506:BX506" si="972">BJ497/BJ511</f>
      </c>
      <c r="BK506" s="20">
        <f t="shared" si="972"/>
      </c>
      <c r="BL506" s="20">
        <f t="shared" si="972"/>
      </c>
      <c r="BM506" s="20">
        <f t="shared" si="972"/>
      </c>
      <c r="BN506" s="983">
        <f t="shared" si="972"/>
      </c>
      <c r="BO506" s="20">
        <f t="shared" ref="BO506:BW506" si="973">BO497/BO511</f>
      </c>
      <c r="BP506" s="20">
        <f t="shared" si="973"/>
      </c>
      <c r="BQ506" s="20">
        <f t="shared" si="973"/>
      </c>
      <c r="BR506" s="20">
        <f t="shared" si="973"/>
      </c>
      <c r="BS506" s="983">
        <f t="shared" si="973"/>
      </c>
      <c r="BT506" s="683">
        <f>BT497/BT511</f>
      </c>
      <c r="BU506" s="70">
        <f t="shared" si="973"/>
      </c>
      <c r="BV506" s="70">
        <f t="shared" si="973"/>
      </c>
      <c r="BW506" s="70">
        <f t="shared" si="973"/>
      </c>
      <c r="BX506" s="959">
        <f t="shared" si="972"/>
      </c>
      <c r="BY506" s="70">
        <f t="shared" ref="BY506:CF506" si="974">BY497/BY511</f>
      </c>
      <c r="BZ506" s="70">
        <f t="shared" si="974"/>
      </c>
      <c r="CA506" s="70">
        <f t="shared" si="974"/>
      </c>
      <c r="CB506" s="70">
        <f t="shared" si="974"/>
      </c>
      <c r="CC506" s="959">
        <f t="shared" si="974"/>
      </c>
      <c r="CD506" s="959">
        <f t="shared" si="974"/>
      </c>
      <c r="CE506" s="959">
        <f t="shared" si="974"/>
      </c>
      <c r="CF506" s="959">
        <f t="shared" si="974"/>
      </c>
      <c r="CG506" s="20"/>
    </row>
    <row r="507" spans="1:85" x14ac:dyDescent="0.3">
      <c r="A507" s="12" t="s">
        <v>98</v>
      </c>
      <c r="B507" s="268"/>
      <c r="C507" s="983">
        <f t="shared" ref="C507:AH507" si="975">C500/C512</f>
      </c>
      <c r="D507" s="983">
        <f t="shared" si="975"/>
      </c>
      <c r="E507" s="983">
        <f t="shared" si="975"/>
      </c>
      <c r="F507" s="983">
        <f t="shared" si="975"/>
      </c>
      <c r="G507" s="20">
        <f t="shared" si="975"/>
      </c>
      <c r="H507" s="20">
        <f t="shared" si="975"/>
      </c>
      <c r="I507" s="20">
        <f t="shared" si="975"/>
      </c>
      <c r="J507" s="20">
        <f t="shared" si="975"/>
      </c>
      <c r="K507" s="983">
        <f t="shared" si="975"/>
      </c>
      <c r="L507" s="20">
        <f t="shared" si="975"/>
      </c>
      <c r="M507" s="20">
        <f t="shared" si="975"/>
      </c>
      <c r="N507" s="20">
        <f t="shared" si="975"/>
      </c>
      <c r="O507" s="20">
        <f t="shared" si="975"/>
      </c>
      <c r="P507" s="983">
        <f t="shared" si="975"/>
      </c>
      <c r="Q507" s="20">
        <f t="shared" si="975"/>
      </c>
      <c r="R507" s="20">
        <f t="shared" si="975"/>
      </c>
      <c r="S507" s="20">
        <f t="shared" si="975"/>
      </c>
      <c r="T507" s="20">
        <f t="shared" si="975"/>
      </c>
      <c r="U507" s="983">
        <f t="shared" si="975"/>
      </c>
      <c r="V507" s="20">
        <f t="shared" si="975"/>
      </c>
      <c r="W507" s="20">
        <f t="shared" si="975"/>
      </c>
      <c r="X507" s="20">
        <f t="shared" si="975"/>
      </c>
      <c r="Y507" s="20">
        <f t="shared" si="975"/>
      </c>
      <c r="Z507" s="983">
        <f t="shared" si="975"/>
      </c>
      <c r="AA507" s="20">
        <f t="shared" si="975"/>
      </c>
      <c r="AB507" s="20">
        <f t="shared" si="975"/>
      </c>
      <c r="AC507" s="20">
        <f t="shared" si="975"/>
      </c>
      <c r="AD507" s="20">
        <f t="shared" si="975"/>
      </c>
      <c r="AE507" s="983">
        <f t="shared" si="975"/>
      </c>
      <c r="AF507" s="20">
        <f t="shared" si="975"/>
      </c>
      <c r="AG507" s="20">
        <f t="shared" si="975"/>
      </c>
      <c r="AH507" s="20">
        <f t="shared" si="975"/>
      </c>
      <c r="AI507" s="20">
        <f t="shared" ref="AI507:AQ507" si="976">AI500/AI512</f>
      </c>
      <c r="AJ507" s="983">
        <f t="shared" si="976"/>
      </c>
      <c r="AK507" s="20">
        <f t="shared" si="976"/>
      </c>
      <c r="AL507" s="20">
        <f t="shared" si="976"/>
      </c>
      <c r="AM507" s="20">
        <f t="shared" si="976"/>
      </c>
      <c r="AN507" s="20">
        <f t="shared" si="976"/>
      </c>
      <c r="AO507" s="983">
        <f t="shared" si="976"/>
      </c>
      <c r="AP507" s="20">
        <f t="shared" si="976"/>
      </c>
      <c r="AQ507" s="20">
        <f t="shared" si="976"/>
      </c>
      <c r="AR507" s="20">
        <f>AR500/AR512</f>
      </c>
      <c r="AS507" s="20">
        <f>AS500/AS512</f>
      </c>
      <c r="AT507" s="983">
        <f>AT500/AT512</f>
      </c>
      <c r="AU507" s="20">
        <f t="shared" ref="AU507" si="977">AU500/AU512</f>
      </c>
      <c r="AV507" s="20">
        <f>AV500/AV512</f>
      </c>
      <c r="AW507" s="20">
        <f t="shared" ref="AW507" si="978">AW500/AW512</f>
      </c>
      <c r="AX507" s="20">
        <f t="shared" ref="AX507:BD507" si="979">AX500/AX512</f>
      </c>
      <c r="AY507" s="983">
        <f t="shared" si="979"/>
      </c>
      <c r="AZ507" s="20">
        <f t="shared" si="979"/>
      </c>
      <c r="BA507" s="20">
        <f t="shared" si="979"/>
      </c>
      <c r="BB507" s="20">
        <f t="shared" si="979"/>
      </c>
      <c r="BC507" s="20">
        <f t="shared" si="979"/>
      </c>
      <c r="BD507" s="983">
        <f t="shared" si="979"/>
      </c>
      <c r="BE507" s="20">
        <f t="shared" ref="BE507:BI507" si="980">BE500/BE512</f>
      </c>
      <c r="BF507" s="20">
        <f t="shared" si="980"/>
      </c>
      <c r="BG507" s="20">
        <f t="shared" si="980"/>
      </c>
      <c r="BH507" s="20">
        <f t="shared" si="980"/>
      </c>
      <c r="BI507" s="983">
        <f t="shared" si="980"/>
      </c>
      <c r="BJ507" s="20">
        <f t="shared" ref="BJ507:BX507" si="981">BJ500/BJ512</f>
      </c>
      <c r="BK507" s="20">
        <f t="shared" si="981"/>
      </c>
      <c r="BL507" s="20">
        <f t="shared" si="981"/>
      </c>
      <c r="BM507" s="20">
        <f t="shared" si="981"/>
      </c>
      <c r="BN507" s="983">
        <f t="shared" si="981"/>
      </c>
      <c r="BO507" s="20">
        <f t="shared" ref="BO507:BW507" si="982">BO500/BO512</f>
      </c>
      <c r="BP507" s="20">
        <f t="shared" si="982"/>
      </c>
      <c r="BQ507" s="20">
        <f t="shared" si="982"/>
      </c>
      <c r="BR507" s="20">
        <f t="shared" si="982"/>
      </c>
      <c r="BS507" s="983">
        <f t="shared" si="982"/>
      </c>
      <c r="BT507" s="683">
        <f>BT500/BT512</f>
      </c>
      <c r="BU507" s="70">
        <f t="shared" si="982"/>
      </c>
      <c r="BV507" s="70">
        <f t="shared" si="982"/>
      </c>
      <c r="BW507" s="70">
        <f t="shared" si="982"/>
      </c>
      <c r="BX507" s="959">
        <f t="shared" si="981"/>
      </c>
      <c r="BY507" s="70">
        <f t="shared" ref="BY507:CF507" si="983">BY500/BY512</f>
      </c>
      <c r="BZ507" s="70">
        <f t="shared" si="983"/>
      </c>
      <c r="CA507" s="70">
        <f t="shared" si="983"/>
      </c>
      <c r="CB507" s="70">
        <f t="shared" si="983"/>
      </c>
      <c r="CC507" s="959">
        <f t="shared" si="983"/>
      </c>
      <c r="CD507" s="959">
        <f t="shared" si="983"/>
      </c>
      <c r="CE507" s="959">
        <f t="shared" si="983"/>
      </c>
      <c r="CF507" s="959">
        <f t="shared" si="983"/>
      </c>
      <c r="CG507" s="20"/>
    </row>
    <row r="508" spans="1:85" x14ac:dyDescent="0.3">
      <c r="A508" s="45" t="str">
        <f>CONCATENATE("Consensus Estimates - ",IFERROR(LEFT(A507,FIND("(",A507)-1),A507))</f>
      </c>
      <c r="B508" s="67"/>
      <c r="C508" s="1010"/>
      <c r="D508" s="1010"/>
      <c r="E508" s="1010"/>
      <c r="F508" s="1010"/>
      <c r="G508" s="46"/>
      <c r="H508" s="46"/>
      <c r="I508" s="46"/>
      <c r="J508" s="46"/>
      <c r="K508" s="1010"/>
      <c r="L508" s="46"/>
      <c r="M508" s="46"/>
      <c r="N508" s="46"/>
      <c r="O508" s="46"/>
      <c r="P508" s="1010"/>
      <c r="Q508" s="46"/>
      <c r="R508" s="46"/>
      <c r="S508" s="46"/>
      <c r="T508" s="46"/>
      <c r="U508" s="1010"/>
      <c r="V508" s="46"/>
      <c r="W508" s="632"/>
      <c r="X508" s="46"/>
      <c r="Y508" s="632"/>
      <c r="Z508" s="1016"/>
      <c r="AA508" s="46"/>
      <c r="AB508" s="632"/>
      <c r="AC508" s="46"/>
      <c r="AD508" s="632"/>
      <c r="AE508" s="1016"/>
      <c r="AF508" s="46"/>
      <c r="AG508" s="632"/>
      <c r="AH508" s="46"/>
      <c r="AI508" s="632"/>
      <c r="AJ508" s="1016"/>
      <c r="AK508" s="46"/>
      <c r="AL508" s="632"/>
      <c r="AM508" s="46"/>
      <c r="AN508" s="632"/>
      <c r="AO508" s="1016"/>
      <c r="AP508" s="46"/>
      <c r="AQ508" s="632"/>
      <c r="AR508" s="46"/>
      <c r="AS508" s="632"/>
      <c r="AT508" s="1016"/>
      <c r="AU508" s="46"/>
      <c r="AV508" s="632"/>
      <c r="AW508" s="46"/>
      <c r="AX508" s="632"/>
      <c r="AY508" s="1016"/>
      <c r="AZ508" s="46"/>
      <c r="BA508" s="46"/>
      <c r="BB508" s="46"/>
      <c r="BC508" s="632"/>
      <c r="BD508" s="1016"/>
      <c r="BE508" s="46"/>
      <c r="BF508" s="46"/>
      <c r="BG508" s="46"/>
      <c r="BH508" s="632"/>
      <c r="BI508" s="1016"/>
      <c r="BJ508" s="46"/>
      <c r="BK508" s="46"/>
      <c r="BL508" s="46"/>
      <c r="BM508" s="632"/>
      <c r="BN508" s="1016"/>
      <c r="BO508" s="46"/>
      <c r="BP508" s="46"/>
      <c r="BQ508" s="46"/>
      <c r="BR508" s="632"/>
      <c r="BS508" s="1016"/>
      <c r="BT508" s="694"/>
      <c r="BU508" s="536" t="str">
        <f t="shared" ref="BU508:CC508" ca="1" si="984">IFERROR(VLOOKUP($A508,tb_ConsensusEstimate,MATCH(BU$5,OFFSET(tb_ConsensusEstimate,0,0,1,COLUMNS(tb_ConsensusEstimate)),0),FALSE),"-")</f>
      </c>
      <c r="BV508" s="536" t="str">
        <f t="shared" ca="1" si="984"/>
      </c>
      <c r="BW508" s="536" t="str">
        <f t="shared" ca="1" si="984"/>
      </c>
      <c r="BX508" s="1016" t="str">
        <f t="shared" ca="1" si="984"/>
      </c>
      <c r="BY508" s="536" t="str">
        <f t="shared" ca="1" si="984"/>
      </c>
      <c r="BZ508" s="536" t="str">
        <f t="shared" ca="1" si="984"/>
      </c>
      <c r="CA508" s="536" t="str">
        <f t="shared" ca="1" si="984"/>
      </c>
      <c r="CB508" s="536" t="str">
        <f t="shared" ca="1" si="984"/>
      </c>
      <c r="CC508" s="1016" t="str">
        <f t="shared" ca="1" si="984"/>
      </c>
      <c r="CD508" s="1016" t="str">
        <f ca="1">IFERROR(VLOOKUP($A508,tb_ConsensusEstimate,MATCH(CD5,OFFSET(tb_ConsensusEstimate,0,0,1,COLUMNS(tb_ConsensusEstimate)),0),FALSE),"-")</f>
      </c>
      <c r="CE508" s="1016" t="str">
        <f ca="1">IFERROR(VLOOKUP($A508,tb_ConsensusEstimate,MATCH(CE5,OFFSET(tb_ConsensusEstimate,0,0,1,COLUMNS(tb_ConsensusEstimate)),0),FALSE),"-")</f>
      </c>
      <c r="CF508" s="1016" t="str">
        <f ca="1">IFERROR(VLOOKUP($A508,tb_ConsensusEstimate,MATCH(CF5,OFFSET(tb_ConsensusEstimate,0,0,1,COLUMNS(tb_ConsensusEstimate)),0),FALSE),"-")</f>
      </c>
      <c r="CG508" s="46"/>
    </row>
    <row r="509" spans="1:85" x14ac:dyDescent="0.3">
      <c r="A509" s="757"/>
      <c r="B509" s="414"/>
      <c r="C509" s="962"/>
      <c r="D509" s="962"/>
      <c r="E509" s="962"/>
      <c r="F509" s="962"/>
      <c r="G509" s="757"/>
      <c r="H509" s="757"/>
      <c r="I509" s="757"/>
      <c r="J509" s="757"/>
      <c r="K509" s="962"/>
      <c r="L509" s="757"/>
      <c r="M509" s="757"/>
      <c r="N509" s="757"/>
      <c r="O509" s="757"/>
      <c r="P509" s="962"/>
      <c r="Q509" s="757"/>
      <c r="R509" s="757"/>
      <c r="S509" s="757"/>
      <c r="T509" s="757"/>
      <c r="U509" s="962"/>
      <c r="V509" s="757"/>
      <c r="W509" s="757"/>
      <c r="X509" s="757"/>
      <c r="Y509" s="757"/>
      <c r="Z509" s="962"/>
      <c r="AA509" s="757"/>
      <c r="AB509" s="757"/>
      <c r="AC509" s="757"/>
      <c r="AD509" s="757"/>
      <c r="AE509" s="962"/>
      <c r="AF509" s="757"/>
      <c r="AG509" s="757"/>
      <c r="AH509" s="757"/>
      <c r="AI509" s="757"/>
      <c r="AJ509" s="962"/>
      <c r="AK509" s="757"/>
      <c r="AL509" s="757"/>
      <c r="AM509" s="757"/>
      <c r="AN509" s="757"/>
      <c r="AO509" s="962"/>
      <c r="AP509" s="757"/>
      <c r="AQ509" s="757"/>
      <c r="AR509" s="757"/>
      <c r="AS509" s="757"/>
      <c r="AT509" s="962"/>
      <c r="AU509" s="757"/>
      <c r="AV509" s="757"/>
      <c r="AW509" s="757"/>
      <c r="AX509" s="757"/>
      <c r="AY509" s="962"/>
      <c r="AZ509" s="757"/>
      <c r="BA509" s="757"/>
      <c r="BB509" s="757"/>
      <c r="BC509" s="757"/>
      <c r="BD509" s="962"/>
      <c r="BE509" s="757"/>
      <c r="BF509" s="757"/>
      <c r="BG509" s="757"/>
      <c r="BH509" s="757"/>
      <c r="BI509" s="962"/>
      <c r="BJ509" s="757"/>
      <c r="BK509" s="757"/>
      <c r="BL509" s="757"/>
      <c r="BM509" s="757"/>
      <c r="BN509" s="962"/>
      <c r="BO509" s="757"/>
      <c r="BP509" s="757"/>
      <c r="BQ509" s="757"/>
      <c r="BR509" s="757"/>
      <c r="BS509" s="962"/>
      <c r="BT509" s="758"/>
      <c r="BU509" s="757"/>
      <c r="BV509" s="757"/>
      <c r="BW509" s="757"/>
      <c r="BX509" s="962"/>
      <c r="BY509" s="757"/>
      <c r="BZ509" s="757"/>
      <c r="CA509" s="757"/>
      <c r="CB509" s="757"/>
      <c r="CC509" s="962"/>
      <c r="CD509" s="962"/>
      <c r="CE509" s="962"/>
      <c r="CF509" s="962"/>
      <c r="CG509" s="459"/>
    </row>
    <row r="510" spans="1:85" s="587" customFormat="1" x14ac:dyDescent="0.3">
      <c r="A510" s="459" t="s">
        <v>99</v>
      </c>
      <c r="B510" s="414"/>
      <c r="C510" s="963">
        <v>3959.2</v>
      </c>
      <c r="D510" s="963">
        <v>3677.03</v>
      </c>
      <c r="E510" s="963">
        <v>3699.29</v>
      </c>
      <c r="F510" s="963">
        <v>3886.47</v>
      </c>
      <c r="G510" s="857">
        <v>3918.04</v>
      </c>
      <c r="H510" s="857">
        <v>4073.44</v>
      </c>
      <c r="I510" s="857">
        <v>4137.5600000000004</v>
      </c>
      <c r="J510" s="857">
        <v>4162.8999999999996</v>
      </c>
      <c r="K510" s="963">
        <v>4073.85</v>
      </c>
      <c r="L510" s="857">
        <v>4187.1899999999996</v>
      </c>
      <c r="M510" s="857">
        <v>4199.74</v>
      </c>
      <c r="N510" s="857">
        <v>4211.9399999999996</v>
      </c>
      <c r="O510" s="857">
        <v>4222.4399999999996</v>
      </c>
      <c r="P510" s="963">
        <v>4205.4399999999996</v>
      </c>
      <c r="Q510" s="857">
        <v>4236.24</v>
      </c>
      <c r="R510" s="857">
        <v>4253.3999999999996</v>
      </c>
      <c r="S510" s="857">
        <v>4268.6899999999996</v>
      </c>
      <c r="T510" s="857">
        <v>4276.68</v>
      </c>
      <c r="U510" s="963">
        <v>4258.8900000000003</v>
      </c>
      <c r="V510" s="857">
        <v>4281.17</v>
      </c>
      <c r="W510" s="857">
        <v>4284.83</v>
      </c>
      <c r="X510" s="857">
        <v>4289.37</v>
      </c>
      <c r="Y510" s="857">
        <v>4297.38</v>
      </c>
      <c r="Z510" s="963">
        <v>4288.22</v>
      </c>
      <c r="AA510" s="857">
        <v>4306</v>
      </c>
      <c r="AB510" s="857">
        <v>4313.96</v>
      </c>
      <c r="AC510" s="857">
        <v>4324.04</v>
      </c>
      <c r="AD510" s="857">
        <v>4331.08</v>
      </c>
      <c r="AE510" s="963">
        <v>4318.8500000000004</v>
      </c>
      <c r="AF510" s="857">
        <v>4341.74</v>
      </c>
      <c r="AG510" s="857">
        <v>4350.97</v>
      </c>
      <c r="AH510" s="857">
        <v>4358.09</v>
      </c>
      <c r="AI510" s="857">
        <v>4363.8500000000004</v>
      </c>
      <c r="AJ510" s="963">
        <v>4353.74</v>
      </c>
      <c r="AK510" s="857">
        <v>4369.47</v>
      </c>
      <c r="AL510" s="857">
        <v>4375.87</v>
      </c>
      <c r="AM510" s="857">
        <v>4380.8999999999996</v>
      </c>
      <c r="AN510" s="857">
        <v>4385.47</v>
      </c>
      <c r="AO510" s="963">
        <v>4377.99</v>
      </c>
      <c r="AP510" s="857">
        <v>4393.5200000000004</v>
      </c>
      <c r="AQ510" s="857">
        <v>4405.6899999999996</v>
      </c>
      <c r="AR510" s="857">
        <v>4415.26</v>
      </c>
      <c r="AS510" s="857">
        <v>4422.2</v>
      </c>
      <c r="AT510" s="963">
        <v>4409.22</v>
      </c>
      <c r="AU510" s="857">
        <v>4432.24</v>
      </c>
      <c r="AV510" s="857">
        <v>4431.59</v>
      </c>
      <c r="AW510" s="857">
        <v>4427.78</v>
      </c>
      <c r="AX510" s="857">
        <v>4434.62</v>
      </c>
      <c r="AY510" s="963">
        <v>4431.55</v>
      </c>
      <c r="AZ510" s="857">
        <v>4441.46</v>
      </c>
      <c r="BA510" s="857">
        <v>4445.57</v>
      </c>
      <c r="BB510" s="857">
        <v>4448.78</v>
      </c>
      <c r="BC510" s="857">
        <v>4452</v>
      </c>
      <c r="BD510" s="963">
        <v>4446.9799999999996</v>
      </c>
      <c r="BE510" s="857">
        <v>4452.4399999999996</v>
      </c>
      <c r="BF510" s="857">
        <v>4438.8100000000004</v>
      </c>
      <c r="BG510" s="857">
        <v>4415.37</v>
      </c>
      <c r="BH510" s="857">
        <v>4359.2299999999996</v>
      </c>
      <c r="BI510" s="963">
        <v>4415.71</v>
      </c>
      <c r="BJ510" s="857">
        <v>4320.8999999999996</v>
      </c>
      <c r="BK510" s="857">
        <v>4300.6499999999996</v>
      </c>
      <c r="BL510" s="857">
        <v>4282.3900000000003</v>
      </c>
      <c r="BM510" s="857">
        <v>4277.16</v>
      </c>
      <c r="BN510" s="963">
        <v>4295.1899999999996</v>
      </c>
      <c r="BO510" s="857">
        <v>4272.7</v>
      </c>
      <c r="BP510" s="857">
        <v>4252.1099999999997</v>
      </c>
      <c r="BQ510" s="857">
        <v>4244.55</v>
      </c>
      <c r="BR510" s="857">
        <v>4229.2209999999995</v>
      </c>
      <c r="BS510" s="963">
        <v>4249.5119999999997</v>
      </c>
      <c r="BT510" s="864">
        <v>4222.7870000000003</v>
      </c>
      <c r="BU510" s="757">
        <f>AVERAGE(BT518,BU518)</f>
      </c>
      <c r="BV510" s="757">
        <f>AVERAGE(BU518,BV518)</f>
      </c>
      <c r="BW510" s="757">
        <f>AVERAGE(BV518,BW518)</f>
      </c>
      <c r="BX510" s="962">
        <f>SUM(BT510*BT3,BU510*BU3,BV510*BV3,BW510*BW3)/BX3</f>
      </c>
      <c r="BY510" s="757">
        <f>AVERAGE(BX518,BY518)</f>
      </c>
      <c r="BZ510" s="757">
        <f>AVERAGE(BY518,BZ518)</f>
      </c>
      <c r="CA510" s="757">
        <f>AVERAGE(BZ518,CA518)</f>
      </c>
      <c r="CB510" s="757">
        <f>AVERAGE(CA518,CB518)</f>
      </c>
      <c r="CC510" s="962">
        <f>SUM(BY510*BY3,BZ510*BZ3,CA510*CA3,CB510*CB3)/CC3</f>
      </c>
      <c r="CD510" s="962">
        <f>AVERAGE(CC518,CD518)</f>
      </c>
      <c r="CE510" s="962">
        <f>AVERAGE(CD518,CE518)</f>
      </c>
      <c r="CF510" s="962">
        <f>AVERAGE(CE518,CF518)</f>
      </c>
      <c r="CG510" s="459"/>
    </row>
    <row r="511" spans="1:85" s="587" customFormat="1" x14ac:dyDescent="0.3">
      <c r="A511" s="459" t="s">
        <v>100</v>
      </c>
      <c r="B511" s="414"/>
      <c r="C511" s="963">
        <v>4089.12</v>
      </c>
      <c r="D511" s="963">
        <v>3801.28</v>
      </c>
      <c r="E511" s="963">
        <v>3805.83</v>
      </c>
      <c r="F511" s="963">
        <v>4123.28</v>
      </c>
      <c r="G511" s="857">
        <v>4210.22</v>
      </c>
      <c r="H511" s="857">
        <v>4241.3</v>
      </c>
      <c r="I511" s="857">
        <v>4269.3</v>
      </c>
      <c r="J511" s="857">
        <v>4291.28</v>
      </c>
      <c r="K511" s="963">
        <v>4253.2700000000004</v>
      </c>
      <c r="L511" s="857">
        <v>4308.3599999999997</v>
      </c>
      <c r="M511" s="857">
        <v>4314.41</v>
      </c>
      <c r="N511" s="857">
        <v>4327.42</v>
      </c>
      <c r="O511" s="857">
        <v>4325.1400000000003</v>
      </c>
      <c r="P511" s="963">
        <v>4318.9399999999996</v>
      </c>
      <c r="Q511" s="857">
        <v>4338.09</v>
      </c>
      <c r="R511" s="857">
        <v>4360.97</v>
      </c>
      <c r="S511" s="857">
        <v>4376.0600000000004</v>
      </c>
      <c r="T511" s="857">
        <v>4382.57</v>
      </c>
      <c r="U511" s="963">
        <v>4364.5600000000004</v>
      </c>
      <c r="V511" s="857">
        <v>4379.93</v>
      </c>
      <c r="W511" s="857">
        <v>4381.54</v>
      </c>
      <c r="X511" s="857">
        <v>4383.8900000000003</v>
      </c>
      <c r="Y511" s="857">
        <v>4400.63</v>
      </c>
      <c r="Z511" s="963">
        <v>4386.5200000000004</v>
      </c>
      <c r="AA511" s="857">
        <v>4454.58</v>
      </c>
      <c r="AB511" s="857">
        <v>4462.62</v>
      </c>
      <c r="AC511" s="857">
        <v>4473.62</v>
      </c>
      <c r="AD511" s="857">
        <v>4481.42</v>
      </c>
      <c r="AE511" s="963">
        <v>4468.1400000000003</v>
      </c>
      <c r="AF511" s="857">
        <v>4503.59</v>
      </c>
      <c r="AG511" s="857">
        <v>4515.5200000000004</v>
      </c>
      <c r="AH511" s="857">
        <v>4519.1899999999996</v>
      </c>
      <c r="AI511" s="857">
        <v>4511.16</v>
      </c>
      <c r="AJ511" s="963">
        <v>4512.4399999999996</v>
      </c>
      <c r="AK511" s="857">
        <v>4519.22</v>
      </c>
      <c r="AL511" s="857">
        <v>4521.95</v>
      </c>
      <c r="AM511" s="857">
        <v>4515.5200000000004</v>
      </c>
      <c r="AN511" s="857">
        <v>4513.67</v>
      </c>
      <c r="AO511" s="963">
        <v>4517.6499999999996</v>
      </c>
      <c r="AP511" s="857">
        <v>4524.9399999999996</v>
      </c>
      <c r="AQ511" s="857">
        <v>4539.45</v>
      </c>
      <c r="AR511" s="857">
        <v>4550.88</v>
      </c>
      <c r="AS511" s="857">
        <v>4552.83</v>
      </c>
      <c r="AT511" s="963">
        <v>4542.08</v>
      </c>
      <c r="AU511" s="857">
        <v>4556.41</v>
      </c>
      <c r="AV511" s="857">
        <v>4551.29</v>
      </c>
      <c r="AW511" s="857">
        <v>4549.25</v>
      </c>
      <c r="AX511" s="857">
        <v>4557.95</v>
      </c>
      <c r="AY511" s="963">
        <v>4553.72</v>
      </c>
      <c r="AZ511" s="857">
        <v>4529.84</v>
      </c>
      <c r="BA511" s="857">
        <v>4501.6899999999996</v>
      </c>
      <c r="BB511" s="857">
        <v>4503.4399999999996</v>
      </c>
      <c r="BC511" s="857">
        <v>4516.49</v>
      </c>
      <c r="BD511" s="963">
        <v>4512.8999999999996</v>
      </c>
      <c r="BE511" s="857">
        <v>4524.17</v>
      </c>
      <c r="BF511" s="857">
        <v>4515.72</v>
      </c>
      <c r="BG511" s="857">
        <v>4500.1099999999997</v>
      </c>
      <c r="BH511" s="857">
        <v>4442.92</v>
      </c>
      <c r="BI511" s="963">
        <v>4494.9799999999996</v>
      </c>
      <c r="BJ511" s="857">
        <v>4416.54</v>
      </c>
      <c r="BK511" s="857">
        <v>4397.3900000000003</v>
      </c>
      <c r="BL511" s="857">
        <v>4378.9799999999996</v>
      </c>
      <c r="BM511" s="857">
        <v>4377.8599999999997</v>
      </c>
      <c r="BN511" s="963">
        <v>4392.6099999999997</v>
      </c>
      <c r="BO511" s="857">
        <v>4369.62</v>
      </c>
      <c r="BP511" s="857">
        <v>4348.83</v>
      </c>
      <c r="BQ511" s="857">
        <v>4340.3900000000003</v>
      </c>
      <c r="BR511" s="857">
        <v>4317.1440000000002</v>
      </c>
      <c r="BS511" s="963">
        <v>4343.8630000000003</v>
      </c>
      <c r="BT511" s="864">
        <v>4298.4369999999999</v>
      </c>
      <c r="BU511" s="757">
        <f>IF(BU497&lt;0,BU510,AVERAGE(BT529,BU529))</f>
      </c>
      <c r="BV511" s="757">
        <f>IF(BV497&lt;0,BV510,AVERAGE(BU529,BV529))</f>
      </c>
      <c r="BW511" s="757">
        <f>IF(BW497&lt;0,BW510,AVERAGE(BV529,BW529))</f>
      </c>
      <c r="BX511" s="962">
        <f>IF(BX497&lt;0,BX510,SUM(AVERAGE(BS529,BT529)*BT3,AVERAGE(BT529,BU529)*BU3,AVERAGE(BU529,BV529)*BV3,AVERAGE(BV529,BW529)*BW3)/BX3)</f>
      </c>
      <c r="BY511" s="757">
        <f>IF(BY497&lt;0,BY510,AVERAGE(BX529,BY529))</f>
      </c>
      <c r="BZ511" s="757">
        <f>IF(BZ497&lt;0,BZ510,AVERAGE(BY529,BZ529))</f>
      </c>
      <c r="CA511" s="757">
        <f>IF(CA497&lt;0,CA510,AVERAGE(BZ529,CA529))</f>
      </c>
      <c r="CB511" s="757">
        <f>IF(CB497&lt;0,CB510,AVERAGE(CA529,CB529))</f>
      </c>
      <c r="CC511" s="962">
        <f>IF(CC497&lt;0,CC510,SUM(AVERAGE(BX529,BY529)*BY3,AVERAGE(BY529,BZ529)*BZ3,AVERAGE(BZ529,CA529)*CA3,AVERAGE(CA529,CB529)*CB3)/CC3)</f>
      </c>
      <c r="CD511" s="962">
        <f>IF(CD497&lt;0,CD510,AVERAGE(CC529,CD529))</f>
      </c>
      <c r="CE511" s="962">
        <f>IF(CE497&lt;0,CE510,AVERAGE(CD529,CE529))</f>
      </c>
      <c r="CF511" s="962">
        <f>IF(CF497&lt;0,CF510,AVERAGE(CE529,CF529))</f>
      </c>
      <c r="CG511" s="459"/>
    </row>
    <row r="512" spans="1:85" s="587" customFormat="1" x14ac:dyDescent="0.3">
      <c r="A512" s="459" t="s">
        <v>101</v>
      </c>
      <c r="B512" s="414"/>
      <c r="C512" s="964">
        <f t="shared" ref="C512:AQ512" si="985">C511</f>
      </c>
      <c r="D512" s="964">
        <f t="shared" si="985"/>
      </c>
      <c r="E512" s="964">
        <f t="shared" si="985"/>
      </c>
      <c r="F512" s="964">
        <f t="shared" si="985"/>
      </c>
      <c r="G512" s="459">
        <f t="shared" si="985"/>
      </c>
      <c r="H512" s="459">
        <f t="shared" si="985"/>
      </c>
      <c r="I512" s="459">
        <f t="shared" si="985"/>
      </c>
      <c r="J512" s="459">
        <f t="shared" si="985"/>
      </c>
      <c r="K512" s="964">
        <f t="shared" si="985"/>
      </c>
      <c r="L512" s="459">
        <f t="shared" si="985"/>
      </c>
      <c r="M512" s="459">
        <f t="shared" si="985"/>
      </c>
      <c r="N512" s="459">
        <f t="shared" si="985"/>
      </c>
      <c r="O512" s="459">
        <f t="shared" si="985"/>
      </c>
      <c r="P512" s="964">
        <f t="shared" si="985"/>
      </c>
      <c r="Q512" s="459">
        <f t="shared" si="985"/>
      </c>
      <c r="R512" s="459">
        <f t="shared" si="985"/>
      </c>
      <c r="S512" s="459">
        <f t="shared" si="985"/>
      </c>
      <c r="T512" s="459">
        <f t="shared" si="985"/>
      </c>
      <c r="U512" s="964">
        <f t="shared" si="985"/>
      </c>
      <c r="V512" s="459">
        <f t="shared" si="985"/>
      </c>
      <c r="W512" s="459">
        <f t="shared" si="985"/>
      </c>
      <c r="X512" s="459">
        <f t="shared" si="985"/>
      </c>
      <c r="Y512" s="459">
        <f t="shared" si="985"/>
      </c>
      <c r="Z512" s="964">
        <f t="shared" si="985"/>
      </c>
      <c r="AA512" s="459">
        <f t="shared" si="985"/>
      </c>
      <c r="AB512" s="459">
        <f t="shared" si="985"/>
      </c>
      <c r="AC512" s="459">
        <f t="shared" si="985"/>
      </c>
      <c r="AD512" s="459">
        <f t="shared" si="985"/>
      </c>
      <c r="AE512" s="964">
        <f t="shared" si="985"/>
      </c>
      <c r="AF512" s="459">
        <f t="shared" si="985"/>
      </c>
      <c r="AG512" s="459">
        <f t="shared" si="985"/>
      </c>
      <c r="AH512" s="459">
        <f t="shared" si="985"/>
      </c>
      <c r="AI512" s="459">
        <f t="shared" si="985"/>
      </c>
      <c r="AJ512" s="964">
        <f t="shared" si="985"/>
      </c>
      <c r="AK512" s="459">
        <f t="shared" si="985"/>
      </c>
      <c r="AL512" s="459">
        <f t="shared" si="985"/>
      </c>
      <c r="AM512" s="459">
        <f t="shared" si="985"/>
      </c>
      <c r="AN512" s="459">
        <f t="shared" si="985"/>
      </c>
      <c r="AO512" s="964">
        <f t="shared" si="985"/>
      </c>
      <c r="AP512" s="459">
        <f t="shared" si="985"/>
      </c>
      <c r="AQ512" s="459">
        <f t="shared" si="985"/>
      </c>
      <c r="AR512" s="459">
        <f>AR511</f>
      </c>
      <c r="AS512" s="459">
        <f>AS511</f>
      </c>
      <c r="AT512" s="964">
        <f>AT511</f>
      </c>
      <c r="AU512" s="459">
        <f t="shared" ref="AU512" si="986">AU511</f>
      </c>
      <c r="AV512" s="459">
        <f t="shared" ref="AV512:BA512" si="987">AV511</f>
      </c>
      <c r="AW512" s="459">
        <f t="shared" si="987"/>
      </c>
      <c r="AX512" s="459">
        <f t="shared" si="987"/>
      </c>
      <c r="AY512" s="964">
        <f t="shared" si="987"/>
      </c>
      <c r="AZ512" s="459">
        <f t="shared" si="987"/>
      </c>
      <c r="BA512" s="757">
        <f t="shared" si="987"/>
      </c>
      <c r="BB512" s="757">
        <f>+BB511</f>
      </c>
      <c r="BC512" s="459">
        <f>BC511</f>
      </c>
      <c r="BD512" s="964">
        <f>BD511</f>
      </c>
      <c r="BE512" s="459">
        <f>BE511</f>
      </c>
      <c r="BF512" s="757">
        <f>BF511</f>
      </c>
      <c r="BG512" s="757">
        <f>+BG511</f>
      </c>
      <c r="BH512" s="459">
        <f>BH511</f>
      </c>
      <c r="BI512" s="964">
        <f>BI511</f>
      </c>
      <c r="BJ512" s="459">
        <f>BJ511</f>
      </c>
      <c r="BK512" s="757">
        <f>BK511</f>
      </c>
      <c r="BL512" s="757">
        <f>+BL511</f>
      </c>
      <c r="BM512" s="459">
        <f>BM511</f>
      </c>
      <c r="BN512" s="964">
        <f>BN511</f>
      </c>
      <c r="BO512" s="459">
        <f>BO511</f>
      </c>
      <c r="BP512" s="757">
        <f>BP511</f>
      </c>
      <c r="BQ512" s="757">
        <f>+BQ511</f>
      </c>
      <c r="BR512" s="459">
        <f>BR511</f>
      </c>
      <c r="BS512" s="964">
        <f>BS511</f>
      </c>
      <c r="BT512" s="795">
        <f>BT511</f>
      </c>
      <c r="BU512" s="757">
        <f>IF(BU500&lt;0,BU510,AVERAGE(BT529,BU529))</f>
      </c>
      <c r="BV512" s="757">
        <f>IF(BV500&lt;0,BV510,AVERAGE(BU529,BV529))</f>
      </c>
      <c r="BW512" s="757">
        <f>IF(BW500&lt;0,BW510,AVERAGE(BV529,BW529))</f>
      </c>
      <c r="BX512" s="962">
        <f>IF(BX500&lt;0,BX510,SUM(AVERAGE(BS529,BT529)*BT3,AVERAGE(BT529,BU529)*BU3,AVERAGE(BU529,BV529)*BV3,AVERAGE(BV529,BW529)*BW3)/BX3)</f>
      </c>
      <c r="BY512" s="757">
        <f>IF(BY500&lt;0,BY510,AVERAGE(BX529,BY529))</f>
      </c>
      <c r="BZ512" s="757">
        <f>IF(BZ500&lt;0,BZ510,AVERAGE(BY529,BZ529))</f>
      </c>
      <c r="CA512" s="757">
        <f>IF(CA500&lt;0,CA510,AVERAGE(BZ529,CA529))</f>
      </c>
      <c r="CB512" s="757">
        <f>IF(CB500&lt;0,CB510,AVERAGE(CA529,CB529))</f>
      </c>
      <c r="CC512" s="962">
        <f>IF(CC500&lt;0,CC510,SUM(AVERAGE(BX529,BY529)*BY3,AVERAGE(BY529,BZ529)*BZ3,AVERAGE(BZ529,CA529)*CA3,AVERAGE(CA529,CB529)*CB3)/CC3)</f>
      </c>
      <c r="CD512" s="962">
        <f>IF(CD500&lt;0,CD510,AVERAGE(CC529,CD529))</f>
      </c>
      <c r="CE512" s="962">
        <f>IF(CE500&lt;0,CE510,AVERAGE(CD529,CE529))</f>
      </c>
      <c r="CF512" s="962">
        <f>IF(CF500&lt;0,CF510,AVERAGE(CE529,CF529))</f>
      </c>
      <c r="CG512" s="459"/>
    </row>
    <row r="513" spans="1:85" x14ac:dyDescent="0.3">
      <c r="A513" s="414"/>
      <c r="B513" s="414"/>
      <c r="C513" s="962"/>
      <c r="D513" s="962"/>
      <c r="E513" s="962"/>
      <c r="F513" s="962"/>
      <c r="G513" s="757"/>
      <c r="H513" s="757"/>
      <c r="I513" s="757"/>
      <c r="J513" s="757"/>
      <c r="K513" s="962"/>
      <c r="L513" s="757"/>
      <c r="M513" s="757"/>
      <c r="N513" s="757"/>
      <c r="O513" s="757"/>
      <c r="P513" s="962"/>
      <c r="Q513" s="757"/>
      <c r="R513" s="757"/>
      <c r="S513" s="757"/>
      <c r="T513" s="757"/>
      <c r="U513" s="962"/>
      <c r="V513" s="757"/>
      <c r="W513" s="757"/>
      <c r="X513" s="757"/>
      <c r="Y513" s="757"/>
      <c r="Z513" s="962"/>
      <c r="AA513" s="757"/>
      <c r="AB513" s="757"/>
      <c r="AC513" s="757"/>
      <c r="AD513" s="757"/>
      <c r="AE513" s="962"/>
      <c r="AF513" s="757"/>
      <c r="AG513" s="757"/>
      <c r="AH513" s="757"/>
      <c r="AI513" s="757"/>
      <c r="AJ513" s="962"/>
      <c r="AK513" s="757"/>
      <c r="AL513" s="757"/>
      <c r="AM513" s="757"/>
      <c r="AN513" s="757"/>
      <c r="AO513" s="962"/>
      <c r="AP513" s="757"/>
      <c r="AQ513" s="757"/>
      <c r="AR513" s="757"/>
      <c r="AS513" s="757"/>
      <c r="AT513" s="962"/>
      <c r="AU513" s="757"/>
      <c r="AV513" s="757"/>
      <c r="AW513" s="757"/>
      <c r="AX513" s="757"/>
      <c r="AY513" s="962"/>
      <c r="AZ513" s="757"/>
      <c r="BA513" s="757"/>
      <c r="BB513" s="757"/>
      <c r="BC513" s="757"/>
      <c r="BD513" s="962"/>
      <c r="BE513" s="757"/>
      <c r="BF513" s="757"/>
      <c r="BG513" s="757"/>
      <c r="BH513" s="757"/>
      <c r="BI513" s="962"/>
      <c r="BJ513" s="757"/>
      <c r="BK513" s="757"/>
      <c r="BL513" s="757"/>
      <c r="BM513" s="757"/>
      <c r="BN513" s="962"/>
      <c r="BO513" s="757"/>
      <c r="BP513" s="757"/>
      <c r="BQ513" s="757"/>
      <c r="BR513" s="757"/>
      <c r="BS513" s="962"/>
      <c r="BT513" s="758"/>
      <c r="BU513" s="757"/>
      <c r="BV513" s="757"/>
      <c r="BW513" s="757"/>
      <c r="BX513" s="962"/>
      <c r="BY513" s="757"/>
      <c r="BZ513" s="757"/>
      <c r="CA513" s="757"/>
      <c r="CB513" s="757"/>
      <c r="CC513" s="962"/>
      <c r="CD513" s="962"/>
      <c r="CE513" s="962"/>
      <c r="CF513" s="962"/>
      <c r="CG513" s="459"/>
    </row>
    <row r="514" spans="1:85" x14ac:dyDescent="0.3">
      <c r="A514" s="754" t="s">
        <v>704</v>
      </c>
      <c r="B514" s="754"/>
      <c r="C514" s="754"/>
      <c r="D514" s="754"/>
      <c r="E514" s="754"/>
      <c r="F514" s="754"/>
      <c r="G514" s="754"/>
      <c r="H514" s="754"/>
      <c r="I514" s="754"/>
      <c r="J514" s="754"/>
      <c r="K514" s="754"/>
      <c r="L514" s="754"/>
      <c r="M514" s="754"/>
      <c r="N514" s="754"/>
      <c r="O514" s="754"/>
      <c r="P514" s="754"/>
      <c r="Q514" s="754"/>
      <c r="R514" s="754"/>
      <c r="S514" s="754"/>
      <c r="T514" s="754"/>
      <c r="U514" s="754"/>
      <c r="V514" s="754"/>
      <c r="W514" s="754"/>
      <c r="X514" s="754"/>
      <c r="Y514" s="754"/>
      <c r="Z514" s="754"/>
      <c r="AA514" s="754"/>
      <c r="AB514" s="754"/>
      <c r="AC514" s="754"/>
      <c r="AD514" s="754"/>
      <c r="AE514" s="754"/>
      <c r="AF514" s="754"/>
      <c r="AG514" s="754"/>
      <c r="AH514" s="754"/>
      <c r="AI514" s="754"/>
      <c r="AJ514" s="754"/>
      <c r="AK514" s="754"/>
      <c r="AL514" s="754"/>
      <c r="AM514" s="754"/>
      <c r="AN514" s="754"/>
      <c r="AO514" s="754"/>
      <c r="AP514" s="754"/>
      <c r="AQ514" s="754"/>
      <c r="AR514" s="754"/>
      <c r="AS514" s="754"/>
      <c r="AT514" s="754"/>
      <c r="AU514" s="754"/>
      <c r="AV514" s="754"/>
      <c r="AW514" s="754"/>
      <c r="AX514" s="754"/>
      <c r="AY514" s="754"/>
      <c r="AZ514" s="754"/>
      <c r="BA514" s="754"/>
      <c r="BB514" s="754"/>
      <c r="BC514" s="754"/>
      <c r="BD514" s="754"/>
      <c r="BE514" s="754"/>
      <c r="BF514" s="754"/>
      <c r="BG514" s="754"/>
      <c r="BH514" s="754"/>
      <c r="BI514" s="754"/>
      <c r="BJ514" s="754"/>
      <c r="BK514" s="754"/>
      <c r="BL514" s="754"/>
      <c r="BM514" s="754"/>
      <c r="BN514" s="754"/>
      <c r="BO514" s="754"/>
      <c r="BP514" s="754"/>
      <c r="BQ514" s="754"/>
      <c r="BR514" s="754"/>
      <c r="BS514" s="754"/>
      <c r="BT514" s="755"/>
      <c r="BU514" s="754"/>
      <c r="BV514" s="754"/>
      <c r="BW514" s="754"/>
      <c r="BX514" s="754"/>
      <c r="BY514" s="754"/>
      <c r="BZ514" s="754"/>
      <c r="CA514" s="754"/>
      <c r="CB514" s="754"/>
      <c r="CC514" s="754"/>
      <c r="CD514" s="754"/>
      <c r="CE514" s="754"/>
      <c r="CF514" s="754"/>
      <c r="CG514" s="183"/>
    </row>
    <row r="515" spans="1:85" s="594" customFormat="1" ht="15" hidden="1" customHeight="1" outlineLevel="2" x14ac:dyDescent="0.3">
      <c r="A515" s="459" t="s">
        <v>925</v>
      </c>
      <c r="B515" s="489"/>
      <c r="C515" s="1017">
        <f t="shared" ref="C515:AH515" si="988">WORKDAY(C4+1,-1)</f>
      </c>
      <c r="D515" s="1017">
        <f t="shared" si="988"/>
      </c>
      <c r="E515" s="1017">
        <f t="shared" si="988"/>
      </c>
      <c r="F515" s="1017">
        <f t="shared" si="988"/>
      </c>
      <c r="G515" s="489">
        <f t="shared" si="988"/>
      </c>
      <c r="H515" s="489">
        <f t="shared" si="988"/>
      </c>
      <c r="I515" s="489">
        <f t="shared" si="988"/>
      </c>
      <c r="J515" s="489">
        <f t="shared" si="988"/>
      </c>
      <c r="K515" s="1017">
        <f t="shared" si="988"/>
      </c>
      <c r="L515" s="489">
        <f t="shared" si="988"/>
      </c>
      <c r="M515" s="489">
        <f t="shared" si="988"/>
      </c>
      <c r="N515" s="489">
        <f t="shared" si="988"/>
      </c>
      <c r="O515" s="489">
        <f t="shared" si="988"/>
      </c>
      <c r="P515" s="1017">
        <f t="shared" si="988"/>
      </c>
      <c r="Q515" s="489">
        <f t="shared" si="988"/>
      </c>
      <c r="R515" s="489">
        <f t="shared" si="988"/>
      </c>
      <c r="S515" s="489">
        <f t="shared" si="988"/>
      </c>
      <c r="T515" s="489">
        <f t="shared" si="988"/>
      </c>
      <c r="U515" s="1017">
        <f t="shared" si="988"/>
      </c>
      <c r="V515" s="489">
        <f t="shared" si="988"/>
      </c>
      <c r="W515" s="489">
        <f t="shared" si="988"/>
      </c>
      <c r="X515" s="489">
        <f t="shared" si="988"/>
      </c>
      <c r="Y515" s="489">
        <f t="shared" si="988"/>
      </c>
      <c r="Z515" s="1017">
        <f t="shared" si="988"/>
      </c>
      <c r="AA515" s="489">
        <f t="shared" si="988"/>
      </c>
      <c r="AB515" s="489">
        <f t="shared" si="988"/>
      </c>
      <c r="AC515" s="489">
        <f t="shared" si="988"/>
      </c>
      <c r="AD515" s="489">
        <f t="shared" si="988"/>
      </c>
      <c r="AE515" s="1017">
        <f t="shared" si="988"/>
      </c>
      <c r="AF515" s="489">
        <f t="shared" si="988"/>
      </c>
      <c r="AG515" s="489">
        <f t="shared" si="988"/>
      </c>
      <c r="AH515" s="489">
        <f t="shared" si="988"/>
      </c>
      <c r="AI515" s="489">
        <f t="shared" ref="AI515:BQ515" si="989">WORKDAY(AI4+1,-1)</f>
      </c>
      <c r="AJ515" s="1017">
        <f t="shared" si="989"/>
      </c>
      <c r="AK515" s="489">
        <f t="shared" si="989"/>
      </c>
      <c r="AL515" s="489">
        <f t="shared" si="989"/>
      </c>
      <c r="AM515" s="489">
        <f t="shared" si="989"/>
      </c>
      <c r="AN515" s="489">
        <f t="shared" si="989"/>
      </c>
      <c r="AO515" s="1017">
        <f t="shared" si="989"/>
      </c>
      <c r="AP515" s="489">
        <f t="shared" si="989"/>
      </c>
      <c r="AQ515" s="489">
        <f t="shared" si="989"/>
      </c>
      <c r="AR515" s="489">
        <f t="shared" si="989"/>
      </c>
      <c r="AS515" s="489">
        <f t="shared" si="989"/>
      </c>
      <c r="AT515" s="1017">
        <f t="shared" si="989"/>
      </c>
      <c r="AU515" s="489">
        <f t="shared" si="989"/>
      </c>
      <c r="AV515" s="489">
        <f t="shared" si="989"/>
      </c>
      <c r="AW515" s="489">
        <f t="shared" si="989"/>
      </c>
      <c r="AX515" s="489">
        <f t="shared" si="989"/>
      </c>
      <c r="AY515" s="1017">
        <f t="shared" si="989"/>
      </c>
      <c r="AZ515" s="489">
        <f t="shared" si="989"/>
      </c>
      <c r="BA515" s="489">
        <f t="shared" si="989"/>
      </c>
      <c r="BB515" s="489">
        <f t="shared" si="989"/>
      </c>
      <c r="BC515" s="489">
        <f t="shared" si="989"/>
      </c>
      <c r="BD515" s="1017">
        <f t="shared" si="989"/>
      </c>
      <c r="BE515" s="489">
        <f t="shared" si="989"/>
      </c>
      <c r="BF515" s="489">
        <f t="shared" si="989"/>
      </c>
      <c r="BG515" s="489">
        <f t="shared" si="989"/>
      </c>
      <c r="BH515" s="489">
        <f t="shared" si="989"/>
      </c>
      <c r="BI515" s="1017">
        <f t="shared" si="989"/>
      </c>
      <c r="BJ515" s="489">
        <f t="shared" si="989"/>
      </c>
      <c r="BK515" s="489">
        <f t="shared" si="989"/>
      </c>
      <c r="BL515" s="489">
        <f t="shared" si="989"/>
      </c>
      <c r="BM515" s="489">
        <f t="shared" si="989"/>
      </c>
      <c r="BN515" s="1017">
        <f t="shared" si="989"/>
      </c>
      <c r="BO515" s="489">
        <f t="shared" si="989"/>
      </c>
      <c r="BP515" s="489">
        <f t="shared" si="989"/>
      </c>
      <c r="BQ515" s="489">
        <f t="shared" si="989"/>
      </c>
      <c r="BR515" s="489">
        <f>WORKDAY(BR4+1,-1)</f>
      </c>
      <c r="BS515" s="1017">
        <f>WORKDAY(BS4+1,-1)</f>
      </c>
      <c r="BT515" s="695">
        <f>WORKDAY(BT4+1,-1)</f>
      </c>
      <c r="BU515" s="489"/>
      <c r="BV515" s="489"/>
      <c r="BW515" s="489"/>
      <c r="BX515" s="1017"/>
      <c r="BY515" s="489"/>
      <c r="BZ515" s="489"/>
      <c r="CA515" s="489"/>
      <c r="CB515" s="489"/>
      <c r="CC515" s="1017"/>
      <c r="CD515" s="1017"/>
      <c r="CE515" s="1017"/>
      <c r="CF515" s="1017"/>
      <c r="CG515" s="490"/>
    </row>
    <row r="516" spans="1:85" s="595" customFormat="1" ht="15" hidden="1" customHeight="1" outlineLevel="1" collapsed="1" x14ac:dyDescent="0.3">
      <c r="A516" s="764" t="s">
        <v>926</v>
      </c>
      <c r="B516" s="764"/>
      <c r="C516" s="1018">
        <f>C1020</f>
      </c>
      <c r="D516" s="1018">
        <f t="shared" ref="D516:BD516" si="990">D1020</f>
      </c>
      <c r="E516" s="1018">
        <f t="shared" si="990"/>
      </c>
      <c r="F516" s="1018">
        <f t="shared" si="990"/>
      </c>
      <c r="G516" s="764">
        <f t="shared" si="990"/>
      </c>
      <c r="H516" s="764">
        <f t="shared" si="990"/>
      </c>
      <c r="I516" s="764">
        <f t="shared" si="990"/>
      </c>
      <c r="J516" s="764">
        <f t="shared" si="990"/>
      </c>
      <c r="K516" s="1018">
        <f t="shared" si="990"/>
      </c>
      <c r="L516" s="764">
        <f t="shared" si="990"/>
      </c>
      <c r="M516" s="764">
        <f t="shared" si="990"/>
      </c>
      <c r="N516" s="764">
        <f t="shared" si="990"/>
      </c>
      <c r="O516" s="764">
        <f t="shared" si="990"/>
      </c>
      <c r="P516" s="1018">
        <f t="shared" si="990"/>
      </c>
      <c r="Q516" s="764">
        <f t="shared" si="990"/>
      </c>
      <c r="R516" s="764">
        <f t="shared" si="990"/>
      </c>
      <c r="S516" s="764">
        <f t="shared" si="990"/>
      </c>
      <c r="T516" s="764">
        <f t="shared" si="990"/>
      </c>
      <c r="U516" s="1018">
        <f t="shared" si="990"/>
      </c>
      <c r="V516" s="764">
        <f t="shared" si="990"/>
      </c>
      <c r="W516" s="764">
        <f t="shared" si="990"/>
      </c>
      <c r="X516" s="764">
        <f t="shared" si="990"/>
      </c>
      <c r="Y516" s="764">
        <f t="shared" si="990"/>
      </c>
      <c r="Z516" s="1018">
        <f t="shared" si="990"/>
      </c>
      <c r="AA516" s="764">
        <f t="shared" si="990"/>
      </c>
      <c r="AB516" s="764">
        <f t="shared" si="990"/>
      </c>
      <c r="AC516" s="764">
        <f t="shared" si="990"/>
      </c>
      <c r="AD516" s="764">
        <f t="shared" si="990"/>
      </c>
      <c r="AE516" s="1018">
        <f t="shared" si="990"/>
      </c>
      <c r="AF516" s="764">
        <f t="shared" si="990"/>
      </c>
      <c r="AG516" s="764">
        <f t="shared" si="990"/>
      </c>
      <c r="AH516" s="764">
        <f t="shared" si="990"/>
      </c>
      <c r="AI516" s="764">
        <f t="shared" si="990"/>
      </c>
      <c r="AJ516" s="1018">
        <f t="shared" si="990"/>
      </c>
      <c r="AK516" s="764">
        <f t="shared" si="990"/>
      </c>
      <c r="AL516" s="764">
        <f t="shared" si="990"/>
      </c>
      <c r="AM516" s="764">
        <f t="shared" si="990"/>
      </c>
      <c r="AN516" s="764">
        <f t="shared" si="990"/>
      </c>
      <c r="AO516" s="1018">
        <f t="shared" si="990"/>
      </c>
      <c r="AP516" s="764">
        <f t="shared" si="990"/>
      </c>
      <c r="AQ516" s="764">
        <f t="shared" si="990"/>
      </c>
      <c r="AR516" s="764">
        <f t="shared" si="990"/>
      </c>
      <c r="AS516" s="764">
        <f t="shared" si="990"/>
      </c>
      <c r="AT516" s="1018">
        <f t="shared" si="990"/>
      </c>
      <c r="AU516" s="764">
        <f t="shared" si="990"/>
      </c>
      <c r="AV516" s="764">
        <f t="shared" si="990"/>
      </c>
      <c r="AW516" s="764">
        <f t="shared" si="990"/>
      </c>
      <c r="AX516" s="764">
        <f t="shared" si="990"/>
      </c>
      <c r="AY516" s="1018">
        <f t="shared" si="990"/>
      </c>
      <c r="AZ516" s="764">
        <f t="shared" si="990"/>
      </c>
      <c r="BA516" s="764">
        <f t="shared" si="990"/>
      </c>
      <c r="BB516" s="764">
        <f t="shared" si="990"/>
      </c>
      <c r="BC516" s="764">
        <f t="shared" si="990"/>
      </c>
      <c r="BD516" s="1018">
        <f t="shared" si="990"/>
      </c>
      <c r="BE516" s="764">
        <f t="shared" ref="BE516" si="991">BE1020</f>
      </c>
      <c r="BF516" s="764">
        <f t="shared" ref="BF516:BK516" si="992">BF1020</f>
      </c>
      <c r="BG516" s="764">
        <f t="shared" si="992"/>
      </c>
      <c r="BH516" s="764">
        <f t="shared" si="992"/>
      </c>
      <c r="BI516" s="1018">
        <f t="shared" si="992"/>
      </c>
      <c r="BJ516" s="764">
        <f t="shared" si="992"/>
      </c>
      <c r="BK516" s="764">
        <f t="shared" si="992"/>
      </c>
      <c r="BL516" s="764">
        <f t="shared" ref="BL516:BQ516" si="993">BL1020</f>
      </c>
      <c r="BM516" s="764">
        <f t="shared" si="993"/>
      </c>
      <c r="BN516" s="1018">
        <f t="shared" si="993"/>
      </c>
      <c r="BO516" s="764">
        <f t="shared" si="993"/>
      </c>
      <c r="BP516" s="764">
        <f t="shared" si="993"/>
      </c>
      <c r="BQ516" s="764">
        <f t="shared" si="993"/>
      </c>
      <c r="BR516" s="764">
        <f>BR1020</f>
      </c>
      <c r="BS516" s="1018">
        <f>BS1020</f>
      </c>
      <c r="BT516" s="816">
        <f>BT1020</f>
      </c>
      <c r="BU516" s="764"/>
      <c r="BV516" s="764"/>
      <c r="BW516" s="764"/>
      <c r="BX516" s="1018"/>
      <c r="BY516" s="764"/>
      <c r="BZ516" s="764"/>
      <c r="CA516" s="764"/>
      <c r="CB516" s="764"/>
      <c r="CC516" s="1018"/>
      <c r="CD516" s="1018"/>
      <c r="CE516" s="1018"/>
      <c r="CF516" s="1018"/>
      <c r="CG516" s="548"/>
    </row>
    <row r="517" spans="1:85" ht="15" hidden="1" customHeight="1" outlineLevel="1" x14ac:dyDescent="0.3">
      <c r="A517" s="757"/>
      <c r="B517" s="414"/>
      <c r="C517" s="962"/>
      <c r="D517" s="962"/>
      <c r="E517" s="962"/>
      <c r="F517" s="962"/>
      <c r="G517" s="757"/>
      <c r="H517" s="757"/>
      <c r="I517" s="757"/>
      <c r="J517" s="757"/>
      <c r="K517" s="962"/>
      <c r="L517" s="757"/>
      <c r="M517" s="757"/>
      <c r="N517" s="757"/>
      <c r="O517" s="757"/>
      <c r="P517" s="962"/>
      <c r="Q517" s="757"/>
      <c r="R517" s="757"/>
      <c r="S517" s="757"/>
      <c r="T517" s="757"/>
      <c r="U517" s="962"/>
      <c r="V517" s="757"/>
      <c r="W517" s="757"/>
      <c r="X517" s="757"/>
      <c r="Y517" s="757"/>
      <c r="Z517" s="962"/>
      <c r="AA517" s="757"/>
      <c r="AB517" s="757"/>
      <c r="AC517" s="757"/>
      <c r="AD517" s="757"/>
      <c r="AE517" s="962"/>
      <c r="AF517" s="757"/>
      <c r="AG517" s="757"/>
      <c r="AH517" s="757"/>
      <c r="AI517" s="757"/>
      <c r="AJ517" s="962"/>
      <c r="AK517" s="757"/>
      <c r="AL517" s="757"/>
      <c r="AM517" s="757"/>
      <c r="AN517" s="757"/>
      <c r="AO517" s="962"/>
      <c r="AP517" s="757"/>
      <c r="AQ517" s="757"/>
      <c r="AR517" s="757"/>
      <c r="AS517" s="757"/>
      <c r="AT517" s="962"/>
      <c r="AU517" s="757"/>
      <c r="AV517" s="757"/>
      <c r="AW517" s="757"/>
      <c r="AX517" s="757"/>
      <c r="AY517" s="962"/>
      <c r="AZ517" s="757"/>
      <c r="BA517" s="757"/>
      <c r="BB517" s="757"/>
      <c r="BC517" s="757"/>
      <c r="BD517" s="962"/>
      <c r="BE517" s="757"/>
      <c r="BF517" s="757"/>
      <c r="BG517" s="757"/>
      <c r="BH517" s="757"/>
      <c r="BI517" s="962"/>
      <c r="BJ517" s="757"/>
      <c r="BK517" s="757"/>
      <c r="BL517" s="757"/>
      <c r="BM517" s="757"/>
      <c r="BN517" s="962"/>
      <c r="BO517" s="757"/>
      <c r="BP517" s="757"/>
      <c r="BQ517" s="757"/>
      <c r="BR517" s="757"/>
      <c r="BS517" s="962"/>
      <c r="BT517" s="758"/>
      <c r="BU517" s="757"/>
      <c r="BV517" s="757"/>
      <c r="BW517" s="757"/>
      <c r="BX517" s="962"/>
      <c r="BY517" s="757"/>
      <c r="BZ517" s="757"/>
      <c r="CA517" s="757"/>
      <c r="CB517" s="757"/>
      <c r="CC517" s="962"/>
      <c r="CD517" s="962"/>
      <c r="CE517" s="962"/>
      <c r="CF517" s="962"/>
      <c r="CG517" s="459"/>
    </row>
    <row r="518" spans="1:85" ht="15" hidden="1" customHeight="1" outlineLevel="1" x14ac:dyDescent="0.3">
      <c r="A518" s="459" t="s">
        <v>927</v>
      </c>
      <c r="B518" s="414"/>
      <c r="C518" s="963">
        <f>(53.440073*(7))*10</f>
      </c>
      <c r="D518" s="963">
        <f>(52.781949*(7))*10</f>
      </c>
      <c r="E518" s="963">
        <f>(55.398615*(7))*10</f>
      </c>
      <c r="F518" s="963">
        <f>(55.587167*(7))*10</f>
      </c>
      <c r="G518" s="857">
        <f>(56.143986*(7))*10</f>
      </c>
      <c r="H518" s="857">
        <f>(58.922493*(7))*10</f>
      </c>
      <c r="I518" s="857">
        <f>(59.257798*(7))*10</f>
      </c>
      <c r="J518" s="757">
        <f>K518</f>
      </c>
      <c r="K518" s="963">
        <f>(59.607001*(7))*10</f>
      </c>
      <c r="L518" s="857">
        <f>(59.940336*(7))*10</f>
      </c>
      <c r="M518" s="857">
        <f>(60.091015*(7))*10</f>
      </c>
      <c r="N518" s="857">
        <f>(60.246379*(7))*10</f>
      </c>
      <c r="O518" s="757">
        <f>P518</f>
      </c>
      <c r="P518" s="963">
        <f>(60.415841*(7))*10</f>
      </c>
      <c r="Q518" s="857">
        <f>(60.620721*(7))*10</f>
      </c>
      <c r="R518" s="857">
        <v>4260.0483100000001</v>
      </c>
      <c r="S518" s="857">
        <v>4273.8828800000001</v>
      </c>
      <c r="T518" s="757">
        <f>U518</f>
      </c>
      <c r="U518" s="963">
        <v>4279.4044000000004</v>
      </c>
      <c r="V518" s="857">
        <v>4282.8921600000003</v>
      </c>
      <c r="W518" s="857">
        <v>4287.2538800000002</v>
      </c>
      <c r="X518" s="857">
        <v>4291.4502300000004</v>
      </c>
      <c r="Y518" s="757">
        <f>Z518</f>
      </c>
      <c r="Z518" s="963">
        <v>4300.5421200000001</v>
      </c>
      <c r="AA518" s="857">
        <v>4309.9342900000001</v>
      </c>
      <c r="AB518" s="857">
        <v>4317.4974400000001</v>
      </c>
      <c r="AC518" s="857">
        <v>4327.3113000000003</v>
      </c>
      <c r="AD518" s="757">
        <f>AE518</f>
      </c>
      <c r="AE518" s="963">
        <v>4333.9268599999996</v>
      </c>
      <c r="AF518" s="857">
        <v>4346.5730299999996</v>
      </c>
      <c r="AG518" s="857">
        <v>4354.5750500000004</v>
      </c>
      <c r="AH518" s="857">
        <v>4360.8499499999998</v>
      </c>
      <c r="AI518" s="757">
        <f>AJ518</f>
      </c>
      <c r="AJ518" s="963">
        <v>4365.9859699999997</v>
      </c>
      <c r="AK518" s="857">
        <v>4371.9189100000003</v>
      </c>
      <c r="AL518" s="857">
        <v>4378.3488200000002</v>
      </c>
      <c r="AM518" s="857">
        <v>4382.51289</v>
      </c>
      <c r="AN518" s="757">
        <f>AO518</f>
      </c>
      <c r="AO518" s="963">
        <v>4388.0664900000002</v>
      </c>
      <c r="AP518" s="857">
        <v>4397.8061799999996</v>
      </c>
      <c r="AQ518" s="857">
        <v>4410.1544299999996</v>
      </c>
      <c r="AR518" s="857">
        <v>4417.9500799999996</v>
      </c>
      <c r="AS518" s="757">
        <f>AT518</f>
      </c>
      <c r="AT518" s="963">
        <v>4428.9526100000003</v>
      </c>
      <c r="AU518" s="857">
        <v>4433.8373199999996</v>
      </c>
      <c r="AV518" s="857">
        <v>4425.9588800000001</v>
      </c>
      <c r="AW518" s="857">
        <v>4429.5219399999996</v>
      </c>
      <c r="AX518" s="757">
        <f>AY518</f>
      </c>
      <c r="AY518" s="963">
        <v>4439.6310700000004</v>
      </c>
      <c r="AZ518" s="857">
        <v>4442.7385000000004</v>
      </c>
      <c r="BA518" s="857">
        <v>4447.05591</v>
      </c>
      <c r="BB518" s="857">
        <v>4450.2049399999996</v>
      </c>
      <c r="BC518" s="757">
        <f>BD518</f>
      </c>
      <c r="BD518" s="963">
        <v>4453.4677600000005</v>
      </c>
      <c r="BE518" s="857">
        <v>4445.3687799999998</v>
      </c>
      <c r="BF518" s="857">
        <v>4431.4675100000004</v>
      </c>
      <c r="BG518" s="857">
        <v>4376.7966900000001</v>
      </c>
      <c r="BH518" s="459">
        <f>BI518</f>
      </c>
      <c r="BI518" s="963">
        <v>4327.59584</v>
      </c>
      <c r="BJ518" s="857">
        <v>4309.6499100000001</v>
      </c>
      <c r="BK518" s="857">
        <v>4291.6461499999996</v>
      </c>
      <c r="BL518" s="857">
        <v>4274.5811400000002</v>
      </c>
      <c r="BM518" s="459">
        <f>BN518</f>
      </c>
      <c r="BN518" s="963">
        <v>4277.5709999999999</v>
      </c>
      <c r="BO518" s="857">
        <v>4256.8320999999996</v>
      </c>
      <c r="BP518" s="857">
        <v>4249.2634600000001</v>
      </c>
      <c r="BQ518" s="857">
        <v>4237.3233399999999</v>
      </c>
      <c r="BR518" s="459">
        <f>BS518</f>
      </c>
      <c r="BS518" s="963">
        <v>4222.1621500000001</v>
      </c>
      <c r="BT518" s="864">
        <v>4212.7942709999998</v>
      </c>
      <c r="BU518" s="757">
        <f>BT518*(1+BU519)+BU734/(BU735/BU1021)</f>
      </c>
      <c r="BV518" s="757">
        <f>BU518*(1+BV519)+BV734/(BV735/BV1021)</f>
      </c>
      <c r="BW518" s="757">
        <f>BV518*(1+BW519)+BW734/(BW735/BW1021)</f>
      </c>
      <c r="BX518" s="962">
        <f>BW518</f>
      </c>
      <c r="BY518" s="757">
        <f>BX518*(1+BY519)+BY734/(BY735/BY1021)</f>
      </c>
      <c r="BZ518" s="757">
        <f>BY518*(1+BZ519)+BZ734/(BZ735/BZ1021)</f>
      </c>
      <c r="CA518" s="757">
        <f>BZ518*(1+CA519)+CA734/(CA735/CA1021)</f>
      </c>
      <c r="CB518" s="757">
        <f>CA518*(1+CB519)+CB734/(CB735/CB1021)</f>
      </c>
      <c r="CC518" s="962">
        <f>CB518</f>
      </c>
      <c r="CD518" s="962">
        <f>CC518*(1+CD520)+CD734/(CD735/CD1021)</f>
      </c>
      <c r="CE518" s="962">
        <f>CD518*(1+CE520)+CE734/(CE735/CE1021)</f>
      </c>
      <c r="CF518" s="962">
        <f>CE518*(1+CF520)+CF734/(CF735/CF1021)</f>
      </c>
      <c r="CG518" s="459"/>
    </row>
    <row r="519" spans="1:85" ht="15" hidden="1" customHeight="1" outlineLevel="1" x14ac:dyDescent="0.3">
      <c r="A519" s="771" t="s">
        <v>917</v>
      </c>
      <c r="B519" s="770"/>
      <c r="C519" s="935"/>
      <c r="D519" s="935"/>
      <c r="E519" s="935"/>
      <c r="F519" s="935"/>
      <c r="G519" s="58"/>
      <c r="H519" s="58"/>
      <c r="I519" s="58"/>
      <c r="J519" s="58"/>
      <c r="K519" s="935"/>
      <c r="L519" s="58"/>
      <c r="M519" s="58"/>
      <c r="N519" s="58"/>
      <c r="O519" s="58"/>
      <c r="P519" s="935"/>
      <c r="Q519" s="58"/>
      <c r="R519" s="58"/>
      <c r="S519" s="58"/>
      <c r="T519" s="58"/>
      <c r="U519" s="935"/>
      <c r="V519" s="58"/>
      <c r="W519" s="58"/>
      <c r="X519" s="58"/>
      <c r="Y519" s="58"/>
      <c r="Z519" s="935"/>
      <c r="AA519" s="58"/>
      <c r="AB519" s="58"/>
      <c r="AC519" s="58"/>
      <c r="AD519" s="58"/>
      <c r="AE519" s="935"/>
      <c r="AF519" s="58"/>
      <c r="AG519" s="58"/>
      <c r="AH519" s="58"/>
      <c r="AI519" s="58"/>
      <c r="AJ519" s="935"/>
      <c r="AK519" s="58"/>
      <c r="AL519" s="58"/>
      <c r="AM519" s="58"/>
      <c r="AN519" s="58"/>
      <c r="AO519" s="935"/>
      <c r="AP519" s="58"/>
      <c r="AQ519" s="58"/>
      <c r="AR519" s="58"/>
      <c r="AS519" s="58"/>
      <c r="AT519" s="935"/>
      <c r="AU519" s="58"/>
      <c r="AV519" s="58"/>
      <c r="AW519" s="58"/>
      <c r="AX519" s="58"/>
      <c r="AY519" s="935"/>
      <c r="AZ519" s="58"/>
      <c r="BA519" s="58"/>
      <c r="BB519" s="58"/>
      <c r="BC519" s="58"/>
      <c r="BD519" s="935"/>
      <c r="BE519" s="58"/>
      <c r="BF519" s="58"/>
      <c r="BG519" s="58"/>
      <c r="BH519" s="58"/>
      <c r="BI519" s="935"/>
      <c r="BJ519" s="58"/>
      <c r="BK519" s="58"/>
      <c r="BL519" s="58"/>
      <c r="BM519" s="58"/>
      <c r="BN519" s="935"/>
      <c r="BO519" s="58"/>
      <c r="BP519" s="58"/>
      <c r="BQ519" s="58"/>
      <c r="BR519" s="58"/>
      <c r="BS519" s="935"/>
      <c r="BT519" s="669"/>
      <c r="BU519" s="853">
        <v>0</v>
      </c>
      <c r="BV519" s="853">
        <v>0</v>
      </c>
      <c r="BW519" s="853">
        <v>0</v>
      </c>
      <c r="BX519" s="935"/>
      <c r="BY519" s="853">
        <v>0</v>
      </c>
      <c r="BZ519" s="853">
        <v>0</v>
      </c>
      <c r="CA519" s="853">
        <v>0</v>
      </c>
      <c r="CB519" s="853">
        <v>0</v>
      </c>
      <c r="CC519" s="935"/>
      <c r="CD519" s="935"/>
      <c r="CE519" s="935"/>
      <c r="CF519" s="935"/>
      <c r="CG519" s="459"/>
    </row>
    <row r="520" spans="1:85" ht="15" hidden="1" customHeight="1" outlineLevel="1" x14ac:dyDescent="0.3">
      <c r="A520" s="771" t="s">
        <v>918</v>
      </c>
      <c r="B520" s="770"/>
      <c r="C520" s="935"/>
      <c r="D520" s="935"/>
      <c r="E520" s="935"/>
      <c r="F520" s="935"/>
      <c r="G520" s="58"/>
      <c r="H520" s="58"/>
      <c r="I520" s="58"/>
      <c r="J520" s="58"/>
      <c r="K520" s="935"/>
      <c r="L520" s="58"/>
      <c r="M520" s="58"/>
      <c r="N520" s="58"/>
      <c r="O520" s="58"/>
      <c r="P520" s="935"/>
      <c r="Q520" s="58"/>
      <c r="R520" s="58"/>
      <c r="S520" s="58"/>
      <c r="T520" s="58"/>
      <c r="U520" s="935"/>
      <c r="V520" s="58"/>
      <c r="W520" s="58"/>
      <c r="X520" s="58"/>
      <c r="Y520" s="58"/>
      <c r="Z520" s="935"/>
      <c r="AA520" s="58"/>
      <c r="AB520" s="58"/>
      <c r="AC520" s="58"/>
      <c r="AD520" s="58"/>
      <c r="AE520" s="935"/>
      <c r="AF520" s="58"/>
      <c r="AG520" s="58"/>
      <c r="AH520" s="58"/>
      <c r="AI520" s="58"/>
      <c r="AJ520" s="935"/>
      <c r="AK520" s="58"/>
      <c r="AL520" s="58"/>
      <c r="AM520" s="58"/>
      <c r="AN520" s="58"/>
      <c r="AO520" s="935"/>
      <c r="AP520" s="58"/>
      <c r="AQ520" s="58"/>
      <c r="AR520" s="58"/>
      <c r="AS520" s="58"/>
      <c r="AT520" s="935"/>
      <c r="AU520" s="58"/>
      <c r="AV520" s="58"/>
      <c r="AW520" s="58"/>
      <c r="AX520" s="58"/>
      <c r="AY520" s="935"/>
      <c r="AZ520" s="58"/>
      <c r="BA520" s="58"/>
      <c r="BB520" s="58"/>
      <c r="BC520" s="58"/>
      <c r="BD520" s="935"/>
      <c r="BE520" s="58"/>
      <c r="BF520" s="58"/>
      <c r="BG520" s="58"/>
      <c r="BH520" s="58"/>
      <c r="BI520" s="935"/>
      <c r="BJ520" s="58"/>
      <c r="BK520" s="58"/>
      <c r="BL520" s="58"/>
      <c r="BM520" s="58"/>
      <c r="BN520" s="935"/>
      <c r="BO520" s="58"/>
      <c r="BP520" s="58"/>
      <c r="BQ520" s="58"/>
      <c r="BR520" s="58"/>
      <c r="BS520" s="935"/>
      <c r="BT520" s="669"/>
      <c r="BU520" s="58"/>
      <c r="BV520" s="58"/>
      <c r="BW520" s="58"/>
      <c r="BX520" s="935"/>
      <c r="BY520" s="58"/>
      <c r="BZ520" s="58"/>
      <c r="CA520" s="58"/>
      <c r="CB520" s="58"/>
      <c r="CC520" s="935"/>
      <c r="CD520" s="961">
        <v>0</v>
      </c>
      <c r="CE520" s="961">
        <v>0</v>
      </c>
      <c r="CF520" s="961">
        <v>0</v>
      </c>
      <c r="CG520" s="459"/>
    </row>
    <row r="521" spans="1:85" ht="15" hidden="1" customHeight="1" outlineLevel="2" x14ac:dyDescent="0.3">
      <c r="A521" s="771" t="s">
        <v>919</v>
      </c>
      <c r="B521" s="770"/>
      <c r="C521" s="935"/>
      <c r="D521" s="935"/>
      <c r="E521" s="935"/>
      <c r="F521" s="935"/>
      <c r="G521" s="58"/>
      <c r="H521" s="58"/>
      <c r="I521" s="58"/>
      <c r="J521" s="58"/>
      <c r="K521" s="935"/>
      <c r="L521" s="58"/>
      <c r="M521" s="58"/>
      <c r="N521" s="58"/>
      <c r="O521" s="58"/>
      <c r="P521" s="935"/>
      <c r="Q521" s="58"/>
      <c r="R521" s="58"/>
      <c r="S521" s="58"/>
      <c r="T521" s="58"/>
      <c r="U521" s="935"/>
      <c r="V521" s="58"/>
      <c r="W521" s="58"/>
      <c r="X521" s="58"/>
      <c r="Y521" s="58"/>
      <c r="Z521" s="935"/>
      <c r="AA521" s="58"/>
      <c r="AB521" s="58"/>
      <c r="AC521" s="58"/>
      <c r="AD521" s="58"/>
      <c r="AE521" s="935"/>
      <c r="AF521" s="58"/>
      <c r="AG521" s="58"/>
      <c r="AH521" s="58"/>
      <c r="AI521" s="58"/>
      <c r="AJ521" s="935"/>
      <c r="AK521" s="58"/>
      <c r="AL521" s="58"/>
      <c r="AM521" s="58"/>
      <c r="AN521" s="58"/>
      <c r="AO521" s="935"/>
      <c r="AP521" s="58"/>
      <c r="AQ521" s="58"/>
      <c r="AR521" s="58"/>
      <c r="AS521" s="58"/>
      <c r="AT521" s="935"/>
      <c r="AU521" s="58"/>
      <c r="AV521" s="58"/>
      <c r="AW521" s="58"/>
      <c r="AX521" s="58"/>
      <c r="AY521" s="935"/>
      <c r="AZ521" s="58"/>
      <c r="BA521" s="58"/>
      <c r="BB521" s="58"/>
      <c r="BC521" s="58"/>
      <c r="BD521" s="935"/>
      <c r="BE521" s="58"/>
      <c r="BF521" s="58"/>
      <c r="BG521" s="58"/>
      <c r="BH521" s="58"/>
      <c r="BI521" s="935"/>
      <c r="BJ521" s="58"/>
      <c r="BK521" s="58"/>
      <c r="BL521" s="58"/>
      <c r="BM521" s="58"/>
      <c r="BN521" s="935"/>
      <c r="BO521" s="58"/>
      <c r="BP521" s="58"/>
      <c r="BQ521" s="58"/>
      <c r="BR521" s="58"/>
      <c r="BS521" s="935"/>
      <c r="BT521" s="669"/>
      <c r="BU521" s="58">
        <f>BU734/(BU735/BU1021)/BT518</f>
      </c>
      <c r="BV521" s="58">
        <f>BV734/(BV735/BV1021)/BU518</f>
      </c>
      <c r="BW521" s="58">
        <f>BW734/(BW735/BW1021)/BV518</f>
      </c>
      <c r="BX521" s="935"/>
      <c r="BY521" s="58">
        <f>BY734/(BY735/BY1021)/BW518</f>
      </c>
      <c r="BZ521" s="58">
        <f>BZ734/(BZ735/BZ1021)/BY518</f>
      </c>
      <c r="CA521" s="58">
        <f>CA734/(CA735/CA1021)/BZ518</f>
      </c>
      <c r="CB521" s="58">
        <f>CB734/(CB735/CB1021)/CA518</f>
      </c>
      <c r="CC521" s="935"/>
      <c r="CD521" s="935"/>
      <c r="CE521" s="935"/>
      <c r="CF521" s="935"/>
      <c r="CG521" s="459"/>
    </row>
    <row r="522" spans="1:85" ht="15" hidden="1" customHeight="1" outlineLevel="2" x14ac:dyDescent="0.3">
      <c r="A522" s="473" t="s">
        <v>920</v>
      </c>
      <c r="B522" s="474"/>
      <c r="C522" s="1019"/>
      <c r="D522" s="1019"/>
      <c r="E522" s="1019"/>
      <c r="F522" s="1019"/>
      <c r="G522" s="475"/>
      <c r="H522" s="475"/>
      <c r="I522" s="475"/>
      <c r="J522" s="475"/>
      <c r="K522" s="1019"/>
      <c r="L522" s="475"/>
      <c r="M522" s="475"/>
      <c r="N522" s="475"/>
      <c r="O522" s="475"/>
      <c r="P522" s="1019"/>
      <c r="Q522" s="475"/>
      <c r="R522" s="475"/>
      <c r="S522" s="475"/>
      <c r="T522" s="475"/>
      <c r="U522" s="1019"/>
      <c r="V522" s="475"/>
      <c r="W522" s="475"/>
      <c r="X522" s="475"/>
      <c r="Y522" s="475"/>
      <c r="Z522" s="1019"/>
      <c r="AA522" s="475"/>
      <c r="AB522" s="475"/>
      <c r="AC522" s="475"/>
      <c r="AD522" s="475"/>
      <c r="AE522" s="1019"/>
      <c r="AF522" s="475"/>
      <c r="AG522" s="475"/>
      <c r="AH522" s="475"/>
      <c r="AI522" s="475"/>
      <c r="AJ522" s="1019"/>
      <c r="AK522" s="475"/>
      <c r="AL522" s="475"/>
      <c r="AM522" s="475"/>
      <c r="AN522" s="475"/>
      <c r="AO522" s="1019"/>
      <c r="AP522" s="475"/>
      <c r="AQ522" s="475"/>
      <c r="AR522" s="475"/>
      <c r="AS522" s="475"/>
      <c r="AT522" s="1019"/>
      <c r="AU522" s="475"/>
      <c r="AV522" s="475"/>
      <c r="AW522" s="475"/>
      <c r="AX522" s="475"/>
      <c r="AY522" s="1019"/>
      <c r="AZ522" s="475"/>
      <c r="BA522" s="475"/>
      <c r="BB522" s="475"/>
      <c r="BC522" s="475"/>
      <c r="BD522" s="1019"/>
      <c r="BE522" s="475"/>
      <c r="BF522" s="475"/>
      <c r="BG522" s="475"/>
      <c r="BH522" s="475"/>
      <c r="BI522" s="1019"/>
      <c r="BJ522" s="475"/>
      <c r="BK522" s="475"/>
      <c r="BL522" s="475"/>
      <c r="BM522" s="475"/>
      <c r="BN522" s="1019"/>
      <c r="BO522" s="475"/>
      <c r="BP522" s="475"/>
      <c r="BQ522" s="475"/>
      <c r="BR522" s="475"/>
      <c r="BS522" s="1019"/>
      <c r="BT522" s="696"/>
      <c r="BU522" s="475"/>
      <c r="BV522" s="475"/>
      <c r="BW522" s="475"/>
      <c r="BX522" s="1019">
        <f>BX734/(BX735/BX1021)/BS518</f>
      </c>
      <c r="BY522" s="475"/>
      <c r="BZ522" s="475"/>
      <c r="CA522" s="475"/>
      <c r="CB522" s="475"/>
      <c r="CC522" s="1019">
        <f>CC734/(CC735/CC1021)/BX518</f>
      </c>
      <c r="CD522" s="1019">
        <f>CD734/(CD735/CD1021)/CC518</f>
      </c>
      <c r="CE522" s="1019">
        <f>CE734/(CE735/CE1021)/CD518</f>
      </c>
      <c r="CF522" s="1019">
        <f>CF734/(CF735/CF1021)/CE518</f>
      </c>
      <c r="CG522" s="459"/>
    </row>
    <row r="523" spans="1:85" ht="15" hidden="1" customHeight="1" outlineLevel="1" collapsed="1" x14ac:dyDescent="0.3">
      <c r="A523" s="222" t="s">
        <v>921</v>
      </c>
      <c r="B523" s="770"/>
      <c r="C523" s="935"/>
      <c r="D523" s="935"/>
      <c r="E523" s="935"/>
      <c r="F523" s="935"/>
      <c r="G523" s="58">
        <f>G518/F518-1</f>
      </c>
      <c r="H523" s="58">
        <f>H518/G518-1</f>
      </c>
      <c r="I523" s="58">
        <f>I518/H518-1</f>
      </c>
      <c r="J523" s="58">
        <f>J518/I518-1</f>
      </c>
      <c r="K523" s="935"/>
      <c r="L523" s="58">
        <f>L518/J518-1</f>
      </c>
      <c r="M523" s="58">
        <f>M518/L518-1</f>
      </c>
      <c r="N523" s="58">
        <f>N518/M518-1</f>
      </c>
      <c r="O523" s="58">
        <f>O518/N518-1</f>
      </c>
      <c r="P523" s="935"/>
      <c r="Q523" s="58">
        <f>Q518/O518-1</f>
      </c>
      <c r="R523" s="58">
        <f>R518/Q518-1</f>
      </c>
      <c r="S523" s="58">
        <f>S518/R518-1</f>
      </c>
      <c r="T523" s="58">
        <f>T518/S518-1</f>
      </c>
      <c r="U523" s="935"/>
      <c r="V523" s="58">
        <f>V518/T518-1</f>
      </c>
      <c r="W523" s="58">
        <f>W518/V518-1</f>
      </c>
      <c r="X523" s="58">
        <f>X518/W518-1</f>
      </c>
      <c r="Y523" s="58">
        <f>Y518/X518-1</f>
      </c>
      <c r="Z523" s="935"/>
      <c r="AA523" s="58">
        <f>AA518/Y518-1</f>
      </c>
      <c r="AB523" s="58">
        <f>AB518/AA518-1</f>
      </c>
      <c r="AC523" s="58">
        <f>AC518/AB518-1</f>
      </c>
      <c r="AD523" s="58">
        <f>AD518/AC518-1</f>
      </c>
      <c r="AE523" s="935"/>
      <c r="AF523" s="58">
        <f>AF518/AD518-1</f>
      </c>
      <c r="AG523" s="58">
        <f>AG518/AF518-1</f>
      </c>
      <c r="AH523" s="58">
        <f>AH518/AG518-1</f>
      </c>
      <c r="AI523" s="58">
        <f>AI518/AH518-1</f>
      </c>
      <c r="AJ523" s="935"/>
      <c r="AK523" s="58">
        <f>AK518/AI518-1</f>
      </c>
      <c r="AL523" s="58">
        <f>AL518/AK518-1</f>
      </c>
      <c r="AM523" s="58">
        <f>AM518/AL518-1</f>
      </c>
      <c r="AN523" s="58">
        <f>AN518/AM518-1</f>
      </c>
      <c r="AO523" s="935"/>
      <c r="AP523" s="58">
        <f>AP518/AN518-1</f>
      </c>
      <c r="AQ523" s="58">
        <f>AQ518/AP518-1</f>
      </c>
      <c r="AR523" s="58">
        <f>AR518/AQ518-1</f>
      </c>
      <c r="AS523" s="58">
        <f>AS518/AR518-1</f>
      </c>
      <c r="AT523" s="935"/>
      <c r="AU523" s="58">
        <f>AU518/AS518-1</f>
      </c>
      <c r="AV523" s="58">
        <f>AV518/AU518-1</f>
      </c>
      <c r="AW523" s="58">
        <f>AW518/AV518-1</f>
      </c>
      <c r="AX523" s="58">
        <f>AX518/AW518-1</f>
      </c>
      <c r="AY523" s="935"/>
      <c r="AZ523" s="58">
        <f>AZ518/AX518-1</f>
      </c>
      <c r="BA523" s="58">
        <f>BA518/AZ518-1</f>
      </c>
      <c r="BB523" s="58">
        <f>BB518/BA518-1</f>
      </c>
      <c r="BC523" s="58">
        <f>BC518/BB518-1</f>
      </c>
      <c r="BD523" s="935"/>
      <c r="BE523" s="58">
        <f>BE518/BC518-1</f>
      </c>
      <c r="BF523" s="58">
        <f>BF518/BE518-1</f>
      </c>
      <c r="BG523" s="58">
        <f>BG518/BF518-1</f>
      </c>
      <c r="BH523" s="58">
        <f>BH518/BG518-1</f>
      </c>
      <c r="BI523" s="935"/>
      <c r="BJ523" s="58">
        <f>BJ518/BH518-1</f>
      </c>
      <c r="BK523" s="58">
        <f>BK518/BJ518-1</f>
      </c>
      <c r="BL523" s="58">
        <f>BL518/BK518-1</f>
      </c>
      <c r="BM523" s="58">
        <f>BM518/BL518-1</f>
      </c>
      <c r="BN523" s="935"/>
      <c r="BO523" s="58">
        <f>BO518/BM518-1</f>
      </c>
      <c r="BP523" s="58">
        <f>BP518/BO518-1</f>
      </c>
      <c r="BQ523" s="58">
        <f>BQ518/BP518-1</f>
      </c>
      <c r="BR523" s="58">
        <f>BR518/BQ518-1</f>
      </c>
      <c r="BS523" s="935"/>
      <c r="BT523" s="669">
        <f>BT518/BR518-1</f>
      </c>
      <c r="BU523" s="58">
        <f>BU518/BT518-1</f>
      </c>
      <c r="BV523" s="58">
        <f>BV518/BU518-1</f>
      </c>
      <c r="BW523" s="58">
        <f>BW518/BV518-1</f>
      </c>
      <c r="BX523" s="935"/>
      <c r="BY523" s="58">
        <f>BY518/BW518-1</f>
      </c>
      <c r="BZ523" s="58">
        <f>BZ518/BY518-1</f>
      </c>
      <c r="CA523" s="58">
        <f>CA518/BZ518-1</f>
      </c>
      <c r="CB523" s="58">
        <f>CB518/CA518-1</f>
      </c>
      <c r="CC523" s="935"/>
      <c r="CD523" s="935"/>
      <c r="CE523" s="935"/>
      <c r="CF523" s="935"/>
      <c r="CG523" s="459"/>
    </row>
    <row r="524" spans="1:85" ht="15" hidden="1" customHeight="1" outlineLevel="1" x14ac:dyDescent="0.3">
      <c r="A524" s="222" t="s">
        <v>922</v>
      </c>
      <c r="B524" s="770"/>
      <c r="C524" s="935"/>
      <c r="D524" s="935">
        <f>D518/C518-1</f>
      </c>
      <c r="E524" s="935">
        <f>E518/D518-1</f>
      </c>
      <c r="F524" s="935">
        <f>F518/E518-1</f>
      </c>
      <c r="G524" s="58"/>
      <c r="H524" s="58"/>
      <c r="I524" s="58"/>
      <c r="J524" s="58"/>
      <c r="K524" s="935">
        <f t="shared" ref="K524:AP524" si="994">K518/F518-1</f>
      </c>
      <c r="L524" s="58">
        <f t="shared" si="994"/>
      </c>
      <c r="M524" s="58">
        <f t="shared" si="994"/>
      </c>
      <c r="N524" s="58">
        <f t="shared" si="994"/>
      </c>
      <c r="O524" s="58">
        <f t="shared" si="994"/>
      </c>
      <c r="P524" s="935">
        <f t="shared" si="994"/>
      </c>
      <c r="Q524" s="58">
        <f t="shared" si="994"/>
      </c>
      <c r="R524" s="58">
        <f t="shared" si="994"/>
      </c>
      <c r="S524" s="58">
        <f t="shared" si="994"/>
      </c>
      <c r="T524" s="58">
        <f t="shared" si="994"/>
      </c>
      <c r="U524" s="935">
        <f t="shared" si="994"/>
      </c>
      <c r="V524" s="58">
        <f t="shared" si="994"/>
      </c>
      <c r="W524" s="58">
        <f t="shared" si="994"/>
      </c>
      <c r="X524" s="58">
        <f t="shared" si="994"/>
      </c>
      <c r="Y524" s="58">
        <f t="shared" si="994"/>
      </c>
      <c r="Z524" s="935">
        <f t="shared" si="994"/>
      </c>
      <c r="AA524" s="58">
        <f t="shared" si="994"/>
      </c>
      <c r="AB524" s="58">
        <f t="shared" si="994"/>
      </c>
      <c r="AC524" s="58">
        <f t="shared" si="994"/>
      </c>
      <c r="AD524" s="58">
        <f t="shared" si="994"/>
      </c>
      <c r="AE524" s="935">
        <f t="shared" si="994"/>
      </c>
      <c r="AF524" s="58">
        <f t="shared" si="994"/>
      </c>
      <c r="AG524" s="58">
        <f t="shared" si="994"/>
      </c>
      <c r="AH524" s="58">
        <f t="shared" si="994"/>
      </c>
      <c r="AI524" s="58">
        <f t="shared" si="994"/>
      </c>
      <c r="AJ524" s="935">
        <f t="shared" si="994"/>
      </c>
      <c r="AK524" s="58">
        <f t="shared" si="994"/>
      </c>
      <c r="AL524" s="58">
        <f t="shared" si="994"/>
      </c>
      <c r="AM524" s="58">
        <f t="shared" si="994"/>
      </c>
      <c r="AN524" s="58">
        <f t="shared" si="994"/>
      </c>
      <c r="AO524" s="935">
        <f t="shared" si="994"/>
      </c>
      <c r="AP524" s="58">
        <f t="shared" si="994"/>
      </c>
      <c r="AQ524" s="58">
        <f t="shared" ref="AQ524:BF524" si="995">AQ518/AL518-1</f>
      </c>
      <c r="AR524" s="58">
        <f t="shared" si="995"/>
      </c>
      <c r="AS524" s="58">
        <f t="shared" si="995"/>
      </c>
      <c r="AT524" s="935">
        <f t="shared" si="995"/>
      </c>
      <c r="AU524" s="58">
        <f t="shared" si="995"/>
      </c>
      <c r="AV524" s="58">
        <f t="shared" si="995"/>
      </c>
      <c r="AW524" s="58">
        <f t="shared" si="995"/>
      </c>
      <c r="AX524" s="58">
        <f t="shared" si="995"/>
      </c>
      <c r="AY524" s="935">
        <f t="shared" si="995"/>
      </c>
      <c r="AZ524" s="58">
        <f t="shared" si="995"/>
      </c>
      <c r="BA524" s="58">
        <f t="shared" si="995"/>
      </c>
      <c r="BB524" s="58">
        <f t="shared" si="995"/>
      </c>
      <c r="BC524" s="58">
        <f t="shared" si="995"/>
      </c>
      <c r="BD524" s="935">
        <f t="shared" si="995"/>
      </c>
      <c r="BE524" s="58">
        <f t="shared" si="995"/>
      </c>
      <c r="BF524" s="58">
        <f t="shared" si="995"/>
      </c>
      <c r="BG524" s="58">
        <f t="shared" ref="BG524" si="996">BG518/BB518-1</f>
      </c>
      <c r="BH524" s="58">
        <f t="shared" ref="BH524" si="997">BH518/BC518-1</f>
      </c>
      <c r="BI524" s="935">
        <f t="shared" ref="BI524" si="998">BI518/BD518-1</f>
      </c>
      <c r="BJ524" s="58">
        <f t="shared" ref="BJ524:BX524" si="999">BJ518/BE518-1</f>
      </c>
      <c r="BK524" s="58">
        <f t="shared" si="999"/>
      </c>
      <c r="BL524" s="58">
        <f t="shared" si="999"/>
      </c>
      <c r="BM524" s="58">
        <f t="shared" si="999"/>
      </c>
      <c r="BN524" s="935">
        <f t="shared" si="999"/>
      </c>
      <c r="BO524" s="58">
        <f t="shared" ref="BO524:BW524" si="1000">BO518/BJ518-1</f>
      </c>
      <c r="BP524" s="58">
        <f t="shared" si="1000"/>
      </c>
      <c r="BQ524" s="58">
        <f t="shared" si="1000"/>
      </c>
      <c r="BR524" s="58">
        <f t="shared" si="1000"/>
      </c>
      <c r="BS524" s="935">
        <f t="shared" si="1000"/>
      </c>
      <c r="BT524" s="669">
        <f>BT518/BO518-1</f>
      </c>
      <c r="BU524" s="58">
        <f t="shared" si="1000"/>
      </c>
      <c r="BV524" s="58">
        <f t="shared" si="1000"/>
      </c>
      <c r="BW524" s="58">
        <f t="shared" si="1000"/>
      </c>
      <c r="BX524" s="935">
        <f t="shared" si="999"/>
      </c>
      <c r="BY524" s="58">
        <f>BY518/BT518-1</f>
      </c>
      <c r="BZ524" s="58">
        <f>BZ518/BU518-1</f>
      </c>
      <c r="CA524" s="58">
        <f>CA518/BV518-1</f>
      </c>
      <c r="CB524" s="58">
        <f>CB518/BW518-1</f>
      </c>
      <c r="CC524" s="935">
        <f>CC518/BX518-1</f>
      </c>
      <c r="CD524" s="935">
        <f>CD518/CC518-1</f>
      </c>
      <c r="CE524" s="935">
        <f>CE518/CD518-1</f>
      </c>
      <c r="CF524" s="935">
        <f>CF518/CE518-1</f>
      </c>
      <c r="CG524" s="459"/>
    </row>
    <row r="525" spans="1:85" ht="15" hidden="1" customHeight="1" outlineLevel="1" x14ac:dyDescent="0.3">
      <c r="A525" s="237"/>
      <c r="B525" s="414"/>
      <c r="C525" s="962"/>
      <c r="D525" s="962"/>
      <c r="E525" s="962"/>
      <c r="F525" s="962"/>
      <c r="G525" s="757"/>
      <c r="H525" s="757"/>
      <c r="I525" s="757"/>
      <c r="J525" s="757"/>
      <c r="K525" s="962"/>
      <c r="L525" s="757"/>
      <c r="M525" s="757"/>
      <c r="N525" s="757"/>
      <c r="O525" s="757"/>
      <c r="P525" s="962"/>
      <c r="Q525" s="757"/>
      <c r="R525" s="757"/>
      <c r="S525" s="757"/>
      <c r="T525" s="757"/>
      <c r="U525" s="962"/>
      <c r="V525" s="757"/>
      <c r="W525" s="757"/>
      <c r="X525" s="757"/>
      <c r="Y525" s="757"/>
      <c r="Z525" s="962"/>
      <c r="AA525" s="757"/>
      <c r="AB525" s="757"/>
      <c r="AC525" s="757"/>
      <c r="AD525" s="757"/>
      <c r="AE525" s="962"/>
      <c r="AF525" s="757"/>
      <c r="AG525" s="757"/>
      <c r="AH525" s="757"/>
      <c r="AI525" s="757"/>
      <c r="AJ525" s="962"/>
      <c r="AK525" s="757"/>
      <c r="AL525" s="757"/>
      <c r="AM525" s="757"/>
      <c r="AN525" s="757"/>
      <c r="AO525" s="962"/>
      <c r="AP525" s="757"/>
      <c r="AQ525" s="757"/>
      <c r="AR525" s="757"/>
      <c r="AS525" s="757"/>
      <c r="AT525" s="962"/>
      <c r="AU525" s="757"/>
      <c r="AV525" s="757"/>
      <c r="AW525" s="757"/>
      <c r="AX525" s="757"/>
      <c r="AY525" s="962"/>
      <c r="AZ525" s="757"/>
      <c r="BA525" s="757"/>
      <c r="BB525" s="757"/>
      <c r="BC525" s="757"/>
      <c r="BD525" s="962"/>
      <c r="BE525" s="757"/>
      <c r="BF525" s="757"/>
      <c r="BG525" s="757"/>
      <c r="BH525" s="757"/>
      <c r="BI525" s="962"/>
      <c r="BJ525" s="757"/>
      <c r="BK525" s="757"/>
      <c r="BL525" s="757"/>
      <c r="BM525" s="757"/>
      <c r="BN525" s="962"/>
      <c r="BO525" s="757"/>
      <c r="BP525" s="757"/>
      <c r="BQ525" s="757"/>
      <c r="BR525" s="757"/>
      <c r="BS525" s="962"/>
      <c r="BT525" s="758"/>
      <c r="BU525" s="757"/>
      <c r="BV525" s="757"/>
      <c r="BW525" s="757"/>
      <c r="BX525" s="962"/>
      <c r="BY525" s="757"/>
      <c r="BZ525" s="757"/>
      <c r="CA525" s="757"/>
      <c r="CB525" s="757"/>
      <c r="CC525" s="962"/>
      <c r="CD525" s="962"/>
      <c r="CE525" s="962"/>
      <c r="CF525" s="962"/>
      <c r="CG525" s="459"/>
    </row>
    <row r="526" spans="1:85" s="596" customFormat="1" ht="15" hidden="1" customHeight="1" outlineLevel="1" x14ac:dyDescent="0.3">
      <c r="A526" s="459" t="s">
        <v>928</v>
      </c>
      <c r="B526" s="398"/>
      <c r="C526" s="962">
        <f>C511-C510</f>
      </c>
      <c r="D526" s="962">
        <f t="shared" ref="D526:J526" si="1001">IF(D497&gt;0,(D511-D510),C526)</f>
      </c>
      <c r="E526" s="962">
        <f t="shared" si="1001"/>
      </c>
      <c r="F526" s="962">
        <f t="shared" si="1001"/>
      </c>
      <c r="G526" s="757">
        <f t="shared" si="1001"/>
      </c>
      <c r="H526" s="757">
        <f t="shared" si="1001"/>
      </c>
      <c r="I526" s="757">
        <f t="shared" si="1001"/>
      </c>
      <c r="J526" s="757">
        <f t="shared" si="1001"/>
      </c>
      <c r="K526" s="962">
        <f>J526</f>
      </c>
      <c r="L526" s="757">
        <f>IF(L497&gt;0,(L511-L510),K526)</f>
      </c>
      <c r="M526" s="757">
        <f>IF(M497&gt;0,(M511-M510),L526)</f>
      </c>
      <c r="N526" s="757">
        <f>IF(N497&gt;0,(N511-N510),M526)</f>
      </c>
      <c r="O526" s="757">
        <f>IF(O497&gt;0,(O511-O510),N526)</f>
      </c>
      <c r="P526" s="962">
        <f>O526</f>
      </c>
      <c r="Q526" s="757">
        <f>IF(Q497&gt;0,(Q511-Q510),P526)</f>
      </c>
      <c r="R526" s="757">
        <f>IF(R497&gt;0,(R511-R510),Q526)</f>
      </c>
      <c r="S526" s="757">
        <f>IF(S497&gt;0,(S511-S510),R526)</f>
      </c>
      <c r="T526" s="757">
        <f>IF(T497&gt;0,(T511-T510),S526)</f>
      </c>
      <c r="U526" s="962">
        <f>T526</f>
      </c>
      <c r="V526" s="757">
        <f>IF(V497&gt;0,(V511-V510),U526)</f>
      </c>
      <c r="W526" s="757">
        <f>IF(W497&gt;0,(W511-W510),V526)</f>
      </c>
      <c r="X526" s="757">
        <f>IF(X497&gt;0,(X511-X510),W526)</f>
      </c>
      <c r="Y526" s="757">
        <f>IF(Y497&gt;0,(Y511-Y510),X526)</f>
      </c>
      <c r="Z526" s="962">
        <f>Y526</f>
      </c>
      <c r="AA526" s="757">
        <f>IF(AA497&gt;0,(AA511-AA510),Z526)</f>
      </c>
      <c r="AB526" s="757">
        <f>IF(AB497&gt;0,(AB511-AB510),AA526)</f>
      </c>
      <c r="AC526" s="757">
        <f>IF(AC497&gt;0,(AC511-AC510),AB526)</f>
      </c>
      <c r="AD526" s="757">
        <f>IF(AD497&gt;0,(AD511-AD510),AC526)</f>
      </c>
      <c r="AE526" s="962">
        <f>AD526</f>
      </c>
      <c r="AF526" s="757">
        <f>IF(AF497&gt;0,(AF511-AF510),AE526)</f>
      </c>
      <c r="AG526" s="757">
        <f>IF(AG497&gt;0,(AG511-AG510),AF526)</f>
      </c>
      <c r="AH526" s="757">
        <f>IF(AH497&gt;0,(AH511-AH510),AG526)</f>
      </c>
      <c r="AI526" s="757">
        <f>IF(AI497&gt;0,(AI511-AI510),AH526)</f>
      </c>
      <c r="AJ526" s="962">
        <f>AI526</f>
      </c>
      <c r="AK526" s="757">
        <f>IF(AK497&gt;0,(AK511-AK510),AJ526)</f>
      </c>
      <c r="AL526" s="757">
        <f>IF(AL497&gt;0,(AL511-AL510),AK526)</f>
      </c>
      <c r="AM526" s="757">
        <f>IF(AM497&gt;0,(AM511-AM510),AL526)</f>
      </c>
      <c r="AN526" s="757">
        <f>IF(AN497&gt;0,(AN511-AN510),AM526)</f>
      </c>
      <c r="AO526" s="962">
        <f>AN526</f>
      </c>
      <c r="AP526" s="757">
        <f>IF(AP497&gt;0,(AP511-AP510),AO526)</f>
      </c>
      <c r="AQ526" s="757">
        <f>IF(AQ497&gt;0,(AQ511-AQ510),AP526)</f>
      </c>
      <c r="AR526" s="757">
        <f>IF(AR497&gt;0,(AR511-AR510),AQ526)</f>
      </c>
      <c r="AS526" s="757">
        <f>IF(AS497&gt;0,(AS511-AS510),AR526)</f>
      </c>
      <c r="AT526" s="962">
        <f>AS526</f>
      </c>
      <c r="AU526" s="757">
        <f>IF(AU497&gt;0,(AU511-AU510),AT526)</f>
      </c>
      <c r="AV526" s="757">
        <f>IF(AV497&gt;0,(AV511-AV510),AU526)</f>
      </c>
      <c r="AW526" s="757">
        <f>IF(AW497&gt;0,(AW511-AW510),AV526)</f>
      </c>
      <c r="AX526" s="757">
        <f>IF(AX497&gt;0,(AX511-AX510),AW526)</f>
      </c>
      <c r="AY526" s="962">
        <f>AX526</f>
      </c>
      <c r="AZ526" s="757">
        <f>IF(AZ497&gt;0,(AZ511-AZ510),AY526)</f>
      </c>
      <c r="BA526" s="757">
        <f>IF(BA497&gt;0,(BA511-BA510),AZ526)</f>
      </c>
      <c r="BB526" s="757">
        <f>IF(BB497&gt;0,(BB511-BB510),BA526)</f>
      </c>
      <c r="BC526" s="757">
        <f>IF(BC497&gt;0,(BC511-BC510),BB526)</f>
      </c>
      <c r="BD526" s="962">
        <f>BC526</f>
      </c>
      <c r="BE526" s="757">
        <f>IF(BE497&gt;0,(BE511-BE510),BD526)</f>
      </c>
      <c r="BF526" s="757">
        <f>IF(BF497&gt;0,(BF511-BF510),BE526)</f>
      </c>
      <c r="BG526" s="757">
        <f>IF(BG497&gt;0,(BG511-BG510),BF526)</f>
      </c>
      <c r="BH526" s="757">
        <f>IF(BH497&gt;0,(BH511-BH510),BG526)</f>
      </c>
      <c r="BI526" s="962">
        <f>BH526</f>
      </c>
      <c r="BJ526" s="757">
        <f>IF(BJ497&gt;0,(BJ511-BJ510),BI526)</f>
      </c>
      <c r="BK526" s="757">
        <f>IF(BK497&gt;0,(BK511-BK510),BJ526)</f>
      </c>
      <c r="BL526" s="757">
        <f>IF(BL497&gt;0,(BL511-BL510),BK526)</f>
      </c>
      <c r="BM526" s="757">
        <f>IF(BM497&gt;0,(BM511-BM510),BL526)</f>
      </c>
      <c r="BN526" s="962">
        <f>BM526</f>
      </c>
      <c r="BO526" s="757">
        <f>IF(BO497&gt;0,(BO511-BO510),BN526)</f>
      </c>
      <c r="BP526" s="757">
        <f>IF(BP497&gt;0,(BP511-BP510),BO526)</f>
      </c>
      <c r="BQ526" s="757">
        <f>IF(BQ497&gt;0,(BQ511-BQ510),BP526)</f>
      </c>
      <c r="BR526" s="757">
        <f>IF(BR497&gt;0,(BR511-BR510),BQ526)</f>
      </c>
      <c r="BS526" s="962">
        <f>BR526</f>
      </c>
      <c r="BT526" s="758">
        <f>IF(BT497&gt;0,(BT511-BT510),BS526)</f>
      </c>
      <c r="BU526" s="757">
        <f>BU518*BU527-BU518</f>
      </c>
      <c r="BV526" s="757">
        <f>BV518*BV527-BV518</f>
      </c>
      <c r="BW526" s="757">
        <f>BW518*BW527-BW518</f>
      </c>
      <c r="BX526" s="962">
        <f>BW526</f>
      </c>
      <c r="BY526" s="757">
        <f>BY518*BY527-BY518</f>
      </c>
      <c r="BZ526" s="757">
        <f>BZ518*BZ527-BZ518</f>
      </c>
      <c r="CA526" s="757">
        <f>CA518*CA527-CA518</f>
      </c>
      <c r="CB526" s="757">
        <f>CB518*CB527-CB518</f>
      </c>
      <c r="CC526" s="962">
        <f>CB526</f>
      </c>
      <c r="CD526" s="962">
        <f>CD518*CD527-CD518</f>
      </c>
      <c r="CE526" s="962">
        <f>CE518*CE527-CE518</f>
      </c>
      <c r="CF526" s="962">
        <f>CF518*CF527-CF518</f>
      </c>
      <c r="CG526" s="397"/>
    </row>
    <row r="527" spans="1:85" s="596" customFormat="1" ht="15" hidden="1" customHeight="1" outlineLevel="1" x14ac:dyDescent="0.3">
      <c r="A527" s="771" t="s">
        <v>923</v>
      </c>
      <c r="B527" s="476"/>
      <c r="C527" s="1020">
        <f t="shared" ref="C527:AH527" si="1002">(C526+C518)/C518</f>
      </c>
      <c r="D527" s="1020">
        <f t="shared" si="1002"/>
      </c>
      <c r="E527" s="1020">
        <f t="shared" si="1002"/>
      </c>
      <c r="F527" s="1020">
        <f t="shared" si="1002"/>
      </c>
      <c r="G527" s="622">
        <f t="shared" si="1002"/>
      </c>
      <c r="H527" s="622">
        <f t="shared" si="1002"/>
      </c>
      <c r="I527" s="622">
        <f t="shared" si="1002"/>
      </c>
      <c r="J527" s="622">
        <f t="shared" si="1002"/>
      </c>
      <c r="K527" s="1020">
        <f t="shared" si="1002"/>
      </c>
      <c r="L527" s="622">
        <f t="shared" si="1002"/>
      </c>
      <c r="M527" s="622">
        <f t="shared" si="1002"/>
      </c>
      <c r="N527" s="622">
        <f t="shared" si="1002"/>
      </c>
      <c r="O527" s="622">
        <f t="shared" si="1002"/>
      </c>
      <c r="P527" s="1020">
        <f t="shared" si="1002"/>
      </c>
      <c r="Q527" s="622">
        <f t="shared" si="1002"/>
      </c>
      <c r="R527" s="622">
        <f t="shared" si="1002"/>
      </c>
      <c r="S527" s="622">
        <f t="shared" si="1002"/>
      </c>
      <c r="T527" s="622">
        <f t="shared" si="1002"/>
      </c>
      <c r="U527" s="1020">
        <f t="shared" si="1002"/>
      </c>
      <c r="V527" s="622">
        <f t="shared" si="1002"/>
      </c>
      <c r="W527" s="622">
        <f t="shared" si="1002"/>
      </c>
      <c r="X527" s="622">
        <f t="shared" si="1002"/>
      </c>
      <c r="Y527" s="622">
        <f t="shared" si="1002"/>
      </c>
      <c r="Z527" s="1020">
        <f t="shared" si="1002"/>
      </c>
      <c r="AA527" s="622">
        <f t="shared" si="1002"/>
      </c>
      <c r="AB527" s="622">
        <f t="shared" si="1002"/>
      </c>
      <c r="AC527" s="622">
        <f t="shared" si="1002"/>
      </c>
      <c r="AD527" s="622">
        <f t="shared" si="1002"/>
      </c>
      <c r="AE527" s="1020">
        <f t="shared" si="1002"/>
      </c>
      <c r="AF527" s="622">
        <f t="shared" si="1002"/>
      </c>
      <c r="AG527" s="622">
        <f t="shared" si="1002"/>
      </c>
      <c r="AH527" s="622">
        <f t="shared" si="1002"/>
      </c>
      <c r="AI527" s="622">
        <f t="shared" ref="AI527:BD527" si="1003">(AI526+AI518)/AI518</f>
      </c>
      <c r="AJ527" s="1020">
        <f t="shared" si="1003"/>
      </c>
      <c r="AK527" s="622">
        <f t="shared" si="1003"/>
      </c>
      <c r="AL527" s="622">
        <f t="shared" si="1003"/>
      </c>
      <c r="AM527" s="622">
        <f t="shared" si="1003"/>
      </c>
      <c r="AN527" s="622">
        <f t="shared" si="1003"/>
      </c>
      <c r="AO527" s="1020">
        <f t="shared" si="1003"/>
      </c>
      <c r="AP527" s="622">
        <f t="shared" si="1003"/>
      </c>
      <c r="AQ527" s="622">
        <f t="shared" si="1003"/>
      </c>
      <c r="AR527" s="622">
        <f t="shared" si="1003"/>
      </c>
      <c r="AS527" s="622">
        <f t="shared" si="1003"/>
      </c>
      <c r="AT527" s="1020">
        <f t="shared" si="1003"/>
      </c>
      <c r="AU527" s="622">
        <f t="shared" si="1003"/>
      </c>
      <c r="AV527" s="622">
        <f t="shared" si="1003"/>
      </c>
      <c r="AW527" s="622">
        <f t="shared" si="1003"/>
      </c>
      <c r="AX527" s="622">
        <f t="shared" si="1003"/>
      </c>
      <c r="AY527" s="1020">
        <f t="shared" si="1003"/>
      </c>
      <c r="AZ527" s="622">
        <f t="shared" si="1003"/>
      </c>
      <c r="BA527" s="622">
        <f t="shared" si="1003"/>
      </c>
      <c r="BB527" s="622">
        <f t="shared" si="1003"/>
      </c>
      <c r="BC527" s="622">
        <f t="shared" si="1003"/>
      </c>
      <c r="BD527" s="1020">
        <f t="shared" si="1003"/>
      </c>
      <c r="BE527" s="622">
        <f t="shared" ref="BE527:BF527" si="1004">(BE526+BE518)/BE518</f>
      </c>
      <c r="BF527" s="637">
        <f t="shared" si="1004"/>
      </c>
      <c r="BG527" s="622">
        <f>(BG526+BG518)/BG518</f>
      </c>
      <c r="BH527" s="622">
        <f t="shared" ref="BH527:BI527" si="1005">(BH526+BH518)/BH518</f>
      </c>
      <c r="BI527" s="1020">
        <f t="shared" si="1005"/>
      </c>
      <c r="BJ527" s="622">
        <f t="shared" ref="BJ527:BO527" si="1006">(BJ526+BJ518)/BJ518</f>
      </c>
      <c r="BK527" s="637">
        <f t="shared" si="1006"/>
      </c>
      <c r="BL527" s="622">
        <f t="shared" si="1006"/>
      </c>
      <c r="BM527" s="622">
        <f t="shared" si="1006"/>
      </c>
      <c r="BN527" s="1020">
        <f t="shared" si="1006"/>
      </c>
      <c r="BO527" s="622">
        <f t="shared" si="1006"/>
      </c>
      <c r="BP527" s="637">
        <f>(BP526+BP518)/BP518</f>
      </c>
      <c r="BQ527" s="622">
        <f>(BQ526+BQ518)/BQ518</f>
      </c>
      <c r="BR527" s="622">
        <f>(BR526+BR518)/BR518</f>
      </c>
      <c r="BS527" s="1020">
        <f>(BS526+BS518)/BS518</f>
      </c>
      <c r="BT527" s="697">
        <f>(BT526+BT518)/BT518</f>
      </c>
      <c r="BU527" s="875">
        <v>1.02259636601494</v>
      </c>
      <c r="BV527" s="875">
        <v>1.02259636601494</v>
      </c>
      <c r="BW527" s="875">
        <v>1.02259636601494</v>
      </c>
      <c r="BX527" s="1020">
        <f>(BX526+BX518)/BX518</f>
      </c>
      <c r="BY527" s="875">
        <v>1.02259636601494</v>
      </c>
      <c r="BZ527" s="875">
        <v>1.02259636601494</v>
      </c>
      <c r="CA527" s="875">
        <v>1.02259636601494</v>
      </c>
      <c r="CB527" s="875">
        <v>1.02259636601494</v>
      </c>
      <c r="CC527" s="1020">
        <f>(CC526+CC518)/CC518</f>
      </c>
      <c r="CD527" s="1021">
        <v>1.02259636601494</v>
      </c>
      <c r="CE527" s="1021">
        <v>1.02259636601494</v>
      </c>
      <c r="CF527" s="1021">
        <v>1.02259636601494</v>
      </c>
      <c r="CG527" s="397"/>
    </row>
    <row r="528" spans="1:85" s="596" customFormat="1" ht="15" hidden="1" customHeight="1" outlineLevel="1" x14ac:dyDescent="0.3">
      <c r="A528" s="757"/>
      <c r="B528" s="398"/>
      <c r="C528" s="1022"/>
      <c r="D528" s="1022"/>
      <c r="E528" s="1022"/>
      <c r="F528" s="1022"/>
      <c r="G528" s="399"/>
      <c r="H528" s="399"/>
      <c r="I528" s="399"/>
      <c r="J528" s="399"/>
      <c r="K528" s="1022"/>
      <c r="L528" s="399"/>
      <c r="M528" s="399"/>
      <c r="N528" s="399"/>
      <c r="O528" s="399"/>
      <c r="P528" s="1022"/>
      <c r="Q528" s="399"/>
      <c r="R528" s="399"/>
      <c r="S528" s="399"/>
      <c r="T528" s="399"/>
      <c r="U528" s="1022"/>
      <c r="V528" s="399"/>
      <c r="W528" s="399"/>
      <c r="X528" s="399"/>
      <c r="Y528" s="399"/>
      <c r="Z528" s="1022"/>
      <c r="AA528" s="399"/>
      <c r="AB528" s="399"/>
      <c r="AC528" s="399"/>
      <c r="AD528" s="399"/>
      <c r="AE528" s="1022"/>
      <c r="AF528" s="399"/>
      <c r="AG528" s="399"/>
      <c r="AH528" s="399"/>
      <c r="AI528" s="399"/>
      <c r="AJ528" s="1022"/>
      <c r="AK528" s="399"/>
      <c r="AL528" s="399"/>
      <c r="AM528" s="399"/>
      <c r="AN528" s="399"/>
      <c r="AO528" s="1022"/>
      <c r="AP528" s="399"/>
      <c r="AQ528" s="399"/>
      <c r="AR528" s="399"/>
      <c r="AS528" s="399"/>
      <c r="AT528" s="1022"/>
      <c r="AU528" s="399"/>
      <c r="AV528" s="399"/>
      <c r="AW528" s="399"/>
      <c r="AX528" s="399"/>
      <c r="AY528" s="1022"/>
      <c r="AZ528" s="399"/>
      <c r="BA528" s="399"/>
      <c r="BB528" s="399"/>
      <c r="BC528" s="399"/>
      <c r="BD528" s="1022"/>
      <c r="BE528" s="399"/>
      <c r="BF528" s="399"/>
      <c r="BG528" s="399"/>
      <c r="BH528" s="399"/>
      <c r="BI528" s="1022"/>
      <c r="BJ528" s="399"/>
      <c r="BK528" s="399"/>
      <c r="BL528" s="399"/>
      <c r="BM528" s="399"/>
      <c r="BN528" s="1022"/>
      <c r="BO528" s="399"/>
      <c r="BP528" s="399"/>
      <c r="BQ528" s="399"/>
      <c r="BR528" s="399"/>
      <c r="BS528" s="1022"/>
      <c r="BT528" s="698"/>
      <c r="BU528" s="399"/>
      <c r="BV528" s="399"/>
      <c r="BW528" s="399"/>
      <c r="BX528" s="1022"/>
      <c r="BY528" s="399"/>
      <c r="BZ528" s="399"/>
      <c r="CA528" s="399"/>
      <c r="CB528" s="399"/>
      <c r="CC528" s="1022"/>
      <c r="CD528" s="1022"/>
      <c r="CE528" s="1022"/>
      <c r="CF528" s="1022"/>
      <c r="CG528" s="397"/>
    </row>
    <row r="529" spans="1:85" s="596" customFormat="1" ht="15" hidden="1" customHeight="1" outlineLevel="1" x14ac:dyDescent="0.3">
      <c r="A529" s="459" t="s">
        <v>929</v>
      </c>
      <c r="B529" s="398"/>
      <c r="C529" s="962">
        <f t="shared" ref="C529:AH529" si="1007">C518+C526</f>
      </c>
      <c r="D529" s="962">
        <f t="shared" si="1007"/>
      </c>
      <c r="E529" s="962">
        <f t="shared" si="1007"/>
      </c>
      <c r="F529" s="962">
        <f t="shared" si="1007"/>
      </c>
      <c r="G529" s="757">
        <f t="shared" si="1007"/>
      </c>
      <c r="H529" s="757">
        <f t="shared" si="1007"/>
      </c>
      <c r="I529" s="757">
        <f t="shared" si="1007"/>
      </c>
      <c r="J529" s="757">
        <f t="shared" si="1007"/>
      </c>
      <c r="K529" s="962">
        <f t="shared" si="1007"/>
      </c>
      <c r="L529" s="757">
        <f t="shared" si="1007"/>
      </c>
      <c r="M529" s="757">
        <f t="shared" si="1007"/>
      </c>
      <c r="N529" s="757">
        <f t="shared" si="1007"/>
      </c>
      <c r="O529" s="757">
        <f t="shared" si="1007"/>
      </c>
      <c r="P529" s="962">
        <f t="shared" si="1007"/>
      </c>
      <c r="Q529" s="757">
        <f t="shared" si="1007"/>
      </c>
      <c r="R529" s="757">
        <f t="shared" si="1007"/>
      </c>
      <c r="S529" s="757">
        <f t="shared" si="1007"/>
      </c>
      <c r="T529" s="757">
        <f t="shared" si="1007"/>
      </c>
      <c r="U529" s="962">
        <f t="shared" si="1007"/>
      </c>
      <c r="V529" s="757">
        <f t="shared" si="1007"/>
      </c>
      <c r="W529" s="757">
        <f t="shared" si="1007"/>
      </c>
      <c r="X529" s="757">
        <f t="shared" si="1007"/>
      </c>
      <c r="Y529" s="757">
        <f t="shared" si="1007"/>
      </c>
      <c r="Z529" s="962">
        <f t="shared" si="1007"/>
      </c>
      <c r="AA529" s="757">
        <f t="shared" si="1007"/>
      </c>
      <c r="AB529" s="757">
        <f t="shared" si="1007"/>
      </c>
      <c r="AC529" s="757">
        <f t="shared" si="1007"/>
      </c>
      <c r="AD529" s="757">
        <f t="shared" si="1007"/>
      </c>
      <c r="AE529" s="962">
        <f t="shared" si="1007"/>
      </c>
      <c r="AF529" s="757">
        <f t="shared" si="1007"/>
      </c>
      <c r="AG529" s="757">
        <f t="shared" si="1007"/>
      </c>
      <c r="AH529" s="757">
        <f t="shared" si="1007"/>
      </c>
      <c r="AI529" s="757">
        <f t="shared" ref="AI529:BD529" si="1008">AI518+AI526</f>
      </c>
      <c r="AJ529" s="962">
        <f t="shared" si="1008"/>
      </c>
      <c r="AK529" s="757">
        <f t="shared" si="1008"/>
      </c>
      <c r="AL529" s="757">
        <f t="shared" si="1008"/>
      </c>
      <c r="AM529" s="757">
        <f t="shared" si="1008"/>
      </c>
      <c r="AN529" s="757">
        <f t="shared" si="1008"/>
      </c>
      <c r="AO529" s="962">
        <f t="shared" si="1008"/>
      </c>
      <c r="AP529" s="757">
        <f t="shared" si="1008"/>
      </c>
      <c r="AQ529" s="757">
        <f t="shared" si="1008"/>
      </c>
      <c r="AR529" s="757">
        <f t="shared" si="1008"/>
      </c>
      <c r="AS529" s="757">
        <f t="shared" si="1008"/>
      </c>
      <c r="AT529" s="962">
        <f t="shared" si="1008"/>
      </c>
      <c r="AU529" s="757">
        <f t="shared" si="1008"/>
      </c>
      <c r="AV529" s="757">
        <f t="shared" si="1008"/>
      </c>
      <c r="AW529" s="757">
        <f t="shared" si="1008"/>
      </c>
      <c r="AX529" s="757">
        <f t="shared" si="1008"/>
      </c>
      <c r="AY529" s="962">
        <f t="shared" si="1008"/>
      </c>
      <c r="AZ529" s="757">
        <f t="shared" si="1008"/>
      </c>
      <c r="BA529" s="757">
        <f t="shared" si="1008"/>
      </c>
      <c r="BB529" s="757">
        <f t="shared" si="1008"/>
      </c>
      <c r="BC529" s="757">
        <f t="shared" si="1008"/>
      </c>
      <c r="BD529" s="962">
        <f t="shared" si="1008"/>
      </c>
      <c r="BE529" s="757">
        <f t="shared" ref="BE529:BF529" si="1009">BE518+BE526</f>
      </c>
      <c r="BF529" s="757">
        <f t="shared" si="1009"/>
      </c>
      <c r="BG529" s="757">
        <f t="shared" ref="BG529:BI529" si="1010">BG518+BG526</f>
      </c>
      <c r="BH529" s="757">
        <f t="shared" si="1010"/>
      </c>
      <c r="BI529" s="962">
        <f t="shared" si="1010"/>
      </c>
      <c r="BJ529" s="757">
        <f t="shared" ref="BJ529:BX529" si="1011">BJ518+BJ526</f>
      </c>
      <c r="BK529" s="757">
        <f t="shared" si="1011"/>
      </c>
      <c r="BL529" s="757">
        <f t="shared" si="1011"/>
      </c>
      <c r="BM529" s="757">
        <f t="shared" si="1011"/>
      </c>
      <c r="BN529" s="962">
        <f t="shared" si="1011"/>
      </c>
      <c r="BO529" s="757">
        <f t="shared" ref="BO529:BW529" si="1012">BO518+BO526</f>
      </c>
      <c r="BP529" s="757">
        <f t="shared" si="1012"/>
      </c>
      <c r="BQ529" s="757">
        <f t="shared" si="1012"/>
      </c>
      <c r="BR529" s="757">
        <f t="shared" si="1012"/>
      </c>
      <c r="BS529" s="962">
        <f t="shared" si="1012"/>
      </c>
      <c r="BT529" s="758">
        <f>BT518+BT526</f>
      </c>
      <c r="BU529" s="757">
        <f t="shared" si="1012"/>
      </c>
      <c r="BV529" s="757">
        <f t="shared" si="1012"/>
      </c>
      <c r="BW529" s="757">
        <f t="shared" si="1012"/>
      </c>
      <c r="BX529" s="962">
        <f t="shared" si="1011"/>
      </c>
      <c r="BY529" s="757">
        <f t="shared" ref="BY529:CF529" si="1013">BY518+BY526</f>
      </c>
      <c r="BZ529" s="757">
        <f t="shared" si="1013"/>
      </c>
      <c r="CA529" s="757">
        <f t="shared" si="1013"/>
      </c>
      <c r="CB529" s="757">
        <f t="shared" si="1013"/>
      </c>
      <c r="CC529" s="962">
        <f t="shared" si="1013"/>
      </c>
      <c r="CD529" s="962">
        <f t="shared" si="1013"/>
      </c>
      <c r="CE529" s="962">
        <f t="shared" si="1013"/>
      </c>
      <c r="CF529" s="962">
        <f t="shared" si="1013"/>
      </c>
      <c r="CG529" s="397"/>
    </row>
    <row r="530" spans="1:85" s="596" customFormat="1" ht="15" hidden="1" customHeight="1" outlineLevel="1" x14ac:dyDescent="0.3">
      <c r="A530" s="757"/>
      <c r="B530" s="398"/>
      <c r="C530" s="962"/>
      <c r="D530" s="962"/>
      <c r="E530" s="962"/>
      <c r="F530" s="962"/>
      <c r="G530" s="757"/>
      <c r="H530" s="757"/>
      <c r="I530" s="757"/>
      <c r="J530" s="757"/>
      <c r="K530" s="962"/>
      <c r="L530" s="757"/>
      <c r="M530" s="757"/>
      <c r="N530" s="757"/>
      <c r="O530" s="757"/>
      <c r="P530" s="962"/>
      <c r="Q530" s="757"/>
      <c r="R530" s="757"/>
      <c r="S530" s="757"/>
      <c r="T530" s="757"/>
      <c r="U530" s="962"/>
      <c r="V530" s="757"/>
      <c r="W530" s="757"/>
      <c r="X530" s="757"/>
      <c r="Y530" s="757"/>
      <c r="Z530" s="962"/>
      <c r="AA530" s="757"/>
      <c r="AB530" s="757"/>
      <c r="AC530" s="757"/>
      <c r="AD530" s="757"/>
      <c r="AE530" s="962"/>
      <c r="AF530" s="757"/>
      <c r="AG530" s="757"/>
      <c r="AH530" s="757"/>
      <c r="AI530" s="757"/>
      <c r="AJ530" s="962"/>
      <c r="AK530" s="757"/>
      <c r="AL530" s="757"/>
      <c r="AM530" s="757"/>
      <c r="AN530" s="757"/>
      <c r="AO530" s="962"/>
      <c r="AP530" s="757"/>
      <c r="AQ530" s="757"/>
      <c r="AR530" s="757"/>
      <c r="AS530" s="757"/>
      <c r="AT530" s="962"/>
      <c r="AU530" s="757"/>
      <c r="AV530" s="757"/>
      <c r="AW530" s="757"/>
      <c r="AX530" s="757"/>
      <c r="AY530" s="962"/>
      <c r="AZ530" s="757"/>
      <c r="BA530" s="757"/>
      <c r="BB530" s="757"/>
      <c r="BC530" s="757"/>
      <c r="BD530" s="962"/>
      <c r="BE530" s="757"/>
      <c r="BF530" s="757"/>
      <c r="BG530" s="757"/>
      <c r="BH530" s="757"/>
      <c r="BI530" s="962"/>
      <c r="BJ530" s="757"/>
      <c r="BK530" s="757"/>
      <c r="BL530" s="757"/>
      <c r="BM530" s="757"/>
      <c r="BN530" s="962"/>
      <c r="BO530" s="757"/>
      <c r="BP530" s="757"/>
      <c r="BQ530" s="757"/>
      <c r="BR530" s="757"/>
      <c r="BS530" s="962"/>
      <c r="BT530" s="758"/>
      <c r="BU530" s="757"/>
      <c r="BV530" s="757"/>
      <c r="BW530" s="757"/>
      <c r="BX530" s="962"/>
      <c r="BY530" s="757"/>
      <c r="BZ530" s="757"/>
      <c r="CA530" s="757"/>
      <c r="CB530" s="757"/>
      <c r="CC530" s="962"/>
      <c r="CD530" s="962"/>
      <c r="CE530" s="962"/>
      <c r="CF530" s="962"/>
      <c r="CG530" s="397"/>
    </row>
    <row r="531" spans="1:85" s="587" customFormat="1" ht="15" hidden="1" customHeight="1" outlineLevel="2" x14ac:dyDescent="0.3">
      <c r="A531" s="436" t="s">
        <v>930</v>
      </c>
      <c r="B531" s="414"/>
      <c r="C531" s="963">
        <f>(5.365016*(7))*10</f>
      </c>
      <c r="D531" s="963">
        <f>(4.241438*(7))*10</f>
      </c>
      <c r="E531" s="963">
        <f>(2.89213*(7))*10</f>
      </c>
      <c r="F531" s="963">
        <f>(2.957754*(7))*10</f>
      </c>
      <c r="G531" s="857">
        <f>(4.572952*(7))*10</f>
      </c>
      <c r="H531" s="857">
        <f>(4.572952*(7))*10</f>
      </c>
      <c r="I531" s="857">
        <f>(4.572952*(7))*10</f>
      </c>
      <c r="J531" s="757">
        <f>(I531)*10</f>
      </c>
      <c r="K531" s="963">
        <f>(4.572952*(7))*10</f>
      </c>
      <c r="L531" s="857">
        <f>(3.526898*(7))*10</f>
      </c>
      <c r="M531" s="857">
        <f>(3.526898*(7))*10</f>
      </c>
      <c r="N531" s="857">
        <f>(3.526898*(7))*10</f>
      </c>
      <c r="O531" s="757">
        <f>(N531)*10</f>
      </c>
      <c r="P531" s="963">
        <f>(3.526898*(7))*10</f>
      </c>
      <c r="Q531" s="857">
        <f>(3.263631*(7))*10</f>
      </c>
      <c r="R531" s="857">
        <v>228.45417</v>
      </c>
      <c r="S531" s="857">
        <v>228.45417</v>
      </c>
      <c r="T531" s="757">
        <f>S531</f>
      </c>
      <c r="U531" s="963">
        <v>228.45417</v>
      </c>
      <c r="V531" s="857">
        <v>209.95756</v>
      </c>
      <c r="W531" s="857">
        <v>209.95756</v>
      </c>
      <c r="X531" s="857">
        <v>209.95756</v>
      </c>
      <c r="Y531" s="757">
        <f>X531</f>
      </c>
      <c r="Z531" s="963">
        <v>209.95756</v>
      </c>
      <c r="AA531" s="857">
        <v>224.37347</v>
      </c>
      <c r="AB531" s="857">
        <v>224.37347</v>
      </c>
      <c r="AC531" s="857">
        <v>224.37347</v>
      </c>
      <c r="AD531" s="757">
        <f>AC531</f>
      </c>
      <c r="AE531" s="963">
        <v>224.37347</v>
      </c>
      <c r="AF531" s="857">
        <v>216.4735</v>
      </c>
      <c r="AG531" s="857">
        <v>216.4735</v>
      </c>
      <c r="AH531" s="857">
        <v>216.4735</v>
      </c>
      <c r="AI531" s="757">
        <f>AH531</f>
      </c>
      <c r="AJ531" s="963">
        <v>216.4735</v>
      </c>
      <c r="AK531" s="857">
        <v>204.79277999999999</v>
      </c>
      <c r="AL531" s="857">
        <v>204.79277999999999</v>
      </c>
      <c r="AM531" s="857">
        <v>204.79277999999999</v>
      </c>
      <c r="AN531" s="757">
        <f>AM531</f>
      </c>
      <c r="AO531" s="963">
        <v>204.79277999999999</v>
      </c>
      <c r="AP531" s="857">
        <v>208.59325999999999</v>
      </c>
      <c r="AQ531" s="857">
        <v>208.59325999999999</v>
      </c>
      <c r="AR531" s="857">
        <v>208.59325999999999</v>
      </c>
      <c r="AS531" s="757">
        <f>AR531</f>
      </c>
      <c r="AT531" s="963">
        <v>208.59325999999999</v>
      </c>
      <c r="AU531" s="857">
        <v>186.7681</v>
      </c>
      <c r="AV531" s="857">
        <v>186.7681</v>
      </c>
      <c r="AW531" s="857">
        <v>186.7681</v>
      </c>
      <c r="AX531" s="757">
        <f>AW531</f>
      </c>
      <c r="AY531" s="963">
        <v>186.7681</v>
      </c>
      <c r="AZ531" s="857">
        <v>175.95850999999999</v>
      </c>
      <c r="BA531" s="857">
        <v>175.95850999999999</v>
      </c>
      <c r="BB531" s="857">
        <v>175.95850999999999</v>
      </c>
      <c r="BC531" s="757">
        <f>BB531</f>
      </c>
      <c r="BD531" s="963">
        <v>175.95850999999999</v>
      </c>
      <c r="BE531" s="757">
        <f>BD535</f>
      </c>
      <c r="BF531" s="757">
        <f>BD535</f>
      </c>
      <c r="BG531" s="757">
        <f>BD535</f>
      </c>
      <c r="BH531" s="757">
        <f>BG531</f>
      </c>
      <c r="BI531" s="963">
        <v>198.96861000000001</v>
      </c>
      <c r="BJ531" s="757">
        <f>BI535</f>
      </c>
      <c r="BK531" s="757">
        <f>BI535</f>
      </c>
      <c r="BL531" s="757">
        <f>BI535</f>
      </c>
      <c r="BM531" s="757">
        <f>BL531</f>
      </c>
      <c r="BN531" s="963">
        <v>196.95108999999999</v>
      </c>
      <c r="BO531" s="757">
        <f>BN535</f>
      </c>
      <c r="BP531" s="757">
        <f>BN535</f>
      </c>
      <c r="BQ531" s="757">
        <f>BN535</f>
      </c>
      <c r="BR531" s="757">
        <f>BQ531</f>
      </c>
      <c r="BS531" s="962">
        <f>BR531</f>
      </c>
      <c r="BT531" s="758">
        <f>BS535</f>
      </c>
      <c r="BU531" s="757"/>
      <c r="BV531" s="757"/>
      <c r="BW531" s="757"/>
      <c r="BX531" s="962"/>
      <c r="BY531" s="757"/>
      <c r="BZ531" s="757"/>
      <c r="CA531" s="757"/>
      <c r="CB531" s="757"/>
      <c r="CC531" s="962"/>
      <c r="CD531" s="962"/>
      <c r="CE531" s="962"/>
      <c r="CF531" s="962"/>
      <c r="CG531" s="459"/>
    </row>
    <row r="532" spans="1:85" s="587" customFormat="1" ht="15" hidden="1" customHeight="1" outlineLevel="2" x14ac:dyDescent="0.3">
      <c r="A532" s="208" t="s">
        <v>931</v>
      </c>
      <c r="B532" s="414"/>
      <c r="C532" s="963">
        <f>(0.601665*(7))*10</f>
      </c>
      <c r="D532" s="963">
        <f>(0.552765*(7))*10</f>
      </c>
      <c r="E532" s="963">
        <f>(0.724994*(7))*10</f>
      </c>
      <c r="F532" s="963">
        <f>(1.803798*(7))*10</f>
      </c>
      <c r="G532" s="857">
        <f>(0.244054*(7))*10</f>
      </c>
      <c r="H532" s="857">
        <f>(0.406292*(7))*10</f>
      </c>
      <c r="I532" s="857">
        <f>(0.541378*(7))*10</f>
      </c>
      <c r="J532" s="757">
        <f>K532</f>
      </c>
      <c r="K532" s="963">
        <f>(0.64272*(7))*10</f>
      </c>
      <c r="L532" s="857">
        <f>(0.116439*(7))*10</f>
      </c>
      <c r="M532" s="857">
        <f>(0.265146*(7))*10</f>
      </c>
      <c r="N532" s="857">
        <f>(0.391239*(7))*10</f>
      </c>
      <c r="O532" s="757">
        <f>P532</f>
      </c>
      <c r="P532" s="963">
        <f>(0.545573*(7))*10</f>
      </c>
      <c r="Q532" s="857">
        <f>(0.148156*(7))*10</f>
      </c>
      <c r="R532" s="857">
        <v>19.162990000000001</v>
      </c>
      <c r="S532" s="857">
        <v>25.654450000000001</v>
      </c>
      <c r="T532" s="757">
        <f>U532</f>
      </c>
      <c r="U532" s="963">
        <v>31.798919999999999</v>
      </c>
      <c r="V532" s="857">
        <v>8.3566900000000004</v>
      </c>
      <c r="W532" s="857">
        <v>17.4754</v>
      </c>
      <c r="X532" s="857">
        <v>27.210129999999999</v>
      </c>
      <c r="Y532" s="757">
        <f>Z532</f>
      </c>
      <c r="Z532" s="963">
        <v>35.553629999999998</v>
      </c>
      <c r="AA532" s="857">
        <v>7.1987399999999999</v>
      </c>
      <c r="AB532" s="857">
        <v>13.749409999999999</v>
      </c>
      <c r="AC532" s="857">
        <v>19.882660000000001</v>
      </c>
      <c r="AD532" s="757">
        <f>AE532</f>
      </c>
      <c r="AE532" s="963">
        <v>25.50038</v>
      </c>
      <c r="AF532" s="857">
        <v>5.5321999999999996</v>
      </c>
      <c r="AG532" s="857">
        <v>10.565379999999999</v>
      </c>
      <c r="AH532" s="857">
        <v>15.077</v>
      </c>
      <c r="AI532" s="757">
        <f>AJ532</f>
      </c>
      <c r="AJ532" s="963">
        <v>20.399740000000001</v>
      </c>
      <c r="AK532" s="857">
        <v>6.1963600000000003</v>
      </c>
      <c r="AL532" s="857">
        <v>12.00996</v>
      </c>
      <c r="AM532" s="857">
        <v>18.507950000000001</v>
      </c>
      <c r="AN532" s="757">
        <f>AO532</f>
      </c>
      <c r="AO532" s="963">
        <v>25.883800000000001</v>
      </c>
      <c r="AP532" s="857">
        <v>5.8145499999999997</v>
      </c>
      <c r="AQ532" s="857">
        <v>10.95065</v>
      </c>
      <c r="AR532" s="857">
        <v>14.98232</v>
      </c>
      <c r="AS532" s="757">
        <f>AT532</f>
      </c>
      <c r="AT532" s="963">
        <v>19.094760000000001</v>
      </c>
      <c r="AU532" s="857">
        <v>4.0012600000000003</v>
      </c>
      <c r="AV532" s="857">
        <v>8.21692</v>
      </c>
      <c r="AW532" s="857">
        <v>12.17273</v>
      </c>
      <c r="AX532" s="757">
        <f>AY532</f>
      </c>
      <c r="AY532" s="963">
        <v>15.56725</v>
      </c>
      <c r="AZ532" s="857">
        <v>5.23787</v>
      </c>
      <c r="BA532" s="857">
        <v>16.160139999999998</v>
      </c>
      <c r="BB532" s="857">
        <v>28.126270000000002</v>
      </c>
      <c r="BC532" s="757">
        <f>BD532</f>
      </c>
      <c r="BD532" s="963">
        <v>36.912570000000002</v>
      </c>
      <c r="BE532" s="857">
        <v>5.91343</v>
      </c>
      <c r="BF532" s="857">
        <v>10.253</v>
      </c>
      <c r="BG532" s="857">
        <v>13.72702</v>
      </c>
      <c r="BH532" s="757">
        <f>BI532</f>
      </c>
      <c r="BI532" s="963">
        <v>17.292179999999998</v>
      </c>
      <c r="BJ532" s="857">
        <v>1.9857400000000001</v>
      </c>
      <c r="BK532" s="857">
        <v>3.37121</v>
      </c>
      <c r="BL532" s="857">
        <v>4.6564100000000002</v>
      </c>
      <c r="BM532" s="757">
        <f>BN532</f>
      </c>
      <c r="BN532" s="963">
        <v>5.7585600000000001</v>
      </c>
      <c r="BO532" s="857">
        <v>1.0838699999999999</v>
      </c>
      <c r="BP532" s="857">
        <v>2.1344099999999999</v>
      </c>
      <c r="BQ532" s="857">
        <v>3.0893099999999998</v>
      </c>
      <c r="BR532" s="757">
        <f>BS532</f>
      </c>
      <c r="BS532" s="963">
        <v>4.1716290000000003</v>
      </c>
      <c r="BT532" s="864">
        <v>1.8933880000000001</v>
      </c>
      <c r="BU532" s="757"/>
      <c r="BV532" s="757"/>
      <c r="BW532" s="757"/>
      <c r="BX532" s="962"/>
      <c r="BY532" s="757"/>
      <c r="BZ532" s="757"/>
      <c r="CA532" s="757"/>
      <c r="CB532" s="757"/>
      <c r="CC532" s="962"/>
      <c r="CD532" s="962"/>
      <c r="CE532" s="962"/>
      <c r="CF532" s="962"/>
      <c r="CG532" s="459"/>
    </row>
    <row r="533" spans="1:85" s="587" customFormat="1" ht="15" hidden="1" customHeight="1" outlineLevel="2" x14ac:dyDescent="0.3">
      <c r="A533" s="208" t="s">
        <v>932</v>
      </c>
      <c r="B533" s="414"/>
      <c r="C533" s="963">
        <f>(-1.72411*(7))*10</f>
      </c>
      <c r="D533" s="963">
        <f>(-1.902073*(7))*10</f>
      </c>
      <c r="E533" s="963">
        <f>(-0.65937*(7))*10</f>
      </c>
      <c r="F533" s="963">
        <f>(-0.188552*(7))*10</f>
      </c>
      <c r="G533" s="857">
        <f>(-0.556819*(7))*10</f>
      </c>
      <c r="H533" s="857">
        <f>(-1.004266*(7))*10</f>
      </c>
      <c r="I533" s="857">
        <f>(-1.339571*(7))*10</f>
      </c>
      <c r="J533" s="757">
        <f>K533</f>
      </c>
      <c r="K533" s="963">
        <f>(-1.688774*(7))*10</f>
      </c>
      <c r="L533" s="857">
        <f>(-0.333335*(7))*10</f>
      </c>
      <c r="M533" s="857">
        <f>(-0.484014*(7))*10</f>
      </c>
      <c r="N533" s="857">
        <f>(-0.639378*(7))*10</f>
      </c>
      <c r="O533" s="757">
        <f>P533</f>
      </c>
      <c r="P533" s="963">
        <f>(-0.80884*(7))*10</f>
      </c>
      <c r="Q533" s="857">
        <f>(-0.20488*(7))*10</f>
      </c>
      <c r="R533" s="857">
        <v>-30.939440000000001</v>
      </c>
      <c r="S533" s="857">
        <v>-44.774009999999997</v>
      </c>
      <c r="T533" s="757">
        <f>U533</f>
      </c>
      <c r="U533" s="963">
        <v>-50.295529999999999</v>
      </c>
      <c r="V533" s="857">
        <v>-3.4877600000000002</v>
      </c>
      <c r="W533" s="857">
        <v>-7.8494799999999998</v>
      </c>
      <c r="X533" s="857">
        <v>-12.04583</v>
      </c>
      <c r="Y533" s="757">
        <f>Z533</f>
      </c>
      <c r="Z533" s="963">
        <v>-21.137720000000002</v>
      </c>
      <c r="AA533" s="857">
        <v>-9.3921700000000001</v>
      </c>
      <c r="AB533" s="857">
        <v>-16.95532</v>
      </c>
      <c r="AC533" s="857">
        <v>-26.769179999999999</v>
      </c>
      <c r="AD533" s="757">
        <f>AE533</f>
      </c>
      <c r="AE533" s="963">
        <v>-33.384740000000001</v>
      </c>
      <c r="AF533" s="857">
        <v>-12.64617</v>
      </c>
      <c r="AG533" s="857">
        <v>-20.64819</v>
      </c>
      <c r="AH533" s="857">
        <v>-26.923089999999998</v>
      </c>
      <c r="AI533" s="757">
        <f>AJ533</f>
      </c>
      <c r="AJ533" s="963">
        <v>-32.059109999999997</v>
      </c>
      <c r="AK533" s="857">
        <v>-5.9329400000000003</v>
      </c>
      <c r="AL533" s="857">
        <v>-12.36285</v>
      </c>
      <c r="AM533" s="857">
        <v>-16.52692</v>
      </c>
      <c r="AN533" s="757">
        <f>AO533</f>
      </c>
      <c r="AO533" s="963">
        <v>-22.08052</v>
      </c>
      <c r="AP533" s="857">
        <v>-9.7396899999999995</v>
      </c>
      <c r="AQ533" s="857">
        <v>-22.087409999999998</v>
      </c>
      <c r="AR533" s="857">
        <v>-29.883590000000002</v>
      </c>
      <c r="AS533" s="757">
        <f>AT533</f>
      </c>
      <c r="AT533" s="963">
        <v>-40.886119999999998</v>
      </c>
      <c r="AU533" s="857">
        <v>-4.8847100000000001</v>
      </c>
      <c r="AV533" s="857">
        <v>-7.0219199999999997</v>
      </c>
      <c r="AW533" s="857">
        <v>-12.39343</v>
      </c>
      <c r="AX533" s="757">
        <f>AY533</f>
      </c>
      <c r="AY533" s="963">
        <v>-26.323239999999998</v>
      </c>
      <c r="AZ533" s="857">
        <v>-3.1074299999999999</v>
      </c>
      <c r="BA533" s="857">
        <v>-7.4248399999999997</v>
      </c>
      <c r="BB533" s="857">
        <v>-10.573869999999999</v>
      </c>
      <c r="BC533" s="757">
        <f>BD533</f>
      </c>
      <c r="BD533" s="963">
        <v>-13.836690000000001</v>
      </c>
      <c r="BE533" s="857">
        <v>-4.1215799999999998</v>
      </c>
      <c r="BF533" s="857">
        <v>-8.7135499999999997</v>
      </c>
      <c r="BG533" s="857">
        <v>-13.69075</v>
      </c>
      <c r="BH533" s="757">
        <f>BI533</f>
      </c>
      <c r="BI533" s="963">
        <v>-19.265979999999999</v>
      </c>
      <c r="BJ533" s="857">
        <v>-17.68956</v>
      </c>
      <c r="BK533" s="857">
        <v>-25.432670000000002</v>
      </c>
      <c r="BL533" s="857">
        <v>-33.845199999999998</v>
      </c>
      <c r="BM533" s="757">
        <f>BN533</f>
      </c>
      <c r="BN533" s="963">
        <v>-48.460479999999997</v>
      </c>
      <c r="BO533" s="857">
        <v>-16.072900000000001</v>
      </c>
      <c r="BP533" s="857">
        <v>-23.698709999999998</v>
      </c>
      <c r="BQ533" s="857">
        <v>-26.971209999999999</v>
      </c>
      <c r="BR533" s="757">
        <f>BS533</f>
      </c>
      <c r="BS533" s="963">
        <v>-30.638245000000001</v>
      </c>
      <c r="BT533" s="864">
        <v>-3.7845749999999998</v>
      </c>
      <c r="BU533" s="757"/>
      <c r="BV533" s="757"/>
      <c r="BW533" s="757"/>
      <c r="BX533" s="962"/>
      <c r="BY533" s="757"/>
      <c r="BZ533" s="757"/>
      <c r="CA533" s="757"/>
      <c r="CB533" s="757"/>
      <c r="CC533" s="962"/>
      <c r="CD533" s="962"/>
      <c r="CE533" s="962"/>
      <c r="CF533" s="962"/>
      <c r="CG533" s="459"/>
    </row>
    <row r="534" spans="1:85" s="587" customFormat="1" ht="15" hidden="1" customHeight="1" outlineLevel="2" x14ac:dyDescent="0.3">
      <c r="A534" s="208" t="s">
        <v>933</v>
      </c>
      <c r="B534" s="414"/>
      <c r="C534" s="963">
        <f>(-0.001133*(7))*10</f>
      </c>
      <c r="D534" s="962"/>
      <c r="E534" s="962"/>
      <c r="F534" s="963">
        <f>(-0.000048*(7))*10</f>
      </c>
      <c r="G534" s="757"/>
      <c r="H534" s="757"/>
      <c r="I534" s="757"/>
      <c r="J534" s="757"/>
      <c r="K534" s="962"/>
      <c r="L534" s="757"/>
      <c r="M534" s="757"/>
      <c r="N534" s="757"/>
      <c r="O534" s="757"/>
      <c r="P534" s="962"/>
      <c r="Q534" s="757"/>
      <c r="R534" s="757"/>
      <c r="S534" s="757"/>
      <c r="T534" s="757"/>
      <c r="U534" s="962"/>
      <c r="V534" s="757"/>
      <c r="W534" s="757"/>
      <c r="X534" s="757"/>
      <c r="Y534" s="757"/>
      <c r="Z534" s="962"/>
      <c r="AA534" s="857">
        <v>-1.5610000000000001E-2</v>
      </c>
      <c r="AB534" s="857">
        <v>-1.5610000000000001E-2</v>
      </c>
      <c r="AC534" s="857">
        <v>-1.5610000000000001E-2</v>
      </c>
      <c r="AD534" s="757">
        <f>AE534</f>
      </c>
      <c r="AE534" s="963">
        <v>-1.5610000000000001E-2</v>
      </c>
      <c r="AF534" s="757"/>
      <c r="AG534" s="857">
        <v>-1.8200000000000001E-2</v>
      </c>
      <c r="AH534" s="857">
        <v>-2.051E-2</v>
      </c>
      <c r="AI534" s="757">
        <f>AJ534</f>
      </c>
      <c r="AJ534" s="963">
        <v>-2.1350000000000001E-2</v>
      </c>
      <c r="AK534" s="857">
        <v>-2.0999999999999999E-5</v>
      </c>
      <c r="AL534" s="857">
        <v>-2.0999999999999999E-5</v>
      </c>
      <c r="AM534" s="857">
        <v>-1.75E-3</v>
      </c>
      <c r="AN534" s="757">
        <f>AO534</f>
      </c>
      <c r="AO534" s="963">
        <v>-2.8E-3</v>
      </c>
      <c r="AP534" s="857">
        <v>-4.8000000000000001E-5</v>
      </c>
      <c r="AQ534" s="857">
        <v>-4.8000000000000001E-5</v>
      </c>
      <c r="AR534" s="857">
        <v>-1.8799999999999999E-3</v>
      </c>
      <c r="AS534" s="757">
        <f>AT534</f>
      </c>
      <c r="AT534" s="963">
        <v>-3.3799999999999997E-2</v>
      </c>
      <c r="AU534" s="857">
        <v>-4.648E-2</v>
      </c>
      <c r="AV534" s="857">
        <v>-5.2359999999999997E-2</v>
      </c>
      <c r="AW534" s="857">
        <v>-5.3429999999999998E-2</v>
      </c>
      <c r="AX534" s="757">
        <f>AY534</f>
      </c>
      <c r="AY534" s="963">
        <v>-5.3600000000000002E-2</v>
      </c>
      <c r="AZ534" s="857">
        <v>-1.2460000000000001E-2</v>
      </c>
      <c r="BA534" s="857">
        <v>-3.1850000000000003E-2</v>
      </c>
      <c r="BB534" s="857">
        <v>-4.8710000000000003E-2</v>
      </c>
      <c r="BC534" s="757">
        <f>BD534</f>
      </c>
      <c r="BD534" s="963">
        <v>-6.5780000000000005E-2</v>
      </c>
      <c r="BE534" s="857">
        <v>-5.7400000000000003E-3</v>
      </c>
      <c r="BF534" s="857">
        <v>-5.7400000000000003E-3</v>
      </c>
      <c r="BG534" s="857">
        <v>-3.3140000000000003E-2</v>
      </c>
      <c r="BH534" s="757">
        <f>BI534</f>
      </c>
      <c r="BI534" s="963">
        <v>-4.3720000000000002E-2</v>
      </c>
      <c r="BJ534" s="857">
        <v>-1.1809999999999999E-2</v>
      </c>
      <c r="BK534" s="857">
        <v>-3.1710000000000002E-2</v>
      </c>
      <c r="BL534" s="857">
        <v>-4.3240000000000001E-2</v>
      </c>
      <c r="BM534" s="757">
        <f>BN534</f>
      </c>
      <c r="BN534" s="963">
        <v>-5.9150000000000001E-2</v>
      </c>
      <c r="BO534" s="857">
        <v>-1.01E-2</v>
      </c>
      <c r="BP534" s="857">
        <v>-1.9449999999999999E-2</v>
      </c>
      <c r="BQ534" s="857">
        <v>-2.9000000000000001E-2</v>
      </c>
      <c r="BR534" s="757">
        <f>BS534</f>
      </c>
      <c r="BS534" s="963">
        <v>-4.36E-2</v>
      </c>
      <c r="BT534" s="864">
        <v>-2.3269999999999999E-2</v>
      </c>
      <c r="BU534" s="757"/>
      <c r="BV534" s="757"/>
      <c r="BW534" s="757"/>
      <c r="BX534" s="962"/>
      <c r="BY534" s="757"/>
      <c r="BZ534" s="757"/>
      <c r="CA534" s="757"/>
      <c r="CB534" s="757"/>
      <c r="CC534" s="962"/>
      <c r="CD534" s="962"/>
      <c r="CE534" s="962"/>
      <c r="CF534" s="962"/>
      <c r="CG534" s="459"/>
    </row>
    <row r="535" spans="1:85" s="587" customFormat="1" ht="15" hidden="1" customHeight="1" outlineLevel="2" x14ac:dyDescent="0.3">
      <c r="A535" s="261" t="s">
        <v>934</v>
      </c>
      <c r="B535" s="419"/>
      <c r="C535" s="1023">
        <f>(4.241438*(7))*10</f>
      </c>
      <c r="D535" s="1023">
        <f>(2.89213*(7))*10</f>
      </c>
      <c r="E535" s="1023">
        <f>(2.957754*(7))*10</f>
      </c>
      <c r="F535" s="1023">
        <f>(4.572952*(7))*10</f>
      </c>
      <c r="G535" s="876">
        <f>(4.260187*(7))*10</f>
      </c>
      <c r="H535" s="876">
        <f>(3.974978*(7))*10</f>
      </c>
      <c r="I535" s="876">
        <f>(3.774759*(7))*10</f>
      </c>
      <c r="J535" s="804">
        <f>(K535)*10</f>
      </c>
      <c r="K535" s="1023">
        <f>(3.526898*(7))*10</f>
      </c>
      <c r="L535" s="876">
        <f>(3.310002*(7))*10</f>
      </c>
      <c r="M535" s="876">
        <f>(3.30803*(7))*10</f>
      </c>
      <c r="N535" s="876">
        <f>(3.278759*(7))*10</f>
      </c>
      <c r="O535" s="804">
        <f>(P535)*10</f>
      </c>
      <c r="P535" s="1023">
        <f>(3.263631*(7))*10</f>
      </c>
      <c r="Q535" s="876">
        <f>(3.206907*(7))*10</f>
      </c>
      <c r="R535" s="876">
        <v>21.667771999999999</v>
      </c>
      <c r="S535" s="876">
        <v>20.933461000000001</v>
      </c>
      <c r="T535" s="804">
        <f>U535</f>
      </c>
      <c r="U535" s="1023">
        <v>20.995756</v>
      </c>
      <c r="V535" s="876">
        <v>21.482648999999999</v>
      </c>
      <c r="W535" s="876">
        <v>21.958348000000001</v>
      </c>
      <c r="X535" s="876">
        <v>22.512186</v>
      </c>
      <c r="Y535" s="804">
        <f>Z535</f>
      </c>
      <c r="Z535" s="1023">
        <v>22.437346999999999</v>
      </c>
      <c r="AA535" s="876">
        <v>22.216443000000002</v>
      </c>
      <c r="AB535" s="876">
        <v>22.115195</v>
      </c>
      <c r="AC535" s="876">
        <v>21.747133999999999</v>
      </c>
      <c r="AD535" s="804">
        <f>AE535</f>
      </c>
      <c r="AE535" s="1023">
        <v>21.647349999999999</v>
      </c>
      <c r="AF535" s="876">
        <v>20.935953000000001</v>
      </c>
      <c r="AG535" s="876">
        <v>20.637249000000001</v>
      </c>
      <c r="AH535" s="876">
        <v>20.46069</v>
      </c>
      <c r="AI535" s="804">
        <f>AJ535</f>
      </c>
      <c r="AJ535" s="1023">
        <v>20.479278000000001</v>
      </c>
      <c r="AK535" s="876">
        <v>20.505599</v>
      </c>
      <c r="AL535" s="876">
        <v>20.443968000000002</v>
      </c>
      <c r="AM535" s="876">
        <v>20.677206000000002</v>
      </c>
      <c r="AN535" s="804">
        <f>AO535</f>
      </c>
      <c r="AO535" s="1023">
        <v>20.859325999999999</v>
      </c>
      <c r="AP535" s="876">
        <v>20.466764000000001</v>
      </c>
      <c r="AQ535" s="876">
        <v>19.745602000000002</v>
      </c>
      <c r="AR535" s="876">
        <v>19.369011</v>
      </c>
      <c r="AS535" s="804">
        <f>AT535</f>
      </c>
      <c r="AT535" s="1023">
        <v>18.67681</v>
      </c>
      <c r="AU535" s="876">
        <v>18.583817</v>
      </c>
      <c r="AV535" s="876">
        <v>18.791073999999998</v>
      </c>
      <c r="AW535" s="876">
        <v>18.649397</v>
      </c>
      <c r="AX535" s="804">
        <f>AY535</f>
      </c>
      <c r="AY535" s="1023">
        <v>17.595851</v>
      </c>
      <c r="AZ535" s="876">
        <v>17.807649000000001</v>
      </c>
      <c r="BA535" s="876">
        <v>18.466196</v>
      </c>
      <c r="BB535" s="876">
        <v>19.346219999999999</v>
      </c>
      <c r="BC535" s="804">
        <f>BD535</f>
      </c>
      <c r="BD535" s="1023">
        <v>19.896861000000001</v>
      </c>
      <c r="BE535" s="804">
        <f t="shared" ref="BE535:BL535" si="1014">SUM(BE531:BE534)</f>
      </c>
      <c r="BF535" s="804">
        <f t="shared" si="1014"/>
      </c>
      <c r="BG535" s="804">
        <f t="shared" si="1014"/>
      </c>
      <c r="BH535" s="804">
        <f t="shared" si="1014"/>
      </c>
      <c r="BI535" s="1008">
        <f t="shared" si="1014"/>
      </c>
      <c r="BJ535" s="804">
        <f t="shared" si="1014"/>
      </c>
      <c r="BK535" s="804">
        <f t="shared" si="1014"/>
      </c>
      <c r="BL535" s="804">
        <f t="shared" si="1014"/>
      </c>
      <c r="BM535" s="804">
        <f>BN535</f>
      </c>
      <c r="BN535" s="1008">
        <f>SUM(BN531:BN534)</f>
      </c>
      <c r="BO535" s="804">
        <f>SUM(BO531:BO534)</f>
      </c>
      <c r="BP535" s="804">
        <f>SUM(BP531:BP534)</f>
      </c>
      <c r="BQ535" s="804">
        <f>SUM(BQ531:BQ534)</f>
      </c>
      <c r="BR535" s="804">
        <f>BS535</f>
      </c>
      <c r="BS535" s="1008">
        <f>SUM(BS531:BS534)</f>
      </c>
      <c r="BT535" s="805">
        <f>SUM(BT531:BT534)</f>
      </c>
      <c r="BU535" s="804"/>
      <c r="BV535" s="804"/>
      <c r="BW535" s="804"/>
      <c r="BX535" s="1008"/>
      <c r="BY535" s="804"/>
      <c r="BZ535" s="804"/>
      <c r="CA535" s="804"/>
      <c r="CB535" s="804"/>
      <c r="CC535" s="1008"/>
      <c r="CD535" s="1008"/>
      <c r="CE535" s="1008"/>
      <c r="CF535" s="1008"/>
      <c r="CG535" s="459"/>
    </row>
    <row r="536" spans="1:85" s="596" customFormat="1" ht="15" hidden="1" customHeight="1" outlineLevel="2" x14ac:dyDescent="0.3">
      <c r="A536" s="757"/>
      <c r="B536" s="398"/>
      <c r="C536" s="962"/>
      <c r="D536" s="962"/>
      <c r="E536" s="962"/>
      <c r="F536" s="962"/>
      <c r="G536" s="757"/>
      <c r="H536" s="757"/>
      <c r="I536" s="757"/>
      <c r="J536" s="757"/>
      <c r="K536" s="962"/>
      <c r="L536" s="757"/>
      <c r="M536" s="757"/>
      <c r="N536" s="757"/>
      <c r="O536" s="757"/>
      <c r="P536" s="962"/>
      <c r="Q536" s="757"/>
      <c r="R536" s="757"/>
      <c r="S536" s="757"/>
      <c r="T536" s="757"/>
      <c r="U536" s="962"/>
      <c r="V536" s="757"/>
      <c r="W536" s="757"/>
      <c r="X536" s="757"/>
      <c r="Y536" s="757"/>
      <c r="Z536" s="962"/>
      <c r="AA536" s="757"/>
      <c r="AB536" s="757"/>
      <c r="AC536" s="757"/>
      <c r="AD536" s="757"/>
      <c r="AE536" s="962"/>
      <c r="AF536" s="757"/>
      <c r="AG536" s="757"/>
      <c r="AH536" s="757"/>
      <c r="AI536" s="757"/>
      <c r="AJ536" s="962"/>
      <c r="AK536" s="757"/>
      <c r="AL536" s="757"/>
      <c r="AM536" s="757"/>
      <c r="AN536" s="757"/>
      <c r="AO536" s="962"/>
      <c r="AP536" s="757"/>
      <c r="AQ536" s="757"/>
      <c r="AR536" s="757"/>
      <c r="AS536" s="757"/>
      <c r="AT536" s="962"/>
      <c r="AU536" s="757"/>
      <c r="AV536" s="757"/>
      <c r="AW536" s="757"/>
      <c r="AX536" s="757"/>
      <c r="AY536" s="962"/>
      <c r="AZ536" s="757"/>
      <c r="BA536" s="757"/>
      <c r="BB536" s="757"/>
      <c r="BC536" s="757"/>
      <c r="BD536" s="962"/>
      <c r="BE536" s="757"/>
      <c r="BF536" s="757"/>
      <c r="BG536" s="757"/>
      <c r="BH536" s="757"/>
      <c r="BI536" s="962"/>
      <c r="BJ536" s="757"/>
      <c r="BK536" s="757"/>
      <c r="BL536" s="757"/>
      <c r="BM536" s="757"/>
      <c r="BN536" s="962"/>
      <c r="BO536" s="757"/>
      <c r="BP536" s="757"/>
      <c r="BQ536" s="757"/>
      <c r="BR536" s="757"/>
      <c r="BS536" s="962"/>
      <c r="BT536" s="758"/>
      <c r="BU536" s="757"/>
      <c r="BV536" s="757"/>
      <c r="BW536" s="757"/>
      <c r="BX536" s="962"/>
      <c r="BY536" s="757"/>
      <c r="BZ536" s="757"/>
      <c r="CA536" s="757"/>
      <c r="CB536" s="757"/>
      <c r="CC536" s="962"/>
      <c r="CD536" s="962"/>
      <c r="CE536" s="962"/>
      <c r="CF536" s="962"/>
      <c r="CG536" s="397"/>
    </row>
    <row r="537" spans="1:85" s="596" customFormat="1" ht="15" hidden="1" customHeight="1" outlineLevel="2" x14ac:dyDescent="0.3">
      <c r="A537" s="328" t="s">
        <v>935</v>
      </c>
      <c r="B537" s="398"/>
      <c r="C537" s="962">
        <f t="shared" ref="C537:F539" si="1015">C531</f>
      </c>
      <c r="D537" s="962">
        <f t="shared" si="1015"/>
      </c>
      <c r="E537" s="962">
        <f t="shared" si="1015"/>
      </c>
      <c r="F537" s="962">
        <f t="shared" si="1015"/>
      </c>
      <c r="G537" s="757">
        <f>F541</f>
      </c>
      <c r="H537" s="757">
        <f>G541</f>
      </c>
      <c r="I537" s="757">
        <f>H541</f>
      </c>
      <c r="J537" s="757">
        <f>I541</f>
      </c>
      <c r="K537" s="962">
        <f>F541</f>
      </c>
      <c r="L537" s="757">
        <f>K541</f>
      </c>
      <c r="M537" s="757">
        <f>L541</f>
      </c>
      <c r="N537" s="757">
        <f>M541</f>
      </c>
      <c r="O537" s="757">
        <f>N541</f>
      </c>
      <c r="P537" s="962">
        <f>K541</f>
      </c>
      <c r="Q537" s="757">
        <f>P541</f>
      </c>
      <c r="R537" s="757">
        <f>Q541</f>
      </c>
      <c r="S537" s="757">
        <f>R541</f>
      </c>
      <c r="T537" s="757">
        <f>S541</f>
      </c>
      <c r="U537" s="962">
        <f>P541</f>
      </c>
      <c r="V537" s="757">
        <f>U541</f>
      </c>
      <c r="W537" s="757">
        <f>V541</f>
      </c>
      <c r="X537" s="757">
        <f>W541</f>
      </c>
      <c r="Y537" s="757">
        <f>X541</f>
      </c>
      <c r="Z537" s="962">
        <f>U541</f>
      </c>
      <c r="AA537" s="757">
        <f>Z541</f>
      </c>
      <c r="AB537" s="757">
        <f>AA541</f>
      </c>
      <c r="AC537" s="757">
        <f>AB541</f>
      </c>
      <c r="AD537" s="757">
        <f>AC541</f>
      </c>
      <c r="AE537" s="962">
        <f>Z541</f>
      </c>
      <c r="AF537" s="757">
        <f>AE541</f>
      </c>
      <c r="AG537" s="757">
        <f>AF541</f>
      </c>
      <c r="AH537" s="757">
        <f>AG541</f>
      </c>
      <c r="AI537" s="757">
        <f>AH541</f>
      </c>
      <c r="AJ537" s="962">
        <f>AE541</f>
      </c>
      <c r="AK537" s="757">
        <f>AJ541</f>
      </c>
      <c r="AL537" s="757">
        <f>AK541</f>
      </c>
      <c r="AM537" s="757">
        <f>AL541</f>
      </c>
      <c r="AN537" s="757">
        <f>AM541</f>
      </c>
      <c r="AO537" s="962">
        <f>AJ541</f>
      </c>
      <c r="AP537" s="757">
        <f>AO541</f>
      </c>
      <c r="AQ537" s="757">
        <f>AP541</f>
      </c>
      <c r="AR537" s="757">
        <f>AQ541</f>
      </c>
      <c r="AS537" s="757">
        <f>AR541</f>
      </c>
      <c r="AT537" s="962">
        <f>AO541</f>
      </c>
      <c r="AU537" s="757">
        <f>AT541</f>
      </c>
      <c r="AV537" s="757">
        <f>AU541</f>
      </c>
      <c r="AW537" s="757">
        <f>AV541</f>
      </c>
      <c r="AX537" s="757">
        <f>AW541</f>
      </c>
      <c r="AY537" s="962">
        <f>AT541</f>
      </c>
      <c r="AZ537" s="757">
        <f>AY541</f>
      </c>
      <c r="BA537" s="757">
        <f>AZ541</f>
      </c>
      <c r="BB537" s="757">
        <f>BA541</f>
      </c>
      <c r="BC537" s="757">
        <f>BB541</f>
      </c>
      <c r="BD537" s="962">
        <f>AY541</f>
      </c>
      <c r="BE537" s="757">
        <f>BD541</f>
      </c>
      <c r="BF537" s="757">
        <f>BE541</f>
      </c>
      <c r="BG537" s="757">
        <f>BF541</f>
      </c>
      <c r="BH537" s="757">
        <f>BG541</f>
      </c>
      <c r="BI537" s="962">
        <f>BD541</f>
      </c>
      <c r="BJ537" s="757">
        <f>BI541</f>
      </c>
      <c r="BK537" s="757">
        <f>BJ541</f>
      </c>
      <c r="BL537" s="757">
        <f>BK541</f>
      </c>
      <c r="BM537" s="757">
        <f>BL541</f>
      </c>
      <c r="BN537" s="962">
        <f>BI541</f>
      </c>
      <c r="BO537" s="757">
        <f>BN541</f>
      </c>
      <c r="BP537" s="757">
        <f>BO541</f>
      </c>
      <c r="BQ537" s="757">
        <f>BP541</f>
      </c>
      <c r="BR537" s="757">
        <f>BQ541</f>
      </c>
      <c r="BS537" s="962">
        <f>BN541</f>
      </c>
      <c r="BT537" s="758">
        <f>BS541</f>
      </c>
      <c r="BU537" s="757"/>
      <c r="BV537" s="757"/>
      <c r="BW537" s="757"/>
      <c r="BX537" s="962"/>
      <c r="BY537" s="757"/>
      <c r="BZ537" s="757"/>
      <c r="CA537" s="757"/>
      <c r="CB537" s="757"/>
      <c r="CC537" s="962"/>
      <c r="CD537" s="962"/>
      <c r="CE537" s="962"/>
      <c r="CF537" s="962"/>
      <c r="CG537" s="397"/>
    </row>
    <row r="538" spans="1:85" s="596" customFormat="1" ht="15" hidden="1" customHeight="1" outlineLevel="2" x14ac:dyDescent="0.3">
      <c r="A538" s="210" t="s">
        <v>936</v>
      </c>
      <c r="B538" s="398"/>
      <c r="C538" s="962">
        <f t="shared" si="1015"/>
      </c>
      <c r="D538" s="962">
        <f t="shared" si="1015"/>
      </c>
      <c r="E538" s="962">
        <f t="shared" si="1015"/>
      </c>
      <c r="F538" s="962">
        <f t="shared" si="1015"/>
      </c>
      <c r="G538" s="757">
        <f>G532</f>
      </c>
      <c r="H538" s="757">
        <f t="shared" ref="H538:J539" si="1016">H532-G532</f>
      </c>
      <c r="I538" s="757">
        <f t="shared" si="1016"/>
      </c>
      <c r="J538" s="757">
        <f t="shared" si="1016"/>
      </c>
      <c r="K538" s="962">
        <f>SUM(G538,H538,I538,J538)</f>
      </c>
      <c r="L538" s="757">
        <f>L532</f>
      </c>
      <c r="M538" s="757">
        <f t="shared" ref="M538:O539" si="1017">M532-L532</f>
      </c>
      <c r="N538" s="757">
        <f t="shared" si="1017"/>
      </c>
      <c r="O538" s="757">
        <f t="shared" si="1017"/>
      </c>
      <c r="P538" s="962">
        <f>SUM(L538,M538,N538,O538)</f>
      </c>
      <c r="Q538" s="757">
        <f>Q532</f>
      </c>
      <c r="R538" s="757">
        <f t="shared" ref="R538:T539" si="1018">R532-Q532</f>
      </c>
      <c r="S538" s="757">
        <f t="shared" si="1018"/>
      </c>
      <c r="T538" s="757">
        <f t="shared" si="1018"/>
      </c>
      <c r="U538" s="962">
        <f>SUM(Q538,R538,S538,T538)</f>
      </c>
      <c r="V538" s="757">
        <f>V532</f>
      </c>
      <c r="W538" s="757">
        <f t="shared" ref="W538:Y539" si="1019">W532-V532</f>
      </c>
      <c r="X538" s="757">
        <f t="shared" si="1019"/>
      </c>
      <c r="Y538" s="757">
        <f t="shared" si="1019"/>
      </c>
      <c r="Z538" s="962">
        <f>SUM(V538,W538,X538,Y538)</f>
      </c>
      <c r="AA538" s="757">
        <f>AA532</f>
      </c>
      <c r="AB538" s="757">
        <f t="shared" ref="AB538:AD540" si="1020">AB532-AA532</f>
      </c>
      <c r="AC538" s="757">
        <f t="shared" si="1020"/>
      </c>
      <c r="AD538" s="757">
        <f t="shared" si="1020"/>
      </c>
      <c r="AE538" s="962">
        <f>SUM(AA538,AB538,AC538,AD538)</f>
      </c>
      <c r="AF538" s="757">
        <f>AF532</f>
      </c>
      <c r="AG538" s="757">
        <f t="shared" ref="AG538:AI540" si="1021">AG532-AF532</f>
      </c>
      <c r="AH538" s="757">
        <f t="shared" si="1021"/>
      </c>
      <c r="AI538" s="757">
        <f t="shared" si="1021"/>
      </c>
      <c r="AJ538" s="962">
        <f>SUM(AF538,AG538,AH538,AI538)</f>
      </c>
      <c r="AK538" s="757">
        <f>AK532</f>
      </c>
      <c r="AL538" s="757">
        <f t="shared" ref="AL538:AN540" si="1022">AL532-AK532</f>
      </c>
      <c r="AM538" s="757">
        <f t="shared" si="1022"/>
      </c>
      <c r="AN538" s="757">
        <f t="shared" si="1022"/>
      </c>
      <c r="AO538" s="962">
        <f>SUM(AK538,AL538,AM538,AN538)</f>
      </c>
      <c r="AP538" s="757">
        <f>AP532</f>
      </c>
      <c r="AQ538" s="757">
        <f t="shared" ref="AQ538:AS540" si="1023">AQ532-AP532</f>
      </c>
      <c r="AR538" s="757">
        <f t="shared" si="1023"/>
      </c>
      <c r="AS538" s="757">
        <f t="shared" si="1023"/>
      </c>
      <c r="AT538" s="962">
        <f>SUM(AP538,AQ538,AR538,AS538)</f>
      </c>
      <c r="AU538" s="757">
        <f>AU532</f>
      </c>
      <c r="AV538" s="757">
        <f t="shared" ref="AV538:AX540" si="1024">AV532-AU532</f>
      </c>
      <c r="AW538" s="757">
        <f t="shared" si="1024"/>
      </c>
      <c r="AX538" s="757">
        <f t="shared" si="1024"/>
      </c>
      <c r="AY538" s="962">
        <f>SUM(AU538,AV538,AW538,AX538)</f>
      </c>
      <c r="AZ538" s="757">
        <f>AZ532</f>
      </c>
      <c r="BA538" s="757">
        <f t="shared" ref="BA538:BC540" si="1025">BA532-AZ532</f>
      </c>
      <c r="BB538" s="757">
        <f t="shared" si="1025"/>
      </c>
      <c r="BC538" s="757">
        <f t="shared" si="1025"/>
      </c>
      <c r="BD538" s="962">
        <f>SUM(AZ538,BA538,BB538,BC538)</f>
      </c>
      <c r="BE538" s="757">
        <f>BE532</f>
      </c>
      <c r="BF538" s="757">
        <f t="shared" ref="BF538:BH540" si="1026">BF532-BE532</f>
      </c>
      <c r="BG538" s="757">
        <f t="shared" si="1026"/>
      </c>
      <c r="BH538" s="757">
        <f t="shared" si="1026"/>
      </c>
      <c r="BI538" s="962">
        <f>SUM(BE538,BF538,BG538,BH538)</f>
      </c>
      <c r="BJ538" s="757">
        <f>BJ532</f>
      </c>
      <c r="BK538" s="757">
        <f t="shared" ref="BK538:BM540" si="1027">BK532-BJ532</f>
      </c>
      <c r="BL538" s="757">
        <f t="shared" si="1027"/>
      </c>
      <c r="BM538" s="757">
        <f t="shared" si="1027"/>
      </c>
      <c r="BN538" s="962">
        <f>SUM(BJ538,BK538,BL538,BM538)</f>
      </c>
      <c r="BO538" s="757">
        <f>BO532</f>
      </c>
      <c r="BP538" s="757">
        <f t="shared" ref="BP538:BR540" si="1028">BP532-BO532</f>
      </c>
      <c r="BQ538" s="757">
        <f t="shared" si="1028"/>
      </c>
      <c r="BR538" s="757">
        <f t="shared" si="1028"/>
      </c>
      <c r="BS538" s="962">
        <f>SUM(BO538,BP538,BQ538,BR538)</f>
      </c>
      <c r="BT538" s="758">
        <f>BT532</f>
      </c>
      <c r="BU538" s="757"/>
      <c r="BV538" s="757"/>
      <c r="BW538" s="757"/>
      <c r="BX538" s="962"/>
      <c r="BY538" s="757"/>
      <c r="BZ538" s="757"/>
      <c r="CA538" s="757"/>
      <c r="CB538" s="757"/>
      <c r="CC538" s="962"/>
      <c r="CD538" s="962"/>
      <c r="CE538" s="962"/>
      <c r="CF538" s="962"/>
      <c r="CG538" s="397"/>
    </row>
    <row r="539" spans="1:85" s="596" customFormat="1" ht="15" hidden="1" customHeight="1" outlineLevel="2" x14ac:dyDescent="0.3">
      <c r="A539" s="210" t="s">
        <v>937</v>
      </c>
      <c r="B539" s="398"/>
      <c r="C539" s="962">
        <f t="shared" si="1015"/>
      </c>
      <c r="D539" s="962">
        <f t="shared" si="1015"/>
      </c>
      <c r="E539" s="962">
        <f t="shared" si="1015"/>
      </c>
      <c r="F539" s="962">
        <f t="shared" si="1015"/>
      </c>
      <c r="G539" s="757">
        <f>G533</f>
      </c>
      <c r="H539" s="757">
        <f t="shared" si="1016"/>
      </c>
      <c r="I539" s="757">
        <f t="shared" si="1016"/>
      </c>
      <c r="J539" s="757">
        <f t="shared" si="1016"/>
      </c>
      <c r="K539" s="962">
        <f>SUM(G539,H539,I539,J539)</f>
      </c>
      <c r="L539" s="757">
        <f>L533</f>
      </c>
      <c r="M539" s="757">
        <f t="shared" si="1017"/>
      </c>
      <c r="N539" s="757">
        <f t="shared" si="1017"/>
      </c>
      <c r="O539" s="757">
        <f t="shared" si="1017"/>
      </c>
      <c r="P539" s="962">
        <f>SUM(L539,M539,N539,O539)</f>
      </c>
      <c r="Q539" s="757">
        <f>Q533</f>
      </c>
      <c r="R539" s="757">
        <f t="shared" si="1018"/>
      </c>
      <c r="S539" s="757">
        <f t="shared" si="1018"/>
      </c>
      <c r="T539" s="757">
        <f t="shared" si="1018"/>
      </c>
      <c r="U539" s="962">
        <f>SUM(Q539,R539,S539,T539)</f>
      </c>
      <c r="V539" s="757">
        <f>V533</f>
      </c>
      <c r="W539" s="757">
        <f t="shared" si="1019"/>
      </c>
      <c r="X539" s="757">
        <f t="shared" si="1019"/>
      </c>
      <c r="Y539" s="757">
        <f t="shared" si="1019"/>
      </c>
      <c r="Z539" s="962">
        <f>SUM(V539,W539,X539,Y539)</f>
      </c>
      <c r="AA539" s="757">
        <f>AA533</f>
      </c>
      <c r="AB539" s="757">
        <f t="shared" si="1020"/>
      </c>
      <c r="AC539" s="757">
        <f t="shared" si="1020"/>
      </c>
      <c r="AD539" s="757">
        <f t="shared" si="1020"/>
      </c>
      <c r="AE539" s="962">
        <f>SUM(AA539,AB539,AC539,AD539)</f>
      </c>
      <c r="AF539" s="757">
        <f>AF533</f>
      </c>
      <c r="AG539" s="757">
        <f t="shared" si="1021"/>
      </c>
      <c r="AH539" s="757">
        <f t="shared" si="1021"/>
      </c>
      <c r="AI539" s="757">
        <f t="shared" si="1021"/>
      </c>
      <c r="AJ539" s="962">
        <f>SUM(AF539,AG539,AH539,AI539)</f>
      </c>
      <c r="AK539" s="757">
        <f>AK533</f>
      </c>
      <c r="AL539" s="757">
        <f t="shared" si="1022"/>
      </c>
      <c r="AM539" s="757">
        <f t="shared" si="1022"/>
      </c>
      <c r="AN539" s="757">
        <f t="shared" si="1022"/>
      </c>
      <c r="AO539" s="962">
        <f>SUM(AK539,AL539,AM539,AN539)</f>
      </c>
      <c r="AP539" s="757">
        <f>AP533</f>
      </c>
      <c r="AQ539" s="757">
        <f t="shared" si="1023"/>
      </c>
      <c r="AR539" s="757">
        <f t="shared" si="1023"/>
      </c>
      <c r="AS539" s="757">
        <f t="shared" si="1023"/>
      </c>
      <c r="AT539" s="962">
        <f>SUM(AP539,AQ539,AR539,AS539)</f>
      </c>
      <c r="AU539" s="757">
        <f>AU533</f>
      </c>
      <c r="AV539" s="757">
        <f t="shared" si="1024"/>
      </c>
      <c r="AW539" s="757">
        <f t="shared" si="1024"/>
      </c>
      <c r="AX539" s="757">
        <f t="shared" si="1024"/>
      </c>
      <c r="AY539" s="962">
        <f>SUM(AU539,AV539,AW539,AX539)</f>
      </c>
      <c r="AZ539" s="757">
        <f>AZ533</f>
      </c>
      <c r="BA539" s="757">
        <f t="shared" si="1025"/>
      </c>
      <c r="BB539" s="757">
        <f t="shared" si="1025"/>
      </c>
      <c r="BC539" s="757">
        <f t="shared" si="1025"/>
      </c>
      <c r="BD539" s="962">
        <f>SUM(AZ539,BA539,BB539,BC539)</f>
      </c>
      <c r="BE539" s="757">
        <f>BE533</f>
      </c>
      <c r="BF539" s="757">
        <f t="shared" si="1026"/>
      </c>
      <c r="BG539" s="757">
        <f t="shared" si="1026"/>
      </c>
      <c r="BH539" s="757">
        <f t="shared" si="1026"/>
      </c>
      <c r="BI539" s="962">
        <f>SUM(BE539,BF539,BG539,BH539)</f>
      </c>
      <c r="BJ539" s="757">
        <f>BJ533</f>
      </c>
      <c r="BK539" s="757">
        <f t="shared" si="1027"/>
      </c>
      <c r="BL539" s="757">
        <f t="shared" si="1027"/>
      </c>
      <c r="BM539" s="757">
        <f t="shared" si="1027"/>
      </c>
      <c r="BN539" s="962">
        <f>SUM(BJ539,BK539,BL539,BM539)</f>
      </c>
      <c r="BO539" s="757">
        <f>BO533</f>
      </c>
      <c r="BP539" s="757">
        <f t="shared" si="1028"/>
      </c>
      <c r="BQ539" s="757">
        <f t="shared" si="1028"/>
      </c>
      <c r="BR539" s="757">
        <f t="shared" si="1028"/>
      </c>
      <c r="BS539" s="962">
        <f>SUM(BO539,BP539,BQ539,BR539)</f>
      </c>
      <c r="BT539" s="758">
        <f>BT533</f>
      </c>
      <c r="BU539" s="757"/>
      <c r="BV539" s="757"/>
      <c r="BW539" s="757"/>
      <c r="BX539" s="962"/>
      <c r="BY539" s="757"/>
      <c r="BZ539" s="757"/>
      <c r="CA539" s="757"/>
      <c r="CB539" s="757"/>
      <c r="CC539" s="962"/>
      <c r="CD539" s="962"/>
      <c r="CE539" s="962"/>
      <c r="CF539" s="962"/>
      <c r="CG539" s="397"/>
    </row>
    <row r="540" spans="1:85" s="596" customFormat="1" ht="15" hidden="1" customHeight="1" outlineLevel="2" x14ac:dyDescent="0.3">
      <c r="A540" s="330" t="s">
        <v>938</v>
      </c>
      <c r="B540" s="494"/>
      <c r="C540" s="984">
        <f>C534</f>
      </c>
      <c r="D540" s="984"/>
      <c r="E540" s="984"/>
      <c r="F540" s="984">
        <f>F534</f>
      </c>
      <c r="G540" s="761"/>
      <c r="H540" s="761"/>
      <c r="I540" s="761"/>
      <c r="J540" s="761"/>
      <c r="K540" s="984"/>
      <c r="L540" s="761"/>
      <c r="M540" s="761"/>
      <c r="N540" s="761"/>
      <c r="O540" s="761"/>
      <c r="P540" s="984"/>
      <c r="Q540" s="761"/>
      <c r="R540" s="761"/>
      <c r="S540" s="761"/>
      <c r="T540" s="761"/>
      <c r="U540" s="984"/>
      <c r="V540" s="761"/>
      <c r="W540" s="761"/>
      <c r="X540" s="761"/>
      <c r="Y540" s="761"/>
      <c r="Z540" s="984"/>
      <c r="AA540" s="761">
        <f>AA534</f>
      </c>
      <c r="AB540" s="761">
        <f t="shared" si="1020"/>
      </c>
      <c r="AC540" s="761">
        <f t="shared" si="1020"/>
      </c>
      <c r="AD540" s="761">
        <f t="shared" si="1020"/>
      </c>
      <c r="AE540" s="984">
        <f>SUM(AA540,AB540,AC540,AD540)</f>
      </c>
      <c r="AF540" s="761">
        <f>AF534</f>
      </c>
      <c r="AG540" s="761">
        <f t="shared" si="1021"/>
      </c>
      <c r="AH540" s="761">
        <f t="shared" si="1021"/>
      </c>
      <c r="AI540" s="761">
        <f t="shared" si="1021"/>
      </c>
      <c r="AJ540" s="984">
        <f>SUM(AF540,AG540,AH540,AI540)</f>
      </c>
      <c r="AK540" s="761">
        <f>AK534</f>
      </c>
      <c r="AL540" s="761">
        <f t="shared" si="1022"/>
      </c>
      <c r="AM540" s="761">
        <f t="shared" si="1022"/>
      </c>
      <c r="AN540" s="761">
        <f t="shared" si="1022"/>
      </c>
      <c r="AO540" s="984">
        <f>SUM(AK540,AL540,AM540,AN540)</f>
      </c>
      <c r="AP540" s="761">
        <f>AP534</f>
      </c>
      <c r="AQ540" s="761">
        <f t="shared" si="1023"/>
      </c>
      <c r="AR540" s="761">
        <f t="shared" si="1023"/>
      </c>
      <c r="AS540" s="761">
        <f t="shared" si="1023"/>
      </c>
      <c r="AT540" s="984">
        <f>SUM(AP540,AQ540,AR540,AS540)</f>
      </c>
      <c r="AU540" s="761">
        <f>AU534</f>
      </c>
      <c r="AV540" s="761">
        <f t="shared" si="1024"/>
      </c>
      <c r="AW540" s="761">
        <f t="shared" si="1024"/>
      </c>
      <c r="AX540" s="761">
        <f t="shared" si="1024"/>
      </c>
      <c r="AY540" s="984">
        <f>SUM(AU540,AV540,AW540,AX540)</f>
      </c>
      <c r="AZ540" s="761">
        <f>AZ534</f>
      </c>
      <c r="BA540" s="761">
        <f t="shared" si="1025"/>
      </c>
      <c r="BB540" s="761">
        <f t="shared" si="1025"/>
      </c>
      <c r="BC540" s="761">
        <f t="shared" si="1025"/>
      </c>
      <c r="BD540" s="984">
        <f>SUM(AZ540,BA540,BB540,BC540)</f>
      </c>
      <c r="BE540" s="761">
        <f>BE534</f>
      </c>
      <c r="BF540" s="761">
        <f t="shared" si="1026"/>
      </c>
      <c r="BG540" s="761">
        <f t="shared" si="1026"/>
      </c>
      <c r="BH540" s="761">
        <f t="shared" si="1026"/>
      </c>
      <c r="BI540" s="984">
        <f>SUM(BE540,BF540,BG540,BH540)</f>
      </c>
      <c r="BJ540" s="761">
        <f>BJ534</f>
      </c>
      <c r="BK540" s="761">
        <f t="shared" si="1027"/>
      </c>
      <c r="BL540" s="761">
        <f t="shared" si="1027"/>
      </c>
      <c r="BM540" s="761">
        <f t="shared" si="1027"/>
      </c>
      <c r="BN540" s="984">
        <f>SUM(BJ540,BK540,BL540,BM540)</f>
      </c>
      <c r="BO540" s="761">
        <f>BO534</f>
      </c>
      <c r="BP540" s="761">
        <f t="shared" si="1028"/>
      </c>
      <c r="BQ540" s="761">
        <f t="shared" si="1028"/>
      </c>
      <c r="BR540" s="761">
        <f t="shared" si="1028"/>
      </c>
      <c r="BS540" s="984">
        <f>SUM(BO540,BP540,BQ540,BR540)</f>
      </c>
      <c r="BT540" s="762">
        <f>BT534</f>
      </c>
      <c r="BU540" s="761"/>
      <c r="BV540" s="761"/>
      <c r="BW540" s="761"/>
      <c r="BX540" s="984"/>
      <c r="BY540" s="761"/>
      <c r="BZ540" s="761"/>
      <c r="CA540" s="761"/>
      <c r="CB540" s="761"/>
      <c r="CC540" s="984"/>
      <c r="CD540" s="984"/>
      <c r="CE540" s="984"/>
      <c r="CF540" s="984"/>
      <c r="CG540" s="397"/>
    </row>
    <row r="541" spans="1:85" s="596" customFormat="1" ht="15" hidden="1" customHeight="1" outlineLevel="1" collapsed="1" x14ac:dyDescent="0.3">
      <c r="A541" s="328" t="s">
        <v>939</v>
      </c>
      <c r="B541" s="398"/>
      <c r="C541" s="962">
        <f t="shared" ref="C541:AH541" si="1029">SUM(C537:C540)</f>
      </c>
      <c r="D541" s="962">
        <f t="shared" si="1029"/>
      </c>
      <c r="E541" s="962">
        <f t="shared" si="1029"/>
      </c>
      <c r="F541" s="962">
        <f t="shared" si="1029"/>
      </c>
      <c r="G541" s="757">
        <f t="shared" si="1029"/>
      </c>
      <c r="H541" s="757">
        <f t="shared" si="1029"/>
      </c>
      <c r="I541" s="757">
        <f t="shared" si="1029"/>
      </c>
      <c r="J541" s="757">
        <f t="shared" si="1029"/>
      </c>
      <c r="K541" s="962">
        <f t="shared" si="1029"/>
      </c>
      <c r="L541" s="757">
        <f t="shared" si="1029"/>
      </c>
      <c r="M541" s="757">
        <f t="shared" si="1029"/>
      </c>
      <c r="N541" s="757">
        <f t="shared" si="1029"/>
      </c>
      <c r="O541" s="757">
        <f t="shared" si="1029"/>
      </c>
      <c r="P541" s="962">
        <f t="shared" si="1029"/>
      </c>
      <c r="Q541" s="757">
        <f t="shared" si="1029"/>
      </c>
      <c r="R541" s="757">
        <f t="shared" si="1029"/>
      </c>
      <c r="S541" s="757">
        <f t="shared" si="1029"/>
      </c>
      <c r="T541" s="757">
        <f t="shared" si="1029"/>
      </c>
      <c r="U541" s="962">
        <f t="shared" si="1029"/>
      </c>
      <c r="V541" s="757">
        <f t="shared" si="1029"/>
      </c>
      <c r="W541" s="757">
        <f t="shared" si="1029"/>
      </c>
      <c r="X541" s="757">
        <f t="shared" si="1029"/>
      </c>
      <c r="Y541" s="757">
        <f t="shared" si="1029"/>
      </c>
      <c r="Z541" s="962">
        <f t="shared" si="1029"/>
      </c>
      <c r="AA541" s="757">
        <f t="shared" si="1029"/>
      </c>
      <c r="AB541" s="757">
        <f t="shared" si="1029"/>
      </c>
      <c r="AC541" s="757">
        <f t="shared" si="1029"/>
      </c>
      <c r="AD541" s="757">
        <f t="shared" si="1029"/>
      </c>
      <c r="AE541" s="962">
        <f t="shared" si="1029"/>
      </c>
      <c r="AF541" s="757">
        <f t="shared" si="1029"/>
      </c>
      <c r="AG541" s="757">
        <f t="shared" si="1029"/>
      </c>
      <c r="AH541" s="757">
        <f t="shared" si="1029"/>
      </c>
      <c r="AI541" s="757">
        <f t="shared" ref="AI541:BN541" si="1030">SUM(AI537:AI540)</f>
      </c>
      <c r="AJ541" s="962">
        <f t="shared" si="1030"/>
      </c>
      <c r="AK541" s="757">
        <f t="shared" si="1030"/>
      </c>
      <c r="AL541" s="757">
        <f t="shared" si="1030"/>
      </c>
      <c r="AM541" s="757">
        <f t="shared" si="1030"/>
      </c>
      <c r="AN541" s="757">
        <f t="shared" si="1030"/>
      </c>
      <c r="AO541" s="962">
        <f t="shared" si="1030"/>
      </c>
      <c r="AP541" s="757">
        <f t="shared" si="1030"/>
      </c>
      <c r="AQ541" s="757">
        <f t="shared" si="1030"/>
      </c>
      <c r="AR541" s="757">
        <f t="shared" si="1030"/>
      </c>
      <c r="AS541" s="757">
        <f t="shared" si="1030"/>
      </c>
      <c r="AT541" s="962">
        <f t="shared" si="1030"/>
      </c>
      <c r="AU541" s="757">
        <f t="shared" si="1030"/>
      </c>
      <c r="AV541" s="757">
        <f t="shared" si="1030"/>
      </c>
      <c r="AW541" s="757">
        <f t="shared" si="1030"/>
      </c>
      <c r="AX541" s="757">
        <f t="shared" si="1030"/>
      </c>
      <c r="AY541" s="962">
        <f t="shared" si="1030"/>
      </c>
      <c r="AZ541" s="757">
        <f t="shared" si="1030"/>
      </c>
      <c r="BA541" s="757">
        <f t="shared" si="1030"/>
      </c>
      <c r="BB541" s="757">
        <f t="shared" si="1030"/>
      </c>
      <c r="BC541" s="757">
        <f t="shared" si="1030"/>
      </c>
      <c r="BD541" s="962">
        <f t="shared" si="1030"/>
      </c>
      <c r="BE541" s="757">
        <f t="shared" si="1030"/>
      </c>
      <c r="BF541" s="757">
        <f t="shared" si="1030"/>
      </c>
      <c r="BG541" s="757">
        <f t="shared" si="1030"/>
      </c>
      <c r="BH541" s="757">
        <f t="shared" si="1030"/>
      </c>
      <c r="BI541" s="962">
        <f t="shared" si="1030"/>
      </c>
      <c r="BJ541" s="757">
        <f t="shared" si="1030"/>
      </c>
      <c r="BK541" s="757">
        <f t="shared" si="1030"/>
      </c>
      <c r="BL541" s="757">
        <f t="shared" si="1030"/>
      </c>
      <c r="BM541" s="757">
        <f t="shared" si="1030"/>
      </c>
      <c r="BN541" s="962">
        <f t="shared" si="1030"/>
      </c>
      <c r="BO541" s="757">
        <f t="shared" ref="BO541:BS541" si="1031">SUM(BO537:BO540)</f>
      </c>
      <c r="BP541" s="757">
        <f t="shared" si="1031"/>
      </c>
      <c r="BQ541" s="757">
        <f t="shared" si="1031"/>
      </c>
      <c r="BR541" s="757">
        <f t="shared" si="1031"/>
      </c>
      <c r="BS541" s="962">
        <f t="shared" si="1031"/>
      </c>
      <c r="BT541" s="758">
        <f t="shared" ref="BT541" si="1032">SUM(BT537:BT540)</f>
      </c>
      <c r="BU541" s="757"/>
      <c r="BV541" s="757"/>
      <c r="BW541" s="757"/>
      <c r="BX541" s="962"/>
      <c r="BY541" s="757"/>
      <c r="BZ541" s="757"/>
      <c r="CA541" s="757"/>
      <c r="CB541" s="757"/>
      <c r="CC541" s="962"/>
      <c r="CD541" s="962"/>
      <c r="CE541" s="962"/>
      <c r="CF541" s="962"/>
      <c r="CG541" s="397"/>
    </row>
    <row r="542" spans="1:85" s="596" customFormat="1" ht="15" hidden="1" customHeight="1" outlineLevel="2" x14ac:dyDescent="0.3">
      <c r="A542" s="757"/>
      <c r="B542" s="398"/>
      <c r="C542" s="962"/>
      <c r="D542" s="962"/>
      <c r="E542" s="962"/>
      <c r="F542" s="962"/>
      <c r="G542" s="757"/>
      <c r="H542" s="757"/>
      <c r="I542" s="757"/>
      <c r="J542" s="757"/>
      <c r="K542" s="962"/>
      <c r="L542" s="757"/>
      <c r="M542" s="757"/>
      <c r="N542" s="757"/>
      <c r="O542" s="757"/>
      <c r="P542" s="962"/>
      <c r="Q542" s="757"/>
      <c r="R542" s="757"/>
      <c r="S542" s="757"/>
      <c r="T542" s="757"/>
      <c r="U542" s="962"/>
      <c r="V542" s="757"/>
      <c r="W542" s="757"/>
      <c r="X542" s="757"/>
      <c r="Y542" s="757"/>
      <c r="Z542" s="962"/>
      <c r="AA542" s="757"/>
      <c r="AB542" s="757"/>
      <c r="AC542" s="757"/>
      <c r="AD542" s="757"/>
      <c r="AE542" s="962"/>
      <c r="AF542" s="757"/>
      <c r="AG542" s="757"/>
      <c r="AH542" s="757"/>
      <c r="AI542" s="757"/>
      <c r="AJ542" s="962"/>
      <c r="AK542" s="757"/>
      <c r="AL542" s="757"/>
      <c r="AM542" s="757"/>
      <c r="AN542" s="757"/>
      <c r="AO542" s="962"/>
      <c r="AP542" s="757"/>
      <c r="AQ542" s="757"/>
      <c r="AR542" s="757"/>
      <c r="AS542" s="757"/>
      <c r="AT542" s="962"/>
      <c r="AU542" s="757"/>
      <c r="AV542" s="757"/>
      <c r="AW542" s="757"/>
      <c r="AX542" s="757"/>
      <c r="AY542" s="962"/>
      <c r="AZ542" s="757"/>
      <c r="BA542" s="757"/>
      <c r="BB542" s="757"/>
      <c r="BC542" s="757"/>
      <c r="BD542" s="962"/>
      <c r="BE542" s="757"/>
      <c r="BF542" s="757"/>
      <c r="BG542" s="757"/>
      <c r="BH542" s="757"/>
      <c r="BI542" s="962"/>
      <c r="BJ542" s="757"/>
      <c r="BK542" s="757"/>
      <c r="BL542" s="757"/>
      <c r="BM542" s="757"/>
      <c r="BN542" s="962"/>
      <c r="BO542" s="757"/>
      <c r="BP542" s="757"/>
      <c r="BQ542" s="757"/>
      <c r="BR542" s="757"/>
      <c r="BS542" s="962"/>
      <c r="BT542" s="758"/>
      <c r="BU542" s="757"/>
      <c r="BV542" s="757"/>
      <c r="BW542" s="757"/>
      <c r="BX542" s="962"/>
      <c r="BY542" s="757"/>
      <c r="BZ542" s="757"/>
      <c r="CA542" s="757"/>
      <c r="CB542" s="757"/>
      <c r="CC542" s="962"/>
      <c r="CD542" s="962"/>
      <c r="CE542" s="962"/>
      <c r="CF542" s="962"/>
      <c r="CG542" s="397"/>
    </row>
    <row r="543" spans="1:85" s="584" customFormat="1" ht="15" hidden="1" customHeight="1" outlineLevel="2" x14ac:dyDescent="0.3">
      <c r="A543" s="335" t="s">
        <v>940</v>
      </c>
      <c r="B543" s="468"/>
      <c r="C543" s="1024">
        <f>(18.81*(1/7))/10</f>
      </c>
      <c r="D543" s="1024">
        <f>(22.74*(1/7))/10</f>
      </c>
      <c r="E543" s="1024">
        <f>(36.11*(1/7))/10</f>
      </c>
      <c r="F543" s="1024">
        <f>(66.59*(1/7))/10</f>
      </c>
      <c r="G543" s="877">
        <f>(71.33*(1/7))/10</f>
      </c>
      <c r="H543" s="877">
        <f>(71.33*(1/7))/10</f>
      </c>
      <c r="I543" s="877">
        <f>(71.33*(1/7))/10</f>
      </c>
      <c r="J543" s="469">
        <f>(I543)/10</f>
      </c>
      <c r="K543" s="1024">
        <f>(71.33*(1/7))/10</f>
      </c>
      <c r="L543" s="877">
        <f>(95.25*(1/7))/10</f>
      </c>
      <c r="M543" s="877">
        <f>(95.25*(1/7))/10</f>
      </c>
      <c r="N543" s="877">
        <f>(95.25*(1/7))/10</f>
      </c>
      <c r="O543" s="469">
        <f>(N543)/10</f>
      </c>
      <c r="P543" s="1024">
        <f>(95.25*(1/7))/10</f>
      </c>
      <c r="Q543" s="877">
        <f>(151.53*(1/7))/10</f>
      </c>
      <c r="R543" s="877">
        <v>2.165</v>
      </c>
      <c r="S543" s="877">
        <v>2.165</v>
      </c>
      <c r="T543" s="469">
        <f>S543</f>
      </c>
      <c r="U543" s="1024">
        <v>2.165</v>
      </c>
      <c r="V543" s="877">
        <v>3.2389999999999999</v>
      </c>
      <c r="W543" s="877">
        <v>3.2389999999999999</v>
      </c>
      <c r="X543" s="877">
        <v>3.2389999999999999</v>
      </c>
      <c r="Y543" s="469">
        <f>X543</f>
      </c>
      <c r="Z543" s="1024">
        <v>3.2389999999999999</v>
      </c>
      <c r="AA543" s="877">
        <v>4.4829999999999997</v>
      </c>
      <c r="AB543" s="877">
        <v>4.4829999999999997</v>
      </c>
      <c r="AC543" s="877">
        <v>4.4829999999999997</v>
      </c>
      <c r="AD543" s="469">
        <f>AC543</f>
      </c>
      <c r="AE543" s="1024">
        <v>4.4829999999999997</v>
      </c>
      <c r="AF543" s="877">
        <v>6.1130000000000004</v>
      </c>
      <c r="AG543" s="877">
        <v>6.1130000000000004</v>
      </c>
      <c r="AH543" s="877">
        <v>6.1130000000000004</v>
      </c>
      <c r="AI543" s="469">
        <f>AH543</f>
      </c>
      <c r="AJ543" s="1024">
        <v>6.1130000000000004</v>
      </c>
      <c r="AK543" s="877">
        <v>8.9610000000000003</v>
      </c>
      <c r="AL543" s="877">
        <v>8.9610000000000003</v>
      </c>
      <c r="AM543" s="877">
        <v>8.9610000000000003</v>
      </c>
      <c r="AN543" s="469">
        <f>AM543</f>
      </c>
      <c r="AO543" s="1024">
        <v>8.9610000000000003</v>
      </c>
      <c r="AP543" s="877">
        <v>12.428000000000001</v>
      </c>
      <c r="AQ543" s="877">
        <v>12.428000000000001</v>
      </c>
      <c r="AR543" s="877">
        <v>12.428000000000001</v>
      </c>
      <c r="AS543" s="469">
        <f>AR543</f>
      </c>
      <c r="AT543" s="1024">
        <v>12.428000000000001</v>
      </c>
      <c r="AU543" s="877">
        <v>17.023</v>
      </c>
      <c r="AV543" s="877">
        <v>17.023</v>
      </c>
      <c r="AW543" s="877">
        <v>17.023</v>
      </c>
      <c r="AX543" s="469">
        <f>AW543</f>
      </c>
      <c r="AY543" s="1024">
        <v>17.023</v>
      </c>
      <c r="AZ543" s="877">
        <v>21.983000000000001</v>
      </c>
      <c r="BA543" s="877">
        <v>21.983000000000001</v>
      </c>
      <c r="BB543" s="877">
        <v>21.983000000000001</v>
      </c>
      <c r="BC543" s="469">
        <f>BB543</f>
      </c>
      <c r="BD543" s="1024">
        <v>21.983000000000001</v>
      </c>
      <c r="BE543" s="877">
        <v>24.222000000000001</v>
      </c>
      <c r="BF543" s="469">
        <f>BD547</f>
      </c>
      <c r="BG543" s="469">
        <f>BD547</f>
      </c>
      <c r="BH543" s="469">
        <f>BG543</f>
      </c>
      <c r="BI543" s="1024">
        <v>24.222000000000001</v>
      </c>
      <c r="BJ543" s="469">
        <f>BI547</f>
      </c>
      <c r="BK543" s="469">
        <f>BI547</f>
      </c>
      <c r="BL543" s="469">
        <f>BI547</f>
      </c>
      <c r="BM543" s="469">
        <f>BL543</f>
      </c>
      <c r="BN543" s="1024">
        <v>26.885999999999999</v>
      </c>
      <c r="BO543" s="469">
        <f>BN547</f>
      </c>
      <c r="BP543" s="469">
        <f>BN547</f>
      </c>
      <c r="BQ543" s="469">
        <f>BN547</f>
      </c>
      <c r="BR543" s="469">
        <f>BQ543</f>
      </c>
      <c r="BS543" s="1025">
        <f>BR543</f>
      </c>
      <c r="BT543" s="750">
        <f>BS547</f>
      </c>
      <c r="BU543" s="469"/>
      <c r="BV543" s="469"/>
      <c r="BW543" s="469"/>
      <c r="BX543" s="1025"/>
      <c r="BY543" s="469"/>
      <c r="BZ543" s="469"/>
      <c r="CA543" s="469"/>
      <c r="CB543" s="469"/>
      <c r="CC543" s="1025"/>
      <c r="CD543" s="1025"/>
      <c r="CE543" s="1025"/>
      <c r="CF543" s="1025"/>
      <c r="CG543" s="315"/>
    </row>
    <row r="544" spans="1:85" s="584" customFormat="1" ht="15" hidden="1" customHeight="1" outlineLevel="2" x14ac:dyDescent="0.3">
      <c r="A544" s="331" t="s">
        <v>941</v>
      </c>
      <c r="B544" s="468"/>
      <c r="C544" s="1024">
        <f>(41.65*(1/7))/10</f>
      </c>
      <c r="D544" s="1024">
        <f>(99.58*(1/7))/10</f>
      </c>
      <c r="E544" s="1024">
        <f>(154.09*(1/7))/10</f>
      </c>
      <c r="F544" s="1024">
        <f>(73.94*(1/7))/10</f>
      </c>
      <c r="G544" s="877">
        <f>(134.56*(1/7))/10</f>
      </c>
      <c r="H544" s="877">
        <f>(162.52*(1/7))/10</f>
      </c>
      <c r="I544" s="877">
        <f>(184.71*(1/7))/10</f>
      </c>
      <c r="J544" s="469">
        <f>K544</f>
      </c>
      <c r="K544" s="1024">
        <f>(208.94*(1/7))/10</f>
      </c>
      <c r="L544" s="877">
        <f>(407.31*(1/7))/10</f>
      </c>
      <c r="M544" s="877">
        <f>(387.16*(1/7))/10</f>
      </c>
      <c r="N544" s="877">
        <f>(409.7*(1/7))/10</f>
      </c>
      <c r="O544" s="469">
        <f>P544</f>
      </c>
      <c r="P544" s="1024">
        <f>(402.85*(1/7))/10</f>
      </c>
      <c r="Q544" s="877">
        <f>(417.43*(1/7))/10</f>
      </c>
      <c r="R544" s="877">
        <v>6.6070000000000002</v>
      </c>
      <c r="S544" s="877">
        <v>7.5549999999999997</v>
      </c>
      <c r="T544" s="469">
        <f>U544</f>
      </c>
      <c r="U544" s="1024">
        <v>8.2669999999999995</v>
      </c>
      <c r="V544" s="877">
        <v>9.9670000000000005</v>
      </c>
      <c r="W544" s="877">
        <v>9.9749999999999996</v>
      </c>
      <c r="X544" s="877">
        <v>9.8450000000000006</v>
      </c>
      <c r="Y544" s="469">
        <f>Z544</f>
      </c>
      <c r="Z544" s="1024">
        <v>10.202999999999999</v>
      </c>
      <c r="AA544" s="877">
        <v>13.682</v>
      </c>
      <c r="AB544" s="877">
        <v>14.541</v>
      </c>
      <c r="AC544" s="877">
        <v>15.182</v>
      </c>
      <c r="AD544" s="469">
        <f>AE544</f>
      </c>
      <c r="AE544" s="1024">
        <v>15.956</v>
      </c>
      <c r="AF544" s="877">
        <v>25.268999999999998</v>
      </c>
      <c r="AG544" s="877">
        <v>28.222000000000001</v>
      </c>
      <c r="AH544" s="877">
        <v>30.698</v>
      </c>
      <c r="AI544" s="469">
        <f>AJ544</f>
      </c>
      <c r="AJ544" s="1024">
        <v>31.166</v>
      </c>
      <c r="AK544" s="877">
        <v>31.943000000000001</v>
      </c>
      <c r="AL544" s="877">
        <v>33.901000000000003</v>
      </c>
      <c r="AM544" s="877">
        <v>33.372999999999998</v>
      </c>
      <c r="AN544" s="469">
        <f>AO544</f>
      </c>
      <c r="AO544" s="1024">
        <v>32.066000000000003</v>
      </c>
      <c r="AP544" s="877">
        <v>35.454999999999998</v>
      </c>
      <c r="AQ544" s="877">
        <v>37.585999999999999</v>
      </c>
      <c r="AR544" s="877">
        <v>41.244999999999997</v>
      </c>
      <c r="AS544" s="469">
        <f>AT544</f>
      </c>
      <c r="AT544" s="1024">
        <v>43.234000000000002</v>
      </c>
      <c r="AU544" s="877">
        <v>53.747</v>
      </c>
      <c r="AV544" s="877">
        <v>52.612000000000002</v>
      </c>
      <c r="AW544" s="877">
        <v>53.134</v>
      </c>
      <c r="AX544" s="469">
        <f>AY544</f>
      </c>
      <c r="AY544" s="1024">
        <v>55.411000000000001</v>
      </c>
      <c r="AZ544" s="877">
        <v>46.027999999999999</v>
      </c>
      <c r="BA544" s="877">
        <v>30.648</v>
      </c>
      <c r="BB544" s="877">
        <v>26.510999999999999</v>
      </c>
      <c r="BC544" s="469">
        <f>BD544</f>
      </c>
      <c r="BD544" s="1024">
        <v>26.794</v>
      </c>
      <c r="BE544" s="877">
        <v>31.739000000000001</v>
      </c>
      <c r="BF544" s="877">
        <v>33.348999999999997</v>
      </c>
      <c r="BG544" s="877">
        <v>36.043999999999997</v>
      </c>
      <c r="BH544" s="469">
        <f>BI544</f>
      </c>
      <c r="BI544" s="1024">
        <v>37.249000000000002</v>
      </c>
      <c r="BJ544" s="877">
        <v>52.628999999999998</v>
      </c>
      <c r="BK544" s="877">
        <v>55.569000000000003</v>
      </c>
      <c r="BL544" s="877">
        <v>58.366</v>
      </c>
      <c r="BM544" s="469">
        <f>BN544</f>
      </c>
      <c r="BN544" s="1024">
        <v>62.091999999999999</v>
      </c>
      <c r="BO544" s="877">
        <v>94.965000000000003</v>
      </c>
      <c r="BP544" s="877">
        <v>101.34</v>
      </c>
      <c r="BQ544" s="877">
        <v>107.699</v>
      </c>
      <c r="BR544" s="469">
        <f>BS544</f>
      </c>
      <c r="BS544" s="1024">
        <v>108.79</v>
      </c>
      <c r="BT544" s="878">
        <v>89.73</v>
      </c>
      <c r="BU544" s="469"/>
      <c r="BV544" s="469"/>
      <c r="BW544" s="469"/>
      <c r="BX544" s="1025"/>
      <c r="BY544" s="469"/>
      <c r="BZ544" s="469"/>
      <c r="CA544" s="469"/>
      <c r="CB544" s="469"/>
      <c r="CC544" s="1025"/>
      <c r="CD544" s="1025"/>
      <c r="CE544" s="1025"/>
      <c r="CF544" s="1025"/>
      <c r="CG544" s="315"/>
    </row>
    <row r="545" spans="1:85" s="584" customFormat="1" ht="15" hidden="1" customHeight="1" outlineLevel="2" x14ac:dyDescent="0.3">
      <c r="A545" s="331" t="s">
        <v>942</v>
      </c>
      <c r="B545" s="468"/>
      <c r="C545" s="1024">
        <f>(17.11*(1/7))/10</f>
      </c>
      <c r="D545" s="1024">
        <f>(24.75*(1/7))/10</f>
      </c>
      <c r="E545" s="1024">
        <f>(29.11*(1/7))/10</f>
      </c>
      <c r="F545" s="1024">
        <f>(21.85*(1/7))/10</f>
      </c>
      <c r="G545" s="877">
        <f>(70.3*(1/7))/10</f>
      </c>
      <c r="H545" s="877">
        <f>(67.7*(1/7))/10</f>
      </c>
      <c r="I545" s="877">
        <f>(69.84*(1/7))/10</f>
      </c>
      <c r="J545" s="469">
        <f>K545</f>
      </c>
      <c r="K545" s="1024">
        <f>(73.75*(1/7))/10</f>
      </c>
      <c r="L545" s="877">
        <f>(97.34*(1/7))/10</f>
      </c>
      <c r="M545" s="877">
        <f>(96.93*(1/7))/10</f>
      </c>
      <c r="N545" s="877">
        <f>(88.82*(1/7))/10</f>
      </c>
      <c r="O545" s="469">
        <f>P545</f>
      </c>
      <c r="P545" s="1024">
        <f>(75.65*(1/7))/10</f>
      </c>
      <c r="Q545" s="877">
        <f>(50.12*(1/7))/10</f>
      </c>
      <c r="R545" s="877">
        <v>1.101</v>
      </c>
      <c r="S545" s="877">
        <v>1.5449999999999999</v>
      </c>
      <c r="T545" s="469">
        <f>U545</f>
      </c>
      <c r="U545" s="1024">
        <v>1.538</v>
      </c>
      <c r="V545" s="877">
        <v>1.002</v>
      </c>
      <c r="W545" s="877">
        <v>0.98499999999999999</v>
      </c>
      <c r="X545" s="877">
        <v>0.95899999999999996</v>
      </c>
      <c r="Y545" s="469">
        <f>Z545</f>
      </c>
      <c r="Z545" s="1024">
        <v>1.748</v>
      </c>
      <c r="AA545" s="877">
        <v>2.669</v>
      </c>
      <c r="AB545" s="877">
        <v>2.3109999999999999</v>
      </c>
      <c r="AC545" s="877">
        <v>2.7530000000000001</v>
      </c>
      <c r="AD545" s="469">
        <f>AE545</f>
      </c>
      <c r="AE545" s="1024">
        <v>2.6789999999999998</v>
      </c>
      <c r="AF545" s="877">
        <v>4.3840000000000003</v>
      </c>
      <c r="AG545" s="877">
        <v>3.992</v>
      </c>
      <c r="AH545" s="877">
        <v>4.1749999999999998</v>
      </c>
      <c r="AI545" s="469">
        <f>AJ545</f>
      </c>
      <c r="AJ545" s="1024">
        <v>3.8660000000000001</v>
      </c>
      <c r="AK545" s="877">
        <v>3.8069999999999999</v>
      </c>
      <c r="AL545" s="877">
        <v>3.6669999999999998</v>
      </c>
      <c r="AM545" s="877">
        <v>3.4289999999999998</v>
      </c>
      <c r="AN545" s="469">
        <f>AO545</f>
      </c>
      <c r="AO545" s="1024">
        <v>3.2879999999999998</v>
      </c>
      <c r="AP545" s="877">
        <v>4.577</v>
      </c>
      <c r="AQ545" s="877">
        <v>6.0060000000000002</v>
      </c>
      <c r="AR545" s="877">
        <v>6.758</v>
      </c>
      <c r="AS545" s="469">
        <f>AT545</f>
      </c>
      <c r="AT545" s="1024">
        <v>5.835</v>
      </c>
      <c r="AU545" s="877">
        <v>9.2449999999999992</v>
      </c>
      <c r="AV545" s="877">
        <v>9.2189999999999994</v>
      </c>
      <c r="AW545" s="877">
        <v>8.1470000000000002</v>
      </c>
      <c r="AX545" s="469">
        <f>AY545</f>
      </c>
      <c r="AY545" s="1024">
        <v>6.5970000000000004</v>
      </c>
      <c r="AZ545" s="877">
        <v>3.8</v>
      </c>
      <c r="BA545" s="877">
        <v>3.0619999999999998</v>
      </c>
      <c r="BB545" s="877">
        <v>2.6259999999999999</v>
      </c>
      <c r="BC545" s="469">
        <f>BD545</f>
      </c>
      <c r="BD545" s="1024">
        <v>2.7189999999999999</v>
      </c>
      <c r="BE545" s="877">
        <v>6.2290000000000001</v>
      </c>
      <c r="BF545" s="877">
        <v>6.8230000000000004</v>
      </c>
      <c r="BG545" s="877">
        <v>8.5429999999999993</v>
      </c>
      <c r="BH545" s="469">
        <f>BI545</f>
      </c>
      <c r="BI545" s="1024">
        <v>8.73</v>
      </c>
      <c r="BJ545" s="877">
        <v>15.167999999999999</v>
      </c>
      <c r="BK545" s="877">
        <v>15.324999999999999</v>
      </c>
      <c r="BL545" s="877">
        <v>15.718</v>
      </c>
      <c r="BM545" s="469">
        <f>BN545</f>
      </c>
      <c r="BN545" s="1024">
        <v>17.216999999999999</v>
      </c>
      <c r="BO545" s="877">
        <v>21.984999999999999</v>
      </c>
      <c r="BP545" s="877">
        <v>22.274000000000001</v>
      </c>
      <c r="BQ545" s="877">
        <v>22.038</v>
      </c>
      <c r="BR545" s="469">
        <f>BS545</f>
      </c>
      <c r="BS545" s="1024">
        <v>21.73</v>
      </c>
      <c r="BT545" s="878">
        <v>13.66</v>
      </c>
      <c r="BU545" s="469"/>
      <c r="BV545" s="469"/>
      <c r="BW545" s="469"/>
      <c r="BX545" s="1025"/>
      <c r="BY545" s="469"/>
      <c r="BZ545" s="469"/>
      <c r="CA545" s="469"/>
      <c r="CB545" s="469"/>
      <c r="CC545" s="1025"/>
      <c r="CD545" s="1025"/>
      <c r="CE545" s="1025"/>
      <c r="CF545" s="1025"/>
      <c r="CG545" s="315"/>
    </row>
    <row r="546" spans="1:85" s="584" customFormat="1" ht="15" hidden="1" customHeight="1" outlineLevel="2" x14ac:dyDescent="0.3">
      <c r="A546" s="331" t="s">
        <v>943</v>
      </c>
      <c r="B546" s="468"/>
      <c r="C546" s="1024">
        <f>(12.69*(1/7))/10</f>
      </c>
      <c r="D546" s="1025"/>
      <c r="E546" s="1025"/>
      <c r="F546" s="1024">
        <f>(35.95*(1/7))/10</f>
      </c>
      <c r="G546" s="469"/>
      <c r="H546" s="469"/>
      <c r="I546" s="469"/>
      <c r="J546" s="469"/>
      <c r="K546" s="1025"/>
      <c r="L546" s="469"/>
      <c r="M546" s="469"/>
      <c r="N546" s="469"/>
      <c r="O546" s="469"/>
      <c r="P546" s="1025"/>
      <c r="Q546" s="469"/>
      <c r="R546" s="469"/>
      <c r="S546" s="469"/>
      <c r="T546" s="469"/>
      <c r="U546" s="1025"/>
      <c r="V546" s="469"/>
      <c r="W546" s="469"/>
      <c r="X546" s="469"/>
      <c r="Y546" s="469"/>
      <c r="Z546" s="1025"/>
      <c r="AA546" s="877">
        <v>0.32500000000000001</v>
      </c>
      <c r="AB546" s="877">
        <v>0.32500000000000001</v>
      </c>
      <c r="AC546" s="877">
        <v>0.32500000000000001</v>
      </c>
      <c r="AD546" s="469">
        <f>AE546</f>
      </c>
      <c r="AE546" s="1024">
        <v>0.32500000000000001</v>
      </c>
      <c r="AF546" s="469"/>
      <c r="AG546" s="877">
        <v>0.47199999999999998</v>
      </c>
      <c r="AH546" s="877">
        <v>0.46400000000000002</v>
      </c>
      <c r="AI546" s="469">
        <f>AJ546</f>
      </c>
      <c r="AJ546" s="1024">
        <v>0.46</v>
      </c>
      <c r="AK546" s="877">
        <v>0.42699999999999999</v>
      </c>
      <c r="AL546" s="877">
        <v>0.42699999999999999</v>
      </c>
      <c r="AM546" s="877">
        <v>0.61699999999999999</v>
      </c>
      <c r="AN546" s="469">
        <f>AO546</f>
      </c>
      <c r="AO546" s="1024">
        <v>0.67400000000000004</v>
      </c>
      <c r="AP546" s="877">
        <v>0.996</v>
      </c>
      <c r="AQ546" s="877">
        <v>0.996</v>
      </c>
      <c r="AR546" s="877">
        <v>1.3380000000000001</v>
      </c>
      <c r="AS546" s="469">
        <f>AT546</f>
      </c>
      <c r="AT546" s="1024">
        <v>2.754</v>
      </c>
      <c r="AU546" s="877">
        <v>3.03</v>
      </c>
      <c r="AV546" s="877">
        <v>3.0819999999999999</v>
      </c>
      <c r="AW546" s="877">
        <v>3.2570000000000001</v>
      </c>
      <c r="AX546" s="469">
        <f>AY546</f>
      </c>
      <c r="AY546" s="1024">
        <v>3.4630000000000001</v>
      </c>
      <c r="AZ546" s="877">
        <v>1.611</v>
      </c>
      <c r="BA546" s="877">
        <v>2.7240000000000002</v>
      </c>
      <c r="BB546" s="877">
        <v>1.135</v>
      </c>
      <c r="BC546" s="469">
        <f>BD546</f>
      </c>
      <c r="BD546" s="1024">
        <v>1.1100000000000001</v>
      </c>
      <c r="BE546" s="877">
        <v>1.3140000000000001</v>
      </c>
      <c r="BF546" s="877">
        <v>1.3140000000000001</v>
      </c>
      <c r="BG546" s="877">
        <v>3.2040000000000002</v>
      </c>
      <c r="BH546" s="469">
        <f>BI546</f>
      </c>
      <c r="BI546" s="1024">
        <v>3.6389999999999998</v>
      </c>
      <c r="BJ546" s="877">
        <v>5.7460000000000004</v>
      </c>
      <c r="BK546" s="877">
        <v>5.3410000000000002</v>
      </c>
      <c r="BL546" s="877">
        <v>5.6719999999999997</v>
      </c>
      <c r="BM546" s="469">
        <f>BN546</f>
      </c>
      <c r="BN546" s="1024">
        <v>5.6050000000000004</v>
      </c>
      <c r="BO546" s="877">
        <v>6.21</v>
      </c>
      <c r="BP546" s="877">
        <v>6.8250000000000002</v>
      </c>
      <c r="BQ546" s="877">
        <v>8.0429999999999993</v>
      </c>
      <c r="BR546" s="469">
        <f>BS546</f>
      </c>
      <c r="BS546" s="1024">
        <v>9.11</v>
      </c>
      <c r="BT546" s="878">
        <v>9.82</v>
      </c>
      <c r="BU546" s="469"/>
      <c r="BV546" s="469"/>
      <c r="BW546" s="469"/>
      <c r="BX546" s="1025"/>
      <c r="BY546" s="469"/>
      <c r="BZ546" s="469"/>
      <c r="CA546" s="469"/>
      <c r="CB546" s="469"/>
      <c r="CC546" s="1025"/>
      <c r="CD546" s="1025"/>
      <c r="CE546" s="1025"/>
      <c r="CF546" s="1025"/>
      <c r="CG546" s="315"/>
    </row>
    <row r="547" spans="1:85" s="584" customFormat="1" ht="15" hidden="1" customHeight="1" outlineLevel="2" x14ac:dyDescent="0.3">
      <c r="A547" s="481" t="s">
        <v>944</v>
      </c>
      <c r="B547" s="470"/>
      <c r="C547" s="1026">
        <f>(22.74*(1/7))/10</f>
      </c>
      <c r="D547" s="1026">
        <f>(36.11*(1/7))/10</f>
      </c>
      <c r="E547" s="1026">
        <f>(66.59*(1/7))/10</f>
      </c>
      <c r="F547" s="1026">
        <f>(71.33*(1/7))/10</f>
      </c>
      <c r="G547" s="879">
        <f>(75.09*(1/7))/10</f>
      </c>
      <c r="H547" s="879">
        <f>(81.57*(1/7))/10</f>
      </c>
      <c r="I547" s="879">
        <f>(88.12*(1/7))/10</f>
      </c>
      <c r="J547" s="471">
        <f>(K547)/10</f>
      </c>
      <c r="K547" s="1026">
        <f>(95.25*(1/7))/10</f>
      </c>
      <c r="L547" s="879">
        <f>(106.01*(1/7))/10</f>
      </c>
      <c r="M547" s="879">
        <f>(118.4*(1/7))/10</f>
      </c>
      <c r="N547" s="879">
        <f>(134.02*(1/7))/10</f>
      </c>
      <c r="O547" s="471">
        <f>(P547)/10</f>
      </c>
      <c r="P547" s="1026">
        <f>(151.53*(1/7))/10</f>
      </c>
      <c r="Q547" s="879">
        <f>(170.29*(1/7))/10</f>
      </c>
      <c r="R547" s="879">
        <v>2.7090000000000001</v>
      </c>
      <c r="S547" s="879">
        <v>2.9580000000000002</v>
      </c>
      <c r="T547" s="471">
        <f>U547</f>
      </c>
      <c r="U547" s="1026">
        <v>3.2389999999999999</v>
      </c>
      <c r="V547" s="879">
        <v>3.5369999999999999</v>
      </c>
      <c r="W547" s="879">
        <v>3.855</v>
      </c>
      <c r="X547" s="879">
        <v>4.1589999999999998</v>
      </c>
      <c r="Y547" s="471">
        <f>Z547</f>
      </c>
      <c r="Z547" s="1026">
        <v>4.4829999999999997</v>
      </c>
      <c r="AA547" s="879">
        <v>4.8579999999999997</v>
      </c>
      <c r="AB547" s="879">
        <v>5.2750000000000004</v>
      </c>
      <c r="AC547" s="879">
        <v>5.6740000000000004</v>
      </c>
      <c r="AD547" s="471">
        <f>AE547</f>
      </c>
      <c r="AE547" s="1026">
        <v>6.1130000000000004</v>
      </c>
      <c r="AF547" s="879">
        <v>6.7240000000000002</v>
      </c>
      <c r="AG547" s="879">
        <v>7.4580000000000002</v>
      </c>
      <c r="AH547" s="879">
        <v>8.18</v>
      </c>
      <c r="AI547" s="471">
        <f>AJ547</f>
      </c>
      <c r="AJ547" s="1026">
        <v>8.9610000000000003</v>
      </c>
      <c r="AK547" s="879">
        <v>9.8040000000000003</v>
      </c>
      <c r="AL547" s="879">
        <v>10.746</v>
      </c>
      <c r="AM547" s="879">
        <v>11.587999999999999</v>
      </c>
      <c r="AN547" s="471">
        <f>AO547</f>
      </c>
      <c r="AO547" s="1026">
        <v>12.428000000000001</v>
      </c>
      <c r="AP547" s="879">
        <v>13.456</v>
      </c>
      <c r="AQ547" s="879">
        <v>14.542</v>
      </c>
      <c r="AR547" s="879">
        <v>15.532</v>
      </c>
      <c r="AS547" s="471">
        <f>AT547</f>
      </c>
      <c r="AT547" s="1026">
        <v>17.023</v>
      </c>
      <c r="AU547" s="879">
        <v>18.021999999999998</v>
      </c>
      <c r="AV547" s="879">
        <v>18.875</v>
      </c>
      <c r="AW547" s="879">
        <v>19.974</v>
      </c>
      <c r="AX547" s="471">
        <f>AY547</f>
      </c>
      <c r="AY547" s="1026">
        <v>21.983000000000001</v>
      </c>
      <c r="AZ547" s="879">
        <v>23.009</v>
      </c>
      <c r="BA547" s="879">
        <v>23.506</v>
      </c>
      <c r="BB547" s="879">
        <v>23.704999999999998</v>
      </c>
      <c r="BC547" s="471">
        <f>BD547</f>
      </c>
      <c r="BD547" s="1026">
        <v>24.222000000000001</v>
      </c>
      <c r="BE547" s="879">
        <v>24.814</v>
      </c>
      <c r="BF547" s="879">
        <v>25.446000000000002</v>
      </c>
      <c r="BG547" s="879">
        <v>26.12</v>
      </c>
      <c r="BH547" s="471">
        <f>BI547</f>
      </c>
      <c r="BI547" s="1026">
        <v>26.885999999999999</v>
      </c>
      <c r="BJ547" s="879">
        <v>28.312999999999999</v>
      </c>
      <c r="BK547" s="879">
        <v>29.125</v>
      </c>
      <c r="BL547" s="879">
        <v>30.02</v>
      </c>
      <c r="BM547" s="471">
        <f>BN547</f>
      </c>
      <c r="BN547" s="1026">
        <v>31.248000000000001</v>
      </c>
      <c r="BO547" s="879">
        <v>32.816000000000003</v>
      </c>
      <c r="BP547" s="879">
        <v>33.984000000000002</v>
      </c>
      <c r="BQ547" s="879">
        <v>34.972999999999999</v>
      </c>
      <c r="BR547" s="471">
        <f>BS547</f>
      </c>
      <c r="BS547" s="1026">
        <v>36.07</v>
      </c>
      <c r="BT547" s="880">
        <v>37.56</v>
      </c>
      <c r="BU547" s="471"/>
      <c r="BV547" s="471"/>
      <c r="BW547" s="471"/>
      <c r="BX547" s="1027"/>
      <c r="BY547" s="471"/>
      <c r="BZ547" s="471"/>
      <c r="CA547" s="471"/>
      <c r="CB547" s="471"/>
      <c r="CC547" s="1027"/>
      <c r="CD547" s="1027"/>
      <c r="CE547" s="1027"/>
      <c r="CF547" s="1027"/>
      <c r="CG547" s="315"/>
    </row>
    <row r="548" spans="1:85" s="596" customFormat="1" ht="15" hidden="1" customHeight="1" outlineLevel="2" x14ac:dyDescent="0.3">
      <c r="A548" s="442"/>
      <c r="B548" s="398"/>
      <c r="C548" s="962"/>
      <c r="D548" s="962"/>
      <c r="E548" s="962"/>
      <c r="F548" s="962"/>
      <c r="G548" s="757"/>
      <c r="H548" s="757"/>
      <c r="I548" s="757"/>
      <c r="J548" s="757"/>
      <c r="K548" s="962"/>
      <c r="L548" s="757"/>
      <c r="M548" s="757"/>
      <c r="N548" s="757"/>
      <c r="O548" s="757"/>
      <c r="P548" s="962"/>
      <c r="Q548" s="757"/>
      <c r="R548" s="757"/>
      <c r="S548" s="757"/>
      <c r="T548" s="757"/>
      <c r="U548" s="962"/>
      <c r="V548" s="757"/>
      <c r="W548" s="757"/>
      <c r="X548" s="757"/>
      <c r="Y548" s="757"/>
      <c r="Z548" s="962"/>
      <c r="AA548" s="757"/>
      <c r="AB548" s="757"/>
      <c r="AC548" s="757"/>
      <c r="AD548" s="757"/>
      <c r="AE548" s="962"/>
      <c r="AF548" s="757"/>
      <c r="AG548" s="757"/>
      <c r="AH548" s="757"/>
      <c r="AI548" s="757"/>
      <c r="AJ548" s="962"/>
      <c r="AK548" s="757"/>
      <c r="AL548" s="757"/>
      <c r="AM548" s="757"/>
      <c r="AN548" s="757"/>
      <c r="AO548" s="962"/>
      <c r="AP548" s="757"/>
      <c r="AQ548" s="757"/>
      <c r="AR548" s="757"/>
      <c r="AS548" s="757"/>
      <c r="AT548" s="962"/>
      <c r="AU548" s="757"/>
      <c r="AV548" s="757"/>
      <c r="AW548" s="757"/>
      <c r="AX548" s="757"/>
      <c r="AY548" s="962"/>
      <c r="AZ548" s="757"/>
      <c r="BA548" s="757"/>
      <c r="BB548" s="757"/>
      <c r="BC548" s="757"/>
      <c r="BD548" s="962"/>
      <c r="BE548" s="757"/>
      <c r="BF548" s="757"/>
      <c r="BG548" s="757"/>
      <c r="BH548" s="757"/>
      <c r="BI548" s="962"/>
      <c r="BJ548" s="757"/>
      <c r="BK548" s="757"/>
      <c r="BL548" s="757"/>
      <c r="BM548" s="757"/>
      <c r="BN548" s="962"/>
      <c r="BO548" s="757"/>
      <c r="BP548" s="757"/>
      <c r="BQ548" s="757"/>
      <c r="BR548" s="757"/>
      <c r="BS548" s="962"/>
      <c r="BT548" s="758"/>
      <c r="BU548" s="757"/>
      <c r="BV548" s="757"/>
      <c r="BW548" s="757"/>
      <c r="BX548" s="962"/>
      <c r="BY548" s="757"/>
      <c r="BZ548" s="757"/>
      <c r="CA548" s="757"/>
      <c r="CB548" s="757"/>
      <c r="CC548" s="962"/>
      <c r="CD548" s="962"/>
      <c r="CE548" s="962"/>
      <c r="CF548" s="962"/>
      <c r="CG548" s="397"/>
    </row>
    <row r="549" spans="1:85" s="584" customFormat="1" ht="15" hidden="1" customHeight="1" outlineLevel="2" x14ac:dyDescent="0.3">
      <c r="A549" s="335" t="s">
        <v>945</v>
      </c>
      <c r="B549" s="468"/>
      <c r="C549" s="1025">
        <f t="shared" ref="C549:G551" si="1033">C543</f>
      </c>
      <c r="D549" s="1025">
        <f t="shared" si="1033"/>
      </c>
      <c r="E549" s="1025">
        <f t="shared" si="1033"/>
      </c>
      <c r="F549" s="1025">
        <f t="shared" si="1033"/>
      </c>
      <c r="G549" s="469">
        <f t="shared" si="1033"/>
      </c>
      <c r="H549" s="469">
        <f>G553</f>
      </c>
      <c r="I549" s="469">
        <f>H553</f>
      </c>
      <c r="J549" s="469">
        <f>I553</f>
      </c>
      <c r="K549" s="1025">
        <f t="shared" ref="K549:L551" si="1034">K543</f>
      </c>
      <c r="L549" s="469">
        <f t="shared" si="1034"/>
      </c>
      <c r="M549" s="469">
        <f>L553</f>
      </c>
      <c r="N549" s="469">
        <f>M553</f>
      </c>
      <c r="O549" s="469">
        <f>N553</f>
      </c>
      <c r="P549" s="1025">
        <f t="shared" ref="P549:Q551" si="1035">P543</f>
      </c>
      <c r="Q549" s="469">
        <f t="shared" si="1035"/>
      </c>
      <c r="R549" s="469">
        <f>Q553</f>
      </c>
      <c r="S549" s="469">
        <f>R553</f>
      </c>
      <c r="T549" s="469">
        <f>S553</f>
      </c>
      <c r="U549" s="1025">
        <f t="shared" ref="U549:V551" si="1036">U543</f>
      </c>
      <c r="V549" s="469">
        <f t="shared" si="1036"/>
      </c>
      <c r="W549" s="469">
        <f>V553</f>
      </c>
      <c r="X549" s="469">
        <f>W553</f>
      </c>
      <c r="Y549" s="469">
        <f>X553</f>
      </c>
      <c r="Z549" s="1025">
        <f t="shared" ref="Z549:AA551" si="1037">Z543</f>
      </c>
      <c r="AA549" s="469">
        <f t="shared" si="1037"/>
      </c>
      <c r="AB549" s="469">
        <f>AA553</f>
      </c>
      <c r="AC549" s="469">
        <f>AB553</f>
      </c>
      <c r="AD549" s="469">
        <f>AC553</f>
      </c>
      <c r="AE549" s="1025">
        <f t="shared" ref="AE549:AF551" si="1038">AE543</f>
      </c>
      <c r="AF549" s="469">
        <f t="shared" si="1038"/>
      </c>
      <c r="AG549" s="469">
        <f>AF553</f>
      </c>
      <c r="AH549" s="469">
        <f>AG553</f>
      </c>
      <c r="AI549" s="469">
        <f>AH553</f>
      </c>
      <c r="AJ549" s="1025">
        <f t="shared" ref="AJ549:AK553" si="1039">AJ543</f>
      </c>
      <c r="AK549" s="469">
        <f t="shared" si="1039"/>
      </c>
      <c r="AL549" s="469">
        <f>AK553</f>
      </c>
      <c r="AM549" s="469">
        <f>AL553</f>
      </c>
      <c r="AN549" s="469">
        <f>AM553</f>
      </c>
      <c r="AO549" s="1025">
        <f t="shared" ref="AO549:AP553" si="1040">AO543</f>
      </c>
      <c r="AP549" s="469">
        <f t="shared" si="1040"/>
      </c>
      <c r="AQ549" s="469">
        <f>AP553</f>
      </c>
      <c r="AR549" s="469">
        <f>AQ553</f>
      </c>
      <c r="AS549" s="469">
        <f>AR553</f>
      </c>
      <c r="AT549" s="1025">
        <f t="shared" ref="AT549:AU553" si="1041">AT543</f>
      </c>
      <c r="AU549" s="469">
        <f t="shared" si="1041"/>
      </c>
      <c r="AV549" s="469">
        <f>AU553</f>
      </c>
      <c r="AW549" s="469">
        <f>AV553</f>
      </c>
      <c r="AX549" s="469">
        <f>AW553</f>
      </c>
      <c r="AY549" s="1025">
        <f t="shared" ref="AY549:AZ553" si="1042">AY543</f>
      </c>
      <c r="AZ549" s="469">
        <f t="shared" si="1042"/>
      </c>
      <c r="BA549" s="469">
        <f>AZ553</f>
      </c>
      <c r="BB549" s="469">
        <f>BA553</f>
      </c>
      <c r="BC549" s="469">
        <f>BB553</f>
      </c>
      <c r="BD549" s="1025">
        <f t="shared" ref="BD549:BE553" si="1043">BD543</f>
      </c>
      <c r="BE549" s="469">
        <f t="shared" si="1043"/>
      </c>
      <c r="BF549" s="469">
        <f>BE553</f>
      </c>
      <c r="BG549" s="469">
        <f>BF553</f>
      </c>
      <c r="BH549" s="469">
        <f>BG553</f>
      </c>
      <c r="BI549" s="1025">
        <f t="shared" ref="BI549:BJ553" si="1044">BI543</f>
      </c>
      <c r="BJ549" s="469">
        <f t="shared" si="1044"/>
      </c>
      <c r="BK549" s="469">
        <f>BJ553</f>
      </c>
      <c r="BL549" s="469">
        <f>BK553</f>
      </c>
      <c r="BM549" s="469">
        <f>BL553</f>
      </c>
      <c r="BN549" s="1025">
        <f t="shared" ref="BN549:BO553" si="1045">BN543</f>
      </c>
      <c r="BO549" s="469">
        <f t="shared" si="1045"/>
      </c>
      <c r="BP549" s="469">
        <f>BO553</f>
      </c>
      <c r="BQ549" s="469">
        <f>BP553</f>
      </c>
      <c r="BR549" s="469">
        <f>BQ553</f>
      </c>
      <c r="BS549" s="1025">
        <f>BS543</f>
      </c>
      <c r="BT549" s="750">
        <f t="shared" ref="BT549" si="1046">BT543</f>
      </c>
      <c r="BU549" s="469"/>
      <c r="BV549" s="469"/>
      <c r="BW549" s="469"/>
      <c r="BX549" s="1025"/>
      <c r="BY549" s="469"/>
      <c r="BZ549" s="469"/>
      <c r="CA549" s="469"/>
      <c r="CB549" s="469"/>
      <c r="CC549" s="1025"/>
      <c r="CD549" s="1025"/>
      <c r="CE549" s="1025"/>
      <c r="CF549" s="1025"/>
      <c r="CG549" s="315"/>
    </row>
    <row r="550" spans="1:85" s="584" customFormat="1" ht="15" hidden="1" customHeight="1" outlineLevel="2" x14ac:dyDescent="0.3">
      <c r="A550" s="331" t="s">
        <v>946</v>
      </c>
      <c r="B550" s="468"/>
      <c r="C550" s="1025">
        <f t="shared" si="1033"/>
      </c>
      <c r="D550" s="1025">
        <f t="shared" si="1033"/>
      </c>
      <c r="E550" s="1025">
        <f t="shared" si="1033"/>
      </c>
      <c r="F550" s="1025">
        <f t="shared" si="1033"/>
      </c>
      <c r="G550" s="469">
        <f t="shared" si="1033"/>
      </c>
      <c r="H550" s="469">
        <f t="shared" ref="H550:J551" si="1047">IFERROR((H532*H544-G532*G544)/H538,0)</f>
      </c>
      <c r="I550" s="469">
        <f t="shared" si="1047"/>
      </c>
      <c r="J550" s="469">
        <f t="shared" si="1047"/>
      </c>
      <c r="K550" s="1025">
        <f t="shared" si="1034"/>
      </c>
      <c r="L550" s="469">
        <f t="shared" si="1034"/>
      </c>
      <c r="M550" s="469">
        <f t="shared" ref="M550:O551" si="1048">IFERROR((M532*M544-L532*L544)/M538,0)</f>
      </c>
      <c r="N550" s="469">
        <f t="shared" si="1048"/>
      </c>
      <c r="O550" s="469">
        <f t="shared" si="1048"/>
      </c>
      <c r="P550" s="1025">
        <f t="shared" si="1035"/>
      </c>
      <c r="Q550" s="469">
        <f t="shared" si="1035"/>
      </c>
      <c r="R550" s="469">
        <f t="shared" ref="R550:T551" si="1049">IFERROR((R532*R544-Q532*Q544)/R538,0)</f>
      </c>
      <c r="S550" s="469">
        <f t="shared" si="1049"/>
      </c>
      <c r="T550" s="469">
        <f t="shared" si="1049"/>
      </c>
      <c r="U550" s="1025">
        <f t="shared" si="1036"/>
      </c>
      <c r="V550" s="469">
        <f t="shared" si="1036"/>
      </c>
      <c r="W550" s="469">
        <f t="shared" ref="W550:Y551" si="1050">IFERROR((W532*W544-V532*V544)/W538,0)</f>
      </c>
      <c r="X550" s="469">
        <f t="shared" si="1050"/>
      </c>
      <c r="Y550" s="469">
        <f t="shared" si="1050"/>
      </c>
      <c r="Z550" s="1025">
        <f t="shared" si="1037"/>
      </c>
      <c r="AA550" s="469">
        <f t="shared" si="1037"/>
      </c>
      <c r="AB550" s="469">
        <f t="shared" ref="AB550:AD551" si="1051">IFERROR((AB532*AB544-AA532*AA544)/AB538,0)</f>
      </c>
      <c r="AC550" s="469">
        <f t="shared" si="1051"/>
      </c>
      <c r="AD550" s="469">
        <f t="shared" si="1051"/>
      </c>
      <c r="AE550" s="1025">
        <f t="shared" si="1038"/>
      </c>
      <c r="AF550" s="469">
        <f t="shared" si="1038"/>
      </c>
      <c r="AG550" s="469">
        <f t="shared" ref="AG550:AI552" si="1052">IFERROR((AG532*AG544-AF532*AF544)/AG538,0)</f>
      </c>
      <c r="AH550" s="469">
        <f t="shared" si="1052"/>
      </c>
      <c r="AI550" s="469">
        <f t="shared" si="1052"/>
      </c>
      <c r="AJ550" s="1025">
        <f t="shared" si="1039"/>
      </c>
      <c r="AK550" s="469">
        <f t="shared" si="1039"/>
      </c>
      <c r="AL550" s="469">
        <f t="shared" ref="AL550:AN551" si="1053">IFERROR((AL532*AL544-AK532*AK544)/AL538,0)</f>
      </c>
      <c r="AM550" s="469">
        <f t="shared" si="1053"/>
      </c>
      <c r="AN550" s="469">
        <f t="shared" si="1053"/>
      </c>
      <c r="AO550" s="1025">
        <f t="shared" si="1040"/>
      </c>
      <c r="AP550" s="469">
        <f t="shared" si="1040"/>
      </c>
      <c r="AQ550" s="469">
        <f t="shared" ref="AQ550:AS551" si="1054">IFERROR((AQ532*AQ544-AP532*AP544)/AQ538,0)</f>
      </c>
      <c r="AR550" s="469">
        <f t="shared" si="1054"/>
      </c>
      <c r="AS550" s="469">
        <f t="shared" si="1054"/>
      </c>
      <c r="AT550" s="1025">
        <f t="shared" si="1041"/>
      </c>
      <c r="AU550" s="469">
        <f t="shared" si="1041"/>
      </c>
      <c r="AV550" s="469">
        <f t="shared" ref="AV550:AX552" si="1055">IFERROR((AV532*AV544-AU532*AU544)/AV538,0)</f>
      </c>
      <c r="AW550" s="469">
        <f t="shared" si="1055"/>
      </c>
      <c r="AX550" s="469">
        <f t="shared" si="1055"/>
      </c>
      <c r="AY550" s="1025">
        <f t="shared" si="1042"/>
      </c>
      <c r="AZ550" s="469">
        <f t="shared" si="1042"/>
      </c>
      <c r="BA550" s="469">
        <f t="shared" ref="BA550:BC552" si="1056">IFERROR((BA532*BA544-AZ532*AZ544)/BA538,0)</f>
      </c>
      <c r="BB550" s="469">
        <f t="shared" si="1056"/>
      </c>
      <c r="BC550" s="469">
        <f t="shared" si="1056"/>
      </c>
      <c r="BD550" s="1025">
        <f t="shared" si="1043"/>
      </c>
      <c r="BE550" s="469">
        <f t="shared" si="1043"/>
      </c>
      <c r="BF550" s="469">
        <f t="shared" ref="BF550:BH552" si="1057">IFERROR((BF532*BF544-BE532*BE544)/BF538,0)</f>
      </c>
      <c r="BG550" s="469">
        <f t="shared" si="1057"/>
      </c>
      <c r="BH550" s="469">
        <f t="shared" si="1057"/>
      </c>
      <c r="BI550" s="1025">
        <f t="shared" si="1044"/>
      </c>
      <c r="BJ550" s="469">
        <f t="shared" si="1044"/>
      </c>
      <c r="BK550" s="469">
        <f t="shared" ref="BK550:BM552" si="1058">IFERROR((BK532*BK544-BJ532*BJ544)/BK538,0)</f>
      </c>
      <c r="BL550" s="469">
        <f t="shared" si="1058"/>
      </c>
      <c r="BM550" s="469">
        <f t="shared" si="1058"/>
      </c>
      <c r="BN550" s="1025">
        <f t="shared" si="1045"/>
      </c>
      <c r="BO550" s="469">
        <f t="shared" si="1045"/>
      </c>
      <c r="BP550" s="469">
        <f t="shared" ref="BP550:BR552" si="1059">IFERROR((BP532*BP544-BO532*BO544)/BP538,0)</f>
      </c>
      <c r="BQ550" s="469">
        <f t="shared" si="1059"/>
      </c>
      <c r="BR550" s="469">
        <f t="shared" si="1059"/>
      </c>
      <c r="BS550" s="1025">
        <f>BS544</f>
      </c>
      <c r="BT550" s="750">
        <f t="shared" ref="BT550" si="1060">BT544</f>
      </c>
      <c r="BU550" s="469"/>
      <c r="BV550" s="469"/>
      <c r="BW550" s="469"/>
      <c r="BX550" s="1025"/>
      <c r="BY550" s="469"/>
      <c r="BZ550" s="469"/>
      <c r="CA550" s="469"/>
      <c r="CB550" s="469"/>
      <c r="CC550" s="1025"/>
      <c r="CD550" s="1025"/>
      <c r="CE550" s="1025"/>
      <c r="CF550" s="1025"/>
      <c r="CG550" s="315"/>
    </row>
    <row r="551" spans="1:85" s="584" customFormat="1" ht="15" hidden="1" customHeight="1" outlineLevel="2" x14ac:dyDescent="0.3">
      <c r="A551" s="331" t="s">
        <v>947</v>
      </c>
      <c r="B551" s="468"/>
      <c r="C551" s="1025">
        <f t="shared" si="1033"/>
      </c>
      <c r="D551" s="1025">
        <f t="shared" si="1033"/>
      </c>
      <c r="E551" s="1025">
        <f t="shared" si="1033"/>
      </c>
      <c r="F551" s="1025">
        <f t="shared" si="1033"/>
      </c>
      <c r="G551" s="469">
        <f t="shared" si="1033"/>
      </c>
      <c r="H551" s="469">
        <f t="shared" si="1047"/>
      </c>
      <c r="I551" s="469">
        <f t="shared" si="1047"/>
      </c>
      <c r="J551" s="469">
        <f t="shared" si="1047"/>
      </c>
      <c r="K551" s="1025">
        <f t="shared" si="1034"/>
      </c>
      <c r="L551" s="469">
        <f t="shared" si="1034"/>
      </c>
      <c r="M551" s="469">
        <f t="shared" si="1048"/>
      </c>
      <c r="N551" s="469">
        <f t="shared" si="1048"/>
      </c>
      <c r="O551" s="469">
        <f t="shared" si="1048"/>
      </c>
      <c r="P551" s="1025">
        <f t="shared" si="1035"/>
      </c>
      <c r="Q551" s="469">
        <f t="shared" si="1035"/>
      </c>
      <c r="R551" s="469">
        <f t="shared" si="1049"/>
      </c>
      <c r="S551" s="469">
        <f t="shared" si="1049"/>
      </c>
      <c r="T551" s="469">
        <f t="shared" si="1049"/>
      </c>
      <c r="U551" s="1025">
        <f t="shared" si="1036"/>
      </c>
      <c r="V551" s="469">
        <f t="shared" si="1036"/>
      </c>
      <c r="W551" s="469">
        <f t="shared" si="1050"/>
      </c>
      <c r="X551" s="469">
        <f t="shared" si="1050"/>
      </c>
      <c r="Y551" s="469">
        <f t="shared" si="1050"/>
      </c>
      <c r="Z551" s="1025">
        <f t="shared" si="1037"/>
      </c>
      <c r="AA551" s="469">
        <f t="shared" si="1037"/>
      </c>
      <c r="AB551" s="469">
        <f t="shared" si="1051"/>
      </c>
      <c r="AC551" s="469">
        <f t="shared" si="1051"/>
      </c>
      <c r="AD551" s="469">
        <f t="shared" si="1051"/>
      </c>
      <c r="AE551" s="1025">
        <f t="shared" si="1038"/>
      </c>
      <c r="AF551" s="469">
        <f t="shared" si="1038"/>
      </c>
      <c r="AG551" s="469">
        <f t="shared" si="1052"/>
      </c>
      <c r="AH551" s="469">
        <f t="shared" si="1052"/>
      </c>
      <c r="AI551" s="469">
        <f t="shared" si="1052"/>
      </c>
      <c r="AJ551" s="1025">
        <f t="shared" si="1039"/>
      </c>
      <c r="AK551" s="469">
        <f t="shared" si="1039"/>
      </c>
      <c r="AL551" s="469">
        <f t="shared" si="1053"/>
      </c>
      <c r="AM551" s="469">
        <f t="shared" si="1053"/>
      </c>
      <c r="AN551" s="469">
        <f t="shared" si="1053"/>
      </c>
      <c r="AO551" s="1025">
        <f t="shared" si="1040"/>
      </c>
      <c r="AP551" s="469">
        <f t="shared" si="1040"/>
      </c>
      <c r="AQ551" s="469">
        <f t="shared" si="1054"/>
      </c>
      <c r="AR551" s="469">
        <f t="shared" si="1054"/>
      </c>
      <c r="AS551" s="469">
        <f t="shared" si="1054"/>
      </c>
      <c r="AT551" s="1025">
        <f t="shared" si="1041"/>
      </c>
      <c r="AU551" s="469">
        <f t="shared" si="1041"/>
      </c>
      <c r="AV551" s="469">
        <f t="shared" si="1055"/>
      </c>
      <c r="AW551" s="469">
        <f t="shared" si="1055"/>
      </c>
      <c r="AX551" s="469">
        <f t="shared" si="1055"/>
      </c>
      <c r="AY551" s="1025">
        <f t="shared" si="1042"/>
      </c>
      <c r="AZ551" s="469">
        <f t="shared" si="1042"/>
      </c>
      <c r="BA551" s="469">
        <f t="shared" si="1056"/>
      </c>
      <c r="BB551" s="469">
        <f t="shared" si="1056"/>
      </c>
      <c r="BC551" s="469">
        <f t="shared" si="1056"/>
      </c>
      <c r="BD551" s="1025">
        <f t="shared" si="1043"/>
      </c>
      <c r="BE551" s="469">
        <f t="shared" si="1043"/>
      </c>
      <c r="BF551" s="469">
        <f t="shared" si="1057"/>
      </c>
      <c r="BG551" s="469">
        <f t="shared" si="1057"/>
      </c>
      <c r="BH551" s="469">
        <f t="shared" si="1057"/>
      </c>
      <c r="BI551" s="1025">
        <f t="shared" si="1044"/>
      </c>
      <c r="BJ551" s="469">
        <f t="shared" si="1044"/>
      </c>
      <c r="BK551" s="469">
        <f t="shared" si="1058"/>
      </c>
      <c r="BL551" s="469">
        <f t="shared" si="1058"/>
      </c>
      <c r="BM551" s="469">
        <f t="shared" si="1058"/>
      </c>
      <c r="BN551" s="1025">
        <f t="shared" si="1045"/>
      </c>
      <c r="BO551" s="469">
        <f t="shared" si="1045"/>
      </c>
      <c r="BP551" s="469">
        <f t="shared" si="1059"/>
      </c>
      <c r="BQ551" s="469">
        <f t="shared" si="1059"/>
      </c>
      <c r="BR551" s="469">
        <f t="shared" si="1059"/>
      </c>
      <c r="BS551" s="1025">
        <f>BS545</f>
      </c>
      <c r="BT551" s="750">
        <f t="shared" ref="BT551" si="1061">BT545</f>
      </c>
      <c r="BU551" s="469"/>
      <c r="BV551" s="469"/>
      <c r="BW551" s="469"/>
      <c r="BX551" s="1025"/>
      <c r="BY551" s="469"/>
      <c r="BZ551" s="469"/>
      <c r="CA551" s="469"/>
      <c r="CB551" s="469"/>
      <c r="CC551" s="1025"/>
      <c r="CD551" s="1025"/>
      <c r="CE551" s="1025"/>
      <c r="CF551" s="1025"/>
      <c r="CG551" s="315"/>
    </row>
    <row r="552" spans="1:85" s="584" customFormat="1" ht="15" hidden="1" customHeight="1" outlineLevel="2" x14ac:dyDescent="0.3">
      <c r="A552" s="332" t="s">
        <v>948</v>
      </c>
      <c r="B552" s="487"/>
      <c r="C552" s="1028">
        <f>C546</f>
      </c>
      <c r="D552" s="1028"/>
      <c r="E552" s="1028"/>
      <c r="F552" s="1028">
        <f>F546</f>
      </c>
      <c r="G552" s="488"/>
      <c r="H552" s="488"/>
      <c r="I552" s="488"/>
      <c r="J552" s="488"/>
      <c r="K552" s="1028"/>
      <c r="L552" s="488"/>
      <c r="M552" s="488"/>
      <c r="N552" s="488"/>
      <c r="O552" s="488"/>
      <c r="P552" s="1028"/>
      <c r="Q552" s="488"/>
      <c r="R552" s="488"/>
      <c r="S552" s="488"/>
      <c r="T552" s="488"/>
      <c r="U552" s="1028"/>
      <c r="V552" s="488"/>
      <c r="W552" s="488"/>
      <c r="X552" s="488"/>
      <c r="Y552" s="488"/>
      <c r="Z552" s="1028"/>
      <c r="AA552" s="488">
        <f>AA546</f>
      </c>
      <c r="AB552" s="488"/>
      <c r="AC552" s="488"/>
      <c r="AD552" s="488"/>
      <c r="AE552" s="1028">
        <f>AE546</f>
      </c>
      <c r="AF552" s="488"/>
      <c r="AG552" s="488">
        <f t="shared" si="1052"/>
      </c>
      <c r="AH552" s="488">
        <f t="shared" si="1052"/>
      </c>
      <c r="AI552" s="488">
        <f t="shared" si="1052"/>
      </c>
      <c r="AJ552" s="1028">
        <f t="shared" si="1039"/>
      </c>
      <c r="AK552" s="488">
        <f t="shared" si="1039"/>
      </c>
      <c r="AL552" s="488"/>
      <c r="AM552" s="488">
        <f>IFERROR((AM534*AM546-AL534*AL546)/AM540,0)</f>
      </c>
      <c r="AN552" s="488">
        <f>IFERROR((AN534*AN546-AM534*AM546)/AN540,0)</f>
      </c>
      <c r="AO552" s="1028">
        <f t="shared" si="1040"/>
      </c>
      <c r="AP552" s="488">
        <f t="shared" si="1040"/>
      </c>
      <c r="AQ552" s="488"/>
      <c r="AR552" s="488">
        <f>IFERROR((AR534*AR546-AQ534*AQ546)/AR540,0)</f>
      </c>
      <c r="AS552" s="488">
        <f>IFERROR((AS534*AS546-AR534*AR546)/AS540,0)</f>
      </c>
      <c r="AT552" s="1028">
        <f t="shared" si="1041"/>
      </c>
      <c r="AU552" s="488">
        <f t="shared" si="1041"/>
      </c>
      <c r="AV552" s="488">
        <f t="shared" si="1055"/>
      </c>
      <c r="AW552" s="488">
        <f t="shared" si="1055"/>
      </c>
      <c r="AX552" s="488">
        <f t="shared" si="1055"/>
      </c>
      <c r="AY552" s="1028">
        <f t="shared" si="1042"/>
      </c>
      <c r="AZ552" s="488">
        <f t="shared" si="1042"/>
      </c>
      <c r="BA552" s="488">
        <f t="shared" si="1056"/>
      </c>
      <c r="BB552" s="488">
        <f t="shared" si="1056"/>
      </c>
      <c r="BC552" s="488">
        <f t="shared" si="1056"/>
      </c>
      <c r="BD552" s="1028">
        <f t="shared" si="1043"/>
      </c>
      <c r="BE552" s="488">
        <f t="shared" si="1043"/>
      </c>
      <c r="BF552" s="488">
        <f t="shared" si="1057"/>
      </c>
      <c r="BG552" s="488">
        <f t="shared" si="1057"/>
      </c>
      <c r="BH552" s="488">
        <f t="shared" si="1057"/>
      </c>
      <c r="BI552" s="1028">
        <f t="shared" si="1044"/>
      </c>
      <c r="BJ552" s="488">
        <f t="shared" si="1044"/>
      </c>
      <c r="BK552" s="488">
        <f t="shared" si="1058"/>
      </c>
      <c r="BL552" s="488">
        <f t="shared" si="1058"/>
      </c>
      <c r="BM552" s="488">
        <f t="shared" si="1058"/>
      </c>
      <c r="BN552" s="1028">
        <f t="shared" si="1045"/>
      </c>
      <c r="BO552" s="488">
        <f t="shared" si="1045"/>
      </c>
      <c r="BP552" s="488">
        <f t="shared" si="1059"/>
      </c>
      <c r="BQ552" s="488">
        <f t="shared" si="1059"/>
      </c>
      <c r="BR552" s="488">
        <f t="shared" si="1059"/>
      </c>
      <c r="BS552" s="1028">
        <f>BS546</f>
      </c>
      <c r="BT552" s="751">
        <f t="shared" ref="BT552" si="1062">BT546</f>
      </c>
      <c r="BU552" s="488"/>
      <c r="BV552" s="488"/>
      <c r="BW552" s="488"/>
      <c r="BX552" s="1028"/>
      <c r="BY552" s="488"/>
      <c r="BZ552" s="488"/>
      <c r="CA552" s="488"/>
      <c r="CB552" s="488"/>
      <c r="CC552" s="1028"/>
      <c r="CD552" s="1028"/>
      <c r="CE552" s="1028"/>
      <c r="CF552" s="1028"/>
      <c r="CG552" s="315"/>
    </row>
    <row r="553" spans="1:85" s="584" customFormat="1" ht="15" hidden="1" customHeight="1" outlineLevel="1" collapsed="1" x14ac:dyDescent="0.3">
      <c r="A553" s="336" t="s">
        <v>949</v>
      </c>
      <c r="B553" s="487"/>
      <c r="C553" s="1028">
        <f>C547</f>
      </c>
      <c r="D553" s="1028">
        <f>D547</f>
      </c>
      <c r="E553" s="1028">
        <f>E547</f>
      </c>
      <c r="F553" s="1028">
        <f>F547</f>
      </c>
      <c r="G553" s="488">
        <f t="shared" ref="G553:Z553" si="1063">G547</f>
      </c>
      <c r="H553" s="488">
        <f t="shared" si="1063"/>
      </c>
      <c r="I553" s="488">
        <f t="shared" si="1063"/>
      </c>
      <c r="J553" s="488">
        <f t="shared" si="1063"/>
      </c>
      <c r="K553" s="1028">
        <f t="shared" si="1063"/>
      </c>
      <c r="L553" s="488">
        <f t="shared" si="1063"/>
      </c>
      <c r="M553" s="488">
        <f t="shared" si="1063"/>
      </c>
      <c r="N553" s="488">
        <f t="shared" si="1063"/>
      </c>
      <c r="O553" s="488">
        <f t="shared" si="1063"/>
      </c>
      <c r="P553" s="1028">
        <f t="shared" si="1063"/>
      </c>
      <c r="Q553" s="488">
        <f t="shared" si="1063"/>
      </c>
      <c r="R553" s="488">
        <f t="shared" si="1063"/>
      </c>
      <c r="S553" s="488">
        <f t="shared" si="1063"/>
      </c>
      <c r="T553" s="488">
        <f t="shared" si="1063"/>
      </c>
      <c r="U553" s="1028">
        <f t="shared" si="1063"/>
      </c>
      <c r="V553" s="488">
        <f t="shared" si="1063"/>
      </c>
      <c r="W553" s="488">
        <f t="shared" si="1063"/>
      </c>
      <c r="X553" s="488">
        <f t="shared" si="1063"/>
      </c>
      <c r="Y553" s="488">
        <f t="shared" si="1063"/>
      </c>
      <c r="Z553" s="1028">
        <f t="shared" si="1063"/>
      </c>
      <c r="AA553" s="488">
        <f>AA547</f>
      </c>
      <c r="AB553" s="488">
        <f>AB547</f>
      </c>
      <c r="AC553" s="488">
        <f>AC547</f>
      </c>
      <c r="AD553" s="488">
        <f>AD547</f>
      </c>
      <c r="AE553" s="1028">
        <f>AE547</f>
      </c>
      <c r="AF553" s="488">
        <f>AF547</f>
      </c>
      <c r="AG553" s="488">
        <f>AG547</f>
      </c>
      <c r="AH553" s="488">
        <f>AH547</f>
      </c>
      <c r="AI553" s="488">
        <f>AI547</f>
      </c>
      <c r="AJ553" s="1028">
        <f t="shared" si="1039"/>
      </c>
      <c r="AK553" s="488">
        <f t="shared" si="1039"/>
      </c>
      <c r="AL553" s="488">
        <f>AL547</f>
      </c>
      <c r="AM553" s="488">
        <f>AM547</f>
      </c>
      <c r="AN553" s="488">
        <f>AN547</f>
      </c>
      <c r="AO553" s="1028">
        <f t="shared" si="1040"/>
      </c>
      <c r="AP553" s="488">
        <f t="shared" si="1040"/>
      </c>
      <c r="AQ553" s="488">
        <f>AQ547</f>
      </c>
      <c r="AR553" s="488">
        <f>AR547</f>
      </c>
      <c r="AS553" s="488">
        <f>AS547</f>
      </c>
      <c r="AT553" s="1028">
        <f t="shared" si="1041"/>
      </c>
      <c r="AU553" s="488">
        <f t="shared" si="1041"/>
      </c>
      <c r="AV553" s="488">
        <f>AV547</f>
      </c>
      <c r="AW553" s="488">
        <f>AW547</f>
      </c>
      <c r="AX553" s="488">
        <f>AX547</f>
      </c>
      <c r="AY553" s="1028">
        <f t="shared" si="1042"/>
      </c>
      <c r="AZ553" s="488">
        <f t="shared" si="1042"/>
      </c>
      <c r="BA553" s="488">
        <f>BA547</f>
      </c>
      <c r="BB553" s="488">
        <f>BB547</f>
      </c>
      <c r="BC553" s="488">
        <f>BC547</f>
      </c>
      <c r="BD553" s="1028">
        <f t="shared" si="1043"/>
      </c>
      <c r="BE553" s="488">
        <f t="shared" si="1043"/>
      </c>
      <c r="BF553" s="488">
        <f>BF547</f>
      </c>
      <c r="BG553" s="488">
        <f>BG547</f>
      </c>
      <c r="BH553" s="488">
        <f>BH547</f>
      </c>
      <c r="BI553" s="1028">
        <f t="shared" si="1044"/>
      </c>
      <c r="BJ553" s="488">
        <f t="shared" si="1044"/>
      </c>
      <c r="BK553" s="488">
        <f>BK547</f>
      </c>
      <c r="BL553" s="488">
        <f>BL547</f>
      </c>
      <c r="BM553" s="488">
        <f>BM547</f>
      </c>
      <c r="BN553" s="1028">
        <f t="shared" si="1045"/>
      </c>
      <c r="BO553" s="488">
        <f t="shared" si="1045"/>
      </c>
      <c r="BP553" s="488">
        <f>BP547</f>
      </c>
      <c r="BQ553" s="488">
        <f>BQ547</f>
      </c>
      <c r="BR553" s="488">
        <f>BR547</f>
      </c>
      <c r="BS553" s="1028">
        <f>BS547</f>
      </c>
      <c r="BT553" s="751">
        <f t="shared" ref="BT553" si="1064">BT547</f>
      </c>
      <c r="BU553" s="488"/>
      <c r="BV553" s="488"/>
      <c r="BW553" s="488"/>
      <c r="BX553" s="1028"/>
      <c r="BY553" s="488"/>
      <c r="BZ553" s="488"/>
      <c r="CA553" s="488"/>
      <c r="CB553" s="488"/>
      <c r="CC553" s="1028"/>
      <c r="CD553" s="1028"/>
      <c r="CE553" s="1028"/>
      <c r="CF553" s="1028"/>
      <c r="CG553" s="315"/>
    </row>
    <row r="554" spans="1:85" s="596" customFormat="1" ht="15" hidden="1" customHeight="1" outlineLevel="1" x14ac:dyDescent="0.3">
      <c r="A554" s="255" t="s">
        <v>950</v>
      </c>
      <c r="B554" s="398"/>
      <c r="C554" s="962">
        <f t="shared" ref="C554:AH554" si="1065">IF(C516&gt;C553,(1-C553/C516)*C541,0)</f>
      </c>
      <c r="D554" s="962">
        <f t="shared" si="1065"/>
      </c>
      <c r="E554" s="962">
        <f t="shared" si="1065"/>
      </c>
      <c r="F554" s="962">
        <f t="shared" si="1065"/>
      </c>
      <c r="G554" s="757">
        <f t="shared" si="1065"/>
      </c>
      <c r="H554" s="757">
        <f t="shared" si="1065"/>
      </c>
      <c r="I554" s="757">
        <f t="shared" si="1065"/>
      </c>
      <c r="J554" s="757">
        <f t="shared" si="1065"/>
      </c>
      <c r="K554" s="962">
        <f t="shared" si="1065"/>
      </c>
      <c r="L554" s="757">
        <f t="shared" si="1065"/>
      </c>
      <c r="M554" s="757">
        <f t="shared" si="1065"/>
      </c>
      <c r="N554" s="757">
        <f t="shared" si="1065"/>
      </c>
      <c r="O554" s="757">
        <f t="shared" si="1065"/>
      </c>
      <c r="P554" s="962">
        <f t="shared" si="1065"/>
      </c>
      <c r="Q554" s="757">
        <f t="shared" si="1065"/>
      </c>
      <c r="R554" s="757">
        <f t="shared" si="1065"/>
      </c>
      <c r="S554" s="757">
        <f t="shared" si="1065"/>
      </c>
      <c r="T554" s="757">
        <f t="shared" si="1065"/>
      </c>
      <c r="U554" s="962">
        <f t="shared" si="1065"/>
      </c>
      <c r="V554" s="757">
        <f t="shared" si="1065"/>
      </c>
      <c r="W554" s="757">
        <f t="shared" si="1065"/>
      </c>
      <c r="X554" s="757">
        <f t="shared" si="1065"/>
      </c>
      <c r="Y554" s="757">
        <f t="shared" si="1065"/>
      </c>
      <c r="Z554" s="962">
        <f t="shared" si="1065"/>
      </c>
      <c r="AA554" s="757">
        <f t="shared" si="1065"/>
      </c>
      <c r="AB554" s="757">
        <f t="shared" si="1065"/>
      </c>
      <c r="AC554" s="757">
        <f t="shared" si="1065"/>
      </c>
      <c r="AD554" s="757">
        <f t="shared" si="1065"/>
      </c>
      <c r="AE554" s="962">
        <f t="shared" si="1065"/>
      </c>
      <c r="AF554" s="757">
        <f t="shared" si="1065"/>
      </c>
      <c r="AG554" s="757">
        <f t="shared" si="1065"/>
      </c>
      <c r="AH554" s="757">
        <f t="shared" si="1065"/>
      </c>
      <c r="AI554" s="757">
        <f t="shared" ref="AI554:BN554" si="1066">IF(AI516&gt;AI553,(1-AI553/AI516)*AI541,0)</f>
      </c>
      <c r="AJ554" s="962">
        <f t="shared" si="1066"/>
      </c>
      <c r="AK554" s="757">
        <f t="shared" si="1066"/>
      </c>
      <c r="AL554" s="757">
        <f t="shared" si="1066"/>
      </c>
      <c r="AM554" s="757">
        <f t="shared" si="1066"/>
      </c>
      <c r="AN554" s="757">
        <f t="shared" si="1066"/>
      </c>
      <c r="AO554" s="962">
        <f t="shared" si="1066"/>
      </c>
      <c r="AP554" s="757">
        <f t="shared" si="1066"/>
      </c>
      <c r="AQ554" s="757">
        <f t="shared" si="1066"/>
      </c>
      <c r="AR554" s="757">
        <f t="shared" si="1066"/>
      </c>
      <c r="AS554" s="757">
        <f t="shared" si="1066"/>
      </c>
      <c r="AT554" s="962">
        <f t="shared" si="1066"/>
      </c>
      <c r="AU554" s="757">
        <f t="shared" si="1066"/>
      </c>
      <c r="AV554" s="757">
        <f t="shared" si="1066"/>
      </c>
      <c r="AW554" s="757">
        <f t="shared" si="1066"/>
      </c>
      <c r="AX554" s="757">
        <f t="shared" si="1066"/>
      </c>
      <c r="AY554" s="962">
        <f t="shared" si="1066"/>
      </c>
      <c r="AZ554" s="757">
        <f t="shared" si="1066"/>
      </c>
      <c r="BA554" s="757">
        <f t="shared" si="1066"/>
      </c>
      <c r="BB554" s="757">
        <f t="shared" si="1066"/>
      </c>
      <c r="BC554" s="757">
        <f t="shared" si="1066"/>
      </c>
      <c r="BD554" s="1008">
        <f t="shared" si="1066"/>
      </c>
      <c r="BE554" s="757">
        <f t="shared" si="1066"/>
      </c>
      <c r="BF554" s="757">
        <f t="shared" si="1066"/>
      </c>
      <c r="BG554" s="757">
        <f t="shared" si="1066"/>
      </c>
      <c r="BH554" s="757">
        <f t="shared" si="1066"/>
      </c>
      <c r="BI554" s="1008">
        <f t="shared" si="1066"/>
      </c>
      <c r="BJ554" s="757">
        <f t="shared" si="1066"/>
      </c>
      <c r="BK554" s="757">
        <f t="shared" si="1066"/>
      </c>
      <c r="BL554" s="757">
        <f t="shared" si="1066"/>
      </c>
      <c r="BM554" s="757">
        <f t="shared" si="1066"/>
      </c>
      <c r="BN554" s="1008">
        <f t="shared" si="1066"/>
      </c>
      <c r="BO554" s="757">
        <f t="shared" ref="BO554:BS554" si="1067">IF(BO516&gt;BO553,(1-BO553/BO516)*BO541,0)</f>
      </c>
      <c r="BP554" s="757">
        <f t="shared" si="1067"/>
      </c>
      <c r="BQ554" s="757">
        <f t="shared" si="1067"/>
      </c>
      <c r="BR554" s="757">
        <f t="shared" si="1067"/>
      </c>
      <c r="BS554" s="1008">
        <f t="shared" si="1067"/>
      </c>
      <c r="BT554" s="758">
        <f t="shared" ref="BT554" si="1068">IF(BT516&gt;BT553,(1-BT553/BT516)*BT541,0)</f>
      </c>
      <c r="BU554" s="804"/>
      <c r="BV554" s="804"/>
      <c r="BW554" s="804"/>
      <c r="BX554" s="1008"/>
      <c r="BY554" s="804"/>
      <c r="BZ554" s="804"/>
      <c r="CA554" s="804"/>
      <c r="CB554" s="804"/>
      <c r="CC554" s="1008"/>
      <c r="CD554" s="1008"/>
      <c r="CE554" s="1008"/>
      <c r="CF554" s="1008"/>
      <c r="CG554" s="397"/>
    </row>
    <row r="555" spans="1:85" s="596" customFormat="1" ht="15" hidden="1" customHeight="1" outlineLevel="1" x14ac:dyDescent="0.3">
      <c r="A555" s="757"/>
      <c r="B555" s="398"/>
      <c r="C555" s="962"/>
      <c r="D555" s="962"/>
      <c r="E555" s="962"/>
      <c r="F555" s="962"/>
      <c r="G555" s="757"/>
      <c r="H555" s="757"/>
      <c r="I555" s="757"/>
      <c r="J555" s="757"/>
      <c r="K555" s="962"/>
      <c r="L555" s="757"/>
      <c r="M555" s="757"/>
      <c r="N555" s="757"/>
      <c r="O555" s="757"/>
      <c r="P555" s="962"/>
      <c r="Q555" s="757"/>
      <c r="R555" s="757"/>
      <c r="S555" s="757"/>
      <c r="T555" s="757"/>
      <c r="U555" s="962"/>
      <c r="V555" s="757"/>
      <c r="W555" s="757"/>
      <c r="X555" s="757"/>
      <c r="Y555" s="757"/>
      <c r="Z555" s="962"/>
      <c r="AA555" s="757"/>
      <c r="AB555" s="757"/>
      <c r="AC555" s="757"/>
      <c r="AD555" s="757"/>
      <c r="AE555" s="962"/>
      <c r="AF555" s="757"/>
      <c r="AG555" s="757"/>
      <c r="AH555" s="757"/>
      <c r="AI555" s="757"/>
      <c r="AJ555" s="962"/>
      <c r="AK555" s="757"/>
      <c r="AL555" s="757"/>
      <c r="AM555" s="757"/>
      <c r="AN555" s="757"/>
      <c r="AO555" s="962"/>
      <c r="AP555" s="757"/>
      <c r="AQ555" s="757"/>
      <c r="AR555" s="757"/>
      <c r="AS555" s="757"/>
      <c r="AT555" s="962"/>
      <c r="AU555" s="757"/>
      <c r="AV555" s="757"/>
      <c r="AW555" s="757"/>
      <c r="AX555" s="757"/>
      <c r="AY555" s="962"/>
      <c r="AZ555" s="757"/>
      <c r="BA555" s="757"/>
      <c r="BB555" s="757"/>
      <c r="BC555" s="757"/>
      <c r="BD555" s="962"/>
      <c r="BE555" s="757"/>
      <c r="BF555" s="757"/>
      <c r="BG555" s="757"/>
      <c r="BH555" s="757"/>
      <c r="BI555" s="962"/>
      <c r="BJ555" s="757"/>
      <c r="BK555" s="757"/>
      <c r="BL555" s="757"/>
      <c r="BM555" s="757"/>
      <c r="BN555" s="962"/>
      <c r="BO555" s="757"/>
      <c r="BP555" s="757"/>
      <c r="BQ555" s="757"/>
      <c r="BR555" s="757"/>
      <c r="BS555" s="962"/>
      <c r="BT555" s="758"/>
      <c r="BU555" s="757"/>
      <c r="BV555" s="757"/>
      <c r="BW555" s="757"/>
      <c r="BX555" s="962"/>
      <c r="BY555" s="757"/>
      <c r="BZ555" s="757"/>
      <c r="CA555" s="757"/>
      <c r="CB555" s="757"/>
      <c r="CC555" s="962"/>
      <c r="CD555" s="962"/>
      <c r="CE555" s="962"/>
      <c r="CF555" s="962"/>
      <c r="CG555" s="397"/>
    </row>
    <row r="556" spans="1:85" s="597" customFormat="1" ht="15" hidden="1" customHeight="1" outlineLevel="1" x14ac:dyDescent="0.3">
      <c r="A556" s="244" t="s">
        <v>951</v>
      </c>
      <c r="B556" s="482"/>
      <c r="C556" s="971">
        <f>(4.241438*(7))*10</f>
      </c>
      <c r="D556" s="971">
        <f>(2.89213*(7))*10</f>
      </c>
      <c r="E556" s="971">
        <f>(2.957754*(7))*10</f>
      </c>
      <c r="F556" s="971">
        <f>(4.572952*(7))*10</f>
      </c>
      <c r="G556" s="861">
        <f>(4.260187*(7))*10</f>
      </c>
      <c r="H556" s="861">
        <f>(3.974978*(7))*10</f>
      </c>
      <c r="I556" s="861">
        <f>(3.774759*(7))*10</f>
      </c>
      <c r="J556" s="759">
        <f>K556</f>
      </c>
      <c r="K556" s="971">
        <f>(3.526898*(7))*10</f>
      </c>
      <c r="L556" s="861">
        <f>(3.310002*(7))*10</f>
      </c>
      <c r="M556" s="861">
        <f>(3.30803*(7))*10</f>
      </c>
      <c r="N556" s="861">
        <f>(3.278759*(7))*10</f>
      </c>
      <c r="O556" s="759">
        <f>P556</f>
      </c>
      <c r="P556" s="971">
        <f>(3.263631*(7))*10</f>
      </c>
      <c r="Q556" s="861">
        <f>(3.206907*(7))*10</f>
      </c>
      <c r="R556" s="861">
        <v>216.67771999999999</v>
      </c>
      <c r="S556" s="861">
        <v>209.33461</v>
      </c>
      <c r="T556" s="759">
        <f>U556</f>
      </c>
      <c r="U556" s="971">
        <v>209.95756</v>
      </c>
      <c r="V556" s="861">
        <v>214.82649000000001</v>
      </c>
      <c r="W556" s="861">
        <v>219.58348000000001</v>
      </c>
      <c r="X556" s="861">
        <v>225.12186</v>
      </c>
      <c r="Y556" s="759">
        <f>Z556</f>
      </c>
      <c r="Z556" s="971">
        <v>224.37347</v>
      </c>
      <c r="AA556" s="861">
        <v>222.16443000000001</v>
      </c>
      <c r="AB556" s="861">
        <v>221.15195</v>
      </c>
      <c r="AC556" s="861">
        <v>217.47134</v>
      </c>
      <c r="AD556" s="759">
        <f>AE556</f>
      </c>
      <c r="AE556" s="971">
        <v>216.4735</v>
      </c>
      <c r="AF556" s="861">
        <v>209.35953000000001</v>
      </c>
      <c r="AG556" s="861">
        <v>206.37249</v>
      </c>
      <c r="AH556" s="861">
        <v>204.6069</v>
      </c>
      <c r="AI556" s="759">
        <f>AJ556</f>
      </c>
      <c r="AJ556" s="971">
        <v>204.79277999999999</v>
      </c>
      <c r="AK556" s="861">
        <v>205.05599000000001</v>
      </c>
      <c r="AL556" s="861">
        <v>204.43968000000001</v>
      </c>
      <c r="AM556" s="861">
        <v>206.77206000000001</v>
      </c>
      <c r="AN556" s="759">
        <f>AO556</f>
      </c>
      <c r="AO556" s="971">
        <v>208.59325999999999</v>
      </c>
      <c r="AP556" s="861">
        <v>204.66764000000001</v>
      </c>
      <c r="AQ556" s="861">
        <v>197.45602</v>
      </c>
      <c r="AR556" s="861">
        <v>193.69011</v>
      </c>
      <c r="AS556" s="759">
        <f>AT556</f>
      </c>
      <c r="AT556" s="971">
        <v>186.7681</v>
      </c>
      <c r="AU556" s="861">
        <v>185.83816999999999</v>
      </c>
      <c r="AV556" s="861">
        <v>187.91074</v>
      </c>
      <c r="AW556" s="861">
        <v>186.49396999999999</v>
      </c>
      <c r="AX556" s="759">
        <f>AY556</f>
      </c>
      <c r="AY556" s="971">
        <v>175.95850999999999</v>
      </c>
      <c r="AZ556" s="861">
        <v>178.07649000000001</v>
      </c>
      <c r="BA556" s="861">
        <v>184.66195999999999</v>
      </c>
      <c r="BB556" s="861">
        <v>193.4622</v>
      </c>
      <c r="BC556" s="759">
        <f>BD556</f>
      </c>
      <c r="BD556" s="971">
        <v>198.96861000000001</v>
      </c>
      <c r="BE556" s="759">
        <f>BE535</f>
      </c>
      <c r="BF556" s="861">
        <v>199.18808000000001</v>
      </c>
      <c r="BG556" s="861">
        <v>197.09179</v>
      </c>
      <c r="BH556" s="759">
        <f>BI556</f>
      </c>
      <c r="BI556" s="971">
        <v>194.47739000000001</v>
      </c>
      <c r="BJ556" s="759">
        <f>BJ535</f>
      </c>
      <c r="BK556" s="861">
        <v>173.52135999999999</v>
      </c>
      <c r="BL556" s="861">
        <v>166.94820999999999</v>
      </c>
      <c r="BM556" s="759">
        <f>BN556</f>
      </c>
      <c r="BN556" s="971">
        <v>154.01292000000001</v>
      </c>
      <c r="BO556" s="759">
        <f>BO535</f>
      </c>
      <c r="BP556" s="861">
        <v>132.60626999999999</v>
      </c>
      <c r="BQ556" s="861">
        <v>130.27912000000001</v>
      </c>
      <c r="BR556" s="759">
        <f>BS556</f>
      </c>
      <c r="BS556" s="971">
        <v>127.679804</v>
      </c>
      <c r="BT556" s="872">
        <v>125.76534700000001</v>
      </c>
      <c r="BU556" s="759"/>
      <c r="BV556" s="759"/>
      <c r="BW556" s="759"/>
      <c r="BX556" s="969"/>
      <c r="BY556" s="759"/>
      <c r="BZ556" s="759"/>
      <c r="CA556" s="759"/>
      <c r="CB556" s="759"/>
      <c r="CC556" s="969"/>
      <c r="CD556" s="969"/>
      <c r="CE556" s="969"/>
      <c r="CF556" s="969"/>
      <c r="CG556" s="483"/>
    </row>
    <row r="557" spans="1:85" s="598" customFormat="1" ht="15" hidden="1" customHeight="1" outlineLevel="1" x14ac:dyDescent="0.3">
      <c r="A557" s="371" t="s">
        <v>952</v>
      </c>
      <c r="B557" s="484"/>
      <c r="C557" s="1029">
        <f>(22.74*(1/7))/10</f>
      </c>
      <c r="D557" s="1029">
        <f>(36.11*(1/7))/10</f>
      </c>
      <c r="E557" s="1029">
        <f>(66.59*(1/7))/10</f>
      </c>
      <c r="F557" s="1029">
        <f>(71.33*(1/7))/10</f>
      </c>
      <c r="G557" s="881">
        <f>(75.09*(1/7))/10</f>
      </c>
      <c r="H557" s="881">
        <f>(81.57*(1/7))/10</f>
      </c>
      <c r="I557" s="881">
        <f>(88.12*(1/7))/10</f>
      </c>
      <c r="J557" s="485">
        <f>K557</f>
      </c>
      <c r="K557" s="1029">
        <f>(95.25*(1/7))/10</f>
      </c>
      <c r="L557" s="881">
        <f>(106.01*(1/7))/10</f>
      </c>
      <c r="M557" s="881">
        <f>(118.4*(1/7))/10</f>
      </c>
      <c r="N557" s="881">
        <f>(134.02*(1/7))/10</f>
      </c>
      <c r="O557" s="485">
        <f>P557</f>
      </c>
      <c r="P557" s="1029">
        <f>(151.53*(1/7))/10</f>
      </c>
      <c r="Q557" s="881">
        <f>(170.29*(1/7))/10</f>
      </c>
      <c r="R557" s="881">
        <v>2.7090000000000001</v>
      </c>
      <c r="S557" s="881">
        <v>2.9580000000000002</v>
      </c>
      <c r="T557" s="485">
        <f>U557</f>
      </c>
      <c r="U557" s="1029">
        <v>3.2389999999999999</v>
      </c>
      <c r="V557" s="881">
        <v>3.5369999999999999</v>
      </c>
      <c r="W557" s="881">
        <v>3.855</v>
      </c>
      <c r="X557" s="881">
        <v>4.1589999999999998</v>
      </c>
      <c r="Y557" s="485">
        <f>Z557</f>
      </c>
      <c r="Z557" s="1029">
        <v>4.4829999999999997</v>
      </c>
      <c r="AA557" s="881">
        <v>4.8579999999999997</v>
      </c>
      <c r="AB557" s="881">
        <v>5.2750000000000004</v>
      </c>
      <c r="AC557" s="881">
        <v>5.6740000000000004</v>
      </c>
      <c r="AD557" s="485">
        <f>AE557</f>
      </c>
      <c r="AE557" s="1029">
        <v>6.1130000000000004</v>
      </c>
      <c r="AF557" s="881">
        <v>6.7240000000000002</v>
      </c>
      <c r="AG557" s="881">
        <v>7.4580000000000002</v>
      </c>
      <c r="AH557" s="881">
        <v>8.18</v>
      </c>
      <c r="AI557" s="485">
        <f>AJ557</f>
      </c>
      <c r="AJ557" s="1029">
        <v>8.9610000000000003</v>
      </c>
      <c r="AK557" s="881">
        <v>9.8040000000000003</v>
      </c>
      <c r="AL557" s="881">
        <v>10.746</v>
      </c>
      <c r="AM557" s="881">
        <v>11.587999999999999</v>
      </c>
      <c r="AN557" s="485">
        <f>AO557</f>
      </c>
      <c r="AO557" s="1029">
        <v>12.428000000000001</v>
      </c>
      <c r="AP557" s="881">
        <v>13.456</v>
      </c>
      <c r="AQ557" s="881">
        <v>14.542</v>
      </c>
      <c r="AR557" s="881">
        <v>15.532</v>
      </c>
      <c r="AS557" s="485">
        <f>AT557</f>
      </c>
      <c r="AT557" s="1029">
        <v>17.023</v>
      </c>
      <c r="AU557" s="881">
        <v>18.021999999999998</v>
      </c>
      <c r="AV557" s="881">
        <v>18.875</v>
      </c>
      <c r="AW557" s="881">
        <v>19.974</v>
      </c>
      <c r="AX557" s="485">
        <f>AY557</f>
      </c>
      <c r="AY557" s="1029">
        <v>21.983000000000001</v>
      </c>
      <c r="AZ557" s="881">
        <v>23.009</v>
      </c>
      <c r="BA557" s="881">
        <v>23.506</v>
      </c>
      <c r="BB557" s="881">
        <v>23.704999999999998</v>
      </c>
      <c r="BC557" s="485">
        <f>BD557</f>
      </c>
      <c r="BD557" s="1029">
        <v>24.222000000000001</v>
      </c>
      <c r="BE557" s="485">
        <f>BE547</f>
      </c>
      <c r="BF557" s="881">
        <v>25.384</v>
      </c>
      <c r="BG557" s="881">
        <v>26.010999999999999</v>
      </c>
      <c r="BH557" s="485">
        <f>BI557</f>
      </c>
      <c r="BI557" s="1029">
        <v>26.736999999999998</v>
      </c>
      <c r="BJ557" s="485">
        <f>BJ547</f>
      </c>
      <c r="BK557" s="881">
        <v>29.013999999999999</v>
      </c>
      <c r="BL557" s="881">
        <v>29.959</v>
      </c>
      <c r="BM557" s="485">
        <f>BN557</f>
      </c>
      <c r="BN557" s="1029">
        <v>31.23</v>
      </c>
      <c r="BO557" s="485">
        <f>BO547</f>
      </c>
      <c r="BP557" s="881">
        <v>33.984000000000002</v>
      </c>
      <c r="BQ557" s="881">
        <v>34.972999999999999</v>
      </c>
      <c r="BR557" s="485">
        <f>BS557</f>
      </c>
      <c r="BS557" s="1029">
        <v>36.07</v>
      </c>
      <c r="BT557" s="882">
        <v>37.56</v>
      </c>
      <c r="BU557" s="485"/>
      <c r="BV557" s="485"/>
      <c r="BW557" s="485"/>
      <c r="BX557" s="1030"/>
      <c r="BY557" s="485"/>
      <c r="BZ557" s="485"/>
      <c r="CA557" s="485"/>
      <c r="CB557" s="485"/>
      <c r="CC557" s="1030"/>
      <c r="CD557" s="1030"/>
      <c r="CE557" s="1030"/>
      <c r="CF557" s="1030"/>
      <c r="CG557" s="357"/>
    </row>
    <row r="558" spans="1:85" s="598" customFormat="1" ht="15" hidden="1" customHeight="1" outlineLevel="1" x14ac:dyDescent="0.3">
      <c r="A558" s="371"/>
      <c r="B558" s="484"/>
      <c r="C558" s="1030"/>
      <c r="D558" s="1030"/>
      <c r="E558" s="1030"/>
      <c r="F558" s="1030"/>
      <c r="G558" s="485"/>
      <c r="H558" s="485"/>
      <c r="I558" s="485"/>
      <c r="J558" s="485"/>
      <c r="K558" s="1030"/>
      <c r="L558" s="485"/>
      <c r="M558" s="485"/>
      <c r="N558" s="485"/>
      <c r="O558" s="485"/>
      <c r="P558" s="1030"/>
      <c r="Q558" s="485"/>
      <c r="R558" s="485"/>
      <c r="S558" s="485"/>
      <c r="T558" s="485"/>
      <c r="U558" s="1030"/>
      <c r="V558" s="485"/>
      <c r="W558" s="485"/>
      <c r="X558" s="485"/>
      <c r="Y558" s="485"/>
      <c r="Z558" s="1030"/>
      <c r="AA558" s="485"/>
      <c r="AB558" s="485"/>
      <c r="AC558" s="485"/>
      <c r="AD558" s="485"/>
      <c r="AE558" s="1030"/>
      <c r="AF558" s="485"/>
      <c r="AG558" s="485"/>
      <c r="AH558" s="485"/>
      <c r="AI558" s="485"/>
      <c r="AJ558" s="1030"/>
      <c r="AK558" s="485"/>
      <c r="AL558" s="485"/>
      <c r="AM558" s="485"/>
      <c r="AN558" s="485"/>
      <c r="AO558" s="1030"/>
      <c r="AP558" s="485"/>
      <c r="AQ558" s="485"/>
      <c r="AR558" s="485"/>
      <c r="AS558" s="485"/>
      <c r="AT558" s="1030"/>
      <c r="AU558" s="485"/>
      <c r="AV558" s="485"/>
      <c r="AW558" s="485"/>
      <c r="AX558" s="485"/>
      <c r="AY558" s="1030"/>
      <c r="AZ558" s="485"/>
      <c r="BA558" s="485"/>
      <c r="BB558" s="485"/>
      <c r="BC558" s="485"/>
      <c r="BD558" s="1030"/>
      <c r="BE558" s="485"/>
      <c r="BF558" s="485"/>
      <c r="BG558" s="485"/>
      <c r="BH558" s="485"/>
      <c r="BI558" s="1030"/>
      <c r="BJ558" s="485"/>
      <c r="BK558" s="485"/>
      <c r="BL558" s="485"/>
      <c r="BM558" s="485"/>
      <c r="BN558" s="1030"/>
      <c r="BO558" s="485"/>
      <c r="BP558" s="485"/>
      <c r="BQ558" s="485"/>
      <c r="BR558" s="485"/>
      <c r="BS558" s="1030"/>
      <c r="BT558" s="699"/>
      <c r="BU558" s="485"/>
      <c r="BV558" s="485"/>
      <c r="BW558" s="485"/>
      <c r="BX558" s="1030"/>
      <c r="BY558" s="485"/>
      <c r="BZ558" s="485"/>
      <c r="CA558" s="485"/>
      <c r="CB558" s="485"/>
      <c r="CC558" s="1030"/>
      <c r="CD558" s="1030"/>
      <c r="CE558" s="1030"/>
      <c r="CF558" s="1030"/>
      <c r="CG558" s="357"/>
    </row>
    <row r="559" spans="1:85" s="587" customFormat="1" ht="15" hidden="1" customHeight="1" outlineLevel="1" x14ac:dyDescent="0.3">
      <c r="A559" s="442" t="s">
        <v>2185</v>
      </c>
      <c r="B559" s="414"/>
      <c r="C559" s="962"/>
      <c r="D559" s="962"/>
      <c r="E559" s="962"/>
      <c r="F559" s="962"/>
      <c r="G559" s="757"/>
      <c r="H559" s="757"/>
      <c r="I559" s="757"/>
      <c r="J559" s="757"/>
      <c r="K559" s="962"/>
      <c r="L559" s="757"/>
      <c r="M559" s="757"/>
      <c r="N559" s="757"/>
      <c r="O559" s="757"/>
      <c r="P559" s="962"/>
      <c r="Q559" s="757"/>
      <c r="R559" s="757"/>
      <c r="S559" s="757"/>
      <c r="T559" s="757"/>
      <c r="U559" s="962"/>
      <c r="V559" s="757"/>
      <c r="W559" s="757"/>
      <c r="X559" s="757"/>
      <c r="Y559" s="757"/>
      <c r="Z559" s="962"/>
      <c r="AA559" s="757"/>
      <c r="AB559" s="757"/>
      <c r="AC559" s="757"/>
      <c r="AD559" s="757"/>
      <c r="AE559" s="962"/>
      <c r="AF559" s="757"/>
      <c r="AG559" s="757"/>
      <c r="AH559" s="757"/>
      <c r="AI559" s="757"/>
      <c r="AJ559" s="962"/>
      <c r="AK559" s="757"/>
      <c r="AL559" s="757"/>
      <c r="AM559" s="757"/>
      <c r="AN559" s="757"/>
      <c r="AO559" s="962"/>
      <c r="AP559" s="757"/>
      <c r="AQ559" s="757"/>
      <c r="AR559" s="757"/>
      <c r="AS559" s="757"/>
      <c r="AT559" s="962"/>
      <c r="AU559" s="757"/>
      <c r="AV559" s="757"/>
      <c r="AW559" s="757"/>
      <c r="AX559" s="757"/>
      <c r="AY559" s="962"/>
      <c r="AZ559" s="757"/>
      <c r="BA559" s="757"/>
      <c r="BB559" s="757"/>
      <c r="BC559" s="757"/>
      <c r="BD559" s="962"/>
      <c r="BE559" s="757"/>
      <c r="BF559" s="757"/>
      <c r="BG559" s="757"/>
      <c r="BH559" s="757"/>
      <c r="BI559" s="962"/>
      <c r="BJ559" s="857">
        <f>10*0.153315</f>
      </c>
      <c r="BK559" s="857">
        <f>10*0.146648</f>
      </c>
      <c r="BL559" s="857">
        <f>10*0.139982</f>
      </c>
      <c r="BM559" s="757">
        <f>BN559</f>
      </c>
      <c r="BN559" s="963">
        <f>10*0.133318</f>
      </c>
      <c r="BO559" s="857">
        <f>10*0.185393</f>
      </c>
      <c r="BP559" s="857">
        <f>10*0.180024</f>
      </c>
      <c r="BQ559" s="857">
        <f>10*0.169277</f>
      </c>
      <c r="BR559" s="757">
        <f>BS559</f>
      </c>
      <c r="BS559" s="963">
        <v>1.5852599999999999</v>
      </c>
      <c r="BT559" s="864">
        <f>10*0.185393</f>
      </c>
      <c r="BU559" s="757"/>
      <c r="BV559" s="757"/>
      <c r="BW559" s="757"/>
      <c r="BX559" s="962"/>
      <c r="BY559" s="757"/>
      <c r="BZ559" s="757"/>
      <c r="CA559" s="757"/>
      <c r="CB559" s="757"/>
      <c r="CC559" s="962"/>
      <c r="CD559" s="962"/>
      <c r="CE559" s="962"/>
      <c r="CF559" s="962"/>
      <c r="CG559" s="459"/>
    </row>
    <row r="560" spans="1:85" s="584" customFormat="1" ht="15" hidden="1" customHeight="1" outlineLevel="1" x14ac:dyDescent="0.3">
      <c r="A560" s="537" t="s">
        <v>2186</v>
      </c>
      <c r="B560" s="468"/>
      <c r="C560" s="1025"/>
      <c r="D560" s="1025"/>
      <c r="E560" s="1025"/>
      <c r="F560" s="1025"/>
      <c r="G560" s="469"/>
      <c r="H560" s="469"/>
      <c r="I560" s="469"/>
      <c r="J560" s="469"/>
      <c r="K560" s="1025"/>
      <c r="L560" s="469"/>
      <c r="M560" s="469"/>
      <c r="N560" s="469"/>
      <c r="O560" s="469"/>
      <c r="P560" s="1025"/>
      <c r="Q560" s="469"/>
      <c r="R560" s="469"/>
      <c r="S560" s="469"/>
      <c r="T560" s="469"/>
      <c r="U560" s="1025"/>
      <c r="V560" s="469"/>
      <c r="W560" s="469"/>
      <c r="X560" s="469"/>
      <c r="Y560" s="469"/>
      <c r="Z560" s="1025"/>
      <c r="AA560" s="469"/>
      <c r="AB560" s="469"/>
      <c r="AC560" s="469"/>
      <c r="AD560" s="469"/>
      <c r="AE560" s="1025"/>
      <c r="AF560" s="469"/>
      <c r="AG560" s="469"/>
      <c r="AH560" s="469"/>
      <c r="AI560" s="469"/>
      <c r="AJ560" s="1025"/>
      <c r="AK560" s="469"/>
      <c r="AL560" s="469"/>
      <c r="AM560" s="469"/>
      <c r="AN560" s="469"/>
      <c r="AO560" s="1025"/>
      <c r="AP560" s="469"/>
      <c r="AQ560" s="469"/>
      <c r="AR560" s="469"/>
      <c r="AS560" s="469"/>
      <c r="AT560" s="1025"/>
      <c r="AU560" s="469"/>
      <c r="AV560" s="469"/>
      <c r="AW560" s="469"/>
      <c r="AX560" s="469"/>
      <c r="AY560" s="1025"/>
      <c r="AZ560" s="469"/>
      <c r="BA560" s="469"/>
      <c r="BB560" s="469"/>
      <c r="BC560" s="469"/>
      <c r="BD560" s="1025"/>
      <c r="BE560" s="469"/>
      <c r="BF560" s="469"/>
      <c r="BG560" s="469"/>
      <c r="BH560" s="469"/>
      <c r="BI560" s="1025"/>
      <c r="BJ560" s="877">
        <f>0.1*691.76</f>
      </c>
      <c r="BK560" s="877">
        <f>0.1*697.66</f>
      </c>
      <c r="BL560" s="877">
        <f>0.1*704.12</f>
      </c>
      <c r="BM560" s="469">
        <f>BN560</f>
      </c>
      <c r="BN560" s="1024">
        <f>0.1*711.23</f>
      </c>
      <c r="BO560" s="877">
        <f>0.1*931.23</f>
      </c>
      <c r="BP560" s="877">
        <f>0.1*956.2</f>
      </c>
      <c r="BQ560" s="877">
        <f>0.1*970.54</f>
      </c>
      <c r="BR560" s="469">
        <f>BS560</f>
      </c>
      <c r="BS560" s="1024">
        <v>98.68</v>
      </c>
      <c r="BT560" s="878">
        <f>0.1*931.23</f>
      </c>
      <c r="BU560" s="469"/>
      <c r="BV560" s="469"/>
      <c r="BW560" s="469"/>
      <c r="BX560" s="1025"/>
      <c r="BY560" s="469"/>
      <c r="BZ560" s="469"/>
      <c r="CA560" s="469"/>
      <c r="CB560" s="469"/>
      <c r="CC560" s="1025"/>
      <c r="CD560" s="1025"/>
      <c r="CE560" s="1025"/>
      <c r="CF560" s="1025"/>
      <c r="CG560" s="315"/>
    </row>
    <row r="561" spans="1:85" s="598" customFormat="1" ht="15" hidden="1" customHeight="1" outlineLevel="1" x14ac:dyDescent="0.3">
      <c r="A561" s="491"/>
      <c r="B561" s="492"/>
      <c r="C561" s="1031"/>
      <c r="D561" s="1031"/>
      <c r="E561" s="1031"/>
      <c r="F561" s="1031"/>
      <c r="G561" s="493"/>
      <c r="H561" s="493"/>
      <c r="I561" s="493"/>
      <c r="J561" s="493"/>
      <c r="K561" s="1031"/>
      <c r="L561" s="493"/>
      <c r="M561" s="493"/>
      <c r="N561" s="493"/>
      <c r="O561" s="493"/>
      <c r="P561" s="1031"/>
      <c r="Q561" s="493"/>
      <c r="R561" s="493"/>
      <c r="S561" s="493"/>
      <c r="T561" s="493"/>
      <c r="U561" s="1031"/>
      <c r="V561" s="493"/>
      <c r="W561" s="493"/>
      <c r="X561" s="493"/>
      <c r="Y561" s="493"/>
      <c r="Z561" s="1031"/>
      <c r="AA561" s="493"/>
      <c r="AB561" s="493"/>
      <c r="AC561" s="493"/>
      <c r="AD561" s="493"/>
      <c r="AE561" s="1031"/>
      <c r="AF561" s="493"/>
      <c r="AG561" s="493"/>
      <c r="AH561" s="493"/>
      <c r="AI561" s="493"/>
      <c r="AJ561" s="1031"/>
      <c r="AK561" s="493"/>
      <c r="AL561" s="493"/>
      <c r="AM561" s="493"/>
      <c r="AN561" s="493"/>
      <c r="AO561" s="1031"/>
      <c r="AP561" s="493"/>
      <c r="AQ561" s="493"/>
      <c r="AR561" s="493"/>
      <c r="AS561" s="493"/>
      <c r="AT561" s="1031"/>
      <c r="AU561" s="493"/>
      <c r="AV561" s="493"/>
      <c r="AW561" s="493"/>
      <c r="AX561" s="493"/>
      <c r="AY561" s="1031"/>
      <c r="AZ561" s="493"/>
      <c r="BA561" s="493"/>
      <c r="BB561" s="493"/>
      <c r="BC561" s="493"/>
      <c r="BD561" s="1031"/>
      <c r="BE561" s="493"/>
      <c r="BF561" s="493"/>
      <c r="BG561" s="493"/>
      <c r="BH561" s="493"/>
      <c r="BI561" s="1031"/>
      <c r="BJ561" s="493"/>
      <c r="BK561" s="493"/>
      <c r="BL561" s="493"/>
      <c r="BM561" s="493"/>
      <c r="BN561" s="1031"/>
      <c r="BO561" s="493"/>
      <c r="BP561" s="493"/>
      <c r="BQ561" s="493"/>
      <c r="BR561" s="493"/>
      <c r="BS561" s="1031"/>
      <c r="BT561" s="700"/>
      <c r="BU561" s="493"/>
      <c r="BV561" s="493"/>
      <c r="BW561" s="493"/>
      <c r="BX561" s="1031"/>
      <c r="BY561" s="493"/>
      <c r="BZ561" s="493"/>
      <c r="CA561" s="493"/>
      <c r="CB561" s="493"/>
      <c r="CC561" s="1031"/>
      <c r="CD561" s="1031"/>
      <c r="CE561" s="1031"/>
      <c r="CF561" s="1031"/>
      <c r="CG561" s="357"/>
    </row>
    <row r="562" spans="1:85" s="596" customFormat="1" ht="15" hidden="1" customHeight="1" outlineLevel="1" x14ac:dyDescent="0.3">
      <c r="A562" s="255" t="s">
        <v>953</v>
      </c>
      <c r="B562" s="398"/>
      <c r="C562" s="962">
        <f t="shared" ref="C562:AH562" si="1069">C554</f>
      </c>
      <c r="D562" s="962">
        <f t="shared" si="1069"/>
      </c>
      <c r="E562" s="962">
        <f t="shared" si="1069"/>
      </c>
      <c r="F562" s="962">
        <f t="shared" si="1069"/>
      </c>
      <c r="G562" s="757">
        <f t="shared" si="1069"/>
      </c>
      <c r="H562" s="757">
        <f t="shared" si="1069"/>
      </c>
      <c r="I562" s="757">
        <f t="shared" si="1069"/>
      </c>
      <c r="J562" s="757">
        <f t="shared" si="1069"/>
      </c>
      <c r="K562" s="962">
        <f t="shared" si="1069"/>
      </c>
      <c r="L562" s="757">
        <f t="shared" si="1069"/>
      </c>
      <c r="M562" s="757">
        <f t="shared" si="1069"/>
      </c>
      <c r="N562" s="757">
        <f t="shared" si="1069"/>
      </c>
      <c r="O562" s="757">
        <f t="shared" si="1069"/>
      </c>
      <c r="P562" s="962">
        <f t="shared" si="1069"/>
      </c>
      <c r="Q562" s="757">
        <f t="shared" si="1069"/>
      </c>
      <c r="R562" s="757">
        <f t="shared" si="1069"/>
      </c>
      <c r="S562" s="757">
        <f t="shared" si="1069"/>
      </c>
      <c r="T562" s="757">
        <f t="shared" si="1069"/>
      </c>
      <c r="U562" s="962">
        <f t="shared" si="1069"/>
      </c>
      <c r="V562" s="757">
        <f t="shared" si="1069"/>
      </c>
      <c r="W562" s="757">
        <f t="shared" si="1069"/>
      </c>
      <c r="X562" s="757">
        <f t="shared" si="1069"/>
      </c>
      <c r="Y562" s="757">
        <f t="shared" si="1069"/>
      </c>
      <c r="Z562" s="962">
        <f t="shared" si="1069"/>
      </c>
      <c r="AA562" s="757">
        <f t="shared" si="1069"/>
      </c>
      <c r="AB562" s="757">
        <f t="shared" si="1069"/>
      </c>
      <c r="AC562" s="757">
        <f t="shared" si="1069"/>
      </c>
      <c r="AD562" s="757">
        <f t="shared" si="1069"/>
      </c>
      <c r="AE562" s="962">
        <f t="shared" si="1069"/>
      </c>
      <c r="AF562" s="757">
        <f t="shared" si="1069"/>
      </c>
      <c r="AG562" s="757">
        <f t="shared" si="1069"/>
      </c>
      <c r="AH562" s="757">
        <f t="shared" si="1069"/>
      </c>
      <c r="AI562" s="757">
        <f t="shared" ref="AI562:BD562" si="1070">AI554</f>
      </c>
      <c r="AJ562" s="962">
        <f t="shared" si="1070"/>
      </c>
      <c r="AK562" s="757">
        <f t="shared" si="1070"/>
      </c>
      <c r="AL562" s="757">
        <f t="shared" si="1070"/>
      </c>
      <c r="AM562" s="757">
        <f t="shared" si="1070"/>
      </c>
      <c r="AN562" s="757">
        <f t="shared" si="1070"/>
      </c>
      <c r="AO562" s="962">
        <f t="shared" si="1070"/>
      </c>
      <c r="AP562" s="757">
        <f t="shared" si="1070"/>
      </c>
      <c r="AQ562" s="757">
        <f t="shared" si="1070"/>
      </c>
      <c r="AR562" s="757">
        <f t="shared" si="1070"/>
      </c>
      <c r="AS562" s="757">
        <f t="shared" si="1070"/>
      </c>
      <c r="AT562" s="962">
        <f t="shared" si="1070"/>
      </c>
      <c r="AU562" s="757">
        <f t="shared" si="1070"/>
      </c>
      <c r="AV562" s="757">
        <f t="shared" si="1070"/>
      </c>
      <c r="AW562" s="757">
        <f t="shared" si="1070"/>
      </c>
      <c r="AX562" s="757">
        <f t="shared" si="1070"/>
      </c>
      <c r="AY562" s="962">
        <f t="shared" si="1070"/>
      </c>
      <c r="AZ562" s="757">
        <f t="shared" si="1070"/>
      </c>
      <c r="BA562" s="757">
        <f t="shared" si="1070"/>
      </c>
      <c r="BB562" s="757">
        <f t="shared" si="1070"/>
      </c>
      <c r="BC562" s="757">
        <f t="shared" si="1070"/>
      </c>
      <c r="BD562" s="962">
        <f t="shared" si="1070"/>
      </c>
      <c r="BE562" s="757">
        <f t="shared" ref="BE562:BS562" si="1071">BE554+BE559</f>
      </c>
      <c r="BF562" s="757">
        <f t="shared" si="1071"/>
      </c>
      <c r="BG562" s="757">
        <f t="shared" si="1071"/>
      </c>
      <c r="BH562" s="757">
        <f t="shared" si="1071"/>
      </c>
      <c r="BI562" s="962">
        <f t="shared" si="1071"/>
      </c>
      <c r="BJ562" s="757">
        <f t="shared" si="1071"/>
      </c>
      <c r="BK562" s="757">
        <f t="shared" si="1071"/>
      </c>
      <c r="BL562" s="757">
        <f t="shared" si="1071"/>
      </c>
      <c r="BM562" s="757">
        <f t="shared" si="1071"/>
      </c>
      <c r="BN562" s="962">
        <f t="shared" si="1071"/>
      </c>
      <c r="BO562" s="757">
        <f t="shared" si="1071"/>
      </c>
      <c r="BP562" s="757">
        <f t="shared" si="1071"/>
      </c>
      <c r="BQ562" s="757">
        <f t="shared" si="1071"/>
      </c>
      <c r="BR562" s="757">
        <f t="shared" si="1071"/>
      </c>
      <c r="BS562" s="962">
        <f t="shared" si="1071"/>
      </c>
      <c r="BT562" s="758">
        <f t="shared" ref="BT562" si="1072">BT554+BT559</f>
      </c>
      <c r="BU562" s="804"/>
      <c r="BV562" s="804"/>
      <c r="BW562" s="804"/>
      <c r="BX562" s="1008"/>
      <c r="BY562" s="804"/>
      <c r="BZ562" s="804"/>
      <c r="CA562" s="804"/>
      <c r="CB562" s="804"/>
      <c r="CC562" s="1008"/>
      <c r="CD562" s="1008"/>
      <c r="CE562" s="1008"/>
      <c r="CF562" s="1008"/>
      <c r="CG562" s="397"/>
    </row>
    <row r="563" spans="1:85" s="598" customFormat="1" ht="15" hidden="1" customHeight="1" outlineLevel="1" x14ac:dyDescent="0.3">
      <c r="A563" s="371"/>
      <c r="B563" s="484"/>
      <c r="C563" s="1030"/>
      <c r="D563" s="1030"/>
      <c r="E563" s="1030"/>
      <c r="F563" s="1030"/>
      <c r="G563" s="485"/>
      <c r="H563" s="485"/>
      <c r="I563" s="485"/>
      <c r="J563" s="485"/>
      <c r="K563" s="1030"/>
      <c r="L563" s="485"/>
      <c r="M563" s="485"/>
      <c r="N563" s="485"/>
      <c r="O563" s="485"/>
      <c r="P563" s="1030"/>
      <c r="Q563" s="485"/>
      <c r="R563" s="485"/>
      <c r="S563" s="485"/>
      <c r="T563" s="485"/>
      <c r="U563" s="1030"/>
      <c r="V563" s="485"/>
      <c r="W563" s="485"/>
      <c r="X563" s="485"/>
      <c r="Y563" s="485"/>
      <c r="Z563" s="1030"/>
      <c r="AA563" s="485"/>
      <c r="AB563" s="485"/>
      <c r="AC563" s="485"/>
      <c r="AD563" s="485"/>
      <c r="AE563" s="1030"/>
      <c r="AF563" s="485"/>
      <c r="AG563" s="485"/>
      <c r="AH563" s="485"/>
      <c r="AI563" s="485"/>
      <c r="AJ563" s="1030"/>
      <c r="AK563" s="485"/>
      <c r="AL563" s="485"/>
      <c r="AM563" s="485"/>
      <c r="AN563" s="485"/>
      <c r="AO563" s="1030"/>
      <c r="AP563" s="485"/>
      <c r="AQ563" s="485"/>
      <c r="AR563" s="485"/>
      <c r="AS563" s="485"/>
      <c r="AT563" s="1030"/>
      <c r="AU563" s="485"/>
      <c r="AV563" s="485"/>
      <c r="AW563" s="485"/>
      <c r="AX563" s="485"/>
      <c r="AY563" s="1030"/>
      <c r="AZ563" s="485"/>
      <c r="BA563" s="485"/>
      <c r="BB563" s="485"/>
      <c r="BC563" s="485"/>
      <c r="BD563" s="1030"/>
      <c r="BE563" s="485"/>
      <c r="BF563" s="485"/>
      <c r="BG563" s="485"/>
      <c r="BH563" s="485"/>
      <c r="BI563" s="1030"/>
      <c r="BJ563" s="485"/>
      <c r="BK563" s="485"/>
      <c r="BL563" s="485"/>
      <c r="BM563" s="485"/>
      <c r="BN563" s="1030"/>
      <c r="BO563" s="485"/>
      <c r="BP563" s="485"/>
      <c r="BQ563" s="485"/>
      <c r="BR563" s="485"/>
      <c r="BS563" s="1030"/>
      <c r="BT563" s="699"/>
      <c r="BU563" s="485"/>
      <c r="BV563" s="485"/>
      <c r="BW563" s="485"/>
      <c r="BX563" s="1030"/>
      <c r="BY563" s="485"/>
      <c r="BZ563" s="485"/>
      <c r="CA563" s="485"/>
      <c r="CB563" s="485"/>
      <c r="CC563" s="1030"/>
      <c r="CD563" s="1030"/>
      <c r="CE563" s="1030"/>
      <c r="CF563" s="1030"/>
      <c r="CG563" s="357"/>
    </row>
    <row r="564" spans="1:85" s="597" customFormat="1" ht="15" hidden="1" customHeight="1" outlineLevel="1" x14ac:dyDescent="0.3">
      <c r="A564" s="244" t="s">
        <v>954</v>
      </c>
      <c r="B564" s="482"/>
      <c r="C564" s="969">
        <f t="shared" ref="C564:AH564" si="1073">C518+C562</f>
      </c>
      <c r="D564" s="969">
        <f t="shared" si="1073"/>
      </c>
      <c r="E564" s="969">
        <f t="shared" si="1073"/>
      </c>
      <c r="F564" s="969">
        <f t="shared" si="1073"/>
      </c>
      <c r="G564" s="759">
        <f t="shared" si="1073"/>
      </c>
      <c r="H564" s="759">
        <f t="shared" si="1073"/>
      </c>
      <c r="I564" s="759">
        <f t="shared" si="1073"/>
      </c>
      <c r="J564" s="759">
        <f t="shared" si="1073"/>
      </c>
      <c r="K564" s="969">
        <f t="shared" si="1073"/>
      </c>
      <c r="L564" s="759">
        <f t="shared" si="1073"/>
      </c>
      <c r="M564" s="759">
        <f t="shared" si="1073"/>
      </c>
      <c r="N564" s="759">
        <f t="shared" si="1073"/>
      </c>
      <c r="O564" s="759">
        <f t="shared" si="1073"/>
      </c>
      <c r="P564" s="969">
        <f t="shared" si="1073"/>
      </c>
      <c r="Q564" s="759">
        <f t="shared" si="1073"/>
      </c>
      <c r="R564" s="759">
        <f t="shared" si="1073"/>
      </c>
      <c r="S564" s="759">
        <f t="shared" si="1073"/>
      </c>
      <c r="T564" s="759">
        <f t="shared" si="1073"/>
      </c>
      <c r="U564" s="969">
        <f t="shared" si="1073"/>
      </c>
      <c r="V564" s="759">
        <f t="shared" si="1073"/>
      </c>
      <c r="W564" s="759">
        <f t="shared" si="1073"/>
      </c>
      <c r="X564" s="759">
        <f t="shared" si="1073"/>
      </c>
      <c r="Y564" s="759">
        <f t="shared" si="1073"/>
      </c>
      <c r="Z564" s="969">
        <f t="shared" si="1073"/>
      </c>
      <c r="AA564" s="759">
        <f t="shared" si="1073"/>
      </c>
      <c r="AB564" s="759">
        <f t="shared" si="1073"/>
      </c>
      <c r="AC564" s="759">
        <f t="shared" si="1073"/>
      </c>
      <c r="AD564" s="759">
        <f t="shared" si="1073"/>
      </c>
      <c r="AE564" s="969">
        <f t="shared" si="1073"/>
      </c>
      <c r="AF564" s="759">
        <f t="shared" si="1073"/>
      </c>
      <c r="AG564" s="759">
        <f t="shared" si="1073"/>
      </c>
      <c r="AH564" s="759">
        <f t="shared" si="1073"/>
      </c>
      <c r="AI564" s="759">
        <f t="shared" ref="AI564:BS564" si="1074">AI518+AI562</f>
      </c>
      <c r="AJ564" s="969">
        <f t="shared" si="1074"/>
      </c>
      <c r="AK564" s="759">
        <f t="shared" si="1074"/>
      </c>
      <c r="AL564" s="759">
        <f t="shared" si="1074"/>
      </c>
      <c r="AM564" s="759">
        <f t="shared" si="1074"/>
      </c>
      <c r="AN564" s="759">
        <f t="shared" si="1074"/>
      </c>
      <c r="AO564" s="969">
        <f t="shared" si="1074"/>
      </c>
      <c r="AP564" s="759">
        <f t="shared" si="1074"/>
      </c>
      <c r="AQ564" s="759">
        <f t="shared" si="1074"/>
      </c>
      <c r="AR564" s="759">
        <f t="shared" si="1074"/>
      </c>
      <c r="AS564" s="759">
        <f t="shared" si="1074"/>
      </c>
      <c r="AT564" s="969">
        <f t="shared" si="1074"/>
      </c>
      <c r="AU564" s="759">
        <f t="shared" si="1074"/>
      </c>
      <c r="AV564" s="759">
        <f t="shared" si="1074"/>
      </c>
      <c r="AW564" s="759">
        <f t="shared" si="1074"/>
      </c>
      <c r="AX564" s="759">
        <f t="shared" si="1074"/>
      </c>
      <c r="AY564" s="969">
        <f t="shared" si="1074"/>
      </c>
      <c r="AZ564" s="759">
        <f t="shared" si="1074"/>
      </c>
      <c r="BA564" s="759">
        <f t="shared" si="1074"/>
      </c>
      <c r="BB564" s="759">
        <f t="shared" si="1074"/>
      </c>
      <c r="BC564" s="759">
        <f t="shared" si="1074"/>
      </c>
      <c r="BD564" s="969">
        <f t="shared" si="1074"/>
      </c>
      <c r="BE564" s="759">
        <f t="shared" si="1074"/>
      </c>
      <c r="BF564" s="759">
        <f t="shared" si="1074"/>
      </c>
      <c r="BG564" s="759">
        <f t="shared" si="1074"/>
      </c>
      <c r="BH564" s="759">
        <f t="shared" si="1074"/>
      </c>
      <c r="BI564" s="969">
        <f t="shared" si="1074"/>
      </c>
      <c r="BJ564" s="759">
        <f t="shared" si="1074"/>
      </c>
      <c r="BK564" s="759">
        <f t="shared" si="1074"/>
      </c>
      <c r="BL564" s="759">
        <f t="shared" si="1074"/>
      </c>
      <c r="BM564" s="759">
        <f t="shared" si="1074"/>
      </c>
      <c r="BN564" s="969">
        <f t="shared" si="1074"/>
      </c>
      <c r="BO564" s="759">
        <f t="shared" si="1074"/>
      </c>
      <c r="BP564" s="759">
        <f t="shared" si="1074"/>
      </c>
      <c r="BQ564" s="759">
        <f t="shared" si="1074"/>
      </c>
      <c r="BR564" s="759">
        <f t="shared" si="1074"/>
      </c>
      <c r="BS564" s="969">
        <f t="shared" si="1074"/>
      </c>
      <c r="BT564" s="760">
        <f t="shared" ref="BT564" si="1075">BT518+BT562</f>
      </c>
      <c r="BU564" s="759"/>
      <c r="BV564" s="759"/>
      <c r="BW564" s="759"/>
      <c r="BX564" s="969"/>
      <c r="BY564" s="759"/>
      <c r="BZ564" s="759"/>
      <c r="CA564" s="759"/>
      <c r="CB564" s="759"/>
      <c r="CC564" s="969"/>
      <c r="CD564" s="969"/>
      <c r="CE564" s="969"/>
      <c r="CF564" s="969"/>
      <c r="CG564" s="483"/>
    </row>
    <row r="565" spans="1:85" s="598" customFormat="1" ht="15" hidden="1" customHeight="1" outlineLevel="1" x14ac:dyDescent="0.3">
      <c r="A565" s="371"/>
      <c r="B565" s="484"/>
      <c r="C565" s="1030"/>
      <c r="D565" s="1030"/>
      <c r="E565" s="1030"/>
      <c r="F565" s="1030"/>
      <c r="G565" s="485"/>
      <c r="H565" s="485"/>
      <c r="I565" s="485"/>
      <c r="J565" s="485"/>
      <c r="K565" s="1030"/>
      <c r="L565" s="485"/>
      <c r="M565" s="485"/>
      <c r="N565" s="485"/>
      <c r="O565" s="485"/>
      <c r="P565" s="1030"/>
      <c r="Q565" s="485"/>
      <c r="R565" s="485"/>
      <c r="S565" s="485"/>
      <c r="T565" s="485"/>
      <c r="U565" s="1030"/>
      <c r="V565" s="485"/>
      <c r="W565" s="485"/>
      <c r="X565" s="485"/>
      <c r="Y565" s="485"/>
      <c r="Z565" s="1030"/>
      <c r="AA565" s="485"/>
      <c r="AB565" s="485"/>
      <c r="AC565" s="485"/>
      <c r="AD565" s="485"/>
      <c r="AE565" s="1030"/>
      <c r="AF565" s="485"/>
      <c r="AG565" s="485"/>
      <c r="AH565" s="485"/>
      <c r="AI565" s="485"/>
      <c r="AJ565" s="1030"/>
      <c r="AK565" s="485"/>
      <c r="AL565" s="485"/>
      <c r="AM565" s="485"/>
      <c r="AN565" s="485"/>
      <c r="AO565" s="1030"/>
      <c r="AP565" s="485"/>
      <c r="AQ565" s="485"/>
      <c r="AR565" s="485"/>
      <c r="AS565" s="485"/>
      <c r="AT565" s="1030"/>
      <c r="AU565" s="485"/>
      <c r="AV565" s="485"/>
      <c r="AW565" s="485"/>
      <c r="AX565" s="485"/>
      <c r="AY565" s="1030"/>
      <c r="AZ565" s="485"/>
      <c r="BA565" s="485"/>
      <c r="BB565" s="485"/>
      <c r="BC565" s="485"/>
      <c r="BD565" s="1030"/>
      <c r="BE565" s="485"/>
      <c r="BF565" s="485"/>
      <c r="BG565" s="485"/>
      <c r="BH565" s="485"/>
      <c r="BI565" s="1030"/>
      <c r="BJ565" s="485"/>
      <c r="BK565" s="485"/>
      <c r="BL565" s="485"/>
      <c r="BM565" s="485"/>
      <c r="BN565" s="1030"/>
      <c r="BO565" s="485"/>
      <c r="BP565" s="485"/>
      <c r="BQ565" s="485"/>
      <c r="BR565" s="485"/>
      <c r="BS565" s="1030"/>
      <c r="BT565" s="699"/>
      <c r="BU565" s="485"/>
      <c r="BV565" s="485"/>
      <c r="BW565" s="485"/>
      <c r="BX565" s="1030"/>
      <c r="BY565" s="485"/>
      <c r="BZ565" s="485"/>
      <c r="CA565" s="485"/>
      <c r="CB565" s="485"/>
      <c r="CC565" s="1030"/>
      <c r="CD565" s="1030"/>
      <c r="CE565" s="1030"/>
      <c r="CF565" s="1030"/>
      <c r="CG565" s="357"/>
    </row>
    <row r="566" spans="1:85" ht="15" hidden="1" customHeight="1" outlineLevel="1" x14ac:dyDescent="0.3">
      <c r="A566" s="459" t="s">
        <v>955</v>
      </c>
      <c r="B566" s="414"/>
      <c r="C566" s="963">
        <f>(53.533265*(7))*10</f>
      </c>
      <c r="D566" s="963">
        <f>(52.890638*(7))*10</f>
      </c>
      <c r="E566" s="963">
        <f>(55.418632*(7))*10</f>
      </c>
      <c r="F566" s="963">
        <f>(55.993477*(7))*10</f>
      </c>
      <c r="G566" s="857">
        <f>(56.143986*(7))*10</f>
      </c>
      <c r="H566" s="857">
        <f>(58.922493*(7))*10</f>
      </c>
      <c r="I566" s="857">
        <f>(59.257798*(7))*10</f>
      </c>
      <c r="J566" s="757">
        <f>K566</f>
      </c>
      <c r="K566" s="963">
        <f>(59.807236*(7))*10</f>
      </c>
      <c r="L566" s="857">
        <f>(59.940336*(7))*10</f>
      </c>
      <c r="M566" s="857">
        <f>(60.091015*(7))*10</f>
      </c>
      <c r="N566" s="857">
        <f>(60.246379*(7))*10</f>
      </c>
      <c r="O566" s="757">
        <f>P566</f>
      </c>
      <c r="P566" s="963">
        <f>(60.498082*(7))*10</f>
      </c>
      <c r="Q566" s="857">
        <f>(60.620721*(7))*10</f>
      </c>
      <c r="R566" s="857">
        <v>4260.0483100000001</v>
      </c>
      <c r="S566" s="857">
        <v>4273.8828800000001</v>
      </c>
      <c r="T566" s="757">
        <f>U566</f>
      </c>
      <c r="U566" s="963">
        <v>4280.8122100000001</v>
      </c>
      <c r="V566" s="857">
        <v>4282.8921600000003</v>
      </c>
      <c r="W566" s="857">
        <v>4287.2538800000002</v>
      </c>
      <c r="X566" s="857">
        <v>4291.4502300000004</v>
      </c>
      <c r="Y566" s="757">
        <f>Z566</f>
      </c>
      <c r="Z566" s="963">
        <v>4304.1159299999999</v>
      </c>
      <c r="AA566" s="857">
        <v>4309.9342900000001</v>
      </c>
      <c r="AB566" s="857">
        <v>4317.4974400000001</v>
      </c>
      <c r="AC566" s="857">
        <v>4327.3113000000003</v>
      </c>
      <c r="AD566" s="757">
        <f>AE566</f>
      </c>
      <c r="AE566" s="963">
        <v>4339.4846100000004</v>
      </c>
      <c r="AF566" s="857">
        <v>4346.5730299999996</v>
      </c>
      <c r="AG566" s="857">
        <v>4354.5750500000004</v>
      </c>
      <c r="AH566" s="857">
        <v>4360.8499499999998</v>
      </c>
      <c r="AI566" s="757">
        <f>AJ566</f>
      </c>
      <c r="AJ566" s="963">
        <v>4365.9859699999997</v>
      </c>
      <c r="AK566" s="857">
        <v>4371.9189100000003</v>
      </c>
      <c r="AL566" s="857">
        <v>4378.3488200000002</v>
      </c>
      <c r="AM566" s="857">
        <v>4382.51289</v>
      </c>
      <c r="AN566" s="757">
        <f>AO566</f>
      </c>
      <c r="AO566" s="963">
        <v>4388.0664900000002</v>
      </c>
      <c r="AP566" s="857">
        <v>4397.8061799999996</v>
      </c>
      <c r="AQ566" s="857">
        <v>4410.1544299999996</v>
      </c>
      <c r="AR566" s="857">
        <v>4417.9500799999996</v>
      </c>
      <c r="AS566" s="757">
        <f>AT566</f>
      </c>
      <c r="AT566" s="963">
        <v>4428.9526100000003</v>
      </c>
      <c r="AU566" s="857">
        <v>4433.8373199999996</v>
      </c>
      <c r="AV566" s="857">
        <v>4425.9588800000001</v>
      </c>
      <c r="AW566" s="857">
        <v>4429.5219399999996</v>
      </c>
      <c r="AX566" s="757">
        <f>AY566</f>
      </c>
      <c r="AY566" s="963">
        <v>4439.6310700000004</v>
      </c>
      <c r="AZ566" s="857">
        <v>4442.7385000000004</v>
      </c>
      <c r="BA566" s="857">
        <v>4447.05591</v>
      </c>
      <c r="BB566" s="857">
        <v>4450.2049399999996</v>
      </c>
      <c r="BC566" s="757">
        <f>BD566</f>
      </c>
      <c r="BD566" s="963">
        <v>4453.4677600000005</v>
      </c>
      <c r="BE566" s="857">
        <v>4445.3687799999998</v>
      </c>
      <c r="BF566" s="857">
        <v>4431.4675100000004</v>
      </c>
      <c r="BG566" s="857">
        <v>4376.7966900000001</v>
      </c>
      <c r="BH566" s="757">
        <f>BI566</f>
      </c>
      <c r="BI566" s="963">
        <v>4327.59584</v>
      </c>
      <c r="BJ566" s="857">
        <v>4309.6499100000001</v>
      </c>
      <c r="BK566" s="857">
        <v>4291.6461499999996</v>
      </c>
      <c r="BL566" s="857">
        <v>4274.5811400000002</v>
      </c>
      <c r="BM566" s="757">
        <f>BN566</f>
      </c>
      <c r="BN566" s="963">
        <v>4277.5709999999999</v>
      </c>
      <c r="BO566" s="857">
        <v>4256.8320999999996</v>
      </c>
      <c r="BP566" s="857">
        <v>4249.2634600000001</v>
      </c>
      <c r="BQ566" s="857">
        <v>4237.3233399999999</v>
      </c>
      <c r="BR566" s="757">
        <f>BS566</f>
      </c>
      <c r="BS566" s="963">
        <v>4222.1621500000001</v>
      </c>
      <c r="BT566" s="864">
        <v>4212.7942709999998</v>
      </c>
      <c r="BU566" s="757"/>
      <c r="BV566" s="757"/>
      <c r="BW566" s="757"/>
      <c r="BX566" s="962"/>
      <c r="BY566" s="757"/>
      <c r="BZ566" s="757"/>
      <c r="CA566" s="757"/>
      <c r="CB566" s="757"/>
      <c r="CC566" s="962"/>
      <c r="CD566" s="962"/>
      <c r="CE566" s="962"/>
      <c r="CF566" s="962"/>
      <c r="CG566" s="459"/>
    </row>
    <row r="567" spans="1:85" s="596" customFormat="1" ht="15" hidden="1" customHeight="1" outlineLevel="1" x14ac:dyDescent="0.3">
      <c r="A567" s="459" t="s">
        <v>956</v>
      </c>
      <c r="B567" s="398"/>
      <c r="C567" s="1032">
        <v>40209</v>
      </c>
      <c r="D567" s="1032">
        <v>40574</v>
      </c>
      <c r="E567" s="1032">
        <v>40939</v>
      </c>
      <c r="F567" s="1032">
        <v>41305</v>
      </c>
      <c r="G567" s="883">
        <v>41364</v>
      </c>
      <c r="H567" s="883">
        <v>41455</v>
      </c>
      <c r="I567" s="883">
        <v>41547</v>
      </c>
      <c r="J567" s="399">
        <f>K567</f>
      </c>
      <c r="K567" s="1032">
        <v>41669</v>
      </c>
      <c r="L567" s="883">
        <v>41729</v>
      </c>
      <c r="M567" s="883">
        <v>41820</v>
      </c>
      <c r="N567" s="883">
        <v>41912</v>
      </c>
      <c r="O567" s="399">
        <f>P567</f>
      </c>
      <c r="P567" s="1032">
        <v>42032</v>
      </c>
      <c r="Q567" s="883">
        <v>42094</v>
      </c>
      <c r="R567" s="883">
        <v>42185</v>
      </c>
      <c r="S567" s="883">
        <v>42277</v>
      </c>
      <c r="T567" s="399">
        <f>U567</f>
      </c>
      <c r="U567" s="1032">
        <v>42396</v>
      </c>
      <c r="V567" s="883">
        <v>42460</v>
      </c>
      <c r="W567" s="883">
        <v>42551</v>
      </c>
      <c r="X567" s="883">
        <v>42643</v>
      </c>
      <c r="Y567" s="399">
        <f>Z567</f>
      </c>
      <c r="Z567" s="1032">
        <v>42761</v>
      </c>
      <c r="AA567" s="883">
        <v>42825</v>
      </c>
      <c r="AB567" s="883">
        <v>42916</v>
      </c>
      <c r="AC567" s="883">
        <v>43008</v>
      </c>
      <c r="AD567" s="399">
        <f>AE567</f>
      </c>
      <c r="AE567" s="1032">
        <v>43125</v>
      </c>
      <c r="AF567" s="883">
        <v>43190</v>
      </c>
      <c r="AG567" s="883">
        <v>43281</v>
      </c>
      <c r="AH567" s="883">
        <v>43373</v>
      </c>
      <c r="AI567" s="399">
        <f>AJ567</f>
      </c>
      <c r="AJ567" s="1032">
        <v>43465</v>
      </c>
      <c r="AK567" s="883">
        <v>43555</v>
      </c>
      <c r="AL567" s="883">
        <v>43646</v>
      </c>
      <c r="AM567" s="883">
        <v>43738</v>
      </c>
      <c r="AN567" s="399">
        <f>AO567</f>
      </c>
      <c r="AO567" s="1032">
        <v>43830</v>
      </c>
      <c r="AP567" s="883">
        <v>43921</v>
      </c>
      <c r="AQ567" s="883">
        <v>44012</v>
      </c>
      <c r="AR567" s="883">
        <v>44104</v>
      </c>
      <c r="AS567" s="399">
        <f>AT567</f>
      </c>
      <c r="AT567" s="1032">
        <v>44196</v>
      </c>
      <c r="AU567" s="883">
        <v>44286</v>
      </c>
      <c r="AV567" s="883">
        <v>44377</v>
      </c>
      <c r="AW567" s="883">
        <v>44469</v>
      </c>
      <c r="AX567" s="399">
        <f>AY567</f>
      </c>
      <c r="AY567" s="1032">
        <v>44561</v>
      </c>
      <c r="AZ567" s="883">
        <v>44651</v>
      </c>
      <c r="BA567" s="883">
        <v>44742</v>
      </c>
      <c r="BB567" s="883">
        <v>44834</v>
      </c>
      <c r="BC567" s="399">
        <f>BD567</f>
      </c>
      <c r="BD567" s="1032">
        <v>44926</v>
      </c>
      <c r="BE567" s="883">
        <v>45016</v>
      </c>
      <c r="BF567" s="883">
        <v>45107</v>
      </c>
      <c r="BG567" s="883">
        <v>45199</v>
      </c>
      <c r="BH567" s="399">
        <f>BI567</f>
      </c>
      <c r="BI567" s="1032">
        <v>45291</v>
      </c>
      <c r="BJ567" s="883">
        <v>45382</v>
      </c>
      <c r="BK567" s="883">
        <v>45473</v>
      </c>
      <c r="BL567" s="883">
        <v>45565</v>
      </c>
      <c r="BM567" s="399">
        <f>BN567</f>
      </c>
      <c r="BN567" s="1032">
        <v>45657</v>
      </c>
      <c r="BO567" s="883">
        <v>45747</v>
      </c>
      <c r="BP567" s="883">
        <v>45838</v>
      </c>
      <c r="BQ567" s="883">
        <v>45930</v>
      </c>
      <c r="BR567" s="399">
        <f>BS567</f>
      </c>
      <c r="BS567" s="1032">
        <v>46022</v>
      </c>
      <c r="BT567" s="884">
        <v>46112</v>
      </c>
      <c r="BU567" s="399"/>
      <c r="BV567" s="399"/>
      <c r="BW567" s="399"/>
      <c r="BX567" s="1022"/>
      <c r="BY567" s="399"/>
      <c r="BZ567" s="399"/>
      <c r="CA567" s="399"/>
      <c r="CB567" s="399"/>
      <c r="CC567" s="1022"/>
      <c r="CD567" s="1022"/>
      <c r="CE567" s="1022"/>
      <c r="CF567" s="1022"/>
      <c r="CG567" s="397"/>
    </row>
    <row r="568" spans="1:85" s="596" customFormat="1" ht="15" hidden="1" customHeight="1" outlineLevel="1" x14ac:dyDescent="0.3">
      <c r="A568" s="757"/>
      <c r="B568" s="398"/>
      <c r="C568" s="1022"/>
      <c r="D568" s="1022"/>
      <c r="E568" s="1022"/>
      <c r="F568" s="1022"/>
      <c r="G568" s="399"/>
      <c r="H568" s="399"/>
      <c r="I568" s="399"/>
      <c r="J568" s="399"/>
      <c r="K568" s="1022"/>
      <c r="L568" s="399"/>
      <c r="M568" s="399"/>
      <c r="N568" s="399"/>
      <c r="O568" s="399"/>
      <c r="P568" s="1022"/>
      <c r="Q568" s="399"/>
      <c r="R568" s="399"/>
      <c r="S568" s="399"/>
      <c r="T568" s="399"/>
      <c r="U568" s="1022"/>
      <c r="V568" s="399"/>
      <c r="W568" s="399"/>
      <c r="X568" s="399"/>
      <c r="Y568" s="399"/>
      <c r="Z568" s="1022"/>
      <c r="AA568" s="399"/>
      <c r="AB568" s="399"/>
      <c r="AC568" s="399"/>
      <c r="AD568" s="399"/>
      <c r="AE568" s="1022"/>
      <c r="AF568" s="399"/>
      <c r="AG568" s="399"/>
      <c r="AH568" s="399"/>
      <c r="AI568" s="399"/>
      <c r="AJ568" s="1022"/>
      <c r="AK568" s="399"/>
      <c r="AL568" s="399"/>
      <c r="AM568" s="399"/>
      <c r="AN568" s="399"/>
      <c r="AO568" s="1022"/>
      <c r="AP568" s="399"/>
      <c r="AQ568" s="399"/>
      <c r="AR568" s="399"/>
      <c r="AS568" s="399"/>
      <c r="AT568" s="1022"/>
      <c r="AU568" s="399"/>
      <c r="AV568" s="399"/>
      <c r="AW568" s="399"/>
      <c r="AX568" s="399"/>
      <c r="AY568" s="1022"/>
      <c r="AZ568" s="399"/>
      <c r="BA568" s="399"/>
      <c r="BB568" s="399"/>
      <c r="BC568" s="399"/>
      <c r="BD568" s="1022"/>
      <c r="BE568" s="399"/>
      <c r="BF568" s="399"/>
      <c r="BG568" s="399"/>
      <c r="BH568" s="399"/>
      <c r="BI568" s="1022"/>
      <c r="BJ568" s="399"/>
      <c r="BK568" s="399"/>
      <c r="BL568" s="399"/>
      <c r="BM568" s="399"/>
      <c r="BN568" s="1022"/>
      <c r="BO568" s="399"/>
      <c r="BP568" s="399"/>
      <c r="BQ568" s="399"/>
      <c r="BR568" s="399"/>
      <c r="BS568" s="1022"/>
      <c r="BT568" s="698"/>
      <c r="BU568" s="399"/>
      <c r="BV568" s="399"/>
      <c r="BW568" s="399"/>
      <c r="BX568" s="1022"/>
      <c r="BY568" s="399"/>
      <c r="BZ568" s="399"/>
      <c r="CA568" s="399"/>
      <c r="CB568" s="399"/>
      <c r="CC568" s="1022"/>
      <c r="CD568" s="1022"/>
      <c r="CE568" s="1022"/>
      <c r="CF568" s="1022"/>
      <c r="CG568" s="397"/>
    </row>
    <row r="569" spans="1:85" s="589" customFormat="1" ht="15" hidden="1" customHeight="1" outlineLevel="1" x14ac:dyDescent="0.3">
      <c r="A569" s="183" t="s">
        <v>957</v>
      </c>
      <c r="B569" s="428"/>
      <c r="C569" s="969">
        <f t="shared" ref="C569:AH569" si="1076">C562+C566</f>
      </c>
      <c r="D569" s="969">
        <f t="shared" si="1076"/>
      </c>
      <c r="E569" s="969">
        <f t="shared" si="1076"/>
      </c>
      <c r="F569" s="969">
        <f t="shared" si="1076"/>
      </c>
      <c r="G569" s="759">
        <f t="shared" si="1076"/>
      </c>
      <c r="H569" s="759">
        <f t="shared" si="1076"/>
      </c>
      <c r="I569" s="759">
        <f t="shared" si="1076"/>
      </c>
      <c r="J569" s="759">
        <f t="shared" si="1076"/>
      </c>
      <c r="K569" s="969">
        <f t="shared" si="1076"/>
      </c>
      <c r="L569" s="759">
        <f t="shared" si="1076"/>
      </c>
      <c r="M569" s="759">
        <f t="shared" si="1076"/>
      </c>
      <c r="N569" s="759">
        <f t="shared" si="1076"/>
      </c>
      <c r="O569" s="759">
        <f t="shared" si="1076"/>
      </c>
      <c r="P569" s="969">
        <f t="shared" si="1076"/>
      </c>
      <c r="Q569" s="759">
        <f t="shared" si="1076"/>
      </c>
      <c r="R569" s="759">
        <f t="shared" si="1076"/>
      </c>
      <c r="S569" s="759">
        <f t="shared" si="1076"/>
      </c>
      <c r="T569" s="759">
        <f t="shared" si="1076"/>
      </c>
      <c r="U569" s="969">
        <f t="shared" si="1076"/>
      </c>
      <c r="V569" s="759">
        <f t="shared" si="1076"/>
      </c>
      <c r="W569" s="759">
        <f t="shared" si="1076"/>
      </c>
      <c r="X569" s="759">
        <f t="shared" si="1076"/>
      </c>
      <c r="Y569" s="759">
        <f t="shared" si="1076"/>
      </c>
      <c r="Z569" s="969">
        <f t="shared" si="1076"/>
      </c>
      <c r="AA569" s="759">
        <f t="shared" si="1076"/>
      </c>
      <c r="AB569" s="759">
        <f t="shared" si="1076"/>
      </c>
      <c r="AC569" s="759">
        <f t="shared" si="1076"/>
      </c>
      <c r="AD569" s="759">
        <f t="shared" si="1076"/>
      </c>
      <c r="AE569" s="969">
        <f t="shared" si="1076"/>
      </c>
      <c r="AF569" s="759">
        <f t="shared" si="1076"/>
      </c>
      <c r="AG569" s="759">
        <f t="shared" si="1076"/>
      </c>
      <c r="AH569" s="759">
        <f t="shared" si="1076"/>
      </c>
      <c r="AI569" s="759">
        <f t="shared" ref="AI569:BS569" si="1077">AI562+AI566</f>
      </c>
      <c r="AJ569" s="969">
        <f t="shared" si="1077"/>
      </c>
      <c r="AK569" s="759">
        <f t="shared" si="1077"/>
      </c>
      <c r="AL569" s="759">
        <f t="shared" si="1077"/>
      </c>
      <c r="AM569" s="759">
        <f t="shared" si="1077"/>
      </c>
      <c r="AN569" s="759">
        <f t="shared" si="1077"/>
      </c>
      <c r="AO569" s="969">
        <f t="shared" si="1077"/>
      </c>
      <c r="AP569" s="759">
        <f t="shared" si="1077"/>
      </c>
      <c r="AQ569" s="759">
        <f t="shared" si="1077"/>
      </c>
      <c r="AR569" s="759">
        <f t="shared" si="1077"/>
      </c>
      <c r="AS569" s="759">
        <f t="shared" si="1077"/>
      </c>
      <c r="AT569" s="969">
        <f t="shared" si="1077"/>
      </c>
      <c r="AU569" s="759">
        <f t="shared" si="1077"/>
      </c>
      <c r="AV569" s="759">
        <f t="shared" si="1077"/>
      </c>
      <c r="AW569" s="759">
        <f t="shared" si="1077"/>
      </c>
      <c r="AX569" s="759">
        <f t="shared" si="1077"/>
      </c>
      <c r="AY569" s="969">
        <f t="shared" si="1077"/>
      </c>
      <c r="AZ569" s="759">
        <f t="shared" si="1077"/>
      </c>
      <c r="BA569" s="759">
        <f t="shared" si="1077"/>
      </c>
      <c r="BB569" s="759">
        <f t="shared" si="1077"/>
      </c>
      <c r="BC569" s="759">
        <f t="shared" si="1077"/>
      </c>
      <c r="BD569" s="969">
        <f t="shared" si="1077"/>
      </c>
      <c r="BE569" s="759">
        <f t="shared" si="1077"/>
      </c>
      <c r="BF569" s="759">
        <f t="shared" si="1077"/>
      </c>
      <c r="BG569" s="759">
        <f t="shared" si="1077"/>
      </c>
      <c r="BH569" s="759">
        <f t="shared" si="1077"/>
      </c>
      <c r="BI569" s="969">
        <f t="shared" si="1077"/>
      </c>
      <c r="BJ569" s="759">
        <f t="shared" si="1077"/>
      </c>
      <c r="BK569" s="759">
        <f t="shared" si="1077"/>
      </c>
      <c r="BL569" s="759">
        <f t="shared" si="1077"/>
      </c>
      <c r="BM569" s="759">
        <f t="shared" si="1077"/>
      </c>
      <c r="BN569" s="969">
        <f t="shared" si="1077"/>
      </c>
      <c r="BO569" s="759">
        <f t="shared" si="1077"/>
      </c>
      <c r="BP569" s="759">
        <f t="shared" si="1077"/>
      </c>
      <c r="BQ569" s="759">
        <f t="shared" si="1077"/>
      </c>
      <c r="BR569" s="759">
        <f t="shared" si="1077"/>
      </c>
      <c r="BS569" s="969">
        <f t="shared" si="1077"/>
      </c>
      <c r="BT569" s="760">
        <f t="shared" ref="BT569" si="1078">BT562+BT566</f>
      </c>
      <c r="BU569" s="759"/>
      <c r="BV569" s="759"/>
      <c r="BW569" s="759"/>
      <c r="BX569" s="969"/>
      <c r="BY569" s="759"/>
      <c r="BZ569" s="759"/>
      <c r="CA569" s="759"/>
      <c r="CB569" s="759"/>
      <c r="CC569" s="969"/>
      <c r="CD569" s="969"/>
      <c r="CE569" s="969"/>
      <c r="CF569" s="969"/>
      <c r="CG569" s="183"/>
    </row>
    <row r="570" spans="1:85" s="596" customFormat="1" ht="15" hidden="1" customHeight="1" outlineLevel="1" x14ac:dyDescent="0.3">
      <c r="A570" s="757"/>
      <c r="B570" s="398"/>
      <c r="C570" s="962"/>
      <c r="D570" s="962"/>
      <c r="E570" s="962"/>
      <c r="F570" s="962"/>
      <c r="G570" s="757"/>
      <c r="H570" s="757"/>
      <c r="I570" s="757"/>
      <c r="J570" s="757"/>
      <c r="K570" s="962"/>
      <c r="L570" s="757"/>
      <c r="M570" s="757"/>
      <c r="N570" s="757"/>
      <c r="O570" s="757"/>
      <c r="P570" s="962"/>
      <c r="Q570" s="757"/>
      <c r="R570" s="757"/>
      <c r="S570" s="757"/>
      <c r="T570" s="757"/>
      <c r="U570" s="962"/>
      <c r="V570" s="757"/>
      <c r="W570" s="757"/>
      <c r="X570" s="757"/>
      <c r="Y570" s="757"/>
      <c r="Z570" s="962"/>
      <c r="AA570" s="757"/>
      <c r="AB570" s="757"/>
      <c r="AC570" s="757"/>
      <c r="AD570" s="757"/>
      <c r="AE570" s="962"/>
      <c r="AF570" s="757"/>
      <c r="AG570" s="757"/>
      <c r="AH570" s="757"/>
      <c r="AI570" s="757"/>
      <c r="AJ570" s="962"/>
      <c r="AK570" s="757"/>
      <c r="AL570" s="757"/>
      <c r="AM570" s="757"/>
      <c r="AN570" s="757"/>
      <c r="AO570" s="962"/>
      <c r="AP570" s="757"/>
      <c r="AQ570" s="757"/>
      <c r="AR570" s="757"/>
      <c r="AS570" s="757"/>
      <c r="AT570" s="962"/>
      <c r="AU570" s="757"/>
      <c r="AV570" s="757"/>
      <c r="AW570" s="757"/>
      <c r="AX570" s="757"/>
      <c r="AY570" s="962"/>
      <c r="AZ570" s="757"/>
      <c r="BA570" s="757"/>
      <c r="BB570" s="757"/>
      <c r="BC570" s="757"/>
      <c r="BD570" s="962"/>
      <c r="BE570" s="757"/>
      <c r="BF570" s="757"/>
      <c r="BG570" s="757"/>
      <c r="BH570" s="757"/>
      <c r="BI570" s="962"/>
      <c r="BJ570" s="757"/>
      <c r="BK570" s="757"/>
      <c r="BL570" s="757"/>
      <c r="BM570" s="757"/>
      <c r="BN570" s="962"/>
      <c r="BO570" s="757"/>
      <c r="BP570" s="757"/>
      <c r="BQ570" s="757"/>
      <c r="BR570" s="757"/>
      <c r="BS570" s="962"/>
      <c r="BT570" s="758"/>
      <c r="BU570" s="757"/>
      <c r="BV570" s="757"/>
      <c r="BW570" s="757"/>
      <c r="BX570" s="962"/>
      <c r="BY570" s="757"/>
      <c r="BZ570" s="757"/>
      <c r="CA570" s="757"/>
      <c r="CB570" s="757"/>
      <c r="CC570" s="962"/>
      <c r="CD570" s="962"/>
      <c r="CE570" s="962"/>
      <c r="CF570" s="962"/>
      <c r="CG570" s="397"/>
    </row>
    <row r="571" spans="1:85" s="587" customFormat="1" ht="15" hidden="1" customHeight="1" outlineLevel="2" x14ac:dyDescent="0.3">
      <c r="A571" s="182" t="s">
        <v>2164</v>
      </c>
      <c r="B571" s="414"/>
      <c r="C571" s="962"/>
      <c r="D571" s="962"/>
      <c r="E571" s="962"/>
      <c r="F571" s="962"/>
      <c r="G571" s="757"/>
      <c r="H571" s="757"/>
      <c r="I571" s="757"/>
      <c r="J571" s="757"/>
      <c r="K571" s="962"/>
      <c r="L571" s="757"/>
      <c r="M571" s="757"/>
      <c r="N571" s="757"/>
      <c r="O571" s="757"/>
      <c r="P571" s="962"/>
      <c r="Q571" s="757"/>
      <c r="R571" s="757"/>
      <c r="S571" s="757"/>
      <c r="T571" s="757"/>
      <c r="U571" s="962"/>
      <c r="V571" s="757"/>
      <c r="W571" s="757"/>
      <c r="X571" s="757"/>
      <c r="Y571" s="757"/>
      <c r="Z571" s="962"/>
      <c r="AA571" s="757"/>
      <c r="AB571" s="757"/>
      <c r="AC571" s="757"/>
      <c r="AD571" s="757"/>
      <c r="AE571" s="962"/>
      <c r="AF571" s="757"/>
      <c r="AG571" s="757"/>
      <c r="AH571" s="757"/>
      <c r="AI571" s="757"/>
      <c r="AJ571" s="962"/>
      <c r="AK571" s="757"/>
      <c r="AL571" s="757"/>
      <c r="AM571" s="757"/>
      <c r="AN571" s="757"/>
      <c r="AO571" s="962"/>
      <c r="AP571" s="757"/>
      <c r="AQ571" s="757"/>
      <c r="AR571" s="757"/>
      <c r="AS571" s="757"/>
      <c r="AT571" s="962"/>
      <c r="AU571" s="757"/>
      <c r="AV571" s="857">
        <v>988.1</v>
      </c>
      <c r="AW571" s="757"/>
      <c r="AX571" s="757"/>
      <c r="AY571" s="962"/>
      <c r="AZ571" s="757"/>
      <c r="BA571" s="757"/>
      <c r="BB571" s="757"/>
      <c r="BC571" s="757"/>
      <c r="BD571" s="962"/>
      <c r="BE571" s="757"/>
      <c r="BF571" s="757"/>
      <c r="BG571" s="757"/>
      <c r="BH571" s="857">
        <v>2873.6</v>
      </c>
      <c r="BI571" s="962"/>
      <c r="BJ571" s="857">
        <v>11492.6</v>
      </c>
      <c r="BK571" s="857">
        <v>7951.24</v>
      </c>
      <c r="BL571" s="857">
        <v>9430.75</v>
      </c>
      <c r="BM571" s="857">
        <v>5198.83</v>
      </c>
      <c r="BN571" s="962"/>
      <c r="BO571" s="857">
        <v>7031.47</v>
      </c>
      <c r="BP571" s="857">
        <v>7849.64</v>
      </c>
      <c r="BQ571" s="857">
        <v>3216.92</v>
      </c>
      <c r="BR571" s="857">
        <v>5583.11</v>
      </c>
      <c r="BS571" s="962"/>
      <c r="BT571" s="758"/>
      <c r="BU571" s="757"/>
      <c r="BV571" s="757"/>
      <c r="BW571" s="757"/>
      <c r="BX571" s="962"/>
      <c r="BY571" s="757"/>
      <c r="BZ571" s="757"/>
      <c r="CA571" s="757"/>
      <c r="CB571" s="757"/>
      <c r="CC571" s="962"/>
      <c r="CD571" s="962"/>
      <c r="CE571" s="962"/>
      <c r="CF571" s="962"/>
      <c r="CG571" s="459"/>
    </row>
    <row r="572" spans="1:85" s="587" customFormat="1" ht="15" hidden="1" customHeight="1" outlineLevel="2" x14ac:dyDescent="0.3">
      <c r="A572" s="182" t="s">
        <v>2165</v>
      </c>
      <c r="B572" s="414"/>
      <c r="C572" s="962"/>
      <c r="D572" s="962"/>
      <c r="E572" s="962"/>
      <c r="F572" s="962"/>
      <c r="G572" s="757"/>
      <c r="H572" s="757"/>
      <c r="I572" s="757"/>
      <c r="J572" s="757"/>
      <c r="K572" s="962"/>
      <c r="L572" s="757"/>
      <c r="M572" s="757"/>
      <c r="N572" s="757"/>
      <c r="O572" s="757"/>
      <c r="P572" s="962"/>
      <c r="Q572" s="757"/>
      <c r="R572" s="757"/>
      <c r="S572" s="757"/>
      <c r="T572" s="757"/>
      <c r="U572" s="962"/>
      <c r="V572" s="757"/>
      <c r="W572" s="757"/>
      <c r="X572" s="757"/>
      <c r="Y572" s="757"/>
      <c r="Z572" s="962"/>
      <c r="AA572" s="757"/>
      <c r="AB572" s="757"/>
      <c r="AC572" s="757"/>
      <c r="AD572" s="757"/>
      <c r="AE572" s="962"/>
      <c r="AF572" s="757"/>
      <c r="AG572" s="757"/>
      <c r="AH572" s="757"/>
      <c r="AI572" s="757"/>
      <c r="AJ572" s="962"/>
      <c r="AK572" s="757"/>
      <c r="AL572" s="757"/>
      <c r="AM572" s="757"/>
      <c r="AN572" s="757"/>
      <c r="AO572" s="962"/>
      <c r="AP572" s="757"/>
      <c r="AQ572" s="757"/>
      <c r="AR572" s="757"/>
      <c r="AS572" s="757"/>
      <c r="AT572" s="962"/>
      <c r="AU572" s="757"/>
      <c r="AV572" s="857">
        <v>4411.99</v>
      </c>
      <c r="AW572" s="857">
        <v>930</v>
      </c>
      <c r="AX572" s="757"/>
      <c r="AY572" s="962"/>
      <c r="AZ572" s="757"/>
      <c r="BA572" s="757"/>
      <c r="BB572" s="757"/>
      <c r="BC572" s="757"/>
      <c r="BD572" s="962"/>
      <c r="BE572" s="857">
        <v>4546.8599999999997</v>
      </c>
      <c r="BF572" s="857">
        <v>14170.75</v>
      </c>
      <c r="BG572" s="857">
        <v>26713.97</v>
      </c>
      <c r="BH572" s="857">
        <v>27084.77</v>
      </c>
      <c r="BI572" s="962"/>
      <c r="BJ572" s="857">
        <v>12450.58</v>
      </c>
      <c r="BK572" s="857">
        <v>10327.42</v>
      </c>
      <c r="BL572" s="857">
        <v>8844.2800000000007</v>
      </c>
      <c r="BM572" s="857">
        <v>4577.32</v>
      </c>
      <c r="BN572" s="962"/>
      <c r="BO572" s="857">
        <v>13546</v>
      </c>
      <c r="BP572" s="857">
        <v>3904.71</v>
      </c>
      <c r="BQ572" s="857">
        <v>6059.06</v>
      </c>
      <c r="BR572" s="857">
        <v>9304.4650000000001</v>
      </c>
      <c r="BS572" s="962"/>
      <c r="BT572" s="758"/>
      <c r="BU572" s="757"/>
      <c r="BV572" s="757"/>
      <c r="BW572" s="757"/>
      <c r="BX572" s="962"/>
      <c r="BY572" s="757"/>
      <c r="BZ572" s="757"/>
      <c r="CA572" s="757"/>
      <c r="CB572" s="757"/>
      <c r="CC572" s="962"/>
      <c r="CD572" s="962"/>
      <c r="CE572" s="962"/>
      <c r="CF572" s="962"/>
      <c r="CG572" s="459"/>
    </row>
    <row r="573" spans="1:85" s="587" customFormat="1" ht="15" hidden="1" customHeight="1" outlineLevel="2" x14ac:dyDescent="0.3">
      <c r="A573" s="30" t="s">
        <v>2166</v>
      </c>
      <c r="B573" s="416"/>
      <c r="C573" s="984"/>
      <c r="D573" s="984"/>
      <c r="E573" s="984"/>
      <c r="F573" s="984"/>
      <c r="G573" s="761"/>
      <c r="H573" s="761"/>
      <c r="I573" s="761"/>
      <c r="J573" s="761"/>
      <c r="K573" s="984"/>
      <c r="L573" s="761"/>
      <c r="M573" s="761"/>
      <c r="N573" s="761"/>
      <c r="O573" s="761"/>
      <c r="P573" s="984"/>
      <c r="Q573" s="761"/>
      <c r="R573" s="761"/>
      <c r="S573" s="761"/>
      <c r="T573" s="761"/>
      <c r="U573" s="984"/>
      <c r="V573" s="761"/>
      <c r="W573" s="761"/>
      <c r="X573" s="761"/>
      <c r="Y573" s="761"/>
      <c r="Z573" s="984"/>
      <c r="AA573" s="761"/>
      <c r="AB573" s="761"/>
      <c r="AC573" s="761"/>
      <c r="AD573" s="761"/>
      <c r="AE573" s="984"/>
      <c r="AF573" s="761"/>
      <c r="AG573" s="761"/>
      <c r="AH573" s="761"/>
      <c r="AI573" s="761"/>
      <c r="AJ573" s="984"/>
      <c r="AK573" s="761"/>
      <c r="AL573" s="761"/>
      <c r="AM573" s="761"/>
      <c r="AN573" s="761"/>
      <c r="AO573" s="984"/>
      <c r="AP573" s="761"/>
      <c r="AQ573" s="761"/>
      <c r="AR573" s="761"/>
      <c r="AS573" s="761"/>
      <c r="AT573" s="984"/>
      <c r="AU573" s="761"/>
      <c r="AV573" s="863">
        <v>4615.5600000000004</v>
      </c>
      <c r="AW573" s="863">
        <v>878.45</v>
      </c>
      <c r="AX573" s="761"/>
      <c r="AY573" s="984"/>
      <c r="AZ573" s="761"/>
      <c r="BA573" s="761"/>
      <c r="BB573" s="761"/>
      <c r="BC573" s="761"/>
      <c r="BD573" s="984"/>
      <c r="BE573" s="863">
        <v>7673.7</v>
      </c>
      <c r="BF573" s="863">
        <v>4322.49</v>
      </c>
      <c r="BG573" s="863">
        <v>32934.050000000003</v>
      </c>
      <c r="BH573" s="863">
        <v>24817.71</v>
      </c>
      <c r="BI573" s="984"/>
      <c r="BJ573" s="863">
        <v>11726.47</v>
      </c>
      <c r="BK573" s="863">
        <v>7502.38</v>
      </c>
      <c r="BL573" s="863">
        <v>7235.36</v>
      </c>
      <c r="BM573" s="863">
        <v>1882.12</v>
      </c>
      <c r="BN573" s="984"/>
      <c r="BO573" s="863">
        <v>16560.810000000001</v>
      </c>
      <c r="BP573" s="863">
        <v>3494.73</v>
      </c>
      <c r="BQ573" s="863">
        <v>5990.63</v>
      </c>
      <c r="BR573" s="863">
        <v>3994.67</v>
      </c>
      <c r="BS573" s="984"/>
      <c r="BT573" s="873">
        <v>13497.098</v>
      </c>
      <c r="BU573" s="761"/>
      <c r="BV573" s="761"/>
      <c r="BW573" s="761"/>
      <c r="BX573" s="984"/>
      <c r="BY573" s="761"/>
      <c r="BZ573" s="761"/>
      <c r="CA573" s="761"/>
      <c r="CB573" s="761"/>
      <c r="CC573" s="984"/>
      <c r="CD573" s="984"/>
      <c r="CE573" s="984"/>
      <c r="CF573" s="984"/>
      <c r="CG573" s="459"/>
    </row>
    <row r="574" spans="1:85" s="587" customFormat="1" ht="15" hidden="1" customHeight="1" outlineLevel="1" collapsed="1" x14ac:dyDescent="0.3">
      <c r="A574" s="459" t="s">
        <v>2167</v>
      </c>
      <c r="B574" s="414"/>
      <c r="C574" s="962"/>
      <c r="D574" s="962"/>
      <c r="E574" s="962"/>
      <c r="F574" s="962"/>
      <c r="G574" s="757"/>
      <c r="H574" s="757"/>
      <c r="I574" s="757"/>
      <c r="J574" s="757"/>
      <c r="K574" s="962"/>
      <c r="L574" s="757"/>
      <c r="M574" s="757"/>
      <c r="N574" s="757"/>
      <c r="O574" s="757"/>
      <c r="P574" s="962"/>
      <c r="Q574" s="757"/>
      <c r="R574" s="757"/>
      <c r="S574" s="757"/>
      <c r="T574" s="757"/>
      <c r="U574" s="962"/>
      <c r="V574" s="757"/>
      <c r="W574" s="757"/>
      <c r="X574" s="757"/>
      <c r="Y574" s="757"/>
      <c r="Z574" s="962"/>
      <c r="AA574" s="757"/>
      <c r="AB574" s="757"/>
      <c r="AC574" s="757"/>
      <c r="AD574" s="757"/>
      <c r="AE574" s="962"/>
      <c r="AF574" s="757"/>
      <c r="AG574" s="757"/>
      <c r="AH574" s="757"/>
      <c r="AI574" s="757"/>
      <c r="AJ574" s="962"/>
      <c r="AK574" s="757"/>
      <c r="AL574" s="757"/>
      <c r="AM574" s="757"/>
      <c r="AN574" s="757"/>
      <c r="AO574" s="962"/>
      <c r="AP574" s="757"/>
      <c r="AQ574" s="757"/>
      <c r="AR574" s="757"/>
      <c r="AS574" s="757"/>
      <c r="AT574" s="962"/>
      <c r="AU574" s="757"/>
      <c r="AV574" s="757">
        <f>SUM(AV571:AV573)</f>
      </c>
      <c r="AW574" s="757">
        <f>SUM(AW571:AW573)</f>
      </c>
      <c r="AX574" s="757"/>
      <c r="AY574" s="962">
        <f>SUM(AX574,AW574,AV574,AU574)</f>
      </c>
      <c r="AZ574" s="757"/>
      <c r="BA574" s="757"/>
      <c r="BB574" s="757"/>
      <c r="BC574" s="757"/>
      <c r="BD574" s="962"/>
      <c r="BE574" s="757">
        <f>SUM(BE571:BE573)</f>
      </c>
      <c r="BF574" s="757">
        <f>SUM(BF571:BF573)</f>
      </c>
      <c r="BG574" s="757">
        <f>SUM(BG571:BG573)</f>
      </c>
      <c r="BH574" s="757">
        <f>SUM(BH571:BH573)</f>
      </c>
      <c r="BI574" s="962">
        <f>SUM(BH574,BG574,BF574,BE574)</f>
      </c>
      <c r="BJ574" s="757">
        <f>SUM(BJ571:BJ573)</f>
      </c>
      <c r="BK574" s="757">
        <f>SUM(BK571:BK573)</f>
      </c>
      <c r="BL574" s="757">
        <f>SUM(BL571:BL573)</f>
      </c>
      <c r="BM574" s="757">
        <f>SUM(BM571:BM573)</f>
      </c>
      <c r="BN574" s="962">
        <f>SUM(BM574,BL574,BK574,BJ574)</f>
      </c>
      <c r="BO574" s="757">
        <f>SUM(BO571:BO573)</f>
      </c>
      <c r="BP574" s="757">
        <f>SUM(BP571:BP573)</f>
      </c>
      <c r="BQ574" s="757">
        <f>SUM(BQ571:BQ573)</f>
      </c>
      <c r="BR574" s="757">
        <f>SUM(BR571:BR573)</f>
      </c>
      <c r="BS574" s="962">
        <f>SUM(BR574,BQ574,BP574,BO574)</f>
      </c>
      <c r="BT574" s="758">
        <f>SUM(BT571:BT573)</f>
      </c>
      <c r="BU574" s="757"/>
      <c r="BV574" s="757"/>
      <c r="BW574" s="757"/>
      <c r="BX574" s="962"/>
      <c r="BY574" s="757"/>
      <c r="BZ574" s="757"/>
      <c r="CA574" s="757"/>
      <c r="CB574" s="757"/>
      <c r="CC574" s="962"/>
      <c r="CD574" s="962"/>
      <c r="CE574" s="962"/>
      <c r="CF574" s="962"/>
      <c r="CG574" s="459"/>
    </row>
    <row r="575" spans="1:85" s="587" customFormat="1" ht="15" hidden="1" customHeight="1" outlineLevel="2" x14ac:dyDescent="0.3">
      <c r="A575" s="757"/>
      <c r="B575" s="414"/>
      <c r="C575" s="962"/>
      <c r="D575" s="962"/>
      <c r="E575" s="962"/>
      <c r="F575" s="962"/>
      <c r="G575" s="757"/>
      <c r="H575" s="757"/>
      <c r="I575" s="757"/>
      <c r="J575" s="757"/>
      <c r="K575" s="962"/>
      <c r="L575" s="757"/>
      <c r="M575" s="757"/>
      <c r="N575" s="757"/>
      <c r="O575" s="757"/>
      <c r="P575" s="962"/>
      <c r="Q575" s="757"/>
      <c r="R575" s="757"/>
      <c r="S575" s="757"/>
      <c r="T575" s="757"/>
      <c r="U575" s="962"/>
      <c r="V575" s="757"/>
      <c r="W575" s="757"/>
      <c r="X575" s="757"/>
      <c r="Y575" s="757"/>
      <c r="Z575" s="962"/>
      <c r="AA575" s="757"/>
      <c r="AB575" s="757"/>
      <c r="AC575" s="757"/>
      <c r="AD575" s="757"/>
      <c r="AE575" s="962"/>
      <c r="AF575" s="757"/>
      <c r="AG575" s="757"/>
      <c r="AH575" s="757"/>
      <c r="AI575" s="757"/>
      <c r="AJ575" s="962"/>
      <c r="AK575" s="757"/>
      <c r="AL575" s="757"/>
      <c r="AM575" s="757"/>
      <c r="AN575" s="757"/>
      <c r="AO575" s="962"/>
      <c r="AP575" s="757"/>
      <c r="AQ575" s="757"/>
      <c r="AR575" s="757"/>
      <c r="AS575" s="757"/>
      <c r="AT575" s="962"/>
      <c r="AU575" s="757"/>
      <c r="AV575" s="757"/>
      <c r="AW575" s="757"/>
      <c r="AX575" s="757"/>
      <c r="AY575" s="962"/>
      <c r="AZ575" s="757"/>
      <c r="BA575" s="757"/>
      <c r="BB575" s="757"/>
      <c r="BC575" s="757"/>
      <c r="BD575" s="962"/>
      <c r="BE575" s="757"/>
      <c r="BF575" s="757"/>
      <c r="BG575" s="757"/>
      <c r="BH575" s="757"/>
      <c r="BI575" s="962"/>
      <c r="BJ575" s="757"/>
      <c r="BK575" s="757"/>
      <c r="BL575" s="757"/>
      <c r="BM575" s="757"/>
      <c r="BN575" s="962"/>
      <c r="BO575" s="757"/>
      <c r="BP575" s="757"/>
      <c r="BQ575" s="757"/>
      <c r="BR575" s="757"/>
      <c r="BS575" s="962"/>
      <c r="BT575" s="758"/>
      <c r="BU575" s="757"/>
      <c r="BV575" s="757"/>
      <c r="BW575" s="757"/>
      <c r="BX575" s="962"/>
      <c r="BY575" s="757"/>
      <c r="BZ575" s="757"/>
      <c r="CA575" s="757"/>
      <c r="CB575" s="757"/>
      <c r="CC575" s="962"/>
      <c r="CD575" s="962"/>
      <c r="CE575" s="962"/>
      <c r="CF575" s="962"/>
      <c r="CG575" s="459"/>
    </row>
    <row r="576" spans="1:85" s="584" customFormat="1" ht="15" hidden="1" customHeight="1" outlineLevel="2" x14ac:dyDescent="0.3">
      <c r="A576" s="512" t="s">
        <v>958</v>
      </c>
      <c r="B576" s="468"/>
      <c r="C576" s="1025"/>
      <c r="D576" s="1025"/>
      <c r="E576" s="1025"/>
      <c r="F576" s="1025"/>
      <c r="G576" s="469"/>
      <c r="H576" s="469"/>
      <c r="I576" s="469"/>
      <c r="J576" s="469"/>
      <c r="K576" s="1025"/>
      <c r="L576" s="469"/>
      <c r="M576" s="469"/>
      <c r="N576" s="469"/>
      <c r="O576" s="469"/>
      <c r="P576" s="1025"/>
      <c r="Q576" s="469"/>
      <c r="R576" s="469"/>
      <c r="S576" s="469"/>
      <c r="T576" s="469"/>
      <c r="U576" s="1025"/>
      <c r="V576" s="469"/>
      <c r="W576" s="469"/>
      <c r="X576" s="469"/>
      <c r="Y576" s="469"/>
      <c r="Z576" s="1025"/>
      <c r="AA576" s="469"/>
      <c r="AB576" s="469"/>
      <c r="AC576" s="469"/>
      <c r="AD576" s="469"/>
      <c r="AE576" s="1025"/>
      <c r="AF576" s="469"/>
      <c r="AG576" s="469"/>
      <c r="AH576" s="469"/>
      <c r="AI576" s="469"/>
      <c r="AJ576" s="1025"/>
      <c r="AK576" s="469"/>
      <c r="AL576" s="469"/>
      <c r="AM576" s="469"/>
      <c r="AN576" s="469"/>
      <c r="AO576" s="1025"/>
      <c r="AP576" s="469"/>
      <c r="AQ576" s="469"/>
      <c r="AR576" s="469"/>
      <c r="AS576" s="469"/>
      <c r="AT576" s="1025"/>
      <c r="AU576" s="469"/>
      <c r="AV576" s="877">
        <v>50.601999999999997</v>
      </c>
      <c r="AW576" s="877">
        <v>0</v>
      </c>
      <c r="AX576" s="469"/>
      <c r="AY576" s="1025"/>
      <c r="AZ576" s="469"/>
      <c r="BA576" s="469"/>
      <c r="BB576" s="469"/>
      <c r="BC576" s="469"/>
      <c r="BD576" s="1025"/>
      <c r="BE576" s="877">
        <v>0</v>
      </c>
      <c r="BF576" s="877">
        <v>0</v>
      </c>
      <c r="BG576" s="877">
        <v>0</v>
      </c>
      <c r="BH576" s="877">
        <v>40.462000000000003</v>
      </c>
      <c r="BI576" s="1025"/>
      <c r="BJ576" s="877">
        <v>49.601999999999997</v>
      </c>
      <c r="BK576" s="877">
        <v>60.037999999999997</v>
      </c>
      <c r="BL576" s="877">
        <v>65.647000000000006</v>
      </c>
      <c r="BM576" s="877">
        <v>72.415000000000006</v>
      </c>
      <c r="BN576" s="1025"/>
      <c r="BO576" s="877">
        <v>86.691000000000003</v>
      </c>
      <c r="BP576" s="877">
        <v>93.988</v>
      </c>
      <c r="BQ576" s="877">
        <v>123.089</v>
      </c>
      <c r="BR576" s="877">
        <v>117.27</v>
      </c>
      <c r="BS576" s="1025"/>
      <c r="BT576" s="750"/>
      <c r="BU576" s="469"/>
      <c r="BV576" s="469"/>
      <c r="BW576" s="469"/>
      <c r="BX576" s="1025"/>
      <c r="BY576" s="469"/>
      <c r="BZ576" s="469"/>
      <c r="CA576" s="469"/>
      <c r="CB576" s="469"/>
      <c r="CC576" s="1025"/>
      <c r="CD576" s="1025"/>
      <c r="CE576" s="1025"/>
      <c r="CF576" s="1025"/>
      <c r="CG576" s="315"/>
    </row>
    <row r="577" spans="1:85" s="584" customFormat="1" ht="15" hidden="1" customHeight="1" outlineLevel="2" x14ac:dyDescent="0.3">
      <c r="A577" s="512" t="s">
        <v>959</v>
      </c>
      <c r="B577" s="468"/>
      <c r="C577" s="1025"/>
      <c r="D577" s="1025"/>
      <c r="E577" s="1025"/>
      <c r="F577" s="1025"/>
      <c r="G577" s="469"/>
      <c r="H577" s="469"/>
      <c r="I577" s="469"/>
      <c r="J577" s="469"/>
      <c r="K577" s="1025"/>
      <c r="L577" s="469"/>
      <c r="M577" s="469"/>
      <c r="N577" s="469"/>
      <c r="O577" s="469"/>
      <c r="P577" s="1025"/>
      <c r="Q577" s="469"/>
      <c r="R577" s="469"/>
      <c r="S577" s="469"/>
      <c r="T577" s="469"/>
      <c r="U577" s="1025"/>
      <c r="V577" s="469"/>
      <c r="W577" s="469"/>
      <c r="X577" s="469"/>
      <c r="Y577" s="469"/>
      <c r="Z577" s="1025"/>
      <c r="AA577" s="469"/>
      <c r="AB577" s="469"/>
      <c r="AC577" s="469"/>
      <c r="AD577" s="469"/>
      <c r="AE577" s="1025"/>
      <c r="AF577" s="469"/>
      <c r="AG577" s="469"/>
      <c r="AH577" s="469"/>
      <c r="AI577" s="469"/>
      <c r="AJ577" s="1025"/>
      <c r="AK577" s="469"/>
      <c r="AL577" s="469"/>
      <c r="AM577" s="469"/>
      <c r="AN577" s="469"/>
      <c r="AO577" s="1025"/>
      <c r="AP577" s="469"/>
      <c r="AQ577" s="469"/>
      <c r="AR577" s="469"/>
      <c r="AS577" s="469"/>
      <c r="AT577" s="1025"/>
      <c r="AU577" s="469"/>
      <c r="AV577" s="877">
        <v>49.74</v>
      </c>
      <c r="AW577" s="877">
        <v>52.438000000000002</v>
      </c>
      <c r="AX577" s="469"/>
      <c r="AY577" s="1025"/>
      <c r="AZ577" s="469"/>
      <c r="BA577" s="469"/>
      <c r="BB577" s="469"/>
      <c r="BC577" s="469"/>
      <c r="BD577" s="1025"/>
      <c r="BE577" s="877">
        <v>35.655000000000001</v>
      </c>
      <c r="BF577" s="877">
        <v>33.680999999999997</v>
      </c>
      <c r="BG577" s="877">
        <v>42.537999999999997</v>
      </c>
      <c r="BH577" s="877">
        <v>44.703000000000003</v>
      </c>
      <c r="BI577" s="1025"/>
      <c r="BJ577" s="877">
        <v>57.165999999999997</v>
      </c>
      <c r="BK577" s="877">
        <v>60.972999999999999</v>
      </c>
      <c r="BL577" s="877">
        <v>65.558999999999997</v>
      </c>
      <c r="BM577" s="877">
        <v>79.248999999999995</v>
      </c>
      <c r="BN577" s="1025"/>
      <c r="BO577" s="877">
        <v>100.746</v>
      </c>
      <c r="BP577" s="877">
        <v>116.26900000000001</v>
      </c>
      <c r="BQ577" s="877">
        <v>120.467</v>
      </c>
      <c r="BR577" s="877">
        <v>108.53</v>
      </c>
      <c r="BS577" s="1025"/>
      <c r="BT577" s="750"/>
      <c r="BU577" s="469"/>
      <c r="BV577" s="469"/>
      <c r="BW577" s="469"/>
      <c r="BX577" s="1025"/>
      <c r="BY577" s="469"/>
      <c r="BZ577" s="469"/>
      <c r="CA577" s="469"/>
      <c r="CB577" s="469"/>
      <c r="CC577" s="1025"/>
      <c r="CD577" s="1025"/>
      <c r="CE577" s="1025"/>
      <c r="CF577" s="1025"/>
      <c r="CG577" s="315"/>
    </row>
    <row r="578" spans="1:85" s="584" customFormat="1" ht="15" hidden="1" customHeight="1" outlineLevel="2" x14ac:dyDescent="0.3">
      <c r="A578" s="534" t="s">
        <v>960</v>
      </c>
      <c r="B578" s="487"/>
      <c r="C578" s="1028"/>
      <c r="D578" s="1028"/>
      <c r="E578" s="1028"/>
      <c r="F578" s="1028"/>
      <c r="G578" s="488"/>
      <c r="H578" s="488"/>
      <c r="I578" s="488"/>
      <c r="J578" s="488"/>
      <c r="K578" s="1028"/>
      <c r="L578" s="488"/>
      <c r="M578" s="488"/>
      <c r="N578" s="488"/>
      <c r="O578" s="488"/>
      <c r="P578" s="1028"/>
      <c r="Q578" s="488"/>
      <c r="R578" s="488"/>
      <c r="S578" s="488"/>
      <c r="T578" s="488"/>
      <c r="U578" s="1028"/>
      <c r="V578" s="488"/>
      <c r="W578" s="488"/>
      <c r="X578" s="488"/>
      <c r="Y578" s="488"/>
      <c r="Z578" s="1028"/>
      <c r="AA578" s="488"/>
      <c r="AB578" s="488"/>
      <c r="AC578" s="488"/>
      <c r="AD578" s="488"/>
      <c r="AE578" s="1028"/>
      <c r="AF578" s="488"/>
      <c r="AG578" s="488"/>
      <c r="AH578" s="488"/>
      <c r="AI578" s="488"/>
      <c r="AJ578" s="1028"/>
      <c r="AK578" s="488"/>
      <c r="AL578" s="488"/>
      <c r="AM578" s="488"/>
      <c r="AN578" s="488"/>
      <c r="AO578" s="1028"/>
      <c r="AP578" s="488"/>
      <c r="AQ578" s="488"/>
      <c r="AR578" s="488"/>
      <c r="AS578" s="488"/>
      <c r="AT578" s="1028"/>
      <c r="AU578" s="488"/>
      <c r="AV578" s="885">
        <v>49.95</v>
      </c>
      <c r="AW578" s="885">
        <v>58.322000000000003</v>
      </c>
      <c r="AX578" s="488"/>
      <c r="AY578" s="1028"/>
      <c r="AZ578" s="488"/>
      <c r="BA578" s="488"/>
      <c r="BB578" s="488"/>
      <c r="BC578" s="488"/>
      <c r="BD578" s="1028"/>
      <c r="BE578" s="885">
        <v>31</v>
      </c>
      <c r="BF578" s="885">
        <v>38.835000000000001</v>
      </c>
      <c r="BG578" s="885">
        <v>41.405000000000001</v>
      </c>
      <c r="BH578" s="885">
        <v>47.262999999999998</v>
      </c>
      <c r="BI578" s="1028"/>
      <c r="BJ578" s="885">
        <v>61.244999999999997</v>
      </c>
      <c r="BK578" s="885">
        <v>65.701999999999998</v>
      </c>
      <c r="BL578" s="885">
        <v>69.253</v>
      </c>
      <c r="BM578" s="885">
        <v>91.313000000000002</v>
      </c>
      <c r="BN578" s="1028"/>
      <c r="BO578" s="885">
        <v>94.326999999999998</v>
      </c>
      <c r="BP578" s="885">
        <v>123.723</v>
      </c>
      <c r="BQ578" s="885">
        <v>122.024</v>
      </c>
      <c r="BR578" s="885">
        <v>103.89</v>
      </c>
      <c r="BS578" s="1028"/>
      <c r="BT578" s="886">
        <v>94.14</v>
      </c>
      <c r="BU578" s="488"/>
      <c r="BV578" s="488"/>
      <c r="BW578" s="488"/>
      <c r="BX578" s="1028"/>
      <c r="BY578" s="488"/>
      <c r="BZ578" s="488"/>
      <c r="CA578" s="488"/>
      <c r="CB578" s="488"/>
      <c r="CC578" s="1028"/>
      <c r="CD578" s="1028"/>
      <c r="CE578" s="1028"/>
      <c r="CF578" s="1028"/>
      <c r="CG578" s="315"/>
    </row>
    <row r="579" spans="1:85" s="584" customFormat="1" ht="15" hidden="1" customHeight="1" outlineLevel="1" collapsed="1" x14ac:dyDescent="0.3">
      <c r="A579" s="315" t="s">
        <v>961</v>
      </c>
      <c r="B579" s="468"/>
      <c r="C579" s="1025"/>
      <c r="D579" s="1025"/>
      <c r="E579" s="1025"/>
      <c r="F579" s="1025"/>
      <c r="G579" s="469"/>
      <c r="H579" s="469"/>
      <c r="I579" s="469"/>
      <c r="J579" s="469"/>
      <c r="K579" s="1025"/>
      <c r="L579" s="469"/>
      <c r="M579" s="469"/>
      <c r="N579" s="469"/>
      <c r="O579" s="469"/>
      <c r="P579" s="1025"/>
      <c r="Q579" s="469"/>
      <c r="R579" s="469"/>
      <c r="S579" s="469"/>
      <c r="T579" s="469"/>
      <c r="U579" s="1025"/>
      <c r="V579" s="469"/>
      <c r="W579" s="469"/>
      <c r="X579" s="469"/>
      <c r="Y579" s="469"/>
      <c r="Z579" s="1025"/>
      <c r="AA579" s="469"/>
      <c r="AB579" s="469"/>
      <c r="AC579" s="469"/>
      <c r="AD579" s="469"/>
      <c r="AE579" s="1025"/>
      <c r="AF579" s="469"/>
      <c r="AG579" s="469"/>
      <c r="AH579" s="469"/>
      <c r="AI579" s="469"/>
      <c r="AJ579" s="1025"/>
      <c r="AK579" s="469"/>
      <c r="AL579" s="469"/>
      <c r="AM579" s="469"/>
      <c r="AN579" s="469"/>
      <c r="AO579" s="1025"/>
      <c r="AP579" s="469"/>
      <c r="AQ579" s="469"/>
      <c r="AR579" s="469"/>
      <c r="AS579" s="469"/>
      <c r="AT579" s="1025"/>
      <c r="AU579" s="469"/>
      <c r="AV579" s="469">
        <f>AV584/AV574*1000</f>
      </c>
      <c r="AW579" s="469">
        <f>AW584/AW574*1000</f>
      </c>
      <c r="AX579" s="469"/>
      <c r="AY579" s="1025">
        <f>AY584/AY574*1000</f>
      </c>
      <c r="AZ579" s="469"/>
      <c r="BA579" s="469"/>
      <c r="BB579" s="469"/>
      <c r="BC579" s="469"/>
      <c r="BD579" s="1025"/>
      <c r="BE579" s="469">
        <f t="shared" ref="BE579:BS579" si="1079">BE584/BE574*1000</f>
      </c>
      <c r="BF579" s="469">
        <f t="shared" si="1079"/>
      </c>
      <c r="BG579" s="469">
        <f t="shared" si="1079"/>
      </c>
      <c r="BH579" s="469">
        <f t="shared" si="1079"/>
      </c>
      <c r="BI579" s="1025">
        <f t="shared" si="1079"/>
      </c>
      <c r="BJ579" s="469">
        <f t="shared" si="1079"/>
      </c>
      <c r="BK579" s="469">
        <f t="shared" si="1079"/>
      </c>
      <c r="BL579" s="469">
        <f t="shared" si="1079"/>
      </c>
      <c r="BM579" s="469">
        <f t="shared" si="1079"/>
      </c>
      <c r="BN579" s="1025">
        <f t="shared" si="1079"/>
      </c>
      <c r="BO579" s="469">
        <f t="shared" si="1079"/>
      </c>
      <c r="BP579" s="469">
        <f t="shared" si="1079"/>
      </c>
      <c r="BQ579" s="469">
        <f t="shared" si="1079"/>
      </c>
      <c r="BR579" s="469">
        <f t="shared" si="1079"/>
      </c>
      <c r="BS579" s="1025">
        <f t="shared" si="1079"/>
      </c>
      <c r="BT579" s="750">
        <f t="shared" ref="BT579" si="1080">BT584/BT574*1000</f>
      </c>
      <c r="BU579" s="469"/>
      <c r="BV579" s="469"/>
      <c r="BW579" s="469"/>
      <c r="BX579" s="1025"/>
      <c r="BY579" s="469"/>
      <c r="BZ579" s="469"/>
      <c r="CA579" s="469"/>
      <c r="CB579" s="469"/>
      <c r="CC579" s="1025"/>
      <c r="CD579" s="1025"/>
      <c r="CE579" s="1025"/>
      <c r="CF579" s="1025"/>
      <c r="CG579" s="315"/>
    </row>
    <row r="580" spans="1:85" s="596" customFormat="1" ht="15" hidden="1" customHeight="1" outlineLevel="2" x14ac:dyDescent="0.3">
      <c r="A580" s="757"/>
      <c r="B580" s="398"/>
      <c r="C580" s="1022"/>
      <c r="D580" s="1022"/>
      <c r="E580" s="1022"/>
      <c r="F580" s="1022"/>
      <c r="G580" s="399"/>
      <c r="H580" s="399"/>
      <c r="I580" s="399"/>
      <c r="J580" s="399"/>
      <c r="K580" s="1022"/>
      <c r="L580" s="399"/>
      <c r="M580" s="399"/>
      <c r="N580" s="399"/>
      <c r="O580" s="399"/>
      <c r="P580" s="1022"/>
      <c r="Q580" s="399"/>
      <c r="R580" s="399"/>
      <c r="S580" s="399"/>
      <c r="T580" s="399"/>
      <c r="U580" s="1022"/>
      <c r="V580" s="399"/>
      <c r="W580" s="399"/>
      <c r="X580" s="399"/>
      <c r="Y580" s="399"/>
      <c r="Z580" s="1022"/>
      <c r="AA580" s="399"/>
      <c r="AB580" s="399"/>
      <c r="AC580" s="399"/>
      <c r="AD580" s="399"/>
      <c r="AE580" s="1022"/>
      <c r="AF580" s="399"/>
      <c r="AG580" s="399"/>
      <c r="AH580" s="399"/>
      <c r="AI580" s="399"/>
      <c r="AJ580" s="1022"/>
      <c r="AK580" s="399"/>
      <c r="AL580" s="399"/>
      <c r="AM580" s="399"/>
      <c r="AN580" s="399"/>
      <c r="AO580" s="1022"/>
      <c r="AP580" s="399"/>
      <c r="AQ580" s="399"/>
      <c r="AR580" s="399"/>
      <c r="AS580" s="399"/>
      <c r="AT580" s="1022"/>
      <c r="AU580" s="399"/>
      <c r="AV580" s="399"/>
      <c r="AW580" s="399"/>
      <c r="AX580" s="399"/>
      <c r="AY580" s="1022"/>
      <c r="AZ580" s="399"/>
      <c r="BA580" s="399"/>
      <c r="BB580" s="399"/>
      <c r="BC580" s="399"/>
      <c r="BD580" s="1022"/>
      <c r="BE580" s="399"/>
      <c r="BF580" s="399"/>
      <c r="BG580" s="399"/>
      <c r="BH580" s="399"/>
      <c r="BI580" s="1022"/>
      <c r="BJ580" s="399"/>
      <c r="BK580" s="399"/>
      <c r="BL580" s="399"/>
      <c r="BM580" s="399"/>
      <c r="BN580" s="1022"/>
      <c r="BO580" s="399"/>
      <c r="BP580" s="399"/>
      <c r="BQ580" s="399"/>
      <c r="BR580" s="399"/>
      <c r="BS580" s="1022"/>
      <c r="BT580" s="698"/>
      <c r="BU580" s="399"/>
      <c r="BV580" s="399"/>
      <c r="BW580" s="399"/>
      <c r="BX580" s="1022"/>
      <c r="BY580" s="399"/>
      <c r="BZ580" s="399"/>
      <c r="CA580" s="399"/>
      <c r="CB580" s="399"/>
      <c r="CC580" s="1022"/>
      <c r="CD580" s="1022"/>
      <c r="CE580" s="1022"/>
      <c r="CF580" s="1022"/>
      <c r="CG580" s="397"/>
    </row>
    <row r="581" spans="1:85" s="587" customFormat="1" ht="15" hidden="1" customHeight="1" outlineLevel="2" x14ac:dyDescent="0.3">
      <c r="A581" s="182" t="s">
        <v>962</v>
      </c>
      <c r="B581" s="414"/>
      <c r="C581" s="962"/>
      <c r="D581" s="962"/>
      <c r="E581" s="962"/>
      <c r="F581" s="962"/>
      <c r="G581" s="757"/>
      <c r="H581" s="757"/>
      <c r="I581" s="757"/>
      <c r="J581" s="757"/>
      <c r="K581" s="962"/>
      <c r="L581" s="757"/>
      <c r="M581" s="757"/>
      <c r="N581" s="757"/>
      <c r="O581" s="757"/>
      <c r="P581" s="962"/>
      <c r="Q581" s="757"/>
      <c r="R581" s="757"/>
      <c r="S581" s="757"/>
      <c r="T581" s="757"/>
      <c r="U581" s="962"/>
      <c r="V581" s="757"/>
      <c r="W581" s="757"/>
      <c r="X581" s="757"/>
      <c r="Y581" s="757"/>
      <c r="Z581" s="962"/>
      <c r="AA581" s="757"/>
      <c r="AB581" s="757"/>
      <c r="AC581" s="757"/>
      <c r="AD581" s="757"/>
      <c r="AE581" s="962"/>
      <c r="AF581" s="757"/>
      <c r="AG581" s="757"/>
      <c r="AH581" s="757"/>
      <c r="AI581" s="757"/>
      <c r="AJ581" s="962"/>
      <c r="AK581" s="757"/>
      <c r="AL581" s="757"/>
      <c r="AM581" s="757"/>
      <c r="AN581" s="757"/>
      <c r="AO581" s="962"/>
      <c r="AP581" s="757"/>
      <c r="AQ581" s="757"/>
      <c r="AR581" s="757"/>
      <c r="AS581" s="757"/>
      <c r="AT581" s="962"/>
      <c r="AU581" s="757"/>
      <c r="AV581" s="757">
        <f t="shared" ref="AV581:AW583" si="1081">AV571*AV576/1000</f>
      </c>
      <c r="AW581" s="757">
        <f t="shared" si="1081"/>
      </c>
      <c r="AX581" s="757"/>
      <c r="AY581" s="962"/>
      <c r="AZ581" s="757"/>
      <c r="BA581" s="757"/>
      <c r="BB581" s="757"/>
      <c r="BC581" s="757"/>
      <c r="BD581" s="962"/>
      <c r="BE581" s="757">
        <f t="shared" ref="BE581:BH583" si="1082">BE571*BE576/1000</f>
      </c>
      <c r="BF581" s="757">
        <f t="shared" si="1082"/>
      </c>
      <c r="BG581" s="757">
        <f t="shared" si="1082"/>
      </c>
      <c r="BH581" s="757">
        <f t="shared" si="1082"/>
      </c>
      <c r="BI581" s="962"/>
      <c r="BJ581" s="757">
        <f t="shared" ref="BJ581:BM583" si="1083">BJ571*BJ576/1000</f>
      </c>
      <c r="BK581" s="757">
        <f t="shared" si="1083"/>
      </c>
      <c r="BL581" s="757">
        <f t="shared" si="1083"/>
      </c>
      <c r="BM581" s="757">
        <f t="shared" si="1083"/>
      </c>
      <c r="BN581" s="962"/>
      <c r="BO581" s="757">
        <f t="shared" ref="BO581:BR583" si="1084">BO571*BO576/1000</f>
      </c>
      <c r="BP581" s="757">
        <f t="shared" si="1084"/>
      </c>
      <c r="BQ581" s="757">
        <f t="shared" si="1084"/>
      </c>
      <c r="BR581" s="757">
        <f t="shared" si="1084"/>
      </c>
      <c r="BS581" s="962"/>
      <c r="BT581" s="758">
        <f t="shared" ref="BT581" si="1085">BT571*BT576/1000</f>
      </c>
      <c r="BU581" s="757"/>
      <c r="BV581" s="757"/>
      <c r="BW581" s="757"/>
      <c r="BX581" s="962"/>
      <c r="BY581" s="757"/>
      <c r="BZ581" s="757"/>
      <c r="CA581" s="757"/>
      <c r="CB581" s="757"/>
      <c r="CC581" s="962"/>
      <c r="CD581" s="962"/>
      <c r="CE581" s="962"/>
      <c r="CF581" s="962"/>
      <c r="CG581" s="459"/>
    </row>
    <row r="582" spans="1:85" s="587" customFormat="1" ht="15" hidden="1" customHeight="1" outlineLevel="2" x14ac:dyDescent="0.3">
      <c r="A582" s="182" t="s">
        <v>963</v>
      </c>
      <c r="B582" s="414"/>
      <c r="C582" s="962"/>
      <c r="D582" s="962"/>
      <c r="E582" s="962"/>
      <c r="F582" s="962"/>
      <c r="G582" s="757"/>
      <c r="H582" s="757"/>
      <c r="I582" s="757"/>
      <c r="J582" s="757"/>
      <c r="K582" s="962"/>
      <c r="L582" s="757"/>
      <c r="M582" s="757"/>
      <c r="N582" s="757"/>
      <c r="O582" s="757"/>
      <c r="P582" s="962"/>
      <c r="Q582" s="757"/>
      <c r="R582" s="757"/>
      <c r="S582" s="757"/>
      <c r="T582" s="757"/>
      <c r="U582" s="962"/>
      <c r="V582" s="757"/>
      <c r="W582" s="757"/>
      <c r="X582" s="757"/>
      <c r="Y582" s="757"/>
      <c r="Z582" s="962"/>
      <c r="AA582" s="757"/>
      <c r="AB582" s="757"/>
      <c r="AC582" s="757"/>
      <c r="AD582" s="757"/>
      <c r="AE582" s="962"/>
      <c r="AF582" s="757"/>
      <c r="AG582" s="757"/>
      <c r="AH582" s="757"/>
      <c r="AI582" s="757"/>
      <c r="AJ582" s="962"/>
      <c r="AK582" s="757"/>
      <c r="AL582" s="757"/>
      <c r="AM582" s="757"/>
      <c r="AN582" s="757"/>
      <c r="AO582" s="962"/>
      <c r="AP582" s="757"/>
      <c r="AQ582" s="757"/>
      <c r="AR582" s="757"/>
      <c r="AS582" s="757"/>
      <c r="AT582" s="962"/>
      <c r="AU582" s="757"/>
      <c r="AV582" s="757">
        <f t="shared" si="1081"/>
      </c>
      <c r="AW582" s="757">
        <f t="shared" si="1081"/>
      </c>
      <c r="AX582" s="757"/>
      <c r="AY582" s="962"/>
      <c r="AZ582" s="757"/>
      <c r="BA582" s="757"/>
      <c r="BB582" s="757"/>
      <c r="BC582" s="757"/>
      <c r="BD582" s="962"/>
      <c r="BE582" s="757">
        <f t="shared" si="1082"/>
      </c>
      <c r="BF582" s="757">
        <f t="shared" si="1082"/>
      </c>
      <c r="BG582" s="757">
        <f t="shared" si="1082"/>
      </c>
      <c r="BH582" s="757">
        <f t="shared" si="1082"/>
      </c>
      <c r="BI582" s="962"/>
      <c r="BJ582" s="757">
        <f t="shared" si="1083"/>
      </c>
      <c r="BK582" s="757">
        <f t="shared" si="1083"/>
      </c>
      <c r="BL582" s="757">
        <f t="shared" si="1083"/>
      </c>
      <c r="BM582" s="757">
        <f t="shared" si="1083"/>
      </c>
      <c r="BN582" s="962"/>
      <c r="BO582" s="757">
        <f t="shared" si="1084"/>
      </c>
      <c r="BP582" s="757">
        <f t="shared" si="1084"/>
      </c>
      <c r="BQ582" s="757">
        <f t="shared" si="1084"/>
      </c>
      <c r="BR582" s="757">
        <f t="shared" si="1084"/>
      </c>
      <c r="BS582" s="962"/>
      <c r="BT582" s="758">
        <f t="shared" ref="BT582" si="1086">BT572*BT577/1000</f>
      </c>
      <c r="BU582" s="757"/>
      <c r="BV582" s="757"/>
      <c r="BW582" s="757"/>
      <c r="BX582" s="962"/>
      <c r="BY582" s="757"/>
      <c r="BZ582" s="757"/>
      <c r="CA582" s="757"/>
      <c r="CB582" s="757"/>
      <c r="CC582" s="962"/>
      <c r="CD582" s="962"/>
      <c r="CE582" s="962"/>
      <c r="CF582" s="962"/>
      <c r="CG582" s="459"/>
    </row>
    <row r="583" spans="1:85" s="587" customFormat="1" ht="15" hidden="1" customHeight="1" outlineLevel="2" x14ac:dyDescent="0.3">
      <c r="A583" s="30" t="s">
        <v>964</v>
      </c>
      <c r="B583" s="416"/>
      <c r="C583" s="984"/>
      <c r="D583" s="984"/>
      <c r="E583" s="984"/>
      <c r="F583" s="984"/>
      <c r="G583" s="761"/>
      <c r="H583" s="761"/>
      <c r="I583" s="761"/>
      <c r="J583" s="761"/>
      <c r="K583" s="984"/>
      <c r="L583" s="761"/>
      <c r="M583" s="761"/>
      <c r="N583" s="761"/>
      <c r="O583" s="761"/>
      <c r="P583" s="984"/>
      <c r="Q583" s="761"/>
      <c r="R583" s="761"/>
      <c r="S583" s="761"/>
      <c r="T583" s="761"/>
      <c r="U583" s="984"/>
      <c r="V583" s="761"/>
      <c r="W583" s="761"/>
      <c r="X583" s="761"/>
      <c r="Y583" s="761"/>
      <c r="Z583" s="984"/>
      <c r="AA583" s="761"/>
      <c r="AB583" s="761"/>
      <c r="AC583" s="761"/>
      <c r="AD583" s="761"/>
      <c r="AE583" s="984"/>
      <c r="AF583" s="761"/>
      <c r="AG583" s="761"/>
      <c r="AH583" s="761"/>
      <c r="AI583" s="761"/>
      <c r="AJ583" s="984"/>
      <c r="AK583" s="761"/>
      <c r="AL583" s="761"/>
      <c r="AM583" s="761"/>
      <c r="AN583" s="761"/>
      <c r="AO583" s="984"/>
      <c r="AP583" s="761"/>
      <c r="AQ583" s="761"/>
      <c r="AR583" s="761"/>
      <c r="AS583" s="761"/>
      <c r="AT583" s="984"/>
      <c r="AU583" s="761"/>
      <c r="AV583" s="761">
        <f t="shared" si="1081"/>
      </c>
      <c r="AW583" s="761">
        <f t="shared" si="1081"/>
      </c>
      <c r="AX583" s="761"/>
      <c r="AY583" s="984"/>
      <c r="AZ583" s="761"/>
      <c r="BA583" s="761"/>
      <c r="BB583" s="761"/>
      <c r="BC583" s="761"/>
      <c r="BD583" s="984"/>
      <c r="BE583" s="761">
        <f t="shared" si="1082"/>
      </c>
      <c r="BF583" s="761">
        <f t="shared" si="1082"/>
      </c>
      <c r="BG583" s="761">
        <f t="shared" si="1082"/>
      </c>
      <c r="BH583" s="761">
        <f t="shared" si="1082"/>
      </c>
      <c r="BI583" s="984"/>
      <c r="BJ583" s="761">
        <f t="shared" si="1083"/>
      </c>
      <c r="BK583" s="761">
        <f t="shared" si="1083"/>
      </c>
      <c r="BL583" s="761">
        <f t="shared" si="1083"/>
      </c>
      <c r="BM583" s="761">
        <f t="shared" si="1083"/>
      </c>
      <c r="BN583" s="984"/>
      <c r="BO583" s="761">
        <f t="shared" si="1084"/>
      </c>
      <c r="BP583" s="761">
        <f t="shared" si="1084"/>
      </c>
      <c r="BQ583" s="761">
        <f t="shared" si="1084"/>
      </c>
      <c r="BR583" s="761">
        <f t="shared" si="1084"/>
      </c>
      <c r="BS583" s="984"/>
      <c r="BT583" s="762">
        <f t="shared" ref="BT583" si="1087">BT573*BT578/1000</f>
      </c>
      <c r="BU583" s="761"/>
      <c r="BV583" s="761"/>
      <c r="BW583" s="761"/>
      <c r="BX583" s="984"/>
      <c r="BY583" s="761"/>
      <c r="BZ583" s="761"/>
      <c r="CA583" s="761"/>
      <c r="CB583" s="761"/>
      <c r="CC583" s="984"/>
      <c r="CD583" s="984"/>
      <c r="CE583" s="984"/>
      <c r="CF583" s="984"/>
      <c r="CG583" s="459"/>
    </row>
    <row r="584" spans="1:85" s="587" customFormat="1" ht="15" hidden="1" customHeight="1" outlineLevel="1" collapsed="1" x14ac:dyDescent="0.3">
      <c r="A584" s="459" t="s">
        <v>965</v>
      </c>
      <c r="B584" s="414"/>
      <c r="C584" s="962"/>
      <c r="D584" s="962"/>
      <c r="E584" s="962"/>
      <c r="F584" s="962"/>
      <c r="G584" s="757"/>
      <c r="H584" s="757"/>
      <c r="I584" s="757"/>
      <c r="J584" s="757"/>
      <c r="K584" s="962"/>
      <c r="L584" s="757"/>
      <c r="M584" s="757"/>
      <c r="N584" s="757"/>
      <c r="O584" s="757"/>
      <c r="P584" s="962"/>
      <c r="Q584" s="757"/>
      <c r="R584" s="757"/>
      <c r="S584" s="757"/>
      <c r="T584" s="757"/>
      <c r="U584" s="962"/>
      <c r="V584" s="757"/>
      <c r="W584" s="757"/>
      <c r="X584" s="757"/>
      <c r="Y584" s="757"/>
      <c r="Z584" s="962"/>
      <c r="AA584" s="757"/>
      <c r="AB584" s="757"/>
      <c r="AC584" s="757"/>
      <c r="AD584" s="757"/>
      <c r="AE584" s="962"/>
      <c r="AF584" s="757"/>
      <c r="AG584" s="757"/>
      <c r="AH584" s="757"/>
      <c r="AI584" s="757"/>
      <c r="AJ584" s="962"/>
      <c r="AK584" s="757"/>
      <c r="AL584" s="757"/>
      <c r="AM584" s="757"/>
      <c r="AN584" s="757"/>
      <c r="AO584" s="962"/>
      <c r="AP584" s="757"/>
      <c r="AQ584" s="757"/>
      <c r="AR584" s="757"/>
      <c r="AS584" s="757"/>
      <c r="AT584" s="962"/>
      <c r="AU584" s="757"/>
      <c r="AV584" s="757">
        <f>SUM(AV581:AV583)</f>
      </c>
      <c r="AW584" s="757">
        <f>SUM(AW581:AW583)</f>
      </c>
      <c r="AX584" s="757"/>
      <c r="AY584" s="962">
        <f>SUM(AX584,AW584,AV584,AU584)</f>
      </c>
      <c r="AZ584" s="757"/>
      <c r="BA584" s="757"/>
      <c r="BB584" s="757"/>
      <c r="BC584" s="757"/>
      <c r="BD584" s="962"/>
      <c r="BE584" s="757">
        <f>SUM(BE581:BE583)</f>
      </c>
      <c r="BF584" s="757">
        <f>SUM(BF581:BF583)</f>
      </c>
      <c r="BG584" s="757">
        <f>SUM(BG581:BG583)</f>
      </c>
      <c r="BH584" s="757">
        <f>SUM(BH581:BH583)</f>
      </c>
      <c r="BI584" s="962">
        <f>SUM(BH584,BG584,BF584,BE584)</f>
      </c>
      <c r="BJ584" s="757">
        <f>SUM(BJ581:BJ583)</f>
      </c>
      <c r="BK584" s="757">
        <f>SUM(BK581:BK583)</f>
      </c>
      <c r="BL584" s="757">
        <f>SUM(BL581:BL583)</f>
      </c>
      <c r="BM584" s="757">
        <f>SUM(BM581:BM583)</f>
      </c>
      <c r="BN584" s="962">
        <f>SUM(BM584,BL584,BK584,BJ584)</f>
      </c>
      <c r="BO584" s="757">
        <f>SUM(BO581:BO583)</f>
      </c>
      <c r="BP584" s="757">
        <f>SUM(BP581:BP583)</f>
      </c>
      <c r="BQ584" s="757">
        <f>SUM(BQ581:BQ583)</f>
      </c>
      <c r="BR584" s="757">
        <f>SUM(BR581:BR583)</f>
      </c>
      <c r="BS584" s="962">
        <f>SUM(BR584,BQ584,BP584,BO584)</f>
      </c>
      <c r="BT584" s="758">
        <f>SUM(BT581:BT583)</f>
      </c>
      <c r="BU584" s="757"/>
      <c r="BV584" s="757"/>
      <c r="BW584" s="757"/>
      <c r="BX584" s="962"/>
      <c r="BY584" s="757"/>
      <c r="BZ584" s="757"/>
      <c r="CA584" s="757"/>
      <c r="CB584" s="757"/>
      <c r="CC584" s="962"/>
      <c r="CD584" s="962"/>
      <c r="CE584" s="962"/>
      <c r="CF584" s="962"/>
      <c r="CG584" s="459"/>
    </row>
    <row r="585" spans="1:85" s="587" customFormat="1" ht="15" hidden="1" customHeight="1" outlineLevel="2" x14ac:dyDescent="0.3">
      <c r="A585" s="757"/>
      <c r="B585" s="414"/>
      <c r="C585" s="962"/>
      <c r="D585" s="962"/>
      <c r="E585" s="962"/>
      <c r="F585" s="962"/>
      <c r="G585" s="757"/>
      <c r="H585" s="757"/>
      <c r="I585" s="757"/>
      <c r="J585" s="757"/>
      <c r="K585" s="962"/>
      <c r="L585" s="757"/>
      <c r="M585" s="757"/>
      <c r="N585" s="757"/>
      <c r="O585" s="757"/>
      <c r="P585" s="962"/>
      <c r="Q585" s="757"/>
      <c r="R585" s="757"/>
      <c r="S585" s="757"/>
      <c r="T585" s="757"/>
      <c r="U585" s="962"/>
      <c r="V585" s="757"/>
      <c r="W585" s="757"/>
      <c r="X585" s="757"/>
      <c r="Y585" s="757"/>
      <c r="Z585" s="962"/>
      <c r="AA585" s="757"/>
      <c r="AB585" s="757"/>
      <c r="AC585" s="757"/>
      <c r="AD585" s="757"/>
      <c r="AE585" s="962"/>
      <c r="AF585" s="757"/>
      <c r="AG585" s="757"/>
      <c r="AH585" s="757"/>
      <c r="AI585" s="757"/>
      <c r="AJ585" s="962"/>
      <c r="AK585" s="757"/>
      <c r="AL585" s="757"/>
      <c r="AM585" s="757"/>
      <c r="AN585" s="757"/>
      <c r="AO585" s="962"/>
      <c r="AP585" s="757"/>
      <c r="AQ585" s="757"/>
      <c r="AR585" s="757"/>
      <c r="AS585" s="757"/>
      <c r="AT585" s="962"/>
      <c r="AU585" s="757"/>
      <c r="AV585" s="757"/>
      <c r="AW585" s="757"/>
      <c r="AX585" s="757"/>
      <c r="AY585" s="962"/>
      <c r="AZ585" s="757"/>
      <c r="BA585" s="757"/>
      <c r="BB585" s="757"/>
      <c r="BC585" s="757"/>
      <c r="BD585" s="962"/>
      <c r="BE585" s="757"/>
      <c r="BF585" s="757"/>
      <c r="BG585" s="757"/>
      <c r="BH585" s="757"/>
      <c r="BI585" s="962"/>
      <c r="BJ585" s="757"/>
      <c r="BK585" s="757"/>
      <c r="BL585" s="757"/>
      <c r="BM585" s="757"/>
      <c r="BN585" s="962"/>
      <c r="BO585" s="757"/>
      <c r="BP585" s="757"/>
      <c r="BQ585" s="757"/>
      <c r="BR585" s="757"/>
      <c r="BS585" s="962"/>
      <c r="BT585" s="758"/>
      <c r="BU585" s="757"/>
      <c r="BV585" s="757"/>
      <c r="BW585" s="757"/>
      <c r="BX585" s="962"/>
      <c r="BY585" s="757"/>
      <c r="BZ585" s="757"/>
      <c r="CA585" s="757"/>
      <c r="CB585" s="757"/>
      <c r="CC585" s="962"/>
      <c r="CD585" s="962"/>
      <c r="CE585" s="962"/>
      <c r="CF585" s="962"/>
      <c r="CG585" s="459"/>
    </row>
    <row r="586" spans="1:85" s="587" customFormat="1" ht="15" hidden="1" customHeight="1" outlineLevel="2" x14ac:dyDescent="0.3">
      <c r="A586" s="182" t="s">
        <v>2168</v>
      </c>
      <c r="B586" s="414"/>
      <c r="C586" s="962"/>
      <c r="D586" s="962"/>
      <c r="E586" s="962"/>
      <c r="F586" s="962"/>
      <c r="G586" s="757"/>
      <c r="H586" s="757"/>
      <c r="I586" s="757"/>
      <c r="J586" s="757"/>
      <c r="K586" s="962"/>
      <c r="L586" s="757"/>
      <c r="M586" s="757"/>
      <c r="N586" s="757"/>
      <c r="O586" s="757"/>
      <c r="P586" s="962"/>
      <c r="Q586" s="757"/>
      <c r="R586" s="757"/>
      <c r="S586" s="757"/>
      <c r="T586" s="757"/>
      <c r="U586" s="962"/>
      <c r="V586" s="757"/>
      <c r="W586" s="757"/>
      <c r="X586" s="757"/>
      <c r="Y586" s="757"/>
      <c r="Z586" s="962"/>
      <c r="AA586" s="757"/>
      <c r="AB586" s="757"/>
      <c r="AC586" s="757"/>
      <c r="AD586" s="757"/>
      <c r="AE586" s="962"/>
      <c r="AF586" s="757"/>
      <c r="AG586" s="757"/>
      <c r="AH586" s="757"/>
      <c r="AI586" s="757"/>
      <c r="AJ586" s="962"/>
      <c r="AK586" s="757"/>
      <c r="AL586" s="757"/>
      <c r="AM586" s="757"/>
      <c r="AN586" s="757"/>
      <c r="AO586" s="962"/>
      <c r="AP586" s="757"/>
      <c r="AQ586" s="757"/>
      <c r="AR586" s="757"/>
      <c r="AS586" s="757"/>
      <c r="AT586" s="962"/>
      <c r="AU586" s="757"/>
      <c r="AV586" s="857">
        <v>4950</v>
      </c>
      <c r="AW586" s="857">
        <v>4500</v>
      </c>
      <c r="AX586" s="757"/>
      <c r="AY586" s="962"/>
      <c r="AZ586" s="757"/>
      <c r="BA586" s="757"/>
      <c r="BB586" s="757"/>
      <c r="BC586" s="757"/>
      <c r="BD586" s="962"/>
      <c r="BE586" s="857">
        <v>4400</v>
      </c>
      <c r="BF586" s="857">
        <v>4000</v>
      </c>
      <c r="BG586" s="857">
        <v>3354.855</v>
      </c>
      <c r="BH586" s="857">
        <v>10738.584000000001</v>
      </c>
      <c r="BI586" s="962"/>
      <c r="BJ586" s="857">
        <v>7784.8029999999999</v>
      </c>
      <c r="BK586" s="857">
        <v>5877.4769999999999</v>
      </c>
      <c r="BL586" s="857">
        <v>4135.7550000000001</v>
      </c>
      <c r="BM586" s="857">
        <v>2678.384</v>
      </c>
      <c r="BN586" s="962"/>
      <c r="BO586" s="857">
        <v>16534.208999999999</v>
      </c>
      <c r="BP586" s="857">
        <v>12869.605</v>
      </c>
      <c r="BQ586" s="857">
        <v>11587.261</v>
      </c>
      <c r="BR586" s="857">
        <v>9471.6080000000002</v>
      </c>
      <c r="BS586" s="962"/>
      <c r="BT586" s="864">
        <v>8046.7839999999997</v>
      </c>
      <c r="BU586" s="757"/>
      <c r="BV586" s="757"/>
      <c r="BW586" s="757"/>
      <c r="BX586" s="962"/>
      <c r="BY586" s="757"/>
      <c r="BZ586" s="757"/>
      <c r="CA586" s="757"/>
      <c r="CB586" s="757"/>
      <c r="CC586" s="962"/>
      <c r="CD586" s="962"/>
      <c r="CE586" s="962"/>
      <c r="CF586" s="962"/>
      <c r="CG586" s="459"/>
    </row>
    <row r="587" spans="1:85" s="587" customFormat="1" ht="15" hidden="1" customHeight="1" outlineLevel="2" x14ac:dyDescent="0.3">
      <c r="A587" s="182" t="s">
        <v>2169</v>
      </c>
      <c r="B587" s="414"/>
      <c r="C587" s="962"/>
      <c r="D587" s="962"/>
      <c r="E587" s="962"/>
      <c r="F587" s="962"/>
      <c r="G587" s="757"/>
      <c r="H587" s="757"/>
      <c r="I587" s="757"/>
      <c r="J587" s="757"/>
      <c r="K587" s="962"/>
      <c r="L587" s="757"/>
      <c r="M587" s="757"/>
      <c r="N587" s="757"/>
      <c r="O587" s="757"/>
      <c r="P587" s="962"/>
      <c r="Q587" s="757"/>
      <c r="R587" s="757"/>
      <c r="S587" s="757"/>
      <c r="T587" s="757"/>
      <c r="U587" s="962"/>
      <c r="V587" s="757"/>
      <c r="W587" s="757"/>
      <c r="X587" s="757"/>
      <c r="Y587" s="757"/>
      <c r="Z587" s="962"/>
      <c r="AA587" s="757"/>
      <c r="AB587" s="757"/>
      <c r="AC587" s="757"/>
      <c r="AD587" s="757"/>
      <c r="AE587" s="962"/>
      <c r="AF587" s="757"/>
      <c r="AG587" s="757"/>
      <c r="AH587" s="757"/>
      <c r="AI587" s="757"/>
      <c r="AJ587" s="962"/>
      <c r="AK587" s="757"/>
      <c r="AL587" s="757"/>
      <c r="AM587" s="757"/>
      <c r="AN587" s="757"/>
      <c r="AO587" s="962"/>
      <c r="AP587" s="757"/>
      <c r="AQ587" s="757"/>
      <c r="AR587" s="757"/>
      <c r="AS587" s="757"/>
      <c r="AT587" s="962"/>
      <c r="AU587" s="757"/>
      <c r="AV587" s="857">
        <v>4730.5460000000003</v>
      </c>
      <c r="AW587" s="857">
        <v>4451.2330000000002</v>
      </c>
      <c r="AX587" s="757"/>
      <c r="AY587" s="962"/>
      <c r="AZ587" s="757"/>
      <c r="BA587" s="757"/>
      <c r="BB587" s="757"/>
      <c r="BC587" s="757"/>
      <c r="BD587" s="962"/>
      <c r="BE587" s="857">
        <v>4237.8829999999998</v>
      </c>
      <c r="BF587" s="857">
        <v>3522.7170000000001</v>
      </c>
      <c r="BG587" s="857">
        <v>2218.4940000000001</v>
      </c>
      <c r="BH587" s="857">
        <v>9527.8209999999999</v>
      </c>
      <c r="BI587" s="962"/>
      <c r="BJ587" s="857">
        <v>7073.0469999999996</v>
      </c>
      <c r="BK587" s="857">
        <v>5247.78</v>
      </c>
      <c r="BL587" s="857">
        <v>3555.9319999999998</v>
      </c>
      <c r="BM587" s="857">
        <v>2315.6370000000002</v>
      </c>
      <c r="BN587" s="962"/>
      <c r="BO587" s="857">
        <v>15169.503000000001</v>
      </c>
      <c r="BP587" s="857">
        <v>12415.607</v>
      </c>
      <c r="BQ587" s="857">
        <v>10857.343999999999</v>
      </c>
      <c r="BR587" s="857">
        <v>8461.7939999999999</v>
      </c>
      <c r="BS587" s="962"/>
      <c r="BT587" s="864">
        <v>8046.7839999999997</v>
      </c>
      <c r="BU587" s="757"/>
      <c r="BV587" s="757"/>
      <c r="BW587" s="757"/>
      <c r="BX587" s="962"/>
      <c r="BY587" s="757"/>
      <c r="BZ587" s="757"/>
      <c r="CA587" s="757"/>
      <c r="CB587" s="757"/>
      <c r="CC587" s="962"/>
      <c r="CD587" s="962"/>
      <c r="CE587" s="962"/>
      <c r="CF587" s="962"/>
      <c r="CG587" s="459"/>
    </row>
    <row r="588" spans="1:85" s="587" customFormat="1" ht="15" hidden="1" customHeight="1" outlineLevel="2" x14ac:dyDescent="0.3">
      <c r="A588" s="30" t="s">
        <v>2170</v>
      </c>
      <c r="B588" s="416"/>
      <c r="C588" s="984"/>
      <c r="D588" s="984"/>
      <c r="E588" s="984"/>
      <c r="F588" s="984"/>
      <c r="G588" s="761"/>
      <c r="H588" s="761"/>
      <c r="I588" s="761"/>
      <c r="J588" s="761"/>
      <c r="K588" s="984"/>
      <c r="L588" s="761"/>
      <c r="M588" s="761"/>
      <c r="N588" s="761"/>
      <c r="O588" s="761"/>
      <c r="P588" s="984"/>
      <c r="Q588" s="761"/>
      <c r="R588" s="761"/>
      <c r="S588" s="761"/>
      <c r="T588" s="761"/>
      <c r="U588" s="984"/>
      <c r="V588" s="761"/>
      <c r="W588" s="761"/>
      <c r="X588" s="761"/>
      <c r="Y588" s="761"/>
      <c r="Z588" s="984"/>
      <c r="AA588" s="761"/>
      <c r="AB588" s="761"/>
      <c r="AC588" s="761"/>
      <c r="AD588" s="761"/>
      <c r="AE588" s="984"/>
      <c r="AF588" s="761"/>
      <c r="AG588" s="761"/>
      <c r="AH588" s="761"/>
      <c r="AI588" s="761"/>
      <c r="AJ588" s="984"/>
      <c r="AK588" s="761"/>
      <c r="AL588" s="761"/>
      <c r="AM588" s="761"/>
      <c r="AN588" s="761"/>
      <c r="AO588" s="984"/>
      <c r="AP588" s="761"/>
      <c r="AQ588" s="761"/>
      <c r="AR588" s="761"/>
      <c r="AS588" s="761"/>
      <c r="AT588" s="984"/>
      <c r="AU588" s="761"/>
      <c r="AV588" s="863">
        <v>4500</v>
      </c>
      <c r="AW588" s="863">
        <v>4400</v>
      </c>
      <c r="AX588" s="761"/>
      <c r="AY588" s="984"/>
      <c r="AZ588" s="761"/>
      <c r="BA588" s="761"/>
      <c r="BB588" s="761"/>
      <c r="BC588" s="761"/>
      <c r="BD588" s="984"/>
      <c r="BE588" s="863">
        <v>4000</v>
      </c>
      <c r="BF588" s="863">
        <v>3354.855</v>
      </c>
      <c r="BG588" s="863">
        <v>10854.856</v>
      </c>
      <c r="BH588" s="863">
        <v>8354.857</v>
      </c>
      <c r="BI588" s="984"/>
      <c r="BJ588" s="863">
        <v>6354.8580000000002</v>
      </c>
      <c r="BK588" s="863">
        <v>4754.8590000000004</v>
      </c>
      <c r="BL588" s="863">
        <v>3054.86</v>
      </c>
      <c r="BM588" s="863">
        <v>17143.775000000001</v>
      </c>
      <c r="BN588" s="984"/>
      <c r="BO588" s="863">
        <v>13607.38</v>
      </c>
      <c r="BP588" s="863">
        <v>11983.227000000001</v>
      </c>
      <c r="BQ588" s="863">
        <v>10126.343000000001</v>
      </c>
      <c r="BR588" s="863">
        <v>8046.7839999999997</v>
      </c>
      <c r="BS588" s="984"/>
      <c r="BT588" s="873">
        <v>6776.1959999999999</v>
      </c>
      <c r="BU588" s="761"/>
      <c r="BV588" s="761"/>
      <c r="BW588" s="761"/>
      <c r="BX588" s="984"/>
      <c r="BY588" s="761"/>
      <c r="BZ588" s="761"/>
      <c r="CA588" s="761"/>
      <c r="CB588" s="761"/>
      <c r="CC588" s="984"/>
      <c r="CD588" s="984"/>
      <c r="CE588" s="984"/>
      <c r="CF588" s="984"/>
      <c r="CG588" s="459"/>
    </row>
    <row r="589" spans="1:85" s="587" customFormat="1" ht="15" hidden="1" customHeight="1" outlineLevel="1" collapsed="1" x14ac:dyDescent="0.3">
      <c r="A589" s="6" t="s">
        <v>2171</v>
      </c>
      <c r="B589" s="414"/>
      <c r="C589" s="962"/>
      <c r="D589" s="962"/>
      <c r="E589" s="962"/>
      <c r="F589" s="962"/>
      <c r="G589" s="757"/>
      <c r="H589" s="757"/>
      <c r="I589" s="757"/>
      <c r="J589" s="757"/>
      <c r="K589" s="962"/>
      <c r="L589" s="757"/>
      <c r="M589" s="757"/>
      <c r="N589" s="757"/>
      <c r="O589" s="757"/>
      <c r="P589" s="962"/>
      <c r="Q589" s="757"/>
      <c r="R589" s="757"/>
      <c r="S589" s="757"/>
      <c r="T589" s="757"/>
      <c r="U589" s="962"/>
      <c r="V589" s="757"/>
      <c r="W589" s="757"/>
      <c r="X589" s="757"/>
      <c r="Y589" s="757"/>
      <c r="Z589" s="962"/>
      <c r="AA589" s="757"/>
      <c r="AB589" s="757"/>
      <c r="AC589" s="757"/>
      <c r="AD589" s="757"/>
      <c r="AE589" s="962"/>
      <c r="AF589" s="757"/>
      <c r="AG589" s="757"/>
      <c r="AH589" s="757"/>
      <c r="AI589" s="757"/>
      <c r="AJ589" s="962"/>
      <c r="AK589" s="757"/>
      <c r="AL589" s="757"/>
      <c r="AM589" s="757"/>
      <c r="AN589" s="757"/>
      <c r="AO589" s="962"/>
      <c r="AP589" s="757"/>
      <c r="AQ589" s="757"/>
      <c r="AR589" s="757"/>
      <c r="AS589" s="757"/>
      <c r="AT589" s="962"/>
      <c r="AU589" s="757"/>
      <c r="AV589" s="757">
        <f>AV588</f>
      </c>
      <c r="AW589" s="757">
        <f>AW588</f>
      </c>
      <c r="AX589" s="757"/>
      <c r="AY589" s="962">
        <f>AW589</f>
      </c>
      <c r="AZ589" s="757"/>
      <c r="BA589" s="757"/>
      <c r="BB589" s="757"/>
      <c r="BC589" s="757"/>
      <c r="BD589" s="962"/>
      <c r="BE589" s="757">
        <f>BE588</f>
      </c>
      <c r="BF589" s="757">
        <f>BF588</f>
      </c>
      <c r="BG589" s="757">
        <f>BG588</f>
      </c>
      <c r="BH589" s="757">
        <f>BH588</f>
      </c>
      <c r="BI589" s="962">
        <f>BH589</f>
      </c>
      <c r="BJ589" s="757">
        <f>BJ588</f>
      </c>
      <c r="BK589" s="757">
        <f>BK588</f>
      </c>
      <c r="BL589" s="757">
        <f>BL588</f>
      </c>
      <c r="BM589" s="757">
        <f>BM588</f>
      </c>
      <c r="BN589" s="962">
        <f>BM589</f>
      </c>
      <c r="BO589" s="757">
        <f>BO588</f>
      </c>
      <c r="BP589" s="757">
        <f>BP588</f>
      </c>
      <c r="BQ589" s="757">
        <f>BQ588</f>
      </c>
      <c r="BR589" s="757">
        <f>BR588</f>
      </c>
      <c r="BS589" s="962">
        <f>BR589</f>
      </c>
      <c r="BT589" s="758">
        <f>BT588</f>
      </c>
      <c r="BU589" s="757"/>
      <c r="BV589" s="757"/>
      <c r="BW589" s="757"/>
      <c r="BX589" s="962"/>
      <c r="BY589" s="757"/>
      <c r="BZ589" s="757"/>
      <c r="CA589" s="757"/>
      <c r="CB589" s="757"/>
      <c r="CC589" s="962"/>
      <c r="CD589" s="962"/>
      <c r="CE589" s="962"/>
      <c r="CF589" s="962"/>
      <c r="CG589" s="459"/>
    </row>
    <row r="590" spans="1:85" s="587" customFormat="1" ht="15" customHeight="1" collapsed="1" x14ac:dyDescent="0.3">
      <c r="A590" s="757"/>
      <c r="B590" s="414"/>
      <c r="C590" s="962"/>
      <c r="D590" s="962"/>
      <c r="E590" s="962"/>
      <c r="F590" s="962"/>
      <c r="G590" s="757"/>
      <c r="H590" s="757"/>
      <c r="I590" s="757"/>
      <c r="J590" s="757"/>
      <c r="K590" s="962"/>
      <c r="L590" s="757"/>
      <c r="M590" s="757"/>
      <c r="N590" s="757"/>
      <c r="O590" s="757"/>
      <c r="P590" s="962"/>
      <c r="Q590" s="757"/>
      <c r="R590" s="757"/>
      <c r="S590" s="757"/>
      <c r="T590" s="757"/>
      <c r="U590" s="962"/>
      <c r="V590" s="757"/>
      <c r="W590" s="757"/>
      <c r="X590" s="757"/>
      <c r="Y590" s="757"/>
      <c r="Z590" s="962"/>
      <c r="AA590" s="757"/>
      <c r="AB590" s="757"/>
      <c r="AC590" s="757"/>
      <c r="AD590" s="757"/>
      <c r="AE590" s="962"/>
      <c r="AF590" s="757"/>
      <c r="AG590" s="757"/>
      <c r="AH590" s="757"/>
      <c r="AI590" s="757"/>
      <c r="AJ590" s="962"/>
      <c r="AK590" s="757"/>
      <c r="AL590" s="757"/>
      <c r="AM590" s="757"/>
      <c r="AN590" s="757"/>
      <c r="AO590" s="962"/>
      <c r="AP590" s="757"/>
      <c r="AQ590" s="757"/>
      <c r="AR590" s="757"/>
      <c r="AS590" s="757"/>
      <c r="AT590" s="962"/>
      <c r="AU590" s="757"/>
      <c r="AV590" s="757"/>
      <c r="AW590" s="757"/>
      <c r="AX590" s="757"/>
      <c r="AY590" s="962"/>
      <c r="AZ590" s="757"/>
      <c r="BA590" s="757"/>
      <c r="BB590" s="757"/>
      <c r="BC590" s="757"/>
      <c r="BD590" s="962"/>
      <c r="BE590" s="757"/>
      <c r="BF590" s="757"/>
      <c r="BG590" s="757"/>
      <c r="BH590" s="757"/>
      <c r="BI590" s="962"/>
      <c r="BJ590" s="757"/>
      <c r="BK590" s="757"/>
      <c r="BL590" s="757"/>
      <c r="BM590" s="757"/>
      <c r="BN590" s="962"/>
      <c r="BO590" s="757"/>
      <c r="BP590" s="757"/>
      <c r="BQ590" s="757"/>
      <c r="BR590" s="757"/>
      <c r="BS590" s="962"/>
      <c r="BT590" s="758"/>
      <c r="BU590" s="757"/>
      <c r="BV590" s="757"/>
      <c r="BW590" s="757"/>
      <c r="BX590" s="962"/>
      <c r="BY590" s="757"/>
      <c r="BZ590" s="757"/>
      <c r="CA590" s="757"/>
      <c r="CB590" s="757"/>
      <c r="CC590" s="962"/>
      <c r="CD590" s="962"/>
      <c r="CE590" s="962"/>
      <c r="CF590" s="962"/>
      <c r="CG590" s="459"/>
    </row>
    <row r="591" spans="1:85" s="587" customFormat="1" ht="15" customHeight="1" x14ac:dyDescent="0.3">
      <c r="A591" s="754" t="s">
        <v>2264</v>
      </c>
      <c r="B591" s="136"/>
      <c r="C591" s="754"/>
      <c r="D591" s="754"/>
      <c r="E591" s="754"/>
      <c r="F591" s="754"/>
      <c r="G591" s="754"/>
      <c r="H591" s="754"/>
      <c r="I591" s="754"/>
      <c r="J591" s="754"/>
      <c r="K591" s="754"/>
      <c r="L591" s="754"/>
      <c r="M591" s="754"/>
      <c r="N591" s="754"/>
      <c r="O591" s="754"/>
      <c r="P591" s="754"/>
      <c r="Q591" s="754"/>
      <c r="R591" s="754"/>
      <c r="S591" s="754"/>
      <c r="T591" s="754"/>
      <c r="U591" s="754"/>
      <c r="V591" s="754"/>
      <c r="W591" s="754"/>
      <c r="X591" s="754"/>
      <c r="Y591" s="754"/>
      <c r="Z591" s="754"/>
      <c r="AA591" s="754"/>
      <c r="AB591" s="754"/>
      <c r="AC591" s="754"/>
      <c r="AD591" s="754"/>
      <c r="AE591" s="754"/>
      <c r="AF591" s="754"/>
      <c r="AG591" s="754"/>
      <c r="AH591" s="754"/>
      <c r="AI591" s="754"/>
      <c r="AJ591" s="754"/>
      <c r="AK591" s="754"/>
      <c r="AL591" s="754"/>
      <c r="AM591" s="754"/>
      <c r="AN591" s="754"/>
      <c r="AO591" s="754"/>
      <c r="AP591" s="754"/>
      <c r="AQ591" s="754"/>
      <c r="AR591" s="754"/>
      <c r="AS591" s="754"/>
      <c r="AT591" s="754"/>
      <c r="AU591" s="754"/>
      <c r="AV591" s="754"/>
      <c r="AW591" s="754"/>
      <c r="AX591" s="754"/>
      <c r="AY591" s="754"/>
      <c r="AZ591" s="754"/>
      <c r="BA591" s="754"/>
      <c r="BB591" s="754"/>
      <c r="BC591" s="754"/>
      <c r="BD591" s="754"/>
      <c r="BE591" s="754"/>
      <c r="BF591" s="754"/>
      <c r="BG591" s="754"/>
      <c r="BH591" s="754"/>
      <c r="BI591" s="754"/>
      <c r="BJ591" s="754"/>
      <c r="BK591" s="754"/>
      <c r="BL591" s="754"/>
      <c r="BM591" s="754"/>
      <c r="BN591" s="754"/>
      <c r="BO591" s="754"/>
      <c r="BP591" s="754"/>
      <c r="BQ591" s="754"/>
      <c r="BR591" s="754"/>
      <c r="BS591" s="754"/>
      <c r="BT591" s="755"/>
      <c r="BU591" s="754"/>
      <c r="BV591" s="754"/>
      <c r="BW591" s="754"/>
      <c r="BX591" s="754"/>
      <c r="BY591" s="754"/>
      <c r="BZ591" s="754"/>
      <c r="CA591" s="754"/>
      <c r="CB591" s="754"/>
      <c r="CC591" s="754"/>
      <c r="CD591" s="754"/>
      <c r="CE591" s="754"/>
      <c r="CF591" s="754"/>
      <c r="CG591" s="459"/>
    </row>
    <row r="592" spans="1:85" s="587" customFormat="1" ht="15" hidden="1" customHeight="1" outlineLevel="1" x14ac:dyDescent="0.3">
      <c r="A592" s="412" t="s">
        <v>2329</v>
      </c>
      <c r="B592" s="136"/>
      <c r="C592" s="754"/>
      <c r="D592" s="754"/>
      <c r="E592" s="754"/>
      <c r="F592" s="754"/>
      <c r="G592" s="754"/>
      <c r="H592" s="754"/>
      <c r="I592" s="754"/>
      <c r="J592" s="754"/>
      <c r="K592" s="754"/>
      <c r="L592" s="754"/>
      <c r="M592" s="754"/>
      <c r="N592" s="754"/>
      <c r="O592" s="754"/>
      <c r="P592" s="754"/>
      <c r="Q592" s="754"/>
      <c r="R592" s="754"/>
      <c r="S592" s="754"/>
      <c r="T592" s="754"/>
      <c r="U592" s="754"/>
      <c r="V592" s="754"/>
      <c r="W592" s="754"/>
      <c r="X592" s="754"/>
      <c r="Y592" s="754"/>
      <c r="Z592" s="754"/>
      <c r="AA592" s="754"/>
      <c r="AB592" s="754"/>
      <c r="AC592" s="754"/>
      <c r="AD592" s="754"/>
      <c r="AE592" s="754"/>
      <c r="AF592" s="754"/>
      <c r="AG592" s="754"/>
      <c r="AH592" s="754"/>
      <c r="AI592" s="754"/>
      <c r="AJ592" s="754"/>
      <c r="AK592" s="754"/>
      <c r="AL592" s="754"/>
      <c r="AM592" s="754"/>
      <c r="AN592" s="754"/>
      <c r="AO592" s="754"/>
      <c r="AP592" s="754"/>
      <c r="AQ592" s="754"/>
      <c r="AR592" s="754"/>
      <c r="AS592" s="754"/>
      <c r="AT592" s="754"/>
      <c r="AU592" s="754"/>
      <c r="AV592" s="754"/>
      <c r="AW592" s="754"/>
      <c r="AX592" s="754"/>
      <c r="AY592" s="754"/>
      <c r="AZ592" s="754"/>
      <c r="BA592" s="754"/>
      <c r="BB592" s="754"/>
      <c r="BC592" s="754"/>
      <c r="BD592" s="754"/>
      <c r="BE592" s="754"/>
      <c r="BF592" s="754"/>
      <c r="BG592" s="754"/>
      <c r="BH592" s="754"/>
      <c r="BI592" s="754"/>
      <c r="BJ592" s="754"/>
      <c r="BK592" s="754"/>
      <c r="BL592" s="754"/>
      <c r="BM592" s="754"/>
      <c r="BN592" s="754"/>
      <c r="BO592" s="754"/>
      <c r="BP592" s="754"/>
      <c r="BQ592" s="754"/>
      <c r="BR592" s="754"/>
      <c r="BS592" s="754"/>
      <c r="BT592" s="755"/>
      <c r="BU592" s="754"/>
      <c r="BV592" s="754"/>
      <c r="BW592" s="754"/>
      <c r="BX592" s="754"/>
      <c r="BY592" s="754"/>
      <c r="BZ592" s="754"/>
      <c r="CA592" s="754"/>
      <c r="CB592" s="754"/>
      <c r="CC592" s="754"/>
      <c r="CD592" s="754"/>
      <c r="CE592" s="754"/>
      <c r="CF592" s="754"/>
      <c r="CG592" s="459"/>
    </row>
    <row r="593" spans="1:85" s="587" customFormat="1" ht="15" hidden="1" customHeight="1" outlineLevel="2" x14ac:dyDescent="0.3">
      <c r="A593" s="436" t="s">
        <v>2330</v>
      </c>
      <c r="B593" s="414"/>
      <c r="C593" s="962"/>
      <c r="D593" s="962"/>
      <c r="E593" s="962"/>
      <c r="F593" s="962"/>
      <c r="G593" s="757"/>
      <c r="H593" s="757" t="str">
        <f>IF(ISBLANK(G613),"",G613)</f>
      </c>
      <c r="I593" s="757" t="str">
        <f>IF(ISBLANK(H613),"",H613)</f>
      </c>
      <c r="J593" s="757" t="str">
        <f>IF(ISBLANK(I613),"",I613)</f>
      </c>
      <c r="K593" s="962"/>
      <c r="L593" s="757" t="str">
        <f>IF(ISBLANK(J613),"",J613)</f>
      </c>
      <c r="M593" s="757" t="str">
        <f>IF(ISBLANK(L613),"",L613)</f>
      </c>
      <c r="N593" s="757" t="str">
        <f>IF(ISBLANK(M613),"",M613)</f>
      </c>
      <c r="O593" s="757" t="str">
        <f>IF(ISBLANK(N613),"",N613)</f>
      </c>
      <c r="P593" s="962" t="str">
        <f>IF(ISBLANK(J630),"",J630)</f>
      </c>
      <c r="Q593" s="757" t="str">
        <f>IF(ISBLANK(O613),"",O613)</f>
      </c>
      <c r="R593" s="757" t="str">
        <f>IF(ISBLANK(Q613),"",Q613)</f>
      </c>
      <c r="S593" s="757" t="str">
        <f>IF(ISBLANK(R613),"",R613)</f>
      </c>
      <c r="T593" s="757" t="str">
        <f>IF(ISBLANK(S613),"",S613)</f>
      </c>
      <c r="U593" s="962" t="str">
        <f>IF(ISBLANK(O630),"",O630)</f>
      </c>
      <c r="V593" s="757" t="str">
        <f>IF(ISBLANK(T613),"",T613)</f>
      </c>
      <c r="W593" s="757" t="str">
        <f>IF(ISBLANK(V613),"",V613)</f>
      </c>
      <c r="X593" s="757" t="str">
        <f>IF(ISBLANK(W613),"",W613)</f>
      </c>
      <c r="Y593" s="757" t="str">
        <f>IF(ISBLANK(X613),"",X613)</f>
      </c>
      <c r="Z593" s="962" t="str">
        <f>IF(ISBLANK(T630),"",T630)</f>
      </c>
      <c r="AA593" s="757" t="str">
        <f>IF(ISBLANK(Y613),"",Y613)</f>
      </c>
      <c r="AB593" s="757" t="str">
        <f>IF(ISBLANK(AA613),"",AA613)</f>
      </c>
      <c r="AC593" s="757" t="str">
        <f>IF(ISBLANK(AB613),"",AB613)</f>
      </c>
      <c r="AD593" s="757" t="str">
        <f>IF(ISBLANK(AC613),"",AC613)</f>
      </c>
      <c r="AE593" s="962" t="str">
        <f>IF(ISBLANK(Y630),"",Y630)</f>
      </c>
      <c r="AF593" s="757" t="str">
        <f>IF(ISBLANK(AD613),"",AD613)</f>
      </c>
      <c r="AG593" s="757" t="str">
        <f>IF(ISBLANK(AF613),"",AF613)</f>
      </c>
      <c r="AH593" s="757">
        <f>IF(ISBLANK(AG613),"",AG613)</f>
      </c>
      <c r="AI593" s="757">
        <f>IF(ISBLANK(AH613),"",AH613)</f>
      </c>
      <c r="AJ593" s="962" t="str">
        <f>IF(ISBLANK(AD630),"",AD630)</f>
      </c>
      <c r="AK593" s="757">
        <f>IF(ISBLANK(AI613),"",AI613)</f>
      </c>
      <c r="AL593" s="757">
        <f>IF(ISBLANK(AK613),"",AK613)</f>
      </c>
      <c r="AM593" s="757">
        <f>IF(ISBLANK(AL613),"",AL613)</f>
      </c>
      <c r="AN593" s="757">
        <f>IF(ISBLANK(AM613),"",AM613)</f>
      </c>
      <c r="AO593" s="962" t="str">
        <f>IF(ISBLANK(AI630),"",AI630)</f>
      </c>
      <c r="AP593" s="757">
        <f>IF(ISBLANK(AN613),"",AN613)</f>
      </c>
      <c r="AQ593" s="757">
        <f>IF(ISBLANK(AP613),"",AP613)</f>
      </c>
      <c r="AR593" s="757">
        <f>IF(ISBLANK(AQ613),"",AQ613)</f>
      </c>
      <c r="AS593" s="757">
        <f>IF(ISBLANK(AR613),"",AR613)</f>
      </c>
      <c r="AT593" s="962" t="str">
        <f>IF(ISBLANK(AN630),"",AN630)</f>
      </c>
      <c r="AU593" s="757">
        <f>IF(ISBLANK(AS613),"",AS613)</f>
      </c>
      <c r="AV593" s="757">
        <f>IF(ISBLANK(AU613),"",AU613)</f>
      </c>
      <c r="AW593" s="757">
        <f>IF(ISBLANK(AV613),"",AV613)</f>
      </c>
      <c r="AX593" s="757">
        <f>IF(ISBLANK(AW613),"",AW613)</f>
      </c>
      <c r="AY593" s="962" t="str">
        <f>IF(ISBLANK(AS630),"",AS630)</f>
      </c>
      <c r="AZ593" s="757">
        <f>IF(ISBLANK(AX613),"",AX613)</f>
      </c>
      <c r="BA593" s="757">
        <f>IF(ISBLANK(AZ613),"",AZ613)</f>
      </c>
      <c r="BB593" s="757">
        <f>IF(ISBLANK(BA613),"",BA613)</f>
      </c>
      <c r="BC593" s="757">
        <f>IF(ISBLANK(BB613),"",BB613)</f>
      </c>
      <c r="BD593" s="962" t="str">
        <f>IF(ISBLANK(AX630),"",AX630)</f>
      </c>
      <c r="BE593" s="757">
        <f>IF(ISBLANK(BC613),"",BC613)</f>
      </c>
      <c r="BF593" s="757">
        <f>IF(ISBLANK(BE613),"",BE613)</f>
      </c>
      <c r="BG593" s="757">
        <f>IF(ISBLANK(BF613),"",BF613)</f>
      </c>
      <c r="BH593" s="757">
        <f>IF(ISBLANK(BG613),"",BG613)</f>
      </c>
      <c r="BI593" s="962" t="str">
        <f>IF(ISBLANK(BC630),"",BC630)</f>
      </c>
      <c r="BJ593" s="757">
        <f>IF(ISBLANK(BH613),"",BH613)</f>
      </c>
      <c r="BK593" s="757">
        <f>IF(ISBLANK(BJ613),"",BJ613)</f>
      </c>
      <c r="BL593" s="757">
        <f>IF(ISBLANK(BK613),"",BK613)</f>
      </c>
      <c r="BM593" s="757">
        <f>IF(ISBLANK(BL613),"",BL613)</f>
      </c>
      <c r="BN593" s="962" t="str">
        <f>IF(ISBLANK(BH630),"",BH630)</f>
      </c>
      <c r="BO593" s="757">
        <f>IF(ISBLANK(BM613),"",BM613)</f>
      </c>
      <c r="BP593" s="757">
        <f>IF(ISBLANK(BO613),"",BO613)</f>
      </c>
      <c r="BQ593" s="757">
        <f>IF(ISBLANK(BP613),"",BP613)</f>
      </c>
      <c r="BR593" s="757">
        <f>IF(ISBLANK(BQ613),"",BQ613)</f>
      </c>
      <c r="BS593" s="962">
        <f>IF(ISBLANK(BM630),"",BM630)</f>
      </c>
      <c r="BT593" s="758">
        <f>IF(ISBLANK(BR613),"",BR613)</f>
      </c>
      <c r="BU593" s="757">
        <f>IF(ISBLANK(BT613),"",BT613)</f>
      </c>
      <c r="BV593" s="757" t="str">
        <f>IF(ISBLANK(BU613),"",BU613)</f>
      </c>
      <c r="BW593" s="757" t="str">
        <f>IF(ISBLANK(BV613),"",BV613)</f>
      </c>
      <c r="BX593" s="962">
        <f>IF(ISBLANK(BR630),"",BR630)</f>
      </c>
      <c r="BY593" s="757" t="str">
        <f>IF(ISBLANK(BW613),"",BW613)</f>
      </c>
      <c r="BZ593" s="757" t="str">
        <f>IF(ISBLANK(BY613),"",BY613)</f>
      </c>
      <c r="CA593" s="757" t="str">
        <f>IF(ISBLANK(BZ613),"",BZ613)</f>
      </c>
      <c r="CB593" s="757" t="str">
        <f>IF(ISBLANK(CA613),"",CA613)</f>
      </c>
      <c r="CC593" s="962" t="str">
        <f>IF(ISBLANK(BW630),"",BW630)</f>
      </c>
      <c r="CD593" s="962"/>
      <c r="CE593" s="962"/>
      <c r="CF593" s="962"/>
      <c r="CG593" s="757"/>
    </row>
    <row r="594" spans="1:85" s="587" customFormat="1" ht="15" hidden="1" customHeight="1" outlineLevel="2" x14ac:dyDescent="0.3">
      <c r="A594" s="436" t="s">
        <v>2331</v>
      </c>
      <c r="B594" s="414"/>
      <c r="C594" s="962"/>
      <c r="D594" s="962"/>
      <c r="E594" s="962"/>
      <c r="F594" s="962"/>
      <c r="G594" s="757"/>
      <c r="H594" s="757"/>
      <c r="I594" s="757"/>
      <c r="J594" s="757"/>
      <c r="K594" s="962" t="str">
        <f>IF(ISBLANK(G630),"",G630)</f>
      </c>
      <c r="L594" s="757"/>
      <c r="M594" s="757"/>
      <c r="N594" s="757"/>
      <c r="O594" s="757"/>
      <c r="P594" s="962" t="str">
        <f>IF(ISBLANK(L630),"",L630)</f>
      </c>
      <c r="Q594" s="757"/>
      <c r="R594" s="757"/>
      <c r="S594" s="757"/>
      <c r="T594" s="757"/>
      <c r="U594" s="962" t="str">
        <f>IF(ISBLANK(Q630),"",Q630)</f>
      </c>
      <c r="V594" s="757"/>
      <c r="W594" s="757"/>
      <c r="X594" s="757"/>
      <c r="Y594" s="757"/>
      <c r="Z594" s="962" t="str">
        <f>IF(ISBLANK(V630),"",V630)</f>
      </c>
      <c r="AA594" s="757"/>
      <c r="AB594" s="757"/>
      <c r="AC594" s="757"/>
      <c r="AD594" s="757"/>
      <c r="AE594" s="962" t="str">
        <f>IF(ISBLANK(AA630),"",AA630)</f>
      </c>
      <c r="AF594" s="757"/>
      <c r="AG594" s="757"/>
      <c r="AH594" s="757"/>
      <c r="AI594" s="757"/>
      <c r="AJ594" s="962" t="str">
        <f>IF(ISBLANK(AF630),"",AF630)</f>
      </c>
      <c r="AK594" s="757"/>
      <c r="AL594" s="757"/>
      <c r="AM594" s="757"/>
      <c r="AN594" s="757"/>
      <c r="AO594" s="962" t="str">
        <f>IF(ISBLANK(AK630),"",AK630)</f>
      </c>
      <c r="AP594" s="757"/>
      <c r="AQ594" s="757"/>
      <c r="AR594" s="757"/>
      <c r="AS594" s="757"/>
      <c r="AT594" s="962" t="str">
        <f>IF(ISBLANK(AP630),"",AP630)</f>
      </c>
      <c r="AU594" s="757"/>
      <c r="AV594" s="757"/>
      <c r="AW594" s="757"/>
      <c r="AX594" s="757"/>
      <c r="AY594" s="962" t="str">
        <f>IF(ISBLANK(AU630),"",AU630)</f>
      </c>
      <c r="AZ594" s="757"/>
      <c r="BA594" s="757"/>
      <c r="BB594" s="757"/>
      <c r="BC594" s="757"/>
      <c r="BD594" s="962" t="str">
        <f>IF(ISBLANK(AZ630),"",AZ630)</f>
      </c>
      <c r="BE594" s="757"/>
      <c r="BF594" s="757"/>
      <c r="BG594" s="757"/>
      <c r="BH594" s="757"/>
      <c r="BI594" s="962" t="str">
        <f>IF(ISBLANK(BE630),"",BE630)</f>
      </c>
      <c r="BJ594" s="757"/>
      <c r="BK594" s="757"/>
      <c r="BL594" s="757"/>
      <c r="BM594" s="757"/>
      <c r="BN594" s="962" t="str">
        <f>IF(ISBLANK(BJ630),"",BJ630)</f>
      </c>
      <c r="BO594" s="757"/>
      <c r="BP594" s="757"/>
      <c r="BQ594" s="757"/>
      <c r="BR594" s="757"/>
      <c r="BS594" s="962">
        <f>IF(ISBLANK(BO630),"",BO630)</f>
      </c>
      <c r="BT594" s="758"/>
      <c r="BU594" s="757"/>
      <c r="BV594" s="757"/>
      <c r="BW594" s="757"/>
      <c r="BX594" s="962">
        <f>IF(ISBLANK(BT630),"",BT630)</f>
      </c>
      <c r="BY594" s="757"/>
      <c r="BZ594" s="757"/>
      <c r="CA594" s="757"/>
      <c r="CB594" s="757"/>
      <c r="CC594" s="962" t="str">
        <f>IF(ISBLANK(BY630),"",BY630)</f>
      </c>
      <c r="CD594" s="962"/>
      <c r="CE594" s="962"/>
      <c r="CF594" s="962"/>
      <c r="CG594" s="757"/>
    </row>
    <row r="595" spans="1:85" s="587" customFormat="1" ht="15" hidden="1" customHeight="1" outlineLevel="2" x14ac:dyDescent="0.3">
      <c r="A595" s="436" t="s">
        <v>2332</v>
      </c>
      <c r="B595" s="414"/>
      <c r="C595" s="962"/>
      <c r="D595" s="962"/>
      <c r="E595" s="962"/>
      <c r="F595" s="962"/>
      <c r="G595" s="757"/>
      <c r="H595" s="757"/>
      <c r="I595" s="757"/>
      <c r="J595" s="757"/>
      <c r="K595" s="962" t="str">
        <f>IF(ISBLANK(H630),"",H630)</f>
      </c>
      <c r="L595" s="757"/>
      <c r="M595" s="757"/>
      <c r="N595" s="757"/>
      <c r="O595" s="757"/>
      <c r="P595" s="962" t="str">
        <f>IF(ISBLANK(M630),"",M630)</f>
      </c>
      <c r="Q595" s="757"/>
      <c r="R595" s="757"/>
      <c r="S595" s="757"/>
      <c r="T595" s="757"/>
      <c r="U595" s="962" t="str">
        <f>IF(ISBLANK(R630),"",R630)</f>
      </c>
      <c r="V595" s="757"/>
      <c r="W595" s="757"/>
      <c r="X595" s="757"/>
      <c r="Y595" s="757"/>
      <c r="Z595" s="962" t="str">
        <f>IF(ISBLANK(W630),"",W630)</f>
      </c>
      <c r="AA595" s="757"/>
      <c r="AB595" s="757"/>
      <c r="AC595" s="757"/>
      <c r="AD595" s="757"/>
      <c r="AE595" s="962" t="str">
        <f>IF(ISBLANK(AB630),"",AB630)</f>
      </c>
      <c r="AF595" s="757"/>
      <c r="AG595" s="757"/>
      <c r="AH595" s="757"/>
      <c r="AI595" s="757"/>
      <c r="AJ595" s="962" t="str">
        <f>IF(ISBLANK(AG630),"",AG630)</f>
      </c>
      <c r="AK595" s="757"/>
      <c r="AL595" s="757"/>
      <c r="AM595" s="757"/>
      <c r="AN595" s="757"/>
      <c r="AO595" s="962" t="str">
        <f>IF(ISBLANK(AL630),"",AL630)</f>
      </c>
      <c r="AP595" s="757"/>
      <c r="AQ595" s="757"/>
      <c r="AR595" s="757"/>
      <c r="AS595" s="757"/>
      <c r="AT595" s="962" t="str">
        <f>IF(ISBLANK(AQ630),"",AQ630)</f>
      </c>
      <c r="AU595" s="757"/>
      <c r="AV595" s="757"/>
      <c r="AW595" s="757"/>
      <c r="AX595" s="757"/>
      <c r="AY595" s="962" t="str">
        <f>IF(ISBLANK(AV630),"",AV630)</f>
      </c>
      <c r="AZ595" s="757"/>
      <c r="BA595" s="757"/>
      <c r="BB595" s="757"/>
      <c r="BC595" s="757"/>
      <c r="BD595" s="962" t="str">
        <f>IF(ISBLANK(BA630),"",BA630)</f>
      </c>
      <c r="BE595" s="757"/>
      <c r="BF595" s="757"/>
      <c r="BG595" s="757"/>
      <c r="BH595" s="757"/>
      <c r="BI595" s="962" t="str">
        <f>IF(ISBLANK(BF630),"",BF630)</f>
      </c>
      <c r="BJ595" s="757"/>
      <c r="BK595" s="757"/>
      <c r="BL595" s="757"/>
      <c r="BM595" s="757"/>
      <c r="BN595" s="962" t="str">
        <f>IF(ISBLANK(BK630),"",BK630)</f>
      </c>
      <c r="BO595" s="757"/>
      <c r="BP595" s="757"/>
      <c r="BQ595" s="757"/>
      <c r="BR595" s="757"/>
      <c r="BS595" s="962">
        <f>IF(ISBLANK(BP630),"",BP630)</f>
      </c>
      <c r="BT595" s="758"/>
      <c r="BU595" s="757"/>
      <c r="BV595" s="757"/>
      <c r="BW595" s="757"/>
      <c r="BX595" s="962" t="str">
        <f>IF(ISBLANK(BU630),"",BU630)</f>
      </c>
      <c r="BY595" s="757"/>
      <c r="BZ595" s="757"/>
      <c r="CA595" s="757"/>
      <c r="CB595" s="757"/>
      <c r="CC595" s="962" t="str">
        <f>IF(ISBLANK(BZ630),"",BZ630)</f>
      </c>
      <c r="CD595" s="962"/>
      <c r="CE595" s="962"/>
      <c r="CF595" s="962"/>
      <c r="CG595" s="757"/>
    </row>
    <row r="596" spans="1:85" s="587" customFormat="1" ht="15" hidden="1" customHeight="1" outlineLevel="2" x14ac:dyDescent="0.3">
      <c r="A596" s="554" t="s">
        <v>2333</v>
      </c>
      <c r="B596" s="416"/>
      <c r="C596" s="984"/>
      <c r="D596" s="984"/>
      <c r="E596" s="984"/>
      <c r="F596" s="984"/>
      <c r="G596" s="761"/>
      <c r="H596" s="761"/>
      <c r="I596" s="761"/>
      <c r="J596" s="761"/>
      <c r="K596" s="984" t="str">
        <f>IF(ISBLANK(I630),"",I630)</f>
      </c>
      <c r="L596" s="761"/>
      <c r="M596" s="761"/>
      <c r="N596" s="761"/>
      <c r="O596" s="761"/>
      <c r="P596" s="984" t="str">
        <f>IF(ISBLANK(N630),"",N630)</f>
      </c>
      <c r="Q596" s="761"/>
      <c r="R596" s="761"/>
      <c r="S596" s="761"/>
      <c r="T596" s="761"/>
      <c r="U596" s="984" t="str">
        <f>IF(ISBLANK(S630),"",S630)</f>
      </c>
      <c r="V596" s="761"/>
      <c r="W596" s="761"/>
      <c r="X596" s="761"/>
      <c r="Y596" s="761"/>
      <c r="Z596" s="984" t="str">
        <f>IF(ISBLANK(X630),"",X630)</f>
      </c>
      <c r="AA596" s="761"/>
      <c r="AB596" s="761"/>
      <c r="AC596" s="761"/>
      <c r="AD596" s="761"/>
      <c r="AE596" s="984" t="str">
        <f>IF(ISBLANK(AC630),"",AC630)</f>
      </c>
      <c r="AF596" s="761"/>
      <c r="AG596" s="761"/>
      <c r="AH596" s="761"/>
      <c r="AI596" s="761"/>
      <c r="AJ596" s="984" t="str">
        <f>IF(ISBLANK(AH630),"",AH630)</f>
      </c>
      <c r="AK596" s="761"/>
      <c r="AL596" s="761"/>
      <c r="AM596" s="761"/>
      <c r="AN596" s="761"/>
      <c r="AO596" s="984" t="str">
        <f>IF(ISBLANK(AM630),"",AM630)</f>
      </c>
      <c r="AP596" s="761"/>
      <c r="AQ596" s="761"/>
      <c r="AR596" s="761"/>
      <c r="AS596" s="761"/>
      <c r="AT596" s="984" t="str">
        <f>IF(ISBLANK(AR630),"",AR630)</f>
      </c>
      <c r="AU596" s="761"/>
      <c r="AV596" s="761"/>
      <c r="AW596" s="761"/>
      <c r="AX596" s="761"/>
      <c r="AY596" s="984" t="str">
        <f>IF(ISBLANK(AW630),"",AW630)</f>
      </c>
      <c r="AZ596" s="761"/>
      <c r="BA596" s="761"/>
      <c r="BB596" s="761"/>
      <c r="BC596" s="761"/>
      <c r="BD596" s="984" t="str">
        <f>IF(ISBLANK(BB630),"",BB630)</f>
      </c>
      <c r="BE596" s="761"/>
      <c r="BF596" s="761"/>
      <c r="BG596" s="761"/>
      <c r="BH596" s="761"/>
      <c r="BI596" s="984" t="str">
        <f>IF(ISBLANK(BG630),"",BG630)</f>
      </c>
      <c r="BJ596" s="761"/>
      <c r="BK596" s="761"/>
      <c r="BL596" s="761"/>
      <c r="BM596" s="761"/>
      <c r="BN596" s="984" t="str">
        <f>IF(ISBLANK(BL630),"",BL630)</f>
      </c>
      <c r="BO596" s="761"/>
      <c r="BP596" s="761"/>
      <c r="BQ596" s="761"/>
      <c r="BR596" s="761"/>
      <c r="BS596" s="984">
        <f>IF(ISBLANK(BQ630),"",BQ630)</f>
      </c>
      <c r="BT596" s="762"/>
      <c r="BU596" s="761"/>
      <c r="BV596" s="761"/>
      <c r="BW596" s="761"/>
      <c r="BX596" s="984" t="str">
        <f>IF(ISBLANK(BV630),"",BV630)</f>
      </c>
      <c r="BY596" s="761"/>
      <c r="BZ596" s="761"/>
      <c r="CA596" s="761"/>
      <c r="CB596" s="761"/>
      <c r="CC596" s="984" t="str">
        <f>IF(ISBLANK(CA630),"",CA630)</f>
      </c>
      <c r="CD596" s="984"/>
      <c r="CE596" s="984"/>
      <c r="CF596" s="984"/>
      <c r="CG596" s="757"/>
    </row>
    <row r="597" spans="1:85" s="587" customFormat="1" ht="15" hidden="1" customHeight="1" outlineLevel="1" collapsed="1" x14ac:dyDescent="0.3">
      <c r="A597" s="442" t="s">
        <v>2334</v>
      </c>
      <c r="B597" s="414"/>
      <c r="C597" s="962"/>
      <c r="D597" s="962"/>
      <c r="E597" s="962"/>
      <c r="F597" s="962"/>
      <c r="G597" s="757" t="str">
        <f t="shared" ref="G597:AL597" si="1088">IF(G596="",IF(G595="",IF(G594="",IF(G593="","",G593),G594),G595),G596)</f>
      </c>
      <c r="H597" s="757" t="str">
        <f t="shared" si="1088"/>
      </c>
      <c r="I597" s="757" t="str">
        <f t="shared" si="1088"/>
      </c>
      <c r="J597" s="757" t="str">
        <f t="shared" si="1088"/>
      </c>
      <c r="K597" s="962" t="str">
        <f t="shared" si="1088"/>
      </c>
      <c r="L597" s="757" t="str">
        <f t="shared" si="1088"/>
      </c>
      <c r="M597" s="757" t="str">
        <f t="shared" si="1088"/>
      </c>
      <c r="N597" s="757" t="str">
        <f t="shared" si="1088"/>
      </c>
      <c r="O597" s="757" t="str">
        <f t="shared" si="1088"/>
      </c>
      <c r="P597" s="962" t="str">
        <f t="shared" si="1088"/>
      </c>
      <c r="Q597" s="757" t="str">
        <f t="shared" si="1088"/>
      </c>
      <c r="R597" s="757" t="str">
        <f t="shared" si="1088"/>
      </c>
      <c r="S597" s="757" t="str">
        <f t="shared" si="1088"/>
      </c>
      <c r="T597" s="757" t="str">
        <f t="shared" si="1088"/>
      </c>
      <c r="U597" s="962" t="str">
        <f t="shared" si="1088"/>
      </c>
      <c r="V597" s="757" t="str">
        <f t="shared" si="1088"/>
      </c>
      <c r="W597" s="757" t="str">
        <f t="shared" si="1088"/>
      </c>
      <c r="X597" s="757" t="str">
        <f t="shared" si="1088"/>
      </c>
      <c r="Y597" s="757" t="str">
        <f t="shared" si="1088"/>
      </c>
      <c r="Z597" s="962" t="str">
        <f t="shared" si="1088"/>
      </c>
      <c r="AA597" s="757" t="str">
        <f t="shared" si="1088"/>
      </c>
      <c r="AB597" s="757" t="str">
        <f t="shared" si="1088"/>
      </c>
      <c r="AC597" s="757" t="str">
        <f t="shared" si="1088"/>
      </c>
      <c r="AD597" s="757" t="str">
        <f t="shared" si="1088"/>
      </c>
      <c r="AE597" s="962" t="str">
        <f t="shared" si="1088"/>
      </c>
      <c r="AF597" s="757" t="str">
        <f t="shared" si="1088"/>
      </c>
      <c r="AG597" s="757" t="str">
        <f t="shared" si="1088"/>
      </c>
      <c r="AH597" s="757">
        <f t="shared" si="1088"/>
      </c>
      <c r="AI597" s="757">
        <f t="shared" si="1088"/>
      </c>
      <c r="AJ597" s="962" t="str">
        <f t="shared" si="1088"/>
      </c>
      <c r="AK597" s="757">
        <f t="shared" si="1088"/>
      </c>
      <c r="AL597" s="757">
        <f t="shared" si="1088"/>
      </c>
      <c r="AM597" s="757">
        <f t="shared" ref="AM597:BP597" si="1089">IF(AM596="",IF(AM595="",IF(AM594="",IF(AM593="","",AM593),AM594),AM595),AM596)</f>
      </c>
      <c r="AN597" s="757">
        <f t="shared" si="1089"/>
      </c>
      <c r="AO597" s="962" t="str">
        <f t="shared" si="1089"/>
      </c>
      <c r="AP597" s="757">
        <f t="shared" si="1089"/>
      </c>
      <c r="AQ597" s="757">
        <f t="shared" si="1089"/>
      </c>
      <c r="AR597" s="757">
        <f t="shared" si="1089"/>
      </c>
      <c r="AS597" s="757">
        <f t="shared" si="1089"/>
      </c>
      <c r="AT597" s="962" t="str">
        <f t="shared" si="1089"/>
      </c>
      <c r="AU597" s="757">
        <f t="shared" si="1089"/>
      </c>
      <c r="AV597" s="757">
        <f t="shared" si="1089"/>
      </c>
      <c r="AW597" s="757">
        <f t="shared" si="1089"/>
      </c>
      <c r="AX597" s="757">
        <f t="shared" si="1089"/>
      </c>
      <c r="AY597" s="962" t="str">
        <f t="shared" si="1089"/>
      </c>
      <c r="AZ597" s="757">
        <f t="shared" si="1089"/>
      </c>
      <c r="BA597" s="757">
        <f t="shared" si="1089"/>
      </c>
      <c r="BB597" s="757">
        <f t="shared" si="1089"/>
      </c>
      <c r="BC597" s="757">
        <f t="shared" si="1089"/>
      </c>
      <c r="BD597" s="962" t="str">
        <f t="shared" si="1089"/>
      </c>
      <c r="BE597" s="757">
        <f t="shared" si="1089"/>
      </c>
      <c r="BF597" s="757">
        <f t="shared" si="1089"/>
      </c>
      <c r="BG597" s="757">
        <f t="shared" si="1089"/>
      </c>
      <c r="BH597" s="757">
        <f t="shared" si="1089"/>
      </c>
      <c r="BI597" s="962" t="str">
        <f t="shared" si="1089"/>
      </c>
      <c r="BJ597" s="757">
        <f t="shared" si="1089"/>
      </c>
      <c r="BK597" s="757">
        <f t="shared" si="1089"/>
      </c>
      <c r="BL597" s="757">
        <f t="shared" si="1089"/>
      </c>
      <c r="BM597" s="757">
        <f t="shared" si="1089"/>
      </c>
      <c r="BN597" s="962" t="str">
        <f t="shared" si="1089"/>
      </c>
      <c r="BO597" s="757">
        <f t="shared" si="1089"/>
      </c>
      <c r="BP597" s="757">
        <f t="shared" si="1089"/>
      </c>
      <c r="BQ597" s="757">
        <f t="shared" ref="BQ597:BW597" si="1090">IF(BQ596="",IF(BQ595="",IF(BQ594="",IF(BQ593="","",BQ593),BQ594),BQ595),BQ596)</f>
      </c>
      <c r="BR597" s="757">
        <f t="shared" si="1090"/>
      </c>
      <c r="BS597" s="962">
        <f t="shared" si="1090"/>
      </c>
      <c r="BT597" s="758">
        <f>IF(BT596="",IF(BT595="",IF(BT594="",IF(BT593="","",BT593),BT594),BT595),BT596)</f>
      </c>
      <c r="BU597" s="757">
        <f t="shared" si="1090"/>
      </c>
      <c r="BV597" s="757" t="str">
        <f t="shared" si="1090"/>
      </c>
      <c r="BW597" s="757" t="str">
        <f t="shared" si="1090"/>
      </c>
      <c r="BX597" s="962">
        <f t="shared" ref="BX597" si="1091">IF(BX596="",IF(BX595="",IF(BX594="",IF(BX593="","",BX593),BX594),BX595),BX596)</f>
      </c>
      <c r="BY597" s="757" t="str">
        <f t="shared" ref="BY597:CF597" si="1092">IF(BY596="",IF(BY595="",IF(BY594="",IF(BY593="","",BY593),BY594),BY595),BY596)</f>
      </c>
      <c r="BZ597" s="757" t="str">
        <f t="shared" si="1092"/>
      </c>
      <c r="CA597" s="757" t="str">
        <f t="shared" si="1092"/>
      </c>
      <c r="CB597" s="757" t="str">
        <f t="shared" si="1092"/>
      </c>
      <c r="CC597" s="962" t="str">
        <f t="shared" si="1092"/>
      </c>
      <c r="CD597" s="962" t="str">
        <f t="shared" si="1092"/>
      </c>
      <c r="CE597" s="962" t="str">
        <f t="shared" si="1092"/>
      </c>
      <c r="CF597" s="962" t="str">
        <f t="shared" si="1092"/>
      </c>
      <c r="CG597" s="757"/>
    </row>
    <row r="598" spans="1:85" s="587" customFormat="1" ht="15" hidden="1" customHeight="1" outlineLevel="1" x14ac:dyDescent="0.3">
      <c r="A598" s="417" t="s">
        <v>2335</v>
      </c>
      <c r="B598" s="416"/>
      <c r="C598" s="984">
        <f t="shared" ref="C598:BN598" si="1093">C462</f>
      </c>
      <c r="D598" s="984">
        <f t="shared" si="1093"/>
      </c>
      <c r="E598" s="984">
        <f t="shared" si="1093"/>
      </c>
      <c r="F598" s="984">
        <f t="shared" si="1093"/>
      </c>
      <c r="G598" s="761">
        <f t="shared" si="1093"/>
      </c>
      <c r="H598" s="761">
        <f t="shared" si="1093"/>
      </c>
      <c r="I598" s="761">
        <f t="shared" si="1093"/>
      </c>
      <c r="J598" s="761">
        <f t="shared" si="1093"/>
      </c>
      <c r="K598" s="984">
        <f t="shared" si="1093"/>
      </c>
      <c r="L598" s="761">
        <f t="shared" si="1093"/>
      </c>
      <c r="M598" s="761">
        <f t="shared" si="1093"/>
      </c>
      <c r="N598" s="761">
        <f t="shared" si="1093"/>
      </c>
      <c r="O598" s="761">
        <f t="shared" si="1093"/>
      </c>
      <c r="P598" s="984">
        <f t="shared" si="1093"/>
      </c>
      <c r="Q598" s="761">
        <f t="shared" si="1093"/>
      </c>
      <c r="R598" s="761">
        <f t="shared" si="1093"/>
      </c>
      <c r="S598" s="761">
        <f t="shared" si="1093"/>
      </c>
      <c r="T598" s="761">
        <f t="shared" si="1093"/>
      </c>
      <c r="U598" s="984">
        <f t="shared" si="1093"/>
      </c>
      <c r="V598" s="761">
        <f t="shared" si="1093"/>
      </c>
      <c r="W598" s="761">
        <f t="shared" si="1093"/>
      </c>
      <c r="X598" s="761">
        <f t="shared" si="1093"/>
      </c>
      <c r="Y598" s="761">
        <f t="shared" si="1093"/>
      </c>
      <c r="Z598" s="984">
        <f t="shared" si="1093"/>
      </c>
      <c r="AA598" s="761">
        <f t="shared" si="1093"/>
      </c>
      <c r="AB598" s="761">
        <f t="shared" si="1093"/>
      </c>
      <c r="AC598" s="761">
        <f t="shared" si="1093"/>
      </c>
      <c r="AD598" s="761">
        <f t="shared" si="1093"/>
      </c>
      <c r="AE598" s="984">
        <f t="shared" si="1093"/>
      </c>
      <c r="AF598" s="761">
        <f t="shared" si="1093"/>
      </c>
      <c r="AG598" s="761">
        <f t="shared" si="1093"/>
      </c>
      <c r="AH598" s="761">
        <f t="shared" si="1093"/>
      </c>
      <c r="AI598" s="761">
        <f t="shared" si="1093"/>
      </c>
      <c r="AJ598" s="984">
        <f t="shared" si="1093"/>
      </c>
      <c r="AK598" s="761">
        <f t="shared" si="1093"/>
      </c>
      <c r="AL598" s="761">
        <f t="shared" si="1093"/>
      </c>
      <c r="AM598" s="761">
        <f t="shared" si="1093"/>
      </c>
      <c r="AN598" s="761">
        <f t="shared" si="1093"/>
      </c>
      <c r="AO598" s="984">
        <f t="shared" si="1093"/>
      </c>
      <c r="AP598" s="761">
        <f t="shared" si="1093"/>
      </c>
      <c r="AQ598" s="761">
        <f t="shared" si="1093"/>
      </c>
      <c r="AR598" s="761">
        <f t="shared" si="1093"/>
      </c>
      <c r="AS598" s="761">
        <f t="shared" si="1093"/>
      </c>
      <c r="AT598" s="984">
        <f t="shared" si="1093"/>
      </c>
      <c r="AU598" s="761">
        <f t="shared" si="1093"/>
      </c>
      <c r="AV598" s="761">
        <f t="shared" si="1093"/>
      </c>
      <c r="AW598" s="761">
        <f t="shared" si="1093"/>
      </c>
      <c r="AX598" s="761">
        <f t="shared" si="1093"/>
      </c>
      <c r="AY598" s="984">
        <f t="shared" si="1093"/>
      </c>
      <c r="AZ598" s="761">
        <f t="shared" si="1093"/>
      </c>
      <c r="BA598" s="761">
        <f t="shared" si="1093"/>
      </c>
      <c r="BB598" s="761">
        <f t="shared" si="1093"/>
      </c>
      <c r="BC598" s="761">
        <f t="shared" si="1093"/>
      </c>
      <c r="BD598" s="984">
        <f t="shared" si="1093"/>
      </c>
      <c r="BE598" s="761">
        <f t="shared" si="1093"/>
      </c>
      <c r="BF598" s="761">
        <f t="shared" si="1093"/>
      </c>
      <c r="BG598" s="761">
        <f t="shared" si="1093"/>
      </c>
      <c r="BH598" s="761">
        <f t="shared" si="1093"/>
      </c>
      <c r="BI598" s="984">
        <f t="shared" si="1093"/>
      </c>
      <c r="BJ598" s="761">
        <f t="shared" si="1093"/>
      </c>
      <c r="BK598" s="761">
        <f t="shared" si="1093"/>
      </c>
      <c r="BL598" s="761">
        <f t="shared" si="1093"/>
      </c>
      <c r="BM598" s="761">
        <f t="shared" si="1093"/>
      </c>
      <c r="BN598" s="984">
        <f t="shared" si="1093"/>
      </c>
      <c r="BO598" s="761">
        <f t="shared" ref="BO598" si="1094">BO462</f>
      </c>
      <c r="BP598" s="761">
        <f t="shared" ref="BP598:BW598" si="1095">BP462</f>
      </c>
      <c r="BQ598" s="761">
        <f t="shared" si="1095"/>
      </c>
      <c r="BR598" s="761">
        <f t="shared" si="1095"/>
      </c>
      <c r="BS598" s="984">
        <f t="shared" si="1095"/>
      </c>
      <c r="BT598" s="762">
        <f>BT462</f>
      </c>
      <c r="BU598" s="761">
        <f t="shared" si="1095"/>
      </c>
      <c r="BV598" s="761">
        <f t="shared" si="1095"/>
      </c>
      <c r="BW598" s="761">
        <f t="shared" si="1095"/>
      </c>
      <c r="BX598" s="984">
        <f t="shared" ref="BX598" si="1096">BX462</f>
      </c>
      <c r="BY598" s="761">
        <f t="shared" ref="BY598:CF598" si="1097">BY462</f>
      </c>
      <c r="BZ598" s="761">
        <f t="shared" si="1097"/>
      </c>
      <c r="CA598" s="761">
        <f t="shared" si="1097"/>
      </c>
      <c r="CB598" s="761">
        <f t="shared" si="1097"/>
      </c>
      <c r="CC598" s="984">
        <f t="shared" si="1097"/>
      </c>
      <c r="CD598" s="984">
        <f t="shared" si="1097"/>
      </c>
      <c r="CE598" s="984">
        <f t="shared" si="1097"/>
      </c>
      <c r="CF598" s="984">
        <f t="shared" si="1097"/>
      </c>
      <c r="CG598" s="757"/>
    </row>
    <row r="599" spans="1:85" s="587" customFormat="1" ht="15" hidden="1" customHeight="1" outlineLevel="1" x14ac:dyDescent="0.3">
      <c r="A599" s="555" t="s">
        <v>2336</v>
      </c>
      <c r="B599" s="419"/>
      <c r="C599" s="1008"/>
      <c r="D599" s="1008"/>
      <c r="E599" s="1008"/>
      <c r="F599" s="1008"/>
      <c r="G599" s="804" t="str">
        <f t="shared" ref="G599:AL599" si="1098">IFERROR(G598-G597,"")</f>
      </c>
      <c r="H599" s="804" t="str">
        <f t="shared" si="1098"/>
      </c>
      <c r="I599" s="804" t="str">
        <f t="shared" si="1098"/>
      </c>
      <c r="J599" s="804" t="str">
        <f t="shared" si="1098"/>
      </c>
      <c r="K599" s="1008" t="str">
        <f t="shared" si="1098"/>
      </c>
      <c r="L599" s="804" t="str">
        <f t="shared" si="1098"/>
      </c>
      <c r="M599" s="804" t="str">
        <f t="shared" si="1098"/>
      </c>
      <c r="N599" s="804" t="str">
        <f t="shared" si="1098"/>
      </c>
      <c r="O599" s="804" t="str">
        <f t="shared" si="1098"/>
      </c>
      <c r="P599" s="1008" t="str">
        <f t="shared" si="1098"/>
      </c>
      <c r="Q599" s="804" t="str">
        <f t="shared" si="1098"/>
      </c>
      <c r="R599" s="804" t="str">
        <f t="shared" si="1098"/>
      </c>
      <c r="S599" s="804" t="str">
        <f t="shared" si="1098"/>
      </c>
      <c r="T599" s="804" t="str">
        <f t="shared" si="1098"/>
      </c>
      <c r="U599" s="1008" t="str">
        <f t="shared" si="1098"/>
      </c>
      <c r="V599" s="804" t="str">
        <f t="shared" si="1098"/>
      </c>
      <c r="W599" s="804" t="str">
        <f t="shared" si="1098"/>
      </c>
      <c r="X599" s="804" t="str">
        <f t="shared" si="1098"/>
      </c>
      <c r="Y599" s="804" t="str">
        <f t="shared" si="1098"/>
      </c>
      <c r="Z599" s="1008" t="str">
        <f t="shared" si="1098"/>
      </c>
      <c r="AA599" s="804" t="str">
        <f t="shared" si="1098"/>
      </c>
      <c r="AB599" s="804" t="str">
        <f t="shared" si="1098"/>
      </c>
      <c r="AC599" s="804" t="str">
        <f t="shared" si="1098"/>
      </c>
      <c r="AD599" s="804" t="str">
        <f t="shared" si="1098"/>
      </c>
      <c r="AE599" s="1008" t="str">
        <f t="shared" si="1098"/>
      </c>
      <c r="AF599" s="804" t="str">
        <f t="shared" si="1098"/>
      </c>
      <c r="AG599" s="804" t="str">
        <f t="shared" si="1098"/>
      </c>
      <c r="AH599" s="804">
        <f t="shared" si="1098"/>
      </c>
      <c r="AI599" s="804">
        <f t="shared" si="1098"/>
      </c>
      <c r="AJ599" s="1008" t="str">
        <f t="shared" si="1098"/>
      </c>
      <c r="AK599" s="804">
        <f t="shared" si="1098"/>
      </c>
      <c r="AL599" s="804">
        <f t="shared" si="1098"/>
      </c>
      <c r="AM599" s="804">
        <f t="shared" ref="AM599:BP599" si="1099">IFERROR(AM598-AM597,"")</f>
      </c>
      <c r="AN599" s="804">
        <f t="shared" si="1099"/>
      </c>
      <c r="AO599" s="1008" t="str">
        <f t="shared" si="1099"/>
      </c>
      <c r="AP599" s="804">
        <f t="shared" si="1099"/>
      </c>
      <c r="AQ599" s="804">
        <f t="shared" si="1099"/>
      </c>
      <c r="AR599" s="804">
        <f t="shared" si="1099"/>
      </c>
      <c r="AS599" s="804">
        <f t="shared" si="1099"/>
      </c>
      <c r="AT599" s="1008" t="str">
        <f t="shared" si="1099"/>
      </c>
      <c r="AU599" s="804">
        <f t="shared" si="1099"/>
      </c>
      <c r="AV599" s="804">
        <f t="shared" si="1099"/>
      </c>
      <c r="AW599" s="804">
        <f t="shared" si="1099"/>
      </c>
      <c r="AX599" s="804">
        <f t="shared" si="1099"/>
      </c>
      <c r="AY599" s="1008" t="str">
        <f t="shared" si="1099"/>
      </c>
      <c r="AZ599" s="804">
        <f t="shared" si="1099"/>
      </c>
      <c r="BA599" s="804">
        <f t="shared" si="1099"/>
      </c>
      <c r="BB599" s="804">
        <f t="shared" si="1099"/>
      </c>
      <c r="BC599" s="804">
        <f t="shared" si="1099"/>
      </c>
      <c r="BD599" s="1008" t="str">
        <f t="shared" si="1099"/>
      </c>
      <c r="BE599" s="804">
        <f t="shared" si="1099"/>
      </c>
      <c r="BF599" s="804">
        <f t="shared" si="1099"/>
      </c>
      <c r="BG599" s="804">
        <f t="shared" si="1099"/>
      </c>
      <c r="BH599" s="804">
        <f t="shared" si="1099"/>
      </c>
      <c r="BI599" s="1008" t="str">
        <f t="shared" si="1099"/>
      </c>
      <c r="BJ599" s="804">
        <f t="shared" si="1099"/>
      </c>
      <c r="BK599" s="804">
        <f t="shared" si="1099"/>
      </c>
      <c r="BL599" s="804">
        <f t="shared" si="1099"/>
      </c>
      <c r="BM599" s="804">
        <f t="shared" si="1099"/>
      </c>
      <c r="BN599" s="1008" t="str">
        <f t="shared" si="1099"/>
      </c>
      <c r="BO599" s="804">
        <f t="shared" si="1099"/>
      </c>
      <c r="BP599" s="804">
        <f t="shared" si="1099"/>
      </c>
      <c r="BQ599" s="804">
        <f t="shared" ref="BQ599:BW599" si="1100">IFERROR(BQ598-BQ597,"")</f>
      </c>
      <c r="BR599" s="804">
        <f t="shared" si="1100"/>
      </c>
      <c r="BS599" s="1008">
        <f t="shared" si="1100"/>
      </c>
      <c r="BT599" s="805">
        <f>IFERROR(BT598-BT597,"")</f>
      </c>
      <c r="BU599" s="804">
        <f t="shared" si="1100"/>
      </c>
      <c r="BV599" s="804" t="str">
        <f t="shared" si="1100"/>
      </c>
      <c r="BW599" s="804" t="str">
        <f t="shared" si="1100"/>
      </c>
      <c r="BX599" s="1008">
        <f t="shared" ref="BX599" si="1101">IFERROR(BX598-BX597,"")</f>
      </c>
      <c r="BY599" s="804" t="str">
        <f t="shared" ref="BY599:CF599" si="1102">IFERROR(BY598-BY597,"")</f>
      </c>
      <c r="BZ599" s="804" t="str">
        <f t="shared" si="1102"/>
      </c>
      <c r="CA599" s="804" t="str">
        <f t="shared" si="1102"/>
      </c>
      <c r="CB599" s="804" t="str">
        <f t="shared" si="1102"/>
      </c>
      <c r="CC599" s="1008" t="str">
        <f t="shared" si="1102"/>
      </c>
      <c r="CD599" s="1008" t="str">
        <f t="shared" si="1102"/>
      </c>
      <c r="CE599" s="1008" t="str">
        <f t="shared" si="1102"/>
      </c>
      <c r="CF599" s="1008" t="str">
        <f t="shared" si="1102"/>
      </c>
      <c r="CG599" s="757"/>
    </row>
    <row r="600" spans="1:85" s="587" customFormat="1" ht="15" hidden="1" customHeight="1" outlineLevel="1" x14ac:dyDescent="0.3">
      <c r="A600" s="557" t="s">
        <v>2337</v>
      </c>
      <c r="B600" s="556"/>
      <c r="C600" s="1033"/>
      <c r="D600" s="1033"/>
      <c r="E600" s="1033"/>
      <c r="F600" s="1033"/>
      <c r="G600" s="549" t="str">
        <f t="shared" ref="G600:AL600" si="1103">IFERROR(G599/ABS(G597),"")</f>
      </c>
      <c r="H600" s="549" t="str">
        <f t="shared" si="1103"/>
      </c>
      <c r="I600" s="549" t="str">
        <f t="shared" si="1103"/>
      </c>
      <c r="J600" s="549" t="str">
        <f t="shared" si="1103"/>
      </c>
      <c r="K600" s="1033" t="str">
        <f t="shared" si="1103"/>
      </c>
      <c r="L600" s="549" t="str">
        <f t="shared" si="1103"/>
      </c>
      <c r="M600" s="549" t="str">
        <f t="shared" si="1103"/>
      </c>
      <c r="N600" s="549" t="str">
        <f t="shared" si="1103"/>
      </c>
      <c r="O600" s="549" t="str">
        <f t="shared" si="1103"/>
      </c>
      <c r="P600" s="1033" t="str">
        <f t="shared" si="1103"/>
      </c>
      <c r="Q600" s="549" t="str">
        <f t="shared" si="1103"/>
      </c>
      <c r="R600" s="549" t="str">
        <f t="shared" si="1103"/>
      </c>
      <c r="S600" s="549" t="str">
        <f t="shared" si="1103"/>
      </c>
      <c r="T600" s="549" t="str">
        <f t="shared" si="1103"/>
      </c>
      <c r="U600" s="1033" t="str">
        <f t="shared" si="1103"/>
      </c>
      <c r="V600" s="549" t="str">
        <f t="shared" si="1103"/>
      </c>
      <c r="W600" s="549" t="str">
        <f t="shared" si="1103"/>
      </c>
      <c r="X600" s="549" t="str">
        <f t="shared" si="1103"/>
      </c>
      <c r="Y600" s="549" t="str">
        <f t="shared" si="1103"/>
      </c>
      <c r="Z600" s="1033" t="str">
        <f t="shared" si="1103"/>
      </c>
      <c r="AA600" s="549" t="str">
        <f t="shared" si="1103"/>
      </c>
      <c r="AB600" s="549" t="str">
        <f t="shared" si="1103"/>
      </c>
      <c r="AC600" s="549" t="str">
        <f t="shared" si="1103"/>
      </c>
      <c r="AD600" s="549" t="str">
        <f t="shared" si="1103"/>
      </c>
      <c r="AE600" s="1033" t="str">
        <f t="shared" si="1103"/>
      </c>
      <c r="AF600" s="549" t="str">
        <f t="shared" si="1103"/>
      </c>
      <c r="AG600" s="549" t="str">
        <f t="shared" si="1103"/>
      </c>
      <c r="AH600" s="549">
        <f t="shared" si="1103"/>
      </c>
      <c r="AI600" s="549">
        <f t="shared" si="1103"/>
      </c>
      <c r="AJ600" s="1033" t="str">
        <f t="shared" si="1103"/>
      </c>
      <c r="AK600" s="549">
        <f t="shared" si="1103"/>
      </c>
      <c r="AL600" s="549">
        <f t="shared" si="1103"/>
      </c>
      <c r="AM600" s="549">
        <f t="shared" ref="AM600:BP600" si="1104">IFERROR(AM599/ABS(AM597),"")</f>
      </c>
      <c r="AN600" s="549">
        <f t="shared" si="1104"/>
      </c>
      <c r="AO600" s="1033" t="str">
        <f t="shared" si="1104"/>
      </c>
      <c r="AP600" s="549">
        <f t="shared" si="1104"/>
      </c>
      <c r="AQ600" s="549">
        <f t="shared" si="1104"/>
      </c>
      <c r="AR600" s="549">
        <f t="shared" si="1104"/>
      </c>
      <c r="AS600" s="549">
        <f t="shared" si="1104"/>
      </c>
      <c r="AT600" s="1033" t="str">
        <f t="shared" si="1104"/>
      </c>
      <c r="AU600" s="549">
        <f t="shared" si="1104"/>
      </c>
      <c r="AV600" s="549">
        <f t="shared" si="1104"/>
      </c>
      <c r="AW600" s="549">
        <f t="shared" si="1104"/>
      </c>
      <c r="AX600" s="549">
        <f t="shared" si="1104"/>
      </c>
      <c r="AY600" s="1033" t="str">
        <f t="shared" si="1104"/>
      </c>
      <c r="AZ600" s="549">
        <f t="shared" si="1104"/>
      </c>
      <c r="BA600" s="549">
        <f t="shared" si="1104"/>
      </c>
      <c r="BB600" s="549">
        <f t="shared" si="1104"/>
      </c>
      <c r="BC600" s="549">
        <f t="shared" si="1104"/>
      </c>
      <c r="BD600" s="1033" t="str">
        <f t="shared" si="1104"/>
      </c>
      <c r="BE600" s="549">
        <f t="shared" si="1104"/>
      </c>
      <c r="BF600" s="549">
        <f t="shared" si="1104"/>
      </c>
      <c r="BG600" s="549">
        <f t="shared" si="1104"/>
      </c>
      <c r="BH600" s="549">
        <f t="shared" si="1104"/>
      </c>
      <c r="BI600" s="1033" t="str">
        <f t="shared" si="1104"/>
      </c>
      <c r="BJ600" s="549">
        <f t="shared" si="1104"/>
      </c>
      <c r="BK600" s="549">
        <f t="shared" si="1104"/>
      </c>
      <c r="BL600" s="549">
        <f t="shared" si="1104"/>
      </c>
      <c r="BM600" s="549">
        <f t="shared" si="1104"/>
      </c>
      <c r="BN600" s="1033" t="str">
        <f t="shared" si="1104"/>
      </c>
      <c r="BO600" s="549">
        <f t="shared" si="1104"/>
      </c>
      <c r="BP600" s="549">
        <f t="shared" si="1104"/>
      </c>
      <c r="BQ600" s="549">
        <f t="shared" ref="BQ600:BW600" si="1105">IFERROR(BQ599/ABS(BQ597),"")</f>
      </c>
      <c r="BR600" s="549">
        <f t="shared" si="1105"/>
      </c>
      <c r="BS600" s="1033">
        <f t="shared" si="1105"/>
      </c>
      <c r="BT600" s="701">
        <f>IFERROR(BT599/ABS(BT597),"")</f>
      </c>
      <c r="BU600" s="549">
        <f t="shared" si="1105"/>
      </c>
      <c r="BV600" s="549" t="str">
        <f t="shared" si="1105"/>
      </c>
      <c r="BW600" s="549" t="str">
        <f t="shared" si="1105"/>
      </c>
      <c r="BX600" s="1033">
        <f t="shared" ref="BX600" si="1106">IFERROR(BX599/ABS(BX597),"")</f>
      </c>
      <c r="BY600" s="549" t="str">
        <f t="shared" ref="BY600:CF600" si="1107">IFERROR(BY599/ABS(BY597),"")</f>
      </c>
      <c r="BZ600" s="549" t="str">
        <f t="shared" si="1107"/>
      </c>
      <c r="CA600" s="549" t="str">
        <f t="shared" si="1107"/>
      </c>
      <c r="CB600" s="549" t="str">
        <f t="shared" si="1107"/>
      </c>
      <c r="CC600" s="1033" t="str">
        <f t="shared" si="1107"/>
      </c>
      <c r="CD600" s="1033" t="str">
        <f t="shared" si="1107"/>
      </c>
      <c r="CE600" s="1033" t="str">
        <f t="shared" si="1107"/>
      </c>
      <c r="CF600" s="1033" t="str">
        <f t="shared" si="1107"/>
      </c>
      <c r="CG600" s="757"/>
    </row>
    <row r="601" spans="1:85" s="587" customFormat="1" ht="15" hidden="1" customHeight="1" outlineLevel="1" x14ac:dyDescent="0.3">
      <c r="A601" s="558"/>
      <c r="B601" s="414"/>
      <c r="C601" s="962"/>
      <c r="D601" s="962"/>
      <c r="E601" s="962"/>
      <c r="F601" s="962"/>
      <c r="G601" s="757"/>
      <c r="H601" s="757"/>
      <c r="I601" s="757"/>
      <c r="J601" s="757"/>
      <c r="K601" s="962"/>
      <c r="L601" s="757"/>
      <c r="M601" s="757"/>
      <c r="N601" s="757"/>
      <c r="O601" s="757"/>
      <c r="P601" s="962"/>
      <c r="Q601" s="757"/>
      <c r="R601" s="757"/>
      <c r="S601" s="757"/>
      <c r="T601" s="757"/>
      <c r="U601" s="962"/>
      <c r="V601" s="757"/>
      <c r="W601" s="757"/>
      <c r="X601" s="757"/>
      <c r="Y601" s="757"/>
      <c r="Z601" s="962"/>
      <c r="AA601" s="757"/>
      <c r="AB601" s="757"/>
      <c r="AC601" s="757"/>
      <c r="AD601" s="757"/>
      <c r="AE601" s="962"/>
      <c r="AF601" s="757"/>
      <c r="AG601" s="757"/>
      <c r="AH601" s="757"/>
      <c r="AI601" s="757"/>
      <c r="AJ601" s="962"/>
      <c r="AK601" s="757"/>
      <c r="AL601" s="757"/>
      <c r="AM601" s="757"/>
      <c r="AN601" s="757"/>
      <c r="AO601" s="962"/>
      <c r="AP601" s="757"/>
      <c r="AQ601" s="757"/>
      <c r="AR601" s="757"/>
      <c r="AS601" s="757"/>
      <c r="AT601" s="962"/>
      <c r="AU601" s="757"/>
      <c r="AV601" s="757"/>
      <c r="AW601" s="757"/>
      <c r="AX601" s="757"/>
      <c r="AY601" s="962"/>
      <c r="AZ601" s="757"/>
      <c r="BA601" s="757"/>
      <c r="BB601" s="757"/>
      <c r="BC601" s="757"/>
      <c r="BD601" s="962"/>
      <c r="BE601" s="757"/>
      <c r="BF601" s="757"/>
      <c r="BG601" s="757"/>
      <c r="BH601" s="757"/>
      <c r="BI601" s="962"/>
      <c r="BJ601" s="757"/>
      <c r="BK601" s="757"/>
      <c r="BL601" s="757"/>
      <c r="BM601" s="757"/>
      <c r="BN601" s="962"/>
      <c r="BO601" s="757"/>
      <c r="BP601" s="757"/>
      <c r="BQ601" s="757"/>
      <c r="BR601" s="757"/>
      <c r="BS601" s="962"/>
      <c r="BT601" s="758"/>
      <c r="BU601" s="757"/>
      <c r="BV601" s="757"/>
      <c r="BW601" s="757"/>
      <c r="BX601" s="962"/>
      <c r="BY601" s="757"/>
      <c r="BZ601" s="757"/>
      <c r="CA601" s="757"/>
      <c r="CB601" s="757"/>
      <c r="CC601" s="962"/>
      <c r="CD601" s="962"/>
      <c r="CE601" s="962"/>
      <c r="CF601" s="962"/>
      <c r="CG601" s="757"/>
    </row>
    <row r="602" spans="1:85" s="587" customFormat="1" ht="15" hidden="1" customHeight="1" outlineLevel="1" x14ac:dyDescent="0.3">
      <c r="A602" s="69" t="s">
        <v>2351</v>
      </c>
      <c r="B602" s="770"/>
      <c r="C602" s="935"/>
      <c r="D602" s="935"/>
      <c r="E602" s="935"/>
      <c r="F602" s="935"/>
      <c r="G602" s="58"/>
      <c r="H602" s="58"/>
      <c r="I602" s="58"/>
      <c r="J602" s="58"/>
      <c r="K602" s="935"/>
      <c r="L602" s="58"/>
      <c r="M602" s="58"/>
      <c r="N602" s="58"/>
      <c r="O602" s="58"/>
      <c r="P602" s="935"/>
      <c r="Q602" s="58"/>
      <c r="R602" s="58"/>
      <c r="S602" s="58"/>
      <c r="T602" s="58"/>
      <c r="U602" s="935"/>
      <c r="V602" s="58"/>
      <c r="W602" s="58"/>
      <c r="X602" s="58"/>
      <c r="Y602" s="58"/>
      <c r="Z602" s="935"/>
      <c r="AA602" s="58"/>
      <c r="AB602" s="58"/>
      <c r="AC602" s="58"/>
      <c r="AD602" s="58"/>
      <c r="AE602" s="935"/>
      <c r="AF602" s="58"/>
      <c r="AG602" s="58"/>
      <c r="AH602" s="58">
        <f>IF(AH597="","",AH597/AG598-1)</f>
      </c>
      <c r="AI602" s="58">
        <f>IF(AI597="","",AI597/AH598-1)</f>
      </c>
      <c r="AJ602" s="935"/>
      <c r="AK602" s="58">
        <f>IF(AK597="","",AK597/AI598-1)</f>
      </c>
      <c r="AL602" s="58">
        <f>IF(AL597="","",AL597/AK598-1)</f>
      </c>
      <c r="AM602" s="58">
        <f>IF(AM597="","",AM597/AL598-1)</f>
      </c>
      <c r="AN602" s="58">
        <f>IF(AN597="","",AN597/AM598-1)</f>
      </c>
      <c r="AO602" s="935"/>
      <c r="AP602" s="58">
        <f>IF(AP597="","",AP597/AN598-1)</f>
      </c>
      <c r="AQ602" s="58">
        <f>IF(AQ597="","",AQ597/AP598-1)</f>
      </c>
      <c r="AR602" s="58">
        <f>IF(AR597="","",AR597/AQ598-1)</f>
      </c>
      <c r="AS602" s="58">
        <f>IF(AS597="","",AS597/AR598-1)</f>
      </c>
      <c r="AT602" s="935"/>
      <c r="AU602" s="58">
        <f>IF(AU597="","",AU597/AS598-1)</f>
      </c>
      <c r="AV602" s="58">
        <f>IF(AV597="","",AV597/AU598-1)</f>
      </c>
      <c r="AW602" s="58">
        <f>IF(AW597="","",AW597/AV598-1)</f>
      </c>
      <c r="AX602" s="58">
        <f>IF(AX597="","",AX597/AW598-1)</f>
      </c>
      <c r="AY602" s="935"/>
      <c r="AZ602" s="58">
        <f>IF(AZ597="","",AZ597/AX598-1)</f>
      </c>
      <c r="BA602" s="58">
        <f>IF(BA597="","",BA597/AZ598-1)</f>
      </c>
      <c r="BB602" s="58">
        <f>IF(BB597="","",BB597/BA598-1)</f>
      </c>
      <c r="BC602" s="58">
        <f>IF(BC597="","",BC597/BB598-1)</f>
      </c>
      <c r="BD602" s="935"/>
      <c r="BE602" s="58">
        <f>IF(BE597="","",BE597/BC598-1)</f>
      </c>
      <c r="BF602" s="58">
        <f>IF(BF597="","",BF597/BE598-1)</f>
      </c>
      <c r="BG602" s="58">
        <f>IF(BG597="","",BG597/BF598-1)</f>
      </c>
      <c r="BH602" s="58">
        <f>IF(BH597="","",BH597/BG598-1)</f>
      </c>
      <c r="BI602" s="935"/>
      <c r="BJ602" s="58">
        <f>IF(BJ597="","",BJ597/BH598-1)</f>
      </c>
      <c r="BK602" s="58">
        <f>IF(BK597="","",BK597/BJ598-1)</f>
      </c>
      <c r="BL602" s="58">
        <f>IF(BL597="","",BL597/BK598-1)</f>
      </c>
      <c r="BM602" s="58">
        <f>IF(BM597="","",BM597/BL598-1)</f>
      </c>
      <c r="BN602" s="935"/>
      <c r="BO602" s="58">
        <f>IF(BO597="","",BO597/BM598-1)</f>
      </c>
      <c r="BP602" s="58">
        <f>IF(BP597="","",BP597/BO598-1)</f>
      </c>
      <c r="BQ602" s="58">
        <f>IF(BQ597="","",BQ597/BP598-1)</f>
      </c>
      <c r="BR602" s="58">
        <f>IF(BR597="","",BR597/BQ598-1)</f>
      </c>
      <c r="BS602" s="935"/>
      <c r="BT602" s="669">
        <f>IF(BT597="","",BT597/BR598-1)</f>
      </c>
      <c r="BU602" s="58">
        <f>IF(BU597="","",BU597/BT598-1)</f>
      </c>
      <c r="BV602" s="58" t="str">
        <f>IF(BV597="","",BV597/BU598-1)</f>
      </c>
      <c r="BW602" s="58" t="str">
        <f>IF(BW597="","",BW597/BV598-1)</f>
      </c>
      <c r="BX602" s="935"/>
      <c r="BY602" s="58" t="str">
        <f>IF(BY597="","",BY597/BW598-1)</f>
      </c>
      <c r="BZ602" s="58" t="str">
        <f>IF(BZ597="","",BZ597/BY598-1)</f>
      </c>
      <c r="CA602" s="58" t="str">
        <f>IF(CA597="","",CA597/BZ598-1)</f>
      </c>
      <c r="CB602" s="58" t="str">
        <f>IF(CB597="","",CB597/CA598-1)</f>
      </c>
      <c r="CC602" s="935"/>
      <c r="CD602" s="935"/>
      <c r="CE602" s="935"/>
      <c r="CF602" s="935"/>
      <c r="CG602" s="757"/>
    </row>
    <row r="603" spans="1:85" s="587" customFormat="1" ht="15" hidden="1" customHeight="1" outlineLevel="1" x14ac:dyDescent="0.3">
      <c r="A603" s="365" t="s">
        <v>2352</v>
      </c>
      <c r="B603" s="563"/>
      <c r="C603" s="988"/>
      <c r="D603" s="988"/>
      <c r="E603" s="988"/>
      <c r="F603" s="988"/>
      <c r="G603" s="369"/>
      <c r="H603" s="369"/>
      <c r="I603" s="369"/>
      <c r="J603" s="369"/>
      <c r="K603" s="988"/>
      <c r="L603" s="369"/>
      <c r="M603" s="369"/>
      <c r="N603" s="369"/>
      <c r="O603" s="369"/>
      <c r="P603" s="988"/>
      <c r="Q603" s="369"/>
      <c r="R603" s="369"/>
      <c r="S603" s="369"/>
      <c r="T603" s="369"/>
      <c r="U603" s="988"/>
      <c r="V603" s="369"/>
      <c r="W603" s="369"/>
      <c r="X603" s="369"/>
      <c r="Y603" s="369"/>
      <c r="Z603" s="988"/>
      <c r="AA603" s="369"/>
      <c r="AB603" s="369"/>
      <c r="AC603" s="369"/>
      <c r="AD603" s="369"/>
      <c r="AE603" s="988"/>
      <c r="AF603" s="369"/>
      <c r="AG603" s="369"/>
      <c r="AH603" s="369">
        <f>IF(AH599="","",AH599/AG598)</f>
      </c>
      <c r="AI603" s="369">
        <f>IF(AI599="","",AI599/AH598)</f>
      </c>
      <c r="AJ603" s="988"/>
      <c r="AK603" s="369">
        <f>IF(AK599="","",AK599/AI598)</f>
      </c>
      <c r="AL603" s="369">
        <f>IF(AL599="","",AL599/AK598)</f>
      </c>
      <c r="AM603" s="369">
        <f>IF(AM599="","",AM599/AL598)</f>
      </c>
      <c r="AN603" s="369">
        <f>IF(AN599="","",AN599/AM598)</f>
      </c>
      <c r="AO603" s="988"/>
      <c r="AP603" s="369">
        <f>IF(AP599="","",AP599/AN598)</f>
      </c>
      <c r="AQ603" s="369">
        <f>IF(AQ599="","",AQ599/AP598)</f>
      </c>
      <c r="AR603" s="369">
        <f>IF(AR599="","",AR599/AQ598)</f>
      </c>
      <c r="AS603" s="369">
        <f>IF(AS599="","",AS599/AR598)</f>
      </c>
      <c r="AT603" s="988"/>
      <c r="AU603" s="369">
        <f>IF(AU599="","",AU599/AS598)</f>
      </c>
      <c r="AV603" s="369">
        <f>IF(AV599="","",AV599/AU598)</f>
      </c>
      <c r="AW603" s="369">
        <f>IF(AW599="","",AW599/AV598)</f>
      </c>
      <c r="AX603" s="369">
        <f>IF(AX599="","",AX599/AW598)</f>
      </c>
      <c r="AY603" s="988"/>
      <c r="AZ603" s="369">
        <f>IF(AZ599="","",AZ599/AX598)</f>
      </c>
      <c r="BA603" s="369">
        <f>IF(BA599="","",BA599/AZ598)</f>
      </c>
      <c r="BB603" s="369">
        <f>IF(BB599="","",BB599/BA598)</f>
      </c>
      <c r="BC603" s="369">
        <f>IF(BC599="","",BC599/BB598)</f>
      </c>
      <c r="BD603" s="988"/>
      <c r="BE603" s="369">
        <f>IF(BE599="","",BE599/BC598)</f>
      </c>
      <c r="BF603" s="369">
        <f>IF(BF599="","",BF599/BE598)</f>
      </c>
      <c r="BG603" s="369">
        <f>IF(BG599="","",BG599/BF598)</f>
      </c>
      <c r="BH603" s="369">
        <f>IF(BH599="","",BH599/BG598)</f>
      </c>
      <c r="BI603" s="988"/>
      <c r="BJ603" s="369">
        <f>IF(BJ599="","",BJ599/BH598)</f>
      </c>
      <c r="BK603" s="369">
        <f>IF(BK599="","",BK599/BJ598)</f>
      </c>
      <c r="BL603" s="369">
        <f>IF(BL599="","",BL599/BK598)</f>
      </c>
      <c r="BM603" s="369">
        <f>IF(BM599="","",BM599/BL598)</f>
      </c>
      <c r="BN603" s="988"/>
      <c r="BO603" s="369">
        <f>IF(BO599="","",BO599/BM598)</f>
      </c>
      <c r="BP603" s="369">
        <f>IF(BP599="","",BP599/BO598)</f>
      </c>
      <c r="BQ603" s="369">
        <f>IF(BQ599="","",BQ599/BP598)</f>
      </c>
      <c r="BR603" s="369">
        <f>IF(BR599="","",BR599/BQ598)</f>
      </c>
      <c r="BS603" s="988"/>
      <c r="BT603" s="686">
        <f>IF(BT599="","",BT599/BR598)</f>
      </c>
      <c r="BU603" s="369">
        <f>IF(BU599="","",BU599/BT598)</f>
      </c>
      <c r="BV603" s="369" t="str">
        <f>IF(BV599="","",BV599/BU598)</f>
      </c>
      <c r="BW603" s="369" t="str">
        <f>IF(BW599="","",BW599/BV598)</f>
      </c>
      <c r="BX603" s="988"/>
      <c r="BY603" s="369" t="str">
        <f>IF(BY599="","",BY599/BW598)</f>
      </c>
      <c r="BZ603" s="369" t="str">
        <f>IF(BZ599="","",BZ599/BY598)</f>
      </c>
      <c r="CA603" s="369" t="str">
        <f>IF(CA599="","",CA599/BZ598)</f>
      </c>
      <c r="CB603" s="369" t="str">
        <f>IF(CB599="","",CB599/CA598)</f>
      </c>
      <c r="CC603" s="988"/>
      <c r="CD603" s="988"/>
      <c r="CE603" s="988"/>
      <c r="CF603" s="988"/>
      <c r="CG603" s="757"/>
    </row>
    <row r="604" spans="1:85" s="587" customFormat="1" ht="15" hidden="1" customHeight="1" outlineLevel="1" x14ac:dyDescent="0.3">
      <c r="A604" s="566" t="s">
        <v>2353</v>
      </c>
      <c r="B604" s="564"/>
      <c r="C604" s="1034"/>
      <c r="D604" s="1034"/>
      <c r="E604" s="1034"/>
      <c r="F604" s="1034"/>
      <c r="G604" s="565"/>
      <c r="H604" s="565">
        <f>H598/G598-1</f>
      </c>
      <c r="I604" s="565">
        <f>I598/H598-1</f>
      </c>
      <c r="J604" s="565">
        <f>J598/I598-1</f>
      </c>
      <c r="K604" s="1034"/>
      <c r="L604" s="565">
        <f>L598/J598-1</f>
      </c>
      <c r="M604" s="565">
        <f>M598/L598-1</f>
      </c>
      <c r="N604" s="565">
        <f>N598/M598-1</f>
      </c>
      <c r="O604" s="565">
        <f>O598/N598-1</f>
      </c>
      <c r="P604" s="1034"/>
      <c r="Q604" s="565">
        <f>Q598/O598-1</f>
      </c>
      <c r="R604" s="565">
        <f>R598/Q598-1</f>
      </c>
      <c r="S604" s="565">
        <f>S598/R598-1</f>
      </c>
      <c r="T604" s="565">
        <f>T598/S598-1</f>
      </c>
      <c r="U604" s="1034"/>
      <c r="V604" s="565">
        <f>V598/T598-1</f>
      </c>
      <c r="W604" s="565">
        <f>W598/V598-1</f>
      </c>
      <c r="X604" s="565">
        <f>X598/W598-1</f>
      </c>
      <c r="Y604" s="565">
        <f>Y598/X598-1</f>
      </c>
      <c r="Z604" s="1034"/>
      <c r="AA604" s="565">
        <f>AA598/Y598-1</f>
      </c>
      <c r="AB604" s="565">
        <f>AB598/AA598-1</f>
      </c>
      <c r="AC604" s="565">
        <f>AC598/AB598-1</f>
      </c>
      <c r="AD604" s="565">
        <f>AD598/AC598-1</f>
      </c>
      <c r="AE604" s="1034"/>
      <c r="AF604" s="565">
        <f>AF598/AD598-1</f>
      </c>
      <c r="AG604" s="565">
        <f>AG598/AF598-1</f>
      </c>
      <c r="AH604" s="565">
        <f>AH598/AG598-1</f>
      </c>
      <c r="AI604" s="565">
        <f>AI598/AH598-1</f>
      </c>
      <c r="AJ604" s="1034"/>
      <c r="AK604" s="565">
        <f>AK598/AI598-1</f>
      </c>
      <c r="AL604" s="565">
        <f>AL598/AK598-1</f>
      </c>
      <c r="AM604" s="565">
        <f>AM598/AL598-1</f>
      </c>
      <c r="AN604" s="565">
        <f>AN598/AM598-1</f>
      </c>
      <c r="AO604" s="1034"/>
      <c r="AP604" s="565">
        <f>AP598/AN598-1</f>
      </c>
      <c r="AQ604" s="565">
        <f>AQ598/AP598-1</f>
      </c>
      <c r="AR604" s="565">
        <f>AR598/AQ598-1</f>
      </c>
      <c r="AS604" s="565">
        <f>AS598/AR598-1</f>
      </c>
      <c r="AT604" s="1034"/>
      <c r="AU604" s="565">
        <f>AU598/AS598-1</f>
      </c>
      <c r="AV604" s="565">
        <f>AV598/AU598-1</f>
      </c>
      <c r="AW604" s="565">
        <f>AW598/AV598-1</f>
      </c>
      <c r="AX604" s="565">
        <f>AX598/AW598-1</f>
      </c>
      <c r="AY604" s="1034"/>
      <c r="AZ604" s="565">
        <f>AZ598/AX598-1</f>
      </c>
      <c r="BA604" s="565">
        <f>BA598/AZ598-1</f>
      </c>
      <c r="BB604" s="565">
        <f>BB598/BA598-1</f>
      </c>
      <c r="BC604" s="565">
        <f>BC598/BB598-1</f>
      </c>
      <c r="BD604" s="1034"/>
      <c r="BE604" s="565">
        <f>BE598/BC598-1</f>
      </c>
      <c r="BF604" s="565">
        <f>BF598/BE598-1</f>
      </c>
      <c r="BG604" s="565">
        <f>BG598/BF598-1</f>
      </c>
      <c r="BH604" s="565">
        <f>BH598/BG598-1</f>
      </c>
      <c r="BI604" s="1034"/>
      <c r="BJ604" s="565">
        <f>BJ598/BH598-1</f>
      </c>
      <c r="BK604" s="565">
        <f>BK598/BJ598-1</f>
      </c>
      <c r="BL604" s="565">
        <f>BL598/BK598-1</f>
      </c>
      <c r="BM604" s="565">
        <f>BM598/BL598-1</f>
      </c>
      <c r="BN604" s="1034"/>
      <c r="BO604" s="565">
        <f>BO598/BM598-1</f>
      </c>
      <c r="BP604" s="565">
        <f>BP598/BO598-1</f>
      </c>
      <c r="BQ604" s="565">
        <f>BQ598/BP598-1</f>
      </c>
      <c r="BR604" s="565">
        <f>BR598/BQ598-1</f>
      </c>
      <c r="BS604" s="1034"/>
      <c r="BT604" s="702">
        <f>BT598/BR598-1</f>
      </c>
      <c r="BU604" s="565">
        <f>BU598/BT598-1</f>
      </c>
      <c r="BV604" s="565">
        <f>BV598/BU598-1</f>
      </c>
      <c r="BW604" s="565">
        <f>BW598/BV598-1</f>
      </c>
      <c r="BX604" s="1034"/>
      <c r="BY604" s="565">
        <f>BY598/BW598-1</f>
      </c>
      <c r="BZ604" s="565">
        <f>BZ598/BY598-1</f>
      </c>
      <c r="CA604" s="565">
        <f>CA598/BZ598-1</f>
      </c>
      <c r="CB604" s="565">
        <f>CB598/CA598-1</f>
      </c>
      <c r="CC604" s="1034"/>
      <c r="CD604" s="1034"/>
      <c r="CE604" s="1034"/>
      <c r="CF604" s="1034"/>
      <c r="CG604" s="757"/>
    </row>
    <row r="605" spans="1:85" s="587" customFormat="1" ht="15" hidden="1" customHeight="1" outlineLevel="1" x14ac:dyDescent="0.3">
      <c r="A605" s="69" t="s">
        <v>2348</v>
      </c>
      <c r="B605" s="770"/>
      <c r="C605" s="935"/>
      <c r="D605" s="935"/>
      <c r="E605" s="935"/>
      <c r="F605" s="935"/>
      <c r="G605" s="58"/>
      <c r="H605" s="58"/>
      <c r="I605" s="58"/>
      <c r="J605" s="58"/>
      <c r="K605" s="935"/>
      <c r="L605" s="58"/>
      <c r="M605" s="58"/>
      <c r="N605" s="58"/>
      <c r="O605" s="58"/>
      <c r="P605" s="935"/>
      <c r="Q605" s="58"/>
      <c r="R605" s="58"/>
      <c r="S605" s="58"/>
      <c r="T605" s="58"/>
      <c r="U605" s="935"/>
      <c r="V605" s="58"/>
      <c r="W605" s="58"/>
      <c r="X605" s="58"/>
      <c r="Y605" s="58"/>
      <c r="Z605" s="935"/>
      <c r="AA605" s="58"/>
      <c r="AB605" s="58"/>
      <c r="AC605" s="58"/>
      <c r="AD605" s="58"/>
      <c r="AE605" s="935"/>
      <c r="AF605" s="58"/>
      <c r="AG605" s="58"/>
      <c r="AH605" s="58">
        <f t="shared" ref="AH605:AP605" si="1108">IF(AH597="","",AH597/AC598-1)</f>
      </c>
      <c r="AI605" s="58">
        <f t="shared" si="1108"/>
      </c>
      <c r="AJ605" s="935" t="str">
        <f t="shared" si="1108"/>
      </c>
      <c r="AK605" s="58">
        <f t="shared" si="1108"/>
      </c>
      <c r="AL605" s="58">
        <f t="shared" si="1108"/>
      </c>
      <c r="AM605" s="58">
        <f t="shared" si="1108"/>
      </c>
      <c r="AN605" s="58">
        <f t="shared" si="1108"/>
      </c>
      <c r="AO605" s="935" t="str">
        <f t="shared" si="1108"/>
      </c>
      <c r="AP605" s="58">
        <f t="shared" si="1108"/>
      </c>
      <c r="AQ605" s="58">
        <f t="shared" ref="AQ605:BP605" si="1109">IF(AQ597="","",AQ597/AL598-1)</f>
      </c>
      <c r="AR605" s="58">
        <f t="shared" si="1109"/>
      </c>
      <c r="AS605" s="58">
        <f t="shared" si="1109"/>
      </c>
      <c r="AT605" s="935" t="str">
        <f t="shared" si="1109"/>
      </c>
      <c r="AU605" s="58">
        <f t="shared" si="1109"/>
      </c>
      <c r="AV605" s="58">
        <f t="shared" si="1109"/>
      </c>
      <c r="AW605" s="58">
        <f t="shared" si="1109"/>
      </c>
      <c r="AX605" s="58">
        <f t="shared" si="1109"/>
      </c>
      <c r="AY605" s="935" t="str">
        <f t="shared" si="1109"/>
      </c>
      <c r="AZ605" s="58">
        <f t="shared" si="1109"/>
      </c>
      <c r="BA605" s="58">
        <f t="shared" si="1109"/>
      </c>
      <c r="BB605" s="58">
        <f t="shared" si="1109"/>
      </c>
      <c r="BC605" s="58">
        <f t="shared" si="1109"/>
      </c>
      <c r="BD605" s="935" t="str">
        <f t="shared" si="1109"/>
      </c>
      <c r="BE605" s="58">
        <f t="shared" si="1109"/>
      </c>
      <c r="BF605" s="58">
        <f t="shared" si="1109"/>
      </c>
      <c r="BG605" s="58">
        <f t="shared" si="1109"/>
      </c>
      <c r="BH605" s="58">
        <f t="shared" si="1109"/>
      </c>
      <c r="BI605" s="935" t="str">
        <f t="shared" si="1109"/>
      </c>
      <c r="BJ605" s="58">
        <f t="shared" si="1109"/>
      </c>
      <c r="BK605" s="58">
        <f t="shared" si="1109"/>
      </c>
      <c r="BL605" s="58">
        <f t="shared" si="1109"/>
      </c>
      <c r="BM605" s="58">
        <f t="shared" si="1109"/>
      </c>
      <c r="BN605" s="935" t="str">
        <f t="shared" si="1109"/>
      </c>
      <c r="BO605" s="58">
        <f t="shared" si="1109"/>
      </c>
      <c r="BP605" s="58">
        <f t="shared" si="1109"/>
      </c>
      <c r="BQ605" s="58">
        <f t="shared" ref="BQ605:CC605" si="1110">IF(BQ597="","",BQ597/BL598-1)</f>
      </c>
      <c r="BR605" s="58">
        <f t="shared" si="1110"/>
      </c>
      <c r="BS605" s="935">
        <f t="shared" si="1110"/>
      </c>
      <c r="BT605" s="669">
        <f>IF(BT597="","",BT597/BO598-1)</f>
      </c>
      <c r="BU605" s="58">
        <f t="shared" si="1110"/>
      </c>
      <c r="BV605" s="58" t="str">
        <f t="shared" si="1110"/>
      </c>
      <c r="BW605" s="58" t="str">
        <f t="shared" si="1110"/>
      </c>
      <c r="BX605" s="935">
        <f t="shared" si="1110"/>
      </c>
      <c r="BY605" s="58" t="str">
        <f t="shared" si="1110"/>
      </c>
      <c r="BZ605" s="58" t="str">
        <f t="shared" si="1110"/>
      </c>
      <c r="CA605" s="58" t="str">
        <f t="shared" si="1110"/>
      </c>
      <c r="CB605" s="58" t="str">
        <f t="shared" si="1110"/>
      </c>
      <c r="CC605" s="935" t="str">
        <f t="shared" si="1110"/>
      </c>
      <c r="CD605" s="935"/>
      <c r="CE605" s="935"/>
      <c r="CF605" s="935"/>
      <c r="CG605" s="757"/>
    </row>
    <row r="606" spans="1:85" s="587" customFormat="1" ht="15" hidden="1" customHeight="1" outlineLevel="1" x14ac:dyDescent="0.3">
      <c r="A606" s="365" t="s">
        <v>2349</v>
      </c>
      <c r="B606" s="563"/>
      <c r="C606" s="988"/>
      <c r="D606" s="988"/>
      <c r="E606" s="988"/>
      <c r="F606" s="988"/>
      <c r="G606" s="369"/>
      <c r="H606" s="369"/>
      <c r="I606" s="369"/>
      <c r="J606" s="369"/>
      <c r="K606" s="988"/>
      <c r="L606" s="369"/>
      <c r="M606" s="369"/>
      <c r="N606" s="369"/>
      <c r="O606" s="369"/>
      <c r="P606" s="988"/>
      <c r="Q606" s="369"/>
      <c r="R606" s="369"/>
      <c r="S606" s="369"/>
      <c r="T606" s="369"/>
      <c r="U606" s="988"/>
      <c r="V606" s="369"/>
      <c r="W606" s="369"/>
      <c r="X606" s="369"/>
      <c r="Y606" s="369"/>
      <c r="Z606" s="988"/>
      <c r="AA606" s="369"/>
      <c r="AB606" s="369"/>
      <c r="AC606" s="369"/>
      <c r="AD606" s="369"/>
      <c r="AE606" s="988"/>
      <c r="AF606" s="369"/>
      <c r="AG606" s="369"/>
      <c r="AH606" s="369">
        <f t="shared" ref="AH606:AP606" si="1111">IF(AH599="","",AH599/AC598)</f>
      </c>
      <c r="AI606" s="369">
        <f t="shared" si="1111"/>
      </c>
      <c r="AJ606" s="988" t="str">
        <f t="shared" si="1111"/>
      </c>
      <c r="AK606" s="369">
        <f t="shared" si="1111"/>
      </c>
      <c r="AL606" s="369">
        <f t="shared" si="1111"/>
      </c>
      <c r="AM606" s="369">
        <f t="shared" si="1111"/>
      </c>
      <c r="AN606" s="369">
        <f t="shared" si="1111"/>
      </c>
      <c r="AO606" s="988" t="str">
        <f t="shared" si="1111"/>
      </c>
      <c r="AP606" s="369">
        <f t="shared" si="1111"/>
      </c>
      <c r="AQ606" s="369">
        <f t="shared" ref="AQ606:BP606" si="1112">IF(AQ599="","",AQ599/AL598)</f>
      </c>
      <c r="AR606" s="369">
        <f t="shared" si="1112"/>
      </c>
      <c r="AS606" s="369">
        <f t="shared" si="1112"/>
      </c>
      <c r="AT606" s="988" t="str">
        <f t="shared" si="1112"/>
      </c>
      <c r="AU606" s="369">
        <f t="shared" si="1112"/>
      </c>
      <c r="AV606" s="369">
        <f t="shared" si="1112"/>
      </c>
      <c r="AW606" s="369">
        <f t="shared" si="1112"/>
      </c>
      <c r="AX606" s="369">
        <f t="shared" si="1112"/>
      </c>
      <c r="AY606" s="988" t="str">
        <f t="shared" si="1112"/>
      </c>
      <c r="AZ606" s="369">
        <f t="shared" si="1112"/>
      </c>
      <c r="BA606" s="369">
        <f t="shared" si="1112"/>
      </c>
      <c r="BB606" s="369">
        <f t="shared" si="1112"/>
      </c>
      <c r="BC606" s="369">
        <f t="shared" si="1112"/>
      </c>
      <c r="BD606" s="988" t="str">
        <f t="shared" si="1112"/>
      </c>
      <c r="BE606" s="369">
        <f t="shared" si="1112"/>
      </c>
      <c r="BF606" s="369">
        <f t="shared" si="1112"/>
      </c>
      <c r="BG606" s="369">
        <f t="shared" si="1112"/>
      </c>
      <c r="BH606" s="369">
        <f t="shared" si="1112"/>
      </c>
      <c r="BI606" s="988" t="str">
        <f t="shared" si="1112"/>
      </c>
      <c r="BJ606" s="369">
        <f t="shared" si="1112"/>
      </c>
      <c r="BK606" s="369">
        <f t="shared" si="1112"/>
      </c>
      <c r="BL606" s="369">
        <f t="shared" si="1112"/>
      </c>
      <c r="BM606" s="369">
        <f t="shared" si="1112"/>
      </c>
      <c r="BN606" s="988" t="str">
        <f t="shared" si="1112"/>
      </c>
      <c r="BO606" s="369">
        <f t="shared" si="1112"/>
      </c>
      <c r="BP606" s="369">
        <f t="shared" si="1112"/>
      </c>
      <c r="BQ606" s="369">
        <f t="shared" ref="BQ606:CC606" si="1113">IF(BQ599="","",BQ599/BL598)</f>
      </c>
      <c r="BR606" s="369">
        <f t="shared" si="1113"/>
      </c>
      <c r="BS606" s="988">
        <f t="shared" si="1113"/>
      </c>
      <c r="BT606" s="686">
        <f>IF(BT599="","",BT599/BO598)</f>
      </c>
      <c r="BU606" s="369">
        <f t="shared" si="1113"/>
      </c>
      <c r="BV606" s="369" t="str">
        <f t="shared" si="1113"/>
      </c>
      <c r="BW606" s="369" t="str">
        <f t="shared" si="1113"/>
      </c>
      <c r="BX606" s="988">
        <f t="shared" si="1113"/>
      </c>
      <c r="BY606" s="369" t="str">
        <f t="shared" si="1113"/>
      </c>
      <c r="BZ606" s="369" t="str">
        <f t="shared" si="1113"/>
      </c>
      <c r="CA606" s="369" t="str">
        <f t="shared" si="1113"/>
      </c>
      <c r="CB606" s="369" t="str">
        <f t="shared" si="1113"/>
      </c>
      <c r="CC606" s="988" t="str">
        <f t="shared" si="1113"/>
      </c>
      <c r="CD606" s="988"/>
      <c r="CE606" s="988"/>
      <c r="CF606" s="988"/>
      <c r="CG606" s="757"/>
    </row>
    <row r="607" spans="1:85" s="587" customFormat="1" ht="15" hidden="1" customHeight="1" outlineLevel="1" x14ac:dyDescent="0.3">
      <c r="A607" s="566" t="s">
        <v>2350</v>
      </c>
      <c r="B607" s="564"/>
      <c r="C607" s="1034"/>
      <c r="D607" s="1034">
        <f>D598/C598-1</f>
      </c>
      <c r="E607" s="1034">
        <f>E598/D598-1</f>
      </c>
      <c r="F607" s="1034">
        <f>F598/E598-1</f>
      </c>
      <c r="G607" s="565"/>
      <c r="H607" s="565"/>
      <c r="I607" s="565"/>
      <c r="J607" s="565"/>
      <c r="K607" s="1034">
        <f t="shared" ref="K607:AP607" si="1114">K598/F598-1</f>
      </c>
      <c r="L607" s="565">
        <f t="shared" si="1114"/>
      </c>
      <c r="M607" s="565">
        <f t="shared" si="1114"/>
      </c>
      <c r="N607" s="565">
        <f t="shared" si="1114"/>
      </c>
      <c r="O607" s="565">
        <f t="shared" si="1114"/>
      </c>
      <c r="P607" s="1034">
        <f t="shared" si="1114"/>
      </c>
      <c r="Q607" s="565">
        <f t="shared" si="1114"/>
      </c>
      <c r="R607" s="565">
        <f t="shared" si="1114"/>
      </c>
      <c r="S607" s="565">
        <f t="shared" si="1114"/>
      </c>
      <c r="T607" s="565">
        <f t="shared" si="1114"/>
      </c>
      <c r="U607" s="1034">
        <f t="shared" si="1114"/>
      </c>
      <c r="V607" s="565">
        <f t="shared" si="1114"/>
      </c>
      <c r="W607" s="565">
        <f t="shared" si="1114"/>
      </c>
      <c r="X607" s="565">
        <f t="shared" si="1114"/>
      </c>
      <c r="Y607" s="565">
        <f t="shared" si="1114"/>
      </c>
      <c r="Z607" s="1034">
        <f t="shared" si="1114"/>
      </c>
      <c r="AA607" s="565">
        <f t="shared" si="1114"/>
      </c>
      <c r="AB607" s="565">
        <f t="shared" si="1114"/>
      </c>
      <c r="AC607" s="565">
        <f t="shared" si="1114"/>
      </c>
      <c r="AD607" s="565">
        <f t="shared" si="1114"/>
      </c>
      <c r="AE607" s="1034">
        <f t="shared" si="1114"/>
      </c>
      <c r="AF607" s="565">
        <f t="shared" si="1114"/>
      </c>
      <c r="AG607" s="565">
        <f t="shared" si="1114"/>
      </c>
      <c r="AH607" s="565">
        <f t="shared" si="1114"/>
      </c>
      <c r="AI607" s="565">
        <f t="shared" si="1114"/>
      </c>
      <c r="AJ607" s="1034">
        <f t="shared" si="1114"/>
      </c>
      <c r="AK607" s="565">
        <f t="shared" si="1114"/>
      </c>
      <c r="AL607" s="565">
        <f t="shared" si="1114"/>
      </c>
      <c r="AM607" s="565">
        <f t="shared" si="1114"/>
      </c>
      <c r="AN607" s="565">
        <f t="shared" si="1114"/>
      </c>
      <c r="AO607" s="1034">
        <f t="shared" si="1114"/>
      </c>
      <c r="AP607" s="565">
        <f t="shared" si="1114"/>
      </c>
      <c r="AQ607" s="565">
        <f t="shared" ref="AQ607:BP607" si="1115">AQ598/AL598-1</f>
      </c>
      <c r="AR607" s="565">
        <f t="shared" si="1115"/>
      </c>
      <c r="AS607" s="565">
        <f t="shared" si="1115"/>
      </c>
      <c r="AT607" s="1034">
        <f t="shared" si="1115"/>
      </c>
      <c r="AU607" s="565">
        <f t="shared" si="1115"/>
      </c>
      <c r="AV607" s="565">
        <f t="shared" si="1115"/>
      </c>
      <c r="AW607" s="565">
        <f t="shared" si="1115"/>
      </c>
      <c r="AX607" s="565">
        <f t="shared" si="1115"/>
      </c>
      <c r="AY607" s="1034">
        <f t="shared" si="1115"/>
      </c>
      <c r="AZ607" s="565">
        <f t="shared" si="1115"/>
      </c>
      <c r="BA607" s="565">
        <f t="shared" si="1115"/>
      </c>
      <c r="BB607" s="565">
        <f t="shared" si="1115"/>
      </c>
      <c r="BC607" s="565">
        <f t="shared" si="1115"/>
      </c>
      <c r="BD607" s="1034">
        <f t="shared" si="1115"/>
      </c>
      <c r="BE607" s="565">
        <f t="shared" si="1115"/>
      </c>
      <c r="BF607" s="565">
        <f t="shared" si="1115"/>
      </c>
      <c r="BG607" s="565">
        <f t="shared" si="1115"/>
      </c>
      <c r="BH607" s="565">
        <f t="shared" si="1115"/>
      </c>
      <c r="BI607" s="1034">
        <f t="shared" si="1115"/>
      </c>
      <c r="BJ607" s="565">
        <f t="shared" si="1115"/>
      </c>
      <c r="BK607" s="565">
        <f t="shared" si="1115"/>
      </c>
      <c r="BL607" s="565">
        <f t="shared" si="1115"/>
      </c>
      <c r="BM607" s="565">
        <f t="shared" si="1115"/>
      </c>
      <c r="BN607" s="1034">
        <f t="shared" si="1115"/>
      </c>
      <c r="BO607" s="565">
        <f t="shared" si="1115"/>
      </c>
      <c r="BP607" s="565">
        <f t="shared" si="1115"/>
      </c>
      <c r="BQ607" s="565">
        <f t="shared" ref="BQ607:CC607" si="1116">BQ598/BL598-1</f>
      </c>
      <c r="BR607" s="565">
        <f t="shared" si="1116"/>
      </c>
      <c r="BS607" s="1034">
        <f t="shared" si="1116"/>
      </c>
      <c r="BT607" s="702">
        <f>BT598/BO598-1</f>
      </c>
      <c r="BU607" s="565">
        <f t="shared" si="1116"/>
      </c>
      <c r="BV607" s="565">
        <f t="shared" si="1116"/>
      </c>
      <c r="BW607" s="565">
        <f t="shared" si="1116"/>
      </c>
      <c r="BX607" s="1034">
        <f t="shared" si="1116"/>
      </c>
      <c r="BY607" s="565">
        <f t="shared" si="1116"/>
      </c>
      <c r="BZ607" s="565">
        <f t="shared" si="1116"/>
      </c>
      <c r="CA607" s="565">
        <f t="shared" si="1116"/>
      </c>
      <c r="CB607" s="565">
        <f t="shared" si="1116"/>
      </c>
      <c r="CC607" s="1034">
        <f t="shared" si="1116"/>
      </c>
      <c r="CD607" s="1034">
        <f>CD598/CC598-1</f>
      </c>
      <c r="CE607" s="1034">
        <f>CE598/CD598-1</f>
      </c>
      <c r="CF607" s="1034">
        <f>CF598/CE598-1</f>
      </c>
      <c r="CG607" s="757"/>
    </row>
    <row r="608" spans="1:85" s="587" customFormat="1" ht="15" hidden="1" customHeight="1" outlineLevel="2" x14ac:dyDescent="0.3">
      <c r="A608" s="558"/>
      <c r="B608" s="414"/>
      <c r="C608" s="962"/>
      <c r="D608" s="962"/>
      <c r="E608" s="962"/>
      <c r="F608" s="962"/>
      <c r="G608" s="757"/>
      <c r="H608" s="757"/>
      <c r="I608" s="757"/>
      <c r="J608" s="757"/>
      <c r="K608" s="962"/>
      <c r="L608" s="757"/>
      <c r="M608" s="757"/>
      <c r="N608" s="757"/>
      <c r="O608" s="757"/>
      <c r="P608" s="962"/>
      <c r="Q608" s="757"/>
      <c r="R608" s="757"/>
      <c r="S608" s="757"/>
      <c r="T608" s="757"/>
      <c r="U608" s="962"/>
      <c r="V608" s="757"/>
      <c r="W608" s="757"/>
      <c r="X608" s="757"/>
      <c r="Y608" s="757"/>
      <c r="Z608" s="962"/>
      <c r="AA608" s="757"/>
      <c r="AB608" s="757"/>
      <c r="AC608" s="757"/>
      <c r="AD608" s="757"/>
      <c r="AE608" s="962"/>
      <c r="AF608" s="757"/>
      <c r="AG608" s="757"/>
      <c r="AH608" s="757"/>
      <c r="AI608" s="757"/>
      <c r="AJ608" s="962"/>
      <c r="AK608" s="757"/>
      <c r="AL608" s="757"/>
      <c r="AM608" s="757"/>
      <c r="AN608" s="757"/>
      <c r="AO608" s="962"/>
      <c r="AP608" s="757"/>
      <c r="AQ608" s="757"/>
      <c r="AR608" s="757"/>
      <c r="AS608" s="757"/>
      <c r="AT608" s="962"/>
      <c r="AU608" s="757"/>
      <c r="AV608" s="757"/>
      <c r="AW608" s="757"/>
      <c r="AX608" s="757"/>
      <c r="AY608" s="962"/>
      <c r="AZ608" s="757"/>
      <c r="BA608" s="757"/>
      <c r="BB608" s="757"/>
      <c r="BC608" s="757"/>
      <c r="BD608" s="962"/>
      <c r="BE608" s="757"/>
      <c r="BF608" s="757"/>
      <c r="BG608" s="757"/>
      <c r="BH608" s="757"/>
      <c r="BI608" s="962"/>
      <c r="BJ608" s="757"/>
      <c r="BK608" s="757"/>
      <c r="BL608" s="757"/>
      <c r="BM608" s="757"/>
      <c r="BN608" s="962"/>
      <c r="BO608" s="757"/>
      <c r="BP608" s="757"/>
      <c r="BQ608" s="757"/>
      <c r="BR608" s="757"/>
      <c r="BS608" s="962"/>
      <c r="BT608" s="758"/>
      <c r="BU608" s="757"/>
      <c r="BV608" s="757"/>
      <c r="BW608" s="757"/>
      <c r="BX608" s="962"/>
      <c r="BY608" s="757"/>
      <c r="BZ608" s="757"/>
      <c r="CA608" s="757"/>
      <c r="CB608" s="757"/>
      <c r="CC608" s="962"/>
      <c r="CD608" s="962"/>
      <c r="CE608" s="962"/>
      <c r="CF608" s="962"/>
      <c r="CG608" s="757"/>
    </row>
    <row r="609" spans="1:85" s="587" customFormat="1" ht="15" hidden="1" customHeight="1" outlineLevel="2" x14ac:dyDescent="0.3">
      <c r="A609" s="442" t="s">
        <v>2274</v>
      </c>
      <c r="B609" s="414"/>
      <c r="C609" s="1035"/>
      <c r="D609" s="1035"/>
      <c r="E609" s="1035"/>
      <c r="F609" s="1035"/>
      <c r="G609" s="559"/>
      <c r="H609" s="559"/>
      <c r="I609" s="559"/>
      <c r="J609" s="559"/>
      <c r="K609" s="1035"/>
      <c r="L609" s="559"/>
      <c r="M609" s="559"/>
      <c r="N609" s="559"/>
      <c r="O609" s="559"/>
      <c r="P609" s="1035"/>
      <c r="Q609" s="559"/>
      <c r="R609" s="559"/>
      <c r="S609" s="559"/>
      <c r="T609" s="559"/>
      <c r="U609" s="1035"/>
      <c r="V609" s="559"/>
      <c r="W609" s="559"/>
      <c r="X609" s="559"/>
      <c r="Y609" s="559"/>
      <c r="Z609" s="1035"/>
      <c r="AA609" s="559"/>
      <c r="AB609" s="559"/>
      <c r="AC609" s="559"/>
      <c r="AD609" s="559">
        <f t="shared" ref="AD609:AH609" si="1117">AD1320</f>
      </c>
      <c r="AE609" s="1035">
        <f t="shared" si="1117"/>
      </c>
      <c r="AF609" s="559">
        <f t="shared" si="1117"/>
      </c>
      <c r="AG609" s="559">
        <f t="shared" si="1117"/>
      </c>
      <c r="AH609" s="559">
        <f t="shared" si="1117"/>
      </c>
      <c r="AI609" s="559">
        <f t="shared" ref="AI609:BP609" si="1118">AI1320</f>
      </c>
      <c r="AJ609" s="1035">
        <f t="shared" si="1118"/>
      </c>
      <c r="AK609" s="559">
        <f t="shared" si="1118"/>
      </c>
      <c r="AL609" s="559">
        <f t="shared" si="1118"/>
      </c>
      <c r="AM609" s="559">
        <f t="shared" si="1118"/>
      </c>
      <c r="AN609" s="559">
        <f t="shared" si="1118"/>
      </c>
      <c r="AO609" s="1035">
        <f t="shared" si="1118"/>
      </c>
      <c r="AP609" s="559">
        <f t="shared" si="1118"/>
      </c>
      <c r="AQ609" s="559">
        <f t="shared" si="1118"/>
      </c>
      <c r="AR609" s="559">
        <f t="shared" si="1118"/>
      </c>
      <c r="AS609" s="559">
        <f t="shared" si="1118"/>
      </c>
      <c r="AT609" s="1035">
        <f t="shared" si="1118"/>
      </c>
      <c r="AU609" s="559">
        <f t="shared" si="1118"/>
      </c>
      <c r="AV609" s="559">
        <f t="shared" si="1118"/>
      </c>
      <c r="AW609" s="559">
        <f t="shared" si="1118"/>
      </c>
      <c r="AX609" s="559">
        <f t="shared" si="1118"/>
      </c>
      <c r="AY609" s="1035">
        <f t="shared" si="1118"/>
      </c>
      <c r="AZ609" s="559">
        <f t="shared" si="1118"/>
      </c>
      <c r="BA609" s="559">
        <f t="shared" si="1118"/>
      </c>
      <c r="BB609" s="559">
        <f t="shared" si="1118"/>
      </c>
      <c r="BC609" s="559">
        <f t="shared" si="1118"/>
      </c>
      <c r="BD609" s="1035">
        <f t="shared" si="1118"/>
      </c>
      <c r="BE609" s="559">
        <f t="shared" si="1118"/>
      </c>
      <c r="BF609" s="559">
        <f t="shared" si="1118"/>
      </c>
      <c r="BG609" s="559">
        <f t="shared" si="1118"/>
      </c>
      <c r="BH609" s="559">
        <f t="shared" si="1118"/>
      </c>
      <c r="BI609" s="1035">
        <f t="shared" si="1118"/>
      </c>
      <c r="BJ609" s="559">
        <f t="shared" si="1118"/>
      </c>
      <c r="BK609" s="559">
        <f t="shared" si="1118"/>
      </c>
      <c r="BL609" s="559">
        <f t="shared" si="1118"/>
      </c>
      <c r="BM609" s="559">
        <f t="shared" si="1118"/>
      </c>
      <c r="BN609" s="1035">
        <f t="shared" si="1118"/>
      </c>
      <c r="BO609" s="559">
        <f t="shared" si="1118"/>
      </c>
      <c r="BP609" s="559">
        <f t="shared" si="1118"/>
      </c>
      <c r="BQ609" s="559">
        <f>BQ1320</f>
      </c>
      <c r="BR609" s="559">
        <f>BR1320</f>
      </c>
      <c r="BS609" s="1035">
        <f>BS1320</f>
      </c>
      <c r="BT609" s="703">
        <f>BT1320</f>
      </c>
      <c r="BU609" s="559"/>
      <c r="BV609" s="559"/>
      <c r="BW609" s="559"/>
      <c r="BX609" s="1035"/>
      <c r="BY609" s="559"/>
      <c r="BZ609" s="559"/>
      <c r="CA609" s="559"/>
      <c r="CB609" s="559"/>
      <c r="CC609" s="1035"/>
      <c r="CD609" s="1035"/>
      <c r="CE609" s="1035"/>
      <c r="CF609" s="1035"/>
      <c r="CG609" s="757"/>
    </row>
    <row r="610" spans="1:85" s="587" customFormat="1" ht="15" hidden="1" customHeight="1" outlineLevel="2" x14ac:dyDescent="0.3">
      <c r="A610" s="562" t="s">
        <v>2275</v>
      </c>
      <c r="B610" s="560"/>
      <c r="C610" s="1036"/>
      <c r="D610" s="1036"/>
      <c r="E610" s="1036"/>
      <c r="F610" s="1036"/>
      <c r="G610" s="561"/>
      <c r="H610" s="561"/>
      <c r="I610" s="561"/>
      <c r="J610" s="561"/>
      <c r="K610" s="1036"/>
      <c r="L610" s="561"/>
      <c r="M610" s="561"/>
      <c r="N610" s="561"/>
      <c r="O610" s="561"/>
      <c r="P610" s="1036"/>
      <c r="Q610" s="561"/>
      <c r="R610" s="561"/>
      <c r="S610" s="561"/>
      <c r="T610" s="561"/>
      <c r="U610" s="1036"/>
      <c r="V610" s="561"/>
      <c r="W610" s="561"/>
      <c r="X610" s="561"/>
      <c r="Y610" s="561"/>
      <c r="Z610" s="1036"/>
      <c r="AA610" s="561"/>
      <c r="AB610" s="561"/>
      <c r="AC610" s="561"/>
      <c r="AD610" s="561" t="str">
        <f>AF5</f>
      </c>
      <c r="AE610" s="1036" t="str">
        <f>AF5</f>
      </c>
      <c r="AF610" s="561" t="str">
        <f>AG5</f>
      </c>
      <c r="AG610" s="561" t="str">
        <f>AH5</f>
      </c>
      <c r="AH610" s="561" t="str">
        <f>AI5</f>
      </c>
      <c r="AI610" s="561" t="str">
        <f>AK5</f>
      </c>
      <c r="AJ610" s="1036" t="str">
        <f>AK5</f>
      </c>
      <c r="AK610" s="561" t="str">
        <f>AL5</f>
      </c>
      <c r="AL610" s="561" t="str">
        <f>AM5</f>
      </c>
      <c r="AM610" s="561" t="str">
        <f>AN5</f>
      </c>
      <c r="AN610" s="561" t="str">
        <f>AP5</f>
      </c>
      <c r="AO610" s="1036" t="str">
        <f>AP5</f>
      </c>
      <c r="AP610" s="561" t="str">
        <f>AQ5</f>
      </c>
      <c r="AQ610" s="561" t="str">
        <f>AR5</f>
      </c>
      <c r="AR610" s="561" t="str">
        <f>AS5</f>
      </c>
      <c r="AS610" s="561" t="str">
        <f>AU5</f>
      </c>
      <c r="AT610" s="1036" t="str">
        <f>AU5</f>
      </c>
      <c r="AU610" s="561" t="str">
        <f>AV5</f>
      </c>
      <c r="AV610" s="561" t="str">
        <f>AW5</f>
      </c>
      <c r="AW610" s="561" t="str">
        <f>AX5</f>
      </c>
      <c r="AX610" s="561" t="str">
        <f>AZ5</f>
      </c>
      <c r="AY610" s="1036" t="str">
        <f>AZ5</f>
      </c>
      <c r="AZ610" s="561" t="str">
        <f>BA5</f>
      </c>
      <c r="BA610" s="561" t="str">
        <f>BB5</f>
      </c>
      <c r="BB610" s="561" t="str">
        <f>BC5</f>
      </c>
      <c r="BC610" s="561" t="str">
        <f>BE5</f>
      </c>
      <c r="BD610" s="1036" t="str">
        <f>BE5</f>
      </c>
      <c r="BE610" s="561" t="str">
        <f>BF5</f>
      </c>
      <c r="BF610" s="561" t="str">
        <f>BG5</f>
      </c>
      <c r="BG610" s="561" t="str">
        <f>BH5</f>
      </c>
      <c r="BH610" s="561" t="str">
        <f>BJ5</f>
      </c>
      <c r="BI610" s="1036" t="str">
        <f>BJ5</f>
      </c>
      <c r="BJ610" s="561" t="str">
        <f>BK5</f>
      </c>
      <c r="BK610" s="561" t="str">
        <f>BL5</f>
      </c>
      <c r="BL610" s="561" t="str">
        <f>BM5</f>
      </c>
      <c r="BM610" s="561" t="str">
        <f>BO5</f>
      </c>
      <c r="BN610" s="1036" t="str">
        <f>BO5</f>
      </c>
      <c r="BO610" s="561" t="str">
        <f>BP5</f>
      </c>
      <c r="BP610" s="561" t="str">
        <f>BQ5</f>
      </c>
      <c r="BQ610" s="561" t="str">
        <f>BR5</f>
      </c>
      <c r="BR610" s="561" t="str">
        <f>BT5</f>
      </c>
      <c r="BS610" s="1036" t="str">
        <f>BT5</f>
      </c>
      <c r="BT610" s="704" t="str">
        <f>BU5</f>
      </c>
      <c r="BU610" s="561"/>
      <c r="BV610" s="561"/>
      <c r="BW610" s="561"/>
      <c r="BX610" s="1036"/>
      <c r="BY610" s="561"/>
      <c r="BZ610" s="561"/>
      <c r="CA610" s="561"/>
      <c r="CB610" s="561"/>
      <c r="CC610" s="1036"/>
      <c r="CD610" s="1036"/>
      <c r="CE610" s="1036"/>
      <c r="CF610" s="1036"/>
      <c r="CG610" s="757"/>
    </row>
    <row r="611" spans="1:85" s="587" customFormat="1" ht="15" hidden="1" customHeight="1" outlineLevel="3" x14ac:dyDescent="0.3">
      <c r="A611" s="436" t="s">
        <v>2338</v>
      </c>
      <c r="B611" s="414"/>
      <c r="C611" s="962"/>
      <c r="D611" s="962"/>
      <c r="E611" s="962"/>
      <c r="F611" s="962"/>
      <c r="G611" s="757"/>
      <c r="H611" s="757"/>
      <c r="I611" s="757"/>
      <c r="J611" s="757"/>
      <c r="K611" s="962"/>
      <c r="L611" s="757"/>
      <c r="M611" s="757"/>
      <c r="N611" s="757"/>
      <c r="O611" s="757"/>
      <c r="P611" s="962"/>
      <c r="Q611" s="757"/>
      <c r="R611" s="757"/>
      <c r="S611" s="757"/>
      <c r="T611" s="757"/>
      <c r="U611" s="962"/>
      <c r="V611" s="757"/>
      <c r="W611" s="757"/>
      <c r="X611" s="757"/>
      <c r="Y611" s="757"/>
      <c r="Z611" s="962"/>
      <c r="AA611" s="757"/>
      <c r="AB611" s="757"/>
      <c r="AC611" s="757"/>
      <c r="AD611" s="757" t="str">
        <f t="shared" ref="AD611:BN611" si="1119">AD1322</f>
      </c>
      <c r="AE611" s="962" t="str">
        <f t="shared" si="1119"/>
      </c>
      <c r="AF611" s="757" t="str">
        <f t="shared" si="1119"/>
      </c>
      <c r="AG611" s="757">
        <f t="shared" si="1119"/>
      </c>
      <c r="AH611" s="757">
        <f t="shared" si="1119"/>
      </c>
      <c r="AI611" s="757">
        <f t="shared" si="1119"/>
      </c>
      <c r="AJ611" s="962">
        <f t="shared" si="1119"/>
      </c>
      <c r="AK611" s="757">
        <f t="shared" si="1119"/>
      </c>
      <c r="AL611" s="757">
        <f t="shared" si="1119"/>
      </c>
      <c r="AM611" s="757">
        <f t="shared" si="1119"/>
      </c>
      <c r="AN611" s="757">
        <f t="shared" si="1119"/>
      </c>
      <c r="AO611" s="962">
        <f t="shared" si="1119"/>
      </c>
      <c r="AP611" s="757">
        <f t="shared" si="1119"/>
      </c>
      <c r="AQ611" s="757">
        <f t="shared" si="1119"/>
      </c>
      <c r="AR611" s="757">
        <f t="shared" si="1119"/>
      </c>
      <c r="AS611" s="757">
        <f t="shared" si="1119"/>
      </c>
      <c r="AT611" s="962">
        <f t="shared" si="1119"/>
      </c>
      <c r="AU611" s="757">
        <f t="shared" si="1119"/>
      </c>
      <c r="AV611" s="757">
        <f t="shared" si="1119"/>
      </c>
      <c r="AW611" s="757">
        <f t="shared" si="1119"/>
      </c>
      <c r="AX611" s="757">
        <f t="shared" si="1119"/>
      </c>
      <c r="AY611" s="962">
        <f t="shared" si="1119"/>
      </c>
      <c r="AZ611" s="757">
        <f t="shared" si="1119"/>
      </c>
      <c r="BA611" s="757">
        <f t="shared" si="1119"/>
      </c>
      <c r="BB611" s="757">
        <f t="shared" si="1119"/>
      </c>
      <c r="BC611" s="757">
        <f t="shared" si="1119"/>
      </c>
      <c r="BD611" s="962">
        <f t="shared" si="1119"/>
      </c>
      <c r="BE611" s="757">
        <f t="shared" si="1119"/>
      </c>
      <c r="BF611" s="757">
        <f t="shared" si="1119"/>
      </c>
      <c r="BG611" s="757">
        <f t="shared" si="1119"/>
      </c>
      <c r="BH611" s="757">
        <f t="shared" si="1119"/>
      </c>
      <c r="BI611" s="962">
        <f t="shared" si="1119"/>
      </c>
      <c r="BJ611" s="757">
        <f t="shared" si="1119"/>
      </c>
      <c r="BK611" s="757">
        <f t="shared" si="1119"/>
      </c>
      <c r="BL611" s="757">
        <f t="shared" si="1119"/>
      </c>
      <c r="BM611" s="757">
        <f t="shared" si="1119"/>
      </c>
      <c r="BN611" s="962">
        <f t="shared" si="1119"/>
      </c>
      <c r="BO611" s="757">
        <f t="shared" ref="BO611:BO612" si="1120">BO1322</f>
      </c>
      <c r="BP611" s="757">
        <f t="shared" ref="BP611:BS612" si="1121">BP1322</f>
      </c>
      <c r="BQ611" s="757">
        <f t="shared" si="1121"/>
      </c>
      <c r="BR611" s="757">
        <f t="shared" si="1121"/>
      </c>
      <c r="BS611" s="962">
        <f t="shared" si="1121"/>
      </c>
      <c r="BT611" s="758">
        <f>BT1322</f>
      </c>
      <c r="BU611" s="757"/>
      <c r="BV611" s="757"/>
      <c r="BW611" s="757"/>
      <c r="BX611" s="962"/>
      <c r="BY611" s="757"/>
      <c r="BZ611" s="757"/>
      <c r="CA611" s="757"/>
      <c r="CB611" s="757"/>
      <c r="CC611" s="962"/>
      <c r="CD611" s="962"/>
      <c r="CE611" s="962"/>
      <c r="CF611" s="962"/>
      <c r="CG611" s="757"/>
    </row>
    <row r="612" spans="1:85" s="587" customFormat="1" ht="15" hidden="1" customHeight="1" outlineLevel="3" x14ac:dyDescent="0.3">
      <c r="A612" s="554" t="s">
        <v>2339</v>
      </c>
      <c r="B612" s="416"/>
      <c r="C612" s="984"/>
      <c r="D612" s="984"/>
      <c r="E612" s="984"/>
      <c r="F612" s="984"/>
      <c r="G612" s="761"/>
      <c r="H612" s="761"/>
      <c r="I612" s="761"/>
      <c r="J612" s="761"/>
      <c r="K612" s="984"/>
      <c r="L612" s="761"/>
      <c r="M612" s="761"/>
      <c r="N612" s="761"/>
      <c r="O612" s="761"/>
      <c r="P612" s="984"/>
      <c r="Q612" s="761"/>
      <c r="R612" s="761"/>
      <c r="S612" s="761"/>
      <c r="T612" s="761"/>
      <c r="U612" s="984"/>
      <c r="V612" s="761"/>
      <c r="W612" s="761"/>
      <c r="X612" s="761"/>
      <c r="Y612" s="761"/>
      <c r="Z612" s="984"/>
      <c r="AA612" s="761"/>
      <c r="AB612" s="761"/>
      <c r="AC612" s="761"/>
      <c r="AD612" s="761" t="str">
        <f t="shared" ref="AD612:BN612" si="1122">AD1323</f>
      </c>
      <c r="AE612" s="984" t="str">
        <f t="shared" si="1122"/>
      </c>
      <c r="AF612" s="761" t="str">
        <f t="shared" si="1122"/>
      </c>
      <c r="AG612" s="761">
        <f t="shared" si="1122"/>
      </c>
      <c r="AH612" s="761">
        <f t="shared" si="1122"/>
      </c>
      <c r="AI612" s="761">
        <f t="shared" si="1122"/>
      </c>
      <c r="AJ612" s="984">
        <f t="shared" si="1122"/>
      </c>
      <c r="AK612" s="761">
        <f t="shared" si="1122"/>
      </c>
      <c r="AL612" s="761">
        <f t="shared" si="1122"/>
      </c>
      <c r="AM612" s="761">
        <f t="shared" si="1122"/>
      </c>
      <c r="AN612" s="761">
        <f t="shared" si="1122"/>
      </c>
      <c r="AO612" s="984">
        <f t="shared" si="1122"/>
      </c>
      <c r="AP612" s="761">
        <f t="shared" si="1122"/>
      </c>
      <c r="AQ612" s="761">
        <f t="shared" si="1122"/>
      </c>
      <c r="AR612" s="761">
        <f t="shared" si="1122"/>
      </c>
      <c r="AS612" s="761">
        <f t="shared" si="1122"/>
      </c>
      <c r="AT612" s="984">
        <f t="shared" si="1122"/>
      </c>
      <c r="AU612" s="761">
        <f t="shared" si="1122"/>
      </c>
      <c r="AV612" s="761">
        <f t="shared" si="1122"/>
      </c>
      <c r="AW612" s="761">
        <f t="shared" si="1122"/>
      </c>
      <c r="AX612" s="761">
        <f t="shared" si="1122"/>
      </c>
      <c r="AY612" s="984">
        <f t="shared" si="1122"/>
      </c>
      <c r="AZ612" s="761">
        <f t="shared" si="1122"/>
      </c>
      <c r="BA612" s="761">
        <f t="shared" si="1122"/>
      </c>
      <c r="BB612" s="761">
        <f t="shared" si="1122"/>
      </c>
      <c r="BC612" s="761">
        <f t="shared" si="1122"/>
      </c>
      <c r="BD612" s="984">
        <f t="shared" si="1122"/>
      </c>
      <c r="BE612" s="761">
        <f t="shared" si="1122"/>
      </c>
      <c r="BF612" s="761">
        <f t="shared" si="1122"/>
      </c>
      <c r="BG612" s="761">
        <f t="shared" si="1122"/>
      </c>
      <c r="BH612" s="761">
        <f t="shared" si="1122"/>
      </c>
      <c r="BI612" s="984">
        <f t="shared" si="1122"/>
      </c>
      <c r="BJ612" s="761">
        <f t="shared" si="1122"/>
      </c>
      <c r="BK612" s="761">
        <f t="shared" si="1122"/>
      </c>
      <c r="BL612" s="761">
        <f t="shared" si="1122"/>
      </c>
      <c r="BM612" s="761">
        <f t="shared" si="1122"/>
      </c>
      <c r="BN612" s="984">
        <f t="shared" si="1122"/>
      </c>
      <c r="BO612" s="761">
        <f t="shared" si="1120"/>
      </c>
      <c r="BP612" s="761">
        <f t="shared" si="1121"/>
      </c>
      <c r="BQ612" s="761">
        <f t="shared" si="1121"/>
      </c>
      <c r="BR612" s="761">
        <f t="shared" si="1121"/>
      </c>
      <c r="BS612" s="984">
        <f t="shared" si="1121"/>
      </c>
      <c r="BT612" s="762">
        <f>BT1323</f>
      </c>
      <c r="BU612" s="761"/>
      <c r="BV612" s="761"/>
      <c r="BW612" s="761"/>
      <c r="BX612" s="984"/>
      <c r="BY612" s="761"/>
      <c r="BZ612" s="761"/>
      <c r="CA612" s="761"/>
      <c r="CB612" s="761"/>
      <c r="CC612" s="984"/>
      <c r="CD612" s="984"/>
      <c r="CE612" s="984"/>
      <c r="CF612" s="984"/>
      <c r="CG612" s="757"/>
    </row>
    <row r="613" spans="1:85" s="587" customFormat="1" ht="15" hidden="1" customHeight="1" outlineLevel="2" collapsed="1" x14ac:dyDescent="0.3">
      <c r="A613" s="429" t="s">
        <v>2340</v>
      </c>
      <c r="B613" s="428"/>
      <c r="C613" s="969"/>
      <c r="D613" s="969"/>
      <c r="E613" s="969"/>
      <c r="F613" s="969"/>
      <c r="G613" s="759"/>
      <c r="H613" s="759"/>
      <c r="I613" s="759"/>
      <c r="J613" s="759"/>
      <c r="K613" s="969"/>
      <c r="L613" s="759"/>
      <c r="M613" s="759"/>
      <c r="N613" s="759"/>
      <c r="O613" s="759"/>
      <c r="P613" s="969"/>
      <c r="Q613" s="759"/>
      <c r="R613" s="759"/>
      <c r="S613" s="759"/>
      <c r="T613" s="759"/>
      <c r="U613" s="969"/>
      <c r="V613" s="759"/>
      <c r="W613" s="759"/>
      <c r="X613" s="759"/>
      <c r="Y613" s="759"/>
      <c r="Z613" s="969"/>
      <c r="AA613" s="759"/>
      <c r="AB613" s="759"/>
      <c r="AC613" s="759"/>
      <c r="AD613" s="759" t="str">
        <f t="shared" ref="AD613:AH613" si="1123">IFERROR(AVERAGE(AD611,AD612),"")</f>
      </c>
      <c r="AE613" s="969" t="str">
        <f t="shared" si="1123"/>
      </c>
      <c r="AF613" s="759" t="str">
        <f t="shared" si="1123"/>
      </c>
      <c r="AG613" s="759">
        <f t="shared" si="1123"/>
      </c>
      <c r="AH613" s="759">
        <f t="shared" si="1123"/>
      </c>
      <c r="AI613" s="759">
        <f t="shared" ref="AI613:BN613" si="1124">IFERROR(AVERAGE(AI611,AI612),"")</f>
      </c>
      <c r="AJ613" s="969">
        <f t="shared" si="1124"/>
      </c>
      <c r="AK613" s="759">
        <f t="shared" si="1124"/>
      </c>
      <c r="AL613" s="759">
        <f t="shared" si="1124"/>
      </c>
      <c r="AM613" s="759">
        <f t="shared" si="1124"/>
      </c>
      <c r="AN613" s="759">
        <f t="shared" si="1124"/>
      </c>
      <c r="AO613" s="969">
        <f t="shared" si="1124"/>
      </c>
      <c r="AP613" s="759">
        <f t="shared" si="1124"/>
      </c>
      <c r="AQ613" s="759">
        <f t="shared" si="1124"/>
      </c>
      <c r="AR613" s="759">
        <f t="shared" si="1124"/>
      </c>
      <c r="AS613" s="759">
        <f t="shared" si="1124"/>
      </c>
      <c r="AT613" s="969">
        <f t="shared" si="1124"/>
      </c>
      <c r="AU613" s="759">
        <f t="shared" si="1124"/>
      </c>
      <c r="AV613" s="759">
        <f t="shared" si="1124"/>
      </c>
      <c r="AW613" s="759">
        <f t="shared" si="1124"/>
      </c>
      <c r="AX613" s="759">
        <f t="shared" si="1124"/>
      </c>
      <c r="AY613" s="969">
        <f t="shared" si="1124"/>
      </c>
      <c r="AZ613" s="759">
        <f t="shared" si="1124"/>
      </c>
      <c r="BA613" s="759">
        <f t="shared" si="1124"/>
      </c>
      <c r="BB613" s="759">
        <f t="shared" si="1124"/>
      </c>
      <c r="BC613" s="759">
        <f t="shared" si="1124"/>
      </c>
      <c r="BD613" s="969">
        <f t="shared" si="1124"/>
      </c>
      <c r="BE613" s="759">
        <f t="shared" si="1124"/>
      </c>
      <c r="BF613" s="759">
        <f t="shared" si="1124"/>
      </c>
      <c r="BG613" s="759">
        <f t="shared" si="1124"/>
      </c>
      <c r="BH613" s="759">
        <f t="shared" si="1124"/>
      </c>
      <c r="BI613" s="969">
        <f t="shared" si="1124"/>
      </c>
      <c r="BJ613" s="759">
        <f t="shared" si="1124"/>
      </c>
      <c r="BK613" s="759">
        <f t="shared" si="1124"/>
      </c>
      <c r="BL613" s="759">
        <f t="shared" si="1124"/>
      </c>
      <c r="BM613" s="759">
        <f t="shared" si="1124"/>
      </c>
      <c r="BN613" s="969">
        <f t="shared" si="1124"/>
      </c>
      <c r="BO613" s="759">
        <f t="shared" ref="BO613:BP613" si="1125">IFERROR(AVERAGE(BO611,BO612),"")</f>
      </c>
      <c r="BP613" s="759">
        <f t="shared" si="1125"/>
      </c>
      <c r="BQ613" s="759">
        <f>IFERROR(AVERAGE(BQ611,BQ612),"")</f>
      </c>
      <c r="BR613" s="759">
        <f>IFERROR(AVERAGE(BR611,BR612),"")</f>
      </c>
      <c r="BS613" s="969">
        <f>IFERROR(AVERAGE(BS611,BS612),"")</f>
      </c>
      <c r="BT613" s="760">
        <f>IFERROR(AVERAGE(BT611,BT612),"")</f>
      </c>
      <c r="BU613" s="759"/>
      <c r="BV613" s="759"/>
      <c r="BW613" s="759"/>
      <c r="BX613" s="969"/>
      <c r="BY613" s="759"/>
      <c r="BZ613" s="759"/>
      <c r="CA613" s="759"/>
      <c r="CB613" s="759"/>
      <c r="CC613" s="969"/>
      <c r="CD613" s="969"/>
      <c r="CE613" s="969"/>
      <c r="CF613" s="969"/>
      <c r="CG613" s="757"/>
    </row>
    <row r="614" spans="1:85" s="587" customFormat="1" ht="15" hidden="1" customHeight="1" outlineLevel="2" x14ac:dyDescent="0.3">
      <c r="A614" s="436" t="s">
        <v>2341</v>
      </c>
      <c r="B614" s="414"/>
      <c r="C614" s="962"/>
      <c r="D614" s="962"/>
      <c r="E614" s="962"/>
      <c r="F614" s="962"/>
      <c r="G614" s="757"/>
      <c r="H614" s="757"/>
      <c r="I614" s="757"/>
      <c r="J614" s="757"/>
      <c r="K614" s="962"/>
      <c r="L614" s="757"/>
      <c r="M614" s="757"/>
      <c r="N614" s="757"/>
      <c r="O614" s="757"/>
      <c r="P614" s="962"/>
      <c r="Q614" s="757"/>
      <c r="R614" s="757"/>
      <c r="S614" s="757"/>
      <c r="T614" s="757"/>
      <c r="U614" s="962"/>
      <c r="V614" s="757"/>
      <c r="W614" s="757"/>
      <c r="X614" s="757"/>
      <c r="Y614" s="757"/>
      <c r="Z614" s="962"/>
      <c r="AA614" s="757"/>
      <c r="AB614" s="757"/>
      <c r="AC614" s="757"/>
      <c r="AD614" s="757" t="str">
        <f t="shared" ref="AD614:AH614" si="1126">IFERROR(ABS(AD612-AD611),"")</f>
      </c>
      <c r="AE614" s="962" t="str">
        <f t="shared" si="1126"/>
      </c>
      <c r="AF614" s="757" t="str">
        <f t="shared" si="1126"/>
      </c>
      <c r="AG614" s="757">
        <f t="shared" si="1126"/>
      </c>
      <c r="AH614" s="757">
        <f t="shared" si="1126"/>
      </c>
      <c r="AI614" s="757">
        <f t="shared" ref="AI614:BP614" si="1127">IFERROR(ABS(AI612-AI611),"")</f>
      </c>
      <c r="AJ614" s="962">
        <f t="shared" si="1127"/>
      </c>
      <c r="AK614" s="757">
        <f t="shared" si="1127"/>
      </c>
      <c r="AL614" s="757">
        <f t="shared" si="1127"/>
      </c>
      <c r="AM614" s="757">
        <f t="shared" si="1127"/>
      </c>
      <c r="AN614" s="757">
        <f t="shared" si="1127"/>
      </c>
      <c r="AO614" s="962">
        <f t="shared" si="1127"/>
      </c>
      <c r="AP614" s="757">
        <f t="shared" si="1127"/>
      </c>
      <c r="AQ614" s="757">
        <f t="shared" si="1127"/>
      </c>
      <c r="AR614" s="757">
        <f t="shared" si="1127"/>
      </c>
      <c r="AS614" s="757">
        <f t="shared" si="1127"/>
      </c>
      <c r="AT614" s="962">
        <f t="shared" si="1127"/>
      </c>
      <c r="AU614" s="757">
        <f t="shared" si="1127"/>
      </c>
      <c r="AV614" s="757">
        <f t="shared" si="1127"/>
      </c>
      <c r="AW614" s="757">
        <f t="shared" si="1127"/>
      </c>
      <c r="AX614" s="757">
        <f t="shared" si="1127"/>
      </c>
      <c r="AY614" s="962">
        <f t="shared" si="1127"/>
      </c>
      <c r="AZ614" s="757">
        <f t="shared" si="1127"/>
      </c>
      <c r="BA614" s="757">
        <f t="shared" si="1127"/>
      </c>
      <c r="BB614" s="757">
        <f t="shared" si="1127"/>
      </c>
      <c r="BC614" s="757">
        <f t="shared" si="1127"/>
      </c>
      <c r="BD614" s="962">
        <f t="shared" si="1127"/>
      </c>
      <c r="BE614" s="757">
        <f t="shared" si="1127"/>
      </c>
      <c r="BF614" s="757">
        <f t="shared" si="1127"/>
      </c>
      <c r="BG614" s="757">
        <f t="shared" si="1127"/>
      </c>
      <c r="BH614" s="757">
        <f t="shared" si="1127"/>
      </c>
      <c r="BI614" s="962">
        <f t="shared" si="1127"/>
      </c>
      <c r="BJ614" s="757">
        <f t="shared" si="1127"/>
      </c>
      <c r="BK614" s="757">
        <f t="shared" si="1127"/>
      </c>
      <c r="BL614" s="757">
        <f t="shared" si="1127"/>
      </c>
      <c r="BM614" s="757">
        <f t="shared" si="1127"/>
      </c>
      <c r="BN614" s="962">
        <f t="shared" si="1127"/>
      </c>
      <c r="BO614" s="757">
        <f t="shared" si="1127"/>
      </c>
      <c r="BP614" s="757">
        <f t="shared" si="1127"/>
      </c>
      <c r="BQ614" s="757">
        <f>IFERROR(ABS(BQ612-BQ611),"")</f>
      </c>
      <c r="BR614" s="757">
        <f>IFERROR(ABS(BR612-BR611),"")</f>
      </c>
      <c r="BS614" s="962">
        <f>IFERROR(ABS(BS612-BS611),"")</f>
      </c>
      <c r="BT614" s="758">
        <f>IFERROR(ABS(BT612-BT611),"")</f>
      </c>
      <c r="BU614" s="757"/>
      <c r="BV614" s="757"/>
      <c r="BW614" s="757"/>
      <c r="BX614" s="962"/>
      <c r="BY614" s="757"/>
      <c r="BZ614" s="757"/>
      <c r="CA614" s="757"/>
      <c r="CB614" s="757"/>
      <c r="CC614" s="962"/>
      <c r="CD614" s="962"/>
      <c r="CE614" s="962"/>
      <c r="CF614" s="962"/>
      <c r="CG614" s="757"/>
    </row>
    <row r="615" spans="1:85" s="587" customFormat="1" ht="15" hidden="1" customHeight="1" outlineLevel="2" x14ac:dyDescent="0.3">
      <c r="A615" s="262" t="s">
        <v>2342</v>
      </c>
      <c r="B615" s="414"/>
      <c r="C615" s="973"/>
      <c r="D615" s="973"/>
      <c r="E615" s="973"/>
      <c r="F615" s="973"/>
      <c r="G615" s="59"/>
      <c r="H615" s="59"/>
      <c r="I615" s="59"/>
      <c r="J615" s="59"/>
      <c r="K615" s="973"/>
      <c r="L615" s="59"/>
      <c r="M615" s="59"/>
      <c r="N615" s="59"/>
      <c r="O615" s="59"/>
      <c r="P615" s="973"/>
      <c r="Q615" s="59"/>
      <c r="R615" s="59"/>
      <c r="S615" s="59"/>
      <c r="T615" s="59"/>
      <c r="U615" s="973"/>
      <c r="V615" s="59"/>
      <c r="W615" s="59"/>
      <c r="X615" s="59"/>
      <c r="Y615" s="59"/>
      <c r="Z615" s="973"/>
      <c r="AA615" s="59"/>
      <c r="AB615" s="59"/>
      <c r="AC615" s="59"/>
      <c r="AD615" s="59" t="str">
        <f t="shared" ref="AD615:AH615" si="1128">IFERROR(ABS((AD612-AD613)/AD613),"")</f>
      </c>
      <c r="AE615" s="973" t="str">
        <f t="shared" si="1128"/>
      </c>
      <c r="AF615" s="59" t="str">
        <f t="shared" si="1128"/>
      </c>
      <c r="AG615" s="59">
        <f t="shared" si="1128"/>
      </c>
      <c r="AH615" s="59">
        <f t="shared" si="1128"/>
      </c>
      <c r="AI615" s="59">
        <f t="shared" ref="AI615:BP615" si="1129">IFERROR(ABS((AI612-AI613)/AI613),"")</f>
      </c>
      <c r="AJ615" s="973">
        <f t="shared" si="1129"/>
      </c>
      <c r="AK615" s="59">
        <f t="shared" si="1129"/>
      </c>
      <c r="AL615" s="59">
        <f t="shared" si="1129"/>
      </c>
      <c r="AM615" s="59">
        <f t="shared" si="1129"/>
      </c>
      <c r="AN615" s="59">
        <f t="shared" si="1129"/>
      </c>
      <c r="AO615" s="973">
        <f t="shared" si="1129"/>
      </c>
      <c r="AP615" s="59">
        <f t="shared" si="1129"/>
      </c>
      <c r="AQ615" s="59">
        <f t="shared" si="1129"/>
      </c>
      <c r="AR615" s="59">
        <f t="shared" si="1129"/>
      </c>
      <c r="AS615" s="59">
        <f t="shared" si="1129"/>
      </c>
      <c r="AT615" s="973">
        <f t="shared" si="1129"/>
      </c>
      <c r="AU615" s="59">
        <f t="shared" si="1129"/>
      </c>
      <c r="AV615" s="59">
        <f t="shared" si="1129"/>
      </c>
      <c r="AW615" s="59">
        <f t="shared" si="1129"/>
      </c>
      <c r="AX615" s="59">
        <f t="shared" si="1129"/>
      </c>
      <c r="AY615" s="973">
        <f t="shared" si="1129"/>
      </c>
      <c r="AZ615" s="59">
        <f t="shared" si="1129"/>
      </c>
      <c r="BA615" s="59">
        <f t="shared" si="1129"/>
      </c>
      <c r="BB615" s="59">
        <f t="shared" si="1129"/>
      </c>
      <c r="BC615" s="59">
        <f t="shared" si="1129"/>
      </c>
      <c r="BD615" s="973">
        <f t="shared" si="1129"/>
      </c>
      <c r="BE615" s="59">
        <f t="shared" si="1129"/>
      </c>
      <c r="BF615" s="59">
        <f t="shared" si="1129"/>
      </c>
      <c r="BG615" s="59">
        <f t="shared" si="1129"/>
      </c>
      <c r="BH615" s="59">
        <f t="shared" si="1129"/>
      </c>
      <c r="BI615" s="973">
        <f t="shared" si="1129"/>
      </c>
      <c r="BJ615" s="59">
        <f t="shared" si="1129"/>
      </c>
      <c r="BK615" s="59">
        <f t="shared" si="1129"/>
      </c>
      <c r="BL615" s="59">
        <f t="shared" si="1129"/>
      </c>
      <c r="BM615" s="59">
        <f t="shared" si="1129"/>
      </c>
      <c r="BN615" s="973">
        <f t="shared" si="1129"/>
      </c>
      <c r="BO615" s="59">
        <f t="shared" si="1129"/>
      </c>
      <c r="BP615" s="59">
        <f t="shared" si="1129"/>
      </c>
      <c r="BQ615" s="59">
        <f>IFERROR(ABS((BQ612-BQ613)/BQ613),"")</f>
      </c>
      <c r="BR615" s="59">
        <f>IFERROR(ABS((BR612-BR613)/BR613),"")</f>
      </c>
      <c r="BS615" s="973">
        <f>IFERROR(ABS((BS612-BS613)/BS613),"")</f>
      </c>
      <c r="BT615" s="675">
        <f>IFERROR(ABS((BT612-BT613)/BT613),"")</f>
      </c>
      <c r="BU615" s="59"/>
      <c r="BV615" s="59"/>
      <c r="BW615" s="59"/>
      <c r="BX615" s="973"/>
      <c r="BY615" s="59"/>
      <c r="BZ615" s="59"/>
      <c r="CA615" s="59"/>
      <c r="CB615" s="59"/>
      <c r="CC615" s="973"/>
      <c r="CD615" s="973"/>
      <c r="CE615" s="973"/>
      <c r="CF615" s="973"/>
      <c r="CG615" s="757"/>
    </row>
    <row r="616" spans="1:85" s="587" customFormat="1" ht="15" hidden="1" customHeight="1" outlineLevel="3" x14ac:dyDescent="0.3">
      <c r="A616" s="567" t="s">
        <v>2360</v>
      </c>
      <c r="B616" s="770"/>
      <c r="C616" s="935"/>
      <c r="D616" s="935"/>
      <c r="E616" s="935"/>
      <c r="F616" s="935"/>
      <c r="G616" s="58"/>
      <c r="H616" s="58"/>
      <c r="I616" s="58"/>
      <c r="J616" s="58"/>
      <c r="K616" s="935"/>
      <c r="L616" s="58"/>
      <c r="M616" s="58"/>
      <c r="N616" s="58"/>
      <c r="O616" s="58"/>
      <c r="P616" s="935"/>
      <c r="Q616" s="58"/>
      <c r="R616" s="58"/>
      <c r="S616" s="58"/>
      <c r="T616" s="58"/>
      <c r="U616" s="935"/>
      <c r="V616" s="58"/>
      <c r="W616" s="58"/>
      <c r="X616" s="58"/>
      <c r="Y616" s="58"/>
      <c r="Z616" s="935"/>
      <c r="AA616" s="58"/>
      <c r="AB616" s="58"/>
      <c r="AC616" s="58"/>
      <c r="AD616" s="58" t="str">
        <f>IFERROR(AD611/AD598-1,"N/A")</f>
      </c>
      <c r="AE616" s="935" t="str">
        <f>IFERROR(AE611/AD598-1,"N/A")</f>
      </c>
      <c r="AF616" s="58" t="str">
        <f>IFERROR(AF611/AF598-1,"N/A")</f>
      </c>
      <c r="AG616" s="58">
        <f>AG611/AG598-1</f>
      </c>
      <c r="AH616" s="58">
        <f>AH611/AH598-1</f>
      </c>
      <c r="AI616" s="58">
        <f>AI611/AI598-1</f>
      </c>
      <c r="AJ616" s="935">
        <f>AJ611/AI598-1</f>
      </c>
      <c r="AK616" s="58">
        <f>AK611/AK598-1</f>
      </c>
      <c r="AL616" s="58">
        <f>AL611/AL598-1</f>
      </c>
      <c r="AM616" s="58">
        <f>AM611/AM598-1</f>
      </c>
      <c r="AN616" s="58">
        <f>AN611/AN598-1</f>
      </c>
      <c r="AO616" s="935">
        <f>AO611/AN598-1</f>
      </c>
      <c r="AP616" s="58">
        <f>AP611/AP598-1</f>
      </c>
      <c r="AQ616" s="58">
        <f>AQ611/AQ598-1</f>
      </c>
      <c r="AR616" s="58">
        <f>AR611/AR598-1</f>
      </c>
      <c r="AS616" s="58">
        <f>AS611/AS598-1</f>
      </c>
      <c r="AT616" s="935">
        <f>AT611/AS598-1</f>
      </c>
      <c r="AU616" s="58">
        <f>AU611/AU598-1</f>
      </c>
      <c r="AV616" s="58">
        <f>AV611/AV598-1</f>
      </c>
      <c r="AW616" s="58">
        <f>AW611/AW598-1</f>
      </c>
      <c r="AX616" s="58">
        <f>AX611/AX598-1</f>
      </c>
      <c r="AY616" s="935">
        <f>AY611/AX598-1</f>
      </c>
      <c r="AZ616" s="58">
        <f>AZ611/AZ598-1</f>
      </c>
      <c r="BA616" s="58">
        <f>BA611/BA598-1</f>
      </c>
      <c r="BB616" s="58">
        <f>BB611/BB598-1</f>
      </c>
      <c r="BC616" s="58">
        <f>BC611/BC598-1</f>
      </c>
      <c r="BD616" s="935">
        <f>BD611/BC598-1</f>
      </c>
      <c r="BE616" s="58">
        <f>BE611/BE598-1</f>
      </c>
      <c r="BF616" s="58">
        <f>BF611/BF598-1</f>
      </c>
      <c r="BG616" s="58">
        <f>BG611/BG598-1</f>
      </c>
      <c r="BH616" s="58">
        <f>BH611/BH598-1</f>
      </c>
      <c r="BI616" s="935">
        <f>BI611/BH598-1</f>
      </c>
      <c r="BJ616" s="58">
        <f>BJ611/BJ598-1</f>
      </c>
      <c r="BK616" s="58">
        <f>BK611/BK598-1</f>
      </c>
      <c r="BL616" s="58">
        <f>BL611/BL598-1</f>
      </c>
      <c r="BM616" s="58">
        <f>BM611/BM598-1</f>
      </c>
      <c r="BN616" s="935">
        <f>BN611/BM598-1</f>
      </c>
      <c r="BO616" s="58">
        <f>BO611/BO598-1</f>
      </c>
      <c r="BP616" s="58">
        <f>BP611/BP598-1</f>
      </c>
      <c r="BQ616" s="58">
        <f>BQ611/BQ598-1</f>
      </c>
      <c r="BR616" s="58">
        <f>BR611/BR598-1</f>
      </c>
      <c r="BS616" s="935">
        <f>BS611/BR598-1</f>
      </c>
      <c r="BT616" s="669">
        <f>BT611/BT598-1</f>
      </c>
      <c r="BU616" s="58"/>
      <c r="BV616" s="58"/>
      <c r="BW616" s="58"/>
      <c r="BX616" s="935"/>
      <c r="BY616" s="58"/>
      <c r="BZ616" s="58"/>
      <c r="CA616" s="58"/>
      <c r="CB616" s="58"/>
      <c r="CC616" s="935"/>
      <c r="CD616" s="935"/>
      <c r="CE616" s="935"/>
      <c r="CF616" s="935"/>
      <c r="CG616" s="757"/>
    </row>
    <row r="617" spans="1:85" s="587" customFormat="1" ht="15" hidden="1" customHeight="1" outlineLevel="3" x14ac:dyDescent="0.3">
      <c r="A617" s="568" t="s">
        <v>2361</v>
      </c>
      <c r="B617" s="563"/>
      <c r="C617" s="988"/>
      <c r="D617" s="988"/>
      <c r="E617" s="988"/>
      <c r="F617" s="988"/>
      <c r="G617" s="369"/>
      <c r="H617" s="369"/>
      <c r="I617" s="369"/>
      <c r="J617" s="369"/>
      <c r="K617" s="988"/>
      <c r="L617" s="369"/>
      <c r="M617" s="369"/>
      <c r="N617" s="369"/>
      <c r="O617" s="369"/>
      <c r="P617" s="988"/>
      <c r="Q617" s="369"/>
      <c r="R617" s="369"/>
      <c r="S617" s="369"/>
      <c r="T617" s="369"/>
      <c r="U617" s="988"/>
      <c r="V617" s="369"/>
      <c r="W617" s="369"/>
      <c r="X617" s="369"/>
      <c r="Y617" s="369"/>
      <c r="Z617" s="988"/>
      <c r="AA617" s="369"/>
      <c r="AB617" s="369"/>
      <c r="AC617" s="369"/>
      <c r="AD617" s="369" t="str">
        <f>IFERROR(AD612/AD598-1,"N/A")</f>
      </c>
      <c r="AE617" s="988" t="str">
        <f>IFERROR(AE612/AD598-1,"N/A")</f>
      </c>
      <c r="AF617" s="369" t="str">
        <f>IFERROR(AF612/AF598-1,"N/A")</f>
      </c>
      <c r="AG617" s="369">
        <f>AG612/AG598-1</f>
      </c>
      <c r="AH617" s="369">
        <f>AH612/AH598-1</f>
      </c>
      <c r="AI617" s="369">
        <f>AI612/AI598-1</f>
      </c>
      <c r="AJ617" s="988">
        <f>AJ612/AI598-1</f>
      </c>
      <c r="AK617" s="369">
        <f>AK612/AK598-1</f>
      </c>
      <c r="AL617" s="369">
        <f>AL612/AL598-1</f>
      </c>
      <c r="AM617" s="369">
        <f>AM612/AM598-1</f>
      </c>
      <c r="AN617" s="369">
        <f>AN612/AN598-1</f>
      </c>
      <c r="AO617" s="988">
        <f>AO612/AN598-1</f>
      </c>
      <c r="AP617" s="369">
        <f>AP612/AP598-1</f>
      </c>
      <c r="AQ617" s="369">
        <f>AQ612/AQ598-1</f>
      </c>
      <c r="AR617" s="369">
        <f>AR612/AR598-1</f>
      </c>
      <c r="AS617" s="369">
        <f>AS612/AS598-1</f>
      </c>
      <c r="AT617" s="988">
        <f>AT612/AS598-1</f>
      </c>
      <c r="AU617" s="369">
        <f>AU612/AU598-1</f>
      </c>
      <c r="AV617" s="369">
        <f>AV612/AV598-1</f>
      </c>
      <c r="AW617" s="369">
        <f>AW612/AW598-1</f>
      </c>
      <c r="AX617" s="369">
        <f>AX612/AX598-1</f>
      </c>
      <c r="AY617" s="988">
        <f>AY612/AX598-1</f>
      </c>
      <c r="AZ617" s="369">
        <f>AZ612/AZ598-1</f>
      </c>
      <c r="BA617" s="369">
        <f>BA612/BA598-1</f>
      </c>
      <c r="BB617" s="369">
        <f>BB612/BB598-1</f>
      </c>
      <c r="BC617" s="369">
        <f>BC612/BC598-1</f>
      </c>
      <c r="BD617" s="988">
        <f>BD612/BC598-1</f>
      </c>
      <c r="BE617" s="369">
        <f>BE612/BE598-1</f>
      </c>
      <c r="BF617" s="369">
        <f>BF612/BF598-1</f>
      </c>
      <c r="BG617" s="369">
        <f>BG612/BG598-1</f>
      </c>
      <c r="BH617" s="369">
        <f>BH612/BH598-1</f>
      </c>
      <c r="BI617" s="988">
        <f>BI612/BH598-1</f>
      </c>
      <c r="BJ617" s="369">
        <f>BJ612/BJ598-1</f>
      </c>
      <c r="BK617" s="369">
        <f>BK612/BK598-1</f>
      </c>
      <c r="BL617" s="369">
        <f>BL612/BL598-1</f>
      </c>
      <c r="BM617" s="369">
        <f>BM612/BM598-1</f>
      </c>
      <c r="BN617" s="988">
        <f>BN612/BM598-1</f>
      </c>
      <c r="BO617" s="369">
        <f>BO612/BO598-1</f>
      </c>
      <c r="BP617" s="369">
        <f>BP612/BP598-1</f>
      </c>
      <c r="BQ617" s="369">
        <f>BQ612/BQ598-1</f>
      </c>
      <c r="BR617" s="369">
        <f>BR612/BR598-1</f>
      </c>
      <c r="BS617" s="988">
        <f>BS612/BR598-1</f>
      </c>
      <c r="BT617" s="686">
        <f>BT612/BT598-1</f>
      </c>
      <c r="BU617" s="369"/>
      <c r="BV617" s="369"/>
      <c r="BW617" s="369"/>
      <c r="BX617" s="988"/>
      <c r="BY617" s="369"/>
      <c r="BZ617" s="369"/>
      <c r="CA617" s="369"/>
      <c r="CB617" s="369"/>
      <c r="CC617" s="988"/>
      <c r="CD617" s="988"/>
      <c r="CE617" s="988"/>
      <c r="CF617" s="988"/>
      <c r="CG617" s="757"/>
    </row>
    <row r="618" spans="1:85" s="587" customFormat="1" ht="15" hidden="1" customHeight="1" outlineLevel="2" collapsed="1" x14ac:dyDescent="0.3">
      <c r="A618" s="69" t="s">
        <v>2362</v>
      </c>
      <c r="B618" s="770"/>
      <c r="C618" s="935"/>
      <c r="D618" s="935"/>
      <c r="E618" s="935"/>
      <c r="F618" s="935"/>
      <c r="G618" s="58"/>
      <c r="H618" s="58"/>
      <c r="I618" s="58"/>
      <c r="J618" s="58"/>
      <c r="K618" s="935"/>
      <c r="L618" s="58"/>
      <c r="M618" s="58"/>
      <c r="N618" s="58"/>
      <c r="O618" s="58"/>
      <c r="P618" s="935"/>
      <c r="Q618" s="58"/>
      <c r="R618" s="58"/>
      <c r="S618" s="58"/>
      <c r="T618" s="58"/>
      <c r="U618" s="935"/>
      <c r="V618" s="58"/>
      <c r="W618" s="58"/>
      <c r="X618" s="58"/>
      <c r="Y618" s="58"/>
      <c r="Z618" s="935"/>
      <c r="AA618" s="58"/>
      <c r="AB618" s="58"/>
      <c r="AC618" s="58"/>
      <c r="AD618" s="58" t="str">
        <f>IFERROR(AD613/AD598-1,"N/A")</f>
      </c>
      <c r="AE618" s="935" t="str">
        <f>IFERROR(AE613/AD598-1,"N/A")</f>
      </c>
      <c r="AF618" s="58" t="str">
        <f>IFERROR(AF613/AF598-1,"N/A")</f>
      </c>
      <c r="AG618" s="58">
        <f>AG613/AG598-1</f>
      </c>
      <c r="AH618" s="58">
        <f>AH613/AH598-1</f>
      </c>
      <c r="AI618" s="58">
        <f>AI613/AI598-1</f>
      </c>
      <c r="AJ618" s="935">
        <f>AJ613/AI598-1</f>
      </c>
      <c r="AK618" s="58">
        <f>AK613/AK598-1</f>
      </c>
      <c r="AL618" s="58">
        <f>AL613/AL598-1</f>
      </c>
      <c r="AM618" s="58">
        <f>AM613/AM598-1</f>
      </c>
      <c r="AN618" s="58">
        <f>AN613/AN598-1</f>
      </c>
      <c r="AO618" s="935">
        <f>AO613/AN598-1</f>
      </c>
      <c r="AP618" s="58">
        <f>AP613/AP598-1</f>
      </c>
      <c r="AQ618" s="58">
        <f>AQ613/AQ598-1</f>
      </c>
      <c r="AR618" s="58">
        <f>AR613/AR598-1</f>
      </c>
      <c r="AS618" s="58">
        <f>AS613/AS598-1</f>
      </c>
      <c r="AT618" s="935">
        <f>AT613/AS598-1</f>
      </c>
      <c r="AU618" s="58">
        <f>AU613/AU598-1</f>
      </c>
      <c r="AV618" s="58">
        <f>AV613/AV598-1</f>
      </c>
      <c r="AW618" s="58">
        <f>AW613/AW598-1</f>
      </c>
      <c r="AX618" s="58">
        <f>AX613/AX598-1</f>
      </c>
      <c r="AY618" s="935">
        <f>AY613/AX598-1</f>
      </c>
      <c r="AZ618" s="58">
        <f>AZ613/AZ598-1</f>
      </c>
      <c r="BA618" s="58">
        <f>BA613/BA598-1</f>
      </c>
      <c r="BB618" s="58">
        <f>BB613/BB598-1</f>
      </c>
      <c r="BC618" s="58">
        <f>BC613/BC598-1</f>
      </c>
      <c r="BD618" s="935">
        <f>BD613/BC598-1</f>
      </c>
      <c r="BE618" s="58">
        <f>BE613/BE598-1</f>
      </c>
      <c r="BF618" s="58">
        <f>BF613/BF598-1</f>
      </c>
      <c r="BG618" s="58">
        <f>BG613/BG598-1</f>
      </c>
      <c r="BH618" s="58">
        <f>BH613/BH598-1</f>
      </c>
      <c r="BI618" s="935">
        <f>BI613/BH598-1</f>
      </c>
      <c r="BJ618" s="58">
        <f>BJ613/BJ598-1</f>
      </c>
      <c r="BK618" s="58">
        <f>BK613/BK598-1</f>
      </c>
      <c r="BL618" s="58">
        <f>BL613/BL598-1</f>
      </c>
      <c r="BM618" s="58">
        <f>BM613/BM598-1</f>
      </c>
      <c r="BN618" s="935">
        <f>BN613/BM598-1</f>
      </c>
      <c r="BO618" s="58">
        <f>BO613/BO598-1</f>
      </c>
      <c r="BP618" s="58">
        <f>BP613/BP598-1</f>
      </c>
      <c r="BQ618" s="58">
        <f>BQ613/BQ598-1</f>
      </c>
      <c r="BR618" s="58">
        <f>BR613/BR598-1</f>
      </c>
      <c r="BS618" s="935">
        <f>BS613/BR598-1</f>
      </c>
      <c r="BT618" s="669">
        <f>BT613/BT598-1</f>
      </c>
      <c r="BU618" s="58"/>
      <c r="BV618" s="58"/>
      <c r="BW618" s="58"/>
      <c r="BX618" s="935"/>
      <c r="BY618" s="58"/>
      <c r="BZ618" s="58"/>
      <c r="CA618" s="58"/>
      <c r="CB618" s="58"/>
      <c r="CC618" s="935"/>
      <c r="CD618" s="935"/>
      <c r="CE618" s="935"/>
      <c r="CF618" s="935"/>
      <c r="CG618" s="757"/>
    </row>
    <row r="619" spans="1:85" s="587" customFormat="1" ht="15" hidden="1" customHeight="1" outlineLevel="3" x14ac:dyDescent="0.3">
      <c r="A619" s="567" t="s">
        <v>2357</v>
      </c>
      <c r="B619" s="770"/>
      <c r="C619" s="935"/>
      <c r="D619" s="935"/>
      <c r="E619" s="935"/>
      <c r="F619" s="935"/>
      <c r="G619" s="58"/>
      <c r="H619" s="58"/>
      <c r="I619" s="58"/>
      <c r="J619" s="58"/>
      <c r="K619" s="935"/>
      <c r="L619" s="58"/>
      <c r="M619" s="58"/>
      <c r="N619" s="58"/>
      <c r="O619" s="58"/>
      <c r="P619" s="935"/>
      <c r="Q619" s="58"/>
      <c r="R619" s="58"/>
      <c r="S619" s="58"/>
      <c r="T619" s="58"/>
      <c r="U619" s="935"/>
      <c r="V619" s="58"/>
      <c r="W619" s="58"/>
      <c r="X619" s="58"/>
      <c r="Y619" s="58"/>
      <c r="Z619" s="935"/>
      <c r="AA619" s="58"/>
      <c r="AB619" s="58"/>
      <c r="AC619" s="58"/>
      <c r="AD619" s="58" t="str">
        <f>IFERROR(AD611/AA598-1,"N/A")</f>
      </c>
      <c r="AE619" s="935" t="str">
        <f>IFERROR(AD619,"N/A")</f>
      </c>
      <c r="AF619" s="58" t="str">
        <f>IFERROR(AF611/AB598-1,"N/A")</f>
      </c>
      <c r="AG619" s="58">
        <f>AG611/AC598-1</f>
      </c>
      <c r="AH619" s="58">
        <f>AH611/AD598-1</f>
      </c>
      <c r="AI619" s="58">
        <f>AI611/AF598-1</f>
      </c>
      <c r="AJ619" s="935">
        <f>AI619</f>
      </c>
      <c r="AK619" s="58">
        <f>AK611/AG598-1</f>
      </c>
      <c r="AL619" s="58">
        <f>AL611/AH598-1</f>
      </c>
      <c r="AM619" s="58">
        <f>AM611/AI598-1</f>
      </c>
      <c r="AN619" s="58">
        <f>AN611/AK598-1</f>
      </c>
      <c r="AO619" s="935">
        <f>AN619</f>
      </c>
      <c r="AP619" s="58">
        <f>AP611/AL598-1</f>
      </c>
      <c r="AQ619" s="58">
        <f>AQ611/AM598-1</f>
      </c>
      <c r="AR619" s="58">
        <f>AR611/AN598-1</f>
      </c>
      <c r="AS619" s="58">
        <f>AS611/AP598-1</f>
      </c>
      <c r="AT619" s="935">
        <f>AS619</f>
      </c>
      <c r="AU619" s="58">
        <f>AU611/AQ598-1</f>
      </c>
      <c r="AV619" s="58">
        <f>AV611/AR598-1</f>
      </c>
      <c r="AW619" s="58">
        <f>AW611/AS598-1</f>
      </c>
      <c r="AX619" s="58">
        <f>AX611/AU598-1</f>
      </c>
      <c r="AY619" s="935">
        <f>AX619</f>
      </c>
      <c r="AZ619" s="58">
        <f>AZ611/AV598-1</f>
      </c>
      <c r="BA619" s="58">
        <f>BA611/AW598-1</f>
      </c>
      <c r="BB619" s="58">
        <f>BB611/AX598-1</f>
      </c>
      <c r="BC619" s="58">
        <f>BC611/AZ598-1</f>
      </c>
      <c r="BD619" s="935">
        <f>BC619</f>
      </c>
      <c r="BE619" s="58">
        <f>BE611/BA598-1</f>
      </c>
      <c r="BF619" s="58">
        <f>BF611/BB598-1</f>
      </c>
      <c r="BG619" s="58">
        <f>BG611/BC598-1</f>
      </c>
      <c r="BH619" s="58">
        <f>BH611/BE598-1</f>
      </c>
      <c r="BI619" s="935">
        <f>BH619</f>
      </c>
      <c r="BJ619" s="58">
        <f>BJ611/BF598-1</f>
      </c>
      <c r="BK619" s="58">
        <f>BK611/BG598-1</f>
      </c>
      <c r="BL619" s="58">
        <f>BL611/BH598-1</f>
      </c>
      <c r="BM619" s="58">
        <f>BM611/BJ598-1</f>
      </c>
      <c r="BN619" s="935">
        <f>BM619</f>
      </c>
      <c r="BO619" s="58">
        <f>BO611/BK598-1</f>
      </c>
      <c r="BP619" s="58">
        <f>BP611/BL598-1</f>
      </c>
      <c r="BQ619" s="58">
        <f>BQ611/BM598-1</f>
      </c>
      <c r="BR619" s="58">
        <f>BR611/BO598-1</f>
      </c>
      <c r="BS619" s="935">
        <f>BR619</f>
      </c>
      <c r="BT619" s="669">
        <f>BT611/BP598-1</f>
      </c>
      <c r="BU619" s="58"/>
      <c r="BV619" s="58"/>
      <c r="BW619" s="58"/>
      <c r="BX619" s="935"/>
      <c r="BY619" s="58"/>
      <c r="BZ619" s="58"/>
      <c r="CA619" s="58"/>
      <c r="CB619" s="58"/>
      <c r="CC619" s="935"/>
      <c r="CD619" s="935"/>
      <c r="CE619" s="935"/>
      <c r="CF619" s="935"/>
      <c r="CG619" s="757"/>
    </row>
    <row r="620" spans="1:85" s="587" customFormat="1" ht="15" hidden="1" customHeight="1" outlineLevel="3" x14ac:dyDescent="0.3">
      <c r="A620" s="568" t="s">
        <v>2358</v>
      </c>
      <c r="B620" s="563"/>
      <c r="C620" s="988"/>
      <c r="D620" s="988"/>
      <c r="E620" s="988"/>
      <c r="F620" s="988"/>
      <c r="G620" s="369"/>
      <c r="H620" s="369"/>
      <c r="I620" s="369"/>
      <c r="J620" s="369"/>
      <c r="K620" s="988"/>
      <c r="L620" s="369"/>
      <c r="M620" s="369"/>
      <c r="N620" s="369"/>
      <c r="O620" s="369"/>
      <c r="P620" s="988"/>
      <c r="Q620" s="369"/>
      <c r="R620" s="369"/>
      <c r="S620" s="369"/>
      <c r="T620" s="369"/>
      <c r="U620" s="988"/>
      <c r="V620" s="369"/>
      <c r="W620" s="369"/>
      <c r="X620" s="369"/>
      <c r="Y620" s="369"/>
      <c r="Z620" s="988"/>
      <c r="AA620" s="369"/>
      <c r="AB620" s="369"/>
      <c r="AC620" s="369"/>
      <c r="AD620" s="369" t="str">
        <f>IFERROR(AD612/AA598-1,"N/A")</f>
      </c>
      <c r="AE620" s="988" t="str">
        <f>IFERROR(AD620,"N/A")</f>
      </c>
      <c r="AF620" s="369" t="str">
        <f>IFERROR(AF612/AB598-1,"N/A")</f>
      </c>
      <c r="AG620" s="369">
        <f>AG612/AC598-1</f>
      </c>
      <c r="AH620" s="369">
        <f>AH612/AD598-1</f>
      </c>
      <c r="AI620" s="369">
        <f>AI612/AF598-1</f>
      </c>
      <c r="AJ620" s="988">
        <f>AI620</f>
      </c>
      <c r="AK620" s="369">
        <f>AK612/AG598-1</f>
      </c>
      <c r="AL620" s="369">
        <f>AL612/AH598-1</f>
      </c>
      <c r="AM620" s="369">
        <f>AM612/AI598-1</f>
      </c>
      <c r="AN620" s="369">
        <f>AN612/AK598-1</f>
      </c>
      <c r="AO620" s="988">
        <f>AN620</f>
      </c>
      <c r="AP620" s="369">
        <f>AP612/AL598-1</f>
      </c>
      <c r="AQ620" s="369">
        <f>AQ612/AM598-1</f>
      </c>
      <c r="AR620" s="369">
        <f>AR612/AN598-1</f>
      </c>
      <c r="AS620" s="369">
        <f>AS612/AP598-1</f>
      </c>
      <c r="AT620" s="988">
        <f>AS620</f>
      </c>
      <c r="AU620" s="369">
        <f>AU612/AQ598-1</f>
      </c>
      <c r="AV620" s="369">
        <f>AV612/AR598-1</f>
      </c>
      <c r="AW620" s="369">
        <f>AW612/AS598-1</f>
      </c>
      <c r="AX620" s="369">
        <f>AX612/AU598-1</f>
      </c>
      <c r="AY620" s="988">
        <f>AX620</f>
      </c>
      <c r="AZ620" s="369">
        <f>AZ612/AV598-1</f>
      </c>
      <c r="BA620" s="369">
        <f>BA612/AW598-1</f>
      </c>
      <c r="BB620" s="369">
        <f>BB612/AX598-1</f>
      </c>
      <c r="BC620" s="369">
        <f>BC612/AZ598-1</f>
      </c>
      <c r="BD620" s="988">
        <f>BC620</f>
      </c>
      <c r="BE620" s="369">
        <f>BE612/BA598-1</f>
      </c>
      <c r="BF620" s="369">
        <f>BF612/BB598-1</f>
      </c>
      <c r="BG620" s="369">
        <f>BG612/BC598-1</f>
      </c>
      <c r="BH620" s="369">
        <f>BH612/BE598-1</f>
      </c>
      <c r="BI620" s="988">
        <f>BH620</f>
      </c>
      <c r="BJ620" s="369">
        <f>BJ612/BF598-1</f>
      </c>
      <c r="BK620" s="369">
        <f>BK612/BG598-1</f>
      </c>
      <c r="BL620" s="369">
        <f>BL612/BH598-1</f>
      </c>
      <c r="BM620" s="369">
        <f>BM612/BJ598-1</f>
      </c>
      <c r="BN620" s="988">
        <f>BM620</f>
      </c>
      <c r="BO620" s="369">
        <f>BO612/BK598-1</f>
      </c>
      <c r="BP620" s="369">
        <f>BP612/BL598-1</f>
      </c>
      <c r="BQ620" s="369">
        <f>BQ612/BM598-1</f>
      </c>
      <c r="BR620" s="369">
        <f>BR612/BO598-1</f>
      </c>
      <c r="BS620" s="988">
        <f>BR620</f>
      </c>
      <c r="BT620" s="686">
        <f>BT612/BP598-1</f>
      </c>
      <c r="BU620" s="369"/>
      <c r="BV620" s="369"/>
      <c r="BW620" s="369"/>
      <c r="BX620" s="988"/>
      <c r="BY620" s="369"/>
      <c r="BZ620" s="369"/>
      <c r="CA620" s="369"/>
      <c r="CB620" s="369"/>
      <c r="CC620" s="988"/>
      <c r="CD620" s="988"/>
      <c r="CE620" s="988"/>
      <c r="CF620" s="988"/>
      <c r="CG620" s="757"/>
    </row>
    <row r="621" spans="1:85" s="587" customFormat="1" ht="15" hidden="1" customHeight="1" outlineLevel="2" collapsed="1" x14ac:dyDescent="0.3">
      <c r="A621" s="69" t="s">
        <v>2359</v>
      </c>
      <c r="B621" s="770"/>
      <c r="C621" s="935"/>
      <c r="D621" s="935"/>
      <c r="E621" s="935"/>
      <c r="F621" s="935"/>
      <c r="G621" s="58"/>
      <c r="H621" s="58"/>
      <c r="I621" s="58"/>
      <c r="J621" s="58"/>
      <c r="K621" s="935"/>
      <c r="L621" s="58"/>
      <c r="M621" s="58"/>
      <c r="N621" s="58"/>
      <c r="O621" s="58"/>
      <c r="P621" s="935"/>
      <c r="Q621" s="58"/>
      <c r="R621" s="58"/>
      <c r="S621" s="58"/>
      <c r="T621" s="58"/>
      <c r="U621" s="935"/>
      <c r="V621" s="58"/>
      <c r="W621" s="58"/>
      <c r="X621" s="58"/>
      <c r="Y621" s="58"/>
      <c r="Z621" s="935"/>
      <c r="AA621" s="58"/>
      <c r="AB621" s="58"/>
      <c r="AC621" s="58"/>
      <c r="AD621" s="58" t="str">
        <f>IFERROR(AD613/AA598-1,"N/A")</f>
      </c>
      <c r="AE621" s="935" t="str">
        <f>IFERROR(AE613/AA598-1,"N/A")</f>
      </c>
      <c r="AF621" s="58" t="str">
        <f>IFERROR(AF613/AB598-1,"N/A")</f>
      </c>
      <c r="AG621" s="58">
        <f>AG613/AC598-1</f>
      </c>
      <c r="AH621" s="58">
        <f>AH613/AD598-1</f>
      </c>
      <c r="AI621" s="58">
        <f>AI613/AF598-1</f>
      </c>
      <c r="AJ621" s="935">
        <f>AJ613/AF598-1</f>
      </c>
      <c r="AK621" s="58">
        <f>AK613/AG598-1</f>
      </c>
      <c r="AL621" s="58">
        <f>AL613/AH598-1</f>
      </c>
      <c r="AM621" s="58">
        <f>AM613/AI598-1</f>
      </c>
      <c r="AN621" s="58">
        <f>AN613/AK598-1</f>
      </c>
      <c r="AO621" s="935">
        <f>AO613/AK598-1</f>
      </c>
      <c r="AP621" s="58">
        <f>AP613/AL598-1</f>
      </c>
      <c r="AQ621" s="58">
        <f>AQ613/AM598-1</f>
      </c>
      <c r="AR621" s="58">
        <f>AR613/AN598-1</f>
      </c>
      <c r="AS621" s="58">
        <f>AS613/AP598-1</f>
      </c>
      <c r="AT621" s="935">
        <f>AT613/AP598-1</f>
      </c>
      <c r="AU621" s="58">
        <f>AU613/AQ598-1</f>
      </c>
      <c r="AV621" s="58">
        <f>AV613/AR598-1</f>
      </c>
      <c r="AW621" s="58">
        <f>AW613/AS598-1</f>
      </c>
      <c r="AX621" s="58">
        <f>AX613/AU598-1</f>
      </c>
      <c r="AY621" s="935">
        <f>AY613/AU598-1</f>
      </c>
      <c r="AZ621" s="58">
        <f>AZ613/AV598-1</f>
      </c>
      <c r="BA621" s="58">
        <f>BA613/AW598-1</f>
      </c>
      <c r="BB621" s="58">
        <f>BB613/AX598-1</f>
      </c>
      <c r="BC621" s="58">
        <f>BC613/AZ598-1</f>
      </c>
      <c r="BD621" s="935">
        <f>BD613/AZ598-1</f>
      </c>
      <c r="BE621" s="58">
        <f>BE613/BA598-1</f>
      </c>
      <c r="BF621" s="58">
        <f>BF613/BB598-1</f>
      </c>
      <c r="BG621" s="58">
        <f>BG613/BC598-1</f>
      </c>
      <c r="BH621" s="58">
        <f>BH613/BE598-1</f>
      </c>
      <c r="BI621" s="935">
        <f>BI613/BE598-1</f>
      </c>
      <c r="BJ621" s="58">
        <f>BJ613/BF598-1</f>
      </c>
      <c r="BK621" s="58">
        <f>BK613/BG598-1</f>
      </c>
      <c r="BL621" s="58">
        <f>BL613/BH598-1</f>
      </c>
      <c r="BM621" s="58">
        <f>BM613/BJ598-1</f>
      </c>
      <c r="BN621" s="935">
        <f>BN613/BJ598-1</f>
      </c>
      <c r="BO621" s="58">
        <f>BO613/BK598-1</f>
      </c>
      <c r="BP621" s="58">
        <f>BP613/BL598-1</f>
      </c>
      <c r="BQ621" s="58">
        <f>BQ613/BM598-1</f>
      </c>
      <c r="BR621" s="58">
        <f>BR613/BO598-1</f>
      </c>
      <c r="BS621" s="935">
        <f>BS613/BO598-1</f>
      </c>
      <c r="BT621" s="669">
        <f>BT613/BP598-1</f>
      </c>
      <c r="BU621" s="58"/>
      <c r="BV621" s="58"/>
      <c r="BW621" s="58"/>
      <c r="BX621" s="935"/>
      <c r="BY621" s="58"/>
      <c r="BZ621" s="58"/>
      <c r="CA621" s="58"/>
      <c r="CB621" s="58"/>
      <c r="CC621" s="935"/>
      <c r="CD621" s="935"/>
      <c r="CE621" s="935"/>
      <c r="CF621" s="935"/>
      <c r="CG621" s="757"/>
    </row>
    <row r="622" spans="1:85" s="587" customFormat="1" ht="15" hidden="1" customHeight="1" outlineLevel="2" x14ac:dyDescent="0.3">
      <c r="A622" s="558"/>
      <c r="B622" s="414"/>
      <c r="C622" s="962"/>
      <c r="D622" s="962"/>
      <c r="E622" s="962"/>
      <c r="F622" s="962"/>
      <c r="G622" s="757"/>
      <c r="H622" s="757"/>
      <c r="I622" s="757"/>
      <c r="J622" s="757"/>
      <c r="K622" s="962"/>
      <c r="L622" s="757"/>
      <c r="M622" s="757"/>
      <c r="N622" s="757"/>
      <c r="O622" s="757"/>
      <c r="P622" s="962"/>
      <c r="Q622" s="757"/>
      <c r="R622" s="757"/>
      <c r="S622" s="757"/>
      <c r="T622" s="757"/>
      <c r="U622" s="962"/>
      <c r="V622" s="757"/>
      <c r="W622" s="757"/>
      <c r="X622" s="757"/>
      <c r="Y622" s="757"/>
      <c r="Z622" s="962"/>
      <c r="AA622" s="757"/>
      <c r="AB622" s="757"/>
      <c r="AC622" s="757"/>
      <c r="AD622" s="757"/>
      <c r="AE622" s="962"/>
      <c r="AF622" s="757"/>
      <c r="AG622" s="757"/>
      <c r="AH622" s="757"/>
      <c r="AI622" s="757"/>
      <c r="AJ622" s="962"/>
      <c r="AK622" s="757"/>
      <c r="AL622" s="757"/>
      <c r="AM622" s="757"/>
      <c r="AN622" s="757"/>
      <c r="AO622" s="962"/>
      <c r="AP622" s="757"/>
      <c r="AQ622" s="757"/>
      <c r="AR622" s="757"/>
      <c r="AS622" s="757"/>
      <c r="AT622" s="962"/>
      <c r="AU622" s="757"/>
      <c r="AV622" s="757"/>
      <c r="AW622" s="757"/>
      <c r="AX622" s="757"/>
      <c r="AY622" s="962"/>
      <c r="AZ622" s="757"/>
      <c r="BA622" s="757"/>
      <c r="BB622" s="757"/>
      <c r="BC622" s="757"/>
      <c r="BD622" s="962"/>
      <c r="BE622" s="757"/>
      <c r="BF622" s="757"/>
      <c r="BG622" s="757"/>
      <c r="BH622" s="757"/>
      <c r="BI622" s="962"/>
      <c r="BJ622" s="757"/>
      <c r="BK622" s="757"/>
      <c r="BL622" s="757"/>
      <c r="BM622" s="757"/>
      <c r="BN622" s="962"/>
      <c r="BO622" s="757"/>
      <c r="BP622" s="757"/>
      <c r="BQ622" s="757"/>
      <c r="BR622" s="757"/>
      <c r="BS622" s="962"/>
      <c r="BT622" s="758"/>
      <c r="BU622" s="757"/>
      <c r="BV622" s="757"/>
      <c r="BW622" s="757"/>
      <c r="BX622" s="962"/>
      <c r="BY622" s="757"/>
      <c r="BZ622" s="757"/>
      <c r="CA622" s="757"/>
      <c r="CB622" s="757"/>
      <c r="CC622" s="962"/>
      <c r="CD622" s="962"/>
      <c r="CE622" s="962"/>
      <c r="CF622" s="962"/>
      <c r="CG622" s="757"/>
    </row>
    <row r="623" spans="1:85" s="587" customFormat="1" ht="15" hidden="1" customHeight="1" outlineLevel="2" x14ac:dyDescent="0.3">
      <c r="A623" s="69" t="s">
        <v>2354</v>
      </c>
      <c r="B623" s="770"/>
      <c r="C623" s="935"/>
      <c r="D623" s="935"/>
      <c r="E623" s="935"/>
      <c r="F623" s="935"/>
      <c r="G623" s="58"/>
      <c r="H623" s="58"/>
      <c r="I623" s="58"/>
      <c r="J623" s="58"/>
      <c r="K623" s="935"/>
      <c r="L623" s="58"/>
      <c r="M623" s="58"/>
      <c r="N623" s="58"/>
      <c r="O623" s="58"/>
      <c r="P623" s="935"/>
      <c r="Q623" s="58"/>
      <c r="R623" s="58"/>
      <c r="S623" s="58"/>
      <c r="T623" s="58"/>
      <c r="U623" s="935"/>
      <c r="V623" s="58"/>
      <c r="W623" s="58"/>
      <c r="X623" s="58"/>
      <c r="Y623" s="58"/>
      <c r="Z623" s="935"/>
      <c r="AA623" s="58"/>
      <c r="AB623" s="58"/>
      <c r="AC623" s="58"/>
      <c r="AD623" s="58"/>
      <c r="AE623" s="935"/>
      <c r="AF623" s="58" t="str">
        <f>IFERROR(IF(AJ593="","",AJ593/AE598-1),"")</f>
      </c>
      <c r="AG623" s="58" t="str">
        <f>IFERROR(IF(AJ594="","",AJ594/AE598-1),"")</f>
      </c>
      <c r="AH623" s="58" t="str">
        <f>IFERROR(IF(AJ595="","",AJ595/AE598-1),"")</f>
      </c>
      <c r="AI623" s="58" t="str">
        <f>IFERROR(IF(AJ596="","",AJ596/AE598-1),"")</f>
      </c>
      <c r="AJ623" s="935" t="str">
        <f>IFERROR(IF(AJ596="","",AJ596/AE598-1),"")</f>
      </c>
      <c r="AK623" s="58" t="str">
        <f>IFERROR(IF(AO593="","",AO593/AJ598-1),"")</f>
      </c>
      <c r="AL623" s="58" t="str">
        <f>IFERROR(IF(AO594="","",AO594/AJ598-1),"")</f>
      </c>
      <c r="AM623" s="58" t="str">
        <f>IFERROR(IF(AO595="","",AO595/AJ598-1),"")</f>
      </c>
      <c r="AN623" s="58" t="str">
        <f>IFERROR(IF(AO596="","",AO596/AJ598-1),"")</f>
      </c>
      <c r="AO623" s="935" t="str">
        <f>IFERROR(IF(AO596="","",AO596/AJ598-1),"")</f>
      </c>
      <c r="AP623" s="58" t="str">
        <f>IFERROR(IF(AT593="","",AT593/AO598-1),"")</f>
      </c>
      <c r="AQ623" s="58" t="str">
        <f>IFERROR(IF(AT594="","",AT594/AO598-1),"")</f>
      </c>
      <c r="AR623" s="58" t="str">
        <f>IFERROR(IF(AT595="","",AT595/AO598-1),"")</f>
      </c>
      <c r="AS623" s="58" t="str">
        <f>IFERROR(IF(AT596="","",AT596/AO598-1),"")</f>
      </c>
      <c r="AT623" s="935" t="str">
        <f>IFERROR(IF(AT596="","",AT596/AO598-1),"")</f>
      </c>
      <c r="AU623" s="58" t="str">
        <f>IFERROR(IF(AY593="","",AY593/AT598-1),"")</f>
      </c>
      <c r="AV623" s="58" t="str">
        <f>IFERROR(IF(AY594="","",AY594/AT598-1),"")</f>
      </c>
      <c r="AW623" s="58" t="str">
        <f>IFERROR(IF(AY595="","",AY595/AT598-1),"")</f>
      </c>
      <c r="AX623" s="58" t="str">
        <f>IFERROR(IF(AY596="","",AY596/AT598-1),"")</f>
      </c>
      <c r="AY623" s="935" t="str">
        <f>IFERROR(IF(AY596="","",AY596/AT598-1),"")</f>
      </c>
      <c r="AZ623" s="58" t="str">
        <f>IFERROR(IF(BD593="","",BD593/AY598-1),"")</f>
      </c>
      <c r="BA623" s="58" t="str">
        <f>IFERROR(IF(BD594="","",BD594/AY598-1),"")</f>
      </c>
      <c r="BB623" s="58" t="str">
        <f>IFERROR(IF(BD595="","",BD595/AY598-1),"")</f>
      </c>
      <c r="BC623" s="58" t="str">
        <f>IFERROR(IF(BD596="","",BD596/AY598-1),"")</f>
      </c>
      <c r="BD623" s="935" t="str">
        <f>IFERROR(IF(BD596="","",BD596/AY598-1),"")</f>
      </c>
      <c r="BE623" s="58" t="str">
        <f>IFERROR(IF(BI593="","",BI593/BD598-1),"")</f>
      </c>
      <c r="BF623" s="58" t="str">
        <f>IFERROR(IF(BI594="","",BI594/BD598-1),"")</f>
      </c>
      <c r="BG623" s="58" t="str">
        <f>IFERROR(IF(BI595="","",BI595/BD598-1),"")</f>
      </c>
      <c r="BH623" s="58" t="str">
        <f>IFERROR(IF(BI596="","",BI596/BD598-1),"")</f>
      </c>
      <c r="BI623" s="935" t="str">
        <f>IFERROR(IF(BI596="","",BI596/BD598-1),"")</f>
      </c>
      <c r="BJ623" s="58" t="str">
        <f>IFERROR(IF(BN593="","",BN593/BI598-1),"")</f>
      </c>
      <c r="BK623" s="58" t="str">
        <f>IFERROR(IF(BN594="","",BN594/BI598-1),"")</f>
      </c>
      <c r="BL623" s="58" t="str">
        <f>IFERROR(IF(BN595="","",BN595/BI598-1),"")</f>
      </c>
      <c r="BM623" s="58" t="str">
        <f>IFERROR(IF(BN596="","",BN596/BI598-1),"")</f>
      </c>
      <c r="BN623" s="935" t="str">
        <f>IFERROR(IF(BN596="","",BN596/BI598-1),"")</f>
      </c>
      <c r="BO623" s="58">
        <f>IFERROR(IF(BS593="","",BS593/BN598-1),"")</f>
      </c>
      <c r="BP623" s="58">
        <f>IFERROR(IF(BS594="","",BS594/BN598-1),"")</f>
      </c>
      <c r="BQ623" s="58">
        <f>IFERROR(IF(BS595="","",BS595/BN598-1),"")</f>
      </c>
      <c r="BR623" s="58">
        <f>IFERROR(IF(BS596="","",BS596/BN598-1),"")</f>
      </c>
      <c r="BS623" s="935">
        <f>IFERROR(IF(BS596="","",BS596/BN598-1),"")</f>
      </c>
      <c r="BT623" s="669">
        <f>IFERROR(IF(BX593="","",BX593/BS598-1),"")</f>
      </c>
      <c r="BU623" s="58">
        <f>IFERROR(IF(BX594="","",BX594/BS598-1),"")</f>
      </c>
      <c r="BV623" s="58" t="str">
        <f>IFERROR(IF(BX595="","",BX595/BS598-1),"")</f>
      </c>
      <c r="BW623" s="58" t="str">
        <f>IFERROR(IF(BX596="","",BX596/BS598-1),"")</f>
      </c>
      <c r="BX623" s="935" t="str">
        <f>IFERROR(IF(BX596="","",BX596/BS598-1),"")</f>
      </c>
      <c r="BY623" s="58" t="str">
        <f>IFERROR(IF(CC593="","",CC593/BX598-1),"")</f>
      </c>
      <c r="BZ623" s="58" t="str">
        <f>IFERROR(IF(CC594="","",CC594/BX598-1),"")</f>
      </c>
      <c r="CA623" s="58" t="str">
        <f>IFERROR(IF(CC595="","",CC595/BX598-1),"")</f>
      </c>
      <c r="CB623" s="58" t="str">
        <f>IFERROR(IF(CC596="","",CC596/BX598-1),"")</f>
      </c>
      <c r="CC623" s="935" t="str">
        <f>IFERROR(IF(CC596="","",CC596/BX598-1),"")</f>
      </c>
      <c r="CD623" s="935"/>
      <c r="CE623" s="935"/>
      <c r="CF623" s="935"/>
      <c r="CG623" s="757"/>
    </row>
    <row r="624" spans="1:85" s="587" customFormat="1" ht="15" hidden="1" customHeight="1" outlineLevel="2" x14ac:dyDescent="0.3">
      <c r="A624" s="365" t="s">
        <v>2355</v>
      </c>
      <c r="B624" s="563"/>
      <c r="C624" s="988"/>
      <c r="D624" s="988"/>
      <c r="E624" s="988"/>
      <c r="F624" s="988"/>
      <c r="G624" s="369"/>
      <c r="H624" s="369"/>
      <c r="I624" s="369"/>
      <c r="J624" s="369"/>
      <c r="K624" s="988"/>
      <c r="L624" s="369"/>
      <c r="M624" s="369"/>
      <c r="N624" s="369"/>
      <c r="O624" s="369"/>
      <c r="P624" s="988"/>
      <c r="Q624" s="369"/>
      <c r="R624" s="369"/>
      <c r="S624" s="369"/>
      <c r="T624" s="369"/>
      <c r="U624" s="988"/>
      <c r="V624" s="369"/>
      <c r="W624" s="369"/>
      <c r="X624" s="369"/>
      <c r="Y624" s="369"/>
      <c r="Z624" s="988"/>
      <c r="AA624" s="369"/>
      <c r="AB624" s="369"/>
      <c r="AC624" s="369"/>
      <c r="AD624" s="369"/>
      <c r="AE624" s="988"/>
      <c r="AF624" s="369" t="str">
        <f>IFERROR(IF(AJ593="","",(AJ598-AJ593)/AE598),"")</f>
      </c>
      <c r="AG624" s="369" t="str">
        <f>IFERROR(IF(AJ594="","",(AJ598-AJ594)/AE598),"")</f>
      </c>
      <c r="AH624" s="369" t="str">
        <f>IFERROR(IF(AJ595="","",(AJ598-AJ595)/AE598),"")</f>
      </c>
      <c r="AI624" s="369" t="str">
        <f>IFERROR(IF(AJ596="","",(AJ598-AJ596)/AE598),"")</f>
      </c>
      <c r="AJ624" s="988" t="str">
        <f>IFERROR(IF(AJ596="","",(AJ598-AJ596)/AE598),"")</f>
      </c>
      <c r="AK624" s="369" t="str">
        <f>IFERROR(IF(AO593="","",(AO598-AO593)/AJ598),"")</f>
      </c>
      <c r="AL624" s="369" t="str">
        <f>IFERROR(IF(AO594="","",(AO598-AO594)/AJ598),"")</f>
      </c>
      <c r="AM624" s="369" t="str">
        <f>IFERROR(IF(AO595="","",(AO598-AO595)/AJ598),"")</f>
      </c>
      <c r="AN624" s="369" t="str">
        <f>IFERROR(IF(AO596="","",(AO598-AO596)/AJ598),"")</f>
      </c>
      <c r="AO624" s="988" t="str">
        <f>IFERROR(IF(AO596="","",(AO598-AO596)/AJ598),"")</f>
      </c>
      <c r="AP624" s="369" t="str">
        <f>IFERROR(IF(AT593="","",(AT598-AT593)/AO598),"")</f>
      </c>
      <c r="AQ624" s="369" t="str">
        <f>IFERROR(IF(AT594="","",(AT598-AT594)/AO598),"")</f>
      </c>
      <c r="AR624" s="369" t="str">
        <f>IFERROR(IF(AT595="","",(AT598-AT595)/AO598),"")</f>
      </c>
      <c r="AS624" s="369" t="str">
        <f>IFERROR(IF(AT596="","",(AT598-AT596)/AO598),"")</f>
      </c>
      <c r="AT624" s="988" t="str">
        <f>IFERROR(IF(AT596="","",(AT598-AT596)/AO598),"")</f>
      </c>
      <c r="AU624" s="369" t="str">
        <f>IFERROR(IF(AY593="","",(AY598-AY593)/AT598),"")</f>
      </c>
      <c r="AV624" s="369" t="str">
        <f>IFERROR(IF(AY594="","",(AY598-AY594)/AT598),"")</f>
      </c>
      <c r="AW624" s="369" t="str">
        <f>IFERROR(IF(AY595="","",(AY598-AY595)/AT598),"")</f>
      </c>
      <c r="AX624" s="369" t="str">
        <f>IFERROR(IF(AY596="","",(AY598-AY596)/AT598),"")</f>
      </c>
      <c r="AY624" s="988" t="str">
        <f>IFERROR(IF(AY596="","",(AY598-AY596)/AT598),"")</f>
      </c>
      <c r="AZ624" s="369" t="str">
        <f>IFERROR(IF(BD593="","",(BD598-BD593)/AY598),"")</f>
      </c>
      <c r="BA624" s="369" t="str">
        <f>IFERROR(IF(BD594="","",(BD598-BD594)/AY598),"")</f>
      </c>
      <c r="BB624" s="369" t="str">
        <f>IFERROR(IF(BD595="","",(BD598-BD595)/AY598),"")</f>
      </c>
      <c r="BC624" s="369" t="str">
        <f>IFERROR(IF(BD596="","",(BD598-BD596)/AY598),"")</f>
      </c>
      <c r="BD624" s="988" t="str">
        <f>IFERROR(IF(BD596="","",(BD598-BD596)/AY598),"")</f>
      </c>
      <c r="BE624" s="369" t="str">
        <f>IFERROR(IF(BI593="","",(BI598-BI593)/BD598),"")</f>
      </c>
      <c r="BF624" s="369" t="str">
        <f>IFERROR(IF(BI594="","",(BI598-BI594)/BD598),"")</f>
      </c>
      <c r="BG624" s="369" t="str">
        <f>IFERROR(IF(BI595="","",(BI598-BI595)/BD598),"")</f>
      </c>
      <c r="BH624" s="369" t="str">
        <f>IFERROR(IF(BI596="","",(BI598-BI596)/BD598),"")</f>
      </c>
      <c r="BI624" s="988" t="str">
        <f>IFERROR(IF(BI596="","",(BI598-BI596)/BD598),"")</f>
      </c>
      <c r="BJ624" s="369" t="str">
        <f>IFERROR(IF(BN593="","",(BN598-BN593)/BI598),"")</f>
      </c>
      <c r="BK624" s="369" t="str">
        <f>IFERROR(IF(BN594="","",(BN598-BN594)/BI598),"")</f>
      </c>
      <c r="BL624" s="369" t="str">
        <f>IFERROR(IF(BN595="","",(BN598-BN595)/BI598),"")</f>
      </c>
      <c r="BM624" s="369" t="str">
        <f>IFERROR(IF(BN596="","",(BN598-BN596)/BI598),"")</f>
      </c>
      <c r="BN624" s="988" t="str">
        <f>IFERROR(IF(BN596="","",(BN598-BN596)/BI598),"")</f>
      </c>
      <c r="BO624" s="369">
        <f>IFERROR(IF(BS593="","",(BS598-BS593)/BN598),"")</f>
      </c>
      <c r="BP624" s="369">
        <f>IFERROR(IF(BS594="","",(BS598-BS594)/BN598),"")</f>
      </c>
      <c r="BQ624" s="369">
        <f>IFERROR(IF(BS595="","",(BS598-BS595)/BN598),"")</f>
      </c>
      <c r="BR624" s="369">
        <f>IFERROR(IF(BS596="","",(BS598-BS596)/BN598),"")</f>
      </c>
      <c r="BS624" s="988">
        <f>IFERROR(IF(BS596="","",(BS598-BS596)/BN598),"")</f>
      </c>
      <c r="BT624" s="686">
        <f>IFERROR(IF(BX593="","",(BX598-BX593)/BS598),"")</f>
      </c>
      <c r="BU624" s="369">
        <f>IFERROR(IF(BX594="","",(BX598-BX594)/BS598),"")</f>
      </c>
      <c r="BV624" s="369" t="str">
        <f>IFERROR(IF(BX595="","",(BX598-BX595)/BS598),"")</f>
      </c>
      <c r="BW624" s="369" t="str">
        <f>IFERROR(IF(BX596="","",(BX598-BX596)/BS598),"")</f>
      </c>
      <c r="BX624" s="988" t="str">
        <f>IFERROR(IF(BX596="","",(BX598-BX596)/BS598),"")</f>
      </c>
      <c r="BY624" s="369" t="str">
        <f>IFERROR(IF(CC593="","",(CC598-CC593)/BX598),"")</f>
      </c>
      <c r="BZ624" s="369" t="str">
        <f>IFERROR(IF(CC594="","",(CC598-CC594)/BX598),"")</f>
      </c>
      <c r="CA624" s="369" t="str">
        <f>IFERROR(IF(CC595="","",(CC598-CC595)/BX598),"")</f>
      </c>
      <c r="CB624" s="369" t="str">
        <f>IFERROR(IF(CC596="","",(CC598-CC596)/BX598),"")</f>
      </c>
      <c r="CC624" s="988" t="str">
        <f>IFERROR(IF(CC596="","",(CC598-CC596)/BX598),"")</f>
      </c>
      <c r="CD624" s="988"/>
      <c r="CE624" s="988"/>
      <c r="CF624" s="988"/>
      <c r="CG624" s="757"/>
    </row>
    <row r="625" spans="1:85" s="587" customFormat="1" ht="15" hidden="1" customHeight="1" outlineLevel="2" x14ac:dyDescent="0.3">
      <c r="A625" s="566" t="s">
        <v>2356</v>
      </c>
      <c r="B625" s="564"/>
      <c r="C625" s="1034"/>
      <c r="D625" s="1034">
        <f>D598/C598-1</f>
      </c>
      <c r="E625" s="1034">
        <f>E598/D598-1</f>
      </c>
      <c r="F625" s="1034">
        <f>F598/E598-1</f>
      </c>
      <c r="G625" s="565">
        <f>K598/F598-1</f>
      </c>
      <c r="H625" s="565">
        <f>K598/F598-1</f>
      </c>
      <c r="I625" s="565">
        <f>K598/F598-1</f>
      </c>
      <c r="J625" s="565">
        <f>K598/F598-1</f>
      </c>
      <c r="K625" s="1034">
        <f>K598/F598-1</f>
      </c>
      <c r="L625" s="565">
        <f>P598/K598-1</f>
      </c>
      <c r="M625" s="565">
        <f>P598/K598-1</f>
      </c>
      <c r="N625" s="565">
        <f>P598/K598-1</f>
      </c>
      <c r="O625" s="565">
        <f>P598/K598-1</f>
      </c>
      <c r="P625" s="1034">
        <f>P598/K598-1</f>
      </c>
      <c r="Q625" s="565">
        <f>U598/P598-1</f>
      </c>
      <c r="R625" s="565">
        <f>U598/P598-1</f>
      </c>
      <c r="S625" s="565">
        <f>U598/P598-1</f>
      </c>
      <c r="T625" s="565">
        <f>U598/P598-1</f>
      </c>
      <c r="U625" s="1034">
        <f>U598/P598-1</f>
      </c>
      <c r="V625" s="565">
        <f>Z598/U598-1</f>
      </c>
      <c r="W625" s="565">
        <f>Z598/U598-1</f>
      </c>
      <c r="X625" s="565">
        <f>Z598/U598-1</f>
      </c>
      <c r="Y625" s="565">
        <f>Z598/U598-1</f>
      </c>
      <c r="Z625" s="1034">
        <f>Z598/U598-1</f>
      </c>
      <c r="AA625" s="565">
        <f>AE598/Z598-1</f>
      </c>
      <c r="AB625" s="565">
        <f>AE598/Z598-1</f>
      </c>
      <c r="AC625" s="565">
        <f>AE598/Z598-1</f>
      </c>
      <c r="AD625" s="565">
        <f>AE598/Z598-1</f>
      </c>
      <c r="AE625" s="1034">
        <f>AE598/Z598-1</f>
      </c>
      <c r="AF625" s="565">
        <f>AJ598/AE598-1</f>
      </c>
      <c r="AG625" s="565">
        <f>AJ598/AE598-1</f>
      </c>
      <c r="AH625" s="565">
        <f>AJ598/AE598-1</f>
      </c>
      <c r="AI625" s="565">
        <f>AJ598/AE598-1</f>
      </c>
      <c r="AJ625" s="1034">
        <f>AJ598/AE598-1</f>
      </c>
      <c r="AK625" s="565">
        <f>AO598/AJ598-1</f>
      </c>
      <c r="AL625" s="565">
        <f>AO598/AJ598-1</f>
      </c>
      <c r="AM625" s="565">
        <f>AO598/AJ598-1</f>
      </c>
      <c r="AN625" s="565">
        <f>AO598/AJ598-1</f>
      </c>
      <c r="AO625" s="1034">
        <f>AO598/AJ598-1</f>
      </c>
      <c r="AP625" s="565">
        <f>AT598/AO598-1</f>
      </c>
      <c r="AQ625" s="565">
        <f>AT598/AO598-1</f>
      </c>
      <c r="AR625" s="565">
        <f>AT598/AO598-1</f>
      </c>
      <c r="AS625" s="565">
        <f>AT598/AO598-1</f>
      </c>
      <c r="AT625" s="1034">
        <f>AT598/AO598-1</f>
      </c>
      <c r="AU625" s="565">
        <f>AY598/AT598-1</f>
      </c>
      <c r="AV625" s="565">
        <f>AY598/AT598-1</f>
      </c>
      <c r="AW625" s="565">
        <f>AY598/AT598-1</f>
      </c>
      <c r="AX625" s="565">
        <f>AY598/AT598-1</f>
      </c>
      <c r="AY625" s="1034">
        <f>AY598/AT598-1</f>
      </c>
      <c r="AZ625" s="565">
        <f>BD598/AY598-1</f>
      </c>
      <c r="BA625" s="565">
        <f>BD598/AY598-1</f>
      </c>
      <c r="BB625" s="565">
        <f>BD598/AY598-1</f>
      </c>
      <c r="BC625" s="565">
        <f>BD598/AY598-1</f>
      </c>
      <c r="BD625" s="1034">
        <f>BD598/AY598-1</f>
      </c>
      <c r="BE625" s="565">
        <f>BI598/BD598-1</f>
      </c>
      <c r="BF625" s="565">
        <f>BI598/BD598-1</f>
      </c>
      <c r="BG625" s="565">
        <f>BI598/BD598-1</f>
      </c>
      <c r="BH625" s="565">
        <f>BI598/BD598-1</f>
      </c>
      <c r="BI625" s="1034">
        <f>BI598/BD598-1</f>
      </c>
      <c r="BJ625" s="565">
        <f>BN598/BI598-1</f>
      </c>
      <c r="BK625" s="565">
        <f>BN598/BI598-1</f>
      </c>
      <c r="BL625" s="565">
        <f>BN598/BI598-1</f>
      </c>
      <c r="BM625" s="565">
        <f>BN598/BI598-1</f>
      </c>
      <c r="BN625" s="1034">
        <f>BN598/BI598-1</f>
      </c>
      <c r="BO625" s="565">
        <f>BS598/BN598-1</f>
      </c>
      <c r="BP625" s="565">
        <f>BS598/BN598-1</f>
      </c>
      <c r="BQ625" s="565">
        <f>BS598/BN598-1</f>
      </c>
      <c r="BR625" s="565">
        <f>BS598/BN598-1</f>
      </c>
      <c r="BS625" s="1034">
        <f>BS598/BN598-1</f>
      </c>
      <c r="BT625" s="702">
        <f>BX598/BS598-1</f>
      </c>
      <c r="BU625" s="565">
        <f>BX598/BS598-1</f>
      </c>
      <c r="BV625" s="565">
        <f>BX598/BS598-1</f>
      </c>
      <c r="BW625" s="565">
        <f>BX598/BS598-1</f>
      </c>
      <c r="BX625" s="1034">
        <f>BX598/BS598-1</f>
      </c>
      <c r="BY625" s="565">
        <f>CC598/BX598-1</f>
      </c>
      <c r="BZ625" s="565">
        <f>CC598/BX598-1</f>
      </c>
      <c r="CA625" s="565">
        <f>CC598/BX598-1</f>
      </c>
      <c r="CB625" s="565">
        <f>CC598/BX598-1</f>
      </c>
      <c r="CC625" s="1034">
        <f>CC598/BX598-1</f>
      </c>
      <c r="CD625" s="1034">
        <f>CD598/CC598-1</f>
      </c>
      <c r="CE625" s="1034">
        <f>CE598/CD598-1</f>
      </c>
      <c r="CF625" s="1034">
        <f>CF598/CE598-1</f>
      </c>
      <c r="CG625" s="757"/>
    </row>
    <row r="626" spans="1:85" s="587" customFormat="1" ht="15" hidden="1" customHeight="1" outlineLevel="2" x14ac:dyDescent="0.3">
      <c r="A626" s="558"/>
      <c r="B626" s="414"/>
      <c r="C626" s="962"/>
      <c r="D626" s="962"/>
      <c r="E626" s="962"/>
      <c r="F626" s="962"/>
      <c r="G626" s="757"/>
      <c r="H626" s="757"/>
      <c r="I626" s="757"/>
      <c r="J626" s="757"/>
      <c r="K626" s="962"/>
      <c r="L626" s="757"/>
      <c r="M626" s="757"/>
      <c r="N626" s="757"/>
      <c r="O626" s="757"/>
      <c r="P626" s="962"/>
      <c r="Q626" s="757"/>
      <c r="R626" s="757"/>
      <c r="S626" s="757"/>
      <c r="T626" s="757"/>
      <c r="U626" s="962"/>
      <c r="V626" s="757"/>
      <c r="W626" s="757"/>
      <c r="X626" s="757"/>
      <c r="Y626" s="757"/>
      <c r="Z626" s="962"/>
      <c r="AA626" s="757"/>
      <c r="AB626" s="757"/>
      <c r="AC626" s="757"/>
      <c r="AD626" s="757"/>
      <c r="AE626" s="962"/>
      <c r="AF626" s="757"/>
      <c r="AG626" s="757"/>
      <c r="AH626" s="757"/>
      <c r="AI626" s="757"/>
      <c r="AJ626" s="962"/>
      <c r="AK626" s="757"/>
      <c r="AL626" s="757"/>
      <c r="AM626" s="757"/>
      <c r="AN626" s="757"/>
      <c r="AO626" s="962"/>
      <c r="AP626" s="757"/>
      <c r="AQ626" s="757"/>
      <c r="AR626" s="757"/>
      <c r="AS626" s="757"/>
      <c r="AT626" s="962"/>
      <c r="AU626" s="757"/>
      <c r="AV626" s="757"/>
      <c r="AW626" s="757"/>
      <c r="AX626" s="757"/>
      <c r="AY626" s="962"/>
      <c r="AZ626" s="757"/>
      <c r="BA626" s="757"/>
      <c r="BB626" s="757"/>
      <c r="BC626" s="757"/>
      <c r="BD626" s="962"/>
      <c r="BE626" s="757"/>
      <c r="BF626" s="757"/>
      <c r="BG626" s="757"/>
      <c r="BH626" s="757"/>
      <c r="BI626" s="962"/>
      <c r="BJ626" s="757"/>
      <c r="BK626" s="757"/>
      <c r="BL626" s="757"/>
      <c r="BM626" s="757"/>
      <c r="BN626" s="962"/>
      <c r="BO626" s="757"/>
      <c r="BP626" s="757"/>
      <c r="BQ626" s="757"/>
      <c r="BR626" s="757"/>
      <c r="BS626" s="962"/>
      <c r="BT626" s="758"/>
      <c r="BU626" s="757"/>
      <c r="BV626" s="757"/>
      <c r="BW626" s="757"/>
      <c r="BX626" s="962"/>
      <c r="BY626" s="757"/>
      <c r="BZ626" s="757"/>
      <c r="CA626" s="757"/>
      <c r="CB626" s="757"/>
      <c r="CC626" s="962"/>
      <c r="CD626" s="962"/>
      <c r="CE626" s="962"/>
      <c r="CF626" s="962"/>
      <c r="CG626" s="757"/>
    </row>
    <row r="627" spans="1:85" s="587" customFormat="1" ht="15" hidden="1" customHeight="1" outlineLevel="2" x14ac:dyDescent="0.3">
      <c r="A627" s="562" t="s">
        <v>2281</v>
      </c>
      <c r="B627" s="560"/>
      <c r="C627" s="1036"/>
      <c r="D627" s="1036"/>
      <c r="E627" s="1036"/>
      <c r="F627" s="1036"/>
      <c r="G627" s="561"/>
      <c r="H627" s="561"/>
      <c r="I627" s="561"/>
      <c r="J627" s="561"/>
      <c r="K627" s="1036"/>
      <c r="L627" s="561"/>
      <c r="M627" s="561"/>
      <c r="N627" s="561"/>
      <c r="O627" s="561"/>
      <c r="P627" s="1036"/>
      <c r="Q627" s="561"/>
      <c r="R627" s="561"/>
      <c r="S627" s="561"/>
      <c r="T627" s="561"/>
      <c r="U627" s="1036"/>
      <c r="V627" s="561"/>
      <c r="W627" s="561"/>
      <c r="X627" s="561"/>
      <c r="Y627" s="561"/>
      <c r="Z627" s="1036"/>
      <c r="AA627" s="561"/>
      <c r="AB627" s="561"/>
      <c r="AC627" s="561"/>
      <c r="AD627" s="561" t="str">
        <f>AJ5</f>
      </c>
      <c r="AE627" s="1036" t="str">
        <f>AJ5</f>
      </c>
      <c r="AF627" s="561" t="str">
        <f>AJ5</f>
      </c>
      <c r="AG627" s="561" t="str">
        <f>AJ5</f>
      </c>
      <c r="AH627" s="561" t="str">
        <f>AJ5</f>
      </c>
      <c r="AI627" s="561" t="str">
        <f>AO5</f>
      </c>
      <c r="AJ627" s="1036" t="str">
        <f>AO5</f>
      </c>
      <c r="AK627" s="561" t="str">
        <f>AO5</f>
      </c>
      <c r="AL627" s="561" t="str">
        <f>AO5</f>
      </c>
      <c r="AM627" s="561" t="str">
        <f>AO5</f>
      </c>
      <c r="AN627" s="561" t="str">
        <f>AT5</f>
      </c>
      <c r="AO627" s="1036" t="str">
        <f>AT5</f>
      </c>
      <c r="AP627" s="561" t="str">
        <f>AT5</f>
      </c>
      <c r="AQ627" s="561" t="str">
        <f>AT5</f>
      </c>
      <c r="AR627" s="561" t="str">
        <f>AT5</f>
      </c>
      <c r="AS627" s="561" t="str">
        <f>AY5</f>
      </c>
      <c r="AT627" s="1036" t="str">
        <f>AY5</f>
      </c>
      <c r="AU627" s="561" t="str">
        <f>AY5</f>
      </c>
      <c r="AV627" s="561" t="str">
        <f>AY5</f>
      </c>
      <c r="AW627" s="561" t="str">
        <f>AY5</f>
      </c>
      <c r="AX627" s="561" t="str">
        <f>BD5</f>
      </c>
      <c r="AY627" s="1036" t="str">
        <f>BD5</f>
      </c>
      <c r="AZ627" s="561" t="str">
        <f>BD5</f>
      </c>
      <c r="BA627" s="561" t="str">
        <f>BD5</f>
      </c>
      <c r="BB627" s="561" t="str">
        <f>BD5</f>
      </c>
      <c r="BC627" s="561" t="str">
        <f>BI5</f>
      </c>
      <c r="BD627" s="1036" t="str">
        <f>BI5</f>
      </c>
      <c r="BE627" s="561" t="str">
        <f>BI5</f>
      </c>
      <c r="BF627" s="561" t="str">
        <f>BI5</f>
      </c>
      <c r="BG627" s="561" t="str">
        <f>BI5</f>
      </c>
      <c r="BH627" s="561" t="str">
        <f>BN5</f>
      </c>
      <c r="BI627" s="1036" t="str">
        <f>BN5</f>
      </c>
      <c r="BJ627" s="561" t="str">
        <f>BN5</f>
      </c>
      <c r="BK627" s="561" t="str">
        <f>BN5</f>
      </c>
      <c r="BL627" s="561" t="str">
        <f>BN5</f>
      </c>
      <c r="BM627" s="561" t="str">
        <f>BS5</f>
      </c>
      <c r="BN627" s="1036" t="str">
        <f>BS5</f>
      </c>
      <c r="BO627" s="561" t="str">
        <f>BS5</f>
      </c>
      <c r="BP627" s="561" t="str">
        <f>BS5</f>
      </c>
      <c r="BQ627" s="561" t="str">
        <f>BS5</f>
      </c>
      <c r="BR627" s="561" t="str">
        <f>BX5</f>
      </c>
      <c r="BS627" s="1036" t="str">
        <f>BX5</f>
      </c>
      <c r="BT627" s="704" t="str">
        <f>BX5</f>
      </c>
      <c r="BU627" s="561"/>
      <c r="BV627" s="561"/>
      <c r="BW627" s="561"/>
      <c r="BX627" s="1036"/>
      <c r="BY627" s="561"/>
      <c r="BZ627" s="561"/>
      <c r="CA627" s="561"/>
      <c r="CB627" s="561"/>
      <c r="CC627" s="1036"/>
      <c r="CD627" s="1036"/>
      <c r="CE627" s="1036"/>
      <c r="CF627" s="1036"/>
      <c r="CG627" s="757"/>
    </row>
    <row r="628" spans="1:85" s="587" customFormat="1" ht="15" hidden="1" customHeight="1" outlineLevel="3" x14ac:dyDescent="0.3">
      <c r="A628" s="436" t="s">
        <v>2343</v>
      </c>
      <c r="B628" s="414"/>
      <c r="C628" s="962"/>
      <c r="D628" s="962"/>
      <c r="E628" s="962"/>
      <c r="F628" s="962"/>
      <c r="G628" s="757"/>
      <c r="H628" s="757"/>
      <c r="I628" s="757"/>
      <c r="J628" s="757"/>
      <c r="K628" s="962"/>
      <c r="L628" s="757"/>
      <c r="M628" s="757"/>
      <c r="N628" s="757"/>
      <c r="O628" s="757"/>
      <c r="P628" s="962"/>
      <c r="Q628" s="757"/>
      <c r="R628" s="757"/>
      <c r="S628" s="757"/>
      <c r="T628" s="757"/>
      <c r="U628" s="962"/>
      <c r="V628" s="757"/>
      <c r="W628" s="757"/>
      <c r="X628" s="757"/>
      <c r="Y628" s="757"/>
      <c r="Z628" s="962"/>
      <c r="AA628" s="757"/>
      <c r="AB628" s="757"/>
      <c r="AC628" s="757"/>
      <c r="AD628" s="757" t="str">
        <f t="shared" ref="AD628:BN628" si="1130">AD1340</f>
      </c>
      <c r="AE628" s="962" t="str">
        <f t="shared" si="1130"/>
      </c>
      <c r="AF628" s="757" t="str">
        <f t="shared" si="1130"/>
      </c>
      <c r="AG628" s="757" t="str">
        <f t="shared" si="1130"/>
      </c>
      <c r="AH628" s="757" t="str">
        <f t="shared" si="1130"/>
      </c>
      <c r="AI628" s="757" t="str">
        <f t="shared" si="1130"/>
      </c>
      <c r="AJ628" s="962" t="str">
        <f t="shared" si="1130"/>
      </c>
      <c r="AK628" s="757" t="str">
        <f t="shared" si="1130"/>
      </c>
      <c r="AL628" s="757" t="str">
        <f t="shared" si="1130"/>
      </c>
      <c r="AM628" s="757" t="str">
        <f t="shared" si="1130"/>
      </c>
      <c r="AN628" s="757" t="str">
        <f t="shared" si="1130"/>
      </c>
      <c r="AO628" s="962" t="str">
        <f t="shared" si="1130"/>
      </c>
      <c r="AP628" s="757" t="str">
        <f t="shared" si="1130"/>
      </c>
      <c r="AQ628" s="757" t="str">
        <f t="shared" si="1130"/>
      </c>
      <c r="AR628" s="757" t="str">
        <f t="shared" si="1130"/>
      </c>
      <c r="AS628" s="757" t="str">
        <f t="shared" si="1130"/>
      </c>
      <c r="AT628" s="962" t="str">
        <f t="shared" si="1130"/>
      </c>
      <c r="AU628" s="757" t="str">
        <f t="shared" si="1130"/>
      </c>
      <c r="AV628" s="757" t="str">
        <f t="shared" si="1130"/>
      </c>
      <c r="AW628" s="757" t="str">
        <f t="shared" si="1130"/>
      </c>
      <c r="AX628" s="757" t="str">
        <f t="shared" si="1130"/>
      </c>
      <c r="AY628" s="962" t="str">
        <f t="shared" si="1130"/>
      </c>
      <c r="AZ628" s="757" t="str">
        <f t="shared" si="1130"/>
      </c>
      <c r="BA628" s="757" t="str">
        <f t="shared" si="1130"/>
      </c>
      <c r="BB628" s="757" t="str">
        <f t="shared" si="1130"/>
      </c>
      <c r="BC628" s="757" t="str">
        <f t="shared" si="1130"/>
      </c>
      <c r="BD628" s="962" t="str">
        <f t="shared" si="1130"/>
      </c>
      <c r="BE628" s="757" t="str">
        <f t="shared" si="1130"/>
      </c>
      <c r="BF628" s="757" t="str">
        <f t="shared" si="1130"/>
      </c>
      <c r="BG628" s="757" t="str">
        <f t="shared" si="1130"/>
      </c>
      <c r="BH628" s="757" t="str">
        <f t="shared" si="1130"/>
      </c>
      <c r="BI628" s="962" t="str">
        <f t="shared" si="1130"/>
      </c>
      <c r="BJ628" s="757" t="str">
        <f t="shared" si="1130"/>
      </c>
      <c r="BK628" s="757" t="str">
        <f t="shared" si="1130"/>
      </c>
      <c r="BL628" s="757" t="str">
        <f t="shared" si="1130"/>
      </c>
      <c r="BM628" s="757">
        <f t="shared" si="1130"/>
      </c>
      <c r="BN628" s="962">
        <f t="shared" si="1130"/>
      </c>
      <c r="BO628" s="757">
        <f t="shared" ref="BO628:BO629" si="1131">BO1340</f>
      </c>
      <c r="BP628" s="757">
        <f t="shared" ref="BP628:BS629" si="1132">BP1340</f>
      </c>
      <c r="BQ628" s="757">
        <f t="shared" si="1132"/>
      </c>
      <c r="BR628" s="757">
        <f t="shared" si="1132"/>
      </c>
      <c r="BS628" s="962">
        <f t="shared" si="1132"/>
      </c>
      <c r="BT628" s="758">
        <f>BT1340</f>
      </c>
      <c r="BU628" s="757"/>
      <c r="BV628" s="757"/>
      <c r="BW628" s="757"/>
      <c r="BX628" s="962"/>
      <c r="BY628" s="757"/>
      <c r="BZ628" s="757"/>
      <c r="CA628" s="757"/>
      <c r="CB628" s="757"/>
      <c r="CC628" s="962"/>
      <c r="CD628" s="962"/>
      <c r="CE628" s="962"/>
      <c r="CF628" s="962"/>
      <c r="CG628" s="757"/>
    </row>
    <row r="629" spans="1:85" s="587" customFormat="1" ht="15" hidden="1" customHeight="1" outlineLevel="3" x14ac:dyDescent="0.3">
      <c r="A629" s="554" t="s">
        <v>2344</v>
      </c>
      <c r="B629" s="416"/>
      <c r="C629" s="984"/>
      <c r="D629" s="984"/>
      <c r="E629" s="984"/>
      <c r="F629" s="984"/>
      <c r="G629" s="761"/>
      <c r="H629" s="761"/>
      <c r="I629" s="761"/>
      <c r="J629" s="761"/>
      <c r="K629" s="984"/>
      <c r="L629" s="761"/>
      <c r="M629" s="761"/>
      <c r="N629" s="761"/>
      <c r="O629" s="761"/>
      <c r="P629" s="984"/>
      <c r="Q629" s="761"/>
      <c r="R629" s="761"/>
      <c r="S629" s="761"/>
      <c r="T629" s="761"/>
      <c r="U629" s="984"/>
      <c r="V629" s="761"/>
      <c r="W629" s="761"/>
      <c r="X629" s="761"/>
      <c r="Y629" s="761"/>
      <c r="Z629" s="984"/>
      <c r="AA629" s="761"/>
      <c r="AB629" s="761"/>
      <c r="AC629" s="761"/>
      <c r="AD629" s="761" t="str">
        <f t="shared" ref="AD629:BN629" si="1133">AD1341</f>
      </c>
      <c r="AE629" s="984" t="str">
        <f t="shared" si="1133"/>
      </c>
      <c r="AF629" s="761" t="str">
        <f t="shared" si="1133"/>
      </c>
      <c r="AG629" s="761" t="str">
        <f t="shared" si="1133"/>
      </c>
      <c r="AH629" s="761" t="str">
        <f t="shared" si="1133"/>
      </c>
      <c r="AI629" s="761" t="str">
        <f t="shared" si="1133"/>
      </c>
      <c r="AJ629" s="984" t="str">
        <f t="shared" si="1133"/>
      </c>
      <c r="AK629" s="761" t="str">
        <f t="shared" si="1133"/>
      </c>
      <c r="AL629" s="761" t="str">
        <f t="shared" si="1133"/>
      </c>
      <c r="AM629" s="761" t="str">
        <f t="shared" si="1133"/>
      </c>
      <c r="AN629" s="761" t="str">
        <f t="shared" si="1133"/>
      </c>
      <c r="AO629" s="984" t="str">
        <f t="shared" si="1133"/>
      </c>
      <c r="AP629" s="761" t="str">
        <f t="shared" si="1133"/>
      </c>
      <c r="AQ629" s="761" t="str">
        <f t="shared" si="1133"/>
      </c>
      <c r="AR629" s="761" t="str">
        <f t="shared" si="1133"/>
      </c>
      <c r="AS629" s="761" t="str">
        <f t="shared" si="1133"/>
      </c>
      <c r="AT629" s="984" t="str">
        <f t="shared" si="1133"/>
      </c>
      <c r="AU629" s="761" t="str">
        <f t="shared" si="1133"/>
      </c>
      <c r="AV629" s="761" t="str">
        <f t="shared" si="1133"/>
      </c>
      <c r="AW629" s="761" t="str">
        <f t="shared" si="1133"/>
      </c>
      <c r="AX629" s="761" t="str">
        <f t="shared" si="1133"/>
      </c>
      <c r="AY629" s="984" t="str">
        <f t="shared" si="1133"/>
      </c>
      <c r="AZ629" s="761" t="str">
        <f t="shared" si="1133"/>
      </c>
      <c r="BA629" s="761" t="str">
        <f t="shared" si="1133"/>
      </c>
      <c r="BB629" s="761" t="str">
        <f t="shared" si="1133"/>
      </c>
      <c r="BC629" s="761" t="str">
        <f t="shared" si="1133"/>
      </c>
      <c r="BD629" s="984" t="str">
        <f t="shared" si="1133"/>
      </c>
      <c r="BE629" s="761" t="str">
        <f t="shared" si="1133"/>
      </c>
      <c r="BF629" s="761" t="str">
        <f t="shared" si="1133"/>
      </c>
      <c r="BG629" s="761" t="str">
        <f t="shared" si="1133"/>
      </c>
      <c r="BH629" s="761" t="str">
        <f t="shared" si="1133"/>
      </c>
      <c r="BI629" s="984" t="str">
        <f t="shared" si="1133"/>
      </c>
      <c r="BJ629" s="761" t="str">
        <f t="shared" si="1133"/>
      </c>
      <c r="BK629" s="761" t="str">
        <f t="shared" si="1133"/>
      </c>
      <c r="BL629" s="761" t="str">
        <f t="shared" si="1133"/>
      </c>
      <c r="BM629" s="761">
        <f t="shared" si="1133"/>
      </c>
      <c r="BN629" s="984">
        <f t="shared" si="1133"/>
      </c>
      <c r="BO629" s="761">
        <f t="shared" si="1131"/>
      </c>
      <c r="BP629" s="761">
        <f t="shared" si="1132"/>
      </c>
      <c r="BQ629" s="761">
        <f t="shared" si="1132"/>
      </c>
      <c r="BR629" s="761">
        <f t="shared" si="1132"/>
      </c>
      <c r="BS629" s="984">
        <f t="shared" si="1132"/>
      </c>
      <c r="BT629" s="762">
        <f>BT1341</f>
      </c>
      <c r="BU629" s="761"/>
      <c r="BV629" s="761"/>
      <c r="BW629" s="761"/>
      <c r="BX629" s="984"/>
      <c r="BY629" s="761"/>
      <c r="BZ629" s="761"/>
      <c r="CA629" s="761"/>
      <c r="CB629" s="761"/>
      <c r="CC629" s="984"/>
      <c r="CD629" s="984"/>
      <c r="CE629" s="984"/>
      <c r="CF629" s="984"/>
      <c r="CG629" s="757"/>
    </row>
    <row r="630" spans="1:85" s="587" customFormat="1" ht="15" hidden="1" customHeight="1" outlineLevel="2" collapsed="1" x14ac:dyDescent="0.3">
      <c r="A630" s="429" t="s">
        <v>2345</v>
      </c>
      <c r="B630" s="428"/>
      <c r="C630" s="969"/>
      <c r="D630" s="969"/>
      <c r="E630" s="969"/>
      <c r="F630" s="969"/>
      <c r="G630" s="759"/>
      <c r="H630" s="759"/>
      <c r="I630" s="759"/>
      <c r="J630" s="759"/>
      <c r="K630" s="969"/>
      <c r="L630" s="759"/>
      <c r="M630" s="759"/>
      <c r="N630" s="759"/>
      <c r="O630" s="759"/>
      <c r="P630" s="969"/>
      <c r="Q630" s="759"/>
      <c r="R630" s="759"/>
      <c r="S630" s="759"/>
      <c r="T630" s="759"/>
      <c r="U630" s="969"/>
      <c r="V630" s="759"/>
      <c r="W630" s="759"/>
      <c r="X630" s="759"/>
      <c r="Y630" s="759"/>
      <c r="Z630" s="969"/>
      <c r="AA630" s="759"/>
      <c r="AB630" s="759"/>
      <c r="AC630" s="759"/>
      <c r="AD630" s="759" t="str">
        <f t="shared" ref="AD630:AH630" si="1134">IFERROR(AVERAGE(AD628,AD629),"")</f>
      </c>
      <c r="AE630" s="969" t="str">
        <f t="shared" si="1134"/>
      </c>
      <c r="AF630" s="759" t="str">
        <f t="shared" si="1134"/>
      </c>
      <c r="AG630" s="759" t="str">
        <f t="shared" si="1134"/>
      </c>
      <c r="AH630" s="759" t="str">
        <f t="shared" si="1134"/>
      </c>
      <c r="AI630" s="759" t="str">
        <f t="shared" ref="AI630:BN630" si="1135">IFERROR(AVERAGE(AI628,AI629),"")</f>
      </c>
      <c r="AJ630" s="969" t="str">
        <f t="shared" si="1135"/>
      </c>
      <c r="AK630" s="759" t="str">
        <f t="shared" si="1135"/>
      </c>
      <c r="AL630" s="759" t="str">
        <f t="shared" si="1135"/>
      </c>
      <c r="AM630" s="759" t="str">
        <f t="shared" si="1135"/>
      </c>
      <c r="AN630" s="759" t="str">
        <f t="shared" si="1135"/>
      </c>
      <c r="AO630" s="969" t="str">
        <f t="shared" si="1135"/>
      </c>
      <c r="AP630" s="759" t="str">
        <f t="shared" si="1135"/>
      </c>
      <c r="AQ630" s="759" t="str">
        <f t="shared" si="1135"/>
      </c>
      <c r="AR630" s="759" t="str">
        <f t="shared" si="1135"/>
      </c>
      <c r="AS630" s="759" t="str">
        <f t="shared" si="1135"/>
      </c>
      <c r="AT630" s="969" t="str">
        <f t="shared" si="1135"/>
      </c>
      <c r="AU630" s="759" t="str">
        <f t="shared" si="1135"/>
      </c>
      <c r="AV630" s="759" t="str">
        <f t="shared" si="1135"/>
      </c>
      <c r="AW630" s="759" t="str">
        <f t="shared" si="1135"/>
      </c>
      <c r="AX630" s="759" t="str">
        <f t="shared" si="1135"/>
      </c>
      <c r="AY630" s="969" t="str">
        <f t="shared" si="1135"/>
      </c>
      <c r="AZ630" s="759" t="str">
        <f t="shared" si="1135"/>
      </c>
      <c r="BA630" s="759" t="str">
        <f t="shared" si="1135"/>
      </c>
      <c r="BB630" s="759" t="str">
        <f t="shared" si="1135"/>
      </c>
      <c r="BC630" s="759" t="str">
        <f t="shared" si="1135"/>
      </c>
      <c r="BD630" s="969" t="str">
        <f t="shared" si="1135"/>
      </c>
      <c r="BE630" s="759" t="str">
        <f t="shared" si="1135"/>
      </c>
      <c r="BF630" s="759" t="str">
        <f t="shared" si="1135"/>
      </c>
      <c r="BG630" s="759" t="str">
        <f t="shared" si="1135"/>
      </c>
      <c r="BH630" s="759" t="str">
        <f t="shared" si="1135"/>
      </c>
      <c r="BI630" s="969" t="str">
        <f t="shared" si="1135"/>
      </c>
      <c r="BJ630" s="759" t="str">
        <f t="shared" si="1135"/>
      </c>
      <c r="BK630" s="759" t="str">
        <f t="shared" si="1135"/>
      </c>
      <c r="BL630" s="759" t="str">
        <f t="shared" si="1135"/>
      </c>
      <c r="BM630" s="759">
        <f t="shared" si="1135"/>
      </c>
      <c r="BN630" s="969">
        <f t="shared" si="1135"/>
      </c>
      <c r="BO630" s="759">
        <f t="shared" ref="BO630:BP630" si="1136">IFERROR(AVERAGE(BO628,BO629),"")</f>
      </c>
      <c r="BP630" s="759">
        <f t="shared" si="1136"/>
      </c>
      <c r="BQ630" s="759">
        <f>IFERROR(AVERAGE(BQ628,BQ629),"")</f>
      </c>
      <c r="BR630" s="759">
        <f>IFERROR(AVERAGE(BR628,BR629),"")</f>
      </c>
      <c r="BS630" s="969">
        <f>IFERROR(AVERAGE(BS628,BS629),"")</f>
      </c>
      <c r="BT630" s="760">
        <f>IFERROR(AVERAGE(BT628,BT629),"")</f>
      </c>
      <c r="BU630" s="759"/>
      <c r="BV630" s="759"/>
      <c r="BW630" s="759"/>
      <c r="BX630" s="969"/>
      <c r="BY630" s="759"/>
      <c r="BZ630" s="759"/>
      <c r="CA630" s="759"/>
      <c r="CB630" s="759"/>
      <c r="CC630" s="969"/>
      <c r="CD630" s="969"/>
      <c r="CE630" s="969"/>
      <c r="CF630" s="969"/>
      <c r="CG630" s="757"/>
    </row>
    <row r="631" spans="1:85" s="587" customFormat="1" ht="15" hidden="1" customHeight="1" outlineLevel="2" x14ac:dyDescent="0.3">
      <c r="A631" s="436" t="s">
        <v>2346</v>
      </c>
      <c r="B631" s="414"/>
      <c r="C631" s="962"/>
      <c r="D631" s="962"/>
      <c r="E631" s="962"/>
      <c r="F631" s="962"/>
      <c r="G631" s="757"/>
      <c r="H631" s="757"/>
      <c r="I631" s="757"/>
      <c r="J631" s="757"/>
      <c r="K631" s="962"/>
      <c r="L631" s="757"/>
      <c r="M631" s="757"/>
      <c r="N631" s="757"/>
      <c r="O631" s="757"/>
      <c r="P631" s="962"/>
      <c r="Q631" s="757"/>
      <c r="R631" s="757"/>
      <c r="S631" s="757"/>
      <c r="T631" s="757"/>
      <c r="U631" s="962"/>
      <c r="V631" s="757"/>
      <c r="W631" s="757"/>
      <c r="X631" s="757"/>
      <c r="Y631" s="757"/>
      <c r="Z631" s="962"/>
      <c r="AA631" s="757"/>
      <c r="AB631" s="757"/>
      <c r="AC631" s="757"/>
      <c r="AD631" s="757" t="str">
        <f t="shared" ref="AD631:AH631" si="1137">IFERROR(ABS(AD629-AD628),"")</f>
      </c>
      <c r="AE631" s="962" t="str">
        <f t="shared" si="1137"/>
      </c>
      <c r="AF631" s="757" t="str">
        <f t="shared" si="1137"/>
      </c>
      <c r="AG631" s="757" t="str">
        <f t="shared" si="1137"/>
      </c>
      <c r="AH631" s="757" t="str">
        <f t="shared" si="1137"/>
      </c>
      <c r="AI631" s="757" t="str">
        <f t="shared" ref="AI631:BP631" si="1138">IFERROR(ABS(AI629-AI628),"")</f>
      </c>
      <c r="AJ631" s="962" t="str">
        <f t="shared" si="1138"/>
      </c>
      <c r="AK631" s="757" t="str">
        <f t="shared" si="1138"/>
      </c>
      <c r="AL631" s="757" t="str">
        <f t="shared" si="1138"/>
      </c>
      <c r="AM631" s="757" t="str">
        <f t="shared" si="1138"/>
      </c>
      <c r="AN631" s="757" t="str">
        <f t="shared" si="1138"/>
      </c>
      <c r="AO631" s="962" t="str">
        <f t="shared" si="1138"/>
      </c>
      <c r="AP631" s="757" t="str">
        <f t="shared" si="1138"/>
      </c>
      <c r="AQ631" s="757" t="str">
        <f t="shared" si="1138"/>
      </c>
      <c r="AR631" s="757" t="str">
        <f t="shared" si="1138"/>
      </c>
      <c r="AS631" s="757" t="str">
        <f t="shared" si="1138"/>
      </c>
      <c r="AT631" s="962" t="str">
        <f t="shared" si="1138"/>
      </c>
      <c r="AU631" s="757" t="str">
        <f t="shared" si="1138"/>
      </c>
      <c r="AV631" s="757" t="str">
        <f t="shared" si="1138"/>
      </c>
      <c r="AW631" s="757" t="str">
        <f t="shared" si="1138"/>
      </c>
      <c r="AX631" s="757" t="str">
        <f t="shared" si="1138"/>
      </c>
      <c r="AY631" s="962" t="str">
        <f t="shared" si="1138"/>
      </c>
      <c r="AZ631" s="757" t="str">
        <f t="shared" si="1138"/>
      </c>
      <c r="BA631" s="757" t="str">
        <f t="shared" si="1138"/>
      </c>
      <c r="BB631" s="757" t="str">
        <f t="shared" si="1138"/>
      </c>
      <c r="BC631" s="757" t="str">
        <f t="shared" si="1138"/>
      </c>
      <c r="BD631" s="962" t="str">
        <f t="shared" si="1138"/>
      </c>
      <c r="BE631" s="757" t="str">
        <f t="shared" si="1138"/>
      </c>
      <c r="BF631" s="757" t="str">
        <f t="shared" si="1138"/>
      </c>
      <c r="BG631" s="757" t="str">
        <f t="shared" si="1138"/>
      </c>
      <c r="BH631" s="757" t="str">
        <f t="shared" si="1138"/>
      </c>
      <c r="BI631" s="962" t="str">
        <f t="shared" si="1138"/>
      </c>
      <c r="BJ631" s="757" t="str">
        <f t="shared" si="1138"/>
      </c>
      <c r="BK631" s="757" t="str">
        <f t="shared" si="1138"/>
      </c>
      <c r="BL631" s="757" t="str">
        <f t="shared" si="1138"/>
      </c>
      <c r="BM631" s="757">
        <f t="shared" si="1138"/>
      </c>
      <c r="BN631" s="962">
        <f t="shared" si="1138"/>
      </c>
      <c r="BO631" s="757">
        <f t="shared" si="1138"/>
      </c>
      <c r="BP631" s="757">
        <f t="shared" si="1138"/>
      </c>
      <c r="BQ631" s="757">
        <f>IFERROR(ABS(BQ629-BQ628),"")</f>
      </c>
      <c r="BR631" s="757">
        <f>IFERROR(ABS(BR629-BR628),"")</f>
      </c>
      <c r="BS631" s="962">
        <f>IFERROR(ABS(BS629-BS628),"")</f>
      </c>
      <c r="BT631" s="758">
        <f>IFERROR(ABS(BT629-BT628),"")</f>
      </c>
      <c r="BU631" s="757"/>
      <c r="BV631" s="757"/>
      <c r="BW631" s="757"/>
      <c r="BX631" s="962"/>
      <c r="BY631" s="757"/>
      <c r="BZ631" s="757"/>
      <c r="CA631" s="757"/>
      <c r="CB631" s="757"/>
      <c r="CC631" s="962"/>
      <c r="CD631" s="962"/>
      <c r="CE631" s="962"/>
      <c r="CF631" s="962"/>
      <c r="CG631" s="757"/>
    </row>
    <row r="632" spans="1:85" s="587" customFormat="1" ht="15" hidden="1" customHeight="1" outlineLevel="2" x14ac:dyDescent="0.3">
      <c r="A632" s="262" t="s">
        <v>2347</v>
      </c>
      <c r="B632" s="414"/>
      <c r="C632" s="973"/>
      <c r="D632" s="973"/>
      <c r="E632" s="973"/>
      <c r="F632" s="973"/>
      <c r="G632" s="59"/>
      <c r="H632" s="59"/>
      <c r="I632" s="59"/>
      <c r="J632" s="59"/>
      <c r="K632" s="973"/>
      <c r="L632" s="59"/>
      <c r="M632" s="59"/>
      <c r="N632" s="59"/>
      <c r="O632" s="59"/>
      <c r="P632" s="973"/>
      <c r="Q632" s="59"/>
      <c r="R632" s="59"/>
      <c r="S632" s="59"/>
      <c r="T632" s="59"/>
      <c r="U632" s="973"/>
      <c r="V632" s="59"/>
      <c r="W632" s="59"/>
      <c r="X632" s="59"/>
      <c r="Y632" s="59"/>
      <c r="Z632" s="973"/>
      <c r="AA632" s="59"/>
      <c r="AB632" s="59"/>
      <c r="AC632" s="59"/>
      <c r="AD632" s="59" t="str">
        <f t="shared" ref="AD632:AH632" si="1139">IFERROR(ABS((AD629-AD630)/AD630),"")</f>
      </c>
      <c r="AE632" s="973" t="str">
        <f t="shared" si="1139"/>
      </c>
      <c r="AF632" s="59" t="str">
        <f t="shared" si="1139"/>
      </c>
      <c r="AG632" s="59" t="str">
        <f t="shared" si="1139"/>
      </c>
      <c r="AH632" s="59" t="str">
        <f t="shared" si="1139"/>
      </c>
      <c r="AI632" s="59" t="str">
        <f t="shared" ref="AI632:BP632" si="1140">IFERROR(ABS((AI629-AI630)/AI630),"")</f>
      </c>
      <c r="AJ632" s="973" t="str">
        <f t="shared" si="1140"/>
      </c>
      <c r="AK632" s="59" t="str">
        <f t="shared" si="1140"/>
      </c>
      <c r="AL632" s="59" t="str">
        <f t="shared" si="1140"/>
      </c>
      <c r="AM632" s="59" t="str">
        <f t="shared" si="1140"/>
      </c>
      <c r="AN632" s="59" t="str">
        <f t="shared" si="1140"/>
      </c>
      <c r="AO632" s="973" t="str">
        <f t="shared" si="1140"/>
      </c>
      <c r="AP632" s="59" t="str">
        <f t="shared" si="1140"/>
      </c>
      <c r="AQ632" s="59" t="str">
        <f t="shared" si="1140"/>
      </c>
      <c r="AR632" s="59" t="str">
        <f t="shared" si="1140"/>
      </c>
      <c r="AS632" s="59" t="str">
        <f t="shared" si="1140"/>
      </c>
      <c r="AT632" s="973" t="str">
        <f t="shared" si="1140"/>
      </c>
      <c r="AU632" s="59" t="str">
        <f t="shared" si="1140"/>
      </c>
      <c r="AV632" s="59" t="str">
        <f t="shared" si="1140"/>
      </c>
      <c r="AW632" s="59" t="str">
        <f t="shared" si="1140"/>
      </c>
      <c r="AX632" s="59" t="str">
        <f t="shared" si="1140"/>
      </c>
      <c r="AY632" s="973" t="str">
        <f t="shared" si="1140"/>
      </c>
      <c r="AZ632" s="59" t="str">
        <f t="shared" si="1140"/>
      </c>
      <c r="BA632" s="59" t="str">
        <f t="shared" si="1140"/>
      </c>
      <c r="BB632" s="59" t="str">
        <f t="shared" si="1140"/>
      </c>
      <c r="BC632" s="59" t="str">
        <f t="shared" si="1140"/>
      </c>
      <c r="BD632" s="973" t="str">
        <f t="shared" si="1140"/>
      </c>
      <c r="BE632" s="59" t="str">
        <f t="shared" si="1140"/>
      </c>
      <c r="BF632" s="59" t="str">
        <f t="shared" si="1140"/>
      </c>
      <c r="BG632" s="59" t="str">
        <f t="shared" si="1140"/>
      </c>
      <c r="BH632" s="59" t="str">
        <f t="shared" si="1140"/>
      </c>
      <c r="BI632" s="973" t="str">
        <f t="shared" si="1140"/>
      </c>
      <c r="BJ632" s="59" t="str">
        <f t="shared" si="1140"/>
      </c>
      <c r="BK632" s="59" t="str">
        <f t="shared" si="1140"/>
      </c>
      <c r="BL632" s="59" t="str">
        <f t="shared" si="1140"/>
      </c>
      <c r="BM632" s="59">
        <f t="shared" si="1140"/>
      </c>
      <c r="BN632" s="973">
        <f t="shared" si="1140"/>
      </c>
      <c r="BO632" s="59">
        <f t="shared" si="1140"/>
      </c>
      <c r="BP632" s="59">
        <f t="shared" si="1140"/>
      </c>
      <c r="BQ632" s="59">
        <f>IFERROR(ABS((BQ629-BQ630)/BQ630),"")</f>
      </c>
      <c r="BR632" s="59">
        <f>IFERROR(ABS((BR629-BR630)/BR630),"")</f>
      </c>
      <c r="BS632" s="973">
        <f>IFERROR(ABS((BS629-BS630)/BS630),"")</f>
      </c>
      <c r="BT632" s="675">
        <f>IFERROR(ABS((BT629-BT630)/BT630),"")</f>
      </c>
      <c r="BU632" s="59"/>
      <c r="BV632" s="59"/>
      <c r="BW632" s="59"/>
      <c r="BX632" s="973"/>
      <c r="BY632" s="59"/>
      <c r="BZ632" s="59"/>
      <c r="CA632" s="59"/>
      <c r="CB632" s="59"/>
      <c r="CC632" s="973"/>
      <c r="CD632" s="973"/>
      <c r="CE632" s="973"/>
      <c r="CF632" s="973"/>
      <c r="CG632" s="757"/>
    </row>
    <row r="633" spans="1:85" s="587" customFormat="1" ht="15" hidden="1" customHeight="1" outlineLevel="3" x14ac:dyDescent="0.3">
      <c r="A633" s="567" t="s">
        <v>2363</v>
      </c>
      <c r="B633" s="770"/>
      <c r="C633" s="935"/>
      <c r="D633" s="935"/>
      <c r="E633" s="935"/>
      <c r="F633" s="935"/>
      <c r="G633" s="58"/>
      <c r="H633" s="58"/>
      <c r="I633" s="58"/>
      <c r="J633" s="58"/>
      <c r="K633" s="935"/>
      <c r="L633" s="58"/>
      <c r="M633" s="58"/>
      <c r="N633" s="58"/>
      <c r="O633" s="58"/>
      <c r="P633" s="935"/>
      <c r="Q633" s="58"/>
      <c r="R633" s="58"/>
      <c r="S633" s="58"/>
      <c r="T633" s="58"/>
      <c r="U633" s="935"/>
      <c r="V633" s="58"/>
      <c r="W633" s="58"/>
      <c r="X633" s="58"/>
      <c r="Y633" s="58"/>
      <c r="Z633" s="935"/>
      <c r="AA633" s="58"/>
      <c r="AB633" s="58"/>
      <c r="AC633" s="58"/>
      <c r="AD633" s="58" t="str">
        <f>IFERROR(AD628/AE598-1,"")</f>
      </c>
      <c r="AE633" s="935" t="str">
        <f>IFERROR(AE628/AE598-1,"")</f>
      </c>
      <c r="AF633" s="58" t="str">
        <f>IFERROR(AF628/AE598-1,"")</f>
      </c>
      <c r="AG633" s="58" t="str">
        <f>IFERROR(AG628/AE598-1,"")</f>
      </c>
      <c r="AH633" s="58" t="str">
        <f>IFERROR(AH628/AE598-1,"")</f>
      </c>
      <c r="AI633" s="58" t="str">
        <f>IFERROR(AI628/AJ598-1,"")</f>
      </c>
      <c r="AJ633" s="935" t="str">
        <f>IFERROR(AJ628/AJ598-1,"")</f>
      </c>
      <c r="AK633" s="58" t="str">
        <f>IFERROR(AK628/AJ598-1,"")</f>
      </c>
      <c r="AL633" s="58" t="str">
        <f>IFERROR(AL628/AJ598-1,"")</f>
      </c>
      <c r="AM633" s="58" t="str">
        <f>IFERROR(AM628/AJ598-1,"")</f>
      </c>
      <c r="AN633" s="58" t="str">
        <f>IFERROR(AN628/AO598-1,"")</f>
      </c>
      <c r="AO633" s="935" t="str">
        <f>IFERROR(AO628/AO598-1,"")</f>
      </c>
      <c r="AP633" s="58" t="str">
        <f>IFERROR(AP628/AO598-1,"")</f>
      </c>
      <c r="AQ633" s="58" t="str">
        <f>IFERROR(AQ628/AO598-1,"")</f>
      </c>
      <c r="AR633" s="58" t="str">
        <f>IFERROR(AR628/AO598-1,"")</f>
      </c>
      <c r="AS633" s="58" t="str">
        <f>IFERROR(AS628/AT598-1,"")</f>
      </c>
      <c r="AT633" s="935" t="str">
        <f>IFERROR(AT628/AT598-1,"")</f>
      </c>
      <c r="AU633" s="58" t="str">
        <f>IFERROR(AU628/AT598-1,"")</f>
      </c>
      <c r="AV633" s="58" t="str">
        <f>IFERROR(AV628/AT598-1,"")</f>
      </c>
      <c r="AW633" s="58" t="str">
        <f>IFERROR(AW628/AT598-1,"")</f>
      </c>
      <c r="AX633" s="58" t="str">
        <f>IFERROR(AX628/AY598-1,"")</f>
      </c>
      <c r="AY633" s="935" t="str">
        <f>IFERROR(AY628/AY598-1,"")</f>
      </c>
      <c r="AZ633" s="58" t="str">
        <f>IFERROR(AZ628/AY598-1,"")</f>
      </c>
      <c r="BA633" s="58" t="str">
        <f>IFERROR(BA628/AY598-1,"")</f>
      </c>
      <c r="BB633" s="58" t="str">
        <f>IFERROR(BB628/AY598-1,"")</f>
      </c>
      <c r="BC633" s="58" t="str">
        <f>IFERROR(BC628/BD598-1,"")</f>
      </c>
      <c r="BD633" s="935" t="str">
        <f>IFERROR(BD628/BD598-1,"")</f>
      </c>
      <c r="BE633" s="58" t="str">
        <f>IFERROR(BE628/BD598-1,"")</f>
      </c>
      <c r="BF633" s="58" t="str">
        <f>IFERROR(BF628/BD598-1,"")</f>
      </c>
      <c r="BG633" s="58" t="str">
        <f>IFERROR(BG628/BD598-1,"")</f>
      </c>
      <c r="BH633" s="58" t="str">
        <f>IFERROR(BH628/BI598-1,"")</f>
      </c>
      <c r="BI633" s="935" t="str">
        <f>IFERROR(BI628/BI598-1,"")</f>
      </c>
      <c r="BJ633" s="58" t="str">
        <f>IFERROR(BJ628/BI598-1,"")</f>
      </c>
      <c r="BK633" s="58" t="str">
        <f>IFERROR(BK628/BI598-1,"")</f>
      </c>
      <c r="BL633" s="58" t="str">
        <f>IFERROR(BL628/BI598-1,"")</f>
      </c>
      <c r="BM633" s="58">
        <f>IFERROR(BM628/BN598-1,"")</f>
      </c>
      <c r="BN633" s="935">
        <f>IFERROR(BN628/BN598-1,"")</f>
      </c>
      <c r="BO633" s="58">
        <f>IFERROR(BO628/BN598-1,"")</f>
      </c>
      <c r="BP633" s="58">
        <f>IFERROR(BP628/BN598-1,"")</f>
      </c>
      <c r="BQ633" s="58">
        <f>IFERROR(BQ628/BN598-1,"")</f>
      </c>
      <c r="BR633" s="58">
        <f>IFERROR(BR628/BS598-1,"")</f>
      </c>
      <c r="BS633" s="935">
        <f>IFERROR(BS628/BS598-1,"")</f>
      </c>
      <c r="BT633" s="669">
        <f>IFERROR(BT628/BS598-1,"")</f>
      </c>
      <c r="BU633" s="58"/>
      <c r="BV633" s="58"/>
      <c r="BW633" s="58"/>
      <c r="BX633" s="935"/>
      <c r="BY633" s="58"/>
      <c r="BZ633" s="58"/>
      <c r="CA633" s="58"/>
      <c r="CB633" s="58"/>
      <c r="CC633" s="935"/>
      <c r="CD633" s="935"/>
      <c r="CE633" s="935"/>
      <c r="CF633" s="935"/>
      <c r="CG633" s="757"/>
    </row>
    <row r="634" spans="1:85" s="587" customFormat="1" ht="15" hidden="1" customHeight="1" outlineLevel="3" x14ac:dyDescent="0.3">
      <c r="A634" s="568" t="s">
        <v>2364</v>
      </c>
      <c r="B634" s="563"/>
      <c r="C634" s="988"/>
      <c r="D634" s="988"/>
      <c r="E634" s="988"/>
      <c r="F634" s="988"/>
      <c r="G634" s="369"/>
      <c r="H634" s="369"/>
      <c r="I634" s="369"/>
      <c r="J634" s="369"/>
      <c r="K634" s="988"/>
      <c r="L634" s="369"/>
      <c r="M634" s="369"/>
      <c r="N634" s="369"/>
      <c r="O634" s="369"/>
      <c r="P634" s="988"/>
      <c r="Q634" s="369"/>
      <c r="R634" s="369"/>
      <c r="S634" s="369"/>
      <c r="T634" s="369"/>
      <c r="U634" s="988"/>
      <c r="V634" s="369"/>
      <c r="W634" s="369"/>
      <c r="X634" s="369"/>
      <c r="Y634" s="369"/>
      <c r="Z634" s="988"/>
      <c r="AA634" s="369"/>
      <c r="AB634" s="369"/>
      <c r="AC634" s="369"/>
      <c r="AD634" s="369" t="str">
        <f>IFERROR(AD629/AE598-1,"")</f>
      </c>
      <c r="AE634" s="988" t="str">
        <f>IFERROR(AE629/AE598-1,"")</f>
      </c>
      <c r="AF634" s="369" t="str">
        <f>IFERROR(AF629/AE598-1,"")</f>
      </c>
      <c r="AG634" s="369" t="str">
        <f>IFERROR(AG629/AE598-1,"")</f>
      </c>
      <c r="AH634" s="369" t="str">
        <f>IFERROR(AH629/AE598-1,"")</f>
      </c>
      <c r="AI634" s="369" t="str">
        <f>IFERROR(AI629/AJ598-1,"")</f>
      </c>
      <c r="AJ634" s="988" t="str">
        <f>IFERROR(AJ629/AJ598-1,"")</f>
      </c>
      <c r="AK634" s="369" t="str">
        <f>IFERROR(AK629/AJ598-1,"")</f>
      </c>
      <c r="AL634" s="369" t="str">
        <f>IFERROR(AL629/AJ598-1,"")</f>
      </c>
      <c r="AM634" s="369" t="str">
        <f>IFERROR(AM629/AJ598-1,"")</f>
      </c>
      <c r="AN634" s="369" t="str">
        <f>IFERROR(AN629/AO598-1,"")</f>
      </c>
      <c r="AO634" s="988" t="str">
        <f>IFERROR(AO629/AO598-1,"")</f>
      </c>
      <c r="AP634" s="369" t="str">
        <f>IFERROR(AP629/AO598-1,"")</f>
      </c>
      <c r="AQ634" s="369" t="str">
        <f>IFERROR(AQ629/AO598-1,"")</f>
      </c>
      <c r="AR634" s="369" t="str">
        <f>IFERROR(AR629/AO598-1,"")</f>
      </c>
      <c r="AS634" s="369" t="str">
        <f>IFERROR(AS629/AT598-1,"")</f>
      </c>
      <c r="AT634" s="988" t="str">
        <f>IFERROR(AT629/AT598-1,"")</f>
      </c>
      <c r="AU634" s="369" t="str">
        <f>IFERROR(AU629/AT598-1,"")</f>
      </c>
      <c r="AV634" s="369" t="str">
        <f>IFERROR(AV629/AT598-1,"")</f>
      </c>
      <c r="AW634" s="369" t="str">
        <f>IFERROR(AW629/AT598-1,"")</f>
      </c>
      <c r="AX634" s="369" t="str">
        <f>IFERROR(AX629/AY598-1,"")</f>
      </c>
      <c r="AY634" s="988" t="str">
        <f>IFERROR(AY629/AY598-1,"")</f>
      </c>
      <c r="AZ634" s="369" t="str">
        <f>IFERROR(AZ629/AY598-1,"")</f>
      </c>
      <c r="BA634" s="369" t="str">
        <f>IFERROR(BA629/AY598-1,"")</f>
      </c>
      <c r="BB634" s="369" t="str">
        <f>IFERROR(BB629/AY598-1,"")</f>
      </c>
      <c r="BC634" s="369" t="str">
        <f>IFERROR(BC629/BD598-1,"")</f>
      </c>
      <c r="BD634" s="988" t="str">
        <f>IFERROR(BD629/BD598-1,"")</f>
      </c>
      <c r="BE634" s="369" t="str">
        <f>IFERROR(BE629/BD598-1,"")</f>
      </c>
      <c r="BF634" s="369" t="str">
        <f>IFERROR(BF629/BD598-1,"")</f>
      </c>
      <c r="BG634" s="369" t="str">
        <f>IFERROR(BG629/BD598-1,"")</f>
      </c>
      <c r="BH634" s="369" t="str">
        <f>IFERROR(BH629/BI598-1,"")</f>
      </c>
      <c r="BI634" s="988" t="str">
        <f>IFERROR(BI629/BI598-1,"")</f>
      </c>
      <c r="BJ634" s="369" t="str">
        <f>IFERROR(BJ629/BI598-1,"")</f>
      </c>
      <c r="BK634" s="369" t="str">
        <f>IFERROR(BK629/BI598-1,"")</f>
      </c>
      <c r="BL634" s="369" t="str">
        <f>IFERROR(BL629/BI598-1,"")</f>
      </c>
      <c r="BM634" s="369">
        <f>IFERROR(BM629/BN598-1,"")</f>
      </c>
      <c r="BN634" s="988">
        <f>IFERROR(BN629/BN598-1,"")</f>
      </c>
      <c r="BO634" s="369">
        <f>IFERROR(BO629/BN598-1,"")</f>
      </c>
      <c r="BP634" s="369">
        <f>IFERROR(BP629/BN598-1,"")</f>
      </c>
      <c r="BQ634" s="369">
        <f>IFERROR(BQ629/BN598-1,"")</f>
      </c>
      <c r="BR634" s="369">
        <f>IFERROR(BR629/BS598-1,"")</f>
      </c>
      <c r="BS634" s="988">
        <f>IFERROR(BS629/BS598-1,"")</f>
      </c>
      <c r="BT634" s="686">
        <f>IFERROR(BT629/BS598-1,"")</f>
      </c>
      <c r="BU634" s="369"/>
      <c r="BV634" s="369"/>
      <c r="BW634" s="369"/>
      <c r="BX634" s="988"/>
      <c r="BY634" s="369"/>
      <c r="BZ634" s="369"/>
      <c r="CA634" s="369"/>
      <c r="CB634" s="369"/>
      <c r="CC634" s="988"/>
      <c r="CD634" s="988"/>
      <c r="CE634" s="988"/>
      <c r="CF634" s="988"/>
      <c r="CG634" s="757"/>
    </row>
    <row r="635" spans="1:85" s="587" customFormat="1" ht="15" hidden="1" customHeight="1" outlineLevel="2" collapsed="1" x14ac:dyDescent="0.3">
      <c r="A635" s="69" t="s">
        <v>2365</v>
      </c>
      <c r="B635" s="770"/>
      <c r="C635" s="935"/>
      <c r="D635" s="935"/>
      <c r="E635" s="935"/>
      <c r="F635" s="935"/>
      <c r="G635" s="58"/>
      <c r="H635" s="58"/>
      <c r="I635" s="58"/>
      <c r="J635" s="58"/>
      <c r="K635" s="935"/>
      <c r="L635" s="58"/>
      <c r="M635" s="58"/>
      <c r="N635" s="58"/>
      <c r="O635" s="58"/>
      <c r="P635" s="935"/>
      <c r="Q635" s="58"/>
      <c r="R635" s="58"/>
      <c r="S635" s="58"/>
      <c r="T635" s="58"/>
      <c r="U635" s="935"/>
      <c r="V635" s="58"/>
      <c r="W635" s="58"/>
      <c r="X635" s="58"/>
      <c r="Y635" s="58"/>
      <c r="Z635" s="935"/>
      <c r="AA635" s="58"/>
      <c r="AB635" s="58"/>
      <c r="AC635" s="58"/>
      <c r="AD635" s="58" t="str">
        <f>IFERROR(AD630/AE598-1,"")</f>
      </c>
      <c r="AE635" s="935" t="str">
        <f>IFERROR(AE630/AE598-1,"")</f>
      </c>
      <c r="AF635" s="58" t="str">
        <f>IFERROR(AF630/AE598-1,"")</f>
      </c>
      <c r="AG635" s="58" t="str">
        <f>IFERROR(AG630/AE598-1,"")</f>
      </c>
      <c r="AH635" s="58" t="str">
        <f>IFERROR(AH630/AE598-1,"")</f>
      </c>
      <c r="AI635" s="58" t="str">
        <f>IFERROR(AI630/AJ598-1,"")</f>
      </c>
      <c r="AJ635" s="935" t="str">
        <f>IFERROR(AJ630/AJ598-1,"")</f>
      </c>
      <c r="AK635" s="58" t="str">
        <f>IFERROR(AK630/AJ598-1,"")</f>
      </c>
      <c r="AL635" s="58" t="str">
        <f>IFERROR(AL630/AJ598-1,"")</f>
      </c>
      <c r="AM635" s="58" t="str">
        <f>IFERROR(AM630/AJ598-1,"")</f>
      </c>
      <c r="AN635" s="58" t="str">
        <f>IFERROR(AN630/AO598-1,"")</f>
      </c>
      <c r="AO635" s="935" t="str">
        <f>IFERROR(AO630/AO598-1,"")</f>
      </c>
      <c r="AP635" s="58" t="str">
        <f>IFERROR(AP630/AO598-1,"")</f>
      </c>
      <c r="AQ635" s="58" t="str">
        <f>IFERROR(AQ630/AO598-1,"")</f>
      </c>
      <c r="AR635" s="58" t="str">
        <f>IFERROR(AR630/AO598-1,"")</f>
      </c>
      <c r="AS635" s="58" t="str">
        <f>IFERROR(AS630/AT598-1,"")</f>
      </c>
      <c r="AT635" s="935" t="str">
        <f>IFERROR(AT630/AT598-1,"")</f>
      </c>
      <c r="AU635" s="58" t="str">
        <f>IFERROR(AU630/AT598-1,"")</f>
      </c>
      <c r="AV635" s="58" t="str">
        <f>IFERROR(AV630/AT598-1,"")</f>
      </c>
      <c r="AW635" s="58" t="str">
        <f>IFERROR(AW630/AT598-1,"")</f>
      </c>
      <c r="AX635" s="58" t="str">
        <f>IFERROR(AX630/AY598-1,"")</f>
      </c>
      <c r="AY635" s="935" t="str">
        <f>IFERROR(AY630/AY598-1,"")</f>
      </c>
      <c r="AZ635" s="58" t="str">
        <f>IFERROR(AZ630/AY598-1,"")</f>
      </c>
      <c r="BA635" s="58" t="str">
        <f>IFERROR(BA630/AY598-1,"")</f>
      </c>
      <c r="BB635" s="58" t="str">
        <f>IFERROR(BB630/AY598-1,"")</f>
      </c>
      <c r="BC635" s="58" t="str">
        <f>IFERROR(BC630/BD598-1,"")</f>
      </c>
      <c r="BD635" s="935" t="str">
        <f>IFERROR(BD630/BD598-1,"")</f>
      </c>
      <c r="BE635" s="58" t="str">
        <f>IFERROR(BE630/BD598-1,"")</f>
      </c>
      <c r="BF635" s="58" t="str">
        <f>IFERROR(BF630/BD598-1,"")</f>
      </c>
      <c r="BG635" s="58" t="str">
        <f>IFERROR(BG630/BD598-1,"")</f>
      </c>
      <c r="BH635" s="58" t="str">
        <f>IFERROR(BH630/BI598-1,"")</f>
      </c>
      <c r="BI635" s="935" t="str">
        <f>IFERROR(BI630/BI598-1,"")</f>
      </c>
      <c r="BJ635" s="58" t="str">
        <f>IFERROR(BJ630/BI598-1,"")</f>
      </c>
      <c r="BK635" s="58" t="str">
        <f>IFERROR(BK630/BI598-1,"")</f>
      </c>
      <c r="BL635" s="58" t="str">
        <f>IFERROR(BL630/BI598-1,"")</f>
      </c>
      <c r="BM635" s="58">
        <f>IFERROR(BM630/BN598-1,"")</f>
      </c>
      <c r="BN635" s="935">
        <f>IFERROR(BN630/BN598-1,"")</f>
      </c>
      <c r="BO635" s="58">
        <f>IFERROR(BO630/BN598-1,"")</f>
      </c>
      <c r="BP635" s="58">
        <f>IFERROR(BP630/BN598-1,"")</f>
      </c>
      <c r="BQ635" s="58">
        <f>IFERROR(BQ630/BN598-1,"")</f>
      </c>
      <c r="BR635" s="58">
        <f>IFERROR(BR630/BS598-1,"")</f>
      </c>
      <c r="BS635" s="935">
        <f>IFERROR(BS630/BS598-1,"")</f>
      </c>
      <c r="BT635" s="669">
        <f>IFERROR(BT630/BS598-1,"")</f>
      </c>
      <c r="BU635" s="58"/>
      <c r="BV635" s="58"/>
      <c r="BW635" s="58"/>
      <c r="BX635" s="935"/>
      <c r="BY635" s="58"/>
      <c r="BZ635" s="58"/>
      <c r="CA635" s="58"/>
      <c r="CB635" s="58"/>
      <c r="CC635" s="935"/>
      <c r="CD635" s="935"/>
      <c r="CE635" s="935"/>
      <c r="CF635" s="935"/>
      <c r="CG635" s="757"/>
    </row>
    <row r="636" spans="1:85" s="587" customFormat="1" ht="15" hidden="1" customHeight="1" outlineLevel="2" x14ac:dyDescent="0.3">
      <c r="A636" s="558"/>
      <c r="B636" s="414"/>
      <c r="C636" s="962"/>
      <c r="D636" s="962"/>
      <c r="E636" s="962"/>
      <c r="F636" s="962"/>
      <c r="G636" s="757"/>
      <c r="H636" s="757"/>
      <c r="I636" s="757"/>
      <c r="J636" s="757"/>
      <c r="K636" s="962"/>
      <c r="L636" s="757"/>
      <c r="M636" s="757"/>
      <c r="N636" s="757"/>
      <c r="O636" s="757"/>
      <c r="P636" s="962"/>
      <c r="Q636" s="757"/>
      <c r="R636" s="757"/>
      <c r="S636" s="757"/>
      <c r="T636" s="757"/>
      <c r="U636" s="962"/>
      <c r="V636" s="757"/>
      <c r="W636" s="757"/>
      <c r="X636" s="757"/>
      <c r="Y636" s="757"/>
      <c r="Z636" s="962"/>
      <c r="AA636" s="757"/>
      <c r="AB636" s="757"/>
      <c r="AC636" s="757"/>
      <c r="AD636" s="757"/>
      <c r="AE636" s="962"/>
      <c r="AF636" s="757"/>
      <c r="AG636" s="757"/>
      <c r="AH636" s="757"/>
      <c r="AI636" s="757"/>
      <c r="AJ636" s="962"/>
      <c r="AK636" s="757"/>
      <c r="AL636" s="757"/>
      <c r="AM636" s="757"/>
      <c r="AN636" s="757"/>
      <c r="AO636" s="962"/>
      <c r="AP636" s="757"/>
      <c r="AQ636" s="757"/>
      <c r="AR636" s="757"/>
      <c r="AS636" s="757"/>
      <c r="AT636" s="962"/>
      <c r="AU636" s="757"/>
      <c r="AV636" s="757"/>
      <c r="AW636" s="757"/>
      <c r="AX636" s="757"/>
      <c r="AY636" s="962"/>
      <c r="AZ636" s="757"/>
      <c r="BA636" s="757"/>
      <c r="BB636" s="757"/>
      <c r="BC636" s="757"/>
      <c r="BD636" s="962"/>
      <c r="BE636" s="757"/>
      <c r="BF636" s="757"/>
      <c r="BG636" s="757"/>
      <c r="BH636" s="757"/>
      <c r="BI636" s="962"/>
      <c r="BJ636" s="757"/>
      <c r="BK636" s="757"/>
      <c r="BL636" s="757"/>
      <c r="BM636" s="757"/>
      <c r="BN636" s="962"/>
      <c r="BO636" s="757"/>
      <c r="BP636" s="757"/>
      <c r="BQ636" s="757"/>
      <c r="BR636" s="757"/>
      <c r="BS636" s="962"/>
      <c r="BT636" s="758"/>
      <c r="BU636" s="757"/>
      <c r="BV636" s="757"/>
      <c r="BW636" s="757"/>
      <c r="BX636" s="962"/>
      <c r="BY636" s="757"/>
      <c r="BZ636" s="757"/>
      <c r="CA636" s="757"/>
      <c r="CB636" s="757"/>
      <c r="CC636" s="962"/>
      <c r="CD636" s="962"/>
      <c r="CE636" s="962"/>
      <c r="CF636" s="962"/>
      <c r="CG636" s="757"/>
    </row>
    <row r="637" spans="1:85" s="587" customFormat="1" ht="15" hidden="1" customHeight="1" outlineLevel="2" x14ac:dyDescent="0.3">
      <c r="A637" s="436" t="s">
        <v>2366</v>
      </c>
      <c r="B637" s="414"/>
      <c r="C637" s="962"/>
      <c r="D637" s="962"/>
      <c r="E637" s="962"/>
      <c r="F637" s="962"/>
      <c r="G637" s="757"/>
      <c r="H637" s="757"/>
      <c r="I637" s="757"/>
      <c r="J637" s="757"/>
      <c r="K637" s="962"/>
      <c r="L637" s="757"/>
      <c r="M637" s="757"/>
      <c r="N637" s="757"/>
      <c r="O637" s="757"/>
      <c r="P637" s="962"/>
      <c r="Q637" s="757"/>
      <c r="R637" s="757"/>
      <c r="S637" s="757"/>
      <c r="T637" s="757"/>
      <c r="U637" s="962"/>
      <c r="V637" s="757"/>
      <c r="W637" s="757"/>
      <c r="X637" s="757"/>
      <c r="Y637" s="757"/>
      <c r="Z637" s="962"/>
      <c r="AA637" s="757"/>
      <c r="AB637" s="757"/>
      <c r="AC637" s="757"/>
      <c r="AD637" s="757"/>
      <c r="AE637" s="962"/>
      <c r="AF637" s="757" t="str">
        <f>AF599</f>
      </c>
      <c r="AG637" s="757" t="str">
        <f>AG599</f>
      </c>
      <c r="AH637" s="757">
        <f>AH599</f>
      </c>
      <c r="AI637" s="757"/>
      <c r="AJ637" s="962"/>
      <c r="AK637" s="757">
        <f>AK599</f>
      </c>
      <c r="AL637" s="757">
        <f>AL599</f>
      </c>
      <c r="AM637" s="757">
        <f>AM599</f>
      </c>
      <c r="AN637" s="757"/>
      <c r="AO637" s="962"/>
      <c r="AP637" s="757">
        <f>AP599</f>
      </c>
      <c r="AQ637" s="757">
        <f>AQ599</f>
      </c>
      <c r="AR637" s="757">
        <f>AR599</f>
      </c>
      <c r="AS637" s="757"/>
      <c r="AT637" s="962"/>
      <c r="AU637" s="757">
        <f>AU599</f>
      </c>
      <c r="AV637" s="757">
        <f>AV599</f>
      </c>
      <c r="AW637" s="757">
        <f>AW599</f>
      </c>
      <c r="AX637" s="757"/>
      <c r="AY637" s="962"/>
      <c r="AZ637" s="757">
        <f>AZ599</f>
      </c>
      <c r="BA637" s="757">
        <f>BA599</f>
      </c>
      <c r="BB637" s="757">
        <f>BB599</f>
      </c>
      <c r="BC637" s="757"/>
      <c r="BD637" s="962"/>
      <c r="BE637" s="757">
        <f>BE599</f>
      </c>
      <c r="BF637" s="757">
        <f>BF599</f>
      </c>
      <c r="BG637" s="757">
        <f>BG599</f>
      </c>
      <c r="BH637" s="757"/>
      <c r="BI637" s="962"/>
      <c r="BJ637" s="757">
        <f>BJ599</f>
      </c>
      <c r="BK637" s="757">
        <f>BK599</f>
      </c>
      <c r="BL637" s="757">
        <f>BL599</f>
      </c>
      <c r="BM637" s="757"/>
      <c r="BN637" s="962"/>
      <c r="BO637" s="757">
        <f>BO599</f>
      </c>
      <c r="BP637" s="757">
        <f>BP599</f>
      </c>
      <c r="BQ637" s="757">
        <f>BQ599</f>
      </c>
      <c r="BR637" s="757"/>
      <c r="BS637" s="962"/>
      <c r="BT637" s="758">
        <f>BT599</f>
      </c>
      <c r="BU637" s="757"/>
      <c r="BV637" s="757"/>
      <c r="BW637" s="757"/>
      <c r="BX637" s="962"/>
      <c r="BY637" s="757"/>
      <c r="BZ637" s="757"/>
      <c r="CA637" s="757"/>
      <c r="CB637" s="757"/>
      <c r="CC637" s="962"/>
      <c r="CD637" s="962"/>
      <c r="CE637" s="962"/>
      <c r="CF637" s="962"/>
      <c r="CG637" s="757"/>
    </row>
    <row r="638" spans="1:85" s="587" customFormat="1" ht="15" hidden="1" customHeight="1" outlineLevel="2" x14ac:dyDescent="0.3">
      <c r="A638" s="554" t="s">
        <v>2367</v>
      </c>
      <c r="B638" s="416"/>
      <c r="C638" s="984"/>
      <c r="D638" s="984"/>
      <c r="E638" s="984"/>
      <c r="F638" s="984"/>
      <c r="G638" s="761"/>
      <c r="H638" s="761"/>
      <c r="I638" s="761"/>
      <c r="J638" s="761"/>
      <c r="K638" s="984"/>
      <c r="L638" s="761"/>
      <c r="M638" s="761"/>
      <c r="N638" s="761"/>
      <c r="O638" s="761"/>
      <c r="P638" s="984"/>
      <c r="Q638" s="761"/>
      <c r="R638" s="761"/>
      <c r="S638" s="761"/>
      <c r="T638" s="761"/>
      <c r="U638" s="984"/>
      <c r="V638" s="761"/>
      <c r="W638" s="761"/>
      <c r="X638" s="761"/>
      <c r="Y638" s="761"/>
      <c r="Z638" s="984"/>
      <c r="AA638" s="761"/>
      <c r="AB638" s="761"/>
      <c r="AC638" s="761"/>
      <c r="AD638" s="761"/>
      <c r="AE638" s="984"/>
      <c r="AF638" s="761" t="str">
        <f>IFERROR(AF639-AF637,"")</f>
      </c>
      <c r="AG638" s="761" t="str">
        <f>IFERROR(AG639-AG637,"")</f>
      </c>
      <c r="AH638" s="761" t="str">
        <f>IFERROR(AH639-AH637,"")</f>
      </c>
      <c r="AI638" s="761"/>
      <c r="AJ638" s="984"/>
      <c r="AK638" s="761" t="str">
        <f>IFERROR(AK639-AK637,"")</f>
      </c>
      <c r="AL638" s="761" t="str">
        <f>IFERROR(AL639-AL637,"")</f>
      </c>
      <c r="AM638" s="761" t="str">
        <f>IFERROR(AM639-AM637,"")</f>
      </c>
      <c r="AN638" s="761"/>
      <c r="AO638" s="984"/>
      <c r="AP638" s="761" t="str">
        <f>IFERROR(AP639-AP637,"")</f>
      </c>
      <c r="AQ638" s="761" t="str">
        <f>IFERROR(AQ639-AQ637,"")</f>
      </c>
      <c r="AR638" s="761" t="str">
        <f>IFERROR(AR639-AR637,"")</f>
      </c>
      <c r="AS638" s="761"/>
      <c r="AT638" s="984"/>
      <c r="AU638" s="761" t="str">
        <f>IFERROR(AU639-AU637,"")</f>
      </c>
      <c r="AV638" s="761" t="str">
        <f>IFERROR(AV639-AV637,"")</f>
      </c>
      <c r="AW638" s="761" t="str">
        <f>IFERROR(AW639-AW637,"")</f>
      </c>
      <c r="AX638" s="761"/>
      <c r="AY638" s="984"/>
      <c r="AZ638" s="761" t="str">
        <f>IFERROR(AZ639-AZ637,"")</f>
      </c>
      <c r="BA638" s="761" t="str">
        <f>IFERROR(BA639-BA637,"")</f>
      </c>
      <c r="BB638" s="761" t="str">
        <f>IFERROR(BB639-BB637,"")</f>
      </c>
      <c r="BC638" s="761"/>
      <c r="BD638" s="984"/>
      <c r="BE638" s="761" t="str">
        <f>IFERROR(BE639-BE637,"")</f>
      </c>
      <c r="BF638" s="761" t="str">
        <f>IFERROR(BF639-BF637,"")</f>
      </c>
      <c r="BG638" s="761" t="str">
        <f>IFERROR(BG639-BG637,"")</f>
      </c>
      <c r="BH638" s="761"/>
      <c r="BI638" s="984"/>
      <c r="BJ638" s="761" t="str">
        <f>IFERROR(BJ639-BJ637,"")</f>
      </c>
      <c r="BK638" s="761" t="str">
        <f>IFERROR(BK639-BK637,"")</f>
      </c>
      <c r="BL638" s="761" t="str">
        <f>IFERROR(BL639-BL637,"")</f>
      </c>
      <c r="BM638" s="761"/>
      <c r="BN638" s="984"/>
      <c r="BO638" s="761">
        <f>IFERROR(BO639-BO637,"")</f>
      </c>
      <c r="BP638" s="761">
        <f>IFERROR(BP639-BP637,"")</f>
      </c>
      <c r="BQ638" s="761">
        <f>IFERROR(BQ639-BQ637,"")</f>
      </c>
      <c r="BR638" s="761"/>
      <c r="BS638" s="984"/>
      <c r="BT638" s="762">
        <f>IFERROR(BT639-BT637,"")</f>
      </c>
      <c r="BU638" s="761"/>
      <c r="BV638" s="761"/>
      <c r="BW638" s="761"/>
      <c r="BX638" s="984"/>
      <c r="BY638" s="761"/>
      <c r="BZ638" s="761"/>
      <c r="CA638" s="761"/>
      <c r="CB638" s="761"/>
      <c r="CC638" s="984"/>
      <c r="CD638" s="984"/>
      <c r="CE638" s="984"/>
      <c r="CF638" s="984"/>
      <c r="CG638" s="757"/>
    </row>
    <row r="639" spans="1:85" s="587" customFormat="1" ht="15" hidden="1" customHeight="1" outlineLevel="2" x14ac:dyDescent="0.3">
      <c r="A639" s="423" t="s">
        <v>2368</v>
      </c>
      <c r="B639" s="422"/>
      <c r="C639" s="965"/>
      <c r="D639" s="965"/>
      <c r="E639" s="965"/>
      <c r="F639" s="965"/>
      <c r="G639" s="791"/>
      <c r="H639" s="791"/>
      <c r="I639" s="791"/>
      <c r="J639" s="791"/>
      <c r="K639" s="965"/>
      <c r="L639" s="791"/>
      <c r="M639" s="791"/>
      <c r="N639" s="791"/>
      <c r="O639" s="791"/>
      <c r="P639" s="965"/>
      <c r="Q639" s="791"/>
      <c r="R639" s="791"/>
      <c r="S639" s="791"/>
      <c r="T639" s="791"/>
      <c r="U639" s="965"/>
      <c r="V639" s="791"/>
      <c r="W639" s="791"/>
      <c r="X639" s="791"/>
      <c r="Y639" s="791"/>
      <c r="Z639" s="965"/>
      <c r="AA639" s="791"/>
      <c r="AB639" s="791"/>
      <c r="AC639" s="791"/>
      <c r="AD639" s="791"/>
      <c r="AE639" s="965"/>
      <c r="AF639" s="791" t="str">
        <f>IFERROR(AF630-AD630,"")</f>
      </c>
      <c r="AG639" s="791" t="str">
        <f>IFERROR(AG630-AF630,"")</f>
      </c>
      <c r="AH639" s="791" t="str">
        <f>IFERROR(AH630-AG630,"")</f>
      </c>
      <c r="AI639" s="791"/>
      <c r="AJ639" s="965"/>
      <c r="AK639" s="791" t="str">
        <f>IFERROR(AK630-AI630,"")</f>
      </c>
      <c r="AL639" s="791" t="str">
        <f>IFERROR(AL630-AK630,"")</f>
      </c>
      <c r="AM639" s="791" t="str">
        <f>IFERROR(AM630-AL630,"")</f>
      </c>
      <c r="AN639" s="791"/>
      <c r="AO639" s="965"/>
      <c r="AP639" s="791" t="str">
        <f>IFERROR(AP630-AN630,"")</f>
      </c>
      <c r="AQ639" s="791" t="str">
        <f>IFERROR(AQ630-AP630,"")</f>
      </c>
      <c r="AR639" s="791" t="str">
        <f>IFERROR(AR630-AQ630,"")</f>
      </c>
      <c r="AS639" s="791"/>
      <c r="AT639" s="965"/>
      <c r="AU639" s="791" t="str">
        <f>IFERROR(AU630-AS630,"")</f>
      </c>
      <c r="AV639" s="791" t="str">
        <f>IFERROR(AV630-AU630,"")</f>
      </c>
      <c r="AW639" s="791" t="str">
        <f>IFERROR(AW630-AV630,"")</f>
      </c>
      <c r="AX639" s="791"/>
      <c r="AY639" s="965"/>
      <c r="AZ639" s="791" t="str">
        <f>IFERROR(AZ630-AX630,"")</f>
      </c>
      <c r="BA639" s="791" t="str">
        <f>IFERROR(BA630-AZ630,"")</f>
      </c>
      <c r="BB639" s="791" t="str">
        <f>IFERROR(BB630-BA630,"")</f>
      </c>
      <c r="BC639" s="791"/>
      <c r="BD639" s="965"/>
      <c r="BE639" s="791" t="str">
        <f>IFERROR(BE630-BC630,"")</f>
      </c>
      <c r="BF639" s="791" t="str">
        <f>IFERROR(BF630-BE630,"")</f>
      </c>
      <c r="BG639" s="791" t="str">
        <f>IFERROR(BG630-BF630,"")</f>
      </c>
      <c r="BH639" s="791"/>
      <c r="BI639" s="965"/>
      <c r="BJ639" s="791" t="str">
        <f>IFERROR(BJ630-BH630,"")</f>
      </c>
      <c r="BK639" s="791" t="str">
        <f>IFERROR(BK630-BJ630,"")</f>
      </c>
      <c r="BL639" s="791" t="str">
        <f>IFERROR(BL630-BK630,"")</f>
      </c>
      <c r="BM639" s="791"/>
      <c r="BN639" s="965"/>
      <c r="BO639" s="791">
        <f>IFERROR(BO630-BM630,"")</f>
      </c>
      <c r="BP639" s="791">
        <f>IFERROR(BP630-BO630,"")</f>
      </c>
      <c r="BQ639" s="791">
        <f>IFERROR(BQ630-BP630,"")</f>
      </c>
      <c r="BR639" s="791"/>
      <c r="BS639" s="965"/>
      <c r="BT639" s="797">
        <f>IFERROR(BT630-BR630,"")</f>
      </c>
      <c r="BU639" s="791"/>
      <c r="BV639" s="791"/>
      <c r="BW639" s="791"/>
      <c r="BX639" s="965"/>
      <c r="BY639" s="791"/>
      <c r="BZ639" s="791"/>
      <c r="CA639" s="791"/>
      <c r="CB639" s="791"/>
      <c r="CC639" s="965"/>
      <c r="CD639" s="965"/>
      <c r="CE639" s="965"/>
      <c r="CF639" s="965"/>
      <c r="CG639" s="757"/>
    </row>
    <row r="640" spans="1:85" s="587" customFormat="1" ht="15" hidden="1" customHeight="1" outlineLevel="2" x14ac:dyDescent="0.3">
      <c r="A640" s="69" t="s">
        <v>2369</v>
      </c>
      <c r="B640" s="770"/>
      <c r="C640" s="935"/>
      <c r="D640" s="935"/>
      <c r="E640" s="935"/>
      <c r="F640" s="935"/>
      <c r="G640" s="58"/>
      <c r="H640" s="58"/>
      <c r="I640" s="58"/>
      <c r="J640" s="58"/>
      <c r="K640" s="935"/>
      <c r="L640" s="58"/>
      <c r="M640" s="58"/>
      <c r="N640" s="58"/>
      <c r="O640" s="58"/>
      <c r="P640" s="935"/>
      <c r="Q640" s="58"/>
      <c r="R640" s="58"/>
      <c r="S640" s="58"/>
      <c r="T640" s="58"/>
      <c r="U640" s="935"/>
      <c r="V640" s="58"/>
      <c r="W640" s="58"/>
      <c r="X640" s="58"/>
      <c r="Y640" s="58"/>
      <c r="Z640" s="935"/>
      <c r="AA640" s="58"/>
      <c r="AB640" s="58"/>
      <c r="AC640" s="58"/>
      <c r="AD640" s="58"/>
      <c r="AE640" s="935"/>
      <c r="AF640" s="58" t="str">
        <f>IFERROR(AF630/AD630-1,"")</f>
      </c>
      <c r="AG640" s="58" t="str">
        <f>IFERROR(AG630/AF630-1,"")</f>
      </c>
      <c r="AH640" s="58" t="str">
        <f>IFERROR(AH630/AG630-1,"")</f>
      </c>
      <c r="AI640" s="58"/>
      <c r="AJ640" s="935"/>
      <c r="AK640" s="58" t="str">
        <f>IFERROR(AK630/AI630-1,"")</f>
      </c>
      <c r="AL640" s="58" t="str">
        <f>IFERROR(AL630/AK630-1,"")</f>
      </c>
      <c r="AM640" s="58" t="str">
        <f>IFERROR(AM630/AL630-1,"")</f>
      </c>
      <c r="AN640" s="58"/>
      <c r="AO640" s="935"/>
      <c r="AP640" s="58" t="str">
        <f>IFERROR(AP630/AN630-1,"")</f>
      </c>
      <c r="AQ640" s="58" t="str">
        <f>IFERROR(AQ630/AP630-1,"")</f>
      </c>
      <c r="AR640" s="58" t="str">
        <f>IFERROR(AR630/AQ630-1,"")</f>
      </c>
      <c r="AS640" s="58"/>
      <c r="AT640" s="935"/>
      <c r="AU640" s="58" t="str">
        <f>IFERROR(AU630/AS630-1,"")</f>
      </c>
      <c r="AV640" s="58" t="str">
        <f>IFERROR(AV630/AU630-1,"")</f>
      </c>
      <c r="AW640" s="58" t="str">
        <f>IFERROR(AW630/AV630-1,"")</f>
      </c>
      <c r="AX640" s="58"/>
      <c r="AY640" s="935"/>
      <c r="AZ640" s="58" t="str">
        <f>IFERROR(AZ630/AX630-1,"")</f>
      </c>
      <c r="BA640" s="58" t="str">
        <f>IFERROR(BA630/AZ630-1,"")</f>
      </c>
      <c r="BB640" s="58" t="str">
        <f>IFERROR(BB630/BA630-1,"")</f>
      </c>
      <c r="BC640" s="58"/>
      <c r="BD640" s="935"/>
      <c r="BE640" s="58" t="str">
        <f>IFERROR(BE630/BC630-1,"")</f>
      </c>
      <c r="BF640" s="58" t="str">
        <f>IFERROR(BF630/BE630-1,"")</f>
      </c>
      <c r="BG640" s="58" t="str">
        <f>IFERROR(BG630/BF630-1,"")</f>
      </c>
      <c r="BH640" s="58"/>
      <c r="BI640" s="935"/>
      <c r="BJ640" s="58" t="str">
        <f>IFERROR(BJ630/BH630-1,"")</f>
      </c>
      <c r="BK640" s="58" t="str">
        <f>IFERROR(BK630/BJ630-1,"")</f>
      </c>
      <c r="BL640" s="58" t="str">
        <f>IFERROR(BL630/BK630-1,"")</f>
      </c>
      <c r="BM640" s="58"/>
      <c r="BN640" s="935"/>
      <c r="BO640" s="58">
        <f>IFERROR(BO630/BM630-1,"")</f>
      </c>
      <c r="BP640" s="58">
        <f>IFERROR(BP630/BO630-1,"")</f>
      </c>
      <c r="BQ640" s="58">
        <f>IFERROR(BQ630/BP630-1,"")</f>
      </c>
      <c r="BR640" s="58"/>
      <c r="BS640" s="935"/>
      <c r="BT640" s="669">
        <f>IFERROR(BT630/BR630-1,"")</f>
      </c>
      <c r="BU640" s="58"/>
      <c r="BV640" s="58"/>
      <c r="BW640" s="58"/>
      <c r="BX640" s="935"/>
      <c r="BY640" s="58"/>
      <c r="BZ640" s="58"/>
      <c r="CA640" s="58"/>
      <c r="CB640" s="58"/>
      <c r="CC640" s="935"/>
      <c r="CD640" s="935"/>
      <c r="CE640" s="935"/>
      <c r="CF640" s="935"/>
      <c r="CG640" s="757"/>
    </row>
    <row r="641" spans="1:85" s="587" customFormat="1" ht="15" hidden="1" customHeight="1" outlineLevel="2" x14ac:dyDescent="0.3">
      <c r="A641" s="558"/>
      <c r="B641" s="414"/>
      <c r="C641" s="962"/>
      <c r="D641" s="962"/>
      <c r="E641" s="962"/>
      <c r="F641" s="962"/>
      <c r="G641" s="757"/>
      <c r="H641" s="757"/>
      <c r="I641" s="757"/>
      <c r="J641" s="757"/>
      <c r="K641" s="962"/>
      <c r="L641" s="757"/>
      <c r="M641" s="757"/>
      <c r="N641" s="757"/>
      <c r="O641" s="757"/>
      <c r="P641" s="962"/>
      <c r="Q641" s="757"/>
      <c r="R641" s="757"/>
      <c r="S641" s="757"/>
      <c r="T641" s="757"/>
      <c r="U641" s="962"/>
      <c r="V641" s="757"/>
      <c r="W641" s="757"/>
      <c r="X641" s="757"/>
      <c r="Y641" s="757"/>
      <c r="Z641" s="962"/>
      <c r="AA641" s="757"/>
      <c r="AB641" s="757"/>
      <c r="AC641" s="757"/>
      <c r="AD641" s="757"/>
      <c r="AE641" s="962"/>
      <c r="AF641" s="757"/>
      <c r="AG641" s="757"/>
      <c r="AH641" s="757"/>
      <c r="AI641" s="757"/>
      <c r="AJ641" s="962"/>
      <c r="AK641" s="757"/>
      <c r="AL641" s="757"/>
      <c r="AM641" s="757"/>
      <c r="AN641" s="757"/>
      <c r="AO641" s="962"/>
      <c r="AP641" s="757"/>
      <c r="AQ641" s="757"/>
      <c r="AR641" s="757"/>
      <c r="AS641" s="757"/>
      <c r="AT641" s="962"/>
      <c r="AU641" s="757"/>
      <c r="AV641" s="757"/>
      <c r="AW641" s="757"/>
      <c r="AX641" s="757"/>
      <c r="AY641" s="962"/>
      <c r="AZ641" s="757"/>
      <c r="BA641" s="757"/>
      <c r="BB641" s="757"/>
      <c r="BC641" s="757"/>
      <c r="BD641" s="962"/>
      <c r="BE641" s="757"/>
      <c r="BF641" s="757"/>
      <c r="BG641" s="757"/>
      <c r="BH641" s="757"/>
      <c r="BI641" s="962"/>
      <c r="BJ641" s="757"/>
      <c r="BK641" s="757"/>
      <c r="BL641" s="757"/>
      <c r="BM641" s="757"/>
      <c r="BN641" s="962"/>
      <c r="BO641" s="757"/>
      <c r="BP641" s="757"/>
      <c r="BQ641" s="757"/>
      <c r="BR641" s="757"/>
      <c r="BS641" s="962"/>
      <c r="BT641" s="758"/>
      <c r="BU641" s="757"/>
      <c r="BV641" s="757"/>
      <c r="BW641" s="757"/>
      <c r="BX641" s="962"/>
      <c r="BY641" s="757"/>
      <c r="BZ641" s="757"/>
      <c r="CA641" s="757"/>
      <c r="CB641" s="757"/>
      <c r="CC641" s="962"/>
      <c r="CD641" s="962"/>
      <c r="CE641" s="962"/>
      <c r="CF641" s="962"/>
      <c r="CG641" s="757"/>
    </row>
    <row r="642" spans="1:85" s="587" customFormat="1" ht="15" hidden="1" customHeight="1" outlineLevel="2" x14ac:dyDescent="0.3">
      <c r="A642" s="255" t="s">
        <v>2370</v>
      </c>
      <c r="B642" s="414"/>
      <c r="C642" s="950"/>
      <c r="D642" s="950"/>
      <c r="E642" s="950"/>
      <c r="F642" s="950"/>
      <c r="G642" s="204"/>
      <c r="H642" s="204"/>
      <c r="I642" s="204"/>
      <c r="J642" s="204"/>
      <c r="K642" s="950"/>
      <c r="L642" s="204"/>
      <c r="M642" s="204"/>
      <c r="N642" s="204"/>
      <c r="O642" s="204"/>
      <c r="P642" s="950"/>
      <c r="Q642" s="204"/>
      <c r="R642" s="204"/>
      <c r="S642" s="204"/>
      <c r="T642" s="204"/>
      <c r="U642" s="950"/>
      <c r="V642" s="204"/>
      <c r="W642" s="204"/>
      <c r="X642" s="204"/>
      <c r="Y642" s="204"/>
      <c r="Z642" s="950"/>
      <c r="AA642" s="204"/>
      <c r="AB642" s="204"/>
      <c r="AC642" s="204"/>
      <c r="AD642" s="204"/>
      <c r="AE642" s="950"/>
      <c r="AF642" s="204" t="str">
        <f>IFERROR(AD630-AD613,"")</f>
      </c>
      <c r="AG642" s="204" t="str">
        <f>IFERROR(AF643-AF613,"")</f>
      </c>
      <c r="AH642" s="204" t="str">
        <f>IFERROR(AG643-AG613,"")</f>
      </c>
      <c r="AI642" s="204"/>
      <c r="AJ642" s="950"/>
      <c r="AK642" s="204" t="str">
        <f>IFERROR(AI630-AI613,"")</f>
      </c>
      <c r="AL642" s="204" t="str">
        <f>IFERROR(AK643-AK613,"")</f>
      </c>
      <c r="AM642" s="204" t="str">
        <f>IFERROR(AL643-AL613,"")</f>
      </c>
      <c r="AN642" s="204"/>
      <c r="AO642" s="950"/>
      <c r="AP642" s="204" t="str">
        <f>IFERROR(AN630-AN613,"")</f>
      </c>
      <c r="AQ642" s="204" t="str">
        <f>IFERROR(AP643-AP613,"")</f>
      </c>
      <c r="AR642" s="204" t="str">
        <f>IFERROR(AQ643-AQ613,"")</f>
      </c>
      <c r="AS642" s="204"/>
      <c r="AT642" s="950"/>
      <c r="AU642" s="204" t="str">
        <f>IFERROR(AS630-AS613,"")</f>
      </c>
      <c r="AV642" s="204" t="str">
        <f>IFERROR(AU643-AU613,"")</f>
      </c>
      <c r="AW642" s="204" t="str">
        <f>IFERROR(AV643-AV613,"")</f>
      </c>
      <c r="AX642" s="204"/>
      <c r="AY642" s="950"/>
      <c r="AZ642" s="204" t="str">
        <f>IFERROR(AX630-AX613,"")</f>
      </c>
      <c r="BA642" s="204" t="str">
        <f>IFERROR(AZ643-AZ613,"")</f>
      </c>
      <c r="BB642" s="204" t="str">
        <f>IFERROR(BA643-BA613,"")</f>
      </c>
      <c r="BC642" s="204"/>
      <c r="BD642" s="950"/>
      <c r="BE642" s="204" t="str">
        <f>IFERROR(BC630-BC613,"")</f>
      </c>
      <c r="BF642" s="204" t="str">
        <f>IFERROR(BE643-BE613,"")</f>
      </c>
      <c r="BG642" s="204" t="str">
        <f>IFERROR(BF643-BF613,"")</f>
      </c>
      <c r="BH642" s="204"/>
      <c r="BI642" s="950"/>
      <c r="BJ642" s="204" t="str">
        <f>IFERROR(BH630-BH613,"")</f>
      </c>
      <c r="BK642" s="204" t="str">
        <f>IFERROR(BJ643-BJ613,"")</f>
      </c>
      <c r="BL642" s="204" t="str">
        <f>IFERROR(BK643-BK613,"")</f>
      </c>
      <c r="BM642" s="204"/>
      <c r="BN642" s="950"/>
      <c r="BO642" s="204">
        <f>IFERROR(BM630-BM613,"")</f>
      </c>
      <c r="BP642" s="204">
        <f>IFERROR(BO643-BO613,"")</f>
      </c>
      <c r="BQ642" s="204">
        <f>IFERROR(BP643-BP613,"")</f>
      </c>
      <c r="BR642" s="204"/>
      <c r="BS642" s="950"/>
      <c r="BT642" s="294">
        <f>IFERROR(BR630-BR613,"")</f>
      </c>
      <c r="BU642" s="204"/>
      <c r="BV642" s="204"/>
      <c r="BW642" s="204"/>
      <c r="BX642" s="950"/>
      <c r="BY642" s="204"/>
      <c r="BZ642" s="204"/>
      <c r="CA642" s="204"/>
      <c r="CB642" s="204"/>
      <c r="CC642" s="950"/>
      <c r="CD642" s="950"/>
      <c r="CE642" s="950"/>
      <c r="CF642" s="950"/>
      <c r="CG642" s="757"/>
    </row>
    <row r="643" spans="1:85" s="587" customFormat="1" ht="15" hidden="1" customHeight="1" outlineLevel="2" x14ac:dyDescent="0.3">
      <c r="A643" s="255" t="s">
        <v>2371</v>
      </c>
      <c r="B643" s="414"/>
      <c r="C643" s="950"/>
      <c r="D643" s="950"/>
      <c r="E643" s="950"/>
      <c r="F643" s="950"/>
      <c r="G643" s="204"/>
      <c r="H643" s="204"/>
      <c r="I643" s="204"/>
      <c r="J643" s="204"/>
      <c r="K643" s="950"/>
      <c r="L643" s="204"/>
      <c r="M643" s="204"/>
      <c r="N643" s="204"/>
      <c r="O643" s="204"/>
      <c r="P643" s="950"/>
      <c r="Q643" s="204"/>
      <c r="R643" s="204"/>
      <c r="S643" s="204"/>
      <c r="T643" s="204"/>
      <c r="U643" s="950"/>
      <c r="V643" s="204"/>
      <c r="W643" s="204"/>
      <c r="X643" s="204"/>
      <c r="Y643" s="204"/>
      <c r="Z643" s="950"/>
      <c r="AA643" s="204"/>
      <c r="AB643" s="204"/>
      <c r="AC643" s="204"/>
      <c r="AD643" s="204"/>
      <c r="AE643" s="950"/>
      <c r="AF643" s="204" t="str">
        <f>IFERROR(AF630-SUM(AF598),"")</f>
      </c>
      <c r="AG643" s="204" t="str">
        <f>IFERROR(AG630-SUM(AG598,AF598),"")</f>
      </c>
      <c r="AH643" s="204" t="str">
        <f>IFERROR(AH630-SUM(AH598,AG598,AF598),"")</f>
      </c>
      <c r="AI643" s="204"/>
      <c r="AJ643" s="950"/>
      <c r="AK643" s="204" t="str">
        <f>IFERROR(AK630-SUM(AK598),"")</f>
      </c>
      <c r="AL643" s="204" t="str">
        <f>IFERROR(AL630-SUM(AL598,AK598),"")</f>
      </c>
      <c r="AM643" s="204" t="str">
        <f>IFERROR(AM630-SUM(AM598,AL598,AK598),"")</f>
      </c>
      <c r="AN643" s="204"/>
      <c r="AO643" s="950"/>
      <c r="AP643" s="204" t="str">
        <f>IFERROR(AP630-SUM(AP598),"")</f>
      </c>
      <c r="AQ643" s="204" t="str">
        <f>IFERROR(AQ630-SUM(AQ598,AP598),"")</f>
      </c>
      <c r="AR643" s="204" t="str">
        <f>IFERROR(AR630-SUM(AR598,AQ598,AP598),"")</f>
      </c>
      <c r="AS643" s="204"/>
      <c r="AT643" s="950"/>
      <c r="AU643" s="204" t="str">
        <f>IFERROR(AU630-SUM(AU598),"")</f>
      </c>
      <c r="AV643" s="204" t="str">
        <f>IFERROR(AV630-SUM(AV598,AU598),"")</f>
      </c>
      <c r="AW643" s="204" t="str">
        <f>IFERROR(AW630-SUM(AW598,AV598,AU598),"")</f>
      </c>
      <c r="AX643" s="204"/>
      <c r="AY643" s="950"/>
      <c r="AZ643" s="204" t="str">
        <f>IFERROR(AZ630-SUM(AZ598),"")</f>
      </c>
      <c r="BA643" s="204" t="str">
        <f>IFERROR(BA630-SUM(BA598,AZ598),"")</f>
      </c>
      <c r="BB643" s="204" t="str">
        <f>IFERROR(BB630-SUM(BB598,BA598,AZ598),"")</f>
      </c>
      <c r="BC643" s="204"/>
      <c r="BD643" s="950"/>
      <c r="BE643" s="204" t="str">
        <f>IFERROR(BE630-SUM(BE598),"")</f>
      </c>
      <c r="BF643" s="204" t="str">
        <f>IFERROR(BF630-SUM(BF598,BE598),"")</f>
      </c>
      <c r="BG643" s="204" t="str">
        <f>IFERROR(BG630-SUM(BG598,BF598,BE598),"")</f>
      </c>
      <c r="BH643" s="204"/>
      <c r="BI643" s="950"/>
      <c r="BJ643" s="204" t="str">
        <f>IFERROR(BJ630-SUM(BJ598),"")</f>
      </c>
      <c r="BK643" s="204" t="str">
        <f>IFERROR(BK630-SUM(BK598,BJ598),"")</f>
      </c>
      <c r="BL643" s="204" t="str">
        <f>IFERROR(BL630-SUM(BL598,BK598,BJ598),"")</f>
      </c>
      <c r="BM643" s="204"/>
      <c r="BN643" s="950"/>
      <c r="BO643" s="204">
        <f>IFERROR(BO630-SUM(BO598),"")</f>
      </c>
      <c r="BP643" s="204">
        <f>IFERROR(BP630-SUM(BP598,BO598),"")</f>
      </c>
      <c r="BQ643" s="204">
        <f>IFERROR(BQ630-SUM(BQ598,BP598,BO598),"")</f>
      </c>
      <c r="BR643" s="204"/>
      <c r="BS643" s="950"/>
      <c r="BT643" s="294">
        <f>IFERROR(BT630-SUM(BT598),"")</f>
      </c>
      <c r="BU643" s="204"/>
      <c r="BV643" s="204"/>
      <c r="BW643" s="204"/>
      <c r="BX643" s="950"/>
      <c r="BY643" s="204"/>
      <c r="BZ643" s="204"/>
      <c r="CA643" s="204"/>
      <c r="CB643" s="204"/>
      <c r="CC643" s="950"/>
      <c r="CD643" s="950"/>
      <c r="CE643" s="950"/>
      <c r="CF643" s="950"/>
      <c r="CG643" s="757"/>
    </row>
    <row r="644" spans="1:85" s="587" customFormat="1" ht="15" hidden="1" customHeight="1" outlineLevel="2" x14ac:dyDescent="0.3">
      <c r="A644" s="69" t="s">
        <v>2372</v>
      </c>
      <c r="B644" s="770"/>
      <c r="C644" s="935"/>
      <c r="D644" s="935"/>
      <c r="E644" s="935"/>
      <c r="F644" s="935"/>
      <c r="G644" s="58"/>
      <c r="H644" s="58"/>
      <c r="I644" s="58"/>
      <c r="J644" s="58"/>
      <c r="K644" s="935"/>
      <c r="L644" s="58"/>
      <c r="M644" s="58"/>
      <c r="N644" s="58"/>
      <c r="O644" s="58"/>
      <c r="P644" s="935"/>
      <c r="Q644" s="58"/>
      <c r="R644" s="58"/>
      <c r="S644" s="58"/>
      <c r="T644" s="58"/>
      <c r="U644" s="935"/>
      <c r="V644" s="58"/>
      <c r="W644" s="58"/>
      <c r="X644" s="58"/>
      <c r="Y644" s="58"/>
      <c r="Z644" s="935"/>
      <c r="AA644" s="58"/>
      <c r="AB644" s="58"/>
      <c r="AC644" s="58"/>
      <c r="AD644" s="58"/>
      <c r="AE644" s="935"/>
      <c r="AF644" s="58" t="str">
        <f>IFERROR(AF643/AF642-1,"")</f>
      </c>
      <c r="AG644" s="58" t="str">
        <f>IFERROR(AG643/AG642-1,"")</f>
      </c>
      <c r="AH644" s="58" t="str">
        <f>IFERROR(AH643/AH642-1,"")</f>
      </c>
      <c r="AI644" s="58"/>
      <c r="AJ644" s="935"/>
      <c r="AK644" s="58" t="str">
        <f>IFERROR(AK643/AK642-1,"")</f>
      </c>
      <c r="AL644" s="58" t="str">
        <f>IFERROR(AL643/AL642-1,"")</f>
      </c>
      <c r="AM644" s="58" t="str">
        <f>IFERROR(AM643/AM642-1,"")</f>
      </c>
      <c r="AN644" s="58"/>
      <c r="AO644" s="935"/>
      <c r="AP644" s="58" t="str">
        <f>IFERROR(AP643/AP642-1,"")</f>
      </c>
      <c r="AQ644" s="58" t="str">
        <f>IFERROR(AQ643/AQ642-1,"")</f>
      </c>
      <c r="AR644" s="58" t="str">
        <f>IFERROR(AR643/AR642-1,"")</f>
      </c>
      <c r="AS644" s="58"/>
      <c r="AT644" s="935"/>
      <c r="AU644" s="58" t="str">
        <f>IFERROR(AU643/AU642-1,"")</f>
      </c>
      <c r="AV644" s="58" t="str">
        <f>IFERROR(AV643/AV642-1,"")</f>
      </c>
      <c r="AW644" s="58" t="str">
        <f>IFERROR(AW643/AW642-1,"")</f>
      </c>
      <c r="AX644" s="58"/>
      <c r="AY644" s="935"/>
      <c r="AZ644" s="58" t="str">
        <f>IFERROR(AZ643/AZ642-1,"")</f>
      </c>
      <c r="BA644" s="58" t="str">
        <f>IFERROR(BA643/BA642-1,"")</f>
      </c>
      <c r="BB644" s="58" t="str">
        <f>IFERROR(BB643/BB642-1,"")</f>
      </c>
      <c r="BC644" s="58"/>
      <c r="BD644" s="935"/>
      <c r="BE644" s="58" t="str">
        <f>IFERROR(BE643/BE642-1,"")</f>
      </c>
      <c r="BF644" s="58" t="str">
        <f>IFERROR(BF643/BF642-1,"")</f>
      </c>
      <c r="BG644" s="58" t="str">
        <f>IFERROR(BG643/BG642-1,"")</f>
      </c>
      <c r="BH644" s="58"/>
      <c r="BI644" s="935"/>
      <c r="BJ644" s="58" t="str">
        <f>IFERROR(BJ643/BJ642-1,"")</f>
      </c>
      <c r="BK644" s="58" t="str">
        <f>IFERROR(BK643/BK642-1,"")</f>
      </c>
      <c r="BL644" s="58" t="str">
        <f>IFERROR(BL643/BL642-1,"")</f>
      </c>
      <c r="BM644" s="58"/>
      <c r="BN644" s="935"/>
      <c r="BO644" s="58">
        <f>IFERROR(BO643/BO642-1,"")</f>
      </c>
      <c r="BP644" s="58">
        <f>IFERROR(BP643/BP642-1,"")</f>
      </c>
      <c r="BQ644" s="58">
        <f>IFERROR(BQ643/BQ642-1,"")</f>
      </c>
      <c r="BR644" s="58"/>
      <c r="BS644" s="935"/>
      <c r="BT644" s="669">
        <f>IFERROR(BT643/BT642-1,"")</f>
      </c>
      <c r="BU644" s="58"/>
      <c r="BV644" s="58"/>
      <c r="BW644" s="58"/>
      <c r="BX644" s="935"/>
      <c r="BY644" s="58"/>
      <c r="BZ644" s="58"/>
      <c r="CA644" s="58"/>
      <c r="CB644" s="58"/>
      <c r="CC644" s="935"/>
      <c r="CD644" s="935"/>
      <c r="CE644" s="935"/>
      <c r="CF644" s="935"/>
      <c r="CG644" s="757"/>
    </row>
    <row r="645" spans="1:85" s="587" customFormat="1" ht="15" hidden="1" customHeight="1" outlineLevel="1" collapsed="1" x14ac:dyDescent="0.3">
      <c r="A645" s="558"/>
      <c r="B645" s="414"/>
      <c r="C645" s="962"/>
      <c r="D645" s="962"/>
      <c r="E645" s="962"/>
      <c r="F645" s="962"/>
      <c r="G645" s="757"/>
      <c r="H645" s="757"/>
      <c r="I645" s="757"/>
      <c r="J645" s="757"/>
      <c r="K645" s="962"/>
      <c r="L645" s="757"/>
      <c r="M645" s="757"/>
      <c r="N645" s="757"/>
      <c r="O645" s="757"/>
      <c r="P645" s="962"/>
      <c r="Q645" s="757"/>
      <c r="R645" s="757"/>
      <c r="S645" s="757"/>
      <c r="T645" s="757"/>
      <c r="U645" s="962"/>
      <c r="V645" s="757"/>
      <c r="W645" s="757"/>
      <c r="X645" s="757"/>
      <c r="Y645" s="757"/>
      <c r="Z645" s="962"/>
      <c r="AA645" s="757"/>
      <c r="AB645" s="757"/>
      <c r="AC645" s="757"/>
      <c r="AD645" s="757"/>
      <c r="AE645" s="962"/>
      <c r="AF645" s="757"/>
      <c r="AG645" s="757"/>
      <c r="AH645" s="757"/>
      <c r="AI645" s="757"/>
      <c r="AJ645" s="962"/>
      <c r="AK645" s="757"/>
      <c r="AL645" s="757"/>
      <c r="AM645" s="757"/>
      <c r="AN645" s="757"/>
      <c r="AO645" s="962"/>
      <c r="AP645" s="757"/>
      <c r="AQ645" s="757"/>
      <c r="AR645" s="757"/>
      <c r="AS645" s="757"/>
      <c r="AT645" s="962"/>
      <c r="AU645" s="757"/>
      <c r="AV645" s="757"/>
      <c r="AW645" s="757"/>
      <c r="AX645" s="757"/>
      <c r="AY645" s="962"/>
      <c r="AZ645" s="757"/>
      <c r="BA645" s="757"/>
      <c r="BB645" s="757"/>
      <c r="BC645" s="757"/>
      <c r="BD645" s="962"/>
      <c r="BE645" s="757"/>
      <c r="BF645" s="757"/>
      <c r="BG645" s="757"/>
      <c r="BH645" s="757"/>
      <c r="BI645" s="962"/>
      <c r="BJ645" s="757"/>
      <c r="BK645" s="757"/>
      <c r="BL645" s="757"/>
      <c r="BM645" s="757"/>
      <c r="BN645" s="962"/>
      <c r="BO645" s="757"/>
      <c r="BP645" s="757"/>
      <c r="BQ645" s="757"/>
      <c r="BR645" s="757"/>
      <c r="BS645" s="962"/>
      <c r="BT645" s="758"/>
      <c r="BU645" s="757"/>
      <c r="BV645" s="757"/>
      <c r="BW645" s="757"/>
      <c r="BX645" s="962"/>
      <c r="BY645" s="757"/>
      <c r="BZ645" s="757"/>
      <c r="CA645" s="757"/>
      <c r="CB645" s="757"/>
      <c r="CC645" s="962"/>
      <c r="CD645" s="962"/>
      <c r="CE645" s="962"/>
      <c r="CF645" s="962"/>
      <c r="CG645" s="757"/>
    </row>
    <row r="646" spans="1:85" s="587" customFormat="1" ht="15" hidden="1" customHeight="1" outlineLevel="1" x14ac:dyDescent="0.3">
      <c r="A646" s="412" t="s">
        <v>2265</v>
      </c>
      <c r="B646" s="136"/>
      <c r="C646" s="754"/>
      <c r="D646" s="754"/>
      <c r="E646" s="754"/>
      <c r="F646" s="754"/>
      <c r="G646" s="754"/>
      <c r="H646" s="754"/>
      <c r="I646" s="754"/>
      <c r="J646" s="754"/>
      <c r="K646" s="754"/>
      <c r="L646" s="754"/>
      <c r="M646" s="754"/>
      <c r="N646" s="754"/>
      <c r="O646" s="754"/>
      <c r="P646" s="754"/>
      <c r="Q646" s="754"/>
      <c r="R646" s="754"/>
      <c r="S646" s="754"/>
      <c r="T646" s="754"/>
      <c r="U646" s="754"/>
      <c r="V646" s="754"/>
      <c r="W646" s="754"/>
      <c r="X646" s="754"/>
      <c r="Y646" s="754"/>
      <c r="Z646" s="754"/>
      <c r="AA646" s="754"/>
      <c r="AB646" s="754"/>
      <c r="AC646" s="754"/>
      <c r="AD646" s="754"/>
      <c r="AE646" s="754"/>
      <c r="AF646" s="754"/>
      <c r="AG646" s="754"/>
      <c r="AH646" s="754"/>
      <c r="AI646" s="754"/>
      <c r="AJ646" s="754"/>
      <c r="AK646" s="754"/>
      <c r="AL646" s="754"/>
      <c r="AM646" s="754"/>
      <c r="AN646" s="754"/>
      <c r="AO646" s="754"/>
      <c r="AP646" s="754"/>
      <c r="AQ646" s="754"/>
      <c r="AR646" s="754"/>
      <c r="AS646" s="754"/>
      <c r="AT646" s="754"/>
      <c r="AU646" s="754"/>
      <c r="AV646" s="754"/>
      <c r="AW646" s="754"/>
      <c r="AX646" s="754"/>
      <c r="AY646" s="754"/>
      <c r="AZ646" s="754"/>
      <c r="BA646" s="754"/>
      <c r="BB646" s="754"/>
      <c r="BC646" s="754"/>
      <c r="BD646" s="754"/>
      <c r="BE646" s="754"/>
      <c r="BF646" s="754"/>
      <c r="BG646" s="754"/>
      <c r="BH646" s="754"/>
      <c r="BI646" s="754"/>
      <c r="BJ646" s="754"/>
      <c r="BK646" s="754"/>
      <c r="BL646" s="754"/>
      <c r="BM646" s="754"/>
      <c r="BN646" s="754"/>
      <c r="BO646" s="754"/>
      <c r="BP646" s="754"/>
      <c r="BQ646" s="754"/>
      <c r="BR646" s="754"/>
      <c r="BS646" s="754"/>
      <c r="BT646" s="755"/>
      <c r="BU646" s="754"/>
      <c r="BV646" s="754"/>
      <c r="BW646" s="754"/>
      <c r="BX646" s="754"/>
      <c r="BY646" s="754"/>
      <c r="BZ646" s="754"/>
      <c r="CA646" s="754"/>
      <c r="CB646" s="754"/>
      <c r="CC646" s="754"/>
      <c r="CD646" s="754"/>
      <c r="CE646" s="754"/>
      <c r="CF646" s="754"/>
      <c r="CG646" s="459"/>
    </row>
    <row r="647" spans="1:85" s="587" customFormat="1" ht="15" hidden="1" customHeight="1" outlineLevel="2" x14ac:dyDescent="0.3">
      <c r="A647" s="436" t="s">
        <v>2266</v>
      </c>
      <c r="B647" s="414"/>
      <c r="C647" s="962"/>
      <c r="D647" s="962"/>
      <c r="E647" s="962"/>
      <c r="F647" s="962"/>
      <c r="G647" s="757"/>
      <c r="H647" s="757" t="str">
        <f>IF(ISBLANK(G675),"",G675)</f>
      </c>
      <c r="I647" s="757" t="str">
        <f>IF(ISBLANK(H675),"",H675)</f>
      </c>
      <c r="J647" s="757" t="str">
        <f>IF(ISBLANK(I675),"",I675)</f>
      </c>
      <c r="K647" s="962"/>
      <c r="L647" s="757" t="str">
        <f>IF(ISBLANK(J675),"",J675)</f>
      </c>
      <c r="M647" s="757" t="str">
        <f>IF(ISBLANK(L675),"",L675)</f>
      </c>
      <c r="N647" s="757" t="str">
        <f>IF(ISBLANK(M675),"",M675)</f>
      </c>
      <c r="O647" s="757" t="str">
        <f>IF(ISBLANK(N675),"",N675)</f>
      </c>
      <c r="P647" s="962" t="str">
        <f>IF(ISBLANK(J703),"",J703)</f>
      </c>
      <c r="Q647" s="757" t="str">
        <f>IF(ISBLANK(O675),"",O675)</f>
      </c>
      <c r="R647" s="757" t="str">
        <f>IF(ISBLANK(Q675),"",Q675)</f>
      </c>
      <c r="S647" s="757" t="str">
        <f>IF(ISBLANK(R675),"",R675)</f>
      </c>
      <c r="T647" s="757" t="str">
        <f>IF(ISBLANK(S675),"",S675)</f>
      </c>
      <c r="U647" s="962" t="str">
        <f>IF(ISBLANK(O703),"",O703)</f>
      </c>
      <c r="V647" s="757" t="str">
        <f>IF(ISBLANK(T675),"",T675)</f>
      </c>
      <c r="W647" s="757" t="str">
        <f>IF(ISBLANK(V675),"",V675)</f>
      </c>
      <c r="X647" s="757" t="str">
        <f>IF(ISBLANK(W675),"",W675)</f>
      </c>
      <c r="Y647" s="757" t="str">
        <f>IF(ISBLANK(X675),"",X675)</f>
      </c>
      <c r="Z647" s="962" t="str">
        <f>IF(ISBLANK(T703),"",T703)</f>
      </c>
      <c r="AA647" s="757" t="str">
        <f>IF(ISBLANK(Y675),"",Y675)</f>
      </c>
      <c r="AB647" s="757" t="str">
        <f>IF(ISBLANK(AA675),"",AA675)</f>
      </c>
      <c r="AC647" s="757" t="str">
        <f>IF(ISBLANK(AB675),"",AB675)</f>
      </c>
      <c r="AD647" s="757" t="str">
        <f>IF(ISBLANK(AC675),"",AC675)</f>
      </c>
      <c r="AE647" s="962" t="str">
        <f>IF(ISBLANK(Y703),"",Y703)</f>
      </c>
      <c r="AF647" s="757" t="str">
        <f>IF(ISBLANK(AD675),"",AD675)</f>
      </c>
      <c r="AG647" s="757" t="str">
        <f>IF(ISBLANK(AF675),"",AF675)</f>
      </c>
      <c r="AH647" s="757" t="str">
        <f>IF(ISBLANK(AG675),"",AG675)</f>
      </c>
      <c r="AI647" s="757" t="str">
        <f>IF(ISBLANK(AH675),"",AH675)</f>
      </c>
      <c r="AJ647" s="962" t="str">
        <f>IF(ISBLANK(AD703),"",AD703)</f>
      </c>
      <c r="AK647" s="757">
        <f>IF(ISBLANK(AI675),"",AI675)</f>
      </c>
      <c r="AL647" s="757">
        <f>IF(ISBLANK(AK675),"",AK675)</f>
      </c>
      <c r="AM647" s="757">
        <f>IF(ISBLANK(AL675),"",AL675)</f>
      </c>
      <c r="AN647" s="757">
        <f>IF(ISBLANK(AM675),"",AM675)</f>
      </c>
      <c r="AO647" s="962" t="str">
        <f>IF(ISBLANK(AI703),"",AI703)</f>
      </c>
      <c r="AP647" s="757">
        <f>IF(ISBLANK(AN675),"",AN675)</f>
      </c>
      <c r="AQ647" s="757">
        <f>IF(ISBLANK(AP675),"",AP675)</f>
      </c>
      <c r="AR647" s="757">
        <f>IF(ISBLANK(AQ675),"",AQ675)</f>
      </c>
      <c r="AS647" s="757">
        <f>IF(ISBLANK(AR675),"",AR675)</f>
      </c>
      <c r="AT647" s="962" t="str">
        <f>IF(ISBLANK(AN703),"",AN703)</f>
      </c>
      <c r="AU647" s="757">
        <f>IF(ISBLANK(AS675),"",AS675)</f>
      </c>
      <c r="AV647" s="757">
        <f>IF(ISBLANK(AU675),"",AU675)</f>
      </c>
      <c r="AW647" s="757">
        <f>IF(ISBLANK(AV675),"",AV675)</f>
      </c>
      <c r="AX647" s="757">
        <f>IF(ISBLANK(AW675),"",AW675)</f>
      </c>
      <c r="AY647" s="962" t="str">
        <f>IF(ISBLANK(AS703),"",AS703)</f>
      </c>
      <c r="AZ647" s="757">
        <f>IF(ISBLANK(AX675),"",AX675)</f>
      </c>
      <c r="BA647" s="757">
        <f>IF(ISBLANK(AZ675),"",AZ675)</f>
      </c>
      <c r="BB647" s="757">
        <f>IF(ISBLANK(BA675),"",BA675)</f>
      </c>
      <c r="BC647" s="757">
        <f>IF(ISBLANK(BB675),"",BB675)</f>
      </c>
      <c r="BD647" s="962" t="str">
        <f>IF(ISBLANK(AX703),"",AX703)</f>
      </c>
      <c r="BE647" s="757">
        <f>IF(ISBLANK(BC675),"",BC675)</f>
      </c>
      <c r="BF647" s="757">
        <f>IF(ISBLANK(BE675),"",BE675)</f>
      </c>
      <c r="BG647" s="757">
        <f>IF(ISBLANK(BF675),"",BF675)</f>
      </c>
      <c r="BH647" s="757">
        <f>IF(ISBLANK(BG675),"",BG675)</f>
      </c>
      <c r="BI647" s="962" t="str">
        <f>IF(ISBLANK(BC703),"",BC703)</f>
      </c>
      <c r="BJ647" s="757">
        <f>IF(ISBLANK(BH675),"",BH675)</f>
      </c>
      <c r="BK647" s="757">
        <f>IF(ISBLANK(BJ675),"",BJ675)</f>
      </c>
      <c r="BL647" s="757">
        <f>IF(ISBLANK(BK675),"",BK675)</f>
      </c>
      <c r="BM647" s="757">
        <f>IF(ISBLANK(BL675),"",BL675)</f>
      </c>
      <c r="BN647" s="962" t="str">
        <f>IF(ISBLANK(BH703),"",BH703)</f>
      </c>
      <c r="BO647" s="757">
        <f>IF(ISBLANK(BM675),"",BM675)</f>
      </c>
      <c r="BP647" s="757">
        <f>IF(ISBLANK(BO675),"",BO675)</f>
      </c>
      <c r="BQ647" s="757">
        <f>IF(ISBLANK(BP675),"",BP675)</f>
      </c>
      <c r="BR647" s="757">
        <f>IF(ISBLANK(BQ675),"",BQ675)</f>
      </c>
      <c r="BS647" s="962" t="str">
        <f>IF(ISBLANK(BM703),"",BM703)</f>
      </c>
      <c r="BT647" s="758">
        <f>IF(ISBLANK(BR675),"",BR675)</f>
      </c>
      <c r="BU647" s="757">
        <f>IF(ISBLANK(BT675),"",BT675)</f>
      </c>
      <c r="BV647" s="757" t="str">
        <f>IF(ISBLANK(BU675),"",BU675)</f>
      </c>
      <c r="BW647" s="757" t="str">
        <f>IF(ISBLANK(BV675),"",BV675)</f>
      </c>
      <c r="BX647" s="962" t="str">
        <f>IF(ISBLANK(BR703),"",BR703)</f>
      </c>
      <c r="BY647" s="757" t="str">
        <f>IF(ISBLANK(BW675),"",BW675)</f>
      </c>
      <c r="BZ647" s="757" t="str">
        <f>IF(ISBLANK(BY675),"",BY675)</f>
      </c>
      <c r="CA647" s="757" t="str">
        <f>IF(ISBLANK(BZ675),"",BZ675)</f>
      </c>
      <c r="CB647" s="757" t="str">
        <f>IF(ISBLANK(CA675),"",CA675)</f>
      </c>
      <c r="CC647" s="962" t="str">
        <f>IF(ISBLANK(BW703),"",BW703)</f>
      </c>
      <c r="CD647" s="962"/>
      <c r="CE647" s="962"/>
      <c r="CF647" s="962"/>
      <c r="CG647" s="757"/>
    </row>
    <row r="648" spans="1:85" s="587" customFormat="1" ht="15" hidden="1" customHeight="1" outlineLevel="2" x14ac:dyDescent="0.3">
      <c r="A648" s="436" t="s">
        <v>2267</v>
      </c>
      <c r="B648" s="414"/>
      <c r="C648" s="962"/>
      <c r="D648" s="962"/>
      <c r="E648" s="962"/>
      <c r="F648" s="962"/>
      <c r="G648" s="757"/>
      <c r="H648" s="757"/>
      <c r="I648" s="757"/>
      <c r="J648" s="757"/>
      <c r="K648" s="962" t="str">
        <f>IF(ISBLANK(G703),"",G703)</f>
      </c>
      <c r="L648" s="757"/>
      <c r="M648" s="757"/>
      <c r="N648" s="757"/>
      <c r="O648" s="757"/>
      <c r="P648" s="962" t="str">
        <f>IF(ISBLANK(L703),"",L703)</f>
      </c>
      <c r="Q648" s="757"/>
      <c r="R648" s="757"/>
      <c r="S648" s="757"/>
      <c r="T648" s="757"/>
      <c r="U648" s="962" t="str">
        <f>IF(ISBLANK(Q703),"",Q703)</f>
      </c>
      <c r="V648" s="757"/>
      <c r="W648" s="757"/>
      <c r="X648" s="757"/>
      <c r="Y648" s="757"/>
      <c r="Z648" s="962" t="str">
        <f>IF(ISBLANK(V703),"",V703)</f>
      </c>
      <c r="AA648" s="757"/>
      <c r="AB648" s="757"/>
      <c r="AC648" s="757"/>
      <c r="AD648" s="757"/>
      <c r="AE648" s="962" t="str">
        <f>IF(ISBLANK(AA703),"",AA703)</f>
      </c>
      <c r="AF648" s="757"/>
      <c r="AG648" s="757"/>
      <c r="AH648" s="757"/>
      <c r="AI648" s="757"/>
      <c r="AJ648" s="962" t="str">
        <f>IF(ISBLANK(AF703),"",AF703)</f>
      </c>
      <c r="AK648" s="757"/>
      <c r="AL648" s="757"/>
      <c r="AM648" s="757"/>
      <c r="AN648" s="757"/>
      <c r="AO648" s="962" t="str">
        <f>IF(ISBLANK(AK703),"",AK703)</f>
      </c>
      <c r="AP648" s="757"/>
      <c r="AQ648" s="757"/>
      <c r="AR648" s="757"/>
      <c r="AS648" s="757"/>
      <c r="AT648" s="962" t="str">
        <f>IF(ISBLANK(AP703),"",AP703)</f>
      </c>
      <c r="AU648" s="757"/>
      <c r="AV648" s="757"/>
      <c r="AW648" s="757"/>
      <c r="AX648" s="757"/>
      <c r="AY648" s="962" t="str">
        <f>IF(ISBLANK(AU703),"",AU703)</f>
      </c>
      <c r="AZ648" s="757"/>
      <c r="BA648" s="757"/>
      <c r="BB648" s="757"/>
      <c r="BC648" s="757"/>
      <c r="BD648" s="962" t="str">
        <f>IF(ISBLANK(AZ703),"",AZ703)</f>
      </c>
      <c r="BE648" s="757"/>
      <c r="BF648" s="757"/>
      <c r="BG648" s="757"/>
      <c r="BH648" s="757"/>
      <c r="BI648" s="962" t="str">
        <f>IF(ISBLANK(BE703),"",BE703)</f>
      </c>
      <c r="BJ648" s="757"/>
      <c r="BK648" s="757"/>
      <c r="BL648" s="757"/>
      <c r="BM648" s="757"/>
      <c r="BN648" s="962" t="str">
        <f>IF(ISBLANK(BJ703),"",BJ703)</f>
      </c>
      <c r="BO648" s="757"/>
      <c r="BP648" s="757"/>
      <c r="BQ648" s="757"/>
      <c r="BR648" s="757"/>
      <c r="BS648" s="962" t="str">
        <f>IF(ISBLANK(BO703),"",BO703)</f>
      </c>
      <c r="BT648" s="758"/>
      <c r="BU648" s="757"/>
      <c r="BV648" s="757"/>
      <c r="BW648" s="757"/>
      <c r="BX648" s="962" t="str">
        <f>IF(ISBLANK(BT703),"",BT703)</f>
      </c>
      <c r="BY648" s="757"/>
      <c r="BZ648" s="757"/>
      <c r="CA648" s="757"/>
      <c r="CB648" s="757"/>
      <c r="CC648" s="962" t="str">
        <f>IF(ISBLANK(BY703),"",BY703)</f>
      </c>
      <c r="CD648" s="962"/>
      <c r="CE648" s="962"/>
      <c r="CF648" s="962"/>
      <c r="CG648" s="757"/>
    </row>
    <row r="649" spans="1:85" s="587" customFormat="1" ht="15" hidden="1" customHeight="1" outlineLevel="2" x14ac:dyDescent="0.3">
      <c r="A649" s="436" t="s">
        <v>2268</v>
      </c>
      <c r="B649" s="414"/>
      <c r="C649" s="962"/>
      <c r="D649" s="962"/>
      <c r="E649" s="962"/>
      <c r="F649" s="962"/>
      <c r="G649" s="757"/>
      <c r="H649" s="757"/>
      <c r="I649" s="757"/>
      <c r="J649" s="757"/>
      <c r="K649" s="962" t="str">
        <f>IF(ISBLANK(H703),"",H703)</f>
      </c>
      <c r="L649" s="757"/>
      <c r="M649" s="757"/>
      <c r="N649" s="757"/>
      <c r="O649" s="757"/>
      <c r="P649" s="962" t="str">
        <f>IF(ISBLANK(M703),"",M703)</f>
      </c>
      <c r="Q649" s="757"/>
      <c r="R649" s="757"/>
      <c r="S649" s="757"/>
      <c r="T649" s="757"/>
      <c r="U649" s="962" t="str">
        <f>IF(ISBLANK(R703),"",R703)</f>
      </c>
      <c r="V649" s="757"/>
      <c r="W649" s="757"/>
      <c r="X649" s="757"/>
      <c r="Y649" s="757"/>
      <c r="Z649" s="962" t="str">
        <f>IF(ISBLANK(W703),"",W703)</f>
      </c>
      <c r="AA649" s="757"/>
      <c r="AB649" s="757"/>
      <c r="AC649" s="757"/>
      <c r="AD649" s="757"/>
      <c r="AE649" s="962" t="str">
        <f>IF(ISBLANK(AB703),"",AB703)</f>
      </c>
      <c r="AF649" s="757"/>
      <c r="AG649" s="757"/>
      <c r="AH649" s="757"/>
      <c r="AI649" s="757"/>
      <c r="AJ649" s="962" t="str">
        <f>IF(ISBLANK(AG703),"",AG703)</f>
      </c>
      <c r="AK649" s="757"/>
      <c r="AL649" s="757"/>
      <c r="AM649" s="757"/>
      <c r="AN649" s="757"/>
      <c r="AO649" s="962" t="str">
        <f>IF(ISBLANK(AL703),"",AL703)</f>
      </c>
      <c r="AP649" s="757"/>
      <c r="AQ649" s="757"/>
      <c r="AR649" s="757"/>
      <c r="AS649" s="757"/>
      <c r="AT649" s="962" t="str">
        <f>IF(ISBLANK(AQ703),"",AQ703)</f>
      </c>
      <c r="AU649" s="757"/>
      <c r="AV649" s="757"/>
      <c r="AW649" s="757"/>
      <c r="AX649" s="757"/>
      <c r="AY649" s="962" t="str">
        <f>IF(ISBLANK(AV703),"",AV703)</f>
      </c>
      <c r="AZ649" s="757"/>
      <c r="BA649" s="757"/>
      <c r="BB649" s="757"/>
      <c r="BC649" s="757"/>
      <c r="BD649" s="962" t="str">
        <f>IF(ISBLANK(BA703),"",BA703)</f>
      </c>
      <c r="BE649" s="757"/>
      <c r="BF649" s="757"/>
      <c r="BG649" s="757"/>
      <c r="BH649" s="757"/>
      <c r="BI649" s="962" t="str">
        <f>IF(ISBLANK(BF703),"",BF703)</f>
      </c>
      <c r="BJ649" s="757"/>
      <c r="BK649" s="757"/>
      <c r="BL649" s="757"/>
      <c r="BM649" s="757"/>
      <c r="BN649" s="962" t="str">
        <f>IF(ISBLANK(BK703),"",BK703)</f>
      </c>
      <c r="BO649" s="757"/>
      <c r="BP649" s="757"/>
      <c r="BQ649" s="757"/>
      <c r="BR649" s="757"/>
      <c r="BS649" s="962" t="str">
        <f>IF(ISBLANK(BP703),"",BP703)</f>
      </c>
      <c r="BT649" s="758"/>
      <c r="BU649" s="757"/>
      <c r="BV649" s="757"/>
      <c r="BW649" s="757"/>
      <c r="BX649" s="962" t="str">
        <f>IF(ISBLANK(BU703),"",BU703)</f>
      </c>
      <c r="BY649" s="757"/>
      <c r="BZ649" s="757"/>
      <c r="CA649" s="757"/>
      <c r="CB649" s="757"/>
      <c r="CC649" s="962" t="str">
        <f>IF(ISBLANK(BZ703),"",BZ703)</f>
      </c>
      <c r="CD649" s="962"/>
      <c r="CE649" s="962"/>
      <c r="CF649" s="962"/>
      <c r="CG649" s="757"/>
    </row>
    <row r="650" spans="1:85" s="587" customFormat="1" ht="15" hidden="1" customHeight="1" outlineLevel="2" x14ac:dyDescent="0.3">
      <c r="A650" s="554" t="s">
        <v>2269</v>
      </c>
      <c r="B650" s="416"/>
      <c r="C650" s="984"/>
      <c r="D650" s="984"/>
      <c r="E650" s="984"/>
      <c r="F650" s="984"/>
      <c r="G650" s="761"/>
      <c r="H650" s="761"/>
      <c r="I650" s="761"/>
      <c r="J650" s="761"/>
      <c r="K650" s="984" t="str">
        <f>IF(ISBLANK(I703),"",I703)</f>
      </c>
      <c r="L650" s="761"/>
      <c r="M650" s="761"/>
      <c r="N650" s="761"/>
      <c r="O650" s="761"/>
      <c r="P650" s="984" t="str">
        <f>IF(ISBLANK(N703),"",N703)</f>
      </c>
      <c r="Q650" s="761"/>
      <c r="R650" s="761"/>
      <c r="S650" s="761"/>
      <c r="T650" s="761"/>
      <c r="U650" s="984" t="str">
        <f>IF(ISBLANK(S703),"",S703)</f>
      </c>
      <c r="V650" s="761"/>
      <c r="W650" s="761"/>
      <c r="X650" s="761"/>
      <c r="Y650" s="761"/>
      <c r="Z650" s="984" t="str">
        <f>IF(ISBLANK(X703),"",X703)</f>
      </c>
      <c r="AA650" s="761"/>
      <c r="AB650" s="761"/>
      <c r="AC650" s="761"/>
      <c r="AD650" s="761"/>
      <c r="AE650" s="984" t="str">
        <f>IF(ISBLANK(AC703),"",AC703)</f>
      </c>
      <c r="AF650" s="761"/>
      <c r="AG650" s="761"/>
      <c r="AH650" s="761"/>
      <c r="AI650" s="761"/>
      <c r="AJ650" s="984" t="str">
        <f>IF(ISBLANK(AH703),"",AH703)</f>
      </c>
      <c r="AK650" s="761"/>
      <c r="AL650" s="761"/>
      <c r="AM650" s="761"/>
      <c r="AN650" s="761"/>
      <c r="AO650" s="984" t="str">
        <f>IF(ISBLANK(AM703),"",AM703)</f>
      </c>
      <c r="AP650" s="761"/>
      <c r="AQ650" s="761"/>
      <c r="AR650" s="761"/>
      <c r="AS650" s="761"/>
      <c r="AT650" s="984" t="str">
        <f>IF(ISBLANK(AR703),"",AR703)</f>
      </c>
      <c r="AU650" s="761"/>
      <c r="AV650" s="761"/>
      <c r="AW650" s="761"/>
      <c r="AX650" s="761"/>
      <c r="AY650" s="984" t="str">
        <f>IF(ISBLANK(AW703),"",AW703)</f>
      </c>
      <c r="AZ650" s="761"/>
      <c r="BA650" s="761"/>
      <c r="BB650" s="761"/>
      <c r="BC650" s="761"/>
      <c r="BD650" s="984" t="str">
        <f>IF(ISBLANK(BB703),"",BB703)</f>
      </c>
      <c r="BE650" s="761"/>
      <c r="BF650" s="761"/>
      <c r="BG650" s="761"/>
      <c r="BH650" s="761"/>
      <c r="BI650" s="984" t="str">
        <f>IF(ISBLANK(BG703),"",BG703)</f>
      </c>
      <c r="BJ650" s="761"/>
      <c r="BK650" s="761"/>
      <c r="BL650" s="761"/>
      <c r="BM650" s="761"/>
      <c r="BN650" s="984" t="str">
        <f>IF(ISBLANK(BL703),"",BL703)</f>
      </c>
      <c r="BO650" s="761"/>
      <c r="BP650" s="761"/>
      <c r="BQ650" s="761"/>
      <c r="BR650" s="761"/>
      <c r="BS650" s="984" t="str">
        <f>IF(ISBLANK(BQ703),"",BQ703)</f>
      </c>
      <c r="BT650" s="762"/>
      <c r="BU650" s="761"/>
      <c r="BV650" s="761"/>
      <c r="BW650" s="761"/>
      <c r="BX650" s="984" t="str">
        <f>IF(ISBLANK(BV703),"",BV703)</f>
      </c>
      <c r="BY650" s="761"/>
      <c r="BZ650" s="761"/>
      <c r="CA650" s="761"/>
      <c r="CB650" s="761"/>
      <c r="CC650" s="984" t="str">
        <f>IF(ISBLANK(CA703),"",CA703)</f>
      </c>
      <c r="CD650" s="984"/>
      <c r="CE650" s="984"/>
      <c r="CF650" s="984"/>
      <c r="CG650" s="757"/>
    </row>
    <row r="651" spans="1:85" s="587" customFormat="1" ht="15" hidden="1" customHeight="1" outlineLevel="1" collapsed="1" x14ac:dyDescent="0.3">
      <c r="A651" s="442" t="s">
        <v>2270</v>
      </c>
      <c r="B651" s="414"/>
      <c r="C651" s="962"/>
      <c r="D651" s="962"/>
      <c r="E651" s="962"/>
      <c r="F651" s="962"/>
      <c r="G651" s="757" t="str">
        <f t="shared" ref="G651:AL651" si="1141">IF(G650="",IF(G649="",IF(G648="",IF(G647="","",G647),G648),G649),G650)</f>
      </c>
      <c r="H651" s="757" t="str">
        <f t="shared" si="1141"/>
      </c>
      <c r="I651" s="757" t="str">
        <f t="shared" si="1141"/>
      </c>
      <c r="J651" s="757" t="str">
        <f t="shared" si="1141"/>
      </c>
      <c r="K651" s="962" t="str">
        <f t="shared" si="1141"/>
      </c>
      <c r="L651" s="757" t="str">
        <f t="shared" si="1141"/>
      </c>
      <c r="M651" s="757" t="str">
        <f t="shared" si="1141"/>
      </c>
      <c r="N651" s="757" t="str">
        <f t="shared" si="1141"/>
      </c>
      <c r="O651" s="757" t="str">
        <f t="shared" si="1141"/>
      </c>
      <c r="P651" s="962" t="str">
        <f t="shared" si="1141"/>
      </c>
      <c r="Q651" s="757" t="str">
        <f t="shared" si="1141"/>
      </c>
      <c r="R651" s="757" t="str">
        <f t="shared" si="1141"/>
      </c>
      <c r="S651" s="757" t="str">
        <f t="shared" si="1141"/>
      </c>
      <c r="T651" s="757" t="str">
        <f t="shared" si="1141"/>
      </c>
      <c r="U651" s="962" t="str">
        <f t="shared" si="1141"/>
      </c>
      <c r="V651" s="757" t="str">
        <f t="shared" si="1141"/>
      </c>
      <c r="W651" s="757" t="str">
        <f t="shared" si="1141"/>
      </c>
      <c r="X651" s="757" t="str">
        <f t="shared" si="1141"/>
      </c>
      <c r="Y651" s="757" t="str">
        <f t="shared" si="1141"/>
      </c>
      <c r="Z651" s="962" t="str">
        <f t="shared" si="1141"/>
      </c>
      <c r="AA651" s="757" t="str">
        <f t="shared" si="1141"/>
      </c>
      <c r="AB651" s="757" t="str">
        <f t="shared" si="1141"/>
      </c>
      <c r="AC651" s="757" t="str">
        <f t="shared" si="1141"/>
      </c>
      <c r="AD651" s="757" t="str">
        <f t="shared" si="1141"/>
      </c>
      <c r="AE651" s="962" t="str">
        <f t="shared" si="1141"/>
      </c>
      <c r="AF651" s="757" t="str">
        <f t="shared" si="1141"/>
      </c>
      <c r="AG651" s="757" t="str">
        <f t="shared" si="1141"/>
      </c>
      <c r="AH651" s="757" t="str">
        <f t="shared" si="1141"/>
      </c>
      <c r="AI651" s="757" t="str">
        <f t="shared" si="1141"/>
      </c>
      <c r="AJ651" s="962" t="str">
        <f t="shared" si="1141"/>
      </c>
      <c r="AK651" s="757">
        <f t="shared" si="1141"/>
      </c>
      <c r="AL651" s="757">
        <f t="shared" si="1141"/>
      </c>
      <c r="AM651" s="757">
        <f t="shared" ref="AM651:BP651" si="1142">IF(AM650="",IF(AM649="",IF(AM648="",IF(AM647="","",AM647),AM648),AM649),AM650)</f>
      </c>
      <c r="AN651" s="757">
        <f t="shared" si="1142"/>
      </c>
      <c r="AO651" s="962" t="str">
        <f t="shared" si="1142"/>
      </c>
      <c r="AP651" s="757">
        <f t="shared" si="1142"/>
      </c>
      <c r="AQ651" s="757">
        <f t="shared" si="1142"/>
      </c>
      <c r="AR651" s="757">
        <f t="shared" si="1142"/>
      </c>
      <c r="AS651" s="757">
        <f t="shared" si="1142"/>
      </c>
      <c r="AT651" s="962" t="str">
        <f t="shared" si="1142"/>
      </c>
      <c r="AU651" s="757">
        <f t="shared" si="1142"/>
      </c>
      <c r="AV651" s="757">
        <f t="shared" si="1142"/>
      </c>
      <c r="AW651" s="757">
        <f t="shared" si="1142"/>
      </c>
      <c r="AX651" s="757">
        <f t="shared" si="1142"/>
      </c>
      <c r="AY651" s="962" t="str">
        <f t="shared" si="1142"/>
      </c>
      <c r="AZ651" s="757">
        <f t="shared" si="1142"/>
      </c>
      <c r="BA651" s="757">
        <f t="shared" si="1142"/>
      </c>
      <c r="BB651" s="757">
        <f t="shared" si="1142"/>
      </c>
      <c r="BC651" s="757">
        <f t="shared" si="1142"/>
      </c>
      <c r="BD651" s="962" t="str">
        <f t="shared" si="1142"/>
      </c>
      <c r="BE651" s="757">
        <f t="shared" si="1142"/>
      </c>
      <c r="BF651" s="757">
        <f t="shared" si="1142"/>
      </c>
      <c r="BG651" s="757">
        <f t="shared" si="1142"/>
      </c>
      <c r="BH651" s="757">
        <f t="shared" si="1142"/>
      </c>
      <c r="BI651" s="962" t="str">
        <f t="shared" si="1142"/>
      </c>
      <c r="BJ651" s="757">
        <f t="shared" si="1142"/>
      </c>
      <c r="BK651" s="757">
        <f t="shared" si="1142"/>
      </c>
      <c r="BL651" s="757">
        <f t="shared" si="1142"/>
      </c>
      <c r="BM651" s="757">
        <f t="shared" si="1142"/>
      </c>
      <c r="BN651" s="962" t="str">
        <f t="shared" si="1142"/>
      </c>
      <c r="BO651" s="757">
        <f t="shared" si="1142"/>
      </c>
      <c r="BP651" s="757">
        <f t="shared" si="1142"/>
      </c>
      <c r="BQ651" s="757">
        <f t="shared" ref="BQ651:BW651" si="1143">IF(BQ650="",IF(BQ649="",IF(BQ648="",IF(BQ647="","",BQ647),BQ648),BQ649),BQ650)</f>
      </c>
      <c r="BR651" s="757">
        <f t="shared" si="1143"/>
      </c>
      <c r="BS651" s="962" t="str">
        <f t="shared" si="1143"/>
      </c>
      <c r="BT651" s="758">
        <f>IF(BT650="",IF(BT649="",IF(BT648="",IF(BT647="","",BT647),BT648),BT649),BT650)</f>
      </c>
      <c r="BU651" s="757">
        <f t="shared" si="1143"/>
      </c>
      <c r="BV651" s="757" t="str">
        <f t="shared" si="1143"/>
      </c>
      <c r="BW651" s="757" t="str">
        <f t="shared" si="1143"/>
      </c>
      <c r="BX651" s="962" t="str">
        <f t="shared" ref="BX651" si="1144">IF(BX650="",IF(BX649="",IF(BX648="",IF(BX647="","",BX647),BX648),BX649),BX650)</f>
      </c>
      <c r="BY651" s="757" t="str">
        <f t="shared" ref="BY651:CF651" si="1145">IF(BY650="",IF(BY649="",IF(BY648="",IF(BY647="","",BY647),BY648),BY649),BY650)</f>
      </c>
      <c r="BZ651" s="757" t="str">
        <f t="shared" si="1145"/>
      </c>
      <c r="CA651" s="757" t="str">
        <f t="shared" si="1145"/>
      </c>
      <c r="CB651" s="757" t="str">
        <f t="shared" si="1145"/>
      </c>
      <c r="CC651" s="962" t="str">
        <f t="shared" si="1145"/>
      </c>
      <c r="CD651" s="962" t="str">
        <f t="shared" si="1145"/>
      </c>
      <c r="CE651" s="962" t="str">
        <f t="shared" si="1145"/>
      </c>
      <c r="CF651" s="962" t="str">
        <f t="shared" si="1145"/>
      </c>
      <c r="CG651" s="757"/>
    </row>
    <row r="652" spans="1:85" s="587" customFormat="1" ht="15" hidden="1" customHeight="1" outlineLevel="1" x14ac:dyDescent="0.3">
      <c r="A652" s="417" t="s">
        <v>2271</v>
      </c>
      <c r="B652" s="416"/>
      <c r="C652" s="984">
        <f t="shared" ref="C652:BN652" si="1146">C472</f>
      </c>
      <c r="D652" s="984">
        <f t="shared" si="1146"/>
      </c>
      <c r="E652" s="984">
        <f t="shared" si="1146"/>
      </c>
      <c r="F652" s="984">
        <f t="shared" si="1146"/>
      </c>
      <c r="G652" s="761">
        <f t="shared" si="1146"/>
      </c>
      <c r="H652" s="761">
        <f t="shared" si="1146"/>
      </c>
      <c r="I652" s="761">
        <f t="shared" si="1146"/>
      </c>
      <c r="J652" s="761">
        <f t="shared" si="1146"/>
      </c>
      <c r="K652" s="984">
        <f t="shared" si="1146"/>
      </c>
      <c r="L652" s="761">
        <f t="shared" si="1146"/>
      </c>
      <c r="M652" s="761">
        <f t="shared" si="1146"/>
      </c>
      <c r="N652" s="761">
        <f t="shared" si="1146"/>
      </c>
      <c r="O652" s="761">
        <f t="shared" si="1146"/>
      </c>
      <c r="P652" s="984">
        <f t="shared" si="1146"/>
      </c>
      <c r="Q652" s="761">
        <f t="shared" si="1146"/>
      </c>
      <c r="R652" s="761">
        <f t="shared" si="1146"/>
      </c>
      <c r="S652" s="761">
        <f t="shared" si="1146"/>
      </c>
      <c r="T652" s="761">
        <f t="shared" si="1146"/>
      </c>
      <c r="U652" s="984">
        <f t="shared" si="1146"/>
      </c>
      <c r="V652" s="761">
        <f t="shared" si="1146"/>
      </c>
      <c r="W652" s="761">
        <f t="shared" si="1146"/>
      </c>
      <c r="X652" s="761">
        <f t="shared" si="1146"/>
      </c>
      <c r="Y652" s="761">
        <f t="shared" si="1146"/>
      </c>
      <c r="Z652" s="984">
        <f t="shared" si="1146"/>
      </c>
      <c r="AA652" s="761">
        <f t="shared" si="1146"/>
      </c>
      <c r="AB652" s="761">
        <f t="shared" si="1146"/>
      </c>
      <c r="AC652" s="761">
        <f t="shared" si="1146"/>
      </c>
      <c r="AD652" s="761">
        <f t="shared" si="1146"/>
      </c>
      <c r="AE652" s="984">
        <f t="shared" si="1146"/>
      </c>
      <c r="AF652" s="761">
        <f t="shared" si="1146"/>
      </c>
      <c r="AG652" s="761">
        <f t="shared" si="1146"/>
      </c>
      <c r="AH652" s="761">
        <f t="shared" si="1146"/>
      </c>
      <c r="AI652" s="761">
        <f t="shared" si="1146"/>
      </c>
      <c r="AJ652" s="984">
        <f t="shared" si="1146"/>
      </c>
      <c r="AK652" s="761">
        <f t="shared" si="1146"/>
      </c>
      <c r="AL652" s="761">
        <f t="shared" si="1146"/>
      </c>
      <c r="AM652" s="761">
        <f t="shared" si="1146"/>
      </c>
      <c r="AN652" s="761">
        <f t="shared" si="1146"/>
      </c>
      <c r="AO652" s="984">
        <f t="shared" si="1146"/>
      </c>
      <c r="AP652" s="761">
        <f t="shared" si="1146"/>
      </c>
      <c r="AQ652" s="761">
        <f t="shared" si="1146"/>
      </c>
      <c r="AR652" s="761">
        <f t="shared" si="1146"/>
      </c>
      <c r="AS652" s="761">
        <f t="shared" si="1146"/>
      </c>
      <c r="AT652" s="984">
        <f t="shared" si="1146"/>
      </c>
      <c r="AU652" s="761">
        <f t="shared" si="1146"/>
      </c>
      <c r="AV652" s="761">
        <f t="shared" si="1146"/>
      </c>
      <c r="AW652" s="761">
        <f t="shared" si="1146"/>
      </c>
      <c r="AX652" s="761">
        <f t="shared" si="1146"/>
      </c>
      <c r="AY652" s="984">
        <f t="shared" si="1146"/>
      </c>
      <c r="AZ652" s="761">
        <f t="shared" si="1146"/>
      </c>
      <c r="BA652" s="761">
        <f t="shared" si="1146"/>
      </c>
      <c r="BB652" s="761">
        <f t="shared" si="1146"/>
      </c>
      <c r="BC652" s="761">
        <f t="shared" si="1146"/>
      </c>
      <c r="BD652" s="984">
        <f t="shared" si="1146"/>
      </c>
      <c r="BE652" s="761">
        <f t="shared" si="1146"/>
      </c>
      <c r="BF652" s="761">
        <f t="shared" si="1146"/>
      </c>
      <c r="BG652" s="761">
        <f t="shared" si="1146"/>
      </c>
      <c r="BH652" s="761">
        <f t="shared" si="1146"/>
      </c>
      <c r="BI652" s="984">
        <f t="shared" si="1146"/>
      </c>
      <c r="BJ652" s="761">
        <f t="shared" si="1146"/>
      </c>
      <c r="BK652" s="761">
        <f t="shared" si="1146"/>
      </c>
      <c r="BL652" s="761">
        <f t="shared" si="1146"/>
      </c>
      <c r="BM652" s="761">
        <f t="shared" si="1146"/>
      </c>
      <c r="BN652" s="984">
        <f t="shared" si="1146"/>
      </c>
      <c r="BO652" s="761">
        <f t="shared" ref="BO652" si="1147">BO472</f>
      </c>
      <c r="BP652" s="761">
        <f t="shared" ref="BP652:BW652" si="1148">BP472</f>
      </c>
      <c r="BQ652" s="761">
        <f t="shared" si="1148"/>
      </c>
      <c r="BR652" s="761">
        <f t="shared" si="1148"/>
      </c>
      <c r="BS652" s="984">
        <f t="shared" si="1148"/>
      </c>
      <c r="BT652" s="762">
        <f>BT472</f>
      </c>
      <c r="BU652" s="761">
        <f t="shared" si="1148"/>
      </c>
      <c r="BV652" s="761">
        <f t="shared" si="1148"/>
      </c>
      <c r="BW652" s="761">
        <f t="shared" si="1148"/>
      </c>
      <c r="BX652" s="984">
        <f t="shared" ref="BX652" si="1149">BX472</f>
      </c>
      <c r="BY652" s="761">
        <f t="shared" ref="BY652:CF652" si="1150">BY472</f>
      </c>
      <c r="BZ652" s="761">
        <f t="shared" si="1150"/>
      </c>
      <c r="CA652" s="761">
        <f t="shared" si="1150"/>
      </c>
      <c r="CB652" s="761">
        <f t="shared" si="1150"/>
      </c>
      <c r="CC652" s="984">
        <f t="shared" si="1150"/>
      </c>
      <c r="CD652" s="984">
        <f t="shared" si="1150"/>
      </c>
      <c r="CE652" s="984">
        <f t="shared" si="1150"/>
      </c>
      <c r="CF652" s="984">
        <f t="shared" si="1150"/>
      </c>
      <c r="CG652" s="757"/>
    </row>
    <row r="653" spans="1:85" s="587" customFormat="1" ht="15" hidden="1" customHeight="1" outlineLevel="1" x14ac:dyDescent="0.3">
      <c r="A653" s="555" t="s">
        <v>2272</v>
      </c>
      <c r="B653" s="419"/>
      <c r="C653" s="1008"/>
      <c r="D653" s="1008"/>
      <c r="E653" s="1008"/>
      <c r="F653" s="1008"/>
      <c r="G653" s="804" t="str">
        <f t="shared" ref="G653:AL653" si="1151">IFERROR(G652-G651,"")</f>
      </c>
      <c r="H653" s="804" t="str">
        <f t="shared" si="1151"/>
      </c>
      <c r="I653" s="804" t="str">
        <f t="shared" si="1151"/>
      </c>
      <c r="J653" s="804" t="str">
        <f t="shared" si="1151"/>
      </c>
      <c r="K653" s="1008" t="str">
        <f t="shared" si="1151"/>
      </c>
      <c r="L653" s="804" t="str">
        <f t="shared" si="1151"/>
      </c>
      <c r="M653" s="804" t="str">
        <f t="shared" si="1151"/>
      </c>
      <c r="N653" s="804" t="str">
        <f t="shared" si="1151"/>
      </c>
      <c r="O653" s="804" t="str">
        <f t="shared" si="1151"/>
      </c>
      <c r="P653" s="1008" t="str">
        <f t="shared" si="1151"/>
      </c>
      <c r="Q653" s="804" t="str">
        <f t="shared" si="1151"/>
      </c>
      <c r="R653" s="804" t="str">
        <f t="shared" si="1151"/>
      </c>
      <c r="S653" s="804" t="str">
        <f t="shared" si="1151"/>
      </c>
      <c r="T653" s="804" t="str">
        <f t="shared" si="1151"/>
      </c>
      <c r="U653" s="1008" t="str">
        <f t="shared" si="1151"/>
      </c>
      <c r="V653" s="804" t="str">
        <f t="shared" si="1151"/>
      </c>
      <c r="W653" s="804" t="str">
        <f t="shared" si="1151"/>
      </c>
      <c r="X653" s="804" t="str">
        <f t="shared" si="1151"/>
      </c>
      <c r="Y653" s="804" t="str">
        <f t="shared" si="1151"/>
      </c>
      <c r="Z653" s="1008" t="str">
        <f t="shared" si="1151"/>
      </c>
      <c r="AA653" s="804" t="str">
        <f t="shared" si="1151"/>
      </c>
      <c r="AB653" s="804" t="str">
        <f t="shared" si="1151"/>
      </c>
      <c r="AC653" s="804" t="str">
        <f t="shared" si="1151"/>
      </c>
      <c r="AD653" s="804" t="str">
        <f t="shared" si="1151"/>
      </c>
      <c r="AE653" s="1008" t="str">
        <f t="shared" si="1151"/>
      </c>
      <c r="AF653" s="804" t="str">
        <f t="shared" si="1151"/>
      </c>
      <c r="AG653" s="804" t="str">
        <f t="shared" si="1151"/>
      </c>
      <c r="AH653" s="804" t="str">
        <f t="shared" si="1151"/>
      </c>
      <c r="AI653" s="804" t="str">
        <f t="shared" si="1151"/>
      </c>
      <c r="AJ653" s="1008" t="str">
        <f t="shared" si="1151"/>
      </c>
      <c r="AK653" s="804">
        <f t="shared" si="1151"/>
      </c>
      <c r="AL653" s="804">
        <f t="shared" si="1151"/>
      </c>
      <c r="AM653" s="804">
        <f t="shared" ref="AM653:BP653" si="1152">IFERROR(AM652-AM651,"")</f>
      </c>
      <c r="AN653" s="804">
        <f t="shared" si="1152"/>
      </c>
      <c r="AO653" s="1008" t="str">
        <f t="shared" si="1152"/>
      </c>
      <c r="AP653" s="804">
        <f t="shared" si="1152"/>
      </c>
      <c r="AQ653" s="804">
        <f t="shared" si="1152"/>
      </c>
      <c r="AR653" s="804">
        <f t="shared" si="1152"/>
      </c>
      <c r="AS653" s="804">
        <f t="shared" si="1152"/>
      </c>
      <c r="AT653" s="1008" t="str">
        <f t="shared" si="1152"/>
      </c>
      <c r="AU653" s="804">
        <f t="shared" si="1152"/>
      </c>
      <c r="AV653" s="804">
        <f t="shared" si="1152"/>
      </c>
      <c r="AW653" s="804">
        <f t="shared" si="1152"/>
      </c>
      <c r="AX653" s="804">
        <f t="shared" si="1152"/>
      </c>
      <c r="AY653" s="1008" t="str">
        <f t="shared" si="1152"/>
      </c>
      <c r="AZ653" s="804">
        <f t="shared" si="1152"/>
      </c>
      <c r="BA653" s="804">
        <f t="shared" si="1152"/>
      </c>
      <c r="BB653" s="804">
        <f t="shared" si="1152"/>
      </c>
      <c r="BC653" s="804">
        <f t="shared" si="1152"/>
      </c>
      <c r="BD653" s="1008" t="str">
        <f t="shared" si="1152"/>
      </c>
      <c r="BE653" s="804">
        <f t="shared" si="1152"/>
      </c>
      <c r="BF653" s="804">
        <f t="shared" si="1152"/>
      </c>
      <c r="BG653" s="804">
        <f t="shared" si="1152"/>
      </c>
      <c r="BH653" s="804">
        <f t="shared" si="1152"/>
      </c>
      <c r="BI653" s="1008" t="str">
        <f t="shared" si="1152"/>
      </c>
      <c r="BJ653" s="804">
        <f t="shared" si="1152"/>
      </c>
      <c r="BK653" s="804">
        <f t="shared" si="1152"/>
      </c>
      <c r="BL653" s="804">
        <f t="shared" si="1152"/>
      </c>
      <c r="BM653" s="804">
        <f t="shared" si="1152"/>
      </c>
      <c r="BN653" s="1008" t="str">
        <f t="shared" si="1152"/>
      </c>
      <c r="BO653" s="804">
        <f t="shared" si="1152"/>
      </c>
      <c r="BP653" s="804">
        <f t="shared" si="1152"/>
      </c>
      <c r="BQ653" s="804">
        <f t="shared" ref="BQ653:BW653" si="1153">IFERROR(BQ652-BQ651,"")</f>
      </c>
      <c r="BR653" s="804">
        <f t="shared" si="1153"/>
      </c>
      <c r="BS653" s="1008" t="str">
        <f t="shared" si="1153"/>
      </c>
      <c r="BT653" s="805">
        <f>IFERROR(BT652-BT651,"")</f>
      </c>
      <c r="BU653" s="804">
        <f t="shared" si="1153"/>
      </c>
      <c r="BV653" s="804" t="str">
        <f t="shared" si="1153"/>
      </c>
      <c r="BW653" s="804" t="str">
        <f t="shared" si="1153"/>
      </c>
      <c r="BX653" s="1008" t="str">
        <f t="shared" ref="BX653" si="1154">IFERROR(BX652-BX651,"")</f>
      </c>
      <c r="BY653" s="804" t="str">
        <f t="shared" ref="BY653:CF653" si="1155">IFERROR(BY652-BY651,"")</f>
      </c>
      <c r="BZ653" s="804" t="str">
        <f t="shared" si="1155"/>
      </c>
      <c r="CA653" s="804" t="str">
        <f t="shared" si="1155"/>
      </c>
      <c r="CB653" s="804" t="str">
        <f t="shared" si="1155"/>
      </c>
      <c r="CC653" s="1008" t="str">
        <f t="shared" si="1155"/>
      </c>
      <c r="CD653" s="1008" t="str">
        <f t="shared" si="1155"/>
      </c>
      <c r="CE653" s="1008" t="str">
        <f t="shared" si="1155"/>
      </c>
      <c r="CF653" s="1008" t="str">
        <f t="shared" si="1155"/>
      </c>
      <c r="CG653" s="757"/>
    </row>
    <row r="654" spans="1:85" s="587" customFormat="1" ht="15" hidden="1" customHeight="1" outlineLevel="1" x14ac:dyDescent="0.3">
      <c r="A654" s="557" t="s">
        <v>2273</v>
      </c>
      <c r="B654" s="556"/>
      <c r="C654" s="1033"/>
      <c r="D654" s="1033"/>
      <c r="E654" s="1033"/>
      <c r="F654" s="1033"/>
      <c r="G654" s="549" t="str">
        <f t="shared" ref="G654:AL654" si="1156">IFERROR(G653/ABS(G651),"")</f>
      </c>
      <c r="H654" s="549" t="str">
        <f t="shared" si="1156"/>
      </c>
      <c r="I654" s="549" t="str">
        <f t="shared" si="1156"/>
      </c>
      <c r="J654" s="549" t="str">
        <f t="shared" si="1156"/>
      </c>
      <c r="K654" s="1033" t="str">
        <f t="shared" si="1156"/>
      </c>
      <c r="L654" s="549" t="str">
        <f t="shared" si="1156"/>
      </c>
      <c r="M654" s="549" t="str">
        <f t="shared" si="1156"/>
      </c>
      <c r="N654" s="549" t="str">
        <f t="shared" si="1156"/>
      </c>
      <c r="O654" s="549" t="str">
        <f t="shared" si="1156"/>
      </c>
      <c r="P654" s="1033" t="str">
        <f t="shared" si="1156"/>
      </c>
      <c r="Q654" s="549" t="str">
        <f t="shared" si="1156"/>
      </c>
      <c r="R654" s="549" t="str">
        <f t="shared" si="1156"/>
      </c>
      <c r="S654" s="549" t="str">
        <f t="shared" si="1156"/>
      </c>
      <c r="T654" s="549" t="str">
        <f t="shared" si="1156"/>
      </c>
      <c r="U654" s="1033" t="str">
        <f t="shared" si="1156"/>
      </c>
      <c r="V654" s="549" t="str">
        <f t="shared" si="1156"/>
      </c>
      <c r="W654" s="549" t="str">
        <f t="shared" si="1156"/>
      </c>
      <c r="X654" s="549" t="str">
        <f t="shared" si="1156"/>
      </c>
      <c r="Y654" s="549" t="str">
        <f t="shared" si="1156"/>
      </c>
      <c r="Z654" s="1033" t="str">
        <f t="shared" si="1156"/>
      </c>
      <c r="AA654" s="549" t="str">
        <f t="shared" si="1156"/>
      </c>
      <c r="AB654" s="549" t="str">
        <f t="shared" si="1156"/>
      </c>
      <c r="AC654" s="549" t="str">
        <f t="shared" si="1156"/>
      </c>
      <c r="AD654" s="549" t="str">
        <f t="shared" si="1156"/>
      </c>
      <c r="AE654" s="1033" t="str">
        <f t="shared" si="1156"/>
      </c>
      <c r="AF654" s="549" t="str">
        <f t="shared" si="1156"/>
      </c>
      <c r="AG654" s="549" t="str">
        <f t="shared" si="1156"/>
      </c>
      <c r="AH654" s="549" t="str">
        <f t="shared" si="1156"/>
      </c>
      <c r="AI654" s="549" t="str">
        <f t="shared" si="1156"/>
      </c>
      <c r="AJ654" s="1033" t="str">
        <f t="shared" si="1156"/>
      </c>
      <c r="AK654" s="549">
        <f t="shared" si="1156"/>
      </c>
      <c r="AL654" s="549">
        <f t="shared" si="1156"/>
      </c>
      <c r="AM654" s="549">
        <f t="shared" ref="AM654:BP654" si="1157">IFERROR(AM653/ABS(AM651),"")</f>
      </c>
      <c r="AN654" s="549">
        <f t="shared" si="1157"/>
      </c>
      <c r="AO654" s="1033" t="str">
        <f t="shared" si="1157"/>
      </c>
      <c r="AP654" s="549">
        <f t="shared" si="1157"/>
      </c>
      <c r="AQ654" s="549">
        <f t="shared" si="1157"/>
      </c>
      <c r="AR654" s="549">
        <f t="shared" si="1157"/>
      </c>
      <c r="AS654" s="549">
        <f t="shared" si="1157"/>
      </c>
      <c r="AT654" s="1033" t="str">
        <f t="shared" si="1157"/>
      </c>
      <c r="AU654" s="549">
        <f t="shared" si="1157"/>
      </c>
      <c r="AV654" s="549">
        <f t="shared" si="1157"/>
      </c>
      <c r="AW654" s="549">
        <f t="shared" si="1157"/>
      </c>
      <c r="AX654" s="549">
        <f t="shared" si="1157"/>
      </c>
      <c r="AY654" s="1033" t="str">
        <f t="shared" si="1157"/>
      </c>
      <c r="AZ654" s="549">
        <f t="shared" si="1157"/>
      </c>
      <c r="BA654" s="549">
        <f t="shared" si="1157"/>
      </c>
      <c r="BB654" s="549">
        <f t="shared" si="1157"/>
      </c>
      <c r="BC654" s="549">
        <f t="shared" si="1157"/>
      </c>
      <c r="BD654" s="1033" t="str">
        <f t="shared" si="1157"/>
      </c>
      <c r="BE654" s="549">
        <f t="shared" si="1157"/>
      </c>
      <c r="BF654" s="549">
        <f t="shared" si="1157"/>
      </c>
      <c r="BG654" s="549">
        <f t="shared" si="1157"/>
      </c>
      <c r="BH654" s="549">
        <f t="shared" si="1157"/>
      </c>
      <c r="BI654" s="1033" t="str">
        <f t="shared" si="1157"/>
      </c>
      <c r="BJ654" s="549">
        <f t="shared" si="1157"/>
      </c>
      <c r="BK654" s="549">
        <f t="shared" si="1157"/>
      </c>
      <c r="BL654" s="549">
        <f t="shared" si="1157"/>
      </c>
      <c r="BM654" s="549">
        <f t="shared" si="1157"/>
      </c>
      <c r="BN654" s="1033" t="str">
        <f t="shared" si="1157"/>
      </c>
      <c r="BO654" s="549">
        <f t="shared" si="1157"/>
      </c>
      <c r="BP654" s="549">
        <f t="shared" si="1157"/>
      </c>
      <c r="BQ654" s="549">
        <f t="shared" ref="BQ654:BW654" si="1158">IFERROR(BQ653/ABS(BQ651),"")</f>
      </c>
      <c r="BR654" s="549">
        <f t="shared" si="1158"/>
      </c>
      <c r="BS654" s="1033" t="str">
        <f t="shared" si="1158"/>
      </c>
      <c r="BT654" s="701">
        <f>IFERROR(BT653/ABS(BT651),"")</f>
      </c>
      <c r="BU654" s="549">
        <f t="shared" si="1158"/>
      </c>
      <c r="BV654" s="549" t="str">
        <f t="shared" si="1158"/>
      </c>
      <c r="BW654" s="549" t="str">
        <f t="shared" si="1158"/>
      </c>
      <c r="BX654" s="1033" t="str">
        <f t="shared" ref="BX654" si="1159">IFERROR(BX653/ABS(BX651),"")</f>
      </c>
      <c r="BY654" s="549" t="str">
        <f t="shared" ref="BY654:CF654" si="1160">IFERROR(BY653/ABS(BY651),"")</f>
      </c>
      <c r="BZ654" s="549" t="str">
        <f t="shared" si="1160"/>
      </c>
      <c r="CA654" s="549" t="str">
        <f t="shared" si="1160"/>
      </c>
      <c r="CB654" s="549" t="str">
        <f t="shared" si="1160"/>
      </c>
      <c r="CC654" s="1033" t="str">
        <f t="shared" si="1160"/>
      </c>
      <c r="CD654" s="1033" t="str">
        <f t="shared" si="1160"/>
      </c>
      <c r="CE654" s="1033" t="str">
        <f t="shared" si="1160"/>
      </c>
      <c r="CF654" s="1033" t="str">
        <f t="shared" si="1160"/>
      </c>
      <c r="CG654" s="757"/>
    </row>
    <row r="655" spans="1:85" s="587" customFormat="1" ht="15" hidden="1" customHeight="1" outlineLevel="1" x14ac:dyDescent="0.3">
      <c r="A655" s="558"/>
      <c r="B655" s="414"/>
      <c r="C655" s="962"/>
      <c r="D655" s="962"/>
      <c r="E655" s="962"/>
      <c r="F655" s="962"/>
      <c r="G655" s="757"/>
      <c r="H655" s="757"/>
      <c r="I655" s="757"/>
      <c r="J655" s="757"/>
      <c r="K655" s="962"/>
      <c r="L655" s="757"/>
      <c r="M655" s="757"/>
      <c r="N655" s="757"/>
      <c r="O655" s="757"/>
      <c r="P655" s="962"/>
      <c r="Q655" s="757"/>
      <c r="R655" s="757"/>
      <c r="S655" s="757"/>
      <c r="T655" s="757"/>
      <c r="U655" s="962"/>
      <c r="V655" s="757"/>
      <c r="W655" s="757"/>
      <c r="X655" s="757"/>
      <c r="Y655" s="757"/>
      <c r="Z655" s="962"/>
      <c r="AA655" s="757"/>
      <c r="AB655" s="757"/>
      <c r="AC655" s="757"/>
      <c r="AD655" s="757"/>
      <c r="AE655" s="962"/>
      <c r="AF655" s="757"/>
      <c r="AG655" s="757"/>
      <c r="AH655" s="757"/>
      <c r="AI655" s="757"/>
      <c r="AJ655" s="962"/>
      <c r="AK655" s="757"/>
      <c r="AL655" s="757"/>
      <c r="AM655" s="757"/>
      <c r="AN655" s="757"/>
      <c r="AO655" s="962"/>
      <c r="AP655" s="757"/>
      <c r="AQ655" s="757"/>
      <c r="AR655" s="757"/>
      <c r="AS655" s="757"/>
      <c r="AT655" s="962"/>
      <c r="AU655" s="757"/>
      <c r="AV655" s="757"/>
      <c r="AW655" s="757"/>
      <c r="AX655" s="757"/>
      <c r="AY655" s="962"/>
      <c r="AZ655" s="757"/>
      <c r="BA655" s="757"/>
      <c r="BB655" s="757"/>
      <c r="BC655" s="757"/>
      <c r="BD655" s="962"/>
      <c r="BE655" s="757"/>
      <c r="BF655" s="757"/>
      <c r="BG655" s="757"/>
      <c r="BH655" s="757"/>
      <c r="BI655" s="962"/>
      <c r="BJ655" s="757"/>
      <c r="BK655" s="757"/>
      <c r="BL655" s="757"/>
      <c r="BM655" s="757"/>
      <c r="BN655" s="962"/>
      <c r="BO655" s="757"/>
      <c r="BP655" s="757"/>
      <c r="BQ655" s="757"/>
      <c r="BR655" s="757"/>
      <c r="BS655" s="962"/>
      <c r="BT655" s="758"/>
      <c r="BU655" s="757"/>
      <c r="BV655" s="757"/>
      <c r="BW655" s="757"/>
      <c r="BX655" s="962"/>
      <c r="BY655" s="757"/>
      <c r="BZ655" s="757"/>
      <c r="CA655" s="757"/>
      <c r="CB655" s="757"/>
      <c r="CC655" s="962"/>
      <c r="CD655" s="962"/>
      <c r="CE655" s="962"/>
      <c r="CF655" s="962"/>
      <c r="CG655" s="757"/>
    </row>
    <row r="656" spans="1:85" s="587" customFormat="1" ht="15" hidden="1" customHeight="1" outlineLevel="1" x14ac:dyDescent="0.3">
      <c r="A656" s="69" t="s">
        <v>2317</v>
      </c>
      <c r="B656" s="770"/>
      <c r="C656" s="935"/>
      <c r="D656" s="935"/>
      <c r="E656" s="935"/>
      <c r="F656" s="935"/>
      <c r="G656" s="58"/>
      <c r="H656" s="58" t="str">
        <f>IF(H651="","",H651/G652-1)</f>
      </c>
      <c r="I656" s="58" t="str">
        <f>IF(I651="","",I651/H652-1)</f>
      </c>
      <c r="J656" s="58" t="str">
        <f>IF(J651="","",J651/I652-1)</f>
      </c>
      <c r="K656" s="935"/>
      <c r="L656" s="58" t="str">
        <f>IF(L651="","",L651/J652-1)</f>
      </c>
      <c r="M656" s="58" t="str">
        <f>IF(M651="","",M651/L652-1)</f>
      </c>
      <c r="N656" s="58" t="str">
        <f>IF(N651="","",N651/M652-1)</f>
      </c>
      <c r="O656" s="58" t="str">
        <f>IF(O651="","",O651/N652-1)</f>
      </c>
      <c r="P656" s="935"/>
      <c r="Q656" s="58" t="str">
        <f>IF(Q651="","",Q651/O652-1)</f>
      </c>
      <c r="R656" s="58" t="str">
        <f>IF(R651="","",R651/Q652-1)</f>
      </c>
      <c r="S656" s="58" t="str">
        <f>IF(S651="","",S651/R652-1)</f>
      </c>
      <c r="T656" s="58" t="str">
        <f>IF(T651="","",T651/S652-1)</f>
      </c>
      <c r="U656" s="935"/>
      <c r="V656" s="58" t="str">
        <f>IF(V651="","",V651/T652-1)</f>
      </c>
      <c r="W656" s="58" t="str">
        <f>IF(W651="","",W651/V652-1)</f>
      </c>
      <c r="X656" s="58" t="str">
        <f>IF(X651="","",X651/W652-1)</f>
      </c>
      <c r="Y656" s="58" t="str">
        <f>IF(Y651="","",Y651/X652-1)</f>
      </c>
      <c r="Z656" s="935"/>
      <c r="AA656" s="58" t="str">
        <f>IF(AA651="","",AA651/Y652-1)</f>
      </c>
      <c r="AB656" s="58" t="str">
        <f>IF(AB651="","",AB651/AA652-1)</f>
      </c>
      <c r="AC656" s="58" t="str">
        <f>IF(AC651="","",AC651/AB652-1)</f>
      </c>
      <c r="AD656" s="58" t="str">
        <f>IF(AD651="","",AD651/AC652-1)</f>
      </c>
      <c r="AE656" s="935"/>
      <c r="AF656" s="58" t="str">
        <f>IF(AF651="","",AF651/AD652-1)</f>
      </c>
      <c r="AG656" s="58" t="str">
        <f>IF(AG651="","",AG651/AF652-1)</f>
      </c>
      <c r="AH656" s="58" t="str">
        <f>IF(AH651="","",AH651/AG652-1)</f>
      </c>
      <c r="AI656" s="58" t="str">
        <f>IF(AI651="","",AI651/AH652-1)</f>
      </c>
      <c r="AJ656" s="935"/>
      <c r="AK656" s="58">
        <f>IF(AK651="","",AK651/AI652-1)</f>
      </c>
      <c r="AL656" s="58">
        <f>IF(AL651="","",AL651/AK652-1)</f>
      </c>
      <c r="AM656" s="58">
        <f>IF(AM651="","",AM651/AL652-1)</f>
      </c>
      <c r="AN656" s="58">
        <f>IF(AN651="","",AN651/AM652-1)</f>
      </c>
      <c r="AO656" s="935"/>
      <c r="AP656" s="58">
        <f>IF(AP651="","",AP651/AN652-1)</f>
      </c>
      <c r="AQ656" s="58">
        <f>IF(AQ651="","",AQ651/AP652-1)</f>
      </c>
      <c r="AR656" s="58">
        <f>IF(AR651="","",AR651/AQ652-1)</f>
      </c>
      <c r="AS656" s="58">
        <f>IF(AS651="","",AS651/AR652-1)</f>
      </c>
      <c r="AT656" s="935"/>
      <c r="AU656" s="58">
        <f>IF(AU651="","",AU651/AS652-1)</f>
      </c>
      <c r="AV656" s="58">
        <f>IF(AV651="","",AV651/AU652-1)</f>
      </c>
      <c r="AW656" s="58">
        <f>IF(AW651="","",AW651/AV652-1)</f>
      </c>
      <c r="AX656" s="58">
        <f>IF(AX651="","",AX651/AW652-1)</f>
      </c>
      <c r="AY656" s="935"/>
      <c r="AZ656" s="58">
        <f>IF(AZ651="","",AZ651/AX652-1)</f>
      </c>
      <c r="BA656" s="58">
        <f>IF(BA651="","",BA651/AZ652-1)</f>
      </c>
      <c r="BB656" s="58">
        <f>IF(BB651="","",BB651/BA652-1)</f>
      </c>
      <c r="BC656" s="58">
        <f>IF(BC651="","",BC651/BB652-1)</f>
      </c>
      <c r="BD656" s="935"/>
      <c r="BE656" s="58">
        <f>IF(BE651="","",BE651/BC652-1)</f>
      </c>
      <c r="BF656" s="58">
        <f>IF(BF651="","",BF651/BE652-1)</f>
      </c>
      <c r="BG656" s="58">
        <f>IF(BG651="","",BG651/BF652-1)</f>
      </c>
      <c r="BH656" s="58">
        <f>IF(BH651="","",BH651/BG652-1)</f>
      </c>
      <c r="BI656" s="935"/>
      <c r="BJ656" s="58">
        <f>IF(BJ651="","",BJ651/BH652-1)</f>
      </c>
      <c r="BK656" s="58">
        <f>IF(BK651="","",BK651/BJ652-1)</f>
      </c>
      <c r="BL656" s="58">
        <f>IF(BL651="","",BL651/BK652-1)</f>
      </c>
      <c r="BM656" s="58">
        <f>IF(BM651="","",BM651/BL652-1)</f>
      </c>
      <c r="BN656" s="935"/>
      <c r="BO656" s="58">
        <f>IF(BO651="","",BO651/BM652-1)</f>
      </c>
      <c r="BP656" s="58">
        <f>IF(BP651="","",BP651/BO652-1)</f>
      </c>
      <c r="BQ656" s="58">
        <f>IF(BQ651="","",BQ651/BP652-1)</f>
      </c>
      <c r="BR656" s="58">
        <f>IF(BR651="","",BR651/BQ652-1)</f>
      </c>
      <c r="BS656" s="935"/>
      <c r="BT656" s="669">
        <f>IF(BT651="","",BT651/BR652-1)</f>
      </c>
      <c r="BU656" s="58">
        <f>IF(BU651="","",BU651/BT652-1)</f>
      </c>
      <c r="BV656" s="58" t="str">
        <f>IF(BV651="","",BV651/BU652-1)</f>
      </c>
      <c r="BW656" s="58" t="str">
        <f>IF(BW651="","",BW651/BV652-1)</f>
      </c>
      <c r="BX656" s="935"/>
      <c r="BY656" s="58" t="str">
        <f>IF(BY651="","",BY651/BW652-1)</f>
      </c>
      <c r="BZ656" s="58" t="str">
        <f>IF(BZ651="","",BZ651/BY652-1)</f>
      </c>
      <c r="CA656" s="58" t="str">
        <f>IF(CA651="","",CA651/BZ652-1)</f>
      </c>
      <c r="CB656" s="58" t="str">
        <f>IF(CB651="","",CB651/CA652-1)</f>
      </c>
      <c r="CC656" s="935"/>
      <c r="CD656" s="935"/>
      <c r="CE656" s="935"/>
      <c r="CF656" s="935"/>
      <c r="CG656" s="757"/>
    </row>
    <row r="657" spans="1:85" s="587" customFormat="1" ht="15" hidden="1" customHeight="1" outlineLevel="1" x14ac:dyDescent="0.3">
      <c r="A657" s="365" t="s">
        <v>2318</v>
      </c>
      <c r="B657" s="563"/>
      <c r="C657" s="988"/>
      <c r="D657" s="988"/>
      <c r="E657" s="988"/>
      <c r="F657" s="988"/>
      <c r="G657" s="369"/>
      <c r="H657" s="369" t="str">
        <f>IF(H653="","",H653/G652)</f>
      </c>
      <c r="I657" s="369" t="str">
        <f>IF(I653="","",I653/H652)</f>
      </c>
      <c r="J657" s="369" t="str">
        <f>IF(J653="","",J653/I652)</f>
      </c>
      <c r="K657" s="988"/>
      <c r="L657" s="369" t="str">
        <f>IF(L653="","",L653/J652)</f>
      </c>
      <c r="M657" s="369" t="str">
        <f>IF(M653="","",M653/L652)</f>
      </c>
      <c r="N657" s="369" t="str">
        <f>IF(N653="","",N653/M652)</f>
      </c>
      <c r="O657" s="369" t="str">
        <f>IF(O653="","",O653/N652)</f>
      </c>
      <c r="P657" s="988"/>
      <c r="Q657" s="369" t="str">
        <f>IF(Q653="","",Q653/O652)</f>
      </c>
      <c r="R657" s="369" t="str">
        <f>IF(R653="","",R653/Q652)</f>
      </c>
      <c r="S657" s="369" t="str">
        <f>IF(S653="","",S653/R652)</f>
      </c>
      <c r="T657" s="369" t="str">
        <f>IF(T653="","",T653/S652)</f>
      </c>
      <c r="U657" s="988"/>
      <c r="V657" s="369" t="str">
        <f>IF(V653="","",V653/T652)</f>
      </c>
      <c r="W657" s="369" t="str">
        <f>IF(W653="","",W653/V652)</f>
      </c>
      <c r="X657" s="369" t="str">
        <f>IF(X653="","",X653/W652)</f>
      </c>
      <c r="Y657" s="369" t="str">
        <f>IF(Y653="","",Y653/X652)</f>
      </c>
      <c r="Z657" s="988"/>
      <c r="AA657" s="369" t="str">
        <f>IF(AA653="","",AA653/Y652)</f>
      </c>
      <c r="AB657" s="369" t="str">
        <f>IF(AB653="","",AB653/AA652)</f>
      </c>
      <c r="AC657" s="369" t="str">
        <f>IF(AC653="","",AC653/AB652)</f>
      </c>
      <c r="AD657" s="369" t="str">
        <f>IF(AD653="","",AD653/AC652)</f>
      </c>
      <c r="AE657" s="988"/>
      <c r="AF657" s="369" t="str">
        <f>IF(AF653="","",AF653/AD652)</f>
      </c>
      <c r="AG657" s="369" t="str">
        <f>IF(AG653="","",AG653/AF652)</f>
      </c>
      <c r="AH657" s="369" t="str">
        <f>IF(AH653="","",AH653/AG652)</f>
      </c>
      <c r="AI657" s="369" t="str">
        <f>IF(AI653="","",AI653/AH652)</f>
      </c>
      <c r="AJ657" s="988"/>
      <c r="AK657" s="369">
        <f>IF(AK653="","",AK653/AI652)</f>
      </c>
      <c r="AL657" s="369">
        <f>IF(AL653="","",AL653/AK652)</f>
      </c>
      <c r="AM657" s="369">
        <f>IF(AM653="","",AM653/AL652)</f>
      </c>
      <c r="AN657" s="369">
        <f>IF(AN653="","",AN653/AM652)</f>
      </c>
      <c r="AO657" s="988"/>
      <c r="AP657" s="369">
        <f>IF(AP653="","",AP653/AN652)</f>
      </c>
      <c r="AQ657" s="369">
        <f>IF(AQ653="","",AQ653/AP652)</f>
      </c>
      <c r="AR657" s="369">
        <f>IF(AR653="","",AR653/AQ652)</f>
      </c>
      <c r="AS657" s="369">
        <f>IF(AS653="","",AS653/AR652)</f>
      </c>
      <c r="AT657" s="988"/>
      <c r="AU657" s="369">
        <f>IF(AU653="","",AU653/AS652)</f>
      </c>
      <c r="AV657" s="369">
        <f>IF(AV653="","",AV653/AU652)</f>
      </c>
      <c r="AW657" s="369">
        <f>IF(AW653="","",AW653/AV652)</f>
      </c>
      <c r="AX657" s="369">
        <f>IF(AX653="","",AX653/AW652)</f>
      </c>
      <c r="AY657" s="988"/>
      <c r="AZ657" s="369">
        <f>IF(AZ653="","",AZ653/AX652)</f>
      </c>
      <c r="BA657" s="369">
        <f>IF(BA653="","",BA653/AZ652)</f>
      </c>
      <c r="BB657" s="369">
        <f>IF(BB653="","",BB653/BA652)</f>
      </c>
      <c r="BC657" s="369">
        <f>IF(BC653="","",BC653/BB652)</f>
      </c>
      <c r="BD657" s="988"/>
      <c r="BE657" s="369">
        <f>IF(BE653="","",BE653/BC652)</f>
      </c>
      <c r="BF657" s="369">
        <f>IF(BF653="","",BF653/BE652)</f>
      </c>
      <c r="BG657" s="369">
        <f>IF(BG653="","",BG653/BF652)</f>
      </c>
      <c r="BH657" s="369">
        <f>IF(BH653="","",BH653/BG652)</f>
      </c>
      <c r="BI657" s="988"/>
      <c r="BJ657" s="369">
        <f>IF(BJ653="","",BJ653/BH652)</f>
      </c>
      <c r="BK657" s="369">
        <f>IF(BK653="","",BK653/BJ652)</f>
      </c>
      <c r="BL657" s="369">
        <f>IF(BL653="","",BL653/BK652)</f>
      </c>
      <c r="BM657" s="369">
        <f>IF(BM653="","",BM653/BL652)</f>
      </c>
      <c r="BN657" s="988"/>
      <c r="BO657" s="369">
        <f>IF(BO653="","",BO653/BM652)</f>
      </c>
      <c r="BP657" s="369">
        <f>IF(BP653="","",BP653/BO652)</f>
      </c>
      <c r="BQ657" s="369">
        <f>IF(BQ653="","",BQ653/BP652)</f>
      </c>
      <c r="BR657" s="369">
        <f>IF(BR653="","",BR653/BQ652)</f>
      </c>
      <c r="BS657" s="988"/>
      <c r="BT657" s="686">
        <f>IF(BT653="","",BT653/BR652)</f>
      </c>
      <c r="BU657" s="369">
        <f>IF(BU653="","",BU653/BT652)</f>
      </c>
      <c r="BV657" s="369" t="str">
        <f>IF(BV653="","",BV653/BU652)</f>
      </c>
      <c r="BW657" s="369" t="str">
        <f>IF(BW653="","",BW653/BV652)</f>
      </c>
      <c r="BX657" s="988"/>
      <c r="BY657" s="369" t="str">
        <f>IF(BY653="","",BY653/BW652)</f>
      </c>
      <c r="BZ657" s="369" t="str">
        <f>IF(BZ653="","",BZ653/BY652)</f>
      </c>
      <c r="CA657" s="369" t="str">
        <f>IF(CA653="","",CA653/BZ652)</f>
      </c>
      <c r="CB657" s="369" t="str">
        <f>IF(CB653="","",CB653/CA652)</f>
      </c>
      <c r="CC657" s="988"/>
      <c r="CD657" s="988"/>
      <c r="CE657" s="988"/>
      <c r="CF657" s="988"/>
      <c r="CG657" s="757"/>
    </row>
    <row r="658" spans="1:85" s="587" customFormat="1" ht="15" hidden="1" customHeight="1" outlineLevel="1" x14ac:dyDescent="0.3">
      <c r="A658" s="566" t="s">
        <v>2319</v>
      </c>
      <c r="B658" s="564"/>
      <c r="C658" s="1034"/>
      <c r="D658" s="1034"/>
      <c r="E658" s="1034"/>
      <c r="F658" s="1034"/>
      <c r="G658" s="565"/>
      <c r="H658" s="565">
        <f>H652/G652-1</f>
      </c>
      <c r="I658" s="565">
        <f>I652/H652-1</f>
      </c>
      <c r="J658" s="565">
        <f>J652/I652-1</f>
      </c>
      <c r="K658" s="1034"/>
      <c r="L658" s="565">
        <f>L652/J652-1</f>
      </c>
      <c r="M658" s="565">
        <f>M652/L652-1</f>
      </c>
      <c r="N658" s="565">
        <f>N652/M652-1</f>
      </c>
      <c r="O658" s="565">
        <f>O652/N652-1</f>
      </c>
      <c r="P658" s="1034"/>
      <c r="Q658" s="565">
        <f>Q652/O652-1</f>
      </c>
      <c r="R658" s="565">
        <f>R652/Q652-1</f>
      </c>
      <c r="S658" s="565">
        <f>S652/R652-1</f>
      </c>
      <c r="T658" s="565">
        <f>T652/S652-1</f>
      </c>
      <c r="U658" s="1034"/>
      <c r="V658" s="565">
        <f>V652/T652-1</f>
      </c>
      <c r="W658" s="565">
        <f>W652/V652-1</f>
      </c>
      <c r="X658" s="565">
        <f>X652/W652-1</f>
      </c>
      <c r="Y658" s="565">
        <f>Y652/X652-1</f>
      </c>
      <c r="Z658" s="1034"/>
      <c r="AA658" s="565">
        <f>AA652/Y652-1</f>
      </c>
      <c r="AB658" s="565">
        <f>AB652/AA652-1</f>
      </c>
      <c r="AC658" s="565">
        <f>AC652/AB652-1</f>
      </c>
      <c r="AD658" s="565">
        <f>AD652/AC652-1</f>
      </c>
      <c r="AE658" s="1034"/>
      <c r="AF658" s="565">
        <f>AF652/AD652-1</f>
      </c>
      <c r="AG658" s="565">
        <f>AG652/AF652-1</f>
      </c>
      <c r="AH658" s="565">
        <f>AH652/AG652-1</f>
      </c>
      <c r="AI658" s="565">
        <f>AI652/AH652-1</f>
      </c>
      <c r="AJ658" s="1034"/>
      <c r="AK658" s="565">
        <f>AK652/AI652-1</f>
      </c>
      <c r="AL658" s="565">
        <f>AL652/AK652-1</f>
      </c>
      <c r="AM658" s="565">
        <f>AM652/AL652-1</f>
      </c>
      <c r="AN658" s="565">
        <f>AN652/AM652-1</f>
      </c>
      <c r="AO658" s="1034"/>
      <c r="AP658" s="565">
        <f>AP652/AN652-1</f>
      </c>
      <c r="AQ658" s="565">
        <f>AQ652/AP652-1</f>
      </c>
      <c r="AR658" s="565">
        <f>AR652/AQ652-1</f>
      </c>
      <c r="AS658" s="565">
        <f>AS652/AR652-1</f>
      </c>
      <c r="AT658" s="1034"/>
      <c r="AU658" s="565">
        <f>AU652/AS652-1</f>
      </c>
      <c r="AV658" s="565">
        <f>AV652/AU652-1</f>
      </c>
      <c r="AW658" s="565">
        <f>AW652/AV652-1</f>
      </c>
      <c r="AX658" s="565">
        <f>AX652/AW652-1</f>
      </c>
      <c r="AY658" s="1034"/>
      <c r="AZ658" s="565">
        <f>AZ652/AX652-1</f>
      </c>
      <c r="BA658" s="565">
        <f>BA652/AZ652-1</f>
      </c>
      <c r="BB658" s="565">
        <f>BB652/BA652-1</f>
      </c>
      <c r="BC658" s="565">
        <f>BC652/BB652-1</f>
      </c>
      <c r="BD658" s="1034"/>
      <c r="BE658" s="565">
        <f>BE652/BC652-1</f>
      </c>
      <c r="BF658" s="565">
        <f>BF652/BE652-1</f>
      </c>
      <c r="BG658" s="565">
        <f>BG652/BF652-1</f>
      </c>
      <c r="BH658" s="565">
        <f>BH652/BG652-1</f>
      </c>
      <c r="BI658" s="1034"/>
      <c r="BJ658" s="565">
        <f>BJ652/BH652-1</f>
      </c>
      <c r="BK658" s="565">
        <f>BK652/BJ652-1</f>
      </c>
      <c r="BL658" s="565">
        <f>BL652/BK652-1</f>
      </c>
      <c r="BM658" s="565">
        <f>BM652/BL652-1</f>
      </c>
      <c r="BN658" s="1034"/>
      <c r="BO658" s="565">
        <f>BO652/BM652-1</f>
      </c>
      <c r="BP658" s="565">
        <f>BP652/BO652-1</f>
      </c>
      <c r="BQ658" s="565">
        <f>BQ652/BP652-1</f>
      </c>
      <c r="BR658" s="565">
        <f>BR652/BQ652-1</f>
      </c>
      <c r="BS658" s="1034"/>
      <c r="BT658" s="702">
        <f>BT652/BR652-1</f>
      </c>
      <c r="BU658" s="565">
        <f>BU652/BT652-1</f>
      </c>
      <c r="BV658" s="565">
        <f>BV652/BU652-1</f>
      </c>
      <c r="BW658" s="565">
        <f>BW652/BV652-1</f>
      </c>
      <c r="BX658" s="1034"/>
      <c r="BY658" s="565">
        <f>BY652/BW652-1</f>
      </c>
      <c r="BZ658" s="565">
        <f>BZ652/BY652-1</f>
      </c>
      <c r="CA658" s="565">
        <f>CA652/BZ652-1</f>
      </c>
      <c r="CB658" s="565">
        <f>CB652/CA652-1</f>
      </c>
      <c r="CC658" s="1034"/>
      <c r="CD658" s="1034"/>
      <c r="CE658" s="1034"/>
      <c r="CF658" s="1034"/>
      <c r="CG658" s="757"/>
    </row>
    <row r="659" spans="1:85" s="587" customFormat="1" ht="15" hidden="1" customHeight="1" outlineLevel="1" x14ac:dyDescent="0.3">
      <c r="A659" s="69" t="s">
        <v>2314</v>
      </c>
      <c r="B659" s="770"/>
      <c r="C659" s="935"/>
      <c r="D659" s="935"/>
      <c r="E659" s="935"/>
      <c r="F659" s="935"/>
      <c r="G659" s="58"/>
      <c r="H659" s="58"/>
      <c r="I659" s="58"/>
      <c r="J659" s="58"/>
      <c r="K659" s="935"/>
      <c r="L659" s="58"/>
      <c r="M659" s="58"/>
      <c r="N659" s="58"/>
      <c r="O659" s="58"/>
      <c r="P659" s="935"/>
      <c r="Q659" s="58"/>
      <c r="R659" s="58"/>
      <c r="S659" s="58"/>
      <c r="T659" s="58"/>
      <c r="U659" s="935"/>
      <c r="V659" s="58"/>
      <c r="W659" s="58"/>
      <c r="X659" s="58"/>
      <c r="Y659" s="58"/>
      <c r="Z659" s="935"/>
      <c r="AA659" s="58"/>
      <c r="AB659" s="58"/>
      <c r="AC659" s="58"/>
      <c r="AD659" s="58"/>
      <c r="AE659" s="935"/>
      <c r="AF659" s="58"/>
      <c r="AG659" s="58"/>
      <c r="AH659" s="58"/>
      <c r="AI659" s="58"/>
      <c r="AJ659" s="935"/>
      <c r="AK659" s="58">
        <f t="shared" ref="AK659:AP659" si="1161">IF(AK651="","",AK651/AF652-1)</f>
      </c>
      <c r="AL659" s="58">
        <f t="shared" si="1161"/>
      </c>
      <c r="AM659" s="58">
        <f t="shared" si="1161"/>
      </c>
      <c r="AN659" s="58">
        <f t="shared" si="1161"/>
      </c>
      <c r="AO659" s="935" t="str">
        <f t="shared" si="1161"/>
      </c>
      <c r="AP659" s="58">
        <f t="shared" si="1161"/>
      </c>
      <c r="AQ659" s="58">
        <f t="shared" ref="AQ659:BP659" si="1162">IF(AQ651="","",AQ651/AL652-1)</f>
      </c>
      <c r="AR659" s="58">
        <f t="shared" si="1162"/>
      </c>
      <c r="AS659" s="58">
        <f t="shared" si="1162"/>
      </c>
      <c r="AT659" s="935" t="str">
        <f t="shared" si="1162"/>
      </c>
      <c r="AU659" s="58">
        <f t="shared" si="1162"/>
      </c>
      <c r="AV659" s="58">
        <f t="shared" si="1162"/>
      </c>
      <c r="AW659" s="58">
        <f t="shared" si="1162"/>
      </c>
      <c r="AX659" s="58">
        <f t="shared" si="1162"/>
      </c>
      <c r="AY659" s="935" t="str">
        <f t="shared" si="1162"/>
      </c>
      <c r="AZ659" s="58">
        <f t="shared" si="1162"/>
      </c>
      <c r="BA659" s="58">
        <f t="shared" si="1162"/>
      </c>
      <c r="BB659" s="58">
        <f t="shared" si="1162"/>
      </c>
      <c r="BC659" s="58">
        <f t="shared" si="1162"/>
      </c>
      <c r="BD659" s="935" t="str">
        <f t="shared" si="1162"/>
      </c>
      <c r="BE659" s="58">
        <f t="shared" si="1162"/>
      </c>
      <c r="BF659" s="58">
        <f t="shared" si="1162"/>
      </c>
      <c r="BG659" s="58">
        <f t="shared" si="1162"/>
      </c>
      <c r="BH659" s="58">
        <f t="shared" si="1162"/>
      </c>
      <c r="BI659" s="935" t="str">
        <f t="shared" si="1162"/>
      </c>
      <c r="BJ659" s="58">
        <f t="shared" si="1162"/>
      </c>
      <c r="BK659" s="58">
        <f t="shared" si="1162"/>
      </c>
      <c r="BL659" s="58">
        <f t="shared" si="1162"/>
      </c>
      <c r="BM659" s="58">
        <f t="shared" si="1162"/>
      </c>
      <c r="BN659" s="935" t="str">
        <f t="shared" si="1162"/>
      </c>
      <c r="BO659" s="58">
        <f t="shared" si="1162"/>
      </c>
      <c r="BP659" s="58">
        <f t="shared" si="1162"/>
      </c>
      <c r="BQ659" s="58">
        <f t="shared" ref="BQ659:CC659" si="1163">IF(BQ651="","",BQ651/BL652-1)</f>
      </c>
      <c r="BR659" s="58">
        <f t="shared" si="1163"/>
      </c>
      <c r="BS659" s="935" t="str">
        <f t="shared" si="1163"/>
      </c>
      <c r="BT659" s="669">
        <f>IF(BT651="","",BT651/BO652-1)</f>
      </c>
      <c r="BU659" s="58">
        <f t="shared" si="1163"/>
      </c>
      <c r="BV659" s="58" t="str">
        <f t="shared" si="1163"/>
      </c>
      <c r="BW659" s="58" t="str">
        <f t="shared" si="1163"/>
      </c>
      <c r="BX659" s="935" t="str">
        <f t="shared" si="1163"/>
      </c>
      <c r="BY659" s="58" t="str">
        <f t="shared" si="1163"/>
      </c>
      <c r="BZ659" s="58" t="str">
        <f t="shared" si="1163"/>
      </c>
      <c r="CA659" s="58" t="str">
        <f t="shared" si="1163"/>
      </c>
      <c r="CB659" s="58" t="str">
        <f t="shared" si="1163"/>
      </c>
      <c r="CC659" s="935" t="str">
        <f t="shared" si="1163"/>
      </c>
      <c r="CD659" s="935"/>
      <c r="CE659" s="935"/>
      <c r="CF659" s="935"/>
      <c r="CG659" s="757"/>
    </row>
    <row r="660" spans="1:85" s="587" customFormat="1" ht="15" hidden="1" customHeight="1" outlineLevel="1" x14ac:dyDescent="0.3">
      <c r="A660" s="365" t="s">
        <v>2315</v>
      </c>
      <c r="B660" s="563"/>
      <c r="C660" s="988"/>
      <c r="D660" s="988"/>
      <c r="E660" s="988"/>
      <c r="F660" s="988"/>
      <c r="G660" s="369"/>
      <c r="H660" s="369"/>
      <c r="I660" s="369"/>
      <c r="J660" s="369"/>
      <c r="K660" s="988"/>
      <c r="L660" s="369"/>
      <c r="M660" s="369"/>
      <c r="N660" s="369"/>
      <c r="O660" s="369"/>
      <c r="P660" s="988"/>
      <c r="Q660" s="369"/>
      <c r="R660" s="369"/>
      <c r="S660" s="369"/>
      <c r="T660" s="369"/>
      <c r="U660" s="988"/>
      <c r="V660" s="369"/>
      <c r="W660" s="369"/>
      <c r="X660" s="369"/>
      <c r="Y660" s="369"/>
      <c r="Z660" s="988"/>
      <c r="AA660" s="369"/>
      <c r="AB660" s="369"/>
      <c r="AC660" s="369"/>
      <c r="AD660" s="369"/>
      <c r="AE660" s="988"/>
      <c r="AF660" s="369"/>
      <c r="AG660" s="369"/>
      <c r="AH660" s="369"/>
      <c r="AI660" s="369"/>
      <c r="AJ660" s="988"/>
      <c r="AK660" s="369">
        <f t="shared" ref="AK660:AP660" si="1164">IF(AK653="","",AK653/AF652)</f>
      </c>
      <c r="AL660" s="369">
        <f t="shared" si="1164"/>
      </c>
      <c r="AM660" s="369">
        <f t="shared" si="1164"/>
      </c>
      <c r="AN660" s="369">
        <f t="shared" si="1164"/>
      </c>
      <c r="AO660" s="988" t="str">
        <f t="shared" si="1164"/>
      </c>
      <c r="AP660" s="369">
        <f t="shared" si="1164"/>
      </c>
      <c r="AQ660" s="369">
        <f t="shared" ref="AQ660:BP660" si="1165">IF(AQ653="","",AQ653/AL652)</f>
      </c>
      <c r="AR660" s="369">
        <f t="shared" si="1165"/>
      </c>
      <c r="AS660" s="369">
        <f t="shared" si="1165"/>
      </c>
      <c r="AT660" s="988" t="str">
        <f t="shared" si="1165"/>
      </c>
      <c r="AU660" s="369">
        <f t="shared" si="1165"/>
      </c>
      <c r="AV660" s="369">
        <f t="shared" si="1165"/>
      </c>
      <c r="AW660" s="369">
        <f t="shared" si="1165"/>
      </c>
      <c r="AX660" s="369">
        <f t="shared" si="1165"/>
      </c>
      <c r="AY660" s="988" t="str">
        <f t="shared" si="1165"/>
      </c>
      <c r="AZ660" s="369">
        <f t="shared" si="1165"/>
      </c>
      <c r="BA660" s="369">
        <f t="shared" si="1165"/>
      </c>
      <c r="BB660" s="369">
        <f t="shared" si="1165"/>
      </c>
      <c r="BC660" s="369">
        <f t="shared" si="1165"/>
      </c>
      <c r="BD660" s="988" t="str">
        <f t="shared" si="1165"/>
      </c>
      <c r="BE660" s="369">
        <f t="shared" si="1165"/>
      </c>
      <c r="BF660" s="369">
        <f t="shared" si="1165"/>
      </c>
      <c r="BG660" s="369">
        <f t="shared" si="1165"/>
      </c>
      <c r="BH660" s="369">
        <f t="shared" si="1165"/>
      </c>
      <c r="BI660" s="988" t="str">
        <f t="shared" si="1165"/>
      </c>
      <c r="BJ660" s="369">
        <f t="shared" si="1165"/>
      </c>
      <c r="BK660" s="369">
        <f t="shared" si="1165"/>
      </c>
      <c r="BL660" s="369">
        <f t="shared" si="1165"/>
      </c>
      <c r="BM660" s="369">
        <f t="shared" si="1165"/>
      </c>
      <c r="BN660" s="988" t="str">
        <f t="shared" si="1165"/>
      </c>
      <c r="BO660" s="369">
        <f t="shared" si="1165"/>
      </c>
      <c r="BP660" s="369">
        <f t="shared" si="1165"/>
      </c>
      <c r="BQ660" s="369">
        <f t="shared" ref="BQ660:CC660" si="1166">IF(BQ653="","",BQ653/BL652)</f>
      </c>
      <c r="BR660" s="369">
        <f t="shared" si="1166"/>
      </c>
      <c r="BS660" s="988" t="str">
        <f t="shared" si="1166"/>
      </c>
      <c r="BT660" s="686">
        <f>IF(BT653="","",BT653/BO652)</f>
      </c>
      <c r="BU660" s="369">
        <f t="shared" si="1166"/>
      </c>
      <c r="BV660" s="369" t="str">
        <f t="shared" si="1166"/>
      </c>
      <c r="BW660" s="369" t="str">
        <f t="shared" si="1166"/>
      </c>
      <c r="BX660" s="988" t="str">
        <f t="shared" si="1166"/>
      </c>
      <c r="BY660" s="369" t="str">
        <f t="shared" si="1166"/>
      </c>
      <c r="BZ660" s="369" t="str">
        <f t="shared" si="1166"/>
      </c>
      <c r="CA660" s="369" t="str">
        <f t="shared" si="1166"/>
      </c>
      <c r="CB660" s="369" t="str">
        <f t="shared" si="1166"/>
      </c>
      <c r="CC660" s="988" t="str">
        <f t="shared" si="1166"/>
      </c>
      <c r="CD660" s="988"/>
      <c r="CE660" s="988"/>
      <c r="CF660" s="988"/>
      <c r="CG660" s="757"/>
    </row>
    <row r="661" spans="1:85" s="587" customFormat="1" ht="15" hidden="1" customHeight="1" outlineLevel="1" x14ac:dyDescent="0.3">
      <c r="A661" s="566" t="s">
        <v>2316</v>
      </c>
      <c r="B661" s="564"/>
      <c r="C661" s="1034"/>
      <c r="D661" s="1034">
        <f>D652/C652-1</f>
      </c>
      <c r="E661" s="1034">
        <f>E652/D652-1</f>
      </c>
      <c r="F661" s="1034">
        <f>F652/E652-1</f>
      </c>
      <c r="G661" s="565"/>
      <c r="H661" s="565"/>
      <c r="I661" s="565"/>
      <c r="J661" s="565"/>
      <c r="K661" s="1034">
        <f t="shared" ref="K661:AP661" si="1167">K652/F652-1</f>
      </c>
      <c r="L661" s="565">
        <f t="shared" si="1167"/>
      </c>
      <c r="M661" s="565">
        <f t="shared" si="1167"/>
      </c>
      <c r="N661" s="565">
        <f t="shared" si="1167"/>
      </c>
      <c r="O661" s="565">
        <f t="shared" si="1167"/>
      </c>
      <c r="P661" s="1034">
        <f t="shared" si="1167"/>
      </c>
      <c r="Q661" s="565">
        <f t="shared" si="1167"/>
      </c>
      <c r="R661" s="565">
        <f t="shared" si="1167"/>
      </c>
      <c r="S661" s="565">
        <f t="shared" si="1167"/>
      </c>
      <c r="T661" s="565">
        <f t="shared" si="1167"/>
      </c>
      <c r="U661" s="1034">
        <f t="shared" si="1167"/>
      </c>
      <c r="V661" s="565">
        <f t="shared" si="1167"/>
      </c>
      <c r="W661" s="565">
        <f t="shared" si="1167"/>
      </c>
      <c r="X661" s="565">
        <f t="shared" si="1167"/>
      </c>
      <c r="Y661" s="565">
        <f t="shared" si="1167"/>
      </c>
      <c r="Z661" s="1034">
        <f t="shared" si="1167"/>
      </c>
      <c r="AA661" s="565">
        <f t="shared" si="1167"/>
      </c>
      <c r="AB661" s="565">
        <f t="shared" si="1167"/>
      </c>
      <c r="AC661" s="565">
        <f t="shared" si="1167"/>
      </c>
      <c r="AD661" s="565">
        <f t="shared" si="1167"/>
      </c>
      <c r="AE661" s="1034">
        <f t="shared" si="1167"/>
      </c>
      <c r="AF661" s="565">
        <f t="shared" si="1167"/>
      </c>
      <c r="AG661" s="565">
        <f t="shared" si="1167"/>
      </c>
      <c r="AH661" s="565">
        <f t="shared" si="1167"/>
      </c>
      <c r="AI661" s="565">
        <f t="shared" si="1167"/>
      </c>
      <c r="AJ661" s="1034">
        <f t="shared" si="1167"/>
      </c>
      <c r="AK661" s="565">
        <f t="shared" si="1167"/>
      </c>
      <c r="AL661" s="565">
        <f t="shared" si="1167"/>
      </c>
      <c r="AM661" s="565">
        <f t="shared" si="1167"/>
      </c>
      <c r="AN661" s="565">
        <f t="shared" si="1167"/>
      </c>
      <c r="AO661" s="1034">
        <f t="shared" si="1167"/>
      </c>
      <c r="AP661" s="565">
        <f t="shared" si="1167"/>
      </c>
      <c r="AQ661" s="565">
        <f t="shared" ref="AQ661:BP661" si="1168">AQ652/AL652-1</f>
      </c>
      <c r="AR661" s="565">
        <f t="shared" si="1168"/>
      </c>
      <c r="AS661" s="565">
        <f t="shared" si="1168"/>
      </c>
      <c r="AT661" s="1034">
        <f t="shared" si="1168"/>
      </c>
      <c r="AU661" s="565">
        <f t="shared" si="1168"/>
      </c>
      <c r="AV661" s="565">
        <f t="shared" si="1168"/>
      </c>
      <c r="AW661" s="565">
        <f t="shared" si="1168"/>
      </c>
      <c r="AX661" s="565">
        <f t="shared" si="1168"/>
      </c>
      <c r="AY661" s="1034">
        <f t="shared" si="1168"/>
      </c>
      <c r="AZ661" s="565">
        <f t="shared" si="1168"/>
      </c>
      <c r="BA661" s="565">
        <f t="shared" si="1168"/>
      </c>
      <c r="BB661" s="565">
        <f t="shared" si="1168"/>
      </c>
      <c r="BC661" s="565">
        <f t="shared" si="1168"/>
      </c>
      <c r="BD661" s="1034">
        <f t="shared" si="1168"/>
      </c>
      <c r="BE661" s="565">
        <f t="shared" si="1168"/>
      </c>
      <c r="BF661" s="565">
        <f t="shared" si="1168"/>
      </c>
      <c r="BG661" s="565">
        <f t="shared" si="1168"/>
      </c>
      <c r="BH661" s="565">
        <f t="shared" si="1168"/>
      </c>
      <c r="BI661" s="1034">
        <f t="shared" si="1168"/>
      </c>
      <c r="BJ661" s="565">
        <f t="shared" si="1168"/>
      </c>
      <c r="BK661" s="565">
        <f t="shared" si="1168"/>
      </c>
      <c r="BL661" s="565">
        <f t="shared" si="1168"/>
      </c>
      <c r="BM661" s="565">
        <f t="shared" si="1168"/>
      </c>
      <c r="BN661" s="1034">
        <f t="shared" si="1168"/>
      </c>
      <c r="BO661" s="565">
        <f t="shared" si="1168"/>
      </c>
      <c r="BP661" s="565">
        <f t="shared" si="1168"/>
      </c>
      <c r="BQ661" s="565">
        <f t="shared" ref="BQ661:CC661" si="1169">BQ652/BL652-1</f>
      </c>
      <c r="BR661" s="565">
        <f t="shared" si="1169"/>
      </c>
      <c r="BS661" s="1034">
        <f t="shared" si="1169"/>
      </c>
      <c r="BT661" s="702">
        <f>BT652/BO652-1</f>
      </c>
      <c r="BU661" s="565">
        <f t="shared" si="1169"/>
      </c>
      <c r="BV661" s="565">
        <f t="shared" si="1169"/>
      </c>
      <c r="BW661" s="565">
        <f t="shared" si="1169"/>
      </c>
      <c r="BX661" s="1034">
        <f t="shared" si="1169"/>
      </c>
      <c r="BY661" s="565">
        <f t="shared" si="1169"/>
      </c>
      <c r="BZ661" s="565">
        <f t="shared" si="1169"/>
      </c>
      <c r="CA661" s="565">
        <f t="shared" si="1169"/>
      </c>
      <c r="CB661" s="565">
        <f t="shared" si="1169"/>
      </c>
      <c r="CC661" s="1034">
        <f t="shared" si="1169"/>
      </c>
      <c r="CD661" s="1034">
        <f>CD652/CC652-1</f>
      </c>
      <c r="CE661" s="1034">
        <f>CE652/CD652-1</f>
      </c>
      <c r="CF661" s="1034">
        <f>CF652/CE652-1</f>
      </c>
      <c r="CG661" s="757"/>
    </row>
    <row r="662" spans="1:85" s="587" customFormat="1" ht="15" hidden="1" customHeight="1" outlineLevel="1" x14ac:dyDescent="0.3">
      <c r="A662" s="558"/>
      <c r="B662" s="414"/>
      <c r="C662" s="962"/>
      <c r="D662" s="962"/>
      <c r="E662" s="962"/>
      <c r="F662" s="962"/>
      <c r="G662" s="757"/>
      <c r="H662" s="757"/>
      <c r="I662" s="757"/>
      <c r="J662" s="757"/>
      <c r="K662" s="962"/>
      <c r="L662" s="757"/>
      <c r="M662" s="757"/>
      <c r="N662" s="757"/>
      <c r="O662" s="757"/>
      <c r="P662" s="962"/>
      <c r="Q662" s="757"/>
      <c r="R662" s="757"/>
      <c r="S662" s="757"/>
      <c r="T662" s="757"/>
      <c r="U662" s="962"/>
      <c r="V662" s="757"/>
      <c r="W662" s="757"/>
      <c r="X662" s="757"/>
      <c r="Y662" s="757"/>
      <c r="Z662" s="962"/>
      <c r="AA662" s="757"/>
      <c r="AB662" s="757"/>
      <c r="AC662" s="757"/>
      <c r="AD662" s="757"/>
      <c r="AE662" s="962"/>
      <c r="AF662" s="757"/>
      <c r="AG662" s="757"/>
      <c r="AH662" s="757"/>
      <c r="AI662" s="757"/>
      <c r="AJ662" s="962"/>
      <c r="AK662" s="757"/>
      <c r="AL662" s="757"/>
      <c r="AM662" s="757"/>
      <c r="AN662" s="757"/>
      <c r="AO662" s="962"/>
      <c r="AP662" s="757"/>
      <c r="AQ662" s="757"/>
      <c r="AR662" s="757"/>
      <c r="AS662" s="757"/>
      <c r="AT662" s="962"/>
      <c r="AU662" s="757"/>
      <c r="AV662" s="757"/>
      <c r="AW662" s="757"/>
      <c r="AX662" s="757"/>
      <c r="AY662" s="962"/>
      <c r="AZ662" s="757"/>
      <c r="BA662" s="757"/>
      <c r="BB662" s="757"/>
      <c r="BC662" s="757"/>
      <c r="BD662" s="962"/>
      <c r="BE662" s="757"/>
      <c r="BF662" s="757"/>
      <c r="BG662" s="757"/>
      <c r="BH662" s="757"/>
      <c r="BI662" s="962"/>
      <c r="BJ662" s="757"/>
      <c r="BK662" s="757"/>
      <c r="BL662" s="757"/>
      <c r="BM662" s="757"/>
      <c r="BN662" s="962"/>
      <c r="BO662" s="757"/>
      <c r="BP662" s="757"/>
      <c r="BQ662" s="757"/>
      <c r="BR662" s="757"/>
      <c r="BS662" s="962"/>
      <c r="BT662" s="758"/>
      <c r="BU662" s="757"/>
      <c r="BV662" s="757"/>
      <c r="BW662" s="757"/>
      <c r="BX662" s="962"/>
      <c r="BY662" s="757"/>
      <c r="BZ662" s="757"/>
      <c r="CA662" s="757"/>
      <c r="CB662" s="757"/>
      <c r="CC662" s="962"/>
      <c r="CD662" s="962"/>
      <c r="CE662" s="962"/>
      <c r="CF662" s="962"/>
      <c r="CG662" s="757"/>
    </row>
    <row r="663" spans="1:85" s="587" customFormat="1" ht="15" hidden="1" customHeight="1" outlineLevel="2" x14ac:dyDescent="0.3">
      <c r="A663" s="262" t="s">
        <v>2290</v>
      </c>
      <c r="B663" s="414"/>
      <c r="C663" s="973"/>
      <c r="D663" s="973"/>
      <c r="E663" s="973"/>
      <c r="F663" s="973"/>
      <c r="G663" s="59"/>
      <c r="H663" s="59" t="str">
        <f>IF(ISBLANK(G687),"",G687)</f>
      </c>
      <c r="I663" s="59" t="str">
        <f>IF(ISBLANK(H687),"",H687)</f>
      </c>
      <c r="J663" s="59" t="str">
        <f>IF(ISBLANK(I687),"",I687)</f>
      </c>
      <c r="K663" s="973"/>
      <c r="L663" s="59" t="str">
        <f>IF(ISBLANK(J687),"",J687)</f>
      </c>
      <c r="M663" s="59" t="str">
        <f>IF(ISBLANK(L687),"",L687)</f>
      </c>
      <c r="N663" s="59" t="str">
        <f>IF(ISBLANK(M687),"",M687)</f>
      </c>
      <c r="O663" s="59" t="str">
        <f>IF(ISBLANK(N687),"",N687)</f>
      </c>
      <c r="P663" s="973" t="str">
        <f>IF(ISBLANK(J712),"",J712)</f>
      </c>
      <c r="Q663" s="59" t="str">
        <f>IF(ISBLANK(O687),"",O687)</f>
      </c>
      <c r="R663" s="59" t="str">
        <f>IF(ISBLANK(Q687),"",Q687)</f>
      </c>
      <c r="S663" s="59" t="str">
        <f>IF(ISBLANK(R687),"",R687)</f>
      </c>
      <c r="T663" s="59" t="str">
        <f>IF(ISBLANK(S687),"",S687)</f>
      </c>
      <c r="U663" s="973" t="str">
        <f>IF(ISBLANK(O712),"",O712)</f>
      </c>
      <c r="V663" s="59" t="str">
        <f>IF(ISBLANK(T687),"",T687)</f>
      </c>
      <c r="W663" s="59" t="str">
        <f>IF(ISBLANK(V687),"",V687)</f>
      </c>
      <c r="X663" s="59" t="str">
        <f>IF(ISBLANK(W687),"",W687)</f>
      </c>
      <c r="Y663" s="59" t="str">
        <f>IF(ISBLANK(X687),"",X687)</f>
      </c>
      <c r="Z663" s="973" t="str">
        <f>IF(ISBLANK(T712),"",T712)</f>
      </c>
      <c r="AA663" s="59" t="str">
        <f>IF(ISBLANK(Y687),"",Y687)</f>
      </c>
      <c r="AB663" s="59" t="str">
        <f>IF(ISBLANK(AA687),"",AA687)</f>
      </c>
      <c r="AC663" s="59" t="str">
        <f>IF(ISBLANK(AB687),"",AB687)</f>
      </c>
      <c r="AD663" s="59" t="str">
        <f>IF(ISBLANK(AC687),"",AC687)</f>
      </c>
      <c r="AE663" s="973" t="str">
        <f>IF(ISBLANK(Y712),"",Y712)</f>
      </c>
      <c r="AF663" s="59" t="str">
        <f>IF(ISBLANK(AD687),"",AD687)</f>
      </c>
      <c r="AG663" s="59">
        <f>IF(ISBLANK(AF687),"",AF687)</f>
      </c>
      <c r="AH663" s="59" t="str">
        <f>IF(ISBLANK(AG687),"",AG687)</f>
      </c>
      <c r="AI663" s="59" t="str">
        <f>IF(ISBLANK(AH687),"",AH687)</f>
      </c>
      <c r="AJ663" s="973">
        <f>IF(ISBLANK(AD712),"",AD712)</f>
      </c>
      <c r="AK663" s="59">
        <f>IF(ISBLANK(AI687),"",AI687)</f>
      </c>
      <c r="AL663" s="59">
        <f>IF(ISBLANK(AK687),"",AK687)</f>
      </c>
      <c r="AM663" s="59">
        <f>IF(ISBLANK(AL687),"",AL687)</f>
      </c>
      <c r="AN663" s="59">
        <f>IF(ISBLANK(AM687),"",AM687)</f>
      </c>
      <c r="AO663" s="973" t="str">
        <f>IF(ISBLANK(AI712),"",AI712)</f>
      </c>
      <c r="AP663" s="59" t="str">
        <f>IF(ISBLANK(AN687),"",AN687)</f>
      </c>
      <c r="AQ663" s="59" t="str">
        <f>IF(ISBLANK(AP687),"",AP687)</f>
      </c>
      <c r="AR663" s="59">
        <f>IF(ISBLANK(AQ687),"",AQ687)</f>
      </c>
      <c r="AS663" s="59">
        <f>IF(ISBLANK(AR687),"",AR687)</f>
      </c>
      <c r="AT663" s="973" t="str">
        <f>IF(ISBLANK(AN712),"",AN712)</f>
      </c>
      <c r="AU663" s="59">
        <f>IF(ISBLANK(AS687),"",AS687)</f>
      </c>
      <c r="AV663" s="59">
        <f>IF(ISBLANK(AU687),"",AU687)</f>
      </c>
      <c r="AW663" s="59">
        <f>IF(ISBLANK(AV687),"",AV687)</f>
      </c>
      <c r="AX663" s="59">
        <f>IF(ISBLANK(AW687),"",AW687)</f>
      </c>
      <c r="AY663" s="973" t="str">
        <f>IF(ISBLANK(AS712),"",AS712)</f>
      </c>
      <c r="AZ663" s="59">
        <f>IF(ISBLANK(AX687),"",AX687)</f>
      </c>
      <c r="BA663" s="59">
        <f>IF(ISBLANK(AZ687),"",AZ687)</f>
      </c>
      <c r="BB663" s="59">
        <f>IF(ISBLANK(BA687),"",BA687)</f>
      </c>
      <c r="BC663" s="59">
        <f>IF(ISBLANK(BB687),"",BB687)</f>
      </c>
      <c r="BD663" s="973">
        <f>IF(ISBLANK(AX712),"",AX712)</f>
      </c>
      <c r="BE663" s="59">
        <f>IF(ISBLANK(BC687),"",BC687)</f>
      </c>
      <c r="BF663" s="59">
        <f>IF(ISBLANK(BE687),"",BE687)</f>
      </c>
      <c r="BG663" s="59">
        <f>IF(ISBLANK(BF687),"",BF687)</f>
      </c>
      <c r="BH663" s="59">
        <f>IF(ISBLANK(BG687),"",BG687)</f>
      </c>
      <c r="BI663" s="973" t="str">
        <f>IF(ISBLANK(BC712),"",BC712)</f>
      </c>
      <c r="BJ663" s="59">
        <f>IF(ISBLANK(BH687),"",BH687)</f>
      </c>
      <c r="BK663" s="59">
        <f>IF(ISBLANK(BJ687),"",BJ687)</f>
      </c>
      <c r="BL663" s="59">
        <f>IF(ISBLANK(BK687),"",BK687)</f>
      </c>
      <c r="BM663" s="59">
        <f>IF(ISBLANK(BL687),"",BL687)</f>
      </c>
      <c r="BN663" s="973">
        <f>IF(ISBLANK(BH712),"",BH712)</f>
      </c>
      <c r="BO663" s="59">
        <f>IF(ISBLANK(BM687),"",BM687)</f>
      </c>
      <c r="BP663" s="59">
        <f>IF(ISBLANK(BO687),"",BO687)</f>
      </c>
      <c r="BQ663" s="59">
        <f>IF(ISBLANK(BP687),"",BP687)</f>
      </c>
      <c r="BR663" s="59">
        <f>IF(ISBLANK(BQ687),"",BQ687)</f>
      </c>
      <c r="BS663" s="973">
        <f>IF(ISBLANK(BM712),"",BM712)</f>
      </c>
      <c r="BT663" s="675">
        <f>IF(ISBLANK(BR687),"",BR687)</f>
      </c>
      <c r="BU663" s="59">
        <f>IF(ISBLANK(BT687),"",BT687)</f>
      </c>
      <c r="BV663" s="59" t="str">
        <f>IF(ISBLANK(BU687),"",BU687)</f>
      </c>
      <c r="BW663" s="59" t="str">
        <f>IF(ISBLANK(BV687),"",BV687)</f>
      </c>
      <c r="BX663" s="973">
        <f>IF(ISBLANK(BR712),"",BR712)</f>
      </c>
      <c r="BY663" s="59" t="str">
        <f>IF(ISBLANK(BW687),"",BW687)</f>
      </c>
      <c r="BZ663" s="59" t="str">
        <f>IF(ISBLANK(BY687),"",BY687)</f>
      </c>
      <c r="CA663" s="59" t="str">
        <f>IF(ISBLANK(BZ687),"",BZ687)</f>
      </c>
      <c r="CB663" s="59" t="str">
        <f>IF(ISBLANK(CA687),"",CA687)</f>
      </c>
      <c r="CC663" s="973" t="str">
        <f>IF(ISBLANK(BW712),"",BW712)</f>
      </c>
      <c r="CD663" s="973"/>
      <c r="CE663" s="973"/>
      <c r="CF663" s="973"/>
      <c r="CG663" s="757"/>
    </row>
    <row r="664" spans="1:85" s="587" customFormat="1" ht="15" hidden="1" customHeight="1" outlineLevel="2" x14ac:dyDescent="0.3">
      <c r="A664" s="262" t="s">
        <v>2291</v>
      </c>
      <c r="B664" s="414"/>
      <c r="C664" s="973"/>
      <c r="D664" s="973"/>
      <c r="E664" s="973"/>
      <c r="F664" s="973"/>
      <c r="G664" s="59"/>
      <c r="H664" s="59"/>
      <c r="I664" s="59"/>
      <c r="J664" s="59"/>
      <c r="K664" s="973" t="str">
        <f>IF(ISBLANK(G712),"",G712)</f>
      </c>
      <c r="L664" s="59"/>
      <c r="M664" s="59"/>
      <c r="N664" s="59"/>
      <c r="O664" s="59"/>
      <c r="P664" s="973" t="str">
        <f>IF(ISBLANK(L712),"",L712)</f>
      </c>
      <c r="Q664" s="59"/>
      <c r="R664" s="59"/>
      <c r="S664" s="59"/>
      <c r="T664" s="59"/>
      <c r="U664" s="973" t="str">
        <f>IF(ISBLANK(Q712),"",Q712)</f>
      </c>
      <c r="V664" s="59"/>
      <c r="W664" s="59"/>
      <c r="X664" s="59"/>
      <c r="Y664" s="59"/>
      <c r="Z664" s="973" t="str">
        <f>IF(ISBLANK(V712),"",V712)</f>
      </c>
      <c r="AA664" s="59"/>
      <c r="AB664" s="59"/>
      <c r="AC664" s="59"/>
      <c r="AD664" s="59"/>
      <c r="AE664" s="973" t="str">
        <f>IF(ISBLANK(AA712),"",AA712)</f>
      </c>
      <c r="AF664" s="59"/>
      <c r="AG664" s="59"/>
      <c r="AH664" s="59"/>
      <c r="AI664" s="59"/>
      <c r="AJ664" s="973">
        <f>IF(ISBLANK(AF712),"",AF712)</f>
      </c>
      <c r="AK664" s="59"/>
      <c r="AL664" s="59"/>
      <c r="AM664" s="59"/>
      <c r="AN664" s="59"/>
      <c r="AO664" s="973" t="str">
        <f>IF(ISBLANK(AK712),"",AK712)</f>
      </c>
      <c r="AP664" s="59"/>
      <c r="AQ664" s="59"/>
      <c r="AR664" s="59"/>
      <c r="AS664" s="59"/>
      <c r="AT664" s="973" t="str">
        <f>IF(ISBLANK(AP712),"",AP712)</f>
      </c>
      <c r="AU664" s="59"/>
      <c r="AV664" s="59"/>
      <c r="AW664" s="59"/>
      <c r="AX664" s="59"/>
      <c r="AY664" s="973" t="str">
        <f>IF(ISBLANK(AU712),"",AU712)</f>
      </c>
      <c r="AZ664" s="59"/>
      <c r="BA664" s="59"/>
      <c r="BB664" s="59"/>
      <c r="BC664" s="59"/>
      <c r="BD664" s="973">
        <f>IF(ISBLANK(AZ712),"",AZ712)</f>
      </c>
      <c r="BE664" s="59"/>
      <c r="BF664" s="59"/>
      <c r="BG664" s="59"/>
      <c r="BH664" s="59"/>
      <c r="BI664" s="973">
        <f>IF(ISBLANK(BE712),"",BE712)</f>
      </c>
      <c r="BJ664" s="59"/>
      <c r="BK664" s="59"/>
      <c r="BL664" s="59"/>
      <c r="BM664" s="59"/>
      <c r="BN664" s="973">
        <f>IF(ISBLANK(BJ712),"",BJ712)</f>
      </c>
      <c r="BO664" s="59"/>
      <c r="BP664" s="59"/>
      <c r="BQ664" s="59"/>
      <c r="BR664" s="59"/>
      <c r="BS664" s="973">
        <f>IF(ISBLANK(BO712),"",BO712)</f>
      </c>
      <c r="BT664" s="675"/>
      <c r="BU664" s="59"/>
      <c r="BV664" s="59"/>
      <c r="BW664" s="59"/>
      <c r="BX664" s="973">
        <f>IF(ISBLANK(BT712),"",BT712)</f>
      </c>
      <c r="BY664" s="59"/>
      <c r="BZ664" s="59"/>
      <c r="CA664" s="59"/>
      <c r="CB664" s="59"/>
      <c r="CC664" s="973" t="str">
        <f>IF(ISBLANK(BY712),"",BY712)</f>
      </c>
      <c r="CD664" s="973"/>
      <c r="CE664" s="973"/>
      <c r="CF664" s="973"/>
      <c r="CG664" s="757"/>
    </row>
    <row r="665" spans="1:85" s="587" customFormat="1" ht="15" hidden="1" customHeight="1" outlineLevel="2" x14ac:dyDescent="0.3">
      <c r="A665" s="262" t="s">
        <v>2292</v>
      </c>
      <c r="B665" s="414"/>
      <c r="C665" s="973"/>
      <c r="D665" s="973"/>
      <c r="E665" s="973"/>
      <c r="F665" s="973"/>
      <c r="G665" s="59"/>
      <c r="H665" s="59"/>
      <c r="I665" s="59"/>
      <c r="J665" s="59"/>
      <c r="K665" s="973" t="str">
        <f>IF(ISBLANK(H712),"",H712)</f>
      </c>
      <c r="L665" s="59"/>
      <c r="M665" s="59"/>
      <c r="N665" s="59"/>
      <c r="O665" s="59"/>
      <c r="P665" s="973" t="str">
        <f>IF(ISBLANK(M712),"",M712)</f>
      </c>
      <c r="Q665" s="59"/>
      <c r="R665" s="59"/>
      <c r="S665" s="59"/>
      <c r="T665" s="59"/>
      <c r="U665" s="973" t="str">
        <f>IF(ISBLANK(R712),"",R712)</f>
      </c>
      <c r="V665" s="59"/>
      <c r="W665" s="59"/>
      <c r="X665" s="59"/>
      <c r="Y665" s="59"/>
      <c r="Z665" s="973" t="str">
        <f>IF(ISBLANK(W712),"",W712)</f>
      </c>
      <c r="AA665" s="59"/>
      <c r="AB665" s="59"/>
      <c r="AC665" s="59"/>
      <c r="AD665" s="59"/>
      <c r="AE665" s="973" t="str">
        <f>IF(ISBLANK(AB712),"",AB712)</f>
      </c>
      <c r="AF665" s="59"/>
      <c r="AG665" s="59"/>
      <c r="AH665" s="59"/>
      <c r="AI665" s="59"/>
      <c r="AJ665" s="973" t="str">
        <f>IF(ISBLANK(AG712),"",AG712)</f>
      </c>
      <c r="AK665" s="59"/>
      <c r="AL665" s="59"/>
      <c r="AM665" s="59"/>
      <c r="AN665" s="59"/>
      <c r="AO665" s="973" t="str">
        <f>IF(ISBLANK(AL712),"",AL712)</f>
      </c>
      <c r="AP665" s="59"/>
      <c r="AQ665" s="59"/>
      <c r="AR665" s="59"/>
      <c r="AS665" s="59"/>
      <c r="AT665" s="973" t="str">
        <f>IF(ISBLANK(AQ712),"",AQ712)</f>
      </c>
      <c r="AU665" s="59"/>
      <c r="AV665" s="59"/>
      <c r="AW665" s="59"/>
      <c r="AX665" s="59"/>
      <c r="AY665" s="973" t="str">
        <f>IF(ISBLANK(AV712),"",AV712)</f>
      </c>
      <c r="AZ665" s="59"/>
      <c r="BA665" s="59"/>
      <c r="BB665" s="59"/>
      <c r="BC665" s="59"/>
      <c r="BD665" s="973">
        <f>IF(ISBLANK(BA712),"",BA712)</f>
      </c>
      <c r="BE665" s="59"/>
      <c r="BF665" s="59"/>
      <c r="BG665" s="59"/>
      <c r="BH665" s="59"/>
      <c r="BI665" s="973">
        <f>IF(ISBLANK(BF712),"",BF712)</f>
      </c>
      <c r="BJ665" s="59"/>
      <c r="BK665" s="59"/>
      <c r="BL665" s="59"/>
      <c r="BM665" s="59"/>
      <c r="BN665" s="973">
        <f>IF(ISBLANK(BK712),"",BK712)</f>
      </c>
      <c r="BO665" s="59"/>
      <c r="BP665" s="59"/>
      <c r="BQ665" s="59"/>
      <c r="BR665" s="59"/>
      <c r="BS665" s="973">
        <f>IF(ISBLANK(BP712),"",BP712)</f>
      </c>
      <c r="BT665" s="675"/>
      <c r="BU665" s="59"/>
      <c r="BV665" s="59"/>
      <c r="BW665" s="59"/>
      <c r="BX665" s="973" t="str">
        <f>IF(ISBLANK(BU712),"",BU712)</f>
      </c>
      <c r="BY665" s="59"/>
      <c r="BZ665" s="59"/>
      <c r="CA665" s="59"/>
      <c r="CB665" s="59"/>
      <c r="CC665" s="973" t="str">
        <f>IF(ISBLANK(BZ712),"",BZ712)</f>
      </c>
      <c r="CD665" s="973"/>
      <c r="CE665" s="973"/>
      <c r="CF665" s="973"/>
      <c r="CG665" s="757"/>
    </row>
    <row r="666" spans="1:85" s="587" customFormat="1" ht="15" hidden="1" customHeight="1" outlineLevel="2" x14ac:dyDescent="0.3">
      <c r="A666" s="324" t="s">
        <v>2293</v>
      </c>
      <c r="B666" s="416"/>
      <c r="C666" s="975"/>
      <c r="D666" s="975"/>
      <c r="E666" s="975"/>
      <c r="F666" s="975"/>
      <c r="G666" s="157"/>
      <c r="H666" s="157"/>
      <c r="I666" s="157"/>
      <c r="J666" s="157"/>
      <c r="K666" s="975" t="str">
        <f>IF(ISBLANK(I712),"",I712)</f>
      </c>
      <c r="L666" s="157"/>
      <c r="M666" s="157"/>
      <c r="N666" s="157"/>
      <c r="O666" s="157"/>
      <c r="P666" s="975" t="str">
        <f>IF(ISBLANK(N712),"",N712)</f>
      </c>
      <c r="Q666" s="157"/>
      <c r="R666" s="157"/>
      <c r="S666" s="157"/>
      <c r="T666" s="157"/>
      <c r="U666" s="975" t="str">
        <f>IF(ISBLANK(S712),"",S712)</f>
      </c>
      <c r="V666" s="157"/>
      <c r="W666" s="157"/>
      <c r="X666" s="157"/>
      <c r="Y666" s="157"/>
      <c r="Z666" s="975" t="str">
        <f>IF(ISBLANK(X712),"",X712)</f>
      </c>
      <c r="AA666" s="157"/>
      <c r="AB666" s="157"/>
      <c r="AC666" s="157"/>
      <c r="AD666" s="157"/>
      <c r="AE666" s="975" t="str">
        <f>IF(ISBLANK(AC712),"",AC712)</f>
      </c>
      <c r="AF666" s="157"/>
      <c r="AG666" s="157"/>
      <c r="AH666" s="157"/>
      <c r="AI666" s="157"/>
      <c r="AJ666" s="975" t="str">
        <f>IF(ISBLANK(AH712),"",AH712)</f>
      </c>
      <c r="AK666" s="157"/>
      <c r="AL666" s="157"/>
      <c r="AM666" s="157"/>
      <c r="AN666" s="157"/>
      <c r="AO666" s="975">
        <f>IF(ISBLANK(AM712),"",AM712)</f>
      </c>
      <c r="AP666" s="157"/>
      <c r="AQ666" s="157"/>
      <c r="AR666" s="157"/>
      <c r="AS666" s="157"/>
      <c r="AT666" s="975">
        <f>IF(ISBLANK(AR712),"",AR712)</f>
      </c>
      <c r="AU666" s="157"/>
      <c r="AV666" s="157"/>
      <c r="AW666" s="157"/>
      <c r="AX666" s="157"/>
      <c r="AY666" s="975">
        <f>IF(ISBLANK(AW712),"",AW712)</f>
      </c>
      <c r="AZ666" s="157"/>
      <c r="BA666" s="157"/>
      <c r="BB666" s="157"/>
      <c r="BC666" s="157"/>
      <c r="BD666" s="975" t="str">
        <f>IF(ISBLANK(BB712),"",BB712)</f>
      </c>
      <c r="BE666" s="157"/>
      <c r="BF666" s="157"/>
      <c r="BG666" s="157"/>
      <c r="BH666" s="157"/>
      <c r="BI666" s="975">
        <f>IF(ISBLANK(BG712),"",BG712)</f>
      </c>
      <c r="BJ666" s="157"/>
      <c r="BK666" s="157"/>
      <c r="BL666" s="157"/>
      <c r="BM666" s="157"/>
      <c r="BN666" s="975">
        <f>IF(ISBLANK(BL712),"",BL712)</f>
      </c>
      <c r="BO666" s="157"/>
      <c r="BP666" s="157"/>
      <c r="BQ666" s="157"/>
      <c r="BR666" s="157"/>
      <c r="BS666" s="975">
        <f>IF(ISBLANK(BQ712),"",BQ712)</f>
      </c>
      <c r="BT666" s="676"/>
      <c r="BU666" s="157"/>
      <c r="BV666" s="157"/>
      <c r="BW666" s="157"/>
      <c r="BX666" s="975" t="str">
        <f>IF(ISBLANK(BV712),"",BV712)</f>
      </c>
      <c r="BY666" s="157"/>
      <c r="BZ666" s="157"/>
      <c r="CA666" s="157"/>
      <c r="CB666" s="157"/>
      <c r="CC666" s="975" t="str">
        <f>IF(ISBLANK(CA712),"",CA712)</f>
      </c>
      <c r="CD666" s="975"/>
      <c r="CE666" s="975"/>
      <c r="CF666" s="975"/>
      <c r="CG666" s="757"/>
    </row>
    <row r="667" spans="1:85" s="587" customFormat="1" ht="15" hidden="1" customHeight="1" outlineLevel="1" collapsed="1" x14ac:dyDescent="0.3">
      <c r="A667" s="278" t="s">
        <v>2294</v>
      </c>
      <c r="B667" s="414"/>
      <c r="C667" s="973"/>
      <c r="D667" s="973"/>
      <c r="E667" s="973"/>
      <c r="F667" s="973"/>
      <c r="G667" s="59" t="str">
        <f t="shared" ref="G667:AL667" si="1170">IF(G666="",IF(G665="",IF(G664="",IF(G663="","",G663),G664),G665),G666)</f>
      </c>
      <c r="H667" s="59" t="str">
        <f t="shared" si="1170"/>
      </c>
      <c r="I667" s="59" t="str">
        <f t="shared" si="1170"/>
      </c>
      <c r="J667" s="59" t="str">
        <f t="shared" si="1170"/>
      </c>
      <c r="K667" s="973" t="str">
        <f t="shared" si="1170"/>
      </c>
      <c r="L667" s="59" t="str">
        <f t="shared" si="1170"/>
      </c>
      <c r="M667" s="59" t="str">
        <f t="shared" si="1170"/>
      </c>
      <c r="N667" s="59" t="str">
        <f t="shared" si="1170"/>
      </c>
      <c r="O667" s="59" t="str">
        <f t="shared" si="1170"/>
      </c>
      <c r="P667" s="973" t="str">
        <f t="shared" si="1170"/>
      </c>
      <c r="Q667" s="59" t="str">
        <f t="shared" si="1170"/>
      </c>
      <c r="R667" s="59" t="str">
        <f t="shared" si="1170"/>
      </c>
      <c r="S667" s="59" t="str">
        <f t="shared" si="1170"/>
      </c>
      <c r="T667" s="59" t="str">
        <f t="shared" si="1170"/>
      </c>
      <c r="U667" s="973" t="str">
        <f t="shared" si="1170"/>
      </c>
      <c r="V667" s="59" t="str">
        <f t="shared" si="1170"/>
      </c>
      <c r="W667" s="59" t="str">
        <f t="shared" si="1170"/>
      </c>
      <c r="X667" s="59" t="str">
        <f t="shared" si="1170"/>
      </c>
      <c r="Y667" s="59" t="str">
        <f t="shared" si="1170"/>
      </c>
      <c r="Z667" s="973" t="str">
        <f t="shared" si="1170"/>
      </c>
      <c r="AA667" s="59" t="str">
        <f t="shared" si="1170"/>
      </c>
      <c r="AB667" s="59" t="str">
        <f t="shared" si="1170"/>
      </c>
      <c r="AC667" s="59" t="str">
        <f t="shared" si="1170"/>
      </c>
      <c r="AD667" s="59" t="str">
        <f t="shared" si="1170"/>
      </c>
      <c r="AE667" s="973" t="str">
        <f t="shared" si="1170"/>
      </c>
      <c r="AF667" s="59" t="str">
        <f t="shared" si="1170"/>
      </c>
      <c r="AG667" s="59">
        <f t="shared" si="1170"/>
      </c>
      <c r="AH667" s="59" t="str">
        <f t="shared" si="1170"/>
      </c>
      <c r="AI667" s="59" t="str">
        <f t="shared" si="1170"/>
      </c>
      <c r="AJ667" s="973">
        <f t="shared" si="1170"/>
      </c>
      <c r="AK667" s="59">
        <f t="shared" si="1170"/>
      </c>
      <c r="AL667" s="59">
        <f t="shared" si="1170"/>
      </c>
      <c r="AM667" s="59">
        <f t="shared" ref="AM667:BP667" si="1171">IF(AM666="",IF(AM665="",IF(AM664="",IF(AM663="","",AM663),AM664),AM665),AM666)</f>
      </c>
      <c r="AN667" s="59">
        <f t="shared" si="1171"/>
      </c>
      <c r="AO667" s="973">
        <f t="shared" si="1171"/>
      </c>
      <c r="AP667" s="59" t="str">
        <f t="shared" si="1171"/>
      </c>
      <c r="AQ667" s="59" t="str">
        <f t="shared" si="1171"/>
      </c>
      <c r="AR667" s="59">
        <f t="shared" si="1171"/>
      </c>
      <c r="AS667" s="59">
        <f t="shared" si="1171"/>
      </c>
      <c r="AT667" s="973">
        <f t="shared" si="1171"/>
      </c>
      <c r="AU667" s="59">
        <f t="shared" si="1171"/>
      </c>
      <c r="AV667" s="59">
        <f t="shared" si="1171"/>
      </c>
      <c r="AW667" s="59">
        <f t="shared" si="1171"/>
      </c>
      <c r="AX667" s="59">
        <f t="shared" si="1171"/>
      </c>
      <c r="AY667" s="973">
        <f t="shared" si="1171"/>
      </c>
      <c r="AZ667" s="59">
        <f t="shared" si="1171"/>
      </c>
      <c r="BA667" s="59">
        <f t="shared" si="1171"/>
      </c>
      <c r="BB667" s="59">
        <f t="shared" si="1171"/>
      </c>
      <c r="BC667" s="59">
        <f t="shared" si="1171"/>
      </c>
      <c r="BD667" s="973">
        <f t="shared" si="1171"/>
      </c>
      <c r="BE667" s="59">
        <f t="shared" si="1171"/>
      </c>
      <c r="BF667" s="59">
        <f t="shared" si="1171"/>
      </c>
      <c r="BG667" s="59">
        <f t="shared" si="1171"/>
      </c>
      <c r="BH667" s="59">
        <f t="shared" si="1171"/>
      </c>
      <c r="BI667" s="973">
        <f t="shared" si="1171"/>
      </c>
      <c r="BJ667" s="59">
        <f t="shared" si="1171"/>
      </c>
      <c r="BK667" s="59">
        <f t="shared" si="1171"/>
      </c>
      <c r="BL667" s="59">
        <f t="shared" si="1171"/>
      </c>
      <c r="BM667" s="59">
        <f t="shared" si="1171"/>
      </c>
      <c r="BN667" s="973">
        <f t="shared" si="1171"/>
      </c>
      <c r="BO667" s="59">
        <f t="shared" si="1171"/>
      </c>
      <c r="BP667" s="59">
        <f t="shared" si="1171"/>
      </c>
      <c r="BQ667" s="59">
        <f t="shared" ref="BQ667:BW667" si="1172">IF(BQ666="",IF(BQ665="",IF(BQ664="",IF(BQ663="","",BQ663),BQ664),BQ665),BQ666)</f>
      </c>
      <c r="BR667" s="59">
        <f t="shared" si="1172"/>
      </c>
      <c r="BS667" s="973">
        <f t="shared" si="1172"/>
      </c>
      <c r="BT667" s="675">
        <f>IF(BT666="",IF(BT665="",IF(BT664="",IF(BT663="","",BT663),BT664),BT665),BT666)</f>
      </c>
      <c r="BU667" s="59">
        <f t="shared" si="1172"/>
      </c>
      <c r="BV667" s="59" t="str">
        <f t="shared" si="1172"/>
      </c>
      <c r="BW667" s="59" t="str">
        <f t="shared" si="1172"/>
      </c>
      <c r="BX667" s="973">
        <f t="shared" ref="BX667" si="1173">IF(BX666="",IF(BX665="",IF(BX664="",IF(BX663="","",BX663),BX664),BX665),BX666)</f>
      </c>
      <c r="BY667" s="59" t="str">
        <f>IF(BY666="",IF(BY665="",IF(BY664="",IF(BY663="","",BY663),BY664),BY665),BY666)</f>
      </c>
      <c r="BZ667" s="59" t="str">
        <f>IF(BZ666="",IF(BZ665="",IF(BZ664="",IF(BZ663="","",BZ663),BZ664),BZ665),BZ666)</f>
      </c>
      <c r="CA667" s="59" t="str">
        <f>IF(CA666="",IF(CA665="",IF(CA664="",IF(CA663="","",CA663),CA664),CA665),CA666)</f>
      </c>
      <c r="CB667" s="59" t="str">
        <f>IF(CB666="",IF(CB665="",IF(CB664="",IF(CB663="","",CB663),CB664),CB665),CB666)</f>
      </c>
      <c r="CC667" s="973" t="str">
        <f>IF(CC666="",IF(CC665="",IF(CC664="",IF(CC663="","",CC663),CC664),CC665),CC666)</f>
      </c>
      <c r="CD667" s="973"/>
      <c r="CE667" s="973"/>
      <c r="CF667" s="973"/>
      <c r="CG667" s="757"/>
    </row>
    <row r="668" spans="1:85" s="587" customFormat="1" ht="15" hidden="1" customHeight="1" outlineLevel="1" x14ac:dyDescent="0.3">
      <c r="A668" s="569" t="s">
        <v>2295</v>
      </c>
      <c r="B668" s="416"/>
      <c r="C668" s="975">
        <f t="shared" ref="C668:BN668" si="1174">C404</f>
      </c>
      <c r="D668" s="975">
        <f t="shared" si="1174"/>
      </c>
      <c r="E668" s="975">
        <f t="shared" si="1174"/>
      </c>
      <c r="F668" s="975">
        <f t="shared" si="1174"/>
      </c>
      <c r="G668" s="157">
        <f t="shared" si="1174"/>
      </c>
      <c r="H668" s="157">
        <f t="shared" si="1174"/>
      </c>
      <c r="I668" s="157">
        <f t="shared" si="1174"/>
      </c>
      <c r="J668" s="157">
        <f t="shared" si="1174"/>
      </c>
      <c r="K668" s="975">
        <f t="shared" si="1174"/>
      </c>
      <c r="L668" s="157">
        <f t="shared" si="1174"/>
      </c>
      <c r="M668" s="157">
        <f t="shared" si="1174"/>
      </c>
      <c r="N668" s="157">
        <f t="shared" si="1174"/>
      </c>
      <c r="O668" s="157">
        <f t="shared" si="1174"/>
      </c>
      <c r="P668" s="975">
        <f t="shared" si="1174"/>
      </c>
      <c r="Q668" s="157">
        <f t="shared" si="1174"/>
      </c>
      <c r="R668" s="157">
        <f t="shared" si="1174"/>
      </c>
      <c r="S668" s="157">
        <f t="shared" si="1174"/>
      </c>
      <c r="T668" s="157">
        <f t="shared" si="1174"/>
      </c>
      <c r="U668" s="975">
        <f t="shared" si="1174"/>
      </c>
      <c r="V668" s="157">
        <f t="shared" si="1174"/>
      </c>
      <c r="W668" s="157">
        <f t="shared" si="1174"/>
      </c>
      <c r="X668" s="157">
        <f t="shared" si="1174"/>
      </c>
      <c r="Y668" s="157">
        <f t="shared" si="1174"/>
      </c>
      <c r="Z668" s="975">
        <f t="shared" si="1174"/>
      </c>
      <c r="AA668" s="157">
        <f t="shared" si="1174"/>
      </c>
      <c r="AB668" s="157">
        <f t="shared" si="1174"/>
      </c>
      <c r="AC668" s="157">
        <f t="shared" si="1174"/>
      </c>
      <c r="AD668" s="157">
        <f t="shared" si="1174"/>
      </c>
      <c r="AE668" s="975">
        <f t="shared" si="1174"/>
      </c>
      <c r="AF668" s="157">
        <f t="shared" si="1174"/>
      </c>
      <c r="AG668" s="157">
        <f t="shared" si="1174"/>
      </c>
      <c r="AH668" s="157">
        <f t="shared" si="1174"/>
      </c>
      <c r="AI668" s="157">
        <f t="shared" si="1174"/>
      </c>
      <c r="AJ668" s="975">
        <f t="shared" si="1174"/>
      </c>
      <c r="AK668" s="157">
        <f t="shared" si="1174"/>
      </c>
      <c r="AL668" s="157">
        <f t="shared" si="1174"/>
      </c>
      <c r="AM668" s="157">
        <f t="shared" si="1174"/>
      </c>
      <c r="AN668" s="157">
        <f t="shared" si="1174"/>
      </c>
      <c r="AO668" s="975">
        <f t="shared" si="1174"/>
      </c>
      <c r="AP668" s="157">
        <f t="shared" si="1174"/>
      </c>
      <c r="AQ668" s="157">
        <f t="shared" si="1174"/>
      </c>
      <c r="AR668" s="157">
        <f t="shared" si="1174"/>
      </c>
      <c r="AS668" s="157">
        <f t="shared" si="1174"/>
      </c>
      <c r="AT668" s="975">
        <f t="shared" si="1174"/>
      </c>
      <c r="AU668" s="157">
        <f t="shared" si="1174"/>
      </c>
      <c r="AV668" s="157">
        <f t="shared" si="1174"/>
      </c>
      <c r="AW668" s="157">
        <f t="shared" si="1174"/>
      </c>
      <c r="AX668" s="157">
        <f t="shared" si="1174"/>
      </c>
      <c r="AY668" s="975">
        <f t="shared" si="1174"/>
      </c>
      <c r="AZ668" s="157">
        <f t="shared" si="1174"/>
      </c>
      <c r="BA668" s="157">
        <f t="shared" si="1174"/>
      </c>
      <c r="BB668" s="157">
        <f t="shared" si="1174"/>
      </c>
      <c r="BC668" s="157">
        <f t="shared" si="1174"/>
      </c>
      <c r="BD668" s="975">
        <f t="shared" si="1174"/>
      </c>
      <c r="BE668" s="157">
        <f t="shared" si="1174"/>
      </c>
      <c r="BF668" s="157">
        <f t="shared" si="1174"/>
      </c>
      <c r="BG668" s="157">
        <f t="shared" si="1174"/>
      </c>
      <c r="BH668" s="157">
        <f t="shared" si="1174"/>
      </c>
      <c r="BI668" s="975">
        <f t="shared" si="1174"/>
      </c>
      <c r="BJ668" s="157">
        <f t="shared" si="1174"/>
      </c>
      <c r="BK668" s="157">
        <f t="shared" si="1174"/>
      </c>
      <c r="BL668" s="157">
        <f t="shared" si="1174"/>
      </c>
      <c r="BM668" s="157">
        <f t="shared" si="1174"/>
      </c>
      <c r="BN668" s="975">
        <f t="shared" si="1174"/>
      </c>
      <c r="BO668" s="157">
        <f t="shared" ref="BO668" si="1175">BO404</f>
      </c>
      <c r="BP668" s="157">
        <f t="shared" ref="BP668:BW668" si="1176">BP404</f>
      </c>
      <c r="BQ668" s="157">
        <f t="shared" si="1176"/>
      </c>
      <c r="BR668" s="157">
        <f t="shared" si="1176"/>
      </c>
      <c r="BS668" s="975">
        <f t="shared" si="1176"/>
      </c>
      <c r="BT668" s="676">
        <f>BT404</f>
      </c>
      <c r="BU668" s="157">
        <f t="shared" si="1176"/>
      </c>
      <c r="BV668" s="157">
        <f t="shared" si="1176"/>
      </c>
      <c r="BW668" s="157">
        <f t="shared" si="1176"/>
      </c>
      <c r="BX668" s="975">
        <f t="shared" ref="BX668" si="1177">BX404</f>
      </c>
      <c r="BY668" s="157">
        <f t="shared" ref="BY668:CF668" si="1178">BY404</f>
      </c>
      <c r="BZ668" s="157">
        <f t="shared" si="1178"/>
      </c>
      <c r="CA668" s="157">
        <f t="shared" si="1178"/>
      </c>
      <c r="CB668" s="157">
        <f t="shared" si="1178"/>
      </c>
      <c r="CC668" s="975">
        <f t="shared" si="1178"/>
      </c>
      <c r="CD668" s="975">
        <f t="shared" si="1178"/>
      </c>
      <c r="CE668" s="975">
        <f t="shared" si="1178"/>
      </c>
      <c r="CF668" s="975">
        <f t="shared" si="1178"/>
      </c>
      <c r="CG668" s="757"/>
    </row>
    <row r="669" spans="1:85" s="587" customFormat="1" ht="15" hidden="1" customHeight="1" outlineLevel="1" x14ac:dyDescent="0.3">
      <c r="A669" s="570" t="s">
        <v>2296</v>
      </c>
      <c r="B669" s="564"/>
      <c r="C669" s="1037"/>
      <c r="D669" s="1037"/>
      <c r="E669" s="1037"/>
      <c r="F669" s="1037"/>
      <c r="G669" s="571" t="str">
        <f t="shared" ref="G669:AL669" si="1179">IFERROR((G668-G667)*10000,"")</f>
      </c>
      <c r="H669" s="571" t="str">
        <f t="shared" si="1179"/>
      </c>
      <c r="I669" s="571" t="str">
        <f t="shared" si="1179"/>
      </c>
      <c r="J669" s="571" t="str">
        <f t="shared" si="1179"/>
      </c>
      <c r="K669" s="1037" t="str">
        <f t="shared" si="1179"/>
      </c>
      <c r="L669" s="571" t="str">
        <f t="shared" si="1179"/>
      </c>
      <c r="M669" s="571" t="str">
        <f t="shared" si="1179"/>
      </c>
      <c r="N669" s="571" t="str">
        <f t="shared" si="1179"/>
      </c>
      <c r="O669" s="571" t="str">
        <f t="shared" si="1179"/>
      </c>
      <c r="P669" s="1037" t="str">
        <f t="shared" si="1179"/>
      </c>
      <c r="Q669" s="571" t="str">
        <f t="shared" si="1179"/>
      </c>
      <c r="R669" s="571" t="str">
        <f t="shared" si="1179"/>
      </c>
      <c r="S669" s="571" t="str">
        <f t="shared" si="1179"/>
      </c>
      <c r="T669" s="571" t="str">
        <f t="shared" si="1179"/>
      </c>
      <c r="U669" s="1037" t="str">
        <f t="shared" si="1179"/>
      </c>
      <c r="V669" s="571" t="str">
        <f t="shared" si="1179"/>
      </c>
      <c r="W669" s="571" t="str">
        <f t="shared" si="1179"/>
      </c>
      <c r="X669" s="571" t="str">
        <f t="shared" si="1179"/>
      </c>
      <c r="Y669" s="571" t="str">
        <f t="shared" si="1179"/>
      </c>
      <c r="Z669" s="1037" t="str">
        <f t="shared" si="1179"/>
      </c>
      <c r="AA669" s="571" t="str">
        <f t="shared" si="1179"/>
      </c>
      <c r="AB669" s="571" t="str">
        <f t="shared" si="1179"/>
      </c>
      <c r="AC669" s="571" t="str">
        <f t="shared" si="1179"/>
      </c>
      <c r="AD669" s="571" t="str">
        <f t="shared" si="1179"/>
      </c>
      <c r="AE669" s="1037" t="str">
        <f t="shared" si="1179"/>
      </c>
      <c r="AF669" s="571" t="str">
        <f t="shared" si="1179"/>
      </c>
      <c r="AG669" s="571">
        <f t="shared" si="1179"/>
      </c>
      <c r="AH669" s="571" t="str">
        <f t="shared" si="1179"/>
      </c>
      <c r="AI669" s="571" t="str">
        <f t="shared" si="1179"/>
      </c>
      <c r="AJ669" s="1037">
        <f t="shared" si="1179"/>
      </c>
      <c r="AK669" s="571">
        <f t="shared" si="1179"/>
      </c>
      <c r="AL669" s="571">
        <f t="shared" si="1179"/>
      </c>
      <c r="AM669" s="571">
        <f t="shared" ref="AM669:BP669" si="1180">IFERROR((AM668-AM667)*10000,"")</f>
      </c>
      <c r="AN669" s="571">
        <f t="shared" si="1180"/>
      </c>
      <c r="AO669" s="1037">
        <f t="shared" si="1180"/>
      </c>
      <c r="AP669" s="571" t="str">
        <f t="shared" si="1180"/>
      </c>
      <c r="AQ669" s="571" t="str">
        <f t="shared" si="1180"/>
      </c>
      <c r="AR669" s="571">
        <f t="shared" si="1180"/>
      </c>
      <c r="AS669" s="571">
        <f t="shared" si="1180"/>
      </c>
      <c r="AT669" s="1037">
        <f t="shared" si="1180"/>
      </c>
      <c r="AU669" s="571">
        <f t="shared" si="1180"/>
      </c>
      <c r="AV669" s="571">
        <f t="shared" si="1180"/>
      </c>
      <c r="AW669" s="571">
        <f t="shared" si="1180"/>
      </c>
      <c r="AX669" s="571">
        <f t="shared" si="1180"/>
      </c>
      <c r="AY669" s="1037">
        <f t="shared" si="1180"/>
      </c>
      <c r="AZ669" s="571">
        <f t="shared" si="1180"/>
      </c>
      <c r="BA669" s="571">
        <f t="shared" si="1180"/>
      </c>
      <c r="BB669" s="571">
        <f t="shared" si="1180"/>
      </c>
      <c r="BC669" s="571">
        <f t="shared" si="1180"/>
      </c>
      <c r="BD669" s="1037">
        <f t="shared" si="1180"/>
      </c>
      <c r="BE669" s="571">
        <f t="shared" si="1180"/>
      </c>
      <c r="BF669" s="571">
        <f t="shared" si="1180"/>
      </c>
      <c r="BG669" s="571">
        <f t="shared" si="1180"/>
      </c>
      <c r="BH669" s="571">
        <f t="shared" si="1180"/>
      </c>
      <c r="BI669" s="1037">
        <f t="shared" si="1180"/>
      </c>
      <c r="BJ669" s="571">
        <f t="shared" si="1180"/>
      </c>
      <c r="BK669" s="571">
        <f t="shared" si="1180"/>
      </c>
      <c r="BL669" s="571">
        <f t="shared" si="1180"/>
      </c>
      <c r="BM669" s="571">
        <f t="shared" si="1180"/>
      </c>
      <c r="BN669" s="1037">
        <f t="shared" si="1180"/>
      </c>
      <c r="BO669" s="571">
        <f t="shared" si="1180"/>
      </c>
      <c r="BP669" s="571">
        <f t="shared" si="1180"/>
      </c>
      <c r="BQ669" s="571">
        <f t="shared" ref="BQ669:BW669" si="1181">IFERROR((BQ668-BQ667)*10000,"")</f>
      </c>
      <c r="BR669" s="571">
        <f t="shared" si="1181"/>
      </c>
      <c r="BS669" s="1037">
        <f t="shared" si="1181"/>
      </c>
      <c r="BT669" s="705">
        <f>IFERROR((BT668-BT667)*10000,"")</f>
      </c>
      <c r="BU669" s="571">
        <f t="shared" si="1181"/>
      </c>
      <c r="BV669" s="571" t="str">
        <f t="shared" si="1181"/>
      </c>
      <c r="BW669" s="571" t="str">
        <f t="shared" si="1181"/>
      </c>
      <c r="BX669" s="1037">
        <f t="shared" ref="BX669" si="1182">IFERROR((BX668-BX667)*10000,"")</f>
      </c>
      <c r="BY669" s="571" t="str">
        <f>IFERROR((BY668-BY667)*10000,"")</f>
      </c>
      <c r="BZ669" s="571" t="str">
        <f>IFERROR((BZ668-BZ667)*10000,"")</f>
      </c>
      <c r="CA669" s="571" t="str">
        <f>IFERROR((CA668-CA667)*10000,"")</f>
      </c>
      <c r="CB669" s="571" t="str">
        <f>IFERROR((CB668-CB667)*10000,"")</f>
      </c>
      <c r="CC669" s="1037" t="str">
        <f>IFERROR((CC668-CC667)*10000,"")</f>
      </c>
      <c r="CD669" s="1037"/>
      <c r="CE669" s="1037"/>
      <c r="CF669" s="1037"/>
      <c r="CG669" s="757"/>
    </row>
    <row r="670" spans="1:85" s="587" customFormat="1" ht="15" hidden="1" customHeight="1" outlineLevel="2" x14ac:dyDescent="0.3">
      <c r="A670" s="558"/>
      <c r="B670" s="414"/>
      <c r="C670" s="962"/>
      <c r="D670" s="962"/>
      <c r="E670" s="962"/>
      <c r="F670" s="962"/>
      <c r="G670" s="757"/>
      <c r="H670" s="757"/>
      <c r="I670" s="757"/>
      <c r="J670" s="757"/>
      <c r="K670" s="962"/>
      <c r="L670" s="757"/>
      <c r="M670" s="757"/>
      <c r="N670" s="757"/>
      <c r="O670" s="757"/>
      <c r="P670" s="962"/>
      <c r="Q670" s="757"/>
      <c r="R670" s="757"/>
      <c r="S670" s="757"/>
      <c r="T670" s="757"/>
      <c r="U670" s="962"/>
      <c r="V670" s="757"/>
      <c r="W670" s="757"/>
      <c r="X670" s="757"/>
      <c r="Y670" s="757"/>
      <c r="Z670" s="962"/>
      <c r="AA670" s="757"/>
      <c r="AB670" s="757"/>
      <c r="AC670" s="757"/>
      <c r="AD670" s="757"/>
      <c r="AE670" s="962"/>
      <c r="AF670" s="757"/>
      <c r="AG670" s="757"/>
      <c r="AH670" s="757"/>
      <c r="AI670" s="757"/>
      <c r="AJ670" s="962"/>
      <c r="AK670" s="757"/>
      <c r="AL670" s="757"/>
      <c r="AM670" s="757"/>
      <c r="AN670" s="757"/>
      <c r="AO670" s="962"/>
      <c r="AP670" s="757"/>
      <c r="AQ670" s="757"/>
      <c r="AR670" s="757"/>
      <c r="AS670" s="757"/>
      <c r="AT670" s="962"/>
      <c r="AU670" s="757"/>
      <c r="AV670" s="757"/>
      <c r="AW670" s="757"/>
      <c r="AX670" s="757"/>
      <c r="AY670" s="962"/>
      <c r="AZ670" s="757"/>
      <c r="BA670" s="757"/>
      <c r="BB670" s="757"/>
      <c r="BC670" s="757"/>
      <c r="BD670" s="962"/>
      <c r="BE670" s="757"/>
      <c r="BF670" s="757"/>
      <c r="BG670" s="757"/>
      <c r="BH670" s="757"/>
      <c r="BI670" s="962"/>
      <c r="BJ670" s="757"/>
      <c r="BK670" s="757"/>
      <c r="BL670" s="757"/>
      <c r="BM670" s="757"/>
      <c r="BN670" s="962"/>
      <c r="BO670" s="757"/>
      <c r="BP670" s="757"/>
      <c r="BQ670" s="757"/>
      <c r="BR670" s="757"/>
      <c r="BS670" s="962"/>
      <c r="BT670" s="758"/>
      <c r="BU670" s="757"/>
      <c r="BV670" s="757"/>
      <c r="BW670" s="757"/>
      <c r="BX670" s="962"/>
      <c r="BY670" s="757"/>
      <c r="BZ670" s="757"/>
      <c r="CA670" s="757"/>
      <c r="CB670" s="757"/>
      <c r="CC670" s="962"/>
      <c r="CD670" s="962"/>
      <c r="CE670" s="962"/>
      <c r="CF670" s="962"/>
      <c r="CG670" s="757"/>
    </row>
    <row r="671" spans="1:85" s="587" customFormat="1" ht="15" hidden="1" customHeight="1" outlineLevel="2" x14ac:dyDescent="0.3">
      <c r="A671" s="442" t="s">
        <v>2274</v>
      </c>
      <c r="B671" s="414"/>
      <c r="C671" s="1035"/>
      <c r="D671" s="1035"/>
      <c r="E671" s="1035"/>
      <c r="F671" s="1035"/>
      <c r="G671" s="559"/>
      <c r="H671" s="559"/>
      <c r="I671" s="559"/>
      <c r="J671" s="559"/>
      <c r="K671" s="1035"/>
      <c r="L671" s="559"/>
      <c r="M671" s="559"/>
      <c r="N671" s="559"/>
      <c r="O671" s="559"/>
      <c r="P671" s="1035"/>
      <c r="Q671" s="559"/>
      <c r="R671" s="559"/>
      <c r="S671" s="559"/>
      <c r="T671" s="559"/>
      <c r="U671" s="1035"/>
      <c r="V671" s="559"/>
      <c r="W671" s="559"/>
      <c r="X671" s="559"/>
      <c r="Y671" s="559"/>
      <c r="Z671" s="1035"/>
      <c r="AA671" s="559"/>
      <c r="AB671" s="559"/>
      <c r="AC671" s="559"/>
      <c r="AD671" s="559">
        <f t="shared" ref="AD671:AH671" si="1183">AD1320</f>
      </c>
      <c r="AE671" s="1035">
        <f t="shared" si="1183"/>
      </c>
      <c r="AF671" s="559">
        <f t="shared" si="1183"/>
      </c>
      <c r="AG671" s="559">
        <f t="shared" si="1183"/>
      </c>
      <c r="AH671" s="559">
        <f t="shared" si="1183"/>
      </c>
      <c r="AI671" s="559">
        <f t="shared" ref="AI671:BP671" si="1184">AI1320</f>
      </c>
      <c r="AJ671" s="1035">
        <f t="shared" si="1184"/>
      </c>
      <c r="AK671" s="559">
        <f t="shared" si="1184"/>
      </c>
      <c r="AL671" s="559">
        <f t="shared" si="1184"/>
      </c>
      <c r="AM671" s="559">
        <f t="shared" si="1184"/>
      </c>
      <c r="AN671" s="559">
        <f t="shared" si="1184"/>
      </c>
      <c r="AO671" s="1035">
        <f t="shared" si="1184"/>
      </c>
      <c r="AP671" s="559">
        <f t="shared" si="1184"/>
      </c>
      <c r="AQ671" s="559">
        <f t="shared" si="1184"/>
      </c>
      <c r="AR671" s="559">
        <f t="shared" si="1184"/>
      </c>
      <c r="AS671" s="559">
        <f t="shared" si="1184"/>
      </c>
      <c r="AT671" s="1035">
        <f t="shared" si="1184"/>
      </c>
      <c r="AU671" s="559">
        <f t="shared" si="1184"/>
      </c>
      <c r="AV671" s="559">
        <f t="shared" si="1184"/>
      </c>
      <c r="AW671" s="559">
        <f t="shared" si="1184"/>
      </c>
      <c r="AX671" s="559">
        <f t="shared" si="1184"/>
      </c>
      <c r="AY671" s="1035">
        <f t="shared" si="1184"/>
      </c>
      <c r="AZ671" s="559">
        <f t="shared" si="1184"/>
      </c>
      <c r="BA671" s="559">
        <f t="shared" si="1184"/>
      </c>
      <c r="BB671" s="559">
        <f t="shared" si="1184"/>
      </c>
      <c r="BC671" s="559">
        <f t="shared" si="1184"/>
      </c>
      <c r="BD671" s="1035">
        <f t="shared" si="1184"/>
      </c>
      <c r="BE671" s="559">
        <f t="shared" si="1184"/>
      </c>
      <c r="BF671" s="559">
        <f t="shared" si="1184"/>
      </c>
      <c r="BG671" s="559">
        <f t="shared" si="1184"/>
      </c>
      <c r="BH671" s="559">
        <f t="shared" si="1184"/>
      </c>
      <c r="BI671" s="1035">
        <f t="shared" si="1184"/>
      </c>
      <c r="BJ671" s="559">
        <f t="shared" si="1184"/>
      </c>
      <c r="BK671" s="559">
        <f t="shared" si="1184"/>
      </c>
      <c r="BL671" s="559">
        <f t="shared" si="1184"/>
      </c>
      <c r="BM671" s="559">
        <f t="shared" si="1184"/>
      </c>
      <c r="BN671" s="1035">
        <f t="shared" si="1184"/>
      </c>
      <c r="BO671" s="559">
        <f t="shared" si="1184"/>
      </c>
      <c r="BP671" s="559">
        <f t="shared" si="1184"/>
      </c>
      <c r="BQ671" s="559">
        <f>BQ1320</f>
      </c>
      <c r="BR671" s="559">
        <f>BR1320</f>
      </c>
      <c r="BS671" s="1035">
        <f>BS1320</f>
      </c>
      <c r="BT671" s="703">
        <f>BT1320</f>
      </c>
      <c r="BU671" s="559"/>
      <c r="BV671" s="559"/>
      <c r="BW671" s="559"/>
      <c r="BX671" s="1035"/>
      <c r="BY671" s="559"/>
      <c r="BZ671" s="559"/>
      <c r="CA671" s="559"/>
      <c r="CB671" s="559"/>
      <c r="CC671" s="1035"/>
      <c r="CD671" s="1035"/>
      <c r="CE671" s="1035"/>
      <c r="CF671" s="1035"/>
      <c r="CG671" s="757"/>
    </row>
    <row r="672" spans="1:85" s="587" customFormat="1" ht="15" hidden="1" customHeight="1" outlineLevel="2" x14ac:dyDescent="0.3">
      <c r="A672" s="562" t="s">
        <v>2275</v>
      </c>
      <c r="B672" s="560"/>
      <c r="C672" s="1036"/>
      <c r="D672" s="1036"/>
      <c r="E672" s="1036"/>
      <c r="F672" s="1036"/>
      <c r="G672" s="561"/>
      <c r="H672" s="561"/>
      <c r="I672" s="561"/>
      <c r="J672" s="561"/>
      <c r="K672" s="1036"/>
      <c r="L672" s="561"/>
      <c r="M672" s="561"/>
      <c r="N672" s="561"/>
      <c r="O672" s="561"/>
      <c r="P672" s="1036"/>
      <c r="Q672" s="561"/>
      <c r="R672" s="561"/>
      <c r="S672" s="561"/>
      <c r="T672" s="561"/>
      <c r="U672" s="1036"/>
      <c r="V672" s="561"/>
      <c r="W672" s="561"/>
      <c r="X672" s="561"/>
      <c r="Y672" s="561"/>
      <c r="Z672" s="1036"/>
      <c r="AA672" s="561"/>
      <c r="AB672" s="561"/>
      <c r="AC672" s="561"/>
      <c r="AD672" s="561" t="str">
        <f>AF5</f>
      </c>
      <c r="AE672" s="1036" t="str">
        <f>AF5</f>
      </c>
      <c r="AF672" s="561" t="str">
        <f>AG5</f>
      </c>
      <c r="AG672" s="561" t="str">
        <f>AH5</f>
      </c>
      <c r="AH672" s="561" t="str">
        <f>AI5</f>
      </c>
      <c r="AI672" s="561" t="str">
        <f>AK5</f>
      </c>
      <c r="AJ672" s="1036" t="str">
        <f>AK5</f>
      </c>
      <c r="AK672" s="561" t="str">
        <f>AL5</f>
      </c>
      <c r="AL672" s="561" t="str">
        <f>AM5</f>
      </c>
      <c r="AM672" s="561" t="str">
        <f>AN5</f>
      </c>
      <c r="AN672" s="561" t="str">
        <f>AP5</f>
      </c>
      <c r="AO672" s="1036" t="str">
        <f>AP5</f>
      </c>
      <c r="AP672" s="561" t="str">
        <f>AQ5</f>
      </c>
      <c r="AQ672" s="561" t="str">
        <f>AR5</f>
      </c>
      <c r="AR672" s="561" t="str">
        <f>AS5</f>
      </c>
      <c r="AS672" s="561" t="str">
        <f>AU5</f>
      </c>
      <c r="AT672" s="1036" t="str">
        <f>AU5</f>
      </c>
      <c r="AU672" s="561" t="str">
        <f>AV5</f>
      </c>
      <c r="AV672" s="561" t="str">
        <f>AW5</f>
      </c>
      <c r="AW672" s="561" t="str">
        <f>AX5</f>
      </c>
      <c r="AX672" s="561" t="str">
        <f>AZ5</f>
      </c>
      <c r="AY672" s="1036" t="str">
        <f>AZ5</f>
      </c>
      <c r="AZ672" s="561" t="str">
        <f>BA5</f>
      </c>
      <c r="BA672" s="561" t="str">
        <f>BB5</f>
      </c>
      <c r="BB672" s="561" t="str">
        <f>BC5</f>
      </c>
      <c r="BC672" s="561" t="str">
        <f>BE5</f>
      </c>
      <c r="BD672" s="1036" t="str">
        <f>BE5</f>
      </c>
      <c r="BE672" s="561" t="str">
        <f>BF5</f>
      </c>
      <c r="BF672" s="561" t="str">
        <f>BG5</f>
      </c>
      <c r="BG672" s="561" t="str">
        <f>BH5</f>
      </c>
      <c r="BH672" s="561" t="str">
        <f>BJ5</f>
      </c>
      <c r="BI672" s="1036" t="str">
        <f>BJ5</f>
      </c>
      <c r="BJ672" s="561" t="str">
        <f>BK5</f>
      </c>
      <c r="BK672" s="561" t="str">
        <f>BL5</f>
      </c>
      <c r="BL672" s="561" t="str">
        <f>BM5</f>
      </c>
      <c r="BM672" s="561" t="str">
        <f>BO5</f>
      </c>
      <c r="BN672" s="1036" t="str">
        <f>BO5</f>
      </c>
      <c r="BO672" s="561" t="str">
        <f>BP5</f>
      </c>
      <c r="BP672" s="561" t="str">
        <f>BQ5</f>
      </c>
      <c r="BQ672" s="561" t="str">
        <f>BR5</f>
      </c>
      <c r="BR672" s="561" t="str">
        <f>BT5</f>
      </c>
      <c r="BS672" s="1036" t="str">
        <f>BT5</f>
      </c>
      <c r="BT672" s="704" t="str">
        <f>BU5</f>
      </c>
      <c r="BU672" s="561"/>
      <c r="BV672" s="561"/>
      <c r="BW672" s="561"/>
      <c r="BX672" s="1036"/>
      <c r="BY672" s="561"/>
      <c r="BZ672" s="561"/>
      <c r="CA672" s="561"/>
      <c r="CB672" s="561"/>
      <c r="CC672" s="1036"/>
      <c r="CD672" s="1036"/>
      <c r="CE672" s="1036"/>
      <c r="CF672" s="1036"/>
      <c r="CG672" s="757"/>
    </row>
    <row r="673" spans="1:85" s="587" customFormat="1" ht="15" hidden="1" customHeight="1" outlineLevel="3" x14ac:dyDescent="0.3">
      <c r="A673" s="436" t="s">
        <v>2276</v>
      </c>
      <c r="B673" s="414"/>
      <c r="C673" s="962"/>
      <c r="D673" s="962"/>
      <c r="E673" s="962"/>
      <c r="F673" s="962"/>
      <c r="G673" s="757"/>
      <c r="H673" s="757"/>
      <c r="I673" s="757"/>
      <c r="J673" s="757"/>
      <c r="K673" s="962"/>
      <c r="L673" s="757"/>
      <c r="M673" s="757"/>
      <c r="N673" s="757"/>
      <c r="O673" s="757"/>
      <c r="P673" s="962"/>
      <c r="Q673" s="757"/>
      <c r="R673" s="757"/>
      <c r="S673" s="757"/>
      <c r="T673" s="757"/>
      <c r="U673" s="962"/>
      <c r="V673" s="757"/>
      <c r="W673" s="757"/>
      <c r="X673" s="757"/>
      <c r="Y673" s="757"/>
      <c r="Z673" s="962"/>
      <c r="AA673" s="757"/>
      <c r="AB673" s="757"/>
      <c r="AC673" s="757"/>
      <c r="AD673" s="757" t="str">
        <f t="shared" ref="AD673:BN673" si="1185">AD1328</f>
      </c>
      <c r="AE673" s="962" t="str">
        <f t="shared" si="1185"/>
      </c>
      <c r="AF673" s="757" t="str">
        <f t="shared" si="1185"/>
      </c>
      <c r="AG673" s="757" t="str">
        <f t="shared" si="1185"/>
      </c>
      <c r="AH673" s="757" t="str">
        <f t="shared" si="1185"/>
      </c>
      <c r="AI673" s="757">
        <f t="shared" si="1185"/>
      </c>
      <c r="AJ673" s="962">
        <f t="shared" si="1185"/>
      </c>
      <c r="AK673" s="757">
        <f t="shared" si="1185"/>
      </c>
      <c r="AL673" s="757">
        <f t="shared" si="1185"/>
      </c>
      <c r="AM673" s="757">
        <f t="shared" si="1185"/>
      </c>
      <c r="AN673" s="757">
        <f t="shared" si="1185"/>
      </c>
      <c r="AO673" s="962">
        <f t="shared" si="1185"/>
      </c>
      <c r="AP673" s="757">
        <f t="shared" si="1185"/>
      </c>
      <c r="AQ673" s="757">
        <f t="shared" si="1185"/>
      </c>
      <c r="AR673" s="757">
        <f t="shared" si="1185"/>
      </c>
      <c r="AS673" s="757">
        <f t="shared" si="1185"/>
      </c>
      <c r="AT673" s="962">
        <f t="shared" si="1185"/>
      </c>
      <c r="AU673" s="757">
        <f t="shared" si="1185"/>
      </c>
      <c r="AV673" s="757">
        <f t="shared" si="1185"/>
      </c>
      <c r="AW673" s="757">
        <f t="shared" si="1185"/>
      </c>
      <c r="AX673" s="757">
        <f t="shared" si="1185"/>
      </c>
      <c r="AY673" s="962">
        <f t="shared" si="1185"/>
      </c>
      <c r="AZ673" s="757">
        <f t="shared" si="1185"/>
      </c>
      <c r="BA673" s="757">
        <f t="shared" si="1185"/>
      </c>
      <c r="BB673" s="757">
        <f t="shared" si="1185"/>
      </c>
      <c r="BC673" s="757">
        <f t="shared" si="1185"/>
      </c>
      <c r="BD673" s="962">
        <f t="shared" si="1185"/>
      </c>
      <c r="BE673" s="757">
        <f t="shared" si="1185"/>
      </c>
      <c r="BF673" s="757">
        <f t="shared" si="1185"/>
      </c>
      <c r="BG673" s="757">
        <f t="shared" si="1185"/>
      </c>
      <c r="BH673" s="757">
        <f t="shared" si="1185"/>
      </c>
      <c r="BI673" s="962">
        <f t="shared" si="1185"/>
      </c>
      <c r="BJ673" s="757">
        <f t="shared" si="1185"/>
      </c>
      <c r="BK673" s="757">
        <f t="shared" si="1185"/>
      </c>
      <c r="BL673" s="757">
        <f t="shared" si="1185"/>
      </c>
      <c r="BM673" s="757">
        <f t="shared" si="1185"/>
      </c>
      <c r="BN673" s="962">
        <f t="shared" si="1185"/>
      </c>
      <c r="BO673" s="757">
        <f t="shared" ref="BO673:BO674" si="1186">BO1328</f>
      </c>
      <c r="BP673" s="757">
        <f t="shared" ref="BP673:BS674" si="1187">BP1328</f>
      </c>
      <c r="BQ673" s="757">
        <f t="shared" si="1187"/>
      </c>
      <c r="BR673" s="757">
        <f t="shared" si="1187"/>
      </c>
      <c r="BS673" s="962">
        <f t="shared" si="1187"/>
      </c>
      <c r="BT673" s="758">
        <f>BT1328</f>
      </c>
      <c r="BU673" s="757"/>
      <c r="BV673" s="757"/>
      <c r="BW673" s="757"/>
      <c r="BX673" s="962"/>
      <c r="BY673" s="757"/>
      <c r="BZ673" s="757"/>
      <c r="CA673" s="757"/>
      <c r="CB673" s="757"/>
      <c r="CC673" s="962"/>
      <c r="CD673" s="962"/>
      <c r="CE673" s="962"/>
      <c r="CF673" s="962"/>
      <c r="CG673" s="757"/>
    </row>
    <row r="674" spans="1:85" s="587" customFormat="1" ht="15" hidden="1" customHeight="1" outlineLevel="3" x14ac:dyDescent="0.3">
      <c r="A674" s="554" t="s">
        <v>2277</v>
      </c>
      <c r="B674" s="416"/>
      <c r="C674" s="984"/>
      <c r="D674" s="984"/>
      <c r="E674" s="984"/>
      <c r="F674" s="984"/>
      <c r="G674" s="761"/>
      <c r="H674" s="761"/>
      <c r="I674" s="761"/>
      <c r="J674" s="761"/>
      <c r="K674" s="984"/>
      <c r="L674" s="761"/>
      <c r="M674" s="761"/>
      <c r="N674" s="761"/>
      <c r="O674" s="761"/>
      <c r="P674" s="984"/>
      <c r="Q674" s="761"/>
      <c r="R674" s="761"/>
      <c r="S674" s="761"/>
      <c r="T674" s="761"/>
      <c r="U674" s="984"/>
      <c r="V674" s="761"/>
      <c r="W674" s="761"/>
      <c r="X674" s="761"/>
      <c r="Y674" s="761"/>
      <c r="Z674" s="984"/>
      <c r="AA674" s="761"/>
      <c r="AB674" s="761"/>
      <c r="AC674" s="761"/>
      <c r="AD674" s="761" t="str">
        <f t="shared" ref="AD674:BN674" si="1188">AD1329</f>
      </c>
      <c r="AE674" s="984" t="str">
        <f t="shared" si="1188"/>
      </c>
      <c r="AF674" s="761" t="str">
        <f t="shared" si="1188"/>
      </c>
      <c r="AG674" s="761" t="str">
        <f t="shared" si="1188"/>
      </c>
      <c r="AH674" s="761" t="str">
        <f t="shared" si="1188"/>
      </c>
      <c r="AI674" s="761">
        <f t="shared" si="1188"/>
      </c>
      <c r="AJ674" s="984">
        <f t="shared" si="1188"/>
      </c>
      <c r="AK674" s="761">
        <f t="shared" si="1188"/>
      </c>
      <c r="AL674" s="761">
        <f t="shared" si="1188"/>
      </c>
      <c r="AM674" s="761">
        <f t="shared" si="1188"/>
      </c>
      <c r="AN674" s="761">
        <f t="shared" si="1188"/>
      </c>
      <c r="AO674" s="984">
        <f t="shared" si="1188"/>
      </c>
      <c r="AP674" s="761">
        <f t="shared" si="1188"/>
      </c>
      <c r="AQ674" s="761">
        <f t="shared" si="1188"/>
      </c>
      <c r="AR674" s="761">
        <f t="shared" si="1188"/>
      </c>
      <c r="AS674" s="761">
        <f t="shared" si="1188"/>
      </c>
      <c r="AT674" s="984">
        <f t="shared" si="1188"/>
      </c>
      <c r="AU674" s="761">
        <f t="shared" si="1188"/>
      </c>
      <c r="AV674" s="761">
        <f t="shared" si="1188"/>
      </c>
      <c r="AW674" s="761">
        <f t="shared" si="1188"/>
      </c>
      <c r="AX674" s="761">
        <f t="shared" si="1188"/>
      </c>
      <c r="AY674" s="984">
        <f t="shared" si="1188"/>
      </c>
      <c r="AZ674" s="761">
        <f t="shared" si="1188"/>
      </c>
      <c r="BA674" s="761">
        <f t="shared" si="1188"/>
      </c>
      <c r="BB674" s="761">
        <f t="shared" si="1188"/>
      </c>
      <c r="BC674" s="761">
        <f t="shared" si="1188"/>
      </c>
      <c r="BD674" s="984">
        <f t="shared" si="1188"/>
      </c>
      <c r="BE674" s="761">
        <f t="shared" si="1188"/>
      </c>
      <c r="BF674" s="761">
        <f t="shared" si="1188"/>
      </c>
      <c r="BG674" s="761">
        <f t="shared" si="1188"/>
      </c>
      <c r="BH674" s="761">
        <f t="shared" si="1188"/>
      </c>
      <c r="BI674" s="984">
        <f t="shared" si="1188"/>
      </c>
      <c r="BJ674" s="761">
        <f t="shared" si="1188"/>
      </c>
      <c r="BK674" s="761">
        <f t="shared" si="1188"/>
      </c>
      <c r="BL674" s="761">
        <f t="shared" si="1188"/>
      </c>
      <c r="BM674" s="761">
        <f t="shared" si="1188"/>
      </c>
      <c r="BN674" s="984">
        <f t="shared" si="1188"/>
      </c>
      <c r="BO674" s="761">
        <f t="shared" si="1186"/>
      </c>
      <c r="BP674" s="761">
        <f t="shared" si="1187"/>
      </c>
      <c r="BQ674" s="761">
        <f t="shared" si="1187"/>
      </c>
      <c r="BR674" s="761">
        <f t="shared" si="1187"/>
      </c>
      <c r="BS674" s="984">
        <f t="shared" si="1187"/>
      </c>
      <c r="BT674" s="762">
        <f>BT1329</f>
      </c>
      <c r="BU674" s="761"/>
      <c r="BV674" s="761"/>
      <c r="BW674" s="761"/>
      <c r="BX674" s="984"/>
      <c r="BY674" s="761"/>
      <c r="BZ674" s="761"/>
      <c r="CA674" s="761"/>
      <c r="CB674" s="761"/>
      <c r="CC674" s="984"/>
      <c r="CD674" s="984"/>
      <c r="CE674" s="984"/>
      <c r="CF674" s="984"/>
      <c r="CG674" s="757"/>
    </row>
    <row r="675" spans="1:85" s="587" customFormat="1" ht="15" hidden="1" customHeight="1" outlineLevel="2" collapsed="1" x14ac:dyDescent="0.3">
      <c r="A675" s="429" t="s">
        <v>2278</v>
      </c>
      <c r="B675" s="428"/>
      <c r="C675" s="969"/>
      <c r="D675" s="969"/>
      <c r="E675" s="969"/>
      <c r="F675" s="969"/>
      <c r="G675" s="759"/>
      <c r="H675" s="759"/>
      <c r="I675" s="759"/>
      <c r="J675" s="759"/>
      <c r="K675" s="969"/>
      <c r="L675" s="759"/>
      <c r="M675" s="759"/>
      <c r="N675" s="759"/>
      <c r="O675" s="759"/>
      <c r="P675" s="969"/>
      <c r="Q675" s="759"/>
      <c r="R675" s="759"/>
      <c r="S675" s="759"/>
      <c r="T675" s="759"/>
      <c r="U675" s="969"/>
      <c r="V675" s="759"/>
      <c r="W675" s="759"/>
      <c r="X675" s="759"/>
      <c r="Y675" s="759"/>
      <c r="Z675" s="969"/>
      <c r="AA675" s="759"/>
      <c r="AB675" s="759"/>
      <c r="AC675" s="759"/>
      <c r="AD675" s="759" t="str">
        <f t="shared" ref="AD675:AH675" si="1189">IFERROR(AVERAGE(AD673,AD674),"")</f>
      </c>
      <c r="AE675" s="969" t="str">
        <f t="shared" si="1189"/>
      </c>
      <c r="AF675" s="759" t="str">
        <f t="shared" si="1189"/>
      </c>
      <c r="AG675" s="759" t="str">
        <f t="shared" si="1189"/>
      </c>
      <c r="AH675" s="759" t="str">
        <f t="shared" si="1189"/>
      </c>
      <c r="AI675" s="759">
        <f t="shared" ref="AI675:BN675" si="1190">IFERROR(AVERAGE(AI673,AI674),"")</f>
      </c>
      <c r="AJ675" s="969">
        <f t="shared" si="1190"/>
      </c>
      <c r="AK675" s="759">
        <f t="shared" si="1190"/>
      </c>
      <c r="AL675" s="759">
        <f t="shared" si="1190"/>
      </c>
      <c r="AM675" s="759">
        <f t="shared" si="1190"/>
      </c>
      <c r="AN675" s="759">
        <f t="shared" si="1190"/>
      </c>
      <c r="AO675" s="969">
        <f t="shared" si="1190"/>
      </c>
      <c r="AP675" s="759">
        <f t="shared" si="1190"/>
      </c>
      <c r="AQ675" s="759">
        <f t="shared" si="1190"/>
      </c>
      <c r="AR675" s="759">
        <f t="shared" si="1190"/>
      </c>
      <c r="AS675" s="759">
        <f t="shared" si="1190"/>
      </c>
      <c r="AT675" s="969">
        <f t="shared" si="1190"/>
      </c>
      <c r="AU675" s="759">
        <f t="shared" si="1190"/>
      </c>
      <c r="AV675" s="759">
        <f t="shared" si="1190"/>
      </c>
      <c r="AW675" s="759">
        <f t="shared" si="1190"/>
      </c>
      <c r="AX675" s="759">
        <f t="shared" si="1190"/>
      </c>
      <c r="AY675" s="969">
        <f t="shared" si="1190"/>
      </c>
      <c r="AZ675" s="759">
        <f t="shared" si="1190"/>
      </c>
      <c r="BA675" s="759">
        <f t="shared" si="1190"/>
      </c>
      <c r="BB675" s="759">
        <f t="shared" si="1190"/>
      </c>
      <c r="BC675" s="759">
        <f t="shared" si="1190"/>
      </c>
      <c r="BD675" s="969">
        <f t="shared" si="1190"/>
      </c>
      <c r="BE675" s="759">
        <f t="shared" si="1190"/>
      </c>
      <c r="BF675" s="759">
        <f t="shared" si="1190"/>
      </c>
      <c r="BG675" s="759">
        <f t="shared" si="1190"/>
      </c>
      <c r="BH675" s="759">
        <f t="shared" si="1190"/>
      </c>
      <c r="BI675" s="969">
        <f t="shared" si="1190"/>
      </c>
      <c r="BJ675" s="759">
        <f t="shared" si="1190"/>
      </c>
      <c r="BK675" s="759">
        <f t="shared" si="1190"/>
      </c>
      <c r="BL675" s="759">
        <f t="shared" si="1190"/>
      </c>
      <c r="BM675" s="759">
        <f t="shared" si="1190"/>
      </c>
      <c r="BN675" s="969">
        <f t="shared" si="1190"/>
      </c>
      <c r="BO675" s="759">
        <f t="shared" ref="BO675:BP675" si="1191">IFERROR(AVERAGE(BO673,BO674),"")</f>
      </c>
      <c r="BP675" s="759">
        <f t="shared" si="1191"/>
      </c>
      <c r="BQ675" s="759">
        <f>IFERROR(AVERAGE(BQ673,BQ674),"")</f>
      </c>
      <c r="BR675" s="759">
        <f>IFERROR(AVERAGE(BR673,BR674),"")</f>
      </c>
      <c r="BS675" s="969">
        <f>IFERROR(AVERAGE(BS673,BS674),"")</f>
      </c>
      <c r="BT675" s="760">
        <f>IFERROR(AVERAGE(BT673,BT674),"")</f>
      </c>
      <c r="BU675" s="759"/>
      <c r="BV675" s="759"/>
      <c r="BW675" s="759"/>
      <c r="BX675" s="969"/>
      <c r="BY675" s="759"/>
      <c r="BZ675" s="759"/>
      <c r="CA675" s="759"/>
      <c r="CB675" s="759"/>
      <c r="CC675" s="969"/>
      <c r="CD675" s="969"/>
      <c r="CE675" s="969"/>
      <c r="CF675" s="969"/>
      <c r="CG675" s="757"/>
    </row>
    <row r="676" spans="1:85" s="587" customFormat="1" ht="15" hidden="1" customHeight="1" outlineLevel="2" x14ac:dyDescent="0.3">
      <c r="A676" s="436" t="s">
        <v>2279</v>
      </c>
      <c r="B676" s="414"/>
      <c r="C676" s="962"/>
      <c r="D676" s="962"/>
      <c r="E676" s="962"/>
      <c r="F676" s="962"/>
      <c r="G676" s="757"/>
      <c r="H676" s="757"/>
      <c r="I676" s="757"/>
      <c r="J676" s="757"/>
      <c r="K676" s="962"/>
      <c r="L676" s="757"/>
      <c r="M676" s="757"/>
      <c r="N676" s="757"/>
      <c r="O676" s="757"/>
      <c r="P676" s="962"/>
      <c r="Q676" s="757"/>
      <c r="R676" s="757"/>
      <c r="S676" s="757"/>
      <c r="T676" s="757"/>
      <c r="U676" s="962"/>
      <c r="V676" s="757"/>
      <c r="W676" s="757"/>
      <c r="X676" s="757"/>
      <c r="Y676" s="757"/>
      <c r="Z676" s="962"/>
      <c r="AA676" s="757"/>
      <c r="AB676" s="757"/>
      <c r="AC676" s="757"/>
      <c r="AD676" s="757" t="str">
        <f t="shared" ref="AD676:AH676" si="1192">IFERROR(ABS(AD674-AD673),"")</f>
      </c>
      <c r="AE676" s="962" t="str">
        <f t="shared" si="1192"/>
      </c>
      <c r="AF676" s="757" t="str">
        <f t="shared" si="1192"/>
      </c>
      <c r="AG676" s="757" t="str">
        <f t="shared" si="1192"/>
      </c>
      <c r="AH676" s="757" t="str">
        <f t="shared" si="1192"/>
      </c>
      <c r="AI676" s="757">
        <f t="shared" ref="AI676:BP676" si="1193">IFERROR(ABS(AI674-AI673),"")</f>
      </c>
      <c r="AJ676" s="962">
        <f t="shared" si="1193"/>
      </c>
      <c r="AK676" s="757">
        <f t="shared" si="1193"/>
      </c>
      <c r="AL676" s="757">
        <f t="shared" si="1193"/>
      </c>
      <c r="AM676" s="757">
        <f t="shared" si="1193"/>
      </c>
      <c r="AN676" s="757">
        <f t="shared" si="1193"/>
      </c>
      <c r="AO676" s="962">
        <f t="shared" si="1193"/>
      </c>
      <c r="AP676" s="757">
        <f t="shared" si="1193"/>
      </c>
      <c r="AQ676" s="757">
        <f t="shared" si="1193"/>
      </c>
      <c r="AR676" s="757">
        <f t="shared" si="1193"/>
      </c>
      <c r="AS676" s="757">
        <f t="shared" si="1193"/>
      </c>
      <c r="AT676" s="962">
        <f t="shared" si="1193"/>
      </c>
      <c r="AU676" s="757">
        <f t="shared" si="1193"/>
      </c>
      <c r="AV676" s="757">
        <f t="shared" si="1193"/>
      </c>
      <c r="AW676" s="757">
        <f t="shared" si="1193"/>
      </c>
      <c r="AX676" s="757">
        <f t="shared" si="1193"/>
      </c>
      <c r="AY676" s="962">
        <f t="shared" si="1193"/>
      </c>
      <c r="AZ676" s="757">
        <f t="shared" si="1193"/>
      </c>
      <c r="BA676" s="757">
        <f t="shared" si="1193"/>
      </c>
      <c r="BB676" s="757">
        <f t="shared" si="1193"/>
      </c>
      <c r="BC676" s="757">
        <f t="shared" si="1193"/>
      </c>
      <c r="BD676" s="962">
        <f t="shared" si="1193"/>
      </c>
      <c r="BE676" s="757">
        <f t="shared" si="1193"/>
      </c>
      <c r="BF676" s="757">
        <f t="shared" si="1193"/>
      </c>
      <c r="BG676" s="757">
        <f t="shared" si="1193"/>
      </c>
      <c r="BH676" s="757">
        <f t="shared" si="1193"/>
      </c>
      <c r="BI676" s="962">
        <f t="shared" si="1193"/>
      </c>
      <c r="BJ676" s="757">
        <f t="shared" si="1193"/>
      </c>
      <c r="BK676" s="757">
        <f t="shared" si="1193"/>
      </c>
      <c r="BL676" s="757">
        <f t="shared" si="1193"/>
      </c>
      <c r="BM676" s="757">
        <f t="shared" si="1193"/>
      </c>
      <c r="BN676" s="962">
        <f t="shared" si="1193"/>
      </c>
      <c r="BO676" s="757">
        <f t="shared" si="1193"/>
      </c>
      <c r="BP676" s="757">
        <f t="shared" si="1193"/>
      </c>
      <c r="BQ676" s="757">
        <f>IFERROR(ABS(BQ674-BQ673),"")</f>
      </c>
      <c r="BR676" s="757">
        <f>IFERROR(ABS(BR674-BR673),"")</f>
      </c>
      <c r="BS676" s="962">
        <f>IFERROR(ABS(BS674-BS673),"")</f>
      </c>
      <c r="BT676" s="758">
        <f>IFERROR(ABS(BT674-BT673),"")</f>
      </c>
      <c r="BU676" s="757"/>
      <c r="BV676" s="757"/>
      <c r="BW676" s="757"/>
      <c r="BX676" s="962"/>
      <c r="BY676" s="757"/>
      <c r="BZ676" s="757"/>
      <c r="CA676" s="757"/>
      <c r="CB676" s="757"/>
      <c r="CC676" s="962"/>
      <c r="CD676" s="962"/>
      <c r="CE676" s="962"/>
      <c r="CF676" s="962"/>
      <c r="CG676" s="757"/>
    </row>
    <row r="677" spans="1:85" s="587" customFormat="1" ht="15" hidden="1" customHeight="1" outlineLevel="2" x14ac:dyDescent="0.3">
      <c r="A677" s="262" t="s">
        <v>2280</v>
      </c>
      <c r="B677" s="414"/>
      <c r="C677" s="973"/>
      <c r="D677" s="973"/>
      <c r="E677" s="973"/>
      <c r="F677" s="973"/>
      <c r="G677" s="59"/>
      <c r="H677" s="59"/>
      <c r="I677" s="59"/>
      <c r="J677" s="59"/>
      <c r="K677" s="973"/>
      <c r="L677" s="59"/>
      <c r="M677" s="59"/>
      <c r="N677" s="59"/>
      <c r="O677" s="59"/>
      <c r="P677" s="973"/>
      <c r="Q677" s="59"/>
      <c r="R677" s="59"/>
      <c r="S677" s="59"/>
      <c r="T677" s="59"/>
      <c r="U677" s="973"/>
      <c r="V677" s="59"/>
      <c r="W677" s="59"/>
      <c r="X677" s="59"/>
      <c r="Y677" s="59"/>
      <c r="Z677" s="973"/>
      <c r="AA677" s="59"/>
      <c r="AB677" s="59"/>
      <c r="AC677" s="59"/>
      <c r="AD677" s="59" t="str">
        <f t="shared" ref="AD677:AH677" si="1194">IFERROR(ABS((AD674-AD675)/AD675),"")</f>
      </c>
      <c r="AE677" s="973" t="str">
        <f t="shared" si="1194"/>
      </c>
      <c r="AF677" s="59" t="str">
        <f t="shared" si="1194"/>
      </c>
      <c r="AG677" s="59" t="str">
        <f t="shared" si="1194"/>
      </c>
      <c r="AH677" s="59" t="str">
        <f t="shared" si="1194"/>
      </c>
      <c r="AI677" s="59">
        <f t="shared" ref="AI677:BP677" si="1195">IFERROR(ABS((AI674-AI675)/AI675),"")</f>
      </c>
      <c r="AJ677" s="973">
        <f t="shared" si="1195"/>
      </c>
      <c r="AK677" s="59">
        <f t="shared" si="1195"/>
      </c>
      <c r="AL677" s="59">
        <f t="shared" si="1195"/>
      </c>
      <c r="AM677" s="59">
        <f t="shared" si="1195"/>
      </c>
      <c r="AN677" s="59">
        <f t="shared" si="1195"/>
      </c>
      <c r="AO677" s="973">
        <f t="shared" si="1195"/>
      </c>
      <c r="AP677" s="59">
        <f t="shared" si="1195"/>
      </c>
      <c r="AQ677" s="59">
        <f t="shared" si="1195"/>
      </c>
      <c r="AR677" s="59">
        <f t="shared" si="1195"/>
      </c>
      <c r="AS677" s="59">
        <f t="shared" si="1195"/>
      </c>
      <c r="AT677" s="973">
        <f t="shared" si="1195"/>
      </c>
      <c r="AU677" s="59">
        <f t="shared" si="1195"/>
      </c>
      <c r="AV677" s="59">
        <f t="shared" si="1195"/>
      </c>
      <c r="AW677" s="59">
        <f t="shared" si="1195"/>
      </c>
      <c r="AX677" s="59">
        <f t="shared" si="1195"/>
      </c>
      <c r="AY677" s="973">
        <f t="shared" si="1195"/>
      </c>
      <c r="AZ677" s="59">
        <f t="shared" si="1195"/>
      </c>
      <c r="BA677" s="59">
        <f t="shared" si="1195"/>
      </c>
      <c r="BB677" s="59">
        <f t="shared" si="1195"/>
      </c>
      <c r="BC677" s="59">
        <f t="shared" si="1195"/>
      </c>
      <c r="BD677" s="973">
        <f t="shared" si="1195"/>
      </c>
      <c r="BE677" s="59">
        <f t="shared" si="1195"/>
      </c>
      <c r="BF677" s="59">
        <f t="shared" si="1195"/>
      </c>
      <c r="BG677" s="59">
        <f t="shared" si="1195"/>
      </c>
      <c r="BH677" s="59">
        <f t="shared" si="1195"/>
      </c>
      <c r="BI677" s="973">
        <f t="shared" si="1195"/>
      </c>
      <c r="BJ677" s="59">
        <f t="shared" si="1195"/>
      </c>
      <c r="BK677" s="59">
        <f t="shared" si="1195"/>
      </c>
      <c r="BL677" s="59">
        <f t="shared" si="1195"/>
      </c>
      <c r="BM677" s="59">
        <f t="shared" si="1195"/>
      </c>
      <c r="BN677" s="973">
        <f t="shared" si="1195"/>
      </c>
      <c r="BO677" s="59">
        <f t="shared" si="1195"/>
      </c>
      <c r="BP677" s="59">
        <f t="shared" si="1195"/>
      </c>
      <c r="BQ677" s="59">
        <f>IFERROR(ABS((BQ674-BQ675)/BQ675),"")</f>
      </c>
      <c r="BR677" s="59">
        <f>IFERROR(ABS((BR674-BR675)/BR675),"")</f>
      </c>
      <c r="BS677" s="973">
        <f>IFERROR(ABS((BS674-BS675)/BS675),"")</f>
      </c>
      <c r="BT677" s="675">
        <f>IFERROR(ABS((BT674-BT675)/BT675),"")</f>
      </c>
      <c r="BU677" s="59"/>
      <c r="BV677" s="59"/>
      <c r="BW677" s="59"/>
      <c r="BX677" s="973"/>
      <c r="BY677" s="59"/>
      <c r="BZ677" s="59"/>
      <c r="CA677" s="59"/>
      <c r="CB677" s="59"/>
      <c r="CC677" s="973"/>
      <c r="CD677" s="973"/>
      <c r="CE677" s="973"/>
      <c r="CF677" s="973"/>
      <c r="CG677" s="757"/>
    </row>
    <row r="678" spans="1:85" s="587" customFormat="1" ht="15" hidden="1" customHeight="1" outlineLevel="3" x14ac:dyDescent="0.3">
      <c r="A678" s="567" t="s">
        <v>2323</v>
      </c>
      <c r="B678" s="770"/>
      <c r="C678" s="935"/>
      <c r="D678" s="935"/>
      <c r="E678" s="935"/>
      <c r="F678" s="935"/>
      <c r="G678" s="58"/>
      <c r="H678" s="58"/>
      <c r="I678" s="58"/>
      <c r="J678" s="58"/>
      <c r="K678" s="935"/>
      <c r="L678" s="58"/>
      <c r="M678" s="58"/>
      <c r="N678" s="58"/>
      <c r="O678" s="58"/>
      <c r="P678" s="935"/>
      <c r="Q678" s="58"/>
      <c r="R678" s="58"/>
      <c r="S678" s="58"/>
      <c r="T678" s="58"/>
      <c r="U678" s="935"/>
      <c r="V678" s="58"/>
      <c r="W678" s="58"/>
      <c r="X678" s="58"/>
      <c r="Y678" s="58"/>
      <c r="Z678" s="935"/>
      <c r="AA678" s="58"/>
      <c r="AB678" s="58"/>
      <c r="AC678" s="58"/>
      <c r="AD678" s="58" t="str">
        <f>IFERROR(AD673/AD652-1,"N/A")</f>
      </c>
      <c r="AE678" s="935" t="str">
        <f>IFERROR(AE673/AD652-1,"N/A")</f>
      </c>
      <c r="AF678" s="58" t="str">
        <f>IFERROR(AF673/AF652-1,"N/A")</f>
      </c>
      <c r="AG678" s="58" t="str">
        <f>IFERROR(AG673/AG652-1,"N/A")</f>
      </c>
      <c r="AH678" s="58" t="str">
        <f>IFERROR(AH673/AH652-1,"N/A")</f>
      </c>
      <c r="AI678" s="58">
        <f>AI673/AI652-1</f>
      </c>
      <c r="AJ678" s="935">
        <f>AJ673/AI652-1</f>
      </c>
      <c r="AK678" s="58">
        <f>AK673/AK652-1</f>
      </c>
      <c r="AL678" s="58">
        <f>AL673/AL652-1</f>
      </c>
      <c r="AM678" s="58">
        <f>AM673/AM652-1</f>
      </c>
      <c r="AN678" s="58">
        <f>AN673/AN652-1</f>
      </c>
      <c r="AO678" s="935">
        <f>AO673/AN652-1</f>
      </c>
      <c r="AP678" s="58">
        <f>AP673/AP652-1</f>
      </c>
      <c r="AQ678" s="58">
        <f>AQ673/AQ652-1</f>
      </c>
      <c r="AR678" s="58">
        <f>AR673/AR652-1</f>
      </c>
      <c r="AS678" s="58">
        <f>AS673/AS652-1</f>
      </c>
      <c r="AT678" s="935">
        <f>AT673/AS652-1</f>
      </c>
      <c r="AU678" s="58">
        <f>AU673/AU652-1</f>
      </c>
      <c r="AV678" s="58">
        <f>AV673/AV652-1</f>
      </c>
      <c r="AW678" s="58">
        <f>AW673/AW652-1</f>
      </c>
      <c r="AX678" s="58">
        <f>AX673/AX652-1</f>
      </c>
      <c r="AY678" s="935">
        <f>AY673/AX652-1</f>
      </c>
      <c r="AZ678" s="58">
        <f>AZ673/AZ652-1</f>
      </c>
      <c r="BA678" s="58">
        <f>BA673/BA652-1</f>
      </c>
      <c r="BB678" s="58">
        <f>BB673/BB652-1</f>
      </c>
      <c r="BC678" s="58">
        <f>BC673/BC652-1</f>
      </c>
      <c r="BD678" s="935">
        <f>BD673/BC652-1</f>
      </c>
      <c r="BE678" s="58">
        <f>BE673/BE652-1</f>
      </c>
      <c r="BF678" s="58">
        <f>BF673/BF652-1</f>
      </c>
      <c r="BG678" s="58">
        <f>BG673/BG652-1</f>
      </c>
      <c r="BH678" s="58">
        <f>BH673/BH652-1</f>
      </c>
      <c r="BI678" s="935">
        <f>BI673/BH652-1</f>
      </c>
      <c r="BJ678" s="58">
        <f>BJ673/BJ652-1</f>
      </c>
      <c r="BK678" s="58">
        <f>BK673/BK652-1</f>
      </c>
      <c r="BL678" s="58">
        <f>BL673/BL652-1</f>
      </c>
      <c r="BM678" s="58">
        <f>BM673/BM652-1</f>
      </c>
      <c r="BN678" s="935">
        <f>BN673/BM652-1</f>
      </c>
      <c r="BO678" s="58">
        <f>BO673/BO652-1</f>
      </c>
      <c r="BP678" s="58">
        <f>BP673/BP652-1</f>
      </c>
      <c r="BQ678" s="58">
        <f>BQ673/BQ652-1</f>
      </c>
      <c r="BR678" s="58">
        <f>BR673/BR652-1</f>
      </c>
      <c r="BS678" s="935">
        <f>BS673/BR652-1</f>
      </c>
      <c r="BT678" s="669">
        <f>BT673/BT652-1</f>
      </c>
      <c r="BU678" s="58"/>
      <c r="BV678" s="58"/>
      <c r="BW678" s="58"/>
      <c r="BX678" s="935"/>
      <c r="BY678" s="58"/>
      <c r="BZ678" s="58"/>
      <c r="CA678" s="58"/>
      <c r="CB678" s="58"/>
      <c r="CC678" s="935"/>
      <c r="CD678" s="935"/>
      <c r="CE678" s="935"/>
      <c r="CF678" s="935"/>
      <c r="CG678" s="757"/>
    </row>
    <row r="679" spans="1:85" s="587" customFormat="1" ht="15" hidden="1" customHeight="1" outlineLevel="3" x14ac:dyDescent="0.3">
      <c r="A679" s="568" t="s">
        <v>2324</v>
      </c>
      <c r="B679" s="563"/>
      <c r="C679" s="988"/>
      <c r="D679" s="988"/>
      <c r="E679" s="988"/>
      <c r="F679" s="988"/>
      <c r="G679" s="369"/>
      <c r="H679" s="369"/>
      <c r="I679" s="369"/>
      <c r="J679" s="369"/>
      <c r="K679" s="988"/>
      <c r="L679" s="369"/>
      <c r="M679" s="369"/>
      <c r="N679" s="369"/>
      <c r="O679" s="369"/>
      <c r="P679" s="988"/>
      <c r="Q679" s="369"/>
      <c r="R679" s="369"/>
      <c r="S679" s="369"/>
      <c r="T679" s="369"/>
      <c r="U679" s="988"/>
      <c r="V679" s="369"/>
      <c r="W679" s="369"/>
      <c r="X679" s="369"/>
      <c r="Y679" s="369"/>
      <c r="Z679" s="988"/>
      <c r="AA679" s="369"/>
      <c r="AB679" s="369"/>
      <c r="AC679" s="369"/>
      <c r="AD679" s="369" t="str">
        <f>IFERROR(AD674/AD652-1,"N/A")</f>
      </c>
      <c r="AE679" s="988" t="str">
        <f>IFERROR(AE674/AD652-1,"N/A")</f>
      </c>
      <c r="AF679" s="369" t="str">
        <f>IFERROR(AF674/AF652-1,"N/A")</f>
      </c>
      <c r="AG679" s="369" t="str">
        <f>IFERROR(AG674/AG652-1,"N/A")</f>
      </c>
      <c r="AH679" s="369" t="str">
        <f>IFERROR(AH674/AH652-1,"N/A")</f>
      </c>
      <c r="AI679" s="369">
        <f>AI674/AI652-1</f>
      </c>
      <c r="AJ679" s="988">
        <f>AJ674/AI652-1</f>
      </c>
      <c r="AK679" s="369">
        <f>AK674/AK652-1</f>
      </c>
      <c r="AL679" s="369">
        <f>AL674/AL652-1</f>
      </c>
      <c r="AM679" s="369">
        <f>AM674/AM652-1</f>
      </c>
      <c r="AN679" s="369">
        <f>AN674/AN652-1</f>
      </c>
      <c r="AO679" s="988">
        <f>AO674/AN652-1</f>
      </c>
      <c r="AP679" s="369">
        <f>AP674/AP652-1</f>
      </c>
      <c r="AQ679" s="369">
        <f>AQ674/AQ652-1</f>
      </c>
      <c r="AR679" s="369">
        <f>AR674/AR652-1</f>
      </c>
      <c r="AS679" s="369">
        <f>AS674/AS652-1</f>
      </c>
      <c r="AT679" s="988">
        <f>AT674/AS652-1</f>
      </c>
      <c r="AU679" s="369">
        <f>AU674/AU652-1</f>
      </c>
      <c r="AV679" s="369">
        <f>AV674/AV652-1</f>
      </c>
      <c r="AW679" s="369">
        <f>AW674/AW652-1</f>
      </c>
      <c r="AX679" s="369">
        <f>AX674/AX652-1</f>
      </c>
      <c r="AY679" s="988">
        <f>AY674/AX652-1</f>
      </c>
      <c r="AZ679" s="369">
        <f>AZ674/AZ652-1</f>
      </c>
      <c r="BA679" s="369">
        <f>BA674/BA652-1</f>
      </c>
      <c r="BB679" s="369">
        <f>BB674/BB652-1</f>
      </c>
      <c r="BC679" s="369">
        <f>BC674/BC652-1</f>
      </c>
      <c r="BD679" s="988">
        <f>BD674/BC652-1</f>
      </c>
      <c r="BE679" s="369">
        <f>BE674/BE652-1</f>
      </c>
      <c r="BF679" s="369">
        <f>BF674/BF652-1</f>
      </c>
      <c r="BG679" s="369">
        <f>BG674/BG652-1</f>
      </c>
      <c r="BH679" s="369">
        <f>BH674/BH652-1</f>
      </c>
      <c r="BI679" s="988">
        <f>BI674/BH652-1</f>
      </c>
      <c r="BJ679" s="369">
        <f>BJ674/BJ652-1</f>
      </c>
      <c r="BK679" s="369">
        <f>BK674/BK652-1</f>
      </c>
      <c r="BL679" s="369">
        <f>BL674/BL652-1</f>
      </c>
      <c r="BM679" s="369">
        <f>BM674/BM652-1</f>
      </c>
      <c r="BN679" s="988">
        <f>BN674/BM652-1</f>
      </c>
      <c r="BO679" s="369">
        <f>BO674/BO652-1</f>
      </c>
      <c r="BP679" s="369">
        <f>BP674/BP652-1</f>
      </c>
      <c r="BQ679" s="369">
        <f>BQ674/BQ652-1</f>
      </c>
      <c r="BR679" s="369">
        <f>BR674/BR652-1</f>
      </c>
      <c r="BS679" s="988">
        <f>BS674/BR652-1</f>
      </c>
      <c r="BT679" s="686">
        <f>BT674/BT652-1</f>
      </c>
      <c r="BU679" s="369"/>
      <c r="BV679" s="369"/>
      <c r="BW679" s="369"/>
      <c r="BX679" s="988"/>
      <c r="BY679" s="369"/>
      <c r="BZ679" s="369"/>
      <c r="CA679" s="369"/>
      <c r="CB679" s="369"/>
      <c r="CC679" s="988"/>
      <c r="CD679" s="988"/>
      <c r="CE679" s="988"/>
      <c r="CF679" s="988"/>
      <c r="CG679" s="757"/>
    </row>
    <row r="680" spans="1:85" s="587" customFormat="1" ht="15" hidden="1" customHeight="1" outlineLevel="2" collapsed="1" x14ac:dyDescent="0.3">
      <c r="A680" s="69" t="s">
        <v>2325</v>
      </c>
      <c r="B680" s="770"/>
      <c r="C680" s="935"/>
      <c r="D680" s="935"/>
      <c r="E680" s="935"/>
      <c r="F680" s="935"/>
      <c r="G680" s="58"/>
      <c r="H680" s="58"/>
      <c r="I680" s="58"/>
      <c r="J680" s="58"/>
      <c r="K680" s="935"/>
      <c r="L680" s="58"/>
      <c r="M680" s="58"/>
      <c r="N680" s="58"/>
      <c r="O680" s="58"/>
      <c r="P680" s="935"/>
      <c r="Q680" s="58"/>
      <c r="R680" s="58"/>
      <c r="S680" s="58"/>
      <c r="T680" s="58"/>
      <c r="U680" s="935"/>
      <c r="V680" s="58"/>
      <c r="W680" s="58"/>
      <c r="X680" s="58"/>
      <c r="Y680" s="58"/>
      <c r="Z680" s="935"/>
      <c r="AA680" s="58"/>
      <c r="AB680" s="58"/>
      <c r="AC680" s="58"/>
      <c r="AD680" s="58" t="str">
        <f>IFERROR(AD675/AD652-1,"N/A")</f>
      </c>
      <c r="AE680" s="935" t="str">
        <f>IFERROR(AE675/AD652-1,"N/A")</f>
      </c>
      <c r="AF680" s="58" t="str">
        <f>IFERROR(AF675/AF652-1,"N/A")</f>
      </c>
      <c r="AG680" s="58" t="str">
        <f>IFERROR(AG675/AG652-1,"N/A")</f>
      </c>
      <c r="AH680" s="58" t="str">
        <f>IFERROR(AH675/AH652-1,"N/A")</f>
      </c>
      <c r="AI680" s="58">
        <f>AI675/AI652-1</f>
      </c>
      <c r="AJ680" s="935">
        <f>AJ675/AI652-1</f>
      </c>
      <c r="AK680" s="58">
        <f>AK675/AK652-1</f>
      </c>
      <c r="AL680" s="58">
        <f>AL675/AL652-1</f>
      </c>
      <c r="AM680" s="58">
        <f>AM675/AM652-1</f>
      </c>
      <c r="AN680" s="58">
        <f>AN675/AN652-1</f>
      </c>
      <c r="AO680" s="935">
        <f>AO675/AN652-1</f>
      </c>
      <c r="AP680" s="58">
        <f>AP675/AP652-1</f>
      </c>
      <c r="AQ680" s="58">
        <f>AQ675/AQ652-1</f>
      </c>
      <c r="AR680" s="58">
        <f>AR675/AR652-1</f>
      </c>
      <c r="AS680" s="58">
        <f>AS675/AS652-1</f>
      </c>
      <c r="AT680" s="935">
        <f>AT675/AS652-1</f>
      </c>
      <c r="AU680" s="58">
        <f>AU675/AU652-1</f>
      </c>
      <c r="AV680" s="58">
        <f>AV675/AV652-1</f>
      </c>
      <c r="AW680" s="58">
        <f>AW675/AW652-1</f>
      </c>
      <c r="AX680" s="58">
        <f>AX675/AX652-1</f>
      </c>
      <c r="AY680" s="935">
        <f>AY675/AX652-1</f>
      </c>
      <c r="AZ680" s="58">
        <f>AZ675/AZ652-1</f>
      </c>
      <c r="BA680" s="58">
        <f>BA675/BA652-1</f>
      </c>
      <c r="BB680" s="58">
        <f>BB675/BB652-1</f>
      </c>
      <c r="BC680" s="58">
        <f>BC675/BC652-1</f>
      </c>
      <c r="BD680" s="935">
        <f>BD675/BC652-1</f>
      </c>
      <c r="BE680" s="58">
        <f>BE675/BE652-1</f>
      </c>
      <c r="BF680" s="58">
        <f>BF675/BF652-1</f>
      </c>
      <c r="BG680" s="58">
        <f>BG675/BG652-1</f>
      </c>
      <c r="BH680" s="58">
        <f>BH675/BH652-1</f>
      </c>
      <c r="BI680" s="935">
        <f>BI675/BH652-1</f>
      </c>
      <c r="BJ680" s="58">
        <f>BJ675/BJ652-1</f>
      </c>
      <c r="BK680" s="58">
        <f>BK675/BK652-1</f>
      </c>
      <c r="BL680" s="58">
        <f>BL675/BL652-1</f>
      </c>
      <c r="BM680" s="58">
        <f>BM675/BM652-1</f>
      </c>
      <c r="BN680" s="935">
        <f>BN675/BM652-1</f>
      </c>
      <c r="BO680" s="58">
        <f>BO675/BO652-1</f>
      </c>
      <c r="BP680" s="58">
        <f>BP675/BP652-1</f>
      </c>
      <c r="BQ680" s="58">
        <f>BQ675/BQ652-1</f>
      </c>
      <c r="BR680" s="58">
        <f>BR675/BR652-1</f>
      </c>
      <c r="BS680" s="935">
        <f>BS675/BR652-1</f>
      </c>
      <c r="BT680" s="669">
        <f>BT675/BT652-1</f>
      </c>
      <c r="BU680" s="58"/>
      <c r="BV680" s="58"/>
      <c r="BW680" s="58"/>
      <c r="BX680" s="935"/>
      <c r="BY680" s="58"/>
      <c r="BZ680" s="58"/>
      <c r="CA680" s="58"/>
      <c r="CB680" s="58"/>
      <c r="CC680" s="935"/>
      <c r="CD680" s="935"/>
      <c r="CE680" s="935"/>
      <c r="CF680" s="935"/>
      <c r="CG680" s="757"/>
    </row>
    <row r="681" spans="1:85" s="587" customFormat="1" ht="15" hidden="1" customHeight="1" outlineLevel="3" x14ac:dyDescent="0.3">
      <c r="A681" s="567" t="s">
        <v>2320</v>
      </c>
      <c r="B681" s="770"/>
      <c r="C681" s="935"/>
      <c r="D681" s="935"/>
      <c r="E681" s="935"/>
      <c r="F681" s="935"/>
      <c r="G681" s="58"/>
      <c r="H681" s="58"/>
      <c r="I681" s="58"/>
      <c r="J681" s="58"/>
      <c r="K681" s="935"/>
      <c r="L681" s="58"/>
      <c r="M681" s="58"/>
      <c r="N681" s="58"/>
      <c r="O681" s="58"/>
      <c r="P681" s="935"/>
      <c r="Q681" s="58"/>
      <c r="R681" s="58"/>
      <c r="S681" s="58"/>
      <c r="T681" s="58"/>
      <c r="U681" s="935"/>
      <c r="V681" s="58"/>
      <c r="W681" s="58"/>
      <c r="X681" s="58"/>
      <c r="Y681" s="58"/>
      <c r="Z681" s="935"/>
      <c r="AA681" s="58"/>
      <c r="AB681" s="58"/>
      <c r="AC681" s="58"/>
      <c r="AD681" s="58" t="str">
        <f>IFERROR(AD673/AA652-1,"N/A")</f>
      </c>
      <c r="AE681" s="935" t="str">
        <f>IFERROR(AD681,"N/A")</f>
      </c>
      <c r="AF681" s="58" t="str">
        <f>IFERROR(AF673/AB652-1,"N/A")</f>
      </c>
      <c r="AG681" s="58" t="str">
        <f>IFERROR(AG673/AC652-1,"N/A")</f>
      </c>
      <c r="AH681" s="58" t="str">
        <f>IFERROR(AH673/AD652-1,"N/A")</f>
      </c>
      <c r="AI681" s="58">
        <f>AI673/AF652-1</f>
      </c>
      <c r="AJ681" s="935">
        <f>AI681</f>
      </c>
      <c r="AK681" s="58">
        <f>AK673/AG652-1</f>
      </c>
      <c r="AL681" s="58">
        <f>AL673/AH652-1</f>
      </c>
      <c r="AM681" s="58">
        <f>AM673/AI652-1</f>
      </c>
      <c r="AN681" s="58">
        <f>AN673/AK652-1</f>
      </c>
      <c r="AO681" s="935">
        <f>AN681</f>
      </c>
      <c r="AP681" s="58">
        <f>AP673/AL652-1</f>
      </c>
      <c r="AQ681" s="58">
        <f>AQ673/AM652-1</f>
      </c>
      <c r="AR681" s="58">
        <f>AR673/AN652-1</f>
      </c>
      <c r="AS681" s="58">
        <f>AS673/AP652-1</f>
      </c>
      <c r="AT681" s="935">
        <f>AS681</f>
      </c>
      <c r="AU681" s="58">
        <f>AU673/AQ652-1</f>
      </c>
      <c r="AV681" s="58">
        <f>AV673/AR652-1</f>
      </c>
      <c r="AW681" s="58">
        <f>AW673/AS652-1</f>
      </c>
      <c r="AX681" s="58">
        <f>AX673/AU652-1</f>
      </c>
      <c r="AY681" s="935">
        <f>AX681</f>
      </c>
      <c r="AZ681" s="58">
        <f>AZ673/AV652-1</f>
      </c>
      <c r="BA681" s="58">
        <f>BA673/AW652-1</f>
      </c>
      <c r="BB681" s="58">
        <f>BB673/AX652-1</f>
      </c>
      <c r="BC681" s="58">
        <f>BC673/AZ652-1</f>
      </c>
      <c r="BD681" s="935">
        <f>BC681</f>
      </c>
      <c r="BE681" s="58">
        <f>BE673/BA652-1</f>
      </c>
      <c r="BF681" s="58">
        <f>BF673/BB652-1</f>
      </c>
      <c r="BG681" s="58">
        <f>BG673/BC652-1</f>
      </c>
      <c r="BH681" s="58">
        <f>BH673/BE652-1</f>
      </c>
      <c r="BI681" s="935">
        <f>BH681</f>
      </c>
      <c r="BJ681" s="58">
        <f>BJ673/BF652-1</f>
      </c>
      <c r="BK681" s="58">
        <f>BK673/BG652-1</f>
      </c>
      <c r="BL681" s="58">
        <f>BL673/BH652-1</f>
      </c>
      <c r="BM681" s="58">
        <f>BM673/BJ652-1</f>
      </c>
      <c r="BN681" s="935">
        <f>BM681</f>
      </c>
      <c r="BO681" s="58">
        <f>BO673/BK652-1</f>
      </c>
      <c r="BP681" s="58">
        <f>BP673/BL652-1</f>
      </c>
      <c r="BQ681" s="58">
        <f>BQ673/BM652-1</f>
      </c>
      <c r="BR681" s="58">
        <f>BR673/BO652-1</f>
      </c>
      <c r="BS681" s="935">
        <f>BR681</f>
      </c>
      <c r="BT681" s="669">
        <f>BT673/BP652-1</f>
      </c>
      <c r="BU681" s="58"/>
      <c r="BV681" s="58"/>
      <c r="BW681" s="58"/>
      <c r="BX681" s="935"/>
      <c r="BY681" s="58"/>
      <c r="BZ681" s="58"/>
      <c r="CA681" s="58"/>
      <c r="CB681" s="58"/>
      <c r="CC681" s="935"/>
      <c r="CD681" s="935"/>
      <c r="CE681" s="935"/>
      <c r="CF681" s="935"/>
      <c r="CG681" s="757"/>
    </row>
    <row r="682" spans="1:85" s="587" customFormat="1" ht="15" hidden="1" customHeight="1" outlineLevel="3" x14ac:dyDescent="0.3">
      <c r="A682" s="568" t="s">
        <v>2321</v>
      </c>
      <c r="B682" s="563"/>
      <c r="C682" s="988"/>
      <c r="D682" s="988"/>
      <c r="E682" s="988"/>
      <c r="F682" s="988"/>
      <c r="G682" s="369"/>
      <c r="H682" s="369"/>
      <c r="I682" s="369"/>
      <c r="J682" s="369"/>
      <c r="K682" s="988"/>
      <c r="L682" s="369"/>
      <c r="M682" s="369"/>
      <c r="N682" s="369"/>
      <c r="O682" s="369"/>
      <c r="P682" s="988"/>
      <c r="Q682" s="369"/>
      <c r="R682" s="369"/>
      <c r="S682" s="369"/>
      <c r="T682" s="369"/>
      <c r="U682" s="988"/>
      <c r="V682" s="369"/>
      <c r="W682" s="369"/>
      <c r="X682" s="369"/>
      <c r="Y682" s="369"/>
      <c r="Z682" s="988"/>
      <c r="AA682" s="369"/>
      <c r="AB682" s="369"/>
      <c r="AC682" s="369"/>
      <c r="AD682" s="369" t="str">
        <f>IFERROR(AD674/AA652-1,"N/A")</f>
      </c>
      <c r="AE682" s="988" t="str">
        <f>IFERROR(AD682,"N/A")</f>
      </c>
      <c r="AF682" s="369" t="str">
        <f>IFERROR(AF674/AB652-1,"N/A")</f>
      </c>
      <c r="AG682" s="369" t="str">
        <f>IFERROR(AG674/AC652-1,"N/A")</f>
      </c>
      <c r="AH682" s="369" t="str">
        <f>IFERROR(AH674/AD652-1,"N/A")</f>
      </c>
      <c r="AI682" s="369">
        <f>AI674/AF652-1</f>
      </c>
      <c r="AJ682" s="988">
        <f>AI682</f>
      </c>
      <c r="AK682" s="369">
        <f>AK674/AG652-1</f>
      </c>
      <c r="AL682" s="369">
        <f>AL674/AH652-1</f>
      </c>
      <c r="AM682" s="369">
        <f>AM674/AI652-1</f>
      </c>
      <c r="AN682" s="369">
        <f>AN674/AK652-1</f>
      </c>
      <c r="AO682" s="988">
        <f>AN682</f>
      </c>
      <c r="AP682" s="369">
        <f>AP674/AL652-1</f>
      </c>
      <c r="AQ682" s="369">
        <f>AQ674/AM652-1</f>
      </c>
      <c r="AR682" s="369">
        <f>AR674/AN652-1</f>
      </c>
      <c r="AS682" s="369">
        <f>AS674/AP652-1</f>
      </c>
      <c r="AT682" s="988">
        <f>AS682</f>
      </c>
      <c r="AU682" s="369">
        <f>AU674/AQ652-1</f>
      </c>
      <c r="AV682" s="369">
        <f>AV674/AR652-1</f>
      </c>
      <c r="AW682" s="369">
        <f>AW674/AS652-1</f>
      </c>
      <c r="AX682" s="369">
        <f>AX674/AU652-1</f>
      </c>
      <c r="AY682" s="988">
        <f>AX682</f>
      </c>
      <c r="AZ682" s="369">
        <f>AZ674/AV652-1</f>
      </c>
      <c r="BA682" s="369">
        <f>BA674/AW652-1</f>
      </c>
      <c r="BB682" s="369">
        <f>BB674/AX652-1</f>
      </c>
      <c r="BC682" s="369">
        <f>BC674/AZ652-1</f>
      </c>
      <c r="BD682" s="988">
        <f>BC682</f>
      </c>
      <c r="BE682" s="369">
        <f>BE674/BA652-1</f>
      </c>
      <c r="BF682" s="369">
        <f>BF674/BB652-1</f>
      </c>
      <c r="BG682" s="369">
        <f>BG674/BC652-1</f>
      </c>
      <c r="BH682" s="369">
        <f>BH674/BE652-1</f>
      </c>
      <c r="BI682" s="988">
        <f>BH682</f>
      </c>
      <c r="BJ682" s="369">
        <f>BJ674/BF652-1</f>
      </c>
      <c r="BK682" s="369">
        <f>BK674/BG652-1</f>
      </c>
      <c r="BL682" s="369">
        <f>BL674/BH652-1</f>
      </c>
      <c r="BM682" s="369">
        <f>BM674/BJ652-1</f>
      </c>
      <c r="BN682" s="988">
        <f>BM682</f>
      </c>
      <c r="BO682" s="369">
        <f>BO674/BK652-1</f>
      </c>
      <c r="BP682" s="369">
        <f>BP674/BL652-1</f>
      </c>
      <c r="BQ682" s="369">
        <f>BQ674/BM652-1</f>
      </c>
      <c r="BR682" s="369">
        <f>BR674/BO652-1</f>
      </c>
      <c r="BS682" s="988">
        <f>BR682</f>
      </c>
      <c r="BT682" s="686">
        <f>BT674/BP652-1</f>
      </c>
      <c r="BU682" s="369"/>
      <c r="BV682" s="369"/>
      <c r="BW682" s="369"/>
      <c r="BX682" s="988"/>
      <c r="BY682" s="369"/>
      <c r="BZ682" s="369"/>
      <c r="CA682" s="369"/>
      <c r="CB682" s="369"/>
      <c r="CC682" s="988"/>
      <c r="CD682" s="988"/>
      <c r="CE682" s="988"/>
      <c r="CF682" s="988"/>
      <c r="CG682" s="757"/>
    </row>
    <row r="683" spans="1:85" s="587" customFormat="1" ht="15" hidden="1" customHeight="1" outlineLevel="2" collapsed="1" x14ac:dyDescent="0.3">
      <c r="A683" s="69" t="s">
        <v>2322</v>
      </c>
      <c r="B683" s="770"/>
      <c r="C683" s="935"/>
      <c r="D683" s="935"/>
      <c r="E683" s="935"/>
      <c r="F683" s="935"/>
      <c r="G683" s="58"/>
      <c r="H683" s="58"/>
      <c r="I683" s="58"/>
      <c r="J683" s="58"/>
      <c r="K683" s="935"/>
      <c r="L683" s="58"/>
      <c r="M683" s="58"/>
      <c r="N683" s="58"/>
      <c r="O683" s="58"/>
      <c r="P683" s="935"/>
      <c r="Q683" s="58"/>
      <c r="R683" s="58"/>
      <c r="S683" s="58"/>
      <c r="T683" s="58"/>
      <c r="U683" s="935"/>
      <c r="V683" s="58"/>
      <c r="W683" s="58"/>
      <c r="X683" s="58"/>
      <c r="Y683" s="58"/>
      <c r="Z683" s="935"/>
      <c r="AA683" s="58"/>
      <c r="AB683" s="58"/>
      <c r="AC683" s="58"/>
      <c r="AD683" s="58" t="str">
        <f>IFERROR(AD675/AA652-1,"N/A")</f>
      </c>
      <c r="AE683" s="935" t="str">
        <f>IFERROR(AE675/AA652-1,"N/A")</f>
      </c>
      <c r="AF683" s="58" t="str">
        <f>IFERROR(AF675/AB652-1,"N/A")</f>
      </c>
      <c r="AG683" s="58" t="str">
        <f>IFERROR(AG675/AC652-1,"N/A")</f>
      </c>
      <c r="AH683" s="58" t="str">
        <f>IFERROR(AH675/AD652-1,"N/A")</f>
      </c>
      <c r="AI683" s="58">
        <f>AI675/AF652-1</f>
      </c>
      <c r="AJ683" s="935">
        <f>AJ675/AF652-1</f>
      </c>
      <c r="AK683" s="58">
        <f>AK675/AG652-1</f>
      </c>
      <c r="AL683" s="58">
        <f>AL675/AH652-1</f>
      </c>
      <c r="AM683" s="58">
        <f>AM675/AI652-1</f>
      </c>
      <c r="AN683" s="58">
        <f>AN675/AK652-1</f>
      </c>
      <c r="AO683" s="935">
        <f>AO675/AK652-1</f>
      </c>
      <c r="AP683" s="58">
        <f>AP675/AL652-1</f>
      </c>
      <c r="AQ683" s="58">
        <f>AQ675/AM652-1</f>
      </c>
      <c r="AR683" s="58">
        <f>AR675/AN652-1</f>
      </c>
      <c r="AS683" s="58">
        <f>AS675/AP652-1</f>
      </c>
      <c r="AT683" s="935">
        <f>AT675/AP652-1</f>
      </c>
      <c r="AU683" s="58">
        <f>AU675/AQ652-1</f>
      </c>
      <c r="AV683" s="58">
        <f>AV675/AR652-1</f>
      </c>
      <c r="AW683" s="58">
        <f>AW675/AS652-1</f>
      </c>
      <c r="AX683" s="58">
        <f>AX675/AU652-1</f>
      </c>
      <c r="AY683" s="935">
        <f>AY675/AU652-1</f>
      </c>
      <c r="AZ683" s="58">
        <f>AZ675/AV652-1</f>
      </c>
      <c r="BA683" s="58">
        <f>BA675/AW652-1</f>
      </c>
      <c r="BB683" s="58">
        <f>BB675/AX652-1</f>
      </c>
      <c r="BC683" s="58">
        <f>BC675/AZ652-1</f>
      </c>
      <c r="BD683" s="935">
        <f>BD675/AZ652-1</f>
      </c>
      <c r="BE683" s="58">
        <f>BE675/BA652-1</f>
      </c>
      <c r="BF683" s="58">
        <f>BF675/BB652-1</f>
      </c>
      <c r="BG683" s="58">
        <f>BG675/BC652-1</f>
      </c>
      <c r="BH683" s="58">
        <f>BH675/BE652-1</f>
      </c>
      <c r="BI683" s="935">
        <f>BI675/BE652-1</f>
      </c>
      <c r="BJ683" s="58">
        <f>BJ675/BF652-1</f>
      </c>
      <c r="BK683" s="58">
        <f>BK675/BG652-1</f>
      </c>
      <c r="BL683" s="58">
        <f>BL675/BH652-1</f>
      </c>
      <c r="BM683" s="58">
        <f>BM675/BJ652-1</f>
      </c>
      <c r="BN683" s="935">
        <f>BN675/BJ652-1</f>
      </c>
      <c r="BO683" s="58">
        <f>BO675/BK652-1</f>
      </c>
      <c r="BP683" s="58">
        <f>BP675/BL652-1</f>
      </c>
      <c r="BQ683" s="58">
        <f>BQ675/BM652-1</f>
      </c>
      <c r="BR683" s="58">
        <f>BR675/BO652-1</f>
      </c>
      <c r="BS683" s="935">
        <f>BS675/BO652-1</f>
      </c>
      <c r="BT683" s="669">
        <f>BT675/BP652-1</f>
      </c>
      <c r="BU683" s="58"/>
      <c r="BV683" s="58"/>
      <c r="BW683" s="58"/>
      <c r="BX683" s="935"/>
      <c r="BY683" s="58"/>
      <c r="BZ683" s="58"/>
      <c r="CA683" s="58"/>
      <c r="CB683" s="58"/>
      <c r="CC683" s="935"/>
      <c r="CD683" s="935"/>
      <c r="CE683" s="935"/>
      <c r="CF683" s="935"/>
      <c r="CG683" s="757"/>
    </row>
    <row r="684" spans="1:85" s="587" customFormat="1" ht="15" hidden="1" customHeight="1" outlineLevel="2" x14ac:dyDescent="0.3">
      <c r="A684" s="558"/>
      <c r="B684" s="414"/>
      <c r="C684" s="962"/>
      <c r="D684" s="962"/>
      <c r="E684" s="962"/>
      <c r="F684" s="962"/>
      <c r="G684" s="757"/>
      <c r="H684" s="757"/>
      <c r="I684" s="757"/>
      <c r="J684" s="757"/>
      <c r="K684" s="962"/>
      <c r="L684" s="757"/>
      <c r="M684" s="757"/>
      <c r="N684" s="757"/>
      <c r="O684" s="757"/>
      <c r="P684" s="962"/>
      <c r="Q684" s="757"/>
      <c r="R684" s="757"/>
      <c r="S684" s="757"/>
      <c r="T684" s="757"/>
      <c r="U684" s="962"/>
      <c r="V684" s="757"/>
      <c r="W684" s="757"/>
      <c r="X684" s="757"/>
      <c r="Y684" s="757"/>
      <c r="Z684" s="962"/>
      <c r="AA684" s="757"/>
      <c r="AB684" s="757"/>
      <c r="AC684" s="757"/>
      <c r="AD684" s="757"/>
      <c r="AE684" s="962"/>
      <c r="AF684" s="757"/>
      <c r="AG684" s="757"/>
      <c r="AH684" s="757"/>
      <c r="AI684" s="757"/>
      <c r="AJ684" s="962"/>
      <c r="AK684" s="757"/>
      <c r="AL684" s="757"/>
      <c r="AM684" s="757"/>
      <c r="AN684" s="757"/>
      <c r="AO684" s="962"/>
      <c r="AP684" s="757"/>
      <c r="AQ684" s="757"/>
      <c r="AR684" s="757"/>
      <c r="AS684" s="757"/>
      <c r="AT684" s="962"/>
      <c r="AU684" s="757"/>
      <c r="AV684" s="757"/>
      <c r="AW684" s="757"/>
      <c r="AX684" s="757"/>
      <c r="AY684" s="962"/>
      <c r="AZ684" s="757"/>
      <c r="BA684" s="757"/>
      <c r="BB684" s="757"/>
      <c r="BC684" s="757"/>
      <c r="BD684" s="962"/>
      <c r="BE684" s="757"/>
      <c r="BF684" s="757"/>
      <c r="BG684" s="757"/>
      <c r="BH684" s="757"/>
      <c r="BI684" s="962"/>
      <c r="BJ684" s="757"/>
      <c r="BK684" s="757"/>
      <c r="BL684" s="757"/>
      <c r="BM684" s="757"/>
      <c r="BN684" s="962"/>
      <c r="BO684" s="757"/>
      <c r="BP684" s="757"/>
      <c r="BQ684" s="757"/>
      <c r="BR684" s="757"/>
      <c r="BS684" s="962"/>
      <c r="BT684" s="758"/>
      <c r="BU684" s="757"/>
      <c r="BV684" s="757"/>
      <c r="BW684" s="757"/>
      <c r="BX684" s="962"/>
      <c r="BY684" s="757"/>
      <c r="BZ684" s="757"/>
      <c r="CA684" s="757"/>
      <c r="CB684" s="757"/>
      <c r="CC684" s="962"/>
      <c r="CD684" s="962"/>
      <c r="CE684" s="962"/>
      <c r="CF684" s="962"/>
      <c r="CG684" s="757"/>
    </row>
    <row r="685" spans="1:85" s="587" customFormat="1" ht="15" hidden="1" customHeight="1" outlineLevel="3" x14ac:dyDescent="0.3">
      <c r="A685" s="262" t="s">
        <v>2297</v>
      </c>
      <c r="B685" s="414"/>
      <c r="C685" s="973"/>
      <c r="D685" s="973"/>
      <c r="E685" s="973"/>
      <c r="F685" s="973"/>
      <c r="G685" s="59"/>
      <c r="H685" s="59"/>
      <c r="I685" s="59"/>
      <c r="J685" s="59"/>
      <c r="K685" s="973"/>
      <c r="L685" s="59"/>
      <c r="M685" s="59"/>
      <c r="N685" s="59"/>
      <c r="O685" s="59"/>
      <c r="P685" s="973"/>
      <c r="Q685" s="59"/>
      <c r="R685" s="59"/>
      <c r="S685" s="59"/>
      <c r="T685" s="59"/>
      <c r="U685" s="973"/>
      <c r="V685" s="59"/>
      <c r="W685" s="59"/>
      <c r="X685" s="59"/>
      <c r="Y685" s="59"/>
      <c r="Z685" s="973"/>
      <c r="AA685" s="59"/>
      <c r="AB685" s="59"/>
      <c r="AC685" s="59"/>
      <c r="AD685" s="59" t="str">
        <f t="shared" ref="AD685:BN685" si="1196">AD1331</f>
      </c>
      <c r="AE685" s="973" t="str">
        <f t="shared" si="1196"/>
      </c>
      <c r="AF685" s="59">
        <f t="shared" si="1196"/>
      </c>
      <c r="AG685" s="59" t="str">
        <f t="shared" si="1196"/>
      </c>
      <c r="AH685" s="59" t="str">
        <f t="shared" si="1196"/>
      </c>
      <c r="AI685" s="59">
        <f t="shared" si="1196"/>
      </c>
      <c r="AJ685" s="973">
        <f t="shared" si="1196"/>
      </c>
      <c r="AK685" s="59">
        <f t="shared" si="1196"/>
      </c>
      <c r="AL685" s="59">
        <f t="shared" si="1196"/>
      </c>
      <c r="AM685" s="59">
        <f t="shared" si="1196"/>
      </c>
      <c r="AN685" s="59" t="str">
        <f t="shared" si="1196"/>
      </c>
      <c r="AO685" s="973" t="str">
        <f t="shared" si="1196"/>
      </c>
      <c r="AP685" s="59" t="str">
        <f t="shared" si="1196"/>
      </c>
      <c r="AQ685" s="59">
        <f t="shared" si="1196"/>
      </c>
      <c r="AR685" s="59">
        <f t="shared" si="1196"/>
      </c>
      <c r="AS685" s="59">
        <f t="shared" si="1196"/>
      </c>
      <c r="AT685" s="973">
        <f t="shared" si="1196"/>
      </c>
      <c r="AU685" s="59">
        <f t="shared" si="1196"/>
      </c>
      <c r="AV685" s="59">
        <f t="shared" si="1196"/>
      </c>
      <c r="AW685" s="59">
        <f t="shared" si="1196"/>
      </c>
      <c r="AX685" s="59">
        <f t="shared" si="1196"/>
      </c>
      <c r="AY685" s="973">
        <f t="shared" si="1196"/>
      </c>
      <c r="AZ685" s="59">
        <f t="shared" si="1196"/>
      </c>
      <c r="BA685" s="59">
        <f t="shared" si="1196"/>
      </c>
      <c r="BB685" s="59">
        <f t="shared" si="1196"/>
      </c>
      <c r="BC685" s="59">
        <f t="shared" si="1196"/>
      </c>
      <c r="BD685" s="973">
        <f t="shared" si="1196"/>
      </c>
      <c r="BE685" s="59">
        <f t="shared" si="1196"/>
      </c>
      <c r="BF685" s="59">
        <f t="shared" si="1196"/>
      </c>
      <c r="BG685" s="59">
        <f t="shared" si="1196"/>
      </c>
      <c r="BH685" s="59">
        <f t="shared" si="1196"/>
      </c>
      <c r="BI685" s="973">
        <f t="shared" si="1196"/>
      </c>
      <c r="BJ685" s="59">
        <f t="shared" si="1196"/>
      </c>
      <c r="BK685" s="59">
        <f t="shared" si="1196"/>
      </c>
      <c r="BL685" s="59">
        <f t="shared" si="1196"/>
      </c>
      <c r="BM685" s="59">
        <f t="shared" si="1196"/>
      </c>
      <c r="BN685" s="973">
        <f t="shared" si="1196"/>
      </c>
      <c r="BO685" s="59">
        <f t="shared" ref="BO685:BO686" si="1197">BO1331</f>
      </c>
      <c r="BP685" s="59">
        <f t="shared" ref="BP685:BS686" si="1198">BP1331</f>
      </c>
      <c r="BQ685" s="59">
        <f t="shared" si="1198"/>
      </c>
      <c r="BR685" s="59">
        <f t="shared" si="1198"/>
      </c>
      <c r="BS685" s="973">
        <f t="shared" si="1198"/>
      </c>
      <c r="BT685" s="675">
        <f>BT1331</f>
      </c>
      <c r="BU685" s="59"/>
      <c r="BV685" s="59"/>
      <c r="BW685" s="59"/>
      <c r="BX685" s="973"/>
      <c r="BY685" s="59"/>
      <c r="BZ685" s="59"/>
      <c r="CA685" s="59"/>
      <c r="CB685" s="59"/>
      <c r="CC685" s="973"/>
      <c r="CD685" s="973"/>
      <c r="CE685" s="973"/>
      <c r="CF685" s="973"/>
      <c r="CG685" s="757"/>
    </row>
    <row r="686" spans="1:85" s="587" customFormat="1" ht="15" hidden="1" customHeight="1" outlineLevel="3" x14ac:dyDescent="0.3">
      <c r="A686" s="324" t="s">
        <v>2298</v>
      </c>
      <c r="B686" s="416"/>
      <c r="C686" s="975"/>
      <c r="D686" s="975"/>
      <c r="E686" s="975"/>
      <c r="F686" s="975"/>
      <c r="G686" s="157"/>
      <c r="H686" s="157"/>
      <c r="I686" s="157"/>
      <c r="J686" s="157"/>
      <c r="K686" s="975"/>
      <c r="L686" s="157"/>
      <c r="M686" s="157"/>
      <c r="N686" s="157"/>
      <c r="O686" s="157"/>
      <c r="P686" s="975"/>
      <c r="Q686" s="157"/>
      <c r="R686" s="157"/>
      <c r="S686" s="157"/>
      <c r="T686" s="157"/>
      <c r="U686" s="975"/>
      <c r="V686" s="157"/>
      <c r="W686" s="157"/>
      <c r="X686" s="157"/>
      <c r="Y686" s="157"/>
      <c r="Z686" s="975"/>
      <c r="AA686" s="157"/>
      <c r="AB686" s="157"/>
      <c r="AC686" s="157"/>
      <c r="AD686" s="157" t="str">
        <f t="shared" ref="AD686:BN686" si="1199">AD1332</f>
      </c>
      <c r="AE686" s="975" t="str">
        <f t="shared" si="1199"/>
      </c>
      <c r="AF686" s="157">
        <f t="shared" si="1199"/>
      </c>
      <c r="AG686" s="157" t="str">
        <f t="shared" si="1199"/>
      </c>
      <c r="AH686" s="157" t="str">
        <f t="shared" si="1199"/>
      </c>
      <c r="AI686" s="157">
        <f t="shared" si="1199"/>
      </c>
      <c r="AJ686" s="975">
        <f t="shared" si="1199"/>
      </c>
      <c r="AK686" s="157">
        <f t="shared" si="1199"/>
      </c>
      <c r="AL686" s="157">
        <f t="shared" si="1199"/>
      </c>
      <c r="AM686" s="157">
        <f t="shared" si="1199"/>
      </c>
      <c r="AN686" s="157" t="str">
        <f t="shared" si="1199"/>
      </c>
      <c r="AO686" s="975" t="str">
        <f t="shared" si="1199"/>
      </c>
      <c r="AP686" s="157" t="str">
        <f t="shared" si="1199"/>
      </c>
      <c r="AQ686" s="157">
        <f t="shared" si="1199"/>
      </c>
      <c r="AR686" s="157">
        <f t="shared" si="1199"/>
      </c>
      <c r="AS686" s="157">
        <f t="shared" si="1199"/>
      </c>
      <c r="AT686" s="975">
        <f t="shared" si="1199"/>
      </c>
      <c r="AU686" s="157">
        <f t="shared" si="1199"/>
      </c>
      <c r="AV686" s="157">
        <f t="shared" si="1199"/>
      </c>
      <c r="AW686" s="157">
        <f t="shared" si="1199"/>
      </c>
      <c r="AX686" s="157">
        <f t="shared" si="1199"/>
      </c>
      <c r="AY686" s="975">
        <f t="shared" si="1199"/>
      </c>
      <c r="AZ686" s="157">
        <f t="shared" si="1199"/>
      </c>
      <c r="BA686" s="157">
        <f t="shared" si="1199"/>
      </c>
      <c r="BB686" s="157">
        <f t="shared" si="1199"/>
      </c>
      <c r="BC686" s="157">
        <f t="shared" si="1199"/>
      </c>
      <c r="BD686" s="975">
        <f t="shared" si="1199"/>
      </c>
      <c r="BE686" s="157">
        <f t="shared" si="1199"/>
      </c>
      <c r="BF686" s="157">
        <f t="shared" si="1199"/>
      </c>
      <c r="BG686" s="157">
        <f t="shared" si="1199"/>
      </c>
      <c r="BH686" s="157">
        <f t="shared" si="1199"/>
      </c>
      <c r="BI686" s="975">
        <f t="shared" si="1199"/>
      </c>
      <c r="BJ686" s="157">
        <f t="shared" si="1199"/>
      </c>
      <c r="BK686" s="157">
        <f t="shared" si="1199"/>
      </c>
      <c r="BL686" s="157">
        <f t="shared" si="1199"/>
      </c>
      <c r="BM686" s="157">
        <f t="shared" si="1199"/>
      </c>
      <c r="BN686" s="975">
        <f t="shared" si="1199"/>
      </c>
      <c r="BO686" s="157">
        <f t="shared" si="1197"/>
      </c>
      <c r="BP686" s="157">
        <f t="shared" si="1198"/>
      </c>
      <c r="BQ686" s="157">
        <f t="shared" si="1198"/>
      </c>
      <c r="BR686" s="157">
        <f t="shared" si="1198"/>
      </c>
      <c r="BS686" s="975">
        <f t="shared" si="1198"/>
      </c>
      <c r="BT686" s="676">
        <f>BT1332</f>
      </c>
      <c r="BU686" s="157"/>
      <c r="BV686" s="157"/>
      <c r="BW686" s="157"/>
      <c r="BX686" s="975"/>
      <c r="BY686" s="157"/>
      <c r="BZ686" s="157"/>
      <c r="CA686" s="157"/>
      <c r="CB686" s="157"/>
      <c r="CC686" s="975"/>
      <c r="CD686" s="975"/>
      <c r="CE686" s="975"/>
      <c r="CF686" s="975"/>
      <c r="CG686" s="757"/>
    </row>
    <row r="687" spans="1:85" s="587" customFormat="1" ht="15" hidden="1" customHeight="1" outlineLevel="2" collapsed="1" x14ac:dyDescent="0.3">
      <c r="A687" s="325" t="s">
        <v>2299</v>
      </c>
      <c r="B687" s="428"/>
      <c r="C687" s="977"/>
      <c r="D687" s="977"/>
      <c r="E687" s="977"/>
      <c r="F687" s="977"/>
      <c r="G687" s="184"/>
      <c r="H687" s="184"/>
      <c r="I687" s="184"/>
      <c r="J687" s="184"/>
      <c r="K687" s="977"/>
      <c r="L687" s="184"/>
      <c r="M687" s="184"/>
      <c r="N687" s="184"/>
      <c r="O687" s="184"/>
      <c r="P687" s="977"/>
      <c r="Q687" s="184"/>
      <c r="R687" s="184"/>
      <c r="S687" s="184"/>
      <c r="T687" s="184"/>
      <c r="U687" s="977"/>
      <c r="V687" s="184"/>
      <c r="W687" s="184"/>
      <c r="X687" s="184"/>
      <c r="Y687" s="184"/>
      <c r="Z687" s="977"/>
      <c r="AA687" s="184"/>
      <c r="AB687" s="184"/>
      <c r="AC687" s="184"/>
      <c r="AD687" s="184" t="str">
        <f t="shared" ref="AD687:AL687" si="1200">IFERROR(AVERAGE(AD686,AD685),"")</f>
      </c>
      <c r="AE687" s="977" t="str">
        <f t="shared" si="1200"/>
      </c>
      <c r="AF687" s="184">
        <f t="shared" si="1200"/>
      </c>
      <c r="AG687" s="184" t="str">
        <f t="shared" si="1200"/>
      </c>
      <c r="AH687" s="184" t="str">
        <f t="shared" si="1200"/>
      </c>
      <c r="AI687" s="184">
        <f t="shared" si="1200"/>
      </c>
      <c r="AJ687" s="977">
        <f t="shared" si="1200"/>
      </c>
      <c r="AK687" s="184">
        <f t="shared" si="1200"/>
      </c>
      <c r="AL687" s="184">
        <f t="shared" si="1200"/>
      </c>
      <c r="AM687" s="184">
        <f t="shared" ref="AM687:BP687" si="1201">IFERROR(AVERAGE(AM686,AM685),"")</f>
      </c>
      <c r="AN687" s="184" t="str">
        <f t="shared" si="1201"/>
      </c>
      <c r="AO687" s="977" t="str">
        <f t="shared" si="1201"/>
      </c>
      <c r="AP687" s="184" t="str">
        <f t="shared" si="1201"/>
      </c>
      <c r="AQ687" s="184">
        <f t="shared" si="1201"/>
      </c>
      <c r="AR687" s="184">
        <f t="shared" si="1201"/>
      </c>
      <c r="AS687" s="184">
        <f t="shared" si="1201"/>
      </c>
      <c r="AT687" s="977">
        <f t="shared" si="1201"/>
      </c>
      <c r="AU687" s="184">
        <f t="shared" si="1201"/>
      </c>
      <c r="AV687" s="184">
        <f t="shared" si="1201"/>
      </c>
      <c r="AW687" s="184">
        <f t="shared" si="1201"/>
      </c>
      <c r="AX687" s="184">
        <f t="shared" si="1201"/>
      </c>
      <c r="AY687" s="977">
        <f t="shared" si="1201"/>
      </c>
      <c r="AZ687" s="184">
        <f t="shared" si="1201"/>
      </c>
      <c r="BA687" s="184">
        <f t="shared" si="1201"/>
      </c>
      <c r="BB687" s="184">
        <f t="shared" si="1201"/>
      </c>
      <c r="BC687" s="184">
        <f t="shared" si="1201"/>
      </c>
      <c r="BD687" s="977">
        <f t="shared" si="1201"/>
      </c>
      <c r="BE687" s="184">
        <f t="shared" si="1201"/>
      </c>
      <c r="BF687" s="184">
        <f t="shared" si="1201"/>
      </c>
      <c r="BG687" s="184">
        <f t="shared" si="1201"/>
      </c>
      <c r="BH687" s="184">
        <f t="shared" si="1201"/>
      </c>
      <c r="BI687" s="977">
        <f t="shared" si="1201"/>
      </c>
      <c r="BJ687" s="184">
        <f t="shared" si="1201"/>
      </c>
      <c r="BK687" s="184">
        <f t="shared" si="1201"/>
      </c>
      <c r="BL687" s="184">
        <f t="shared" si="1201"/>
      </c>
      <c r="BM687" s="184">
        <f t="shared" si="1201"/>
      </c>
      <c r="BN687" s="977">
        <f t="shared" si="1201"/>
      </c>
      <c r="BO687" s="184">
        <f t="shared" si="1201"/>
      </c>
      <c r="BP687" s="184">
        <f t="shared" si="1201"/>
      </c>
      <c r="BQ687" s="184">
        <f>IFERROR(AVERAGE(BQ686,BQ685),"")</f>
      </c>
      <c r="BR687" s="184">
        <f>IFERROR(AVERAGE(BR686,BR685),"")</f>
      </c>
      <c r="BS687" s="977">
        <f>IFERROR(AVERAGE(BS686,BS685),"")</f>
      </c>
      <c r="BT687" s="678">
        <f>IFERROR(AVERAGE(BT686,BT685),"")</f>
      </c>
      <c r="BU687" s="184"/>
      <c r="BV687" s="184"/>
      <c r="BW687" s="184"/>
      <c r="BX687" s="977"/>
      <c r="BY687" s="184"/>
      <c r="BZ687" s="184"/>
      <c r="CA687" s="184"/>
      <c r="CB687" s="184"/>
      <c r="CC687" s="977"/>
      <c r="CD687" s="977"/>
      <c r="CE687" s="977"/>
      <c r="CF687" s="977"/>
      <c r="CG687" s="757"/>
    </row>
    <row r="688" spans="1:85" s="587" customFormat="1" ht="15" hidden="1" customHeight="1" outlineLevel="2" x14ac:dyDescent="0.3">
      <c r="A688" s="328" t="s">
        <v>2300</v>
      </c>
      <c r="B688" s="414"/>
      <c r="C688" s="950"/>
      <c r="D688" s="950"/>
      <c r="E688" s="950"/>
      <c r="F688" s="950"/>
      <c r="G688" s="204"/>
      <c r="H688" s="204"/>
      <c r="I688" s="204"/>
      <c r="J688" s="204"/>
      <c r="K688" s="950"/>
      <c r="L688" s="204"/>
      <c r="M688" s="204"/>
      <c r="N688" s="204"/>
      <c r="O688" s="204"/>
      <c r="P688" s="950"/>
      <c r="Q688" s="204"/>
      <c r="R688" s="204"/>
      <c r="S688" s="204"/>
      <c r="T688" s="204"/>
      <c r="U688" s="950"/>
      <c r="V688" s="204"/>
      <c r="W688" s="204"/>
      <c r="X688" s="204"/>
      <c r="Y688" s="204"/>
      <c r="Z688" s="950"/>
      <c r="AA688" s="204"/>
      <c r="AB688" s="204"/>
      <c r="AC688" s="204"/>
      <c r="AD688" s="204" t="str">
        <f t="shared" ref="AD688:AL688" si="1202">IFERROR(ABS(AD686-AD687)*10000,"")</f>
      </c>
      <c r="AE688" s="950" t="str">
        <f t="shared" si="1202"/>
      </c>
      <c r="AF688" s="204">
        <f t="shared" si="1202"/>
      </c>
      <c r="AG688" s="204" t="str">
        <f t="shared" si="1202"/>
      </c>
      <c r="AH688" s="204" t="str">
        <f t="shared" si="1202"/>
      </c>
      <c r="AI688" s="204">
        <f t="shared" si="1202"/>
      </c>
      <c r="AJ688" s="950">
        <f t="shared" si="1202"/>
      </c>
      <c r="AK688" s="204">
        <f t="shared" si="1202"/>
      </c>
      <c r="AL688" s="204">
        <f t="shared" si="1202"/>
      </c>
      <c r="AM688" s="204">
        <f t="shared" ref="AM688:BP688" si="1203">IFERROR(ABS(AM686-AM687)*10000,"")</f>
      </c>
      <c r="AN688" s="204" t="str">
        <f t="shared" si="1203"/>
      </c>
      <c r="AO688" s="950" t="str">
        <f t="shared" si="1203"/>
      </c>
      <c r="AP688" s="204" t="str">
        <f t="shared" si="1203"/>
      </c>
      <c r="AQ688" s="204">
        <f t="shared" si="1203"/>
      </c>
      <c r="AR688" s="204">
        <f t="shared" si="1203"/>
      </c>
      <c r="AS688" s="204">
        <f t="shared" si="1203"/>
      </c>
      <c r="AT688" s="950">
        <f t="shared" si="1203"/>
      </c>
      <c r="AU688" s="204">
        <f t="shared" si="1203"/>
      </c>
      <c r="AV688" s="204">
        <f t="shared" si="1203"/>
      </c>
      <c r="AW688" s="204">
        <f t="shared" si="1203"/>
      </c>
      <c r="AX688" s="204">
        <f t="shared" si="1203"/>
      </c>
      <c r="AY688" s="950">
        <f t="shared" si="1203"/>
      </c>
      <c r="AZ688" s="204">
        <f t="shared" si="1203"/>
      </c>
      <c r="BA688" s="204">
        <f t="shared" si="1203"/>
      </c>
      <c r="BB688" s="204">
        <f t="shared" si="1203"/>
      </c>
      <c r="BC688" s="204">
        <f t="shared" si="1203"/>
      </c>
      <c r="BD688" s="950">
        <f t="shared" si="1203"/>
      </c>
      <c r="BE688" s="204">
        <f t="shared" si="1203"/>
      </c>
      <c r="BF688" s="204">
        <f t="shared" si="1203"/>
      </c>
      <c r="BG688" s="204">
        <f t="shared" si="1203"/>
      </c>
      <c r="BH688" s="204">
        <f t="shared" si="1203"/>
      </c>
      <c r="BI688" s="950">
        <f t="shared" si="1203"/>
      </c>
      <c r="BJ688" s="204">
        <f t="shared" si="1203"/>
      </c>
      <c r="BK688" s="204">
        <f t="shared" si="1203"/>
      </c>
      <c r="BL688" s="204">
        <f t="shared" si="1203"/>
      </c>
      <c r="BM688" s="204">
        <f t="shared" si="1203"/>
      </c>
      <c r="BN688" s="950">
        <f t="shared" si="1203"/>
      </c>
      <c r="BO688" s="204">
        <f t="shared" si="1203"/>
      </c>
      <c r="BP688" s="204">
        <f t="shared" si="1203"/>
      </c>
      <c r="BQ688" s="204">
        <f>IFERROR(ABS(BQ686-BQ687)*10000,"")</f>
      </c>
      <c r="BR688" s="204">
        <f>IFERROR(ABS(BR686-BR687)*10000,"")</f>
      </c>
      <c r="BS688" s="950">
        <f>IFERROR(ABS(BS686-BS687)*10000,"")</f>
      </c>
      <c r="BT688" s="294">
        <f>IFERROR(ABS(BT686-BT687)*10000,"")</f>
      </c>
      <c r="BU688" s="204"/>
      <c r="BV688" s="204"/>
      <c r="BW688" s="204"/>
      <c r="BX688" s="950"/>
      <c r="BY688" s="204"/>
      <c r="BZ688" s="204"/>
      <c r="CA688" s="204"/>
      <c r="CB688" s="204"/>
      <c r="CC688" s="950"/>
      <c r="CD688" s="950"/>
      <c r="CE688" s="950"/>
      <c r="CF688" s="950"/>
      <c r="CG688" s="757"/>
    </row>
    <row r="689" spans="1:85" s="587" customFormat="1" ht="15" hidden="1" customHeight="1" outlineLevel="3" x14ac:dyDescent="0.3">
      <c r="A689" s="572" t="s">
        <v>2301</v>
      </c>
      <c r="B689" s="770"/>
      <c r="C689" s="1038"/>
      <c r="D689" s="1038"/>
      <c r="E689" s="1038"/>
      <c r="F689" s="1038"/>
      <c r="G689" s="573"/>
      <c r="H689" s="573"/>
      <c r="I689" s="573"/>
      <c r="J689" s="573"/>
      <c r="K689" s="1038"/>
      <c r="L689" s="573"/>
      <c r="M689" s="573"/>
      <c r="N689" s="573"/>
      <c r="O689" s="573"/>
      <c r="P689" s="1038"/>
      <c r="Q689" s="573"/>
      <c r="R689" s="573"/>
      <c r="S689" s="573"/>
      <c r="T689" s="573"/>
      <c r="U689" s="1038"/>
      <c r="V689" s="573"/>
      <c r="W689" s="573"/>
      <c r="X689" s="573"/>
      <c r="Y689" s="573"/>
      <c r="Z689" s="1038"/>
      <c r="AA689" s="573"/>
      <c r="AB689" s="573"/>
      <c r="AC689" s="573"/>
      <c r="AD689" s="573" t="str">
        <f>IFERROR((AD685-AD668)*10000,"")</f>
      </c>
      <c r="AE689" s="1038" t="str">
        <f t="shared" ref="AE689:AE694" si="1204">AD689</f>
      </c>
      <c r="AF689" s="573">
        <f>IFERROR((AF685-AF668)*10000,"")</f>
      </c>
      <c r="AG689" s="573" t="str">
        <f>IFERROR((AG685-AG668)*10000,"")</f>
      </c>
      <c r="AH689" s="573" t="str">
        <f>IFERROR((AH685-AH668)*10000,"")</f>
      </c>
      <c r="AI689" s="573">
        <f>IFERROR((AI685-AI668)*10000,"")</f>
      </c>
      <c r="AJ689" s="1038">
        <f t="shared" ref="AJ689:AJ694" si="1205">AI689</f>
      </c>
      <c r="AK689" s="573">
        <f>IFERROR((AK685-AK668)*10000,"")</f>
      </c>
      <c r="AL689" s="573">
        <f>IFERROR((AL685-AL668)*10000,"")</f>
      </c>
      <c r="AM689" s="573">
        <f>IFERROR((AM685-AM668)*10000,"")</f>
      </c>
      <c r="AN689" s="573" t="str">
        <f>IFERROR((AN685-AN668)*10000,"")</f>
      </c>
      <c r="AO689" s="1038" t="str">
        <f t="shared" ref="AO689:AO694" si="1206">AN689</f>
      </c>
      <c r="AP689" s="573" t="str">
        <f>IFERROR((AP685-AP668)*10000,"")</f>
      </c>
      <c r="AQ689" s="573">
        <f>IFERROR((AQ685-AQ668)*10000,"")</f>
      </c>
      <c r="AR689" s="573">
        <f>IFERROR((AR685-AR668)*10000,"")</f>
      </c>
      <c r="AS689" s="573">
        <f>IFERROR((AS685-AS668)*10000,"")</f>
      </c>
      <c r="AT689" s="1038">
        <f t="shared" ref="AT689:AT694" si="1207">AS689</f>
      </c>
      <c r="AU689" s="573">
        <f>IFERROR((AU685-AU668)*10000,"")</f>
      </c>
      <c r="AV689" s="573">
        <f>IFERROR((AV685-AV668)*10000,"")</f>
      </c>
      <c r="AW689" s="573">
        <f>IFERROR((AW685-AW668)*10000,"")</f>
      </c>
      <c r="AX689" s="573">
        <f>IFERROR((AX685-AX668)*10000,"")</f>
      </c>
      <c r="AY689" s="1038">
        <f t="shared" ref="AY689:AY694" si="1208">AX689</f>
      </c>
      <c r="AZ689" s="573">
        <f>IFERROR((AZ685-AZ668)*10000,"")</f>
      </c>
      <c r="BA689" s="573">
        <f>IFERROR((BA685-BA668)*10000,"")</f>
      </c>
      <c r="BB689" s="573">
        <f>IFERROR((BB685-BB668)*10000,"")</f>
      </c>
      <c r="BC689" s="573">
        <f>IFERROR((BC685-BC668)*10000,"")</f>
      </c>
      <c r="BD689" s="1038">
        <f t="shared" ref="BD689:BD694" si="1209">BC689</f>
      </c>
      <c r="BE689" s="573">
        <f>IFERROR((BE685-BE668)*10000,"")</f>
      </c>
      <c r="BF689" s="573">
        <f>IFERROR((BF685-BF668)*10000,"")</f>
      </c>
      <c r="BG689" s="573">
        <f>IFERROR((BG685-BG668)*10000,"")</f>
      </c>
      <c r="BH689" s="573">
        <f>IFERROR((BH685-BH668)*10000,"")</f>
      </c>
      <c r="BI689" s="1038">
        <f t="shared" ref="BI689:BI694" si="1210">BH689</f>
      </c>
      <c r="BJ689" s="573">
        <f>IFERROR((BJ685-BJ668)*10000,"")</f>
      </c>
      <c r="BK689" s="573">
        <f>IFERROR((BK685-BK668)*10000,"")</f>
      </c>
      <c r="BL689" s="573">
        <f>IFERROR((BL685-BL668)*10000,"")</f>
      </c>
      <c r="BM689" s="573">
        <f>IFERROR((BM685-BM668)*10000,"")</f>
      </c>
      <c r="BN689" s="1038">
        <f t="shared" ref="BN689:BN694" si="1211">BM689</f>
      </c>
      <c r="BO689" s="573">
        <f>IFERROR((BO685-BO668)*10000,"")</f>
      </c>
      <c r="BP689" s="573">
        <f>IFERROR((BP685-BP668)*10000,"")</f>
      </c>
      <c r="BQ689" s="573">
        <f>IFERROR((BQ685-BQ668)*10000,"")</f>
      </c>
      <c r="BR689" s="573">
        <f>IFERROR((BR685-BR668)*10000,"")</f>
      </c>
      <c r="BS689" s="1038">
        <f t="shared" ref="BS689:BS694" si="1212">BR689</f>
      </c>
      <c r="BT689" s="706">
        <f>IFERROR((BT685-BT668)*10000,"")</f>
      </c>
      <c r="BU689" s="573"/>
      <c r="BV689" s="573"/>
      <c r="BW689" s="573"/>
      <c r="BX689" s="1038"/>
      <c r="BY689" s="573"/>
      <c r="BZ689" s="573"/>
      <c r="CA689" s="573"/>
      <c r="CB689" s="573"/>
      <c r="CC689" s="1038"/>
      <c r="CD689" s="1038"/>
      <c r="CE689" s="1038"/>
      <c r="CF689" s="1038"/>
      <c r="CG689" s="757"/>
    </row>
    <row r="690" spans="1:85" s="587" customFormat="1" ht="15" hidden="1" customHeight="1" outlineLevel="3" x14ac:dyDescent="0.3">
      <c r="A690" s="574" t="s">
        <v>2302</v>
      </c>
      <c r="B690" s="563"/>
      <c r="C690" s="1039"/>
      <c r="D690" s="1039"/>
      <c r="E690" s="1039"/>
      <c r="F690" s="1039"/>
      <c r="G690" s="575"/>
      <c r="H690" s="575"/>
      <c r="I690" s="575"/>
      <c r="J690" s="575"/>
      <c r="K690" s="1039"/>
      <c r="L690" s="575"/>
      <c r="M690" s="575"/>
      <c r="N690" s="575"/>
      <c r="O690" s="575"/>
      <c r="P690" s="1039"/>
      <c r="Q690" s="575"/>
      <c r="R690" s="575"/>
      <c r="S690" s="575"/>
      <c r="T690" s="575"/>
      <c r="U690" s="1039"/>
      <c r="V690" s="575"/>
      <c r="W690" s="575"/>
      <c r="X690" s="575"/>
      <c r="Y690" s="575"/>
      <c r="Z690" s="1039"/>
      <c r="AA690" s="575"/>
      <c r="AB690" s="575"/>
      <c r="AC690" s="575"/>
      <c r="AD690" s="575" t="str">
        <f>IFERROR((AD686-AD668)*10000,"")</f>
      </c>
      <c r="AE690" s="1039" t="str">
        <f t="shared" si="1204"/>
      </c>
      <c r="AF690" s="575">
        <f>IFERROR((AF686-AF668)*10000,"")</f>
      </c>
      <c r="AG690" s="575" t="str">
        <f>IFERROR((AG686-AG668)*10000,"")</f>
      </c>
      <c r="AH690" s="575" t="str">
        <f>IFERROR((AH686-AH668)*10000,"")</f>
      </c>
      <c r="AI690" s="575">
        <f>IFERROR((AI686-AI668)*10000,"")</f>
      </c>
      <c r="AJ690" s="1039">
        <f t="shared" si="1205"/>
      </c>
      <c r="AK690" s="575">
        <f>IFERROR((AK686-AK668)*10000,"")</f>
      </c>
      <c r="AL690" s="575">
        <f>IFERROR((AL686-AL668)*10000,"")</f>
      </c>
      <c r="AM690" s="575">
        <f>IFERROR((AM686-AM668)*10000,"")</f>
      </c>
      <c r="AN690" s="575" t="str">
        <f>IFERROR((AN686-AN668)*10000,"")</f>
      </c>
      <c r="AO690" s="1039" t="str">
        <f t="shared" si="1206"/>
      </c>
      <c r="AP690" s="575" t="str">
        <f>IFERROR((AP686-AP668)*10000,"")</f>
      </c>
      <c r="AQ690" s="575">
        <f>IFERROR((AQ686-AQ668)*10000,"")</f>
      </c>
      <c r="AR690" s="575">
        <f>IFERROR((AR686-AR668)*10000,"")</f>
      </c>
      <c r="AS690" s="575">
        <f>IFERROR((AS686-AS668)*10000,"")</f>
      </c>
      <c r="AT690" s="1039">
        <f t="shared" si="1207"/>
      </c>
      <c r="AU690" s="575">
        <f>IFERROR((AU686-AU668)*10000,"")</f>
      </c>
      <c r="AV690" s="575">
        <f>IFERROR((AV686-AV668)*10000,"")</f>
      </c>
      <c r="AW690" s="575">
        <f>IFERROR((AW686-AW668)*10000,"")</f>
      </c>
      <c r="AX690" s="575">
        <f>IFERROR((AX686-AX668)*10000,"")</f>
      </c>
      <c r="AY690" s="1039">
        <f t="shared" si="1208"/>
      </c>
      <c r="AZ690" s="575">
        <f>IFERROR((AZ686-AZ668)*10000,"")</f>
      </c>
      <c r="BA690" s="575">
        <f>IFERROR((BA686-BA668)*10000,"")</f>
      </c>
      <c r="BB690" s="575">
        <f>IFERROR((BB686-BB668)*10000,"")</f>
      </c>
      <c r="BC690" s="575">
        <f>IFERROR((BC686-BC668)*10000,"")</f>
      </c>
      <c r="BD690" s="1039">
        <f t="shared" si="1209"/>
      </c>
      <c r="BE690" s="575">
        <f>IFERROR((BE686-BE668)*10000,"")</f>
      </c>
      <c r="BF690" s="575">
        <f>IFERROR((BF686-BF668)*10000,"")</f>
      </c>
      <c r="BG690" s="575">
        <f>IFERROR((BG686-BG668)*10000,"")</f>
      </c>
      <c r="BH690" s="575">
        <f>IFERROR((BH686-BH668)*10000,"")</f>
      </c>
      <c r="BI690" s="1039">
        <f t="shared" si="1210"/>
      </c>
      <c r="BJ690" s="575">
        <f>IFERROR((BJ686-BJ668)*10000,"")</f>
      </c>
      <c r="BK690" s="575">
        <f>IFERROR((BK686-BK668)*10000,"")</f>
      </c>
      <c r="BL690" s="575">
        <f>IFERROR((BL686-BL668)*10000,"")</f>
      </c>
      <c r="BM690" s="575">
        <f>IFERROR((BM686-BM668)*10000,"")</f>
      </c>
      <c r="BN690" s="1039">
        <f t="shared" si="1211"/>
      </c>
      <c r="BO690" s="575">
        <f>IFERROR((BO686-BO668)*10000,"")</f>
      </c>
      <c r="BP690" s="575">
        <f>IFERROR((BP686-BP668)*10000,"")</f>
      </c>
      <c r="BQ690" s="575">
        <f>IFERROR((BQ686-BQ668)*10000,"")</f>
      </c>
      <c r="BR690" s="575">
        <f>IFERROR((BR686-BR668)*10000,"")</f>
      </c>
      <c r="BS690" s="1039">
        <f t="shared" si="1212"/>
      </c>
      <c r="BT690" s="707">
        <f>IFERROR((BT686-BT668)*10000,"")</f>
      </c>
      <c r="BU690" s="575"/>
      <c r="BV690" s="575"/>
      <c r="BW690" s="575"/>
      <c r="BX690" s="1039"/>
      <c r="BY690" s="575"/>
      <c r="BZ690" s="575"/>
      <c r="CA690" s="575"/>
      <c r="CB690" s="575"/>
      <c r="CC690" s="1039"/>
      <c r="CD690" s="1039"/>
      <c r="CE690" s="1039"/>
      <c r="CF690" s="1039"/>
      <c r="CG690" s="757"/>
    </row>
    <row r="691" spans="1:85" s="587" customFormat="1" ht="15" hidden="1" customHeight="1" outlineLevel="2" collapsed="1" x14ac:dyDescent="0.3">
      <c r="A691" s="327" t="s">
        <v>2303</v>
      </c>
      <c r="B691" s="770"/>
      <c r="C691" s="1038"/>
      <c r="D691" s="1038"/>
      <c r="E691" s="1038"/>
      <c r="F691" s="1038"/>
      <c r="G691" s="573"/>
      <c r="H691" s="573"/>
      <c r="I691" s="573"/>
      <c r="J691" s="573"/>
      <c r="K691" s="1038"/>
      <c r="L691" s="573"/>
      <c r="M691" s="573"/>
      <c r="N691" s="573"/>
      <c r="O691" s="573"/>
      <c r="P691" s="1038"/>
      <c r="Q691" s="573"/>
      <c r="R691" s="573"/>
      <c r="S691" s="573"/>
      <c r="T691" s="573"/>
      <c r="U691" s="1038"/>
      <c r="V691" s="573"/>
      <c r="W691" s="573"/>
      <c r="X691" s="573"/>
      <c r="Y691" s="573"/>
      <c r="Z691" s="1038"/>
      <c r="AA691" s="573"/>
      <c r="AB691" s="573"/>
      <c r="AC691" s="573"/>
      <c r="AD691" s="573" t="str">
        <f>IFERROR((AD687-AD668)*10000,"")</f>
      </c>
      <c r="AE691" s="1038" t="str">
        <f t="shared" si="1204"/>
      </c>
      <c r="AF691" s="573">
        <f>IFERROR((AF687-AF668)*10000,"")</f>
      </c>
      <c r="AG691" s="573" t="str">
        <f>IFERROR((AG687-AG668)*10000,"")</f>
      </c>
      <c r="AH691" s="573" t="str">
        <f>IFERROR((AH687-AH668)*10000,"")</f>
      </c>
      <c r="AI691" s="573">
        <f>IFERROR((AI687-AI668)*10000,"")</f>
      </c>
      <c r="AJ691" s="1038">
        <f t="shared" si="1205"/>
      </c>
      <c r="AK691" s="573">
        <f>IFERROR((AK687-AK668)*10000,"")</f>
      </c>
      <c r="AL691" s="573">
        <f>IFERROR((AL687-AL668)*10000,"")</f>
      </c>
      <c r="AM691" s="573">
        <f>IFERROR((AM687-AM668)*10000,"")</f>
      </c>
      <c r="AN691" s="573" t="str">
        <f>IFERROR((AN687-AN668)*10000,"")</f>
      </c>
      <c r="AO691" s="1038" t="str">
        <f t="shared" si="1206"/>
      </c>
      <c r="AP691" s="573" t="str">
        <f>IFERROR((AP687-AP668)*10000,"")</f>
      </c>
      <c r="AQ691" s="573">
        <f>IFERROR((AQ687-AQ668)*10000,"")</f>
      </c>
      <c r="AR691" s="573">
        <f>IFERROR((AR687-AR668)*10000,"")</f>
      </c>
      <c r="AS691" s="573">
        <f>IFERROR((AS687-AS668)*10000,"")</f>
      </c>
      <c r="AT691" s="1038">
        <f t="shared" si="1207"/>
      </c>
      <c r="AU691" s="573">
        <f>IFERROR((AU687-AU668)*10000,"")</f>
      </c>
      <c r="AV691" s="573">
        <f>IFERROR((AV687-AV668)*10000,"")</f>
      </c>
      <c r="AW691" s="573">
        <f>IFERROR((AW687-AW668)*10000,"")</f>
      </c>
      <c r="AX691" s="573">
        <f>IFERROR((AX687-AX668)*10000,"")</f>
      </c>
      <c r="AY691" s="1038">
        <f t="shared" si="1208"/>
      </c>
      <c r="AZ691" s="573">
        <f>IFERROR((AZ687-AZ668)*10000,"")</f>
      </c>
      <c r="BA691" s="573">
        <f>IFERROR((BA687-BA668)*10000,"")</f>
      </c>
      <c r="BB691" s="573">
        <f>IFERROR((BB687-BB668)*10000,"")</f>
      </c>
      <c r="BC691" s="573">
        <f>IFERROR((BC687-BC668)*10000,"")</f>
      </c>
      <c r="BD691" s="1038">
        <f t="shared" si="1209"/>
      </c>
      <c r="BE691" s="573">
        <f>IFERROR((BE687-BE668)*10000,"")</f>
      </c>
      <c r="BF691" s="573">
        <f>IFERROR((BF687-BF668)*10000,"")</f>
      </c>
      <c r="BG691" s="573">
        <f>IFERROR((BG687-BG668)*10000,"")</f>
      </c>
      <c r="BH691" s="573">
        <f>IFERROR((BH687-BH668)*10000,"")</f>
      </c>
      <c r="BI691" s="1038">
        <f t="shared" si="1210"/>
      </c>
      <c r="BJ691" s="573">
        <f>IFERROR((BJ687-BJ668)*10000,"")</f>
      </c>
      <c r="BK691" s="573">
        <f>IFERROR((BK687-BK668)*10000,"")</f>
      </c>
      <c r="BL691" s="573">
        <f>IFERROR((BL687-BL668)*10000,"")</f>
      </c>
      <c r="BM691" s="573">
        <f>IFERROR((BM687-BM668)*10000,"")</f>
      </c>
      <c r="BN691" s="1038">
        <f t="shared" si="1211"/>
      </c>
      <c r="BO691" s="573">
        <f>IFERROR((BO687-BO668)*10000,"")</f>
      </c>
      <c r="BP691" s="573">
        <f>IFERROR((BP687-BP668)*10000,"")</f>
      </c>
      <c r="BQ691" s="573">
        <f>IFERROR((BQ687-BQ668)*10000,"")</f>
      </c>
      <c r="BR691" s="573">
        <f>IFERROR((BR687-BR668)*10000,"")</f>
      </c>
      <c r="BS691" s="1038">
        <f t="shared" si="1212"/>
      </c>
      <c r="BT691" s="706">
        <f>IFERROR((BT687-BT668)*10000,"")</f>
      </c>
      <c r="BU691" s="573"/>
      <c r="BV691" s="573"/>
      <c r="BW691" s="573"/>
      <c r="BX691" s="1038"/>
      <c r="BY691" s="573"/>
      <c r="BZ691" s="573"/>
      <c r="CA691" s="573"/>
      <c r="CB691" s="573"/>
      <c r="CC691" s="1038"/>
      <c r="CD691" s="1038"/>
      <c r="CE691" s="1038"/>
      <c r="CF691" s="1038"/>
      <c r="CG691" s="757"/>
    </row>
    <row r="692" spans="1:85" s="587" customFormat="1" ht="15" hidden="1" customHeight="1" outlineLevel="3" x14ac:dyDescent="0.3">
      <c r="A692" s="572" t="s">
        <v>2304</v>
      </c>
      <c r="B692" s="770"/>
      <c r="C692" s="1038"/>
      <c r="D692" s="1038"/>
      <c r="E692" s="1038"/>
      <c r="F692" s="1038"/>
      <c r="G692" s="573"/>
      <c r="H692" s="573"/>
      <c r="I692" s="573"/>
      <c r="J692" s="573"/>
      <c r="K692" s="1038"/>
      <c r="L692" s="573"/>
      <c r="M692" s="573"/>
      <c r="N692" s="573"/>
      <c r="O692" s="573"/>
      <c r="P692" s="1038"/>
      <c r="Q692" s="573"/>
      <c r="R692" s="573"/>
      <c r="S692" s="573"/>
      <c r="T692" s="573"/>
      <c r="U692" s="1038"/>
      <c r="V692" s="573"/>
      <c r="W692" s="573"/>
      <c r="X692" s="573"/>
      <c r="Y692" s="573"/>
      <c r="Z692" s="1038"/>
      <c r="AA692" s="573"/>
      <c r="AB692" s="573"/>
      <c r="AC692" s="573"/>
      <c r="AD692" s="573" t="str">
        <f>IFERROR((AD685-AA668)*10000,"")</f>
      </c>
      <c r="AE692" s="1038" t="str">
        <f t="shared" si="1204"/>
      </c>
      <c r="AF692" s="573">
        <f>IFERROR((AF685-AB668)*10000,"")</f>
      </c>
      <c r="AG692" s="573" t="str">
        <f>IFERROR((AG685-AC668)*10000,"")</f>
      </c>
      <c r="AH692" s="573" t="str">
        <f>IFERROR((AH685-AD668)*10000,"")</f>
      </c>
      <c r="AI692" s="573">
        <f>IFERROR((AI685-AF668)*10000,"")</f>
      </c>
      <c r="AJ692" s="1038">
        <f t="shared" si="1205"/>
      </c>
      <c r="AK692" s="573">
        <f>IFERROR((AK685-AG668)*10000,"")</f>
      </c>
      <c r="AL692" s="573">
        <f>IFERROR((AL685-AH668)*10000,"")</f>
      </c>
      <c r="AM692" s="573">
        <f>IFERROR((AM685-AI668)*10000,"")</f>
      </c>
      <c r="AN692" s="573" t="str">
        <f>IFERROR((AN685-AK668)*10000,"")</f>
      </c>
      <c r="AO692" s="1038" t="str">
        <f t="shared" si="1206"/>
      </c>
      <c r="AP692" s="573" t="str">
        <f>IFERROR((AP685-AL668)*10000,"")</f>
      </c>
      <c r="AQ692" s="573">
        <f>IFERROR((AQ685-AM668)*10000,"")</f>
      </c>
      <c r="AR692" s="573">
        <f>IFERROR((AR685-AN668)*10000,"")</f>
      </c>
      <c r="AS692" s="573">
        <f>IFERROR((AS685-AP668)*10000,"")</f>
      </c>
      <c r="AT692" s="1038">
        <f t="shared" si="1207"/>
      </c>
      <c r="AU692" s="573">
        <f>IFERROR((AU685-AQ668)*10000,"")</f>
      </c>
      <c r="AV692" s="573">
        <f>IFERROR((AV685-AR668)*10000,"")</f>
      </c>
      <c r="AW692" s="573">
        <f>IFERROR((AW685-AS668)*10000,"")</f>
      </c>
      <c r="AX692" s="573">
        <f>IFERROR((AX685-AU668)*10000,"")</f>
      </c>
      <c r="AY692" s="1038">
        <f t="shared" si="1208"/>
      </c>
      <c r="AZ692" s="573">
        <f>IFERROR((AZ685-AV668)*10000,"")</f>
      </c>
      <c r="BA692" s="573">
        <f>IFERROR((BA685-AW668)*10000,"")</f>
      </c>
      <c r="BB692" s="573">
        <f>IFERROR((BB685-AX668)*10000,"")</f>
      </c>
      <c r="BC692" s="573">
        <f>IFERROR((BC685-AZ668)*10000,"")</f>
      </c>
      <c r="BD692" s="1038">
        <f t="shared" si="1209"/>
      </c>
      <c r="BE692" s="573">
        <f>IFERROR((BE685-BA668)*10000,"")</f>
      </c>
      <c r="BF692" s="573">
        <f>IFERROR((BF685-BB668)*10000,"")</f>
      </c>
      <c r="BG692" s="573">
        <f>IFERROR((BG685-BC668)*10000,"")</f>
      </c>
      <c r="BH692" s="573">
        <f>IFERROR((BH685-BE668)*10000,"")</f>
      </c>
      <c r="BI692" s="1038">
        <f t="shared" si="1210"/>
      </c>
      <c r="BJ692" s="573">
        <f>IFERROR((BJ685-BF668)*10000,"")</f>
      </c>
      <c r="BK692" s="573">
        <f>IFERROR((BK685-BG668)*10000,"")</f>
      </c>
      <c r="BL692" s="573">
        <f>IFERROR((BL685-BH668)*10000,"")</f>
      </c>
      <c r="BM692" s="573">
        <f>IFERROR((BM685-BJ668)*10000,"")</f>
      </c>
      <c r="BN692" s="1038">
        <f t="shared" si="1211"/>
      </c>
      <c r="BO692" s="573">
        <f>IFERROR((BO685-BK668)*10000,"")</f>
      </c>
      <c r="BP692" s="573">
        <f>IFERROR((BP685-BL668)*10000,"")</f>
      </c>
      <c r="BQ692" s="573">
        <f>IFERROR((BQ685-BM668)*10000,"")</f>
      </c>
      <c r="BR692" s="573">
        <f>IFERROR((BR685-BO668)*10000,"")</f>
      </c>
      <c r="BS692" s="1038">
        <f t="shared" si="1212"/>
      </c>
      <c r="BT692" s="706">
        <f>IFERROR((BT685-BP668)*10000,"")</f>
      </c>
      <c r="BU692" s="573"/>
      <c r="BV692" s="573"/>
      <c r="BW692" s="573"/>
      <c r="BX692" s="1038"/>
      <c r="BY692" s="573"/>
      <c r="BZ692" s="573"/>
      <c r="CA692" s="573"/>
      <c r="CB692" s="573"/>
      <c r="CC692" s="1038"/>
      <c r="CD692" s="1038"/>
      <c r="CE692" s="1038"/>
      <c r="CF692" s="1038"/>
      <c r="CG692" s="757"/>
    </row>
    <row r="693" spans="1:85" s="587" customFormat="1" ht="15" hidden="1" customHeight="1" outlineLevel="3" x14ac:dyDescent="0.3">
      <c r="A693" s="574" t="s">
        <v>2305</v>
      </c>
      <c r="B693" s="563"/>
      <c r="C693" s="1039"/>
      <c r="D693" s="1039"/>
      <c r="E693" s="1039"/>
      <c r="F693" s="1039"/>
      <c r="G693" s="575"/>
      <c r="H693" s="575"/>
      <c r="I693" s="575"/>
      <c r="J693" s="575"/>
      <c r="K693" s="1039"/>
      <c r="L693" s="575"/>
      <c r="M693" s="575"/>
      <c r="N693" s="575"/>
      <c r="O693" s="575"/>
      <c r="P693" s="1039"/>
      <c r="Q693" s="575"/>
      <c r="R693" s="575"/>
      <c r="S693" s="575"/>
      <c r="T693" s="575"/>
      <c r="U693" s="1039"/>
      <c r="V693" s="575"/>
      <c r="W693" s="575"/>
      <c r="X693" s="575"/>
      <c r="Y693" s="575"/>
      <c r="Z693" s="1039"/>
      <c r="AA693" s="575"/>
      <c r="AB693" s="575"/>
      <c r="AC693" s="575"/>
      <c r="AD693" s="575" t="str">
        <f>IFERROR((AD686-AA668)*10000,"")</f>
      </c>
      <c r="AE693" s="1039" t="str">
        <f t="shared" si="1204"/>
      </c>
      <c r="AF693" s="575">
        <f>IFERROR((AF686-AB668)*10000,"")</f>
      </c>
      <c r="AG693" s="575" t="str">
        <f>IFERROR((AG686-AC668)*10000,"")</f>
      </c>
      <c r="AH693" s="575" t="str">
        <f>IFERROR((AH686-AD668)*10000,"")</f>
      </c>
      <c r="AI693" s="575">
        <f>IFERROR((AI686-AF668)*10000,"")</f>
      </c>
      <c r="AJ693" s="1039">
        <f t="shared" si="1205"/>
      </c>
      <c r="AK693" s="575">
        <f>IFERROR((AK686-AG668)*10000,"")</f>
      </c>
      <c r="AL693" s="575">
        <f>IFERROR((AL686-AH668)*10000,"")</f>
      </c>
      <c r="AM693" s="575">
        <f>IFERROR((AM686-AI668)*10000,"")</f>
      </c>
      <c r="AN693" s="575" t="str">
        <f>IFERROR((AN686-AK668)*10000,"")</f>
      </c>
      <c r="AO693" s="1039" t="str">
        <f t="shared" si="1206"/>
      </c>
      <c r="AP693" s="575" t="str">
        <f>IFERROR((AP686-AL668)*10000,"")</f>
      </c>
      <c r="AQ693" s="575">
        <f>IFERROR((AQ686-AM668)*10000,"")</f>
      </c>
      <c r="AR693" s="575">
        <f>IFERROR((AR686-AN668)*10000,"")</f>
      </c>
      <c r="AS693" s="575">
        <f>IFERROR((AS686-AP668)*10000,"")</f>
      </c>
      <c r="AT693" s="1039">
        <f t="shared" si="1207"/>
      </c>
      <c r="AU693" s="575">
        <f>IFERROR((AU686-AQ668)*10000,"")</f>
      </c>
      <c r="AV693" s="575">
        <f>IFERROR((AV686-AR668)*10000,"")</f>
      </c>
      <c r="AW693" s="575">
        <f>IFERROR((AW686-AS668)*10000,"")</f>
      </c>
      <c r="AX693" s="575">
        <f>IFERROR((AX686-AU668)*10000,"")</f>
      </c>
      <c r="AY693" s="1039">
        <f t="shared" si="1208"/>
      </c>
      <c r="AZ693" s="575">
        <f>IFERROR((AZ686-AV668)*10000,"")</f>
      </c>
      <c r="BA693" s="575">
        <f>IFERROR((BA686-AW668)*10000,"")</f>
      </c>
      <c r="BB693" s="575">
        <f>IFERROR((BB686-AX668)*10000,"")</f>
      </c>
      <c r="BC693" s="575">
        <f>IFERROR((BC686-AZ668)*10000,"")</f>
      </c>
      <c r="BD693" s="1039">
        <f t="shared" si="1209"/>
      </c>
      <c r="BE693" s="575">
        <f>IFERROR((BE686-BA668)*10000,"")</f>
      </c>
      <c r="BF693" s="575">
        <f>IFERROR((BF686-BB668)*10000,"")</f>
      </c>
      <c r="BG693" s="575">
        <f>IFERROR((BG686-BC668)*10000,"")</f>
      </c>
      <c r="BH693" s="575">
        <f>IFERROR((BH686-BE668)*10000,"")</f>
      </c>
      <c r="BI693" s="1039">
        <f t="shared" si="1210"/>
      </c>
      <c r="BJ693" s="575">
        <f>IFERROR((BJ686-BF668)*10000,"")</f>
      </c>
      <c r="BK693" s="575">
        <f>IFERROR((BK686-BG668)*10000,"")</f>
      </c>
      <c r="BL693" s="575">
        <f>IFERROR((BL686-BH668)*10000,"")</f>
      </c>
      <c r="BM693" s="575">
        <f>IFERROR((BM686-BJ668)*10000,"")</f>
      </c>
      <c r="BN693" s="1039">
        <f t="shared" si="1211"/>
      </c>
      <c r="BO693" s="575">
        <f>IFERROR((BO686-BK668)*10000,"")</f>
      </c>
      <c r="BP693" s="575">
        <f>IFERROR((BP686-BL668)*10000,"")</f>
      </c>
      <c r="BQ693" s="575">
        <f>IFERROR((BQ686-BM668)*10000,"")</f>
      </c>
      <c r="BR693" s="575">
        <f>IFERROR((BR686-BO668)*10000,"")</f>
      </c>
      <c r="BS693" s="1039">
        <f t="shared" si="1212"/>
      </c>
      <c r="BT693" s="707">
        <f>IFERROR((BT686-BP668)*10000,"")</f>
      </c>
      <c r="BU693" s="575"/>
      <c r="BV693" s="575"/>
      <c r="BW693" s="575"/>
      <c r="BX693" s="1039"/>
      <c r="BY693" s="575"/>
      <c r="BZ693" s="575"/>
      <c r="CA693" s="575"/>
      <c r="CB693" s="575"/>
      <c r="CC693" s="1039"/>
      <c r="CD693" s="1039"/>
      <c r="CE693" s="1039"/>
      <c r="CF693" s="1039"/>
      <c r="CG693" s="757"/>
    </row>
    <row r="694" spans="1:85" s="587" customFormat="1" ht="15" hidden="1" customHeight="1" outlineLevel="2" collapsed="1" x14ac:dyDescent="0.3">
      <c r="A694" s="327" t="s">
        <v>2306</v>
      </c>
      <c r="B694" s="770"/>
      <c r="C694" s="1038"/>
      <c r="D694" s="1038"/>
      <c r="E694" s="1038"/>
      <c r="F694" s="1038"/>
      <c r="G694" s="573"/>
      <c r="H694" s="573"/>
      <c r="I694" s="573"/>
      <c r="J694" s="573"/>
      <c r="K694" s="1038"/>
      <c r="L694" s="573"/>
      <c r="M694" s="573"/>
      <c r="N694" s="573"/>
      <c r="O694" s="573"/>
      <c r="P694" s="1038"/>
      <c r="Q694" s="573"/>
      <c r="R694" s="573"/>
      <c r="S694" s="573"/>
      <c r="T694" s="573"/>
      <c r="U694" s="1038"/>
      <c r="V694" s="573"/>
      <c r="W694" s="573"/>
      <c r="X694" s="573"/>
      <c r="Y694" s="573"/>
      <c r="Z694" s="1038"/>
      <c r="AA694" s="573"/>
      <c r="AB694" s="573"/>
      <c r="AC694" s="573"/>
      <c r="AD694" s="573" t="str">
        <f>IFERROR((AD687-AA668)*10000,"")</f>
      </c>
      <c r="AE694" s="1038" t="str">
        <f t="shared" si="1204"/>
      </c>
      <c r="AF694" s="573">
        <f>IFERROR((AF687-AB668)*10000,"")</f>
      </c>
      <c r="AG694" s="573" t="str">
        <f>IFERROR((AG687-AC668)*10000,"")</f>
      </c>
      <c r="AH694" s="573" t="str">
        <f>IFERROR((AH687-AD668)*10000,"")</f>
      </c>
      <c r="AI694" s="573">
        <f>IFERROR((AI687-AF668)*10000,"")</f>
      </c>
      <c r="AJ694" s="1038">
        <f t="shared" si="1205"/>
      </c>
      <c r="AK694" s="573">
        <f>IFERROR((AK687-AG668)*10000,"")</f>
      </c>
      <c r="AL694" s="573">
        <f>IFERROR((AL687-AH668)*10000,"")</f>
      </c>
      <c r="AM694" s="573">
        <f>IFERROR((AM687-AI668)*10000,"")</f>
      </c>
      <c r="AN694" s="573" t="str">
        <f>IFERROR((AN687-AK668)*10000,"")</f>
      </c>
      <c r="AO694" s="1038" t="str">
        <f t="shared" si="1206"/>
      </c>
      <c r="AP694" s="573" t="str">
        <f>IFERROR((AP687-AL668)*10000,"")</f>
      </c>
      <c r="AQ694" s="573">
        <f>IFERROR((AQ687-AM668)*10000,"")</f>
      </c>
      <c r="AR694" s="573">
        <f>IFERROR((AR687-AN668)*10000,"")</f>
      </c>
      <c r="AS694" s="573">
        <f>IFERROR((AS687-AP668)*10000,"")</f>
      </c>
      <c r="AT694" s="1038">
        <f t="shared" si="1207"/>
      </c>
      <c r="AU694" s="573">
        <f>IFERROR((AU687-AQ668)*10000,"")</f>
      </c>
      <c r="AV694" s="573">
        <f>IFERROR((AV687-AR668)*10000,"")</f>
      </c>
      <c r="AW694" s="573">
        <f>IFERROR((AW687-AS668)*10000,"")</f>
      </c>
      <c r="AX694" s="573">
        <f>IFERROR((AX687-AU668)*10000,"")</f>
      </c>
      <c r="AY694" s="1038">
        <f t="shared" si="1208"/>
      </c>
      <c r="AZ694" s="573">
        <f>IFERROR((AZ687-AV668)*10000,"")</f>
      </c>
      <c r="BA694" s="573">
        <f>IFERROR((BA687-AW668)*10000,"")</f>
      </c>
      <c r="BB694" s="573">
        <f>IFERROR((BB687-AX668)*10000,"")</f>
      </c>
      <c r="BC694" s="573">
        <f>IFERROR((BC687-AZ668)*10000,"")</f>
      </c>
      <c r="BD694" s="1038">
        <f t="shared" si="1209"/>
      </c>
      <c r="BE694" s="573">
        <f>IFERROR((BE687-BA668)*10000,"")</f>
      </c>
      <c r="BF694" s="573">
        <f>IFERROR((BF687-BB668)*10000,"")</f>
      </c>
      <c r="BG694" s="573">
        <f>IFERROR((BG687-BC668)*10000,"")</f>
      </c>
      <c r="BH694" s="573">
        <f>IFERROR((BH687-BE668)*10000,"")</f>
      </c>
      <c r="BI694" s="1038">
        <f t="shared" si="1210"/>
      </c>
      <c r="BJ694" s="573">
        <f>IFERROR((BJ687-BF668)*10000,"")</f>
      </c>
      <c r="BK694" s="573">
        <f>IFERROR((BK687-BG668)*10000,"")</f>
      </c>
      <c r="BL694" s="573">
        <f>IFERROR((BL687-BH668)*10000,"")</f>
      </c>
      <c r="BM694" s="573">
        <f>IFERROR((BM687-BJ668)*10000,"")</f>
      </c>
      <c r="BN694" s="1038">
        <f t="shared" si="1211"/>
      </c>
      <c r="BO694" s="573">
        <f>IFERROR((BO687-BK668)*10000,"")</f>
      </c>
      <c r="BP694" s="573">
        <f>IFERROR((BP687-BL668)*10000,"")</f>
      </c>
      <c r="BQ694" s="573">
        <f>IFERROR((BQ687-BM668)*10000,"")</f>
      </c>
      <c r="BR694" s="573">
        <f>IFERROR((BR687-BO668)*10000,"")</f>
      </c>
      <c r="BS694" s="1038">
        <f t="shared" si="1212"/>
      </c>
      <c r="BT694" s="706">
        <f>IFERROR((BT687-BP668)*10000,"")</f>
      </c>
      <c r="BU694" s="573"/>
      <c r="BV694" s="573"/>
      <c r="BW694" s="573"/>
      <c r="BX694" s="1038"/>
      <c r="BY694" s="573"/>
      <c r="BZ694" s="573"/>
      <c r="CA694" s="573"/>
      <c r="CB694" s="573"/>
      <c r="CC694" s="1038"/>
      <c r="CD694" s="1038"/>
      <c r="CE694" s="1038"/>
      <c r="CF694" s="1038"/>
      <c r="CG694" s="757"/>
    </row>
    <row r="695" spans="1:85" s="587" customFormat="1" ht="15" hidden="1" customHeight="1" outlineLevel="2" x14ac:dyDescent="0.3">
      <c r="A695" s="558"/>
      <c r="B695" s="414"/>
      <c r="C695" s="962"/>
      <c r="D695" s="962"/>
      <c r="E695" s="962"/>
      <c r="F695" s="962"/>
      <c r="G695" s="757"/>
      <c r="H695" s="757"/>
      <c r="I695" s="757"/>
      <c r="J695" s="757"/>
      <c r="K695" s="962"/>
      <c r="L695" s="757"/>
      <c r="M695" s="757"/>
      <c r="N695" s="757"/>
      <c r="O695" s="757"/>
      <c r="P695" s="962"/>
      <c r="Q695" s="757"/>
      <c r="R695" s="757"/>
      <c r="S695" s="757"/>
      <c r="T695" s="757"/>
      <c r="U695" s="962"/>
      <c r="V695" s="757"/>
      <c r="W695" s="757"/>
      <c r="X695" s="757"/>
      <c r="Y695" s="757"/>
      <c r="Z695" s="962"/>
      <c r="AA695" s="757"/>
      <c r="AB695" s="757"/>
      <c r="AC695" s="757"/>
      <c r="AD695" s="757"/>
      <c r="AE695" s="962"/>
      <c r="AF695" s="757"/>
      <c r="AG695" s="757"/>
      <c r="AH695" s="757"/>
      <c r="AI695" s="757"/>
      <c r="AJ695" s="962"/>
      <c r="AK695" s="757"/>
      <c r="AL695" s="757"/>
      <c r="AM695" s="757"/>
      <c r="AN695" s="757"/>
      <c r="AO695" s="962"/>
      <c r="AP695" s="757"/>
      <c r="AQ695" s="757"/>
      <c r="AR695" s="757"/>
      <c r="AS695" s="757"/>
      <c r="AT695" s="962"/>
      <c r="AU695" s="757"/>
      <c r="AV695" s="757"/>
      <c r="AW695" s="757"/>
      <c r="AX695" s="757"/>
      <c r="AY695" s="962"/>
      <c r="AZ695" s="757"/>
      <c r="BA695" s="757"/>
      <c r="BB695" s="757"/>
      <c r="BC695" s="757"/>
      <c r="BD695" s="962"/>
      <c r="BE695" s="757"/>
      <c r="BF695" s="757"/>
      <c r="BG695" s="757"/>
      <c r="BH695" s="757"/>
      <c r="BI695" s="962"/>
      <c r="BJ695" s="757"/>
      <c r="BK695" s="757"/>
      <c r="BL695" s="757"/>
      <c r="BM695" s="757"/>
      <c r="BN695" s="962"/>
      <c r="BO695" s="757"/>
      <c r="BP695" s="757"/>
      <c r="BQ695" s="757"/>
      <c r="BR695" s="757"/>
      <c r="BS695" s="962"/>
      <c r="BT695" s="758"/>
      <c r="BU695" s="757"/>
      <c r="BV695" s="757"/>
      <c r="BW695" s="757"/>
      <c r="BX695" s="962"/>
      <c r="BY695" s="757"/>
      <c r="BZ695" s="757"/>
      <c r="CA695" s="757"/>
      <c r="CB695" s="757"/>
      <c r="CC695" s="962"/>
      <c r="CD695" s="962"/>
      <c r="CE695" s="962"/>
      <c r="CF695" s="962"/>
      <c r="CG695" s="757"/>
    </row>
    <row r="696" spans="1:85" s="587" customFormat="1" ht="15" hidden="1" customHeight="1" outlineLevel="2" x14ac:dyDescent="0.3">
      <c r="A696" s="69" t="s">
        <v>2287</v>
      </c>
      <c r="B696" s="770"/>
      <c r="C696" s="935"/>
      <c r="D696" s="935"/>
      <c r="E696" s="935"/>
      <c r="F696" s="935"/>
      <c r="G696" s="58"/>
      <c r="H696" s="58"/>
      <c r="I696" s="58"/>
      <c r="J696" s="58"/>
      <c r="K696" s="935"/>
      <c r="L696" s="58"/>
      <c r="M696" s="58"/>
      <c r="N696" s="58"/>
      <c r="O696" s="58"/>
      <c r="P696" s="935"/>
      <c r="Q696" s="58"/>
      <c r="R696" s="58"/>
      <c r="S696" s="58"/>
      <c r="T696" s="58"/>
      <c r="U696" s="935"/>
      <c r="V696" s="58"/>
      <c r="W696" s="58"/>
      <c r="X696" s="58"/>
      <c r="Y696" s="58"/>
      <c r="Z696" s="935"/>
      <c r="AA696" s="58"/>
      <c r="AB696" s="58"/>
      <c r="AC696" s="58"/>
      <c r="AD696" s="58"/>
      <c r="AE696" s="935"/>
      <c r="AF696" s="58" t="str">
        <f>IFERROR(IF(AJ647="","",AJ647/AE652-1),"")</f>
      </c>
      <c r="AG696" s="58" t="str">
        <f>IFERROR(IF(AJ648="","",AJ648/AE652-1),"")</f>
      </c>
      <c r="AH696" s="58" t="str">
        <f>IFERROR(IF(AJ649="","",AJ649/AE652-1),"")</f>
      </c>
      <c r="AI696" s="58" t="str">
        <f>IFERROR(IF(AJ650="","",AJ650/AE652-1),"")</f>
      </c>
      <c r="AJ696" s="935" t="str">
        <f>IFERROR(IF(AJ650="","",AJ650/AE652-1),"")</f>
      </c>
      <c r="AK696" s="58" t="str">
        <f>IFERROR(IF(AO647="","",AO647/AJ652-1),"")</f>
      </c>
      <c r="AL696" s="58" t="str">
        <f>IFERROR(IF(AO648="","",AO648/AJ652-1),"")</f>
      </c>
      <c r="AM696" s="58" t="str">
        <f>IFERROR(IF(AO649="","",AO649/AJ652-1),"")</f>
      </c>
      <c r="AN696" s="58" t="str">
        <f>IFERROR(IF(AO650="","",AO650/AJ652-1),"")</f>
      </c>
      <c r="AO696" s="935" t="str">
        <f>IFERROR(IF(AO650="","",AO650/AJ652-1),"")</f>
      </c>
      <c r="AP696" s="58" t="str">
        <f>IFERROR(IF(AT647="","",AT647/AO652-1),"")</f>
      </c>
      <c r="AQ696" s="58" t="str">
        <f>IFERROR(IF(AT648="","",AT648/AO652-1),"")</f>
      </c>
      <c r="AR696" s="58" t="str">
        <f>IFERROR(IF(AT649="","",AT649/AO652-1),"")</f>
      </c>
      <c r="AS696" s="58" t="str">
        <f>IFERROR(IF(AT650="","",AT650/AO652-1),"")</f>
      </c>
      <c r="AT696" s="935" t="str">
        <f>IFERROR(IF(AT650="","",AT650/AO652-1),"")</f>
      </c>
      <c r="AU696" s="58" t="str">
        <f>IFERROR(IF(AY647="","",AY647/AT652-1),"")</f>
      </c>
      <c r="AV696" s="58" t="str">
        <f>IFERROR(IF(AY648="","",AY648/AT652-1),"")</f>
      </c>
      <c r="AW696" s="58" t="str">
        <f>IFERROR(IF(AY649="","",AY649/AT652-1),"")</f>
      </c>
      <c r="AX696" s="58" t="str">
        <f>IFERROR(IF(AY650="","",AY650/AT652-1),"")</f>
      </c>
      <c r="AY696" s="935" t="str">
        <f>IFERROR(IF(AY650="","",AY650/AT652-1),"")</f>
      </c>
      <c r="AZ696" s="58" t="str">
        <f>IFERROR(IF(BD647="","",BD647/AY652-1),"")</f>
      </c>
      <c r="BA696" s="58" t="str">
        <f>IFERROR(IF(BD648="","",BD648/AY652-1),"")</f>
      </c>
      <c r="BB696" s="58" t="str">
        <f>IFERROR(IF(BD649="","",BD649/AY652-1),"")</f>
      </c>
      <c r="BC696" s="58" t="str">
        <f>IFERROR(IF(BD650="","",BD650/AY652-1),"")</f>
      </c>
      <c r="BD696" s="935" t="str">
        <f>IFERROR(IF(BD650="","",BD650/AY652-1),"")</f>
      </c>
      <c r="BE696" s="58" t="str">
        <f>IFERROR(IF(BI647="","",BI647/BD652-1),"")</f>
      </c>
      <c r="BF696" s="58" t="str">
        <f>IFERROR(IF(BI648="","",BI648/BD652-1),"")</f>
      </c>
      <c r="BG696" s="58" t="str">
        <f>IFERROR(IF(BI649="","",BI649/BD652-1),"")</f>
      </c>
      <c r="BH696" s="58" t="str">
        <f>IFERROR(IF(BI650="","",BI650/BD652-1),"")</f>
      </c>
      <c r="BI696" s="935" t="str">
        <f>IFERROR(IF(BI650="","",BI650/BD652-1),"")</f>
      </c>
      <c r="BJ696" s="58" t="str">
        <f>IFERROR(IF(BN647="","",BN647/BI652-1),"")</f>
      </c>
      <c r="BK696" s="58" t="str">
        <f>IFERROR(IF(BN648="","",BN648/BI652-1),"")</f>
      </c>
      <c r="BL696" s="58" t="str">
        <f>IFERROR(IF(BN649="","",BN649/BI652-1),"")</f>
      </c>
      <c r="BM696" s="58" t="str">
        <f>IFERROR(IF(BN650="","",BN650/BI652-1),"")</f>
      </c>
      <c r="BN696" s="935" t="str">
        <f>IFERROR(IF(BN650="","",BN650/BI652-1),"")</f>
      </c>
      <c r="BO696" s="58" t="str">
        <f>IFERROR(IF(BS647="","",BS647/BN652-1),"")</f>
      </c>
      <c r="BP696" s="58" t="str">
        <f>IFERROR(IF(BS648="","",BS648/BN652-1),"")</f>
      </c>
      <c r="BQ696" s="58" t="str">
        <f>IFERROR(IF(BS649="","",BS649/BN652-1),"")</f>
      </c>
      <c r="BR696" s="58" t="str">
        <f>IFERROR(IF(BS650="","",BS650/BN652-1),"")</f>
      </c>
      <c r="BS696" s="935" t="str">
        <f>IFERROR(IF(BS650="","",BS650/BN652-1),"")</f>
      </c>
      <c r="BT696" s="669" t="str">
        <f>IFERROR(IF(BX647="","",BX647/BS652-1),"")</f>
      </c>
      <c r="BU696" s="58" t="str">
        <f>IFERROR(IF(BX648="","",BX648/BS652-1),"")</f>
      </c>
      <c r="BV696" s="58" t="str">
        <f>IFERROR(IF(BX649="","",BX649/BS652-1),"")</f>
      </c>
      <c r="BW696" s="58" t="str">
        <f>IFERROR(IF(BX650="","",BX650/BS652-1),"")</f>
      </c>
      <c r="BX696" s="935" t="str">
        <f>IFERROR(IF(BX650="","",BX650/BS652-1),"")</f>
      </c>
      <c r="BY696" s="58" t="str">
        <f>IFERROR(IF(CC647="","",CC647/BX652-1),"")</f>
      </c>
      <c r="BZ696" s="58" t="str">
        <f>IFERROR(IF(CC648="","",CC648/BX652-1),"")</f>
      </c>
      <c r="CA696" s="58" t="str">
        <f>IFERROR(IF(CC649="","",CC649/BX652-1),"")</f>
      </c>
      <c r="CB696" s="58" t="str">
        <f>IFERROR(IF(CC650="","",CC650/BX652-1),"")</f>
      </c>
      <c r="CC696" s="935" t="str">
        <f>IFERROR(IF(CC650="","",CC650/BX652-1),"")</f>
      </c>
      <c r="CD696" s="935"/>
      <c r="CE696" s="935"/>
      <c r="CF696" s="935"/>
      <c r="CG696" s="757"/>
    </row>
    <row r="697" spans="1:85" s="587" customFormat="1" ht="15" hidden="1" customHeight="1" outlineLevel="2" x14ac:dyDescent="0.3">
      <c r="A697" s="365" t="s">
        <v>2288</v>
      </c>
      <c r="B697" s="563"/>
      <c r="C697" s="988"/>
      <c r="D697" s="988"/>
      <c r="E697" s="988"/>
      <c r="F697" s="988"/>
      <c r="G697" s="369"/>
      <c r="H697" s="369"/>
      <c r="I697" s="369"/>
      <c r="J697" s="369"/>
      <c r="K697" s="988"/>
      <c r="L697" s="369"/>
      <c r="M697" s="369"/>
      <c r="N697" s="369"/>
      <c r="O697" s="369"/>
      <c r="P697" s="988"/>
      <c r="Q697" s="369"/>
      <c r="R697" s="369"/>
      <c r="S697" s="369"/>
      <c r="T697" s="369"/>
      <c r="U697" s="988"/>
      <c r="V697" s="369"/>
      <c r="W697" s="369"/>
      <c r="X697" s="369"/>
      <c r="Y697" s="369"/>
      <c r="Z697" s="988"/>
      <c r="AA697" s="369"/>
      <c r="AB697" s="369"/>
      <c r="AC697" s="369"/>
      <c r="AD697" s="369"/>
      <c r="AE697" s="988"/>
      <c r="AF697" s="369" t="str">
        <f>IFERROR(IF(AJ647="","",(AJ652-AJ647)/AE652),"")</f>
      </c>
      <c r="AG697" s="369" t="str">
        <f>IFERROR(IF(AJ648="","",(AJ652-AJ648)/AE652),"")</f>
      </c>
      <c r="AH697" s="369" t="str">
        <f>IFERROR(IF(AJ649="","",(AJ652-AJ649)/AE652),"")</f>
      </c>
      <c r="AI697" s="369" t="str">
        <f>IFERROR(IF(AJ650="","",(AJ652-AJ650)/AE652),"")</f>
      </c>
      <c r="AJ697" s="988" t="str">
        <f>IFERROR(IF(AJ650="","",(AJ652-AJ650)/AE652),"")</f>
      </c>
      <c r="AK697" s="369" t="str">
        <f>IFERROR(IF(AO647="","",(AO652-AO647)/AJ652),"")</f>
      </c>
      <c r="AL697" s="369" t="str">
        <f>IFERROR(IF(AO648="","",(AO652-AO648)/AJ652),"")</f>
      </c>
      <c r="AM697" s="369" t="str">
        <f>IFERROR(IF(AO649="","",(AO652-AO649)/AJ652),"")</f>
      </c>
      <c r="AN697" s="369" t="str">
        <f>IFERROR(IF(AO650="","",(AO652-AO650)/AJ652),"")</f>
      </c>
      <c r="AO697" s="988" t="str">
        <f>IFERROR(IF(AO650="","",(AO652-AO650)/AJ652),"")</f>
      </c>
      <c r="AP697" s="369" t="str">
        <f>IFERROR(IF(AT647="","",(AT652-AT647)/AO652),"")</f>
      </c>
      <c r="AQ697" s="369" t="str">
        <f>IFERROR(IF(AT648="","",(AT652-AT648)/AO652),"")</f>
      </c>
      <c r="AR697" s="369" t="str">
        <f>IFERROR(IF(AT649="","",(AT652-AT649)/AO652),"")</f>
      </c>
      <c r="AS697" s="369" t="str">
        <f>IFERROR(IF(AT650="","",(AT652-AT650)/AO652),"")</f>
      </c>
      <c r="AT697" s="988" t="str">
        <f>IFERROR(IF(AT650="","",(AT652-AT650)/AO652),"")</f>
      </c>
      <c r="AU697" s="369" t="str">
        <f>IFERROR(IF(AY647="","",(AY652-AY647)/AT652),"")</f>
      </c>
      <c r="AV697" s="369" t="str">
        <f>IFERROR(IF(AY648="","",(AY652-AY648)/AT652),"")</f>
      </c>
      <c r="AW697" s="369" t="str">
        <f>IFERROR(IF(AY649="","",(AY652-AY649)/AT652),"")</f>
      </c>
      <c r="AX697" s="369" t="str">
        <f>IFERROR(IF(AY650="","",(AY652-AY650)/AT652),"")</f>
      </c>
      <c r="AY697" s="988" t="str">
        <f>IFERROR(IF(AY650="","",(AY652-AY650)/AT652),"")</f>
      </c>
      <c r="AZ697" s="369" t="str">
        <f>IFERROR(IF(BD647="","",(BD652-BD647)/AY652),"")</f>
      </c>
      <c r="BA697" s="369" t="str">
        <f>IFERROR(IF(BD648="","",(BD652-BD648)/AY652),"")</f>
      </c>
      <c r="BB697" s="369" t="str">
        <f>IFERROR(IF(BD649="","",(BD652-BD649)/AY652),"")</f>
      </c>
      <c r="BC697" s="369" t="str">
        <f>IFERROR(IF(BD650="","",(BD652-BD650)/AY652),"")</f>
      </c>
      <c r="BD697" s="988" t="str">
        <f>IFERROR(IF(BD650="","",(BD652-BD650)/AY652),"")</f>
      </c>
      <c r="BE697" s="369" t="str">
        <f>IFERROR(IF(BI647="","",(BI652-BI647)/BD652),"")</f>
      </c>
      <c r="BF697" s="369" t="str">
        <f>IFERROR(IF(BI648="","",(BI652-BI648)/BD652),"")</f>
      </c>
      <c r="BG697" s="369" t="str">
        <f>IFERROR(IF(BI649="","",(BI652-BI649)/BD652),"")</f>
      </c>
      <c r="BH697" s="369" t="str">
        <f>IFERROR(IF(BI650="","",(BI652-BI650)/BD652),"")</f>
      </c>
      <c r="BI697" s="988" t="str">
        <f>IFERROR(IF(BI650="","",(BI652-BI650)/BD652),"")</f>
      </c>
      <c r="BJ697" s="369" t="str">
        <f>IFERROR(IF(BN647="","",(BN652-BN647)/BI652),"")</f>
      </c>
      <c r="BK697" s="369" t="str">
        <f>IFERROR(IF(BN648="","",(BN652-BN648)/BI652),"")</f>
      </c>
      <c r="BL697" s="369" t="str">
        <f>IFERROR(IF(BN649="","",(BN652-BN649)/BI652),"")</f>
      </c>
      <c r="BM697" s="369" t="str">
        <f>IFERROR(IF(BN650="","",(BN652-BN650)/BI652),"")</f>
      </c>
      <c r="BN697" s="988" t="str">
        <f>IFERROR(IF(BN650="","",(BN652-BN650)/BI652),"")</f>
      </c>
      <c r="BO697" s="369" t="str">
        <f>IFERROR(IF(BS647="","",(BS652-BS647)/BN652),"")</f>
      </c>
      <c r="BP697" s="369" t="str">
        <f>IFERROR(IF(BS648="","",(BS652-BS648)/BN652),"")</f>
      </c>
      <c r="BQ697" s="369" t="str">
        <f>IFERROR(IF(BS649="","",(BS652-BS649)/BN652),"")</f>
      </c>
      <c r="BR697" s="369" t="str">
        <f>IFERROR(IF(BS650="","",(BS652-BS650)/BN652),"")</f>
      </c>
      <c r="BS697" s="988" t="str">
        <f>IFERROR(IF(BS650="","",(BS652-BS650)/BN652),"")</f>
      </c>
      <c r="BT697" s="686" t="str">
        <f>IFERROR(IF(BX647="","",(BX652-BX647)/BS652),"")</f>
      </c>
      <c r="BU697" s="369" t="str">
        <f>IFERROR(IF(BX648="","",(BX652-BX648)/BS652),"")</f>
      </c>
      <c r="BV697" s="369" t="str">
        <f>IFERROR(IF(BX649="","",(BX652-BX649)/BS652),"")</f>
      </c>
      <c r="BW697" s="369" t="str">
        <f>IFERROR(IF(BX650="","",(BX652-BX650)/BS652),"")</f>
      </c>
      <c r="BX697" s="988" t="str">
        <f>IFERROR(IF(BX650="","",(BX652-BX650)/BS652),"")</f>
      </c>
      <c r="BY697" s="369" t="str">
        <f>IFERROR(IF(CC647="","",(CC652-CC647)/BX652),"")</f>
      </c>
      <c r="BZ697" s="369" t="str">
        <f>IFERROR(IF(CC648="","",(CC652-CC648)/BX652),"")</f>
      </c>
      <c r="CA697" s="369" t="str">
        <f>IFERROR(IF(CC649="","",(CC652-CC649)/BX652),"")</f>
      </c>
      <c r="CB697" s="369" t="str">
        <f>IFERROR(IF(CC650="","",(CC652-CC650)/BX652),"")</f>
      </c>
      <c r="CC697" s="988" t="str">
        <f>IFERROR(IF(CC650="","",(CC652-CC650)/BX652),"")</f>
      </c>
      <c r="CD697" s="988"/>
      <c r="CE697" s="988"/>
      <c r="CF697" s="988"/>
      <c r="CG697" s="757"/>
    </row>
    <row r="698" spans="1:85" s="587" customFormat="1" ht="15" hidden="1" customHeight="1" outlineLevel="2" x14ac:dyDescent="0.3">
      <c r="A698" s="566" t="s">
        <v>2289</v>
      </c>
      <c r="B698" s="564"/>
      <c r="C698" s="1034"/>
      <c r="D698" s="1034">
        <f>D652/C652-1</f>
      </c>
      <c r="E698" s="1034">
        <f>E652/D652-1</f>
      </c>
      <c r="F698" s="1034">
        <f>F652/E652-1</f>
      </c>
      <c r="G698" s="565">
        <f>K652/F652-1</f>
      </c>
      <c r="H698" s="565">
        <f>K652/F652-1</f>
      </c>
      <c r="I698" s="565">
        <f>K652/F652-1</f>
      </c>
      <c r="J698" s="565">
        <f>K652/F652-1</f>
      </c>
      <c r="K698" s="1034">
        <f>K652/F652-1</f>
      </c>
      <c r="L698" s="565">
        <f>P652/K652-1</f>
      </c>
      <c r="M698" s="565">
        <f>P652/K652-1</f>
      </c>
      <c r="N698" s="565">
        <f>P652/K652-1</f>
      </c>
      <c r="O698" s="565">
        <f>P652/K652-1</f>
      </c>
      <c r="P698" s="1034">
        <f>P652/K652-1</f>
      </c>
      <c r="Q698" s="565">
        <f>U652/P652-1</f>
      </c>
      <c r="R698" s="565">
        <f>U652/P652-1</f>
      </c>
      <c r="S698" s="565">
        <f>U652/P652-1</f>
      </c>
      <c r="T698" s="565">
        <f>U652/P652-1</f>
      </c>
      <c r="U698" s="1034">
        <f>U652/P652-1</f>
      </c>
      <c r="V698" s="565">
        <f>Z652/U652-1</f>
      </c>
      <c r="W698" s="565">
        <f>Z652/U652-1</f>
      </c>
      <c r="X698" s="565">
        <f>Z652/U652-1</f>
      </c>
      <c r="Y698" s="565">
        <f>Z652/U652-1</f>
      </c>
      <c r="Z698" s="1034">
        <f>Z652/U652-1</f>
      </c>
      <c r="AA698" s="565">
        <f>AE652/Z652-1</f>
      </c>
      <c r="AB698" s="565">
        <f>AE652/Z652-1</f>
      </c>
      <c r="AC698" s="565">
        <f>AE652/Z652-1</f>
      </c>
      <c r="AD698" s="565">
        <f>AE652/Z652-1</f>
      </c>
      <c r="AE698" s="1034">
        <f>AE652/Z652-1</f>
      </c>
      <c r="AF698" s="565">
        <f>AJ652/AE652-1</f>
      </c>
      <c r="AG698" s="565">
        <f>AJ652/AE652-1</f>
      </c>
      <c r="AH698" s="565">
        <f>AJ652/AE652-1</f>
      </c>
      <c r="AI698" s="565">
        <f>AJ652/AE652-1</f>
      </c>
      <c r="AJ698" s="1034">
        <f>AJ652/AE652-1</f>
      </c>
      <c r="AK698" s="565">
        <f>AO652/AJ652-1</f>
      </c>
      <c r="AL698" s="565">
        <f>AO652/AJ652-1</f>
      </c>
      <c r="AM698" s="565">
        <f>AO652/AJ652-1</f>
      </c>
      <c r="AN698" s="565">
        <f>AO652/AJ652-1</f>
      </c>
      <c r="AO698" s="1034">
        <f>AO652/AJ652-1</f>
      </c>
      <c r="AP698" s="565">
        <f>AT652/AO652-1</f>
      </c>
      <c r="AQ698" s="565">
        <f>AT652/AO652-1</f>
      </c>
      <c r="AR698" s="565">
        <f>AT652/AO652-1</f>
      </c>
      <c r="AS698" s="565">
        <f>AT652/AO652-1</f>
      </c>
      <c r="AT698" s="1034">
        <f>AT652/AO652-1</f>
      </c>
      <c r="AU698" s="565">
        <f>AY652/AT652-1</f>
      </c>
      <c r="AV698" s="565">
        <f>AY652/AT652-1</f>
      </c>
      <c r="AW698" s="565">
        <f>AY652/AT652-1</f>
      </c>
      <c r="AX698" s="565">
        <f>AY652/AT652-1</f>
      </c>
      <c r="AY698" s="1034">
        <f>AY652/AT652-1</f>
      </c>
      <c r="AZ698" s="565">
        <f>BD652/AY652-1</f>
      </c>
      <c r="BA698" s="565">
        <f>BD652/AY652-1</f>
      </c>
      <c r="BB698" s="565">
        <f>BD652/AY652-1</f>
      </c>
      <c r="BC698" s="565">
        <f>BD652/AY652-1</f>
      </c>
      <c r="BD698" s="1034">
        <f>BD652/AY652-1</f>
      </c>
      <c r="BE698" s="565">
        <f>BI652/BD652-1</f>
      </c>
      <c r="BF698" s="565">
        <f>BI652/BD652-1</f>
      </c>
      <c r="BG698" s="565">
        <f>BI652/BD652-1</f>
      </c>
      <c r="BH698" s="565">
        <f>BI652/BD652-1</f>
      </c>
      <c r="BI698" s="1034">
        <f>BI652/BD652-1</f>
      </c>
      <c r="BJ698" s="565">
        <f>BN652/BI652-1</f>
      </c>
      <c r="BK698" s="565">
        <f>BN652/BI652-1</f>
      </c>
      <c r="BL698" s="565">
        <f>BN652/BI652-1</f>
      </c>
      <c r="BM698" s="565">
        <f>BN652/BI652-1</f>
      </c>
      <c r="BN698" s="1034">
        <f>BN652/BI652-1</f>
      </c>
      <c r="BO698" s="565">
        <f>BS652/BN652-1</f>
      </c>
      <c r="BP698" s="565">
        <f>BS652/BN652-1</f>
      </c>
      <c r="BQ698" s="565">
        <f>BS652/BN652-1</f>
      </c>
      <c r="BR698" s="565">
        <f>BS652/BN652-1</f>
      </c>
      <c r="BS698" s="1034">
        <f>BS652/BN652-1</f>
      </c>
      <c r="BT698" s="702">
        <f>BX652/BS652-1</f>
      </c>
      <c r="BU698" s="565">
        <f>BX652/BS652-1</f>
      </c>
      <c r="BV698" s="565">
        <f>BX652/BS652-1</f>
      </c>
      <c r="BW698" s="565">
        <f>BX652/BS652-1</f>
      </c>
      <c r="BX698" s="1034">
        <f>BX652/BS652-1</f>
      </c>
      <c r="BY698" s="565">
        <f>CC652/BX652-1</f>
      </c>
      <c r="BZ698" s="565">
        <f>CC652/BX652-1</f>
      </c>
      <c r="CA698" s="565">
        <f>CC652/BX652-1</f>
      </c>
      <c r="CB698" s="565">
        <f>CC652/BX652-1</f>
      </c>
      <c r="CC698" s="1034">
        <f>CC652/BX652-1</f>
      </c>
      <c r="CD698" s="1034">
        <f>CD652/CC652-1</f>
      </c>
      <c r="CE698" s="1034">
        <f>CE652/CD652-1</f>
      </c>
      <c r="CF698" s="1034">
        <f>CF652/CE652-1</f>
      </c>
      <c r="CG698" s="757"/>
    </row>
    <row r="699" spans="1:85" s="587" customFormat="1" ht="15" hidden="1" customHeight="1" outlineLevel="2" x14ac:dyDescent="0.3">
      <c r="A699" s="558"/>
      <c r="B699" s="414"/>
      <c r="C699" s="962"/>
      <c r="D699" s="962"/>
      <c r="E699" s="962"/>
      <c r="F699" s="962"/>
      <c r="G699" s="757"/>
      <c r="H699" s="757"/>
      <c r="I699" s="757"/>
      <c r="J699" s="757"/>
      <c r="K699" s="962"/>
      <c r="L699" s="757"/>
      <c r="M699" s="757"/>
      <c r="N699" s="757"/>
      <c r="O699" s="757"/>
      <c r="P699" s="962"/>
      <c r="Q699" s="757"/>
      <c r="R699" s="757"/>
      <c r="S699" s="757"/>
      <c r="T699" s="757"/>
      <c r="U699" s="962"/>
      <c r="V699" s="757"/>
      <c r="W699" s="757"/>
      <c r="X699" s="757"/>
      <c r="Y699" s="757"/>
      <c r="Z699" s="962"/>
      <c r="AA699" s="757"/>
      <c r="AB699" s="757"/>
      <c r="AC699" s="757"/>
      <c r="AD699" s="757"/>
      <c r="AE699" s="962"/>
      <c r="AF699" s="757"/>
      <c r="AG699" s="757"/>
      <c r="AH699" s="757"/>
      <c r="AI699" s="757"/>
      <c r="AJ699" s="962"/>
      <c r="AK699" s="757"/>
      <c r="AL699" s="757"/>
      <c r="AM699" s="757"/>
      <c r="AN699" s="757"/>
      <c r="AO699" s="962"/>
      <c r="AP699" s="757"/>
      <c r="AQ699" s="757"/>
      <c r="AR699" s="757"/>
      <c r="AS699" s="757"/>
      <c r="AT699" s="962"/>
      <c r="AU699" s="757"/>
      <c r="AV699" s="757"/>
      <c r="AW699" s="757"/>
      <c r="AX699" s="757"/>
      <c r="AY699" s="962"/>
      <c r="AZ699" s="757"/>
      <c r="BA699" s="757"/>
      <c r="BB699" s="757"/>
      <c r="BC699" s="757"/>
      <c r="BD699" s="962"/>
      <c r="BE699" s="757"/>
      <c r="BF699" s="757"/>
      <c r="BG699" s="757"/>
      <c r="BH699" s="757"/>
      <c r="BI699" s="962"/>
      <c r="BJ699" s="757"/>
      <c r="BK699" s="757"/>
      <c r="BL699" s="757"/>
      <c r="BM699" s="757"/>
      <c r="BN699" s="962"/>
      <c r="BO699" s="757"/>
      <c r="BP699" s="757"/>
      <c r="BQ699" s="757"/>
      <c r="BR699" s="757"/>
      <c r="BS699" s="962"/>
      <c r="BT699" s="758"/>
      <c r="BU699" s="757"/>
      <c r="BV699" s="757"/>
      <c r="BW699" s="757"/>
      <c r="BX699" s="962"/>
      <c r="BY699" s="757"/>
      <c r="BZ699" s="757"/>
      <c r="CA699" s="757"/>
      <c r="CB699" s="757"/>
      <c r="CC699" s="962"/>
      <c r="CD699" s="962"/>
      <c r="CE699" s="962"/>
      <c r="CF699" s="962"/>
      <c r="CG699" s="757"/>
    </row>
    <row r="700" spans="1:85" s="587" customFormat="1" ht="15" hidden="1" customHeight="1" outlineLevel="2" x14ac:dyDescent="0.3">
      <c r="A700" s="562" t="s">
        <v>2281</v>
      </c>
      <c r="B700" s="560"/>
      <c r="C700" s="1036"/>
      <c r="D700" s="1036"/>
      <c r="E700" s="1036"/>
      <c r="F700" s="1036"/>
      <c r="G700" s="561"/>
      <c r="H700" s="561"/>
      <c r="I700" s="561"/>
      <c r="J700" s="561"/>
      <c r="K700" s="1036"/>
      <c r="L700" s="561"/>
      <c r="M700" s="561"/>
      <c r="N700" s="561"/>
      <c r="O700" s="561"/>
      <c r="P700" s="1036"/>
      <c r="Q700" s="561"/>
      <c r="R700" s="561"/>
      <c r="S700" s="561"/>
      <c r="T700" s="561"/>
      <c r="U700" s="1036"/>
      <c r="V700" s="561"/>
      <c r="W700" s="561"/>
      <c r="X700" s="561"/>
      <c r="Y700" s="561"/>
      <c r="Z700" s="1036"/>
      <c r="AA700" s="561"/>
      <c r="AB700" s="561"/>
      <c r="AC700" s="561"/>
      <c r="AD700" s="561" t="str">
        <f>AJ5</f>
      </c>
      <c r="AE700" s="1036" t="str">
        <f>AJ5</f>
      </c>
      <c r="AF700" s="561" t="str">
        <f>AJ5</f>
      </c>
      <c r="AG700" s="561" t="str">
        <f>AJ5</f>
      </c>
      <c r="AH700" s="561" t="str">
        <f>AJ5</f>
      </c>
      <c r="AI700" s="561" t="str">
        <f>AO5</f>
      </c>
      <c r="AJ700" s="1036" t="str">
        <f>AO5</f>
      </c>
      <c r="AK700" s="561" t="str">
        <f>AO5</f>
      </c>
      <c r="AL700" s="561" t="str">
        <f>AO5</f>
      </c>
      <c r="AM700" s="561" t="str">
        <f>AO5</f>
      </c>
      <c r="AN700" s="561" t="str">
        <f>AT5</f>
      </c>
      <c r="AO700" s="1036" t="str">
        <f>AT5</f>
      </c>
      <c r="AP700" s="561" t="str">
        <f>AT5</f>
      </c>
      <c r="AQ700" s="561" t="str">
        <f>AT5</f>
      </c>
      <c r="AR700" s="561" t="str">
        <f>AT5</f>
      </c>
      <c r="AS700" s="561" t="str">
        <f>AY5</f>
      </c>
      <c r="AT700" s="1036" t="str">
        <f>AY5</f>
      </c>
      <c r="AU700" s="561" t="str">
        <f>AY5</f>
      </c>
      <c r="AV700" s="561" t="str">
        <f>AY5</f>
      </c>
      <c r="AW700" s="561" t="str">
        <f>AY5</f>
      </c>
      <c r="AX700" s="561" t="str">
        <f>BD5</f>
      </c>
      <c r="AY700" s="1036" t="str">
        <f>BD5</f>
      </c>
      <c r="AZ700" s="561" t="str">
        <f>BD5</f>
      </c>
      <c r="BA700" s="561" t="str">
        <f>BD5</f>
      </c>
      <c r="BB700" s="561" t="str">
        <f>BD5</f>
      </c>
      <c r="BC700" s="561" t="str">
        <f>BI5</f>
      </c>
      <c r="BD700" s="1036" t="str">
        <f>BI5</f>
      </c>
      <c r="BE700" s="561" t="str">
        <f>BI5</f>
      </c>
      <c r="BF700" s="561" t="str">
        <f>BI5</f>
      </c>
      <c r="BG700" s="561" t="str">
        <f>BI5</f>
      </c>
      <c r="BH700" s="561" t="str">
        <f>BN5</f>
      </c>
      <c r="BI700" s="1036" t="str">
        <f>BN5</f>
      </c>
      <c r="BJ700" s="561" t="str">
        <f>BN5</f>
      </c>
      <c r="BK700" s="561" t="str">
        <f>BN5</f>
      </c>
      <c r="BL700" s="561" t="str">
        <f>BN5</f>
      </c>
      <c r="BM700" s="561" t="str">
        <f>BS5</f>
      </c>
      <c r="BN700" s="1036" t="str">
        <f>BS5</f>
      </c>
      <c r="BO700" s="561" t="str">
        <f>BS5</f>
      </c>
      <c r="BP700" s="561" t="str">
        <f>BS5</f>
      </c>
      <c r="BQ700" s="561" t="str">
        <f>BS5</f>
      </c>
      <c r="BR700" s="561" t="str">
        <f>BX5</f>
      </c>
      <c r="BS700" s="1036" t="str">
        <f>BX5</f>
      </c>
      <c r="BT700" s="704" t="str">
        <f>BX5</f>
      </c>
      <c r="BU700" s="561"/>
      <c r="BV700" s="561"/>
      <c r="BW700" s="561"/>
      <c r="BX700" s="1036"/>
      <c r="BY700" s="561"/>
      <c r="BZ700" s="561"/>
      <c r="CA700" s="561"/>
      <c r="CB700" s="561"/>
      <c r="CC700" s="1036"/>
      <c r="CD700" s="1036"/>
      <c r="CE700" s="1036"/>
      <c r="CF700" s="1036"/>
      <c r="CG700" s="757"/>
    </row>
    <row r="701" spans="1:85" s="587" customFormat="1" ht="15" hidden="1" customHeight="1" outlineLevel="3" x14ac:dyDescent="0.3">
      <c r="A701" s="436" t="s">
        <v>2282</v>
      </c>
      <c r="B701" s="414"/>
      <c r="C701" s="962"/>
      <c r="D701" s="962"/>
      <c r="E701" s="962"/>
      <c r="F701" s="962"/>
      <c r="G701" s="757"/>
      <c r="H701" s="757"/>
      <c r="I701" s="757"/>
      <c r="J701" s="757"/>
      <c r="K701" s="962"/>
      <c r="L701" s="757"/>
      <c r="M701" s="757"/>
      <c r="N701" s="757"/>
      <c r="O701" s="757"/>
      <c r="P701" s="962"/>
      <c r="Q701" s="757"/>
      <c r="R701" s="757"/>
      <c r="S701" s="757"/>
      <c r="T701" s="757"/>
      <c r="U701" s="962"/>
      <c r="V701" s="757"/>
      <c r="W701" s="757"/>
      <c r="X701" s="757"/>
      <c r="Y701" s="757"/>
      <c r="Z701" s="962"/>
      <c r="AA701" s="757"/>
      <c r="AB701" s="757"/>
      <c r="AC701" s="757"/>
      <c r="AD701" s="757" t="str">
        <f t="shared" ref="AD701:BN701" si="1213">AD1346</f>
      </c>
      <c r="AE701" s="962" t="str">
        <f t="shared" si="1213"/>
      </c>
      <c r="AF701" s="757" t="str">
        <f t="shared" si="1213"/>
      </c>
      <c r="AG701" s="757" t="str">
        <f t="shared" si="1213"/>
      </c>
      <c r="AH701" s="757" t="str">
        <f t="shared" si="1213"/>
      </c>
      <c r="AI701" s="757" t="str">
        <f t="shared" si="1213"/>
      </c>
      <c r="AJ701" s="962" t="str">
        <f t="shared" si="1213"/>
      </c>
      <c r="AK701" s="757" t="str">
        <f t="shared" si="1213"/>
      </c>
      <c r="AL701" s="757" t="str">
        <f t="shared" si="1213"/>
      </c>
      <c r="AM701" s="757" t="str">
        <f t="shared" si="1213"/>
      </c>
      <c r="AN701" s="757" t="str">
        <f t="shared" si="1213"/>
      </c>
      <c r="AO701" s="962" t="str">
        <f t="shared" si="1213"/>
      </c>
      <c r="AP701" s="757" t="str">
        <f t="shared" si="1213"/>
      </c>
      <c r="AQ701" s="757" t="str">
        <f t="shared" si="1213"/>
      </c>
      <c r="AR701" s="757" t="str">
        <f t="shared" si="1213"/>
      </c>
      <c r="AS701" s="757" t="str">
        <f t="shared" si="1213"/>
      </c>
      <c r="AT701" s="962" t="str">
        <f t="shared" si="1213"/>
      </c>
      <c r="AU701" s="757" t="str">
        <f t="shared" si="1213"/>
      </c>
      <c r="AV701" s="757" t="str">
        <f t="shared" si="1213"/>
      </c>
      <c r="AW701" s="757" t="str">
        <f t="shared" si="1213"/>
      </c>
      <c r="AX701" s="757" t="str">
        <f t="shared" si="1213"/>
      </c>
      <c r="AY701" s="962" t="str">
        <f t="shared" si="1213"/>
      </c>
      <c r="AZ701" s="757" t="str">
        <f t="shared" si="1213"/>
      </c>
      <c r="BA701" s="757" t="str">
        <f t="shared" si="1213"/>
      </c>
      <c r="BB701" s="757" t="str">
        <f t="shared" si="1213"/>
      </c>
      <c r="BC701" s="757" t="str">
        <f t="shared" si="1213"/>
      </c>
      <c r="BD701" s="962" t="str">
        <f t="shared" si="1213"/>
      </c>
      <c r="BE701" s="757" t="str">
        <f t="shared" si="1213"/>
      </c>
      <c r="BF701" s="757" t="str">
        <f t="shared" si="1213"/>
      </c>
      <c r="BG701" s="757" t="str">
        <f t="shared" si="1213"/>
      </c>
      <c r="BH701" s="757" t="str">
        <f t="shared" si="1213"/>
      </c>
      <c r="BI701" s="962" t="str">
        <f t="shared" si="1213"/>
      </c>
      <c r="BJ701" s="757" t="str">
        <f t="shared" si="1213"/>
      </c>
      <c r="BK701" s="757" t="str">
        <f t="shared" si="1213"/>
      </c>
      <c r="BL701" s="757" t="str">
        <f t="shared" si="1213"/>
      </c>
      <c r="BM701" s="757" t="str">
        <f t="shared" si="1213"/>
      </c>
      <c r="BN701" s="962" t="str">
        <f t="shared" si="1213"/>
      </c>
      <c r="BO701" s="757" t="str">
        <f t="shared" ref="BO701:BO702" si="1214">BO1346</f>
      </c>
      <c r="BP701" s="757" t="str">
        <f t="shared" ref="BP701:BS702" si="1215">BP1346</f>
      </c>
      <c r="BQ701" s="757" t="str">
        <f t="shared" si="1215"/>
      </c>
      <c r="BR701" s="757" t="str">
        <f t="shared" si="1215"/>
      </c>
      <c r="BS701" s="962" t="str">
        <f t="shared" si="1215"/>
      </c>
      <c r="BT701" s="758" t="str">
        <f>BT1346</f>
      </c>
      <c r="BU701" s="757"/>
      <c r="BV701" s="757"/>
      <c r="BW701" s="757"/>
      <c r="BX701" s="962"/>
      <c r="BY701" s="757"/>
      <c r="BZ701" s="757"/>
      <c r="CA701" s="757"/>
      <c r="CB701" s="757"/>
      <c r="CC701" s="962"/>
      <c r="CD701" s="962"/>
      <c r="CE701" s="962"/>
      <c r="CF701" s="962"/>
      <c r="CG701" s="757"/>
    </row>
    <row r="702" spans="1:85" s="587" customFormat="1" ht="15" hidden="1" customHeight="1" outlineLevel="3" x14ac:dyDescent="0.3">
      <c r="A702" s="554" t="s">
        <v>2283</v>
      </c>
      <c r="B702" s="416"/>
      <c r="C702" s="984"/>
      <c r="D702" s="984"/>
      <c r="E702" s="984"/>
      <c r="F702" s="984"/>
      <c r="G702" s="761"/>
      <c r="H702" s="761"/>
      <c r="I702" s="761"/>
      <c r="J702" s="761"/>
      <c r="K702" s="984"/>
      <c r="L702" s="761"/>
      <c r="M702" s="761"/>
      <c r="N702" s="761"/>
      <c r="O702" s="761"/>
      <c r="P702" s="984"/>
      <c r="Q702" s="761"/>
      <c r="R702" s="761"/>
      <c r="S702" s="761"/>
      <c r="T702" s="761"/>
      <c r="U702" s="984"/>
      <c r="V702" s="761"/>
      <c r="W702" s="761"/>
      <c r="X702" s="761"/>
      <c r="Y702" s="761"/>
      <c r="Z702" s="984"/>
      <c r="AA702" s="761"/>
      <c r="AB702" s="761"/>
      <c r="AC702" s="761"/>
      <c r="AD702" s="761" t="str">
        <f t="shared" ref="AD702:BN702" si="1216">AD1347</f>
      </c>
      <c r="AE702" s="984" t="str">
        <f t="shared" si="1216"/>
      </c>
      <c r="AF702" s="761" t="str">
        <f t="shared" si="1216"/>
      </c>
      <c r="AG702" s="761" t="str">
        <f t="shared" si="1216"/>
      </c>
      <c r="AH702" s="761" t="str">
        <f t="shared" si="1216"/>
      </c>
      <c r="AI702" s="761" t="str">
        <f t="shared" si="1216"/>
      </c>
      <c r="AJ702" s="984" t="str">
        <f t="shared" si="1216"/>
      </c>
      <c r="AK702" s="761" t="str">
        <f t="shared" si="1216"/>
      </c>
      <c r="AL702" s="761" t="str">
        <f t="shared" si="1216"/>
      </c>
      <c r="AM702" s="761" t="str">
        <f t="shared" si="1216"/>
      </c>
      <c r="AN702" s="761" t="str">
        <f t="shared" si="1216"/>
      </c>
      <c r="AO702" s="984" t="str">
        <f t="shared" si="1216"/>
      </c>
      <c r="AP702" s="761" t="str">
        <f t="shared" si="1216"/>
      </c>
      <c r="AQ702" s="761" t="str">
        <f t="shared" si="1216"/>
      </c>
      <c r="AR702" s="761" t="str">
        <f t="shared" si="1216"/>
      </c>
      <c r="AS702" s="761" t="str">
        <f t="shared" si="1216"/>
      </c>
      <c r="AT702" s="984" t="str">
        <f t="shared" si="1216"/>
      </c>
      <c r="AU702" s="761" t="str">
        <f t="shared" si="1216"/>
      </c>
      <c r="AV702" s="761" t="str">
        <f t="shared" si="1216"/>
      </c>
      <c r="AW702" s="761" t="str">
        <f t="shared" si="1216"/>
      </c>
      <c r="AX702" s="761" t="str">
        <f t="shared" si="1216"/>
      </c>
      <c r="AY702" s="984" t="str">
        <f t="shared" si="1216"/>
      </c>
      <c r="AZ702" s="761" t="str">
        <f t="shared" si="1216"/>
      </c>
      <c r="BA702" s="761" t="str">
        <f t="shared" si="1216"/>
      </c>
      <c r="BB702" s="761" t="str">
        <f t="shared" si="1216"/>
      </c>
      <c r="BC702" s="761" t="str">
        <f t="shared" si="1216"/>
      </c>
      <c r="BD702" s="984" t="str">
        <f t="shared" si="1216"/>
      </c>
      <c r="BE702" s="761" t="str">
        <f t="shared" si="1216"/>
      </c>
      <c r="BF702" s="761" t="str">
        <f t="shared" si="1216"/>
      </c>
      <c r="BG702" s="761" t="str">
        <f t="shared" si="1216"/>
      </c>
      <c r="BH702" s="761" t="str">
        <f t="shared" si="1216"/>
      </c>
      <c r="BI702" s="984" t="str">
        <f t="shared" si="1216"/>
      </c>
      <c r="BJ702" s="761" t="str">
        <f t="shared" si="1216"/>
      </c>
      <c r="BK702" s="761" t="str">
        <f t="shared" si="1216"/>
      </c>
      <c r="BL702" s="761" t="str">
        <f t="shared" si="1216"/>
      </c>
      <c r="BM702" s="761" t="str">
        <f t="shared" si="1216"/>
      </c>
      <c r="BN702" s="984" t="str">
        <f t="shared" si="1216"/>
      </c>
      <c r="BO702" s="761" t="str">
        <f t="shared" si="1214"/>
      </c>
      <c r="BP702" s="761" t="str">
        <f t="shared" si="1215"/>
      </c>
      <c r="BQ702" s="761" t="str">
        <f t="shared" si="1215"/>
      </c>
      <c r="BR702" s="761" t="str">
        <f t="shared" si="1215"/>
      </c>
      <c r="BS702" s="984" t="str">
        <f t="shared" si="1215"/>
      </c>
      <c r="BT702" s="762" t="str">
        <f>BT1347</f>
      </c>
      <c r="BU702" s="761"/>
      <c r="BV702" s="761"/>
      <c r="BW702" s="761"/>
      <c r="BX702" s="984"/>
      <c r="BY702" s="761"/>
      <c r="BZ702" s="761"/>
      <c r="CA702" s="761"/>
      <c r="CB702" s="761"/>
      <c r="CC702" s="984"/>
      <c r="CD702" s="984"/>
      <c r="CE702" s="984"/>
      <c r="CF702" s="984"/>
      <c r="CG702" s="757"/>
    </row>
    <row r="703" spans="1:85" s="587" customFormat="1" ht="15" hidden="1" customHeight="1" outlineLevel="2" collapsed="1" x14ac:dyDescent="0.3">
      <c r="A703" s="429" t="s">
        <v>2284</v>
      </c>
      <c r="B703" s="428"/>
      <c r="C703" s="969"/>
      <c r="D703" s="969"/>
      <c r="E703" s="969"/>
      <c r="F703" s="969"/>
      <c r="G703" s="759"/>
      <c r="H703" s="759"/>
      <c r="I703" s="759"/>
      <c r="J703" s="759"/>
      <c r="K703" s="969"/>
      <c r="L703" s="759"/>
      <c r="M703" s="759"/>
      <c r="N703" s="759"/>
      <c r="O703" s="759"/>
      <c r="P703" s="969"/>
      <c r="Q703" s="759"/>
      <c r="R703" s="759"/>
      <c r="S703" s="759"/>
      <c r="T703" s="759"/>
      <c r="U703" s="969"/>
      <c r="V703" s="759"/>
      <c r="W703" s="759"/>
      <c r="X703" s="759"/>
      <c r="Y703" s="759"/>
      <c r="Z703" s="969"/>
      <c r="AA703" s="759"/>
      <c r="AB703" s="759"/>
      <c r="AC703" s="759"/>
      <c r="AD703" s="759" t="str">
        <f t="shared" ref="AD703:AH703" si="1217">IFERROR(AVERAGE(AD701,AD702),"")</f>
      </c>
      <c r="AE703" s="969" t="str">
        <f t="shared" si="1217"/>
      </c>
      <c r="AF703" s="759" t="str">
        <f t="shared" si="1217"/>
      </c>
      <c r="AG703" s="759" t="str">
        <f t="shared" si="1217"/>
      </c>
      <c r="AH703" s="759" t="str">
        <f t="shared" si="1217"/>
      </c>
      <c r="AI703" s="759" t="str">
        <f t="shared" ref="AI703:BN703" si="1218">IFERROR(AVERAGE(AI701,AI702),"")</f>
      </c>
      <c r="AJ703" s="969" t="str">
        <f t="shared" si="1218"/>
      </c>
      <c r="AK703" s="759" t="str">
        <f t="shared" si="1218"/>
      </c>
      <c r="AL703" s="759" t="str">
        <f t="shared" si="1218"/>
      </c>
      <c r="AM703" s="759" t="str">
        <f t="shared" si="1218"/>
      </c>
      <c r="AN703" s="759" t="str">
        <f t="shared" si="1218"/>
      </c>
      <c r="AO703" s="969" t="str">
        <f t="shared" si="1218"/>
      </c>
      <c r="AP703" s="759" t="str">
        <f t="shared" si="1218"/>
      </c>
      <c r="AQ703" s="759" t="str">
        <f t="shared" si="1218"/>
      </c>
      <c r="AR703" s="759" t="str">
        <f t="shared" si="1218"/>
      </c>
      <c r="AS703" s="759" t="str">
        <f t="shared" si="1218"/>
      </c>
      <c r="AT703" s="969" t="str">
        <f t="shared" si="1218"/>
      </c>
      <c r="AU703" s="759" t="str">
        <f t="shared" si="1218"/>
      </c>
      <c r="AV703" s="759" t="str">
        <f t="shared" si="1218"/>
      </c>
      <c r="AW703" s="759" t="str">
        <f t="shared" si="1218"/>
      </c>
      <c r="AX703" s="759" t="str">
        <f t="shared" si="1218"/>
      </c>
      <c r="AY703" s="969" t="str">
        <f t="shared" si="1218"/>
      </c>
      <c r="AZ703" s="759" t="str">
        <f t="shared" si="1218"/>
      </c>
      <c r="BA703" s="759" t="str">
        <f t="shared" si="1218"/>
      </c>
      <c r="BB703" s="759" t="str">
        <f t="shared" si="1218"/>
      </c>
      <c r="BC703" s="759" t="str">
        <f t="shared" si="1218"/>
      </c>
      <c r="BD703" s="969" t="str">
        <f t="shared" si="1218"/>
      </c>
      <c r="BE703" s="759" t="str">
        <f t="shared" si="1218"/>
      </c>
      <c r="BF703" s="759" t="str">
        <f t="shared" si="1218"/>
      </c>
      <c r="BG703" s="759" t="str">
        <f t="shared" si="1218"/>
      </c>
      <c r="BH703" s="759" t="str">
        <f t="shared" si="1218"/>
      </c>
      <c r="BI703" s="969" t="str">
        <f t="shared" si="1218"/>
      </c>
      <c r="BJ703" s="759" t="str">
        <f t="shared" si="1218"/>
      </c>
      <c r="BK703" s="759" t="str">
        <f t="shared" si="1218"/>
      </c>
      <c r="BL703" s="759" t="str">
        <f t="shared" si="1218"/>
      </c>
      <c r="BM703" s="759" t="str">
        <f t="shared" si="1218"/>
      </c>
      <c r="BN703" s="969" t="str">
        <f t="shared" si="1218"/>
      </c>
      <c r="BO703" s="759" t="str">
        <f t="shared" ref="BO703:BP703" si="1219">IFERROR(AVERAGE(BO701,BO702),"")</f>
      </c>
      <c r="BP703" s="759" t="str">
        <f t="shared" si="1219"/>
      </c>
      <c r="BQ703" s="759" t="str">
        <f>IFERROR(AVERAGE(BQ701,BQ702),"")</f>
      </c>
      <c r="BR703" s="759" t="str">
        <f>IFERROR(AVERAGE(BR701,BR702),"")</f>
      </c>
      <c r="BS703" s="969" t="str">
        <f>IFERROR(AVERAGE(BS701,BS702),"")</f>
      </c>
      <c r="BT703" s="760" t="str">
        <f>IFERROR(AVERAGE(BT701,BT702),"")</f>
      </c>
      <c r="BU703" s="759"/>
      <c r="BV703" s="759"/>
      <c r="BW703" s="759"/>
      <c r="BX703" s="969"/>
      <c r="BY703" s="759"/>
      <c r="BZ703" s="759"/>
      <c r="CA703" s="759"/>
      <c r="CB703" s="759"/>
      <c r="CC703" s="969"/>
      <c r="CD703" s="969"/>
      <c r="CE703" s="969"/>
      <c r="CF703" s="969"/>
      <c r="CG703" s="757"/>
    </row>
    <row r="704" spans="1:85" s="587" customFormat="1" ht="15" hidden="1" customHeight="1" outlineLevel="2" x14ac:dyDescent="0.3">
      <c r="A704" s="436" t="s">
        <v>2285</v>
      </c>
      <c r="B704" s="414"/>
      <c r="C704" s="962"/>
      <c r="D704" s="962"/>
      <c r="E704" s="962"/>
      <c r="F704" s="962"/>
      <c r="G704" s="757"/>
      <c r="H704" s="757"/>
      <c r="I704" s="757"/>
      <c r="J704" s="757"/>
      <c r="K704" s="962"/>
      <c r="L704" s="757"/>
      <c r="M704" s="757"/>
      <c r="N704" s="757"/>
      <c r="O704" s="757"/>
      <c r="P704" s="962"/>
      <c r="Q704" s="757"/>
      <c r="R704" s="757"/>
      <c r="S704" s="757"/>
      <c r="T704" s="757"/>
      <c r="U704" s="962"/>
      <c r="V704" s="757"/>
      <c r="W704" s="757"/>
      <c r="X704" s="757"/>
      <c r="Y704" s="757"/>
      <c r="Z704" s="962"/>
      <c r="AA704" s="757"/>
      <c r="AB704" s="757"/>
      <c r="AC704" s="757"/>
      <c r="AD704" s="757" t="str">
        <f t="shared" ref="AD704:AH704" si="1220">IFERROR(ABS(AD702-AD701),"")</f>
      </c>
      <c r="AE704" s="962" t="str">
        <f t="shared" si="1220"/>
      </c>
      <c r="AF704" s="757" t="str">
        <f t="shared" si="1220"/>
      </c>
      <c r="AG704" s="757" t="str">
        <f t="shared" si="1220"/>
      </c>
      <c r="AH704" s="757" t="str">
        <f t="shared" si="1220"/>
      </c>
      <c r="AI704" s="757" t="str">
        <f t="shared" ref="AI704:BP704" si="1221">IFERROR(ABS(AI702-AI701),"")</f>
      </c>
      <c r="AJ704" s="962" t="str">
        <f t="shared" si="1221"/>
      </c>
      <c r="AK704" s="757" t="str">
        <f t="shared" si="1221"/>
      </c>
      <c r="AL704" s="757" t="str">
        <f t="shared" si="1221"/>
      </c>
      <c r="AM704" s="757" t="str">
        <f t="shared" si="1221"/>
      </c>
      <c r="AN704" s="757" t="str">
        <f t="shared" si="1221"/>
      </c>
      <c r="AO704" s="962" t="str">
        <f t="shared" si="1221"/>
      </c>
      <c r="AP704" s="757" t="str">
        <f t="shared" si="1221"/>
      </c>
      <c r="AQ704" s="757" t="str">
        <f t="shared" si="1221"/>
      </c>
      <c r="AR704" s="757" t="str">
        <f t="shared" si="1221"/>
      </c>
      <c r="AS704" s="757" t="str">
        <f t="shared" si="1221"/>
      </c>
      <c r="AT704" s="962" t="str">
        <f t="shared" si="1221"/>
      </c>
      <c r="AU704" s="757" t="str">
        <f t="shared" si="1221"/>
      </c>
      <c r="AV704" s="757" t="str">
        <f t="shared" si="1221"/>
      </c>
      <c r="AW704" s="757" t="str">
        <f t="shared" si="1221"/>
      </c>
      <c r="AX704" s="757" t="str">
        <f t="shared" si="1221"/>
      </c>
      <c r="AY704" s="962" t="str">
        <f t="shared" si="1221"/>
      </c>
      <c r="AZ704" s="757" t="str">
        <f t="shared" si="1221"/>
      </c>
      <c r="BA704" s="757" t="str">
        <f t="shared" si="1221"/>
      </c>
      <c r="BB704" s="757" t="str">
        <f t="shared" si="1221"/>
      </c>
      <c r="BC704" s="757" t="str">
        <f t="shared" si="1221"/>
      </c>
      <c r="BD704" s="962" t="str">
        <f t="shared" si="1221"/>
      </c>
      <c r="BE704" s="757" t="str">
        <f t="shared" si="1221"/>
      </c>
      <c r="BF704" s="757" t="str">
        <f t="shared" si="1221"/>
      </c>
      <c r="BG704" s="757" t="str">
        <f t="shared" si="1221"/>
      </c>
      <c r="BH704" s="757" t="str">
        <f t="shared" si="1221"/>
      </c>
      <c r="BI704" s="962" t="str">
        <f t="shared" si="1221"/>
      </c>
      <c r="BJ704" s="757" t="str">
        <f t="shared" si="1221"/>
      </c>
      <c r="BK704" s="757" t="str">
        <f t="shared" si="1221"/>
      </c>
      <c r="BL704" s="757" t="str">
        <f t="shared" si="1221"/>
      </c>
      <c r="BM704" s="757" t="str">
        <f t="shared" si="1221"/>
      </c>
      <c r="BN704" s="962" t="str">
        <f t="shared" si="1221"/>
      </c>
      <c r="BO704" s="757" t="str">
        <f t="shared" si="1221"/>
      </c>
      <c r="BP704" s="757" t="str">
        <f t="shared" si="1221"/>
      </c>
      <c r="BQ704" s="757" t="str">
        <f>IFERROR(ABS(BQ702-BQ701),"")</f>
      </c>
      <c r="BR704" s="757" t="str">
        <f>IFERROR(ABS(BR702-BR701),"")</f>
      </c>
      <c r="BS704" s="962" t="str">
        <f>IFERROR(ABS(BS702-BS701),"")</f>
      </c>
      <c r="BT704" s="758" t="str">
        <f>IFERROR(ABS(BT702-BT701),"")</f>
      </c>
      <c r="BU704" s="757"/>
      <c r="BV704" s="757"/>
      <c r="BW704" s="757"/>
      <c r="BX704" s="962"/>
      <c r="BY704" s="757"/>
      <c r="BZ704" s="757"/>
      <c r="CA704" s="757"/>
      <c r="CB704" s="757"/>
      <c r="CC704" s="962"/>
      <c r="CD704" s="962"/>
      <c r="CE704" s="962"/>
      <c r="CF704" s="962"/>
      <c r="CG704" s="757"/>
    </row>
    <row r="705" spans="1:85" s="587" customFormat="1" ht="15" hidden="1" customHeight="1" outlineLevel="2" x14ac:dyDescent="0.3">
      <c r="A705" s="262" t="s">
        <v>2286</v>
      </c>
      <c r="B705" s="414"/>
      <c r="C705" s="973"/>
      <c r="D705" s="973"/>
      <c r="E705" s="973"/>
      <c r="F705" s="973"/>
      <c r="G705" s="59"/>
      <c r="H705" s="59"/>
      <c r="I705" s="59"/>
      <c r="J705" s="59"/>
      <c r="K705" s="973"/>
      <c r="L705" s="59"/>
      <c r="M705" s="59"/>
      <c r="N705" s="59"/>
      <c r="O705" s="59"/>
      <c r="P705" s="973"/>
      <c r="Q705" s="59"/>
      <c r="R705" s="59"/>
      <c r="S705" s="59"/>
      <c r="T705" s="59"/>
      <c r="U705" s="973"/>
      <c r="V705" s="59"/>
      <c r="W705" s="59"/>
      <c r="X705" s="59"/>
      <c r="Y705" s="59"/>
      <c r="Z705" s="973"/>
      <c r="AA705" s="59"/>
      <c r="AB705" s="59"/>
      <c r="AC705" s="59"/>
      <c r="AD705" s="59" t="str">
        <f t="shared" ref="AD705:AH705" si="1222">IFERROR(ABS((AD702-AD703)/AD703),"")</f>
      </c>
      <c r="AE705" s="973" t="str">
        <f t="shared" si="1222"/>
      </c>
      <c r="AF705" s="59" t="str">
        <f t="shared" si="1222"/>
      </c>
      <c r="AG705" s="59" t="str">
        <f t="shared" si="1222"/>
      </c>
      <c r="AH705" s="59" t="str">
        <f t="shared" si="1222"/>
      </c>
      <c r="AI705" s="59" t="str">
        <f t="shared" ref="AI705:BP705" si="1223">IFERROR(ABS((AI702-AI703)/AI703),"")</f>
      </c>
      <c r="AJ705" s="973" t="str">
        <f t="shared" si="1223"/>
      </c>
      <c r="AK705" s="59" t="str">
        <f t="shared" si="1223"/>
      </c>
      <c r="AL705" s="59" t="str">
        <f t="shared" si="1223"/>
      </c>
      <c r="AM705" s="59" t="str">
        <f t="shared" si="1223"/>
      </c>
      <c r="AN705" s="59" t="str">
        <f t="shared" si="1223"/>
      </c>
      <c r="AO705" s="973" t="str">
        <f t="shared" si="1223"/>
      </c>
      <c r="AP705" s="59" t="str">
        <f t="shared" si="1223"/>
      </c>
      <c r="AQ705" s="59" t="str">
        <f t="shared" si="1223"/>
      </c>
      <c r="AR705" s="59" t="str">
        <f t="shared" si="1223"/>
      </c>
      <c r="AS705" s="59" t="str">
        <f t="shared" si="1223"/>
      </c>
      <c r="AT705" s="973" t="str">
        <f t="shared" si="1223"/>
      </c>
      <c r="AU705" s="59" t="str">
        <f t="shared" si="1223"/>
      </c>
      <c r="AV705" s="59" t="str">
        <f t="shared" si="1223"/>
      </c>
      <c r="AW705" s="59" t="str">
        <f t="shared" si="1223"/>
      </c>
      <c r="AX705" s="59" t="str">
        <f t="shared" si="1223"/>
      </c>
      <c r="AY705" s="973" t="str">
        <f t="shared" si="1223"/>
      </c>
      <c r="AZ705" s="59" t="str">
        <f t="shared" si="1223"/>
      </c>
      <c r="BA705" s="59" t="str">
        <f t="shared" si="1223"/>
      </c>
      <c r="BB705" s="59" t="str">
        <f t="shared" si="1223"/>
      </c>
      <c r="BC705" s="59" t="str">
        <f t="shared" si="1223"/>
      </c>
      <c r="BD705" s="973" t="str">
        <f t="shared" si="1223"/>
      </c>
      <c r="BE705" s="59" t="str">
        <f t="shared" si="1223"/>
      </c>
      <c r="BF705" s="59" t="str">
        <f t="shared" si="1223"/>
      </c>
      <c r="BG705" s="59" t="str">
        <f t="shared" si="1223"/>
      </c>
      <c r="BH705" s="59" t="str">
        <f t="shared" si="1223"/>
      </c>
      <c r="BI705" s="973" t="str">
        <f t="shared" si="1223"/>
      </c>
      <c r="BJ705" s="59" t="str">
        <f t="shared" si="1223"/>
      </c>
      <c r="BK705" s="59" t="str">
        <f t="shared" si="1223"/>
      </c>
      <c r="BL705" s="59" t="str">
        <f t="shared" si="1223"/>
      </c>
      <c r="BM705" s="59" t="str">
        <f t="shared" si="1223"/>
      </c>
      <c r="BN705" s="973" t="str">
        <f t="shared" si="1223"/>
      </c>
      <c r="BO705" s="59" t="str">
        <f t="shared" si="1223"/>
      </c>
      <c r="BP705" s="59" t="str">
        <f t="shared" si="1223"/>
      </c>
      <c r="BQ705" s="59" t="str">
        <f>IFERROR(ABS((BQ702-BQ703)/BQ703),"")</f>
      </c>
      <c r="BR705" s="59" t="str">
        <f>IFERROR(ABS((BR702-BR703)/BR703),"")</f>
      </c>
      <c r="BS705" s="973" t="str">
        <f>IFERROR(ABS((BS702-BS703)/BS703),"")</f>
      </c>
      <c r="BT705" s="675" t="str">
        <f>IFERROR(ABS((BT702-BT703)/BT703),"")</f>
      </c>
      <c r="BU705" s="59"/>
      <c r="BV705" s="59"/>
      <c r="BW705" s="59"/>
      <c r="BX705" s="973"/>
      <c r="BY705" s="59"/>
      <c r="BZ705" s="59"/>
      <c r="CA705" s="59"/>
      <c r="CB705" s="59"/>
      <c r="CC705" s="973"/>
      <c r="CD705" s="973"/>
      <c r="CE705" s="973"/>
      <c r="CF705" s="973"/>
      <c r="CG705" s="757"/>
    </row>
    <row r="706" spans="1:85" s="587" customFormat="1" ht="15" hidden="1" customHeight="1" outlineLevel="3" x14ac:dyDescent="0.3">
      <c r="A706" s="567" t="s">
        <v>2326</v>
      </c>
      <c r="B706" s="770"/>
      <c r="C706" s="935"/>
      <c r="D706" s="935"/>
      <c r="E706" s="935"/>
      <c r="F706" s="935"/>
      <c r="G706" s="58"/>
      <c r="H706" s="58"/>
      <c r="I706" s="58"/>
      <c r="J706" s="58"/>
      <c r="K706" s="935"/>
      <c r="L706" s="58"/>
      <c r="M706" s="58"/>
      <c r="N706" s="58"/>
      <c r="O706" s="58"/>
      <c r="P706" s="935"/>
      <c r="Q706" s="58"/>
      <c r="R706" s="58"/>
      <c r="S706" s="58"/>
      <c r="T706" s="58"/>
      <c r="U706" s="935"/>
      <c r="V706" s="58"/>
      <c r="W706" s="58"/>
      <c r="X706" s="58"/>
      <c r="Y706" s="58"/>
      <c r="Z706" s="935"/>
      <c r="AA706" s="58"/>
      <c r="AB706" s="58"/>
      <c r="AC706" s="58"/>
      <c r="AD706" s="58" t="str">
        <f>IFERROR(AD701/AE652-1,"")</f>
      </c>
      <c r="AE706" s="935" t="str">
        <f>IFERROR(AE701/AE652-1,"")</f>
      </c>
      <c r="AF706" s="58" t="str">
        <f>IFERROR(AF701/AE652-1,"")</f>
      </c>
      <c r="AG706" s="58" t="str">
        <f>IFERROR(AG701/AE652-1,"")</f>
      </c>
      <c r="AH706" s="58" t="str">
        <f>IFERROR(AH701/AE652-1,"")</f>
      </c>
      <c r="AI706" s="58" t="str">
        <f>IFERROR(AI701/AJ652-1,"")</f>
      </c>
      <c r="AJ706" s="935" t="str">
        <f>IFERROR(AJ701/AJ652-1,"")</f>
      </c>
      <c r="AK706" s="58" t="str">
        <f>IFERROR(AK701/AJ652-1,"")</f>
      </c>
      <c r="AL706" s="58" t="str">
        <f>IFERROR(AL701/AJ652-1,"")</f>
      </c>
      <c r="AM706" s="58" t="str">
        <f>IFERROR(AM701/AJ652-1,"")</f>
      </c>
      <c r="AN706" s="58" t="str">
        <f>IFERROR(AN701/AO652-1,"")</f>
      </c>
      <c r="AO706" s="935" t="str">
        <f>IFERROR(AO701/AO652-1,"")</f>
      </c>
      <c r="AP706" s="58" t="str">
        <f>IFERROR(AP701/AO652-1,"")</f>
      </c>
      <c r="AQ706" s="58" t="str">
        <f>IFERROR(AQ701/AO652-1,"")</f>
      </c>
      <c r="AR706" s="58" t="str">
        <f>IFERROR(AR701/AO652-1,"")</f>
      </c>
      <c r="AS706" s="58" t="str">
        <f>IFERROR(AS701/AT652-1,"")</f>
      </c>
      <c r="AT706" s="935" t="str">
        <f>IFERROR(AT701/AT652-1,"")</f>
      </c>
      <c r="AU706" s="58" t="str">
        <f>IFERROR(AU701/AT652-1,"")</f>
      </c>
      <c r="AV706" s="58" t="str">
        <f>IFERROR(AV701/AT652-1,"")</f>
      </c>
      <c r="AW706" s="58" t="str">
        <f>IFERROR(AW701/AT652-1,"")</f>
      </c>
      <c r="AX706" s="58" t="str">
        <f>IFERROR(AX701/AY652-1,"")</f>
      </c>
      <c r="AY706" s="935" t="str">
        <f>IFERROR(AY701/AY652-1,"")</f>
      </c>
      <c r="AZ706" s="58" t="str">
        <f>IFERROR(AZ701/AY652-1,"")</f>
      </c>
      <c r="BA706" s="58" t="str">
        <f>IFERROR(BA701/AY652-1,"")</f>
      </c>
      <c r="BB706" s="58" t="str">
        <f>IFERROR(BB701/AY652-1,"")</f>
      </c>
      <c r="BC706" s="58" t="str">
        <f>IFERROR(BC701/BD652-1,"")</f>
      </c>
      <c r="BD706" s="935" t="str">
        <f>IFERROR(BD701/BD652-1,"")</f>
      </c>
      <c r="BE706" s="58" t="str">
        <f>IFERROR(BE701/BD652-1,"")</f>
      </c>
      <c r="BF706" s="58" t="str">
        <f>IFERROR(BF701/BD652-1,"")</f>
      </c>
      <c r="BG706" s="58" t="str">
        <f>IFERROR(BG701/BD652-1,"")</f>
      </c>
      <c r="BH706" s="58" t="str">
        <f>IFERROR(BH701/BI652-1,"")</f>
      </c>
      <c r="BI706" s="935" t="str">
        <f>IFERROR(BI701/BI652-1,"")</f>
      </c>
      <c r="BJ706" s="58" t="str">
        <f>IFERROR(BJ701/BI652-1,"")</f>
      </c>
      <c r="BK706" s="58" t="str">
        <f>IFERROR(BK701/BI652-1,"")</f>
      </c>
      <c r="BL706" s="58" t="str">
        <f>IFERROR(BL701/BI652-1,"")</f>
      </c>
      <c r="BM706" s="58" t="str">
        <f>IFERROR(BM701/BN652-1,"")</f>
      </c>
      <c r="BN706" s="935" t="str">
        <f>IFERROR(BN701/BN652-1,"")</f>
      </c>
      <c r="BO706" s="58" t="str">
        <f>IFERROR(BO701/BN652-1,"")</f>
      </c>
      <c r="BP706" s="58" t="str">
        <f>IFERROR(BP701/BN652-1,"")</f>
      </c>
      <c r="BQ706" s="58" t="str">
        <f>IFERROR(BQ701/BN652-1,"")</f>
      </c>
      <c r="BR706" s="58" t="str">
        <f>IFERROR(BR701/BS652-1,"")</f>
      </c>
      <c r="BS706" s="935" t="str">
        <f>IFERROR(BS701/BS652-1,"")</f>
      </c>
      <c r="BT706" s="669" t="str">
        <f>IFERROR(BT701/BS652-1,"")</f>
      </c>
      <c r="BU706" s="58"/>
      <c r="BV706" s="58"/>
      <c r="BW706" s="58"/>
      <c r="BX706" s="935"/>
      <c r="BY706" s="58"/>
      <c r="BZ706" s="58"/>
      <c r="CA706" s="58"/>
      <c r="CB706" s="58"/>
      <c r="CC706" s="935"/>
      <c r="CD706" s="935"/>
      <c r="CE706" s="935"/>
      <c r="CF706" s="935"/>
      <c r="CG706" s="757"/>
    </row>
    <row r="707" spans="1:85" s="587" customFormat="1" ht="15" hidden="1" customHeight="1" outlineLevel="3" x14ac:dyDescent="0.3">
      <c r="A707" s="568" t="s">
        <v>2327</v>
      </c>
      <c r="B707" s="563"/>
      <c r="C707" s="988"/>
      <c r="D707" s="988"/>
      <c r="E707" s="988"/>
      <c r="F707" s="988"/>
      <c r="G707" s="369"/>
      <c r="H707" s="369"/>
      <c r="I707" s="369"/>
      <c r="J707" s="369"/>
      <c r="K707" s="988"/>
      <c r="L707" s="369"/>
      <c r="M707" s="369"/>
      <c r="N707" s="369"/>
      <c r="O707" s="369"/>
      <c r="P707" s="988"/>
      <c r="Q707" s="369"/>
      <c r="R707" s="369"/>
      <c r="S707" s="369"/>
      <c r="T707" s="369"/>
      <c r="U707" s="988"/>
      <c r="V707" s="369"/>
      <c r="W707" s="369"/>
      <c r="X707" s="369"/>
      <c r="Y707" s="369"/>
      <c r="Z707" s="988"/>
      <c r="AA707" s="369"/>
      <c r="AB707" s="369"/>
      <c r="AC707" s="369"/>
      <c r="AD707" s="369" t="str">
        <f>IFERROR(AD702/AE652-1,"")</f>
      </c>
      <c r="AE707" s="988" t="str">
        <f>IFERROR(AE702/AE652-1,"")</f>
      </c>
      <c r="AF707" s="369" t="str">
        <f>IFERROR(AF702/AE652-1,"")</f>
      </c>
      <c r="AG707" s="369" t="str">
        <f>IFERROR(AG702/AE652-1,"")</f>
      </c>
      <c r="AH707" s="369" t="str">
        <f>IFERROR(AH702/AE652-1,"")</f>
      </c>
      <c r="AI707" s="369" t="str">
        <f>IFERROR(AI702/AJ652-1,"")</f>
      </c>
      <c r="AJ707" s="988" t="str">
        <f>IFERROR(AJ702/AJ652-1,"")</f>
      </c>
      <c r="AK707" s="369" t="str">
        <f>IFERROR(AK702/AJ652-1,"")</f>
      </c>
      <c r="AL707" s="369" t="str">
        <f>IFERROR(AL702/AJ652-1,"")</f>
      </c>
      <c r="AM707" s="369" t="str">
        <f>IFERROR(AM702/AJ652-1,"")</f>
      </c>
      <c r="AN707" s="369" t="str">
        <f>IFERROR(AN702/AO652-1,"")</f>
      </c>
      <c r="AO707" s="988" t="str">
        <f>IFERROR(AO702/AO652-1,"")</f>
      </c>
      <c r="AP707" s="369" t="str">
        <f>IFERROR(AP702/AO652-1,"")</f>
      </c>
      <c r="AQ707" s="369" t="str">
        <f>IFERROR(AQ702/AO652-1,"")</f>
      </c>
      <c r="AR707" s="369" t="str">
        <f>IFERROR(AR702/AO652-1,"")</f>
      </c>
      <c r="AS707" s="369" t="str">
        <f>IFERROR(AS702/AT652-1,"")</f>
      </c>
      <c r="AT707" s="988" t="str">
        <f>IFERROR(AT702/AT652-1,"")</f>
      </c>
      <c r="AU707" s="369" t="str">
        <f>IFERROR(AU702/AT652-1,"")</f>
      </c>
      <c r="AV707" s="369" t="str">
        <f>IFERROR(AV702/AT652-1,"")</f>
      </c>
      <c r="AW707" s="369" t="str">
        <f>IFERROR(AW702/AT652-1,"")</f>
      </c>
      <c r="AX707" s="369" t="str">
        <f>IFERROR(AX702/AY652-1,"")</f>
      </c>
      <c r="AY707" s="988" t="str">
        <f>IFERROR(AY702/AY652-1,"")</f>
      </c>
      <c r="AZ707" s="369" t="str">
        <f>IFERROR(AZ702/AY652-1,"")</f>
      </c>
      <c r="BA707" s="369" t="str">
        <f>IFERROR(BA702/AY652-1,"")</f>
      </c>
      <c r="BB707" s="369" t="str">
        <f>IFERROR(BB702/AY652-1,"")</f>
      </c>
      <c r="BC707" s="369" t="str">
        <f>IFERROR(BC702/BD652-1,"")</f>
      </c>
      <c r="BD707" s="988" t="str">
        <f>IFERROR(BD702/BD652-1,"")</f>
      </c>
      <c r="BE707" s="369" t="str">
        <f>IFERROR(BE702/BD652-1,"")</f>
      </c>
      <c r="BF707" s="369" t="str">
        <f>IFERROR(BF702/BD652-1,"")</f>
      </c>
      <c r="BG707" s="369" t="str">
        <f>IFERROR(BG702/BD652-1,"")</f>
      </c>
      <c r="BH707" s="369" t="str">
        <f>IFERROR(BH702/BI652-1,"")</f>
      </c>
      <c r="BI707" s="988" t="str">
        <f>IFERROR(BI702/BI652-1,"")</f>
      </c>
      <c r="BJ707" s="369" t="str">
        <f>IFERROR(BJ702/BI652-1,"")</f>
      </c>
      <c r="BK707" s="369" t="str">
        <f>IFERROR(BK702/BI652-1,"")</f>
      </c>
      <c r="BL707" s="369" t="str">
        <f>IFERROR(BL702/BI652-1,"")</f>
      </c>
      <c r="BM707" s="369" t="str">
        <f>IFERROR(BM702/BN652-1,"")</f>
      </c>
      <c r="BN707" s="988" t="str">
        <f>IFERROR(BN702/BN652-1,"")</f>
      </c>
      <c r="BO707" s="369" t="str">
        <f>IFERROR(BO702/BN652-1,"")</f>
      </c>
      <c r="BP707" s="369" t="str">
        <f>IFERROR(BP702/BN652-1,"")</f>
      </c>
      <c r="BQ707" s="369" t="str">
        <f>IFERROR(BQ702/BN652-1,"")</f>
      </c>
      <c r="BR707" s="369" t="str">
        <f>IFERROR(BR702/BS652-1,"")</f>
      </c>
      <c r="BS707" s="988" t="str">
        <f>IFERROR(BS702/BS652-1,"")</f>
      </c>
      <c r="BT707" s="686" t="str">
        <f>IFERROR(BT702/BS652-1,"")</f>
      </c>
      <c r="BU707" s="369"/>
      <c r="BV707" s="369"/>
      <c r="BW707" s="369"/>
      <c r="BX707" s="988"/>
      <c r="BY707" s="369"/>
      <c r="BZ707" s="369"/>
      <c r="CA707" s="369"/>
      <c r="CB707" s="369"/>
      <c r="CC707" s="988"/>
      <c r="CD707" s="988"/>
      <c r="CE707" s="988"/>
      <c r="CF707" s="988"/>
      <c r="CG707" s="757"/>
    </row>
    <row r="708" spans="1:85" s="587" customFormat="1" ht="15" hidden="1" customHeight="1" outlineLevel="2" collapsed="1" x14ac:dyDescent="0.3">
      <c r="A708" s="69" t="s">
        <v>2328</v>
      </c>
      <c r="B708" s="770"/>
      <c r="C708" s="935"/>
      <c r="D708" s="935"/>
      <c r="E708" s="935"/>
      <c r="F708" s="935"/>
      <c r="G708" s="58"/>
      <c r="H708" s="58"/>
      <c r="I708" s="58"/>
      <c r="J708" s="58"/>
      <c r="K708" s="935"/>
      <c r="L708" s="58"/>
      <c r="M708" s="58"/>
      <c r="N708" s="58"/>
      <c r="O708" s="58"/>
      <c r="P708" s="935"/>
      <c r="Q708" s="58"/>
      <c r="R708" s="58"/>
      <c r="S708" s="58"/>
      <c r="T708" s="58"/>
      <c r="U708" s="935"/>
      <c r="V708" s="58"/>
      <c r="W708" s="58"/>
      <c r="X708" s="58"/>
      <c r="Y708" s="58"/>
      <c r="Z708" s="935"/>
      <c r="AA708" s="58"/>
      <c r="AB708" s="58"/>
      <c r="AC708" s="58"/>
      <c r="AD708" s="58" t="str">
        <f>IFERROR(AD703/AE652-1,"")</f>
      </c>
      <c r="AE708" s="935" t="str">
        <f>IFERROR(AE703/AE652-1,"")</f>
      </c>
      <c r="AF708" s="58" t="str">
        <f>IFERROR(AF703/AE652-1,"")</f>
      </c>
      <c r="AG708" s="58" t="str">
        <f>IFERROR(AG703/AE652-1,"")</f>
      </c>
      <c r="AH708" s="58" t="str">
        <f>IFERROR(AH703/AE652-1,"")</f>
      </c>
      <c r="AI708" s="58" t="str">
        <f>IFERROR(AI703/AJ652-1,"")</f>
      </c>
      <c r="AJ708" s="935" t="str">
        <f>IFERROR(AJ703/AJ652-1,"")</f>
      </c>
      <c r="AK708" s="58" t="str">
        <f>IFERROR(AK703/AJ652-1,"")</f>
      </c>
      <c r="AL708" s="58" t="str">
        <f>IFERROR(AL703/AJ652-1,"")</f>
      </c>
      <c r="AM708" s="58" t="str">
        <f>IFERROR(AM703/AJ652-1,"")</f>
      </c>
      <c r="AN708" s="58" t="str">
        <f>IFERROR(AN703/AO652-1,"")</f>
      </c>
      <c r="AO708" s="935" t="str">
        <f>IFERROR(AO703/AO652-1,"")</f>
      </c>
      <c r="AP708" s="58" t="str">
        <f>IFERROR(AP703/AO652-1,"")</f>
      </c>
      <c r="AQ708" s="58" t="str">
        <f>IFERROR(AQ703/AO652-1,"")</f>
      </c>
      <c r="AR708" s="58" t="str">
        <f>IFERROR(AR703/AO652-1,"")</f>
      </c>
      <c r="AS708" s="58" t="str">
        <f>IFERROR(AS703/AT652-1,"")</f>
      </c>
      <c r="AT708" s="935" t="str">
        <f>IFERROR(AT703/AT652-1,"")</f>
      </c>
      <c r="AU708" s="58" t="str">
        <f>IFERROR(AU703/AT652-1,"")</f>
      </c>
      <c r="AV708" s="58" t="str">
        <f>IFERROR(AV703/AT652-1,"")</f>
      </c>
      <c r="AW708" s="58" t="str">
        <f>IFERROR(AW703/AT652-1,"")</f>
      </c>
      <c r="AX708" s="58" t="str">
        <f>IFERROR(AX703/AY652-1,"")</f>
      </c>
      <c r="AY708" s="935" t="str">
        <f>IFERROR(AY703/AY652-1,"")</f>
      </c>
      <c r="AZ708" s="58" t="str">
        <f>IFERROR(AZ703/AY652-1,"")</f>
      </c>
      <c r="BA708" s="58" t="str">
        <f>IFERROR(BA703/AY652-1,"")</f>
      </c>
      <c r="BB708" s="58" t="str">
        <f>IFERROR(BB703/AY652-1,"")</f>
      </c>
      <c r="BC708" s="58" t="str">
        <f>IFERROR(BC703/BD652-1,"")</f>
      </c>
      <c r="BD708" s="935" t="str">
        <f>IFERROR(BD703/BD652-1,"")</f>
      </c>
      <c r="BE708" s="58" t="str">
        <f>IFERROR(BE703/BD652-1,"")</f>
      </c>
      <c r="BF708" s="58" t="str">
        <f>IFERROR(BF703/BD652-1,"")</f>
      </c>
      <c r="BG708" s="58" t="str">
        <f>IFERROR(BG703/BD652-1,"")</f>
      </c>
      <c r="BH708" s="58" t="str">
        <f>IFERROR(BH703/BI652-1,"")</f>
      </c>
      <c r="BI708" s="935" t="str">
        <f>IFERROR(BI703/BI652-1,"")</f>
      </c>
      <c r="BJ708" s="58" t="str">
        <f>IFERROR(BJ703/BI652-1,"")</f>
      </c>
      <c r="BK708" s="58" t="str">
        <f>IFERROR(BK703/BI652-1,"")</f>
      </c>
      <c r="BL708" s="58" t="str">
        <f>IFERROR(BL703/BI652-1,"")</f>
      </c>
      <c r="BM708" s="58" t="str">
        <f>IFERROR(BM703/BN652-1,"")</f>
      </c>
      <c r="BN708" s="935" t="str">
        <f>IFERROR(BN703/BN652-1,"")</f>
      </c>
      <c r="BO708" s="58" t="str">
        <f>IFERROR(BO703/BN652-1,"")</f>
      </c>
      <c r="BP708" s="58" t="str">
        <f>IFERROR(BP703/BN652-1,"")</f>
      </c>
      <c r="BQ708" s="58" t="str">
        <f>IFERROR(BQ703/BN652-1,"")</f>
      </c>
      <c r="BR708" s="58" t="str">
        <f>IFERROR(BR703/BS652-1,"")</f>
      </c>
      <c r="BS708" s="935" t="str">
        <f>IFERROR(BS703/BS652-1,"")</f>
      </c>
      <c r="BT708" s="669" t="str">
        <f>IFERROR(BT703/BS652-1,"")</f>
      </c>
      <c r="BU708" s="58"/>
      <c r="BV708" s="58"/>
      <c r="BW708" s="58"/>
      <c r="BX708" s="935"/>
      <c r="BY708" s="58"/>
      <c r="BZ708" s="58"/>
      <c r="CA708" s="58"/>
      <c r="CB708" s="58"/>
      <c r="CC708" s="935"/>
      <c r="CD708" s="935"/>
      <c r="CE708" s="935"/>
      <c r="CF708" s="935"/>
      <c r="CG708" s="757"/>
    </row>
    <row r="709" spans="1:85" s="587" customFormat="1" ht="15" hidden="1" customHeight="1" outlineLevel="2" x14ac:dyDescent="0.3">
      <c r="A709" s="558"/>
      <c r="B709" s="414"/>
      <c r="C709" s="962"/>
      <c r="D709" s="962"/>
      <c r="E709" s="962"/>
      <c r="F709" s="962"/>
      <c r="G709" s="757"/>
      <c r="H709" s="757"/>
      <c r="I709" s="757"/>
      <c r="J709" s="757"/>
      <c r="K709" s="962"/>
      <c r="L709" s="757"/>
      <c r="M709" s="757"/>
      <c r="N709" s="757"/>
      <c r="O709" s="757"/>
      <c r="P709" s="962"/>
      <c r="Q709" s="757"/>
      <c r="R709" s="757"/>
      <c r="S709" s="757"/>
      <c r="T709" s="757"/>
      <c r="U709" s="962"/>
      <c r="V709" s="757"/>
      <c r="W709" s="757"/>
      <c r="X709" s="757"/>
      <c r="Y709" s="757"/>
      <c r="Z709" s="962"/>
      <c r="AA709" s="757"/>
      <c r="AB709" s="757"/>
      <c r="AC709" s="757"/>
      <c r="AD709" s="757"/>
      <c r="AE709" s="962"/>
      <c r="AF709" s="757"/>
      <c r="AG709" s="757"/>
      <c r="AH709" s="757"/>
      <c r="AI709" s="757"/>
      <c r="AJ709" s="962"/>
      <c r="AK709" s="757"/>
      <c r="AL709" s="757"/>
      <c r="AM709" s="757"/>
      <c r="AN709" s="757"/>
      <c r="AO709" s="962"/>
      <c r="AP709" s="757"/>
      <c r="AQ709" s="757"/>
      <c r="AR709" s="757"/>
      <c r="AS709" s="757"/>
      <c r="AT709" s="962"/>
      <c r="AU709" s="757"/>
      <c r="AV709" s="757"/>
      <c r="AW709" s="757"/>
      <c r="AX709" s="757"/>
      <c r="AY709" s="962"/>
      <c r="AZ709" s="757"/>
      <c r="BA709" s="757"/>
      <c r="BB709" s="757"/>
      <c r="BC709" s="757"/>
      <c r="BD709" s="962"/>
      <c r="BE709" s="757"/>
      <c r="BF709" s="757"/>
      <c r="BG709" s="757"/>
      <c r="BH709" s="757"/>
      <c r="BI709" s="962"/>
      <c r="BJ709" s="757"/>
      <c r="BK709" s="757"/>
      <c r="BL709" s="757"/>
      <c r="BM709" s="757"/>
      <c r="BN709" s="962"/>
      <c r="BO709" s="757"/>
      <c r="BP709" s="757"/>
      <c r="BQ709" s="757"/>
      <c r="BR709" s="757"/>
      <c r="BS709" s="962"/>
      <c r="BT709" s="758"/>
      <c r="BU709" s="757"/>
      <c r="BV709" s="757"/>
      <c r="BW709" s="757"/>
      <c r="BX709" s="962"/>
      <c r="BY709" s="757"/>
      <c r="BZ709" s="757"/>
      <c r="CA709" s="757"/>
      <c r="CB709" s="757"/>
      <c r="CC709" s="962"/>
      <c r="CD709" s="962"/>
      <c r="CE709" s="962"/>
      <c r="CF709" s="962"/>
      <c r="CG709" s="757"/>
    </row>
    <row r="710" spans="1:85" s="587" customFormat="1" ht="15" hidden="1" customHeight="1" outlineLevel="3" x14ac:dyDescent="0.3">
      <c r="A710" s="262" t="s">
        <v>2307</v>
      </c>
      <c r="B710" s="414"/>
      <c r="C710" s="973"/>
      <c r="D710" s="973"/>
      <c r="E710" s="973"/>
      <c r="F710" s="973"/>
      <c r="G710" s="59"/>
      <c r="H710" s="59"/>
      <c r="I710" s="59"/>
      <c r="J710" s="59"/>
      <c r="K710" s="973"/>
      <c r="L710" s="59"/>
      <c r="M710" s="59"/>
      <c r="N710" s="59"/>
      <c r="O710" s="59"/>
      <c r="P710" s="973"/>
      <c r="Q710" s="59"/>
      <c r="R710" s="59"/>
      <c r="S710" s="59"/>
      <c r="T710" s="59"/>
      <c r="U710" s="973"/>
      <c r="V710" s="59"/>
      <c r="W710" s="59"/>
      <c r="X710" s="59"/>
      <c r="Y710" s="59"/>
      <c r="Z710" s="973"/>
      <c r="AA710" s="59"/>
      <c r="AB710" s="59"/>
      <c r="AC710" s="59"/>
      <c r="AD710" s="59">
        <f t="shared" ref="AD710:BN710" si="1224">AD1349</f>
      </c>
      <c r="AE710" s="973">
        <f t="shared" si="1224"/>
      </c>
      <c r="AF710" s="59">
        <f t="shared" si="1224"/>
      </c>
      <c r="AG710" s="59" t="str">
        <f t="shared" si="1224"/>
      </c>
      <c r="AH710" s="59" t="str">
        <f t="shared" si="1224"/>
      </c>
      <c r="AI710" s="59" t="str">
        <f t="shared" si="1224"/>
      </c>
      <c r="AJ710" s="973" t="str">
        <f t="shared" si="1224"/>
      </c>
      <c r="AK710" s="59" t="str">
        <f t="shared" si="1224"/>
      </c>
      <c r="AL710" s="59" t="str">
        <f t="shared" si="1224"/>
      </c>
      <c r="AM710" s="59">
        <f t="shared" si="1224"/>
      </c>
      <c r="AN710" s="59" t="str">
        <f t="shared" si="1224"/>
      </c>
      <c r="AO710" s="973" t="str">
        <f t="shared" si="1224"/>
      </c>
      <c r="AP710" s="59" t="str">
        <f t="shared" si="1224"/>
      </c>
      <c r="AQ710" s="59" t="str">
        <f t="shared" si="1224"/>
      </c>
      <c r="AR710" s="59">
        <f t="shared" si="1224"/>
      </c>
      <c r="AS710" s="59" t="str">
        <f t="shared" si="1224"/>
      </c>
      <c r="AT710" s="973" t="str">
        <f t="shared" si="1224"/>
      </c>
      <c r="AU710" s="59" t="str">
        <f t="shared" si="1224"/>
      </c>
      <c r="AV710" s="59" t="str">
        <f t="shared" si="1224"/>
      </c>
      <c r="AW710" s="59">
        <f t="shared" si="1224"/>
      </c>
      <c r="AX710" s="59">
        <f t="shared" si="1224"/>
      </c>
      <c r="AY710" s="973">
        <f t="shared" si="1224"/>
      </c>
      <c r="AZ710" s="59">
        <f t="shared" si="1224"/>
      </c>
      <c r="BA710" s="59">
        <f t="shared" si="1224"/>
      </c>
      <c r="BB710" s="59" t="str">
        <f t="shared" si="1224"/>
      </c>
      <c r="BC710" s="59" t="str">
        <f t="shared" si="1224"/>
      </c>
      <c r="BD710" s="973" t="str">
        <f t="shared" si="1224"/>
      </c>
      <c r="BE710" s="59">
        <f t="shared" si="1224"/>
      </c>
      <c r="BF710" s="59">
        <f t="shared" si="1224"/>
      </c>
      <c r="BG710" s="59">
        <f t="shared" si="1224"/>
      </c>
      <c r="BH710" s="59">
        <f t="shared" si="1224"/>
      </c>
      <c r="BI710" s="973">
        <f t="shared" si="1224"/>
      </c>
      <c r="BJ710" s="59">
        <f t="shared" si="1224"/>
      </c>
      <c r="BK710" s="59">
        <f t="shared" si="1224"/>
      </c>
      <c r="BL710" s="59">
        <f t="shared" si="1224"/>
      </c>
      <c r="BM710" s="59">
        <f t="shared" si="1224"/>
      </c>
      <c r="BN710" s="973">
        <f t="shared" si="1224"/>
      </c>
      <c r="BO710" s="59">
        <f t="shared" ref="BO710:BO711" si="1225">BO1349</f>
      </c>
      <c r="BP710" s="59">
        <f t="shared" ref="BP710:BS711" si="1226">BP1349</f>
      </c>
      <c r="BQ710" s="59">
        <f t="shared" si="1226"/>
      </c>
      <c r="BR710" s="59">
        <f t="shared" si="1226"/>
      </c>
      <c r="BS710" s="973">
        <f t="shared" si="1226"/>
      </c>
      <c r="BT710" s="675">
        <f>BT1349</f>
      </c>
      <c r="BU710" s="59"/>
      <c r="BV710" s="59"/>
      <c r="BW710" s="59"/>
      <c r="BX710" s="973"/>
      <c r="BY710" s="59"/>
      <c r="BZ710" s="59"/>
      <c r="CA710" s="59"/>
      <c r="CB710" s="59"/>
      <c r="CC710" s="973"/>
      <c r="CD710" s="973"/>
      <c r="CE710" s="973"/>
      <c r="CF710" s="973"/>
      <c r="CG710" s="757"/>
    </row>
    <row r="711" spans="1:85" s="587" customFormat="1" ht="15" hidden="1" customHeight="1" outlineLevel="3" x14ac:dyDescent="0.3">
      <c r="A711" s="324" t="s">
        <v>2308</v>
      </c>
      <c r="B711" s="416"/>
      <c r="C711" s="975"/>
      <c r="D711" s="975"/>
      <c r="E711" s="975"/>
      <c r="F711" s="975"/>
      <c r="G711" s="157"/>
      <c r="H711" s="157"/>
      <c r="I711" s="157"/>
      <c r="J711" s="157"/>
      <c r="K711" s="975"/>
      <c r="L711" s="157"/>
      <c r="M711" s="157"/>
      <c r="N711" s="157"/>
      <c r="O711" s="157"/>
      <c r="P711" s="975"/>
      <c r="Q711" s="157"/>
      <c r="R711" s="157"/>
      <c r="S711" s="157"/>
      <c r="T711" s="157"/>
      <c r="U711" s="975"/>
      <c r="V711" s="157"/>
      <c r="W711" s="157"/>
      <c r="X711" s="157"/>
      <c r="Y711" s="157"/>
      <c r="Z711" s="975"/>
      <c r="AA711" s="157"/>
      <c r="AB711" s="157"/>
      <c r="AC711" s="157"/>
      <c r="AD711" s="157">
        <f t="shared" ref="AD711:BN711" si="1227">AD1350</f>
      </c>
      <c r="AE711" s="975">
        <f t="shared" si="1227"/>
      </c>
      <c r="AF711" s="157">
        <f t="shared" si="1227"/>
      </c>
      <c r="AG711" s="157" t="str">
        <f t="shared" si="1227"/>
      </c>
      <c r="AH711" s="157" t="str">
        <f t="shared" si="1227"/>
      </c>
      <c r="AI711" s="157" t="str">
        <f t="shared" si="1227"/>
      </c>
      <c r="AJ711" s="975" t="str">
        <f t="shared" si="1227"/>
      </c>
      <c r="AK711" s="157" t="str">
        <f t="shared" si="1227"/>
      </c>
      <c r="AL711" s="157" t="str">
        <f t="shared" si="1227"/>
      </c>
      <c r="AM711" s="157">
        <f t="shared" si="1227"/>
      </c>
      <c r="AN711" s="157" t="str">
        <f t="shared" si="1227"/>
      </c>
      <c r="AO711" s="975" t="str">
        <f t="shared" si="1227"/>
      </c>
      <c r="AP711" s="157" t="str">
        <f t="shared" si="1227"/>
      </c>
      <c r="AQ711" s="157" t="str">
        <f t="shared" si="1227"/>
      </c>
      <c r="AR711" s="157">
        <f t="shared" si="1227"/>
      </c>
      <c r="AS711" s="157" t="str">
        <f t="shared" si="1227"/>
      </c>
      <c r="AT711" s="975" t="str">
        <f t="shared" si="1227"/>
      </c>
      <c r="AU711" s="157" t="str">
        <f t="shared" si="1227"/>
      </c>
      <c r="AV711" s="157" t="str">
        <f t="shared" si="1227"/>
      </c>
      <c r="AW711" s="157">
        <f t="shared" si="1227"/>
      </c>
      <c r="AX711" s="157">
        <f t="shared" si="1227"/>
      </c>
      <c r="AY711" s="975">
        <f t="shared" si="1227"/>
      </c>
      <c r="AZ711" s="157">
        <f t="shared" si="1227"/>
      </c>
      <c r="BA711" s="157">
        <f t="shared" si="1227"/>
      </c>
      <c r="BB711" s="157" t="str">
        <f t="shared" si="1227"/>
      </c>
      <c r="BC711" s="157" t="str">
        <f t="shared" si="1227"/>
      </c>
      <c r="BD711" s="975" t="str">
        <f t="shared" si="1227"/>
      </c>
      <c r="BE711" s="157">
        <f t="shared" si="1227"/>
      </c>
      <c r="BF711" s="157">
        <f t="shared" si="1227"/>
      </c>
      <c r="BG711" s="157">
        <f t="shared" si="1227"/>
      </c>
      <c r="BH711" s="157">
        <f t="shared" si="1227"/>
      </c>
      <c r="BI711" s="975">
        <f t="shared" si="1227"/>
      </c>
      <c r="BJ711" s="157">
        <f t="shared" si="1227"/>
      </c>
      <c r="BK711" s="157">
        <f t="shared" si="1227"/>
      </c>
      <c r="BL711" s="157">
        <f t="shared" si="1227"/>
      </c>
      <c r="BM711" s="157">
        <f t="shared" si="1227"/>
      </c>
      <c r="BN711" s="975">
        <f t="shared" si="1227"/>
      </c>
      <c r="BO711" s="157">
        <f t="shared" si="1225"/>
      </c>
      <c r="BP711" s="157">
        <f t="shared" si="1226"/>
      </c>
      <c r="BQ711" s="157">
        <f t="shared" si="1226"/>
      </c>
      <c r="BR711" s="157">
        <f t="shared" si="1226"/>
      </c>
      <c r="BS711" s="975">
        <f t="shared" si="1226"/>
      </c>
      <c r="BT711" s="676">
        <f>BT1350</f>
      </c>
      <c r="BU711" s="157"/>
      <c r="BV711" s="157"/>
      <c r="BW711" s="157"/>
      <c r="BX711" s="975"/>
      <c r="BY711" s="157"/>
      <c r="BZ711" s="157"/>
      <c r="CA711" s="157"/>
      <c r="CB711" s="157"/>
      <c r="CC711" s="975"/>
      <c r="CD711" s="975"/>
      <c r="CE711" s="975"/>
      <c r="CF711" s="975"/>
      <c r="CG711" s="757"/>
    </row>
    <row r="712" spans="1:85" s="587" customFormat="1" ht="15" hidden="1" customHeight="1" outlineLevel="2" collapsed="1" x14ac:dyDescent="0.3">
      <c r="A712" s="325" t="s">
        <v>2309</v>
      </c>
      <c r="B712" s="428"/>
      <c r="C712" s="977"/>
      <c r="D712" s="977"/>
      <c r="E712" s="977"/>
      <c r="F712" s="977"/>
      <c r="G712" s="184"/>
      <c r="H712" s="184"/>
      <c r="I712" s="184"/>
      <c r="J712" s="184"/>
      <c r="K712" s="977"/>
      <c r="L712" s="184"/>
      <c r="M712" s="184"/>
      <c r="N712" s="184"/>
      <c r="O712" s="184"/>
      <c r="P712" s="977"/>
      <c r="Q712" s="184"/>
      <c r="R712" s="184"/>
      <c r="S712" s="184"/>
      <c r="T712" s="184"/>
      <c r="U712" s="977"/>
      <c r="V712" s="184"/>
      <c r="W712" s="184"/>
      <c r="X712" s="184"/>
      <c r="Y712" s="184"/>
      <c r="Z712" s="977"/>
      <c r="AA712" s="184"/>
      <c r="AB712" s="184"/>
      <c r="AC712" s="184"/>
      <c r="AD712" s="184">
        <f t="shared" ref="AD712:AL712" si="1228">IFERROR(AVERAGE(AD711,AD710),"")</f>
      </c>
      <c r="AE712" s="977">
        <f t="shared" si="1228"/>
      </c>
      <c r="AF712" s="184">
        <f t="shared" si="1228"/>
      </c>
      <c r="AG712" s="184" t="str">
        <f t="shared" si="1228"/>
      </c>
      <c r="AH712" s="184" t="str">
        <f t="shared" si="1228"/>
      </c>
      <c r="AI712" s="184" t="str">
        <f t="shared" si="1228"/>
      </c>
      <c r="AJ712" s="977" t="str">
        <f t="shared" si="1228"/>
      </c>
      <c r="AK712" s="184" t="str">
        <f t="shared" si="1228"/>
      </c>
      <c r="AL712" s="184" t="str">
        <f t="shared" si="1228"/>
      </c>
      <c r="AM712" s="184">
        <f t="shared" ref="AM712:BP712" si="1229">IFERROR(AVERAGE(AM711,AM710),"")</f>
      </c>
      <c r="AN712" s="184" t="str">
        <f t="shared" si="1229"/>
      </c>
      <c r="AO712" s="977" t="str">
        <f t="shared" si="1229"/>
      </c>
      <c r="AP712" s="184" t="str">
        <f t="shared" si="1229"/>
      </c>
      <c r="AQ712" s="184" t="str">
        <f t="shared" si="1229"/>
      </c>
      <c r="AR712" s="184">
        <f t="shared" si="1229"/>
      </c>
      <c r="AS712" s="184" t="str">
        <f t="shared" si="1229"/>
      </c>
      <c r="AT712" s="977" t="str">
        <f t="shared" si="1229"/>
      </c>
      <c r="AU712" s="184" t="str">
        <f t="shared" si="1229"/>
      </c>
      <c r="AV712" s="184" t="str">
        <f t="shared" si="1229"/>
      </c>
      <c r="AW712" s="184">
        <f t="shared" si="1229"/>
      </c>
      <c r="AX712" s="184">
        <f t="shared" si="1229"/>
      </c>
      <c r="AY712" s="977">
        <f t="shared" si="1229"/>
      </c>
      <c r="AZ712" s="184">
        <f t="shared" si="1229"/>
      </c>
      <c r="BA712" s="184">
        <f t="shared" si="1229"/>
      </c>
      <c r="BB712" s="184" t="str">
        <f t="shared" si="1229"/>
      </c>
      <c r="BC712" s="184" t="str">
        <f t="shared" si="1229"/>
      </c>
      <c r="BD712" s="977" t="str">
        <f t="shared" si="1229"/>
      </c>
      <c r="BE712" s="184">
        <f t="shared" si="1229"/>
      </c>
      <c r="BF712" s="184">
        <f t="shared" si="1229"/>
      </c>
      <c r="BG712" s="184">
        <f t="shared" si="1229"/>
      </c>
      <c r="BH712" s="184">
        <f t="shared" si="1229"/>
      </c>
      <c r="BI712" s="977">
        <f t="shared" si="1229"/>
      </c>
      <c r="BJ712" s="184">
        <f t="shared" si="1229"/>
      </c>
      <c r="BK712" s="184">
        <f t="shared" si="1229"/>
      </c>
      <c r="BL712" s="184">
        <f t="shared" si="1229"/>
      </c>
      <c r="BM712" s="184">
        <f t="shared" si="1229"/>
      </c>
      <c r="BN712" s="977">
        <f t="shared" si="1229"/>
      </c>
      <c r="BO712" s="184">
        <f t="shared" si="1229"/>
      </c>
      <c r="BP712" s="184">
        <f t="shared" si="1229"/>
      </c>
      <c r="BQ712" s="184">
        <f>IFERROR(AVERAGE(BQ711,BQ710),"")</f>
      </c>
      <c r="BR712" s="184">
        <f>IFERROR(AVERAGE(BR711,BR710),"")</f>
      </c>
      <c r="BS712" s="977">
        <f>IFERROR(AVERAGE(BS711,BS710),"")</f>
      </c>
      <c r="BT712" s="678">
        <f>IFERROR(AVERAGE(BT711,BT710),"")</f>
      </c>
      <c r="BU712" s="184"/>
      <c r="BV712" s="184"/>
      <c r="BW712" s="184"/>
      <c r="BX712" s="977"/>
      <c r="BY712" s="184"/>
      <c r="BZ712" s="184"/>
      <c r="CA712" s="184"/>
      <c r="CB712" s="184"/>
      <c r="CC712" s="977"/>
      <c r="CD712" s="977"/>
      <c r="CE712" s="977"/>
      <c r="CF712" s="977"/>
      <c r="CG712" s="757"/>
    </row>
    <row r="713" spans="1:85" s="587" customFormat="1" ht="15" hidden="1" customHeight="1" outlineLevel="2" x14ac:dyDescent="0.3">
      <c r="A713" s="328" t="s">
        <v>2310</v>
      </c>
      <c r="B713" s="414"/>
      <c r="C713" s="950"/>
      <c r="D713" s="950"/>
      <c r="E713" s="950"/>
      <c r="F713" s="950"/>
      <c r="G713" s="204"/>
      <c r="H713" s="204"/>
      <c r="I713" s="204"/>
      <c r="J713" s="204"/>
      <c r="K713" s="950"/>
      <c r="L713" s="204"/>
      <c r="M713" s="204"/>
      <c r="N713" s="204"/>
      <c r="O713" s="204"/>
      <c r="P713" s="950"/>
      <c r="Q713" s="204"/>
      <c r="R713" s="204"/>
      <c r="S713" s="204"/>
      <c r="T713" s="204"/>
      <c r="U713" s="950"/>
      <c r="V713" s="204"/>
      <c r="W713" s="204"/>
      <c r="X713" s="204"/>
      <c r="Y713" s="204"/>
      <c r="Z713" s="950"/>
      <c r="AA713" s="204"/>
      <c r="AB713" s="204"/>
      <c r="AC713" s="204"/>
      <c r="AD713" s="204">
        <f t="shared" ref="AD713:AL713" si="1230">IFERROR(ABS(AD711-AD712)*10000,"")</f>
      </c>
      <c r="AE713" s="950">
        <f t="shared" si="1230"/>
      </c>
      <c r="AF713" s="204">
        <f t="shared" si="1230"/>
      </c>
      <c r="AG713" s="204" t="str">
        <f t="shared" si="1230"/>
      </c>
      <c r="AH713" s="204" t="str">
        <f t="shared" si="1230"/>
      </c>
      <c r="AI713" s="204" t="str">
        <f t="shared" si="1230"/>
      </c>
      <c r="AJ713" s="950" t="str">
        <f t="shared" si="1230"/>
      </c>
      <c r="AK713" s="204" t="str">
        <f t="shared" si="1230"/>
      </c>
      <c r="AL713" s="204" t="str">
        <f t="shared" si="1230"/>
      </c>
      <c r="AM713" s="204">
        <f t="shared" ref="AM713:BP713" si="1231">IFERROR(ABS(AM711-AM712)*10000,"")</f>
      </c>
      <c r="AN713" s="204" t="str">
        <f t="shared" si="1231"/>
      </c>
      <c r="AO713" s="950" t="str">
        <f t="shared" si="1231"/>
      </c>
      <c r="AP713" s="204" t="str">
        <f t="shared" si="1231"/>
      </c>
      <c r="AQ713" s="204" t="str">
        <f t="shared" si="1231"/>
      </c>
      <c r="AR713" s="204">
        <f t="shared" si="1231"/>
      </c>
      <c r="AS713" s="204" t="str">
        <f t="shared" si="1231"/>
      </c>
      <c r="AT713" s="950" t="str">
        <f t="shared" si="1231"/>
      </c>
      <c r="AU713" s="204" t="str">
        <f t="shared" si="1231"/>
      </c>
      <c r="AV713" s="204" t="str">
        <f t="shared" si="1231"/>
      </c>
      <c r="AW713" s="204">
        <f t="shared" si="1231"/>
      </c>
      <c r="AX713" s="204">
        <f t="shared" si="1231"/>
      </c>
      <c r="AY713" s="950">
        <f t="shared" si="1231"/>
      </c>
      <c r="AZ713" s="204">
        <f t="shared" si="1231"/>
      </c>
      <c r="BA713" s="204">
        <f t="shared" si="1231"/>
      </c>
      <c r="BB713" s="204" t="str">
        <f t="shared" si="1231"/>
      </c>
      <c r="BC713" s="204" t="str">
        <f t="shared" si="1231"/>
      </c>
      <c r="BD713" s="950" t="str">
        <f t="shared" si="1231"/>
      </c>
      <c r="BE713" s="204">
        <f t="shared" si="1231"/>
      </c>
      <c r="BF713" s="204">
        <f t="shared" si="1231"/>
      </c>
      <c r="BG713" s="204">
        <f t="shared" si="1231"/>
      </c>
      <c r="BH713" s="204">
        <f t="shared" si="1231"/>
      </c>
      <c r="BI713" s="950">
        <f t="shared" si="1231"/>
      </c>
      <c r="BJ713" s="204">
        <f t="shared" si="1231"/>
      </c>
      <c r="BK713" s="204">
        <f t="shared" si="1231"/>
      </c>
      <c r="BL713" s="204">
        <f t="shared" si="1231"/>
      </c>
      <c r="BM713" s="204">
        <f t="shared" si="1231"/>
      </c>
      <c r="BN713" s="950">
        <f t="shared" si="1231"/>
      </c>
      <c r="BO713" s="204">
        <f t="shared" si="1231"/>
      </c>
      <c r="BP713" s="204">
        <f t="shared" si="1231"/>
      </c>
      <c r="BQ713" s="204">
        <f>IFERROR(ABS(BQ711-BQ712)*10000,"")</f>
      </c>
      <c r="BR713" s="204">
        <f>IFERROR(ABS(BR711-BR712)*10000,"")</f>
      </c>
      <c r="BS713" s="950">
        <f>IFERROR(ABS(BS711-BS712)*10000,"")</f>
      </c>
      <c r="BT713" s="294">
        <f>IFERROR(ABS(BT711-BT712)*10000,"")</f>
      </c>
      <c r="BU713" s="204"/>
      <c r="BV713" s="204"/>
      <c r="BW713" s="204"/>
      <c r="BX713" s="950"/>
      <c r="BY713" s="204"/>
      <c r="BZ713" s="204"/>
      <c r="CA713" s="204"/>
      <c r="CB713" s="204"/>
      <c r="CC713" s="950"/>
      <c r="CD713" s="950"/>
      <c r="CE713" s="950"/>
      <c r="CF713" s="950"/>
      <c r="CG713" s="757"/>
    </row>
    <row r="714" spans="1:85" s="587" customFormat="1" ht="15" hidden="1" customHeight="1" outlineLevel="3" x14ac:dyDescent="0.3">
      <c r="A714" s="572" t="s">
        <v>2311</v>
      </c>
      <c r="B714" s="770"/>
      <c r="C714" s="1038"/>
      <c r="D714" s="1038"/>
      <c r="E714" s="1038"/>
      <c r="F714" s="1038"/>
      <c r="G714" s="573"/>
      <c r="H714" s="573"/>
      <c r="I714" s="573"/>
      <c r="J714" s="573"/>
      <c r="K714" s="1038"/>
      <c r="L714" s="573"/>
      <c r="M714" s="573"/>
      <c r="N714" s="573"/>
      <c r="O714" s="573"/>
      <c r="P714" s="1038"/>
      <c r="Q714" s="573"/>
      <c r="R714" s="573"/>
      <c r="S714" s="573"/>
      <c r="T714" s="573"/>
      <c r="U714" s="1038"/>
      <c r="V714" s="573"/>
      <c r="W714" s="573"/>
      <c r="X714" s="573"/>
      <c r="Y714" s="573"/>
      <c r="Z714" s="1038"/>
      <c r="AA714" s="573"/>
      <c r="AB714" s="573"/>
      <c r="AC714" s="573"/>
      <c r="AD714" s="573">
        <f>IFERROR((AD710-AE668)*10000,"")</f>
      </c>
      <c r="AE714" s="1038">
        <f>IFERROR((AE710-AE668)*10000,"")</f>
      </c>
      <c r="AF714" s="573">
        <f>IFERROR((AF710-AE668)*10000,"")</f>
      </c>
      <c r="AG714" s="573" t="str">
        <f>IFERROR((AG710-AE668)*10000,"")</f>
      </c>
      <c r="AH714" s="573" t="str">
        <f>IFERROR((AH710-AE668)*10000,"")</f>
      </c>
      <c r="AI714" s="573" t="str">
        <f>IFERROR((AI710-AJ668)*10000,"")</f>
      </c>
      <c r="AJ714" s="1038" t="str">
        <f>IFERROR((AJ710-AJ668)*10000,"")</f>
      </c>
      <c r="AK714" s="573" t="str">
        <f>IFERROR((AK710-AJ668)*10000,"")</f>
      </c>
      <c r="AL714" s="573" t="str">
        <f>IFERROR((AL710-AJ668)*10000,"")</f>
      </c>
      <c r="AM714" s="573">
        <f>IFERROR((AM710-AJ668)*10000,"")</f>
      </c>
      <c r="AN714" s="573" t="str">
        <f>IFERROR((AN710-AO668)*10000,"")</f>
      </c>
      <c r="AO714" s="1038" t="str">
        <f>IFERROR((AO710-AO668)*10000,"")</f>
      </c>
      <c r="AP714" s="573" t="str">
        <f>IFERROR((AP710-AO668)*10000,"")</f>
      </c>
      <c r="AQ714" s="573" t="str">
        <f>IFERROR((AQ710-AO668)*10000,"")</f>
      </c>
      <c r="AR714" s="573">
        <f>IFERROR((AR710-AO668)*10000,"")</f>
      </c>
      <c r="AS714" s="573" t="str">
        <f>IFERROR((AS710-AT668)*10000,"")</f>
      </c>
      <c r="AT714" s="1038" t="str">
        <f>IFERROR((AT710-AT668)*10000,"")</f>
      </c>
      <c r="AU714" s="573" t="str">
        <f>IFERROR((AU710-AT668)*10000,"")</f>
      </c>
      <c r="AV714" s="573" t="str">
        <f>IFERROR((AV710-AT668)*10000,"")</f>
      </c>
      <c r="AW714" s="573">
        <f>IFERROR((AW710-AT668)*10000,"")</f>
      </c>
      <c r="AX714" s="573">
        <f>IFERROR((AX710-AY668)*10000,"")</f>
      </c>
      <c r="AY714" s="1038">
        <f>IFERROR((AY710-AY668)*10000,"")</f>
      </c>
      <c r="AZ714" s="573">
        <f>IFERROR((AZ710-AY668)*10000,"")</f>
      </c>
      <c r="BA714" s="573">
        <f>IFERROR((BA710-AY668)*10000,"")</f>
      </c>
      <c r="BB714" s="573" t="str">
        <f>IFERROR((BB710-AY668)*10000,"")</f>
      </c>
      <c r="BC714" s="573" t="str">
        <f>IFERROR((BC710-BD668)*10000,"")</f>
      </c>
      <c r="BD714" s="1038" t="str">
        <f>IFERROR((BD710-BD668)*10000,"")</f>
      </c>
      <c r="BE714" s="573">
        <f>IFERROR((BE710-BD668)*10000,"")</f>
      </c>
      <c r="BF714" s="573">
        <f>IFERROR((BF710-BD668)*10000,"")</f>
      </c>
      <c r="BG714" s="573">
        <f>IFERROR((BG710-BD668)*10000,"")</f>
      </c>
      <c r="BH714" s="573">
        <f>IFERROR((BH710-BI668)*10000,"")</f>
      </c>
      <c r="BI714" s="1038">
        <f>IFERROR((BI710-BI668)*10000,"")</f>
      </c>
      <c r="BJ714" s="573">
        <f>IFERROR((BJ710-BI668)*10000,"")</f>
      </c>
      <c r="BK714" s="573">
        <f>IFERROR((BK710-BI668)*10000,"")</f>
      </c>
      <c r="BL714" s="573">
        <f>IFERROR((BL710-BI668)*10000,"")</f>
      </c>
      <c r="BM714" s="573">
        <f>IFERROR((BM710-BN668)*10000,"")</f>
      </c>
      <c r="BN714" s="1038">
        <f>IFERROR((BN710-BN668)*10000,"")</f>
      </c>
      <c r="BO714" s="573">
        <f>IFERROR((BO710-BN668)*10000,"")</f>
      </c>
      <c r="BP714" s="573">
        <f>IFERROR((BP710-BN668)*10000,"")</f>
      </c>
      <c r="BQ714" s="573">
        <f>IFERROR((BQ710-BN668)*10000,"")</f>
      </c>
      <c r="BR714" s="573">
        <f>IFERROR((BR710-BS668)*10000,"")</f>
      </c>
      <c r="BS714" s="1038">
        <f>IFERROR((BS710-BS668)*10000,"")</f>
      </c>
      <c r="BT714" s="706">
        <f>IFERROR((BT710-BS668)*10000,"")</f>
      </c>
      <c r="BU714" s="573"/>
      <c r="BV714" s="573"/>
      <c r="BW714" s="573"/>
      <c r="BX714" s="1038"/>
      <c r="BY714" s="573"/>
      <c r="BZ714" s="573"/>
      <c r="CA714" s="573"/>
      <c r="CB714" s="573"/>
      <c r="CC714" s="1038"/>
      <c r="CD714" s="1038"/>
      <c r="CE714" s="1038"/>
      <c r="CF714" s="1038"/>
      <c r="CG714" s="757"/>
    </row>
    <row r="715" spans="1:85" s="587" customFormat="1" ht="15" hidden="1" customHeight="1" outlineLevel="3" x14ac:dyDescent="0.3">
      <c r="A715" s="574" t="s">
        <v>2312</v>
      </c>
      <c r="B715" s="563"/>
      <c r="C715" s="1039"/>
      <c r="D715" s="1039"/>
      <c r="E715" s="1039"/>
      <c r="F715" s="1039"/>
      <c r="G715" s="575"/>
      <c r="H715" s="575"/>
      <c r="I715" s="575"/>
      <c r="J715" s="575"/>
      <c r="K715" s="1039"/>
      <c r="L715" s="575"/>
      <c r="M715" s="575"/>
      <c r="N715" s="575"/>
      <c r="O715" s="575"/>
      <c r="P715" s="1039"/>
      <c r="Q715" s="575"/>
      <c r="R715" s="575"/>
      <c r="S715" s="575"/>
      <c r="T715" s="575"/>
      <c r="U715" s="1039"/>
      <c r="V715" s="575"/>
      <c r="W715" s="575"/>
      <c r="X715" s="575"/>
      <c r="Y715" s="575"/>
      <c r="Z715" s="1039"/>
      <c r="AA715" s="575"/>
      <c r="AB715" s="575"/>
      <c r="AC715" s="575"/>
      <c r="AD715" s="575">
        <f>IFERROR((AD711-AE668)*10000,"")</f>
      </c>
      <c r="AE715" s="1039">
        <f>IFERROR((AE711-AE668)*10000,"")</f>
      </c>
      <c r="AF715" s="575">
        <f>IFERROR((AF711-AE668)*10000,"")</f>
      </c>
      <c r="AG715" s="575" t="str">
        <f>IFERROR((AG711-AE668)*10000,"")</f>
      </c>
      <c r="AH715" s="575" t="str">
        <f>IFERROR((AH711-AE668)*10000,"")</f>
      </c>
      <c r="AI715" s="575" t="str">
        <f>IFERROR((AI711-AJ668)*10000,"")</f>
      </c>
      <c r="AJ715" s="1039" t="str">
        <f>IFERROR((AJ711-AJ668)*10000,"")</f>
      </c>
      <c r="AK715" s="575" t="str">
        <f>IFERROR((AK711-AJ668)*10000,"")</f>
      </c>
      <c r="AL715" s="575" t="str">
        <f>IFERROR((AL711-AJ668)*10000,"")</f>
      </c>
      <c r="AM715" s="575">
        <f>IFERROR((AM711-AJ668)*10000,"")</f>
      </c>
      <c r="AN715" s="575" t="str">
        <f>IFERROR((AN711-AO668)*10000,"")</f>
      </c>
      <c r="AO715" s="1039" t="str">
        <f>IFERROR((AO711-AO668)*10000,"")</f>
      </c>
      <c r="AP715" s="575" t="str">
        <f>IFERROR((AP711-AO668)*10000,"")</f>
      </c>
      <c r="AQ715" s="575" t="str">
        <f>IFERROR((AQ711-AO668)*10000,"")</f>
      </c>
      <c r="AR715" s="575">
        <f>IFERROR((AR711-AO668)*10000,"")</f>
      </c>
      <c r="AS715" s="575" t="str">
        <f>IFERROR((AS711-AT668)*10000,"")</f>
      </c>
      <c r="AT715" s="1039" t="str">
        <f>IFERROR((AT711-AT668)*10000,"")</f>
      </c>
      <c r="AU715" s="575" t="str">
        <f>IFERROR((AU711-AT668)*10000,"")</f>
      </c>
      <c r="AV715" s="575" t="str">
        <f>IFERROR((AV711-AT668)*10000,"")</f>
      </c>
      <c r="AW715" s="575">
        <f>IFERROR((AW711-AT668)*10000,"")</f>
      </c>
      <c r="AX715" s="575">
        <f>IFERROR((AX711-AY668)*10000,"")</f>
      </c>
      <c r="AY715" s="1039">
        <f>IFERROR((AY711-AY668)*10000,"")</f>
      </c>
      <c r="AZ715" s="575">
        <f>IFERROR((AZ711-AY668)*10000,"")</f>
      </c>
      <c r="BA715" s="575">
        <f>IFERROR((BA711-AY668)*10000,"")</f>
      </c>
      <c r="BB715" s="575" t="str">
        <f>IFERROR((BB711-AY668)*10000,"")</f>
      </c>
      <c r="BC715" s="575" t="str">
        <f>IFERROR((BC711-BD668)*10000,"")</f>
      </c>
      <c r="BD715" s="1039" t="str">
        <f>IFERROR((BD711-BD668)*10000,"")</f>
      </c>
      <c r="BE715" s="575">
        <f>IFERROR((BE711-BD668)*10000,"")</f>
      </c>
      <c r="BF715" s="575">
        <f>IFERROR((BF711-BD668)*10000,"")</f>
      </c>
      <c r="BG715" s="575">
        <f>IFERROR((BG711-BD668)*10000,"")</f>
      </c>
      <c r="BH715" s="575">
        <f>IFERROR((BH711-BI668)*10000,"")</f>
      </c>
      <c r="BI715" s="1039">
        <f>IFERROR((BI711-BI668)*10000,"")</f>
      </c>
      <c r="BJ715" s="575">
        <f>IFERROR((BJ711-BI668)*10000,"")</f>
      </c>
      <c r="BK715" s="575">
        <f>IFERROR((BK711-BI668)*10000,"")</f>
      </c>
      <c r="BL715" s="575">
        <f>IFERROR((BL711-BI668)*10000,"")</f>
      </c>
      <c r="BM715" s="575">
        <f>IFERROR((BM711-BN668)*10000,"")</f>
      </c>
      <c r="BN715" s="1039">
        <f>IFERROR((BN711-BN668)*10000,"")</f>
      </c>
      <c r="BO715" s="575">
        <f>IFERROR((BO711-BN668)*10000,"")</f>
      </c>
      <c r="BP715" s="575">
        <f>IFERROR((BP711-BN668)*10000,"")</f>
      </c>
      <c r="BQ715" s="575">
        <f>IFERROR((BQ711-BN668)*10000,"")</f>
      </c>
      <c r="BR715" s="575">
        <f>IFERROR((BR711-BS668)*10000,"")</f>
      </c>
      <c r="BS715" s="1039">
        <f>IFERROR((BS711-BS668)*10000,"")</f>
      </c>
      <c r="BT715" s="707">
        <f>IFERROR((BT711-BS668)*10000,"")</f>
      </c>
      <c r="BU715" s="575"/>
      <c r="BV715" s="575"/>
      <c r="BW715" s="575"/>
      <c r="BX715" s="1039"/>
      <c r="BY715" s="575"/>
      <c r="BZ715" s="575"/>
      <c r="CA715" s="575"/>
      <c r="CB715" s="575"/>
      <c r="CC715" s="1039"/>
      <c r="CD715" s="1039"/>
      <c r="CE715" s="1039"/>
      <c r="CF715" s="1039"/>
      <c r="CG715" s="757"/>
    </row>
    <row r="716" spans="1:85" s="587" customFormat="1" ht="15" hidden="1" customHeight="1" outlineLevel="2" collapsed="1" x14ac:dyDescent="0.3">
      <c r="A716" s="327" t="s">
        <v>2313</v>
      </c>
      <c r="B716" s="770"/>
      <c r="C716" s="1038"/>
      <c r="D716" s="1038"/>
      <c r="E716" s="1038"/>
      <c r="F716" s="1038"/>
      <c r="G716" s="573"/>
      <c r="H716" s="573"/>
      <c r="I716" s="573"/>
      <c r="J716" s="573"/>
      <c r="K716" s="1038"/>
      <c r="L716" s="573"/>
      <c r="M716" s="573"/>
      <c r="N716" s="573"/>
      <c r="O716" s="573"/>
      <c r="P716" s="1038"/>
      <c r="Q716" s="573"/>
      <c r="R716" s="573"/>
      <c r="S716" s="573"/>
      <c r="T716" s="573"/>
      <c r="U716" s="1038"/>
      <c r="V716" s="573"/>
      <c r="W716" s="573"/>
      <c r="X716" s="573"/>
      <c r="Y716" s="573"/>
      <c r="Z716" s="1038"/>
      <c r="AA716" s="573"/>
      <c r="AB716" s="573"/>
      <c r="AC716" s="573"/>
      <c r="AD716" s="573">
        <f>IFERROR((AD712-AE668)*10000,"")</f>
      </c>
      <c r="AE716" s="1038">
        <f>IFERROR((AE712-AE668)*10000,"")</f>
      </c>
      <c r="AF716" s="573">
        <f>IFERROR((AF712-AE668)*10000,"")</f>
      </c>
      <c r="AG716" s="573" t="str">
        <f>IFERROR((AG712-AE668)*10000,"")</f>
      </c>
      <c r="AH716" s="573" t="str">
        <f>IFERROR((AH712-AE668)*10000,"")</f>
      </c>
      <c r="AI716" s="573" t="str">
        <f>IFERROR((AI712-AJ668)*10000,"")</f>
      </c>
      <c r="AJ716" s="1038" t="str">
        <f>IFERROR((AJ712-AJ668)*10000,"")</f>
      </c>
      <c r="AK716" s="573" t="str">
        <f>IFERROR((AK712-AJ668)*10000,"")</f>
      </c>
      <c r="AL716" s="573" t="str">
        <f>IFERROR((AL712-AJ668)*10000,"")</f>
      </c>
      <c r="AM716" s="573">
        <f>IFERROR((AM712-AJ668)*10000,"")</f>
      </c>
      <c r="AN716" s="573" t="str">
        <f>IFERROR((AN712-AO668)*10000,"")</f>
      </c>
      <c r="AO716" s="1038" t="str">
        <f>IFERROR((AO712-AO668)*10000,"")</f>
      </c>
      <c r="AP716" s="573" t="str">
        <f>IFERROR((AP712-AO668)*10000,"")</f>
      </c>
      <c r="AQ716" s="573" t="str">
        <f>IFERROR((AQ712-AO668)*10000,"")</f>
      </c>
      <c r="AR716" s="573">
        <f>IFERROR((AR712-AO668)*10000,"")</f>
      </c>
      <c r="AS716" s="573" t="str">
        <f>IFERROR((AS712-AT668)*10000,"")</f>
      </c>
      <c r="AT716" s="1038" t="str">
        <f>IFERROR((AT712-AT668)*10000,"")</f>
      </c>
      <c r="AU716" s="573" t="str">
        <f>IFERROR((AU712-AT668)*10000,"")</f>
      </c>
      <c r="AV716" s="573" t="str">
        <f>IFERROR((AV712-AT668)*10000,"")</f>
      </c>
      <c r="AW716" s="573">
        <f>IFERROR((AW712-AT668)*10000,"")</f>
      </c>
      <c r="AX716" s="573">
        <f>IFERROR((AX712-AY668)*10000,"")</f>
      </c>
      <c r="AY716" s="1038">
        <f>IFERROR((AY712-AY668)*10000,"")</f>
      </c>
      <c r="AZ716" s="573">
        <f>IFERROR((AZ712-AY668)*10000,"")</f>
      </c>
      <c r="BA716" s="573">
        <f>IFERROR((BA712-AY668)*10000,"")</f>
      </c>
      <c r="BB716" s="573" t="str">
        <f>IFERROR((BB712-AY668)*10000,"")</f>
      </c>
      <c r="BC716" s="573" t="str">
        <f>IFERROR((BC712-BD668)*10000,"")</f>
      </c>
      <c r="BD716" s="1038" t="str">
        <f>IFERROR((BD712-BD668)*10000,"")</f>
      </c>
      <c r="BE716" s="573">
        <f>IFERROR((BE712-BD668)*10000,"")</f>
      </c>
      <c r="BF716" s="573">
        <f>IFERROR((BF712-BD668)*10000,"")</f>
      </c>
      <c r="BG716" s="573">
        <f>IFERROR((BG712-BD668)*10000,"")</f>
      </c>
      <c r="BH716" s="573">
        <f>IFERROR((BH712-BI668)*10000,"")</f>
      </c>
      <c r="BI716" s="1038">
        <f>IFERROR((BI712-BI668)*10000,"")</f>
      </c>
      <c r="BJ716" s="573">
        <f>IFERROR((BJ712-BI668)*10000,"")</f>
      </c>
      <c r="BK716" s="573">
        <f>IFERROR((BK712-BI668)*10000,"")</f>
      </c>
      <c r="BL716" s="573">
        <f>IFERROR((BL712-BI668)*10000,"")</f>
      </c>
      <c r="BM716" s="573">
        <f>IFERROR((BM712-BN668)*10000,"")</f>
      </c>
      <c r="BN716" s="1038">
        <f>IFERROR((BN712-BN668)*10000,"")</f>
      </c>
      <c r="BO716" s="573">
        <f>IFERROR((BO712-BN668)*10000,"")</f>
      </c>
      <c r="BP716" s="573">
        <f>IFERROR((BP712-BN668)*10000,"")</f>
      </c>
      <c r="BQ716" s="573">
        <f>IFERROR((BQ712-BN668)*10000,"")</f>
      </c>
      <c r="BR716" s="573">
        <f>IFERROR((BR712-BS668)*10000,"")</f>
      </c>
      <c r="BS716" s="1038">
        <f>IFERROR((BS712-BS668)*10000,"")</f>
      </c>
      <c r="BT716" s="706">
        <f>IFERROR((BT712-BS668)*10000,"")</f>
      </c>
      <c r="BU716" s="573"/>
      <c r="BV716" s="573"/>
      <c r="BW716" s="573"/>
      <c r="BX716" s="1038"/>
      <c r="BY716" s="573"/>
      <c r="BZ716" s="573"/>
      <c r="CA716" s="573"/>
      <c r="CB716" s="573"/>
      <c r="CC716" s="1038"/>
      <c r="CD716" s="1038"/>
      <c r="CE716" s="1038"/>
      <c r="CF716" s="1038"/>
      <c r="CG716" s="757"/>
    </row>
    <row r="717" spans="1:85" s="587" customFormat="1" ht="15" hidden="1" customHeight="1" outlineLevel="1" collapsed="1" x14ac:dyDescent="0.3">
      <c r="A717" s="558"/>
      <c r="B717" s="414"/>
      <c r="C717" s="962"/>
      <c r="D717" s="962"/>
      <c r="E717" s="962"/>
      <c r="F717" s="962"/>
      <c r="G717" s="757"/>
      <c r="H717" s="757"/>
      <c r="I717" s="757"/>
      <c r="J717" s="757"/>
      <c r="K717" s="962"/>
      <c r="L717" s="757"/>
      <c r="M717" s="757"/>
      <c r="N717" s="757"/>
      <c r="O717" s="757"/>
      <c r="P717" s="962"/>
      <c r="Q717" s="757"/>
      <c r="R717" s="757"/>
      <c r="S717" s="757"/>
      <c r="T717" s="757"/>
      <c r="U717" s="962"/>
      <c r="V717" s="757"/>
      <c r="W717" s="757"/>
      <c r="X717" s="757"/>
      <c r="Y717" s="757"/>
      <c r="Z717" s="962"/>
      <c r="AA717" s="757"/>
      <c r="AB717" s="757"/>
      <c r="AC717" s="757"/>
      <c r="AD717" s="757"/>
      <c r="AE717" s="962"/>
      <c r="AF717" s="757"/>
      <c r="AG717" s="757"/>
      <c r="AH717" s="757"/>
      <c r="AI717" s="757"/>
      <c r="AJ717" s="962"/>
      <c r="AK717" s="757"/>
      <c r="AL717" s="757"/>
      <c r="AM717" s="757"/>
      <c r="AN717" s="757"/>
      <c r="AO717" s="962"/>
      <c r="AP717" s="757"/>
      <c r="AQ717" s="757"/>
      <c r="AR717" s="757"/>
      <c r="AS717" s="757"/>
      <c r="AT717" s="962"/>
      <c r="AU717" s="757"/>
      <c r="AV717" s="757"/>
      <c r="AW717" s="757"/>
      <c r="AX717" s="757"/>
      <c r="AY717" s="962"/>
      <c r="AZ717" s="757"/>
      <c r="BA717" s="757"/>
      <c r="BB717" s="757"/>
      <c r="BC717" s="757"/>
      <c r="BD717" s="962"/>
      <c r="BE717" s="757"/>
      <c r="BF717" s="757"/>
      <c r="BG717" s="757"/>
      <c r="BH717" s="757"/>
      <c r="BI717" s="962"/>
      <c r="BJ717" s="757"/>
      <c r="BK717" s="757"/>
      <c r="BL717" s="757"/>
      <c r="BM717" s="757"/>
      <c r="BN717" s="962"/>
      <c r="BO717" s="757"/>
      <c r="BP717" s="757"/>
      <c r="BQ717" s="757"/>
      <c r="BR717" s="757"/>
      <c r="BS717" s="962"/>
      <c r="BT717" s="758"/>
      <c r="BU717" s="757"/>
      <c r="BV717" s="757"/>
      <c r="BW717" s="757"/>
      <c r="BX717" s="962"/>
      <c r="BY717" s="757"/>
      <c r="BZ717" s="757"/>
      <c r="CA717" s="757"/>
      <c r="CB717" s="757"/>
      <c r="CC717" s="962"/>
      <c r="CD717" s="962"/>
      <c r="CE717" s="962"/>
      <c r="CF717" s="962"/>
      <c r="CG717" s="757"/>
    </row>
    <row r="718" spans="1:85" s="587" customFormat="1" ht="15" customHeight="1" collapsed="1" x14ac:dyDescent="0.3">
      <c r="A718" s="757"/>
      <c r="B718" s="414"/>
      <c r="C718" s="962"/>
      <c r="D718" s="962"/>
      <c r="E718" s="962"/>
      <c r="F718" s="962"/>
      <c r="G718" s="757"/>
      <c r="H718" s="757"/>
      <c r="I718" s="757"/>
      <c r="J718" s="757"/>
      <c r="K718" s="962"/>
      <c r="L718" s="757"/>
      <c r="M718" s="757"/>
      <c r="N718" s="757"/>
      <c r="O718" s="757"/>
      <c r="P718" s="962"/>
      <c r="Q718" s="757"/>
      <c r="R718" s="757"/>
      <c r="S718" s="757"/>
      <c r="T718" s="757"/>
      <c r="U718" s="962"/>
      <c r="V718" s="757"/>
      <c r="W718" s="757"/>
      <c r="X718" s="757"/>
      <c r="Y718" s="757"/>
      <c r="Z718" s="962"/>
      <c r="AA718" s="757"/>
      <c r="AB718" s="757"/>
      <c r="AC718" s="757"/>
      <c r="AD718" s="757"/>
      <c r="AE718" s="962"/>
      <c r="AF718" s="757"/>
      <c r="AG718" s="757"/>
      <c r="AH718" s="757"/>
      <c r="AI718" s="757"/>
      <c r="AJ718" s="962"/>
      <c r="AK718" s="757"/>
      <c r="AL718" s="757"/>
      <c r="AM718" s="757"/>
      <c r="AN718" s="757"/>
      <c r="AO718" s="962"/>
      <c r="AP718" s="757"/>
      <c r="AQ718" s="757"/>
      <c r="AR718" s="757"/>
      <c r="AS718" s="757"/>
      <c r="AT718" s="962"/>
      <c r="AU718" s="757"/>
      <c r="AV718" s="757"/>
      <c r="AW718" s="757"/>
      <c r="AX718" s="757"/>
      <c r="AY718" s="962"/>
      <c r="AZ718" s="757"/>
      <c r="BA718" s="757"/>
      <c r="BB718" s="757"/>
      <c r="BC718" s="757"/>
      <c r="BD718" s="962"/>
      <c r="BE718" s="757"/>
      <c r="BF718" s="757"/>
      <c r="BG718" s="757"/>
      <c r="BH718" s="757"/>
      <c r="BI718" s="962"/>
      <c r="BJ718" s="757"/>
      <c r="BK718" s="757"/>
      <c r="BL718" s="757"/>
      <c r="BM718" s="757"/>
      <c r="BN718" s="962"/>
      <c r="BO718" s="757"/>
      <c r="BP718" s="757"/>
      <c r="BQ718" s="757"/>
      <c r="BR718" s="757"/>
      <c r="BS718" s="962"/>
      <c r="BT718" s="758"/>
      <c r="BU718" s="757"/>
      <c r="BV718" s="757"/>
      <c r="BW718" s="757"/>
      <c r="BX718" s="962"/>
      <c r="BY718" s="757"/>
      <c r="BZ718" s="757"/>
      <c r="CA718" s="757"/>
      <c r="CB718" s="757"/>
      <c r="CC718" s="962"/>
      <c r="CD718" s="962"/>
      <c r="CE718" s="962"/>
      <c r="CF718" s="962"/>
      <c r="CG718" s="459"/>
    </row>
    <row r="719" spans="1:85" x14ac:dyDescent="0.3">
      <c r="A719" s="754" t="s">
        <v>102</v>
      </c>
      <c r="B719" s="754"/>
      <c r="C719" s="754"/>
      <c r="D719" s="754"/>
      <c r="E719" s="754"/>
      <c r="F719" s="754"/>
      <c r="G719" s="754"/>
      <c r="H719" s="754"/>
      <c r="I719" s="754"/>
      <c r="J719" s="754"/>
      <c r="K719" s="754"/>
      <c r="L719" s="754"/>
      <c r="M719" s="754"/>
      <c r="N719" s="754"/>
      <c r="O719" s="754"/>
      <c r="P719" s="754"/>
      <c r="Q719" s="754"/>
      <c r="R719" s="754"/>
      <c r="S719" s="754"/>
      <c r="T719" s="754"/>
      <c r="U719" s="754"/>
      <c r="V719" s="754"/>
      <c r="W719" s="754"/>
      <c r="X719" s="754"/>
      <c r="Y719" s="754"/>
      <c r="Z719" s="754"/>
      <c r="AA719" s="754"/>
      <c r="AB719" s="754"/>
      <c r="AC719" s="754"/>
      <c r="AD719" s="754"/>
      <c r="AE719" s="754"/>
      <c r="AF719" s="754"/>
      <c r="AG719" s="754"/>
      <c r="AH719" s="754"/>
      <c r="AI719" s="754"/>
      <c r="AJ719" s="754"/>
      <c r="AK719" s="754"/>
      <c r="AL719" s="754"/>
      <c r="AM719" s="754"/>
      <c r="AN719" s="754"/>
      <c r="AO719" s="754"/>
      <c r="AP719" s="754"/>
      <c r="AQ719" s="754"/>
      <c r="AR719" s="754"/>
      <c r="AS719" s="754"/>
      <c r="AT719" s="754"/>
      <c r="AU719" s="754"/>
      <c r="AV719" s="754"/>
      <c r="AW719" s="754"/>
      <c r="AX719" s="754"/>
      <c r="AY719" s="754"/>
      <c r="AZ719" s="754"/>
      <c r="BA719" s="754"/>
      <c r="BB719" s="754"/>
      <c r="BC719" s="754"/>
      <c r="BD719" s="754"/>
      <c r="BE719" s="754"/>
      <c r="BF719" s="754"/>
      <c r="BG719" s="754"/>
      <c r="BH719" s="754"/>
      <c r="BI719" s="754"/>
      <c r="BJ719" s="754"/>
      <c r="BK719" s="754"/>
      <c r="BL719" s="754"/>
      <c r="BM719" s="754"/>
      <c r="BN719" s="754"/>
      <c r="BO719" s="754"/>
      <c r="BP719" s="754"/>
      <c r="BQ719" s="754"/>
      <c r="BR719" s="754"/>
      <c r="BS719" s="754"/>
      <c r="BT719" s="755"/>
      <c r="BU719" s="754"/>
      <c r="BV719" s="754"/>
      <c r="BW719" s="754"/>
      <c r="BX719" s="754"/>
      <c r="BY719" s="754"/>
      <c r="BZ719" s="754"/>
      <c r="CA719" s="754"/>
      <c r="CB719" s="754"/>
      <c r="CC719" s="754"/>
      <c r="CD719" s="754"/>
      <c r="CE719" s="754"/>
      <c r="CF719" s="754"/>
      <c r="CG719" s="183"/>
    </row>
    <row r="720" spans="1:85" hidden="1" outlineLevel="1" x14ac:dyDescent="0.3">
      <c r="A720" s="459" t="s">
        <v>103</v>
      </c>
      <c r="B720" s="414"/>
      <c r="C720" s="964">
        <f t="shared" ref="C720:AH720" si="1232">C1114</f>
      </c>
      <c r="D720" s="964">
        <f t="shared" si="1232"/>
      </c>
      <c r="E720" s="964">
        <f t="shared" si="1232"/>
      </c>
      <c r="F720" s="964">
        <f t="shared" si="1232"/>
      </c>
      <c r="G720" s="459">
        <f t="shared" si="1232"/>
      </c>
      <c r="H720" s="459">
        <f t="shared" si="1232"/>
      </c>
      <c r="I720" s="459">
        <f t="shared" si="1232"/>
      </c>
      <c r="J720" s="459">
        <f t="shared" si="1232"/>
      </c>
      <c r="K720" s="964">
        <f t="shared" si="1232"/>
      </c>
      <c r="L720" s="459">
        <f t="shared" si="1232"/>
      </c>
      <c r="M720" s="459">
        <f t="shared" si="1232"/>
      </c>
      <c r="N720" s="459">
        <f t="shared" si="1232"/>
      </c>
      <c r="O720" s="459">
        <f t="shared" si="1232"/>
      </c>
      <c r="P720" s="964">
        <f t="shared" si="1232"/>
      </c>
      <c r="Q720" s="459">
        <f t="shared" si="1232"/>
      </c>
      <c r="R720" s="459">
        <f t="shared" si="1232"/>
      </c>
      <c r="S720" s="459">
        <f t="shared" si="1232"/>
      </c>
      <c r="T720" s="459">
        <f t="shared" si="1232"/>
      </c>
      <c r="U720" s="964">
        <f t="shared" si="1232"/>
      </c>
      <c r="V720" s="459">
        <f t="shared" si="1232"/>
      </c>
      <c r="W720" s="459">
        <f t="shared" si="1232"/>
      </c>
      <c r="X720" s="459">
        <f t="shared" si="1232"/>
      </c>
      <c r="Y720" s="459">
        <f t="shared" si="1232"/>
      </c>
      <c r="Z720" s="964">
        <f t="shared" si="1232"/>
      </c>
      <c r="AA720" s="459">
        <f t="shared" si="1232"/>
      </c>
      <c r="AB720" s="459">
        <f t="shared" si="1232"/>
      </c>
      <c r="AC720" s="459">
        <f t="shared" si="1232"/>
      </c>
      <c r="AD720" s="459">
        <f t="shared" si="1232"/>
      </c>
      <c r="AE720" s="964">
        <f t="shared" si="1232"/>
      </c>
      <c r="AF720" s="459">
        <f t="shared" si="1232"/>
      </c>
      <c r="AG720" s="459">
        <f t="shared" si="1232"/>
      </c>
      <c r="AH720" s="459">
        <f t="shared" si="1232"/>
      </c>
      <c r="AI720" s="459">
        <f t="shared" ref="AI720:AQ720" si="1233">AI1114</f>
      </c>
      <c r="AJ720" s="964">
        <f t="shared" si="1233"/>
      </c>
      <c r="AK720" s="459">
        <f t="shared" si="1233"/>
      </c>
      <c r="AL720" s="459">
        <f t="shared" si="1233"/>
      </c>
      <c r="AM720" s="459">
        <f t="shared" si="1233"/>
      </c>
      <c r="AN720" s="459">
        <f t="shared" si="1233"/>
      </c>
      <c r="AO720" s="964">
        <f t="shared" si="1233"/>
      </c>
      <c r="AP720" s="459">
        <f t="shared" si="1233"/>
      </c>
      <c r="AQ720" s="459">
        <f t="shared" si="1233"/>
      </c>
      <c r="AR720" s="459">
        <f>AR1114</f>
      </c>
      <c r="AS720" s="459">
        <f>AS1114</f>
      </c>
      <c r="AT720" s="964">
        <f>AT1114</f>
      </c>
      <c r="AU720" s="459">
        <f t="shared" ref="AU720" si="1234">AU1114</f>
      </c>
      <c r="AV720" s="459">
        <f>AV1114</f>
      </c>
      <c r="AW720" s="459">
        <f>AW1114</f>
      </c>
      <c r="AX720" s="459">
        <f t="shared" ref="AX720:AY720" si="1235">AX1114</f>
      </c>
      <c r="AY720" s="964">
        <f t="shared" si="1235"/>
      </c>
      <c r="AZ720" s="459">
        <f t="shared" ref="AZ720:BD720" si="1236">AZ1114</f>
      </c>
      <c r="BA720" s="459">
        <f t="shared" si="1236"/>
      </c>
      <c r="BB720" s="459">
        <f t="shared" si="1236"/>
      </c>
      <c r="BC720" s="459">
        <f t="shared" si="1236"/>
      </c>
      <c r="BD720" s="964">
        <f t="shared" si="1236"/>
      </c>
      <c r="BE720" s="459">
        <f t="shared" ref="BE720:BI720" si="1237">BE1114</f>
      </c>
      <c r="BF720" s="459">
        <f t="shared" si="1237"/>
      </c>
      <c r="BG720" s="459">
        <f t="shared" si="1237"/>
      </c>
      <c r="BH720" s="459">
        <f t="shared" si="1237"/>
      </c>
      <c r="BI720" s="964">
        <f t="shared" si="1237"/>
      </c>
      <c r="BJ720" s="459">
        <f t="shared" ref="BJ720:BX720" si="1238">BJ1114</f>
      </c>
      <c r="BK720" s="459">
        <f t="shared" si="1238"/>
      </c>
      <c r="BL720" s="459">
        <f t="shared" si="1238"/>
      </c>
      <c r="BM720" s="459">
        <f t="shared" si="1238"/>
      </c>
      <c r="BN720" s="964">
        <f t="shared" si="1238"/>
      </c>
      <c r="BO720" s="459">
        <f t="shared" ref="BO720:BW720" si="1239">BO1114</f>
      </c>
      <c r="BP720" s="459">
        <f t="shared" si="1239"/>
      </c>
      <c r="BQ720" s="459">
        <f t="shared" si="1239"/>
      </c>
      <c r="BR720" s="459">
        <f t="shared" si="1239"/>
      </c>
      <c r="BS720" s="964">
        <f t="shared" si="1239"/>
      </c>
      <c r="BT720" s="795">
        <f>BT1114</f>
      </c>
      <c r="BU720" s="757">
        <f t="shared" si="1239"/>
      </c>
      <c r="BV720" s="757">
        <f t="shared" si="1239"/>
      </c>
      <c r="BW720" s="757">
        <f t="shared" si="1239"/>
      </c>
      <c r="BX720" s="962">
        <f t="shared" si="1238"/>
      </c>
      <c r="BY720" s="757">
        <f t="shared" ref="BY720:CF720" si="1240">BY1114</f>
      </c>
      <c r="BZ720" s="757">
        <f t="shared" si="1240"/>
      </c>
      <c r="CA720" s="757">
        <f t="shared" si="1240"/>
      </c>
      <c r="CB720" s="757">
        <f t="shared" si="1240"/>
      </c>
      <c r="CC720" s="962">
        <f t="shared" si="1240"/>
      </c>
      <c r="CD720" s="962">
        <f t="shared" si="1240"/>
      </c>
      <c r="CE720" s="962">
        <f t="shared" si="1240"/>
      </c>
      <c r="CF720" s="962">
        <f t="shared" si="1240"/>
      </c>
      <c r="CG720" s="459"/>
    </row>
    <row r="721" spans="1:85" hidden="1" outlineLevel="1" x14ac:dyDescent="0.3">
      <c r="A721" s="554" t="s">
        <v>909</v>
      </c>
      <c r="B721" s="416"/>
      <c r="C721" s="984">
        <f t="shared" ref="C721:AH721" si="1241">C722-C720</f>
      </c>
      <c r="D721" s="984">
        <f t="shared" si="1241"/>
      </c>
      <c r="E721" s="984">
        <f t="shared" si="1241"/>
      </c>
      <c r="F721" s="984">
        <f t="shared" si="1241"/>
      </c>
      <c r="G721" s="761">
        <f t="shared" si="1241"/>
      </c>
      <c r="H721" s="761">
        <f t="shared" si="1241"/>
      </c>
      <c r="I721" s="761">
        <f t="shared" si="1241"/>
      </c>
      <c r="J721" s="761">
        <f t="shared" si="1241"/>
      </c>
      <c r="K721" s="984">
        <f t="shared" si="1241"/>
      </c>
      <c r="L721" s="761">
        <f t="shared" si="1241"/>
      </c>
      <c r="M721" s="761">
        <f t="shared" si="1241"/>
      </c>
      <c r="N721" s="761">
        <f t="shared" si="1241"/>
      </c>
      <c r="O721" s="761">
        <f t="shared" si="1241"/>
      </c>
      <c r="P721" s="984">
        <f t="shared" si="1241"/>
      </c>
      <c r="Q721" s="761">
        <f t="shared" si="1241"/>
      </c>
      <c r="R721" s="761">
        <f t="shared" si="1241"/>
      </c>
      <c r="S721" s="761">
        <f t="shared" si="1241"/>
      </c>
      <c r="T721" s="761">
        <f t="shared" si="1241"/>
      </c>
      <c r="U721" s="984">
        <f t="shared" si="1241"/>
      </c>
      <c r="V721" s="761">
        <f t="shared" si="1241"/>
      </c>
      <c r="W721" s="761">
        <f t="shared" si="1241"/>
      </c>
      <c r="X721" s="761">
        <f t="shared" si="1241"/>
      </c>
      <c r="Y721" s="761">
        <f t="shared" si="1241"/>
      </c>
      <c r="Z721" s="984">
        <f t="shared" si="1241"/>
      </c>
      <c r="AA721" s="761">
        <f t="shared" si="1241"/>
      </c>
      <c r="AB721" s="761">
        <f t="shared" si="1241"/>
      </c>
      <c r="AC721" s="761">
        <f t="shared" si="1241"/>
      </c>
      <c r="AD721" s="761">
        <f t="shared" si="1241"/>
      </c>
      <c r="AE721" s="984">
        <f t="shared" si="1241"/>
      </c>
      <c r="AF721" s="761">
        <f t="shared" si="1241"/>
      </c>
      <c r="AG721" s="761">
        <f t="shared" si="1241"/>
      </c>
      <c r="AH721" s="761">
        <f t="shared" si="1241"/>
      </c>
      <c r="AI721" s="761">
        <f t="shared" ref="AI721:BD721" si="1242">AI722-AI720</f>
      </c>
      <c r="AJ721" s="984">
        <f t="shared" si="1242"/>
      </c>
      <c r="AK721" s="761">
        <f t="shared" si="1242"/>
      </c>
      <c r="AL721" s="761">
        <f t="shared" si="1242"/>
      </c>
      <c r="AM721" s="761">
        <f t="shared" si="1242"/>
      </c>
      <c r="AN721" s="761">
        <f t="shared" si="1242"/>
      </c>
      <c r="AO721" s="984">
        <f t="shared" si="1242"/>
      </c>
      <c r="AP721" s="761">
        <f t="shared" si="1242"/>
      </c>
      <c r="AQ721" s="761">
        <f t="shared" si="1242"/>
      </c>
      <c r="AR721" s="761">
        <f t="shared" si="1242"/>
      </c>
      <c r="AS721" s="761">
        <f t="shared" si="1242"/>
      </c>
      <c r="AT721" s="984">
        <f t="shared" si="1242"/>
      </c>
      <c r="AU721" s="761">
        <f t="shared" si="1242"/>
      </c>
      <c r="AV721" s="761">
        <f t="shared" si="1242"/>
      </c>
      <c r="AW721" s="761">
        <f t="shared" si="1242"/>
      </c>
      <c r="AX721" s="761">
        <f t="shared" si="1242"/>
      </c>
      <c r="AY721" s="984">
        <f t="shared" si="1242"/>
      </c>
      <c r="AZ721" s="761">
        <f t="shared" si="1242"/>
      </c>
      <c r="BA721" s="761">
        <f t="shared" si="1242"/>
      </c>
      <c r="BB721" s="761">
        <f t="shared" si="1242"/>
      </c>
      <c r="BC721" s="761">
        <f t="shared" si="1242"/>
      </c>
      <c r="BD721" s="984">
        <f t="shared" si="1242"/>
      </c>
      <c r="BE721" s="761">
        <f t="shared" ref="BE721:BI721" si="1243">BE722-BE720</f>
      </c>
      <c r="BF721" s="761">
        <f t="shared" si="1243"/>
      </c>
      <c r="BG721" s="761">
        <f t="shared" si="1243"/>
      </c>
      <c r="BH721" s="761">
        <f t="shared" si="1243"/>
      </c>
      <c r="BI721" s="984">
        <f t="shared" si="1243"/>
      </c>
      <c r="BJ721" s="761">
        <f t="shared" ref="BJ721:BX721" si="1244">BJ722-BJ720</f>
      </c>
      <c r="BK721" s="761">
        <f t="shared" si="1244"/>
      </c>
      <c r="BL721" s="761">
        <f t="shared" si="1244"/>
      </c>
      <c r="BM721" s="761">
        <f t="shared" si="1244"/>
      </c>
      <c r="BN721" s="984">
        <f t="shared" si="1244"/>
      </c>
      <c r="BO721" s="761">
        <f t="shared" ref="BO721:BW721" si="1245">BO722-BO720</f>
      </c>
      <c r="BP721" s="761">
        <f t="shared" si="1245"/>
      </c>
      <c r="BQ721" s="761">
        <f t="shared" si="1245"/>
      </c>
      <c r="BR721" s="761">
        <f t="shared" si="1245"/>
      </c>
      <c r="BS721" s="984">
        <f t="shared" si="1245"/>
      </c>
      <c r="BT721" s="762">
        <f>BT722-BT720</f>
      </c>
      <c r="BU721" s="761">
        <f t="shared" si="1245"/>
      </c>
      <c r="BV721" s="761">
        <f t="shared" si="1245"/>
      </c>
      <c r="BW721" s="761">
        <f t="shared" si="1245"/>
      </c>
      <c r="BX721" s="984">
        <f t="shared" si="1244"/>
      </c>
      <c r="BY721" s="761">
        <f t="shared" ref="BY721:CF721" si="1246">BY722-BY720</f>
      </c>
      <c r="BZ721" s="761">
        <f t="shared" si="1246"/>
      </c>
      <c r="CA721" s="761">
        <f t="shared" si="1246"/>
      </c>
      <c r="CB721" s="761">
        <f t="shared" si="1246"/>
      </c>
      <c r="CC721" s="984">
        <f t="shared" si="1246"/>
      </c>
      <c r="CD721" s="984">
        <f t="shared" si="1246"/>
      </c>
      <c r="CE721" s="984">
        <f t="shared" si="1246"/>
      </c>
      <c r="CF721" s="984">
        <f t="shared" si="1246"/>
      </c>
      <c r="CG721" s="459"/>
    </row>
    <row r="722" spans="1:85" collapsed="1" x14ac:dyDescent="0.3">
      <c r="A722" s="429" t="s">
        <v>910</v>
      </c>
      <c r="B722" s="428"/>
      <c r="C722" s="969">
        <f t="shared" ref="C722:AH722" si="1247">C1121</f>
      </c>
      <c r="D722" s="969">
        <f t="shared" si="1247"/>
      </c>
      <c r="E722" s="969">
        <f t="shared" si="1247"/>
      </c>
      <c r="F722" s="969">
        <f t="shared" si="1247"/>
      </c>
      <c r="G722" s="759">
        <f t="shared" si="1247"/>
      </c>
      <c r="H722" s="759">
        <f t="shared" si="1247"/>
      </c>
      <c r="I722" s="759">
        <f t="shared" si="1247"/>
      </c>
      <c r="J722" s="759">
        <f t="shared" si="1247"/>
      </c>
      <c r="K722" s="969">
        <f t="shared" si="1247"/>
      </c>
      <c r="L722" s="759">
        <f t="shared" si="1247"/>
      </c>
      <c r="M722" s="759">
        <f t="shared" si="1247"/>
      </c>
      <c r="N722" s="759">
        <f t="shared" si="1247"/>
      </c>
      <c r="O722" s="759">
        <f t="shared" si="1247"/>
      </c>
      <c r="P722" s="969">
        <f t="shared" si="1247"/>
      </c>
      <c r="Q722" s="759">
        <f t="shared" si="1247"/>
      </c>
      <c r="R722" s="759">
        <f t="shared" si="1247"/>
      </c>
      <c r="S722" s="759">
        <f t="shared" si="1247"/>
      </c>
      <c r="T722" s="759">
        <f t="shared" si="1247"/>
      </c>
      <c r="U722" s="969">
        <f t="shared" si="1247"/>
      </c>
      <c r="V722" s="759">
        <f t="shared" si="1247"/>
      </c>
      <c r="W722" s="759">
        <f t="shared" si="1247"/>
      </c>
      <c r="X722" s="759">
        <f t="shared" si="1247"/>
      </c>
      <c r="Y722" s="759">
        <f t="shared" si="1247"/>
      </c>
      <c r="Z722" s="969">
        <f t="shared" si="1247"/>
      </c>
      <c r="AA722" s="759">
        <f t="shared" si="1247"/>
      </c>
      <c r="AB722" s="759">
        <f t="shared" si="1247"/>
      </c>
      <c r="AC722" s="759">
        <f t="shared" si="1247"/>
      </c>
      <c r="AD722" s="759">
        <f t="shared" si="1247"/>
      </c>
      <c r="AE722" s="969">
        <f t="shared" si="1247"/>
      </c>
      <c r="AF722" s="759">
        <f t="shared" si="1247"/>
      </c>
      <c r="AG722" s="759">
        <f t="shared" si="1247"/>
      </c>
      <c r="AH722" s="759">
        <f t="shared" si="1247"/>
      </c>
      <c r="AI722" s="759">
        <f t="shared" ref="AI722:BD722" si="1248">AI1121</f>
      </c>
      <c r="AJ722" s="969">
        <f t="shared" si="1248"/>
      </c>
      <c r="AK722" s="759">
        <f t="shared" si="1248"/>
      </c>
      <c r="AL722" s="759">
        <f t="shared" si="1248"/>
      </c>
      <c r="AM722" s="759">
        <f t="shared" si="1248"/>
      </c>
      <c r="AN722" s="759">
        <f t="shared" si="1248"/>
      </c>
      <c r="AO722" s="969">
        <f t="shared" si="1248"/>
      </c>
      <c r="AP722" s="759">
        <f t="shared" si="1248"/>
      </c>
      <c r="AQ722" s="759">
        <f t="shared" si="1248"/>
      </c>
      <c r="AR722" s="759">
        <f t="shared" si="1248"/>
      </c>
      <c r="AS722" s="759">
        <f t="shared" si="1248"/>
      </c>
      <c r="AT722" s="969">
        <f t="shared" si="1248"/>
      </c>
      <c r="AU722" s="759">
        <f t="shared" si="1248"/>
      </c>
      <c r="AV722" s="759">
        <f t="shared" si="1248"/>
      </c>
      <c r="AW722" s="759">
        <f t="shared" si="1248"/>
      </c>
      <c r="AX722" s="759">
        <f t="shared" si="1248"/>
      </c>
      <c r="AY722" s="969">
        <f t="shared" si="1248"/>
      </c>
      <c r="AZ722" s="759">
        <f t="shared" si="1248"/>
      </c>
      <c r="BA722" s="759">
        <f t="shared" si="1248"/>
      </c>
      <c r="BB722" s="759">
        <f t="shared" si="1248"/>
      </c>
      <c r="BC722" s="759">
        <f t="shared" si="1248"/>
      </c>
      <c r="BD722" s="969">
        <f t="shared" si="1248"/>
      </c>
      <c r="BE722" s="759">
        <f t="shared" ref="BE722:BI722" si="1249">BE1121</f>
      </c>
      <c r="BF722" s="759">
        <f t="shared" si="1249"/>
      </c>
      <c r="BG722" s="759">
        <f t="shared" si="1249"/>
      </c>
      <c r="BH722" s="759">
        <f t="shared" si="1249"/>
      </c>
      <c r="BI722" s="969">
        <f t="shared" si="1249"/>
      </c>
      <c r="BJ722" s="759">
        <f t="shared" ref="BJ722:BX722" si="1250">BJ1121</f>
      </c>
      <c r="BK722" s="759">
        <f t="shared" si="1250"/>
      </c>
      <c r="BL722" s="759">
        <f t="shared" si="1250"/>
      </c>
      <c r="BM722" s="759">
        <f t="shared" si="1250"/>
      </c>
      <c r="BN722" s="969">
        <f t="shared" si="1250"/>
      </c>
      <c r="BO722" s="759">
        <f t="shared" ref="BO722:BW722" si="1251">BO1121</f>
      </c>
      <c r="BP722" s="759">
        <f t="shared" si="1251"/>
      </c>
      <c r="BQ722" s="759">
        <f t="shared" si="1251"/>
      </c>
      <c r="BR722" s="759">
        <f t="shared" si="1251"/>
      </c>
      <c r="BS722" s="969">
        <f t="shared" si="1251"/>
      </c>
      <c r="BT722" s="760">
        <f>BT1121</f>
      </c>
      <c r="BU722" s="759">
        <f t="shared" si="1251"/>
      </c>
      <c r="BV722" s="759">
        <f t="shared" si="1251"/>
      </c>
      <c r="BW722" s="759">
        <f t="shared" si="1251"/>
      </c>
      <c r="BX722" s="969">
        <f t="shared" si="1250"/>
      </c>
      <c r="BY722" s="759">
        <f t="shared" ref="BY722:CF722" si="1252">BY1121</f>
      </c>
      <c r="BZ722" s="759">
        <f t="shared" si="1252"/>
      </c>
      <c r="CA722" s="759">
        <f t="shared" si="1252"/>
      </c>
      <c r="CB722" s="759">
        <f t="shared" si="1252"/>
      </c>
      <c r="CC722" s="969">
        <f t="shared" si="1252"/>
      </c>
      <c r="CD722" s="969">
        <f t="shared" si="1252"/>
      </c>
      <c r="CE722" s="969">
        <f t="shared" si="1252"/>
      </c>
      <c r="CF722" s="969">
        <f t="shared" si="1252"/>
      </c>
      <c r="CG722" s="459"/>
    </row>
    <row r="723" spans="1:85" hidden="1" outlineLevel="1" x14ac:dyDescent="0.3">
      <c r="A723" s="472" t="s">
        <v>104</v>
      </c>
      <c r="B723" s="268"/>
      <c r="C723" s="1040">
        <f t="shared" ref="C723:AH723" si="1253">C720/C511</f>
      </c>
      <c r="D723" s="1040">
        <f t="shared" si="1253"/>
      </c>
      <c r="E723" s="1041">
        <f t="shared" si="1253"/>
      </c>
      <c r="F723" s="1041">
        <f t="shared" si="1253"/>
      </c>
      <c r="G723" s="71">
        <f t="shared" si="1253"/>
      </c>
      <c r="H723" s="71">
        <f t="shared" si="1253"/>
      </c>
      <c r="I723" s="71">
        <f t="shared" si="1253"/>
      </c>
      <c r="J723" s="71">
        <f t="shared" si="1253"/>
      </c>
      <c r="K723" s="1041">
        <f t="shared" si="1253"/>
      </c>
      <c r="L723" s="71">
        <f t="shared" si="1253"/>
      </c>
      <c r="M723" s="71">
        <f t="shared" si="1253"/>
      </c>
      <c r="N723" s="71">
        <f t="shared" si="1253"/>
      </c>
      <c r="O723" s="71">
        <f t="shared" si="1253"/>
      </c>
      <c r="P723" s="1041">
        <f t="shared" si="1253"/>
      </c>
      <c r="Q723" s="71">
        <f t="shared" si="1253"/>
      </c>
      <c r="R723" s="71">
        <f t="shared" si="1253"/>
      </c>
      <c r="S723" s="71">
        <f t="shared" si="1253"/>
      </c>
      <c r="T723" s="71">
        <f t="shared" si="1253"/>
      </c>
      <c r="U723" s="1041">
        <f t="shared" si="1253"/>
      </c>
      <c r="V723" s="71">
        <f t="shared" si="1253"/>
      </c>
      <c r="W723" s="71">
        <f t="shared" si="1253"/>
      </c>
      <c r="X723" s="71">
        <f t="shared" si="1253"/>
      </c>
      <c r="Y723" s="71">
        <f t="shared" si="1253"/>
      </c>
      <c r="Z723" s="1041">
        <f t="shared" si="1253"/>
      </c>
      <c r="AA723" s="71">
        <f t="shared" si="1253"/>
      </c>
      <c r="AB723" s="71">
        <f t="shared" si="1253"/>
      </c>
      <c r="AC723" s="71">
        <f t="shared" si="1253"/>
      </c>
      <c r="AD723" s="71">
        <f t="shared" si="1253"/>
      </c>
      <c r="AE723" s="1041">
        <f t="shared" si="1253"/>
      </c>
      <c r="AF723" s="71">
        <f t="shared" si="1253"/>
      </c>
      <c r="AG723" s="71">
        <f t="shared" si="1253"/>
      </c>
      <c r="AH723" s="71">
        <f t="shared" si="1253"/>
      </c>
      <c r="AI723" s="71">
        <f t="shared" ref="AI723:BJ723" si="1254">AI720/AI511</f>
      </c>
      <c r="AJ723" s="1041">
        <f t="shared" si="1254"/>
      </c>
      <c r="AK723" s="71">
        <f t="shared" si="1254"/>
      </c>
      <c r="AL723" s="71">
        <f t="shared" si="1254"/>
      </c>
      <c r="AM723" s="71">
        <f t="shared" si="1254"/>
      </c>
      <c r="AN723" s="71">
        <f t="shared" si="1254"/>
      </c>
      <c r="AO723" s="1041">
        <f t="shared" si="1254"/>
      </c>
      <c r="AP723" s="71">
        <f t="shared" si="1254"/>
      </c>
      <c r="AQ723" s="71">
        <f t="shared" si="1254"/>
      </c>
      <c r="AR723" s="71">
        <f t="shared" si="1254"/>
      </c>
      <c r="AS723" s="71">
        <f t="shared" si="1254"/>
      </c>
      <c r="AT723" s="1041">
        <f t="shared" si="1254"/>
      </c>
      <c r="AU723" s="71">
        <f t="shared" si="1254"/>
      </c>
      <c r="AV723" s="71">
        <f t="shared" si="1254"/>
      </c>
      <c r="AW723" s="71">
        <f t="shared" si="1254"/>
      </c>
      <c r="AX723" s="71">
        <f t="shared" si="1254"/>
      </c>
      <c r="AY723" s="1041">
        <f t="shared" si="1254"/>
      </c>
      <c r="AZ723" s="71">
        <f t="shared" si="1254"/>
      </c>
      <c r="BA723" s="71">
        <f t="shared" si="1254"/>
      </c>
      <c r="BB723" s="71">
        <f t="shared" si="1254"/>
      </c>
      <c r="BC723" s="71">
        <f t="shared" si="1254"/>
      </c>
      <c r="BD723" s="1041">
        <f t="shared" si="1254"/>
      </c>
      <c r="BE723" s="71">
        <f t="shared" si="1254"/>
      </c>
      <c r="BF723" s="71">
        <f t="shared" si="1254"/>
      </c>
      <c r="BG723" s="71">
        <f t="shared" si="1254"/>
      </c>
      <c r="BH723" s="71">
        <f t="shared" si="1254"/>
      </c>
      <c r="BI723" s="1041">
        <f t="shared" si="1254"/>
      </c>
      <c r="BJ723" s="71">
        <f t="shared" si="1254"/>
      </c>
      <c r="BK723" s="71">
        <f t="shared" ref="BK723:BX723" si="1255">BK720/BK511</f>
      </c>
      <c r="BL723" s="71">
        <f t="shared" si="1255"/>
      </c>
      <c r="BM723" s="71">
        <f t="shared" si="1255"/>
      </c>
      <c r="BN723" s="1041">
        <f t="shared" si="1255"/>
      </c>
      <c r="BO723" s="71">
        <f t="shared" ref="BO723:BW723" si="1256">BO720/BO511</f>
      </c>
      <c r="BP723" s="71">
        <f t="shared" si="1256"/>
      </c>
      <c r="BQ723" s="71">
        <f t="shared" si="1256"/>
      </c>
      <c r="BR723" s="71">
        <f t="shared" si="1256"/>
      </c>
      <c r="BS723" s="1041">
        <f t="shared" si="1256"/>
      </c>
      <c r="BT723" s="708">
        <f>BT720/BT511</f>
      </c>
      <c r="BU723" s="71">
        <f t="shared" si="1256"/>
      </c>
      <c r="BV723" s="71">
        <f t="shared" si="1256"/>
      </c>
      <c r="BW723" s="71">
        <f t="shared" si="1256"/>
      </c>
      <c r="BX723" s="1041">
        <f t="shared" si="1255"/>
      </c>
      <c r="BY723" s="71">
        <f t="shared" ref="BY723:CF723" si="1257">BY720/BY511</f>
      </c>
      <c r="BZ723" s="71">
        <f t="shared" si="1257"/>
      </c>
      <c r="CA723" s="71">
        <f t="shared" si="1257"/>
      </c>
      <c r="CB723" s="71">
        <f t="shared" si="1257"/>
      </c>
      <c r="CC723" s="1041">
        <f t="shared" si="1257"/>
      </c>
      <c r="CD723" s="1041">
        <f t="shared" si="1257"/>
      </c>
      <c r="CE723" s="1041">
        <f t="shared" si="1257"/>
      </c>
      <c r="CF723" s="1041">
        <f t="shared" si="1257"/>
      </c>
      <c r="CG723" s="20"/>
    </row>
    <row r="724" spans="1:85" collapsed="1" x14ac:dyDescent="0.3">
      <c r="A724" s="472" t="s">
        <v>911</v>
      </c>
      <c r="B724" s="268"/>
      <c r="C724" s="1040">
        <f t="shared" ref="C724:AH724" si="1258">C722/C511</f>
      </c>
      <c r="D724" s="1040">
        <f t="shared" si="1258"/>
      </c>
      <c r="E724" s="1041">
        <f t="shared" si="1258"/>
      </c>
      <c r="F724" s="1041">
        <f t="shared" si="1258"/>
      </c>
      <c r="G724" s="71">
        <f t="shared" si="1258"/>
      </c>
      <c r="H724" s="71">
        <f t="shared" si="1258"/>
      </c>
      <c r="I724" s="71">
        <f t="shared" si="1258"/>
      </c>
      <c r="J724" s="71">
        <f t="shared" si="1258"/>
      </c>
      <c r="K724" s="1041">
        <f t="shared" si="1258"/>
      </c>
      <c r="L724" s="71">
        <f t="shared" si="1258"/>
      </c>
      <c r="M724" s="71">
        <f t="shared" si="1258"/>
      </c>
      <c r="N724" s="71">
        <f t="shared" si="1258"/>
      </c>
      <c r="O724" s="71">
        <f t="shared" si="1258"/>
      </c>
      <c r="P724" s="1041">
        <f t="shared" si="1258"/>
      </c>
      <c r="Q724" s="71">
        <f t="shared" si="1258"/>
      </c>
      <c r="R724" s="71">
        <f t="shared" si="1258"/>
      </c>
      <c r="S724" s="71">
        <f t="shared" si="1258"/>
      </c>
      <c r="T724" s="71">
        <f t="shared" si="1258"/>
      </c>
      <c r="U724" s="1041">
        <f t="shared" si="1258"/>
      </c>
      <c r="V724" s="71">
        <f t="shared" si="1258"/>
      </c>
      <c r="W724" s="71">
        <f t="shared" si="1258"/>
      </c>
      <c r="X724" s="71">
        <f t="shared" si="1258"/>
      </c>
      <c r="Y724" s="71">
        <f t="shared" si="1258"/>
      </c>
      <c r="Z724" s="1041">
        <f t="shared" si="1258"/>
      </c>
      <c r="AA724" s="71">
        <f t="shared" si="1258"/>
      </c>
      <c r="AB724" s="71">
        <f t="shared" si="1258"/>
      </c>
      <c r="AC724" s="71">
        <f t="shared" si="1258"/>
      </c>
      <c r="AD724" s="71">
        <f t="shared" si="1258"/>
      </c>
      <c r="AE724" s="1041">
        <f t="shared" si="1258"/>
      </c>
      <c r="AF724" s="71">
        <f t="shared" si="1258"/>
      </c>
      <c r="AG724" s="71">
        <f t="shared" si="1258"/>
      </c>
      <c r="AH724" s="71">
        <f t="shared" si="1258"/>
      </c>
      <c r="AI724" s="71">
        <f t="shared" ref="AI724:BJ724" si="1259">AI722/AI511</f>
      </c>
      <c r="AJ724" s="1041">
        <f t="shared" si="1259"/>
      </c>
      <c r="AK724" s="71">
        <f t="shared" si="1259"/>
      </c>
      <c r="AL724" s="71">
        <f t="shared" si="1259"/>
      </c>
      <c r="AM724" s="71">
        <f t="shared" si="1259"/>
      </c>
      <c r="AN724" s="71">
        <f t="shared" si="1259"/>
      </c>
      <c r="AO724" s="1041">
        <f t="shared" si="1259"/>
      </c>
      <c r="AP724" s="71">
        <f t="shared" si="1259"/>
      </c>
      <c r="AQ724" s="71">
        <f t="shared" si="1259"/>
      </c>
      <c r="AR724" s="71">
        <f t="shared" si="1259"/>
      </c>
      <c r="AS724" s="71">
        <f t="shared" si="1259"/>
      </c>
      <c r="AT724" s="1041">
        <f t="shared" si="1259"/>
      </c>
      <c r="AU724" s="71">
        <f t="shared" si="1259"/>
      </c>
      <c r="AV724" s="71">
        <f t="shared" si="1259"/>
      </c>
      <c r="AW724" s="71">
        <f t="shared" si="1259"/>
      </c>
      <c r="AX724" s="71">
        <f t="shared" si="1259"/>
      </c>
      <c r="AY724" s="1041">
        <f t="shared" si="1259"/>
      </c>
      <c r="AZ724" s="71">
        <f t="shared" si="1259"/>
      </c>
      <c r="BA724" s="71">
        <f t="shared" si="1259"/>
      </c>
      <c r="BB724" s="71">
        <f t="shared" si="1259"/>
      </c>
      <c r="BC724" s="71">
        <f t="shared" si="1259"/>
      </c>
      <c r="BD724" s="1041">
        <f t="shared" si="1259"/>
      </c>
      <c r="BE724" s="71">
        <f t="shared" si="1259"/>
      </c>
      <c r="BF724" s="71">
        <f t="shared" si="1259"/>
      </c>
      <c r="BG724" s="71">
        <f t="shared" si="1259"/>
      </c>
      <c r="BH724" s="71">
        <f t="shared" si="1259"/>
      </c>
      <c r="BI724" s="1041">
        <f t="shared" si="1259"/>
      </c>
      <c r="BJ724" s="71">
        <f t="shared" si="1259"/>
      </c>
      <c r="BK724" s="71">
        <f t="shared" ref="BK724:BX724" si="1260">BK722/BK511</f>
      </c>
      <c r="BL724" s="71">
        <f t="shared" si="1260"/>
      </c>
      <c r="BM724" s="71">
        <f t="shared" si="1260"/>
      </c>
      <c r="BN724" s="1041">
        <f t="shared" si="1260"/>
      </c>
      <c r="BO724" s="71">
        <f t="shared" ref="BO724:BW724" si="1261">BO722/BO511</f>
      </c>
      <c r="BP724" s="71">
        <f t="shared" si="1261"/>
      </c>
      <c r="BQ724" s="71">
        <f t="shared" si="1261"/>
      </c>
      <c r="BR724" s="71">
        <f t="shared" si="1261"/>
      </c>
      <c r="BS724" s="1041">
        <f t="shared" si="1261"/>
      </c>
      <c r="BT724" s="708">
        <f>BT722/BT511</f>
      </c>
      <c r="BU724" s="71">
        <f t="shared" si="1261"/>
      </c>
      <c r="BV724" s="71">
        <f t="shared" si="1261"/>
      </c>
      <c r="BW724" s="71">
        <f t="shared" si="1261"/>
      </c>
      <c r="BX724" s="1041">
        <f t="shared" si="1260"/>
      </c>
      <c r="BY724" s="71">
        <f t="shared" ref="BY724:CF724" si="1262">BY722/BY511</f>
      </c>
      <c r="BZ724" s="71">
        <f t="shared" si="1262"/>
      </c>
      <c r="CA724" s="71">
        <f t="shared" si="1262"/>
      </c>
      <c r="CB724" s="71">
        <f t="shared" si="1262"/>
      </c>
      <c r="CC724" s="1041">
        <f t="shared" si="1262"/>
      </c>
      <c r="CD724" s="1041">
        <f t="shared" si="1262"/>
      </c>
      <c r="CE724" s="1041">
        <f t="shared" si="1262"/>
      </c>
      <c r="CF724" s="1041">
        <f t="shared" si="1262"/>
      </c>
      <c r="CG724" s="20"/>
    </row>
    <row r="725" spans="1:85" x14ac:dyDescent="0.3">
      <c r="A725" s="45" t="s">
        <v>916</v>
      </c>
      <c r="B725" s="67"/>
      <c r="C725" s="1010"/>
      <c r="D725" s="1010"/>
      <c r="E725" s="1010"/>
      <c r="F725" s="1010"/>
      <c r="G725" s="46"/>
      <c r="H725" s="46"/>
      <c r="I725" s="46"/>
      <c r="J725" s="46"/>
      <c r="K725" s="1010"/>
      <c r="L725" s="46"/>
      <c r="M725" s="46"/>
      <c r="N725" s="46"/>
      <c r="O725" s="46"/>
      <c r="P725" s="1010"/>
      <c r="Q725" s="46"/>
      <c r="R725" s="46"/>
      <c r="S725" s="46"/>
      <c r="T725" s="46"/>
      <c r="U725" s="1010"/>
      <c r="V725" s="46"/>
      <c r="W725" s="633"/>
      <c r="X725" s="46"/>
      <c r="Y725" s="633"/>
      <c r="Z725" s="1016"/>
      <c r="AA725" s="46"/>
      <c r="AB725" s="633"/>
      <c r="AC725" s="46"/>
      <c r="AD725" s="633"/>
      <c r="AE725" s="1016"/>
      <c r="AF725" s="46"/>
      <c r="AG725" s="633"/>
      <c r="AH725" s="46"/>
      <c r="AI725" s="633"/>
      <c r="AJ725" s="1016"/>
      <c r="AK725" s="46"/>
      <c r="AL725" s="633"/>
      <c r="AM725" s="46"/>
      <c r="AN725" s="633"/>
      <c r="AO725" s="1016"/>
      <c r="AP725" s="46"/>
      <c r="AQ725" s="633"/>
      <c r="AR725" s="46"/>
      <c r="AS725" s="633"/>
      <c r="AT725" s="1016"/>
      <c r="AU725" s="46"/>
      <c r="AV725" s="633"/>
      <c r="AW725" s="46"/>
      <c r="AX725" s="633"/>
      <c r="AY725" s="1016"/>
      <c r="AZ725" s="46"/>
      <c r="BA725" s="46"/>
      <c r="BB725" s="46"/>
      <c r="BC725" s="633"/>
      <c r="BD725" s="1016"/>
      <c r="BE725" s="46"/>
      <c r="BF725" s="46"/>
      <c r="BG725" s="46"/>
      <c r="BH725" s="633"/>
      <c r="BI725" s="1016"/>
      <c r="BJ725" s="46"/>
      <c r="BK725" s="46"/>
      <c r="BL725" s="46"/>
      <c r="BM725" s="633"/>
      <c r="BN725" s="1016"/>
      <c r="BO725" s="46"/>
      <c r="BP725" s="46"/>
      <c r="BQ725" s="46"/>
      <c r="BR725" s="633"/>
      <c r="BS725" s="1016"/>
      <c r="BT725" s="694"/>
      <c r="BU725" s="536" t="str">
        <f ca="1">IFERROR(VLOOKUP($A725,tb_ConsensusEstimate,MATCH(BU$5,OFFSET(tb_ConsensusEstimate,0,0,1,COLUMNS(tb_ConsensusEstimate)),0),FALSE),"-")</f>
      </c>
      <c r="BV725" s="536" t="str">
        <f ca="1">IFERROR(VLOOKUP($A725,tb_ConsensusEstimate,MATCH(BV$5,OFFSET(tb_ConsensusEstimate,0,0,1,COLUMNS(tb_ConsensusEstimate)),0),FALSE),"-")</f>
      </c>
      <c r="BW725" s="536" t="str">
        <f ca="1">IFERROR(VLOOKUP($A725,tb_ConsensusEstimate,MATCH(BW$5,OFFSET(tb_ConsensusEstimate,0,0,1,COLUMNS(tb_ConsensusEstimate)),0),FALSE),"-")</f>
      </c>
      <c r="BX725" s="1016" t="str">
        <f t="shared" ref="BX725" ca="1" si="1263">IFERROR(VLOOKUP($A725,tb_ConsensusEstimate,MATCH(BX$5,OFFSET(tb_ConsensusEstimate,0,0,1,COLUMNS(tb_ConsensusEstimate)),0),FALSE),"-")</f>
      </c>
      <c r="BY725" s="536" t="str">
        <f ca="1">IFERROR(VLOOKUP($A725,tb_ConsensusEstimate,MATCH(BY$5,OFFSET(tb_ConsensusEstimate,0,0,1,COLUMNS(tb_ConsensusEstimate)),0),FALSE),"-")</f>
      </c>
      <c r="BZ725" s="536" t="str">
        <f ca="1">IFERROR(VLOOKUP($A725,tb_ConsensusEstimate,MATCH(BZ$5,OFFSET(tb_ConsensusEstimate,0,0,1,COLUMNS(tb_ConsensusEstimate)),0),FALSE),"-")</f>
      </c>
      <c r="CA725" s="536" t="str">
        <f ca="1">IFERROR(VLOOKUP($A725,tb_ConsensusEstimate,MATCH(CA$5,OFFSET(tb_ConsensusEstimate,0,0,1,COLUMNS(tb_ConsensusEstimate)),0),FALSE),"-")</f>
      </c>
      <c r="CB725" s="536" t="str">
        <f ca="1">IFERROR(VLOOKUP($A725,tb_ConsensusEstimate,MATCH(CB$5,OFFSET(tb_ConsensusEstimate,0,0,1,COLUMNS(tb_ConsensusEstimate)),0),FALSE),"-")</f>
      </c>
      <c r="CC725" s="1016" t="str">
        <f ca="1">IFERROR(VLOOKUP($A725,tb_ConsensusEstimate,MATCH(CC$5,OFFSET(tb_ConsensusEstimate,0,0,1,COLUMNS(tb_ConsensusEstimate)),0),FALSE),"-")</f>
      </c>
      <c r="CD725" s="1016" t="str">
        <f ca="1">IFERROR(VLOOKUP($A725,tb_ConsensusEstimate,MATCH(CD5,OFFSET(tb_ConsensusEstimate,0,0,1,COLUMNS(tb_ConsensusEstimate)),0),FALSE),"-")</f>
      </c>
      <c r="CE725" s="1016" t="str">
        <f ca="1">IFERROR(VLOOKUP($A725,tb_ConsensusEstimate,MATCH(CE5,OFFSET(tb_ConsensusEstimate,0,0,1,COLUMNS(tb_ConsensusEstimate)),0),FALSE),"-")</f>
      </c>
      <c r="CF725" s="1016" t="str">
        <f ca="1">IFERROR(VLOOKUP($A725,tb_ConsensusEstimate,MATCH(CF5,OFFSET(tb_ConsensusEstimate,0,0,1,COLUMNS(tb_ConsensusEstimate)),0),FALSE),"-")</f>
      </c>
      <c r="CG725" s="46"/>
    </row>
    <row r="726" spans="1:85" x14ac:dyDescent="0.3">
      <c r="A726" s="13" t="s">
        <v>105</v>
      </c>
      <c r="B726" s="428"/>
      <c r="C726" s="985">
        <f t="shared" ref="C726:BC726" si="1264">C1124+C1125</f>
      </c>
      <c r="D726" s="985">
        <f t="shared" si="1264"/>
      </c>
      <c r="E726" s="985">
        <f t="shared" si="1264"/>
      </c>
      <c r="F726" s="985">
        <f t="shared" si="1264"/>
      </c>
      <c r="G726" s="183">
        <f t="shared" si="1264"/>
      </c>
      <c r="H726" s="183">
        <f t="shared" si="1264"/>
      </c>
      <c r="I726" s="183">
        <f t="shared" si="1264"/>
      </c>
      <c r="J726" s="183">
        <f t="shared" si="1264"/>
      </c>
      <c r="K726" s="985">
        <f t="shared" si="1264"/>
      </c>
      <c r="L726" s="183">
        <f t="shared" si="1264"/>
      </c>
      <c r="M726" s="183">
        <f t="shared" si="1264"/>
      </c>
      <c r="N726" s="183">
        <f t="shared" si="1264"/>
      </c>
      <c r="O726" s="183">
        <f t="shared" si="1264"/>
      </c>
      <c r="P726" s="985">
        <f t="shared" si="1264"/>
      </c>
      <c r="Q726" s="183">
        <f t="shared" si="1264"/>
      </c>
      <c r="R726" s="183">
        <f t="shared" si="1264"/>
      </c>
      <c r="S726" s="183">
        <f t="shared" si="1264"/>
      </c>
      <c r="T726" s="183">
        <f t="shared" si="1264"/>
      </c>
      <c r="U726" s="985">
        <f t="shared" si="1264"/>
      </c>
      <c r="V726" s="183">
        <f t="shared" si="1264"/>
      </c>
      <c r="W726" s="183">
        <f t="shared" si="1264"/>
      </c>
      <c r="X726" s="183">
        <f t="shared" si="1264"/>
      </c>
      <c r="Y726" s="183">
        <f t="shared" si="1264"/>
      </c>
      <c r="Z726" s="985">
        <f t="shared" si="1264"/>
      </c>
      <c r="AA726" s="183">
        <f t="shared" si="1264"/>
      </c>
      <c r="AB726" s="183">
        <f t="shared" si="1264"/>
      </c>
      <c r="AC726" s="183">
        <f t="shared" si="1264"/>
      </c>
      <c r="AD726" s="183">
        <f t="shared" si="1264"/>
      </c>
      <c r="AE726" s="985">
        <f t="shared" si="1264"/>
      </c>
      <c r="AF726" s="183">
        <f t="shared" si="1264"/>
      </c>
      <c r="AG726" s="183">
        <f t="shared" si="1264"/>
      </c>
      <c r="AH726" s="183">
        <f t="shared" si="1264"/>
      </c>
      <c r="AI726" s="183">
        <f t="shared" si="1264"/>
      </c>
      <c r="AJ726" s="985">
        <f t="shared" si="1264"/>
      </c>
      <c r="AK726" s="183">
        <f t="shared" si="1264"/>
      </c>
      <c r="AL726" s="183">
        <f t="shared" si="1264"/>
      </c>
      <c r="AM726" s="183">
        <f t="shared" si="1264"/>
      </c>
      <c r="AN726" s="183">
        <f t="shared" si="1264"/>
      </c>
      <c r="AO726" s="985">
        <f t="shared" si="1264"/>
      </c>
      <c r="AP726" s="183">
        <f t="shared" si="1264"/>
      </c>
      <c r="AQ726" s="183">
        <f t="shared" si="1264"/>
      </c>
      <c r="AR726" s="183">
        <f t="shared" si="1264"/>
      </c>
      <c r="AS726" s="183">
        <f t="shared" si="1264"/>
      </c>
      <c r="AT726" s="985">
        <f t="shared" si="1264"/>
      </c>
      <c r="AU726" s="183">
        <f t="shared" si="1264"/>
      </c>
      <c r="AV726" s="183">
        <f t="shared" si="1264"/>
      </c>
      <c r="AW726" s="183">
        <f t="shared" si="1264"/>
      </c>
      <c r="AX726" s="183">
        <f t="shared" si="1264"/>
      </c>
      <c r="AY726" s="985">
        <f t="shared" si="1264"/>
      </c>
      <c r="AZ726" s="183">
        <f t="shared" si="1264"/>
      </c>
      <c r="BA726" s="183">
        <f t="shared" si="1264"/>
      </c>
      <c r="BB726" s="183">
        <f t="shared" si="1264"/>
      </c>
      <c r="BC726" s="183">
        <f t="shared" si="1264"/>
      </c>
      <c r="BD726" s="985">
        <f t="shared" ref="BD726:BI726" si="1265">BD1124+BD1125</f>
      </c>
      <c r="BE726" s="183">
        <f t="shared" si="1265"/>
      </c>
      <c r="BF726" s="183">
        <f t="shared" si="1265"/>
      </c>
      <c r="BG726" s="183">
        <f t="shared" si="1265"/>
      </c>
      <c r="BH726" s="183">
        <f t="shared" si="1265"/>
      </c>
      <c r="BI726" s="985">
        <f t="shared" si="1265"/>
      </c>
      <c r="BJ726" s="183">
        <f t="shared" ref="BJ726:BO726" si="1266">BJ1124+BJ1125</f>
      </c>
      <c r="BK726" s="183">
        <f t="shared" si="1266"/>
      </c>
      <c r="BL726" s="183">
        <f t="shared" si="1266"/>
      </c>
      <c r="BM726" s="183">
        <f t="shared" si="1266"/>
      </c>
      <c r="BN726" s="985">
        <f t="shared" si="1266"/>
      </c>
      <c r="BO726" s="183">
        <f t="shared" si="1266"/>
      </c>
      <c r="BP726" s="183">
        <f>BP1124+BP1125</f>
      </c>
      <c r="BQ726" s="183">
        <f>BQ1124+BQ1125</f>
      </c>
      <c r="BR726" s="183">
        <f>BR1124+BR1125</f>
      </c>
      <c r="BS726" s="985">
        <f>BS1124+BS1125</f>
      </c>
      <c r="BT726" s="794">
        <f>BT1124+BT1125</f>
      </c>
      <c r="BU726" s="861">
        <v>-120</v>
      </c>
      <c r="BV726" s="861">
        <v>-120</v>
      </c>
      <c r="BW726" s="861">
        <v>-120</v>
      </c>
      <c r="BX726" s="969">
        <f>BX1124+BX1125</f>
      </c>
      <c r="BY726" s="861">
        <v>-120</v>
      </c>
      <c r="BZ726" s="861">
        <v>-120</v>
      </c>
      <c r="CA726" s="861">
        <v>-120</v>
      </c>
      <c r="CB726" s="861">
        <v>-120</v>
      </c>
      <c r="CC726" s="969">
        <f>CC1124+CC1125</f>
      </c>
      <c r="CD726" s="971">
        <v>-480</v>
      </c>
      <c r="CE726" s="971">
        <v>-480</v>
      </c>
      <c r="CF726" s="971">
        <v>-480</v>
      </c>
      <c r="CG726" s="183"/>
    </row>
    <row r="727" spans="1:85" x14ac:dyDescent="0.3">
      <c r="A727" s="769" t="str">
        <f>CONCATENATE("Consensus Estimates - ",IFERROR(LEFT(A726,FIND("(",A726)-1),A726))</f>
      </c>
      <c r="B727" s="770"/>
      <c r="C727" s="1009"/>
      <c r="D727" s="1009"/>
      <c r="E727" s="1009"/>
      <c r="F727" s="1009"/>
      <c r="G727" s="763"/>
      <c r="H727" s="763"/>
      <c r="I727" s="763"/>
      <c r="J727" s="763"/>
      <c r="K727" s="1009"/>
      <c r="L727" s="763"/>
      <c r="M727" s="763"/>
      <c r="N727" s="763"/>
      <c r="O727" s="763"/>
      <c r="P727" s="1009"/>
      <c r="Q727" s="763"/>
      <c r="R727" s="763"/>
      <c r="S727" s="763"/>
      <c r="T727" s="763"/>
      <c r="U727" s="1009"/>
      <c r="V727" s="763"/>
      <c r="W727" s="806"/>
      <c r="X727" s="763"/>
      <c r="Y727" s="806"/>
      <c r="Z727" s="942"/>
      <c r="AA727" s="763"/>
      <c r="AB727" s="806"/>
      <c r="AC727" s="763"/>
      <c r="AD727" s="806"/>
      <c r="AE727" s="942"/>
      <c r="AF727" s="763"/>
      <c r="AG727" s="806"/>
      <c r="AH727" s="763"/>
      <c r="AI727" s="806"/>
      <c r="AJ727" s="942"/>
      <c r="AK727" s="763"/>
      <c r="AL727" s="806"/>
      <c r="AM727" s="763"/>
      <c r="AN727" s="806"/>
      <c r="AO727" s="942"/>
      <c r="AP727" s="763"/>
      <c r="AQ727" s="806"/>
      <c r="AR727" s="763"/>
      <c r="AS727" s="806"/>
      <c r="AT727" s="942"/>
      <c r="AU727" s="763"/>
      <c r="AV727" s="806"/>
      <c r="AW727" s="763"/>
      <c r="AX727" s="806"/>
      <c r="AY727" s="942"/>
      <c r="AZ727" s="763"/>
      <c r="BA727" s="763"/>
      <c r="BB727" s="763"/>
      <c r="BC727" s="806"/>
      <c r="BD727" s="942"/>
      <c r="BE727" s="763"/>
      <c r="BF727" s="763"/>
      <c r="BG727" s="763"/>
      <c r="BH727" s="806"/>
      <c r="BI727" s="942"/>
      <c r="BJ727" s="763"/>
      <c r="BK727" s="763"/>
      <c r="BL727" s="763"/>
      <c r="BM727" s="806"/>
      <c r="BN727" s="942"/>
      <c r="BO727" s="763"/>
      <c r="BP727" s="763"/>
      <c r="BQ727" s="763"/>
      <c r="BR727" s="806"/>
      <c r="BS727" s="942"/>
      <c r="BT727" s="807"/>
      <c r="BU727" s="780" t="str">
        <f ca="1">IFERROR(VLOOKUP($A727,tb_ConsensusEstimate,MATCH(BU$5,OFFSET(tb_ConsensusEstimate,0,0,1,COLUMNS(tb_ConsensusEstimate)),0),FALSE),"-")</f>
      </c>
      <c r="BV727" s="780" t="str">
        <f ca="1">IFERROR(VLOOKUP($A727,tb_ConsensusEstimate,MATCH(BV$5,OFFSET(tb_ConsensusEstimate,0,0,1,COLUMNS(tb_ConsensusEstimate)),0),FALSE),"-")</f>
      </c>
      <c r="BW727" s="780" t="str">
        <f ca="1">IFERROR(VLOOKUP($A727,tb_ConsensusEstimate,MATCH(BW$5,OFFSET(tb_ConsensusEstimate,0,0,1,COLUMNS(tb_ConsensusEstimate)),0),FALSE),"-")</f>
      </c>
      <c r="BX727" s="942" t="str">
        <f t="shared" ref="BX727" ca="1" si="1267">IFERROR(VLOOKUP($A727,tb_ConsensusEstimate,MATCH(BX$5,OFFSET(tb_ConsensusEstimate,0,0,1,COLUMNS(tb_ConsensusEstimate)),0),FALSE),"-")</f>
      </c>
      <c r="BY727" s="780" t="str">
        <f ca="1">IFERROR(VLOOKUP($A727,tb_ConsensusEstimate,MATCH(BY$5,OFFSET(tb_ConsensusEstimate,0,0,1,COLUMNS(tb_ConsensusEstimate)),0),FALSE),"-")</f>
      </c>
      <c r="BZ727" s="780" t="str">
        <f ca="1">IFERROR(VLOOKUP($A727,tb_ConsensusEstimate,MATCH(BZ$5,OFFSET(tb_ConsensusEstimate,0,0,1,COLUMNS(tb_ConsensusEstimate)),0),FALSE),"-")</f>
      </c>
      <c r="CA727" s="780" t="str">
        <f ca="1">IFERROR(VLOOKUP($A727,tb_ConsensusEstimate,MATCH(CA$5,OFFSET(tb_ConsensusEstimate,0,0,1,COLUMNS(tb_ConsensusEstimate)),0),FALSE),"-")</f>
      </c>
      <c r="CB727" s="780" t="str">
        <f ca="1">IFERROR(VLOOKUP($A727,tb_ConsensusEstimate,MATCH(CB$5,OFFSET(tb_ConsensusEstimate,0,0,1,COLUMNS(tb_ConsensusEstimate)),0),FALSE),"-")</f>
      </c>
      <c r="CC727" s="942" t="str">
        <f ca="1">IFERROR(VLOOKUP($A727,tb_ConsensusEstimate,MATCH(CC$5,OFFSET(tb_ConsensusEstimate,0,0,1,COLUMNS(tb_ConsensusEstimate)),0),FALSE),"-")</f>
      </c>
      <c r="CD727" s="942" t="str">
        <f ca="1">IFERROR(VLOOKUP($A727,tb_ConsensusEstimate,MATCH(CD5,OFFSET(tb_ConsensusEstimate,0,0,1,COLUMNS(tb_ConsensusEstimate)),0),FALSE),"-")</f>
      </c>
      <c r="CE727" s="942" t="str">
        <f ca="1">IFERROR(VLOOKUP($A727,tb_ConsensusEstimate,MATCH(CE5,OFFSET(tb_ConsensusEstimate,0,0,1,COLUMNS(tb_ConsensusEstimate)),0),FALSE),"-")</f>
      </c>
      <c r="CF727" s="942" t="str">
        <f ca="1">IFERROR(VLOOKUP($A727,tb_ConsensusEstimate,MATCH(CF5,OFFSET(tb_ConsensusEstimate,0,0,1,COLUMNS(tb_ConsensusEstimate)),0),FALSE),"-")</f>
      </c>
      <c r="CG727" s="763"/>
    </row>
    <row r="728" spans="1:85" x14ac:dyDescent="0.3">
      <c r="A728" s="459" t="s">
        <v>106</v>
      </c>
      <c r="B728" s="414"/>
      <c r="C728" s="964">
        <f t="shared" ref="C728:BC728" si="1268">C1130+C1127</f>
      </c>
      <c r="D728" s="964">
        <f t="shared" si="1268"/>
      </c>
      <c r="E728" s="964">
        <f t="shared" si="1268"/>
      </c>
      <c r="F728" s="964">
        <f t="shared" si="1268"/>
      </c>
      <c r="G728" s="459">
        <f t="shared" si="1268"/>
      </c>
      <c r="H728" s="459">
        <f t="shared" si="1268"/>
      </c>
      <c r="I728" s="459">
        <f t="shared" si="1268"/>
      </c>
      <c r="J728" s="459">
        <f t="shared" si="1268"/>
      </c>
      <c r="K728" s="964">
        <f t="shared" si="1268"/>
      </c>
      <c r="L728" s="459">
        <f t="shared" si="1268"/>
      </c>
      <c r="M728" s="459">
        <f t="shared" si="1268"/>
      </c>
      <c r="N728" s="459">
        <f t="shared" si="1268"/>
      </c>
      <c r="O728" s="459">
        <f t="shared" si="1268"/>
      </c>
      <c r="P728" s="964">
        <f t="shared" si="1268"/>
      </c>
      <c r="Q728" s="459">
        <f t="shared" si="1268"/>
      </c>
      <c r="R728" s="459">
        <f t="shared" si="1268"/>
      </c>
      <c r="S728" s="459">
        <f t="shared" si="1268"/>
      </c>
      <c r="T728" s="459">
        <f t="shared" si="1268"/>
      </c>
      <c r="U728" s="964">
        <f t="shared" si="1268"/>
      </c>
      <c r="V728" s="459">
        <f t="shared" si="1268"/>
      </c>
      <c r="W728" s="459">
        <f t="shared" si="1268"/>
      </c>
      <c r="X728" s="459">
        <f t="shared" si="1268"/>
      </c>
      <c r="Y728" s="459">
        <f t="shared" si="1268"/>
      </c>
      <c r="Z728" s="964">
        <f t="shared" si="1268"/>
      </c>
      <c r="AA728" s="459">
        <f t="shared" si="1268"/>
      </c>
      <c r="AB728" s="459">
        <f t="shared" si="1268"/>
      </c>
      <c r="AC728" s="459">
        <f t="shared" si="1268"/>
      </c>
      <c r="AD728" s="459">
        <f t="shared" si="1268"/>
      </c>
      <c r="AE728" s="964">
        <f t="shared" si="1268"/>
      </c>
      <c r="AF728" s="459">
        <f t="shared" si="1268"/>
      </c>
      <c r="AG728" s="459">
        <f t="shared" si="1268"/>
      </c>
      <c r="AH728" s="459">
        <f t="shared" si="1268"/>
      </c>
      <c r="AI728" s="459">
        <f t="shared" si="1268"/>
      </c>
      <c r="AJ728" s="964">
        <f t="shared" si="1268"/>
      </c>
      <c r="AK728" s="459">
        <f t="shared" si="1268"/>
      </c>
      <c r="AL728" s="459">
        <f t="shared" si="1268"/>
      </c>
      <c r="AM728" s="459">
        <f t="shared" si="1268"/>
      </c>
      <c r="AN728" s="459">
        <f t="shared" si="1268"/>
      </c>
      <c r="AO728" s="964">
        <f t="shared" si="1268"/>
      </c>
      <c r="AP728" s="459">
        <f t="shared" si="1268"/>
      </c>
      <c r="AQ728" s="459">
        <f t="shared" si="1268"/>
      </c>
      <c r="AR728" s="459">
        <f t="shared" si="1268"/>
      </c>
      <c r="AS728" s="459">
        <f t="shared" si="1268"/>
      </c>
      <c r="AT728" s="964">
        <f t="shared" si="1268"/>
      </c>
      <c r="AU728" s="459">
        <f t="shared" si="1268"/>
      </c>
      <c r="AV728" s="459">
        <f t="shared" si="1268"/>
      </c>
      <c r="AW728" s="459">
        <f t="shared" si="1268"/>
      </c>
      <c r="AX728" s="459">
        <f t="shared" si="1268"/>
      </c>
      <c r="AY728" s="964">
        <f t="shared" si="1268"/>
      </c>
      <c r="AZ728" s="459">
        <f t="shared" si="1268"/>
      </c>
      <c r="BA728" s="459">
        <f t="shared" si="1268"/>
      </c>
      <c r="BB728" s="459">
        <f t="shared" si="1268"/>
      </c>
      <c r="BC728" s="459">
        <f t="shared" si="1268"/>
      </c>
      <c r="BD728" s="964">
        <f t="shared" ref="BD728:BI728" si="1269">BD1130+BD1127</f>
      </c>
      <c r="BE728" s="459">
        <f t="shared" si="1269"/>
      </c>
      <c r="BF728" s="459">
        <f t="shared" si="1269"/>
      </c>
      <c r="BG728" s="459">
        <f t="shared" si="1269"/>
      </c>
      <c r="BH728" s="459">
        <f t="shared" si="1269"/>
      </c>
      <c r="BI728" s="964">
        <f t="shared" si="1269"/>
      </c>
      <c r="BJ728" s="459">
        <f t="shared" ref="BJ728:BO728" si="1270">BJ1130+BJ1127</f>
      </c>
      <c r="BK728" s="459">
        <f t="shared" si="1270"/>
      </c>
      <c r="BL728" s="459">
        <f t="shared" si="1270"/>
      </c>
      <c r="BM728" s="459">
        <f t="shared" si="1270"/>
      </c>
      <c r="BN728" s="964">
        <f t="shared" si="1270"/>
      </c>
      <c r="BO728" s="459">
        <f t="shared" si="1270"/>
      </c>
      <c r="BP728" s="459">
        <f>BP1130+BP1127</f>
      </c>
      <c r="BQ728" s="459">
        <f>BQ1130+BQ1127</f>
      </c>
      <c r="BR728" s="459">
        <f>BR1130+BR1127</f>
      </c>
      <c r="BS728" s="964">
        <f>BS1130+BS1127</f>
      </c>
      <c r="BT728" s="795">
        <f>BT1130+BT1127</f>
      </c>
      <c r="BU728" s="857">
        <v>0</v>
      </c>
      <c r="BV728" s="857">
        <v>0</v>
      </c>
      <c r="BW728" s="857">
        <v>0</v>
      </c>
      <c r="BX728" s="962">
        <f>BX1130+BX1127</f>
      </c>
      <c r="BY728" s="857">
        <v>0</v>
      </c>
      <c r="BZ728" s="857">
        <v>0</v>
      </c>
      <c r="CA728" s="857">
        <v>0</v>
      </c>
      <c r="CB728" s="857">
        <v>0</v>
      </c>
      <c r="CC728" s="962">
        <f>CC1130+CC1127</f>
      </c>
      <c r="CD728" s="963">
        <v>0</v>
      </c>
      <c r="CE728" s="963">
        <v>0</v>
      </c>
      <c r="CF728" s="963">
        <v>0</v>
      </c>
      <c r="CG728" s="459"/>
    </row>
    <row r="729" spans="1:85" x14ac:dyDescent="0.3">
      <c r="A729" s="459" t="s">
        <v>107</v>
      </c>
      <c r="B729" s="414"/>
      <c r="C729" s="964">
        <f t="shared" ref="C729:AQ729" si="1271">C1128+C1126</f>
      </c>
      <c r="D729" s="964">
        <f t="shared" si="1271"/>
      </c>
      <c r="E729" s="964">
        <f t="shared" si="1271"/>
      </c>
      <c r="F729" s="964">
        <f t="shared" si="1271"/>
      </c>
      <c r="G729" s="459">
        <f t="shared" si="1271"/>
      </c>
      <c r="H729" s="459">
        <f t="shared" si="1271"/>
      </c>
      <c r="I729" s="459">
        <f t="shared" si="1271"/>
      </c>
      <c r="J729" s="459">
        <f t="shared" si="1271"/>
      </c>
      <c r="K729" s="964">
        <f t="shared" si="1271"/>
      </c>
      <c r="L729" s="459">
        <f t="shared" si="1271"/>
      </c>
      <c r="M729" s="459">
        <f t="shared" si="1271"/>
      </c>
      <c r="N729" s="459">
        <f t="shared" si="1271"/>
      </c>
      <c r="O729" s="459">
        <f t="shared" si="1271"/>
      </c>
      <c r="P729" s="964">
        <f t="shared" si="1271"/>
      </c>
      <c r="Q729" s="459">
        <f t="shared" si="1271"/>
      </c>
      <c r="R729" s="459">
        <f t="shared" si="1271"/>
      </c>
      <c r="S729" s="459">
        <f t="shared" si="1271"/>
      </c>
      <c r="T729" s="459">
        <f t="shared" si="1271"/>
      </c>
      <c r="U729" s="964">
        <f t="shared" si="1271"/>
      </c>
      <c r="V729" s="459">
        <f t="shared" si="1271"/>
      </c>
      <c r="W729" s="459">
        <f t="shared" si="1271"/>
      </c>
      <c r="X729" s="459">
        <f t="shared" si="1271"/>
      </c>
      <c r="Y729" s="459">
        <f t="shared" si="1271"/>
      </c>
      <c r="Z729" s="964">
        <f t="shared" si="1271"/>
      </c>
      <c r="AA729" s="459">
        <f t="shared" si="1271"/>
      </c>
      <c r="AB729" s="459">
        <f t="shared" si="1271"/>
      </c>
      <c r="AC729" s="459">
        <f t="shared" si="1271"/>
      </c>
      <c r="AD729" s="459">
        <f t="shared" si="1271"/>
      </c>
      <c r="AE729" s="964">
        <f t="shared" si="1271"/>
      </c>
      <c r="AF729" s="459">
        <f t="shared" si="1271"/>
      </c>
      <c r="AG729" s="459">
        <f t="shared" si="1271"/>
      </c>
      <c r="AH729" s="459">
        <f t="shared" si="1271"/>
      </c>
      <c r="AI729" s="459">
        <f t="shared" si="1271"/>
      </c>
      <c r="AJ729" s="964">
        <f t="shared" si="1271"/>
      </c>
      <c r="AK729" s="459">
        <f t="shared" si="1271"/>
      </c>
      <c r="AL729" s="459">
        <f t="shared" si="1271"/>
      </c>
      <c r="AM729" s="459">
        <f t="shared" si="1271"/>
      </c>
      <c r="AN729" s="459">
        <f t="shared" si="1271"/>
      </c>
      <c r="AO729" s="964">
        <f t="shared" si="1271"/>
      </c>
      <c r="AP729" s="459">
        <f t="shared" si="1271"/>
      </c>
      <c r="AQ729" s="459">
        <f t="shared" si="1271"/>
      </c>
      <c r="AR729" s="459">
        <f>AR1128+AR1126</f>
      </c>
      <c r="AS729" s="459">
        <f>AS1128+AS1126</f>
      </c>
      <c r="AT729" s="964">
        <f>AT1128+AT1126</f>
      </c>
      <c r="AU729" s="459">
        <f t="shared" ref="AU729" si="1272">AU1128+AU1126</f>
      </c>
      <c r="AV729" s="459">
        <f>AV1128+AV1126</f>
      </c>
      <c r="AW729" s="459">
        <f>AW1128+AW1126</f>
      </c>
      <c r="AX729" s="459">
        <f t="shared" ref="AX729:AY729" si="1273">AX1128+AX1126</f>
      </c>
      <c r="AY729" s="964">
        <f t="shared" si="1273"/>
      </c>
      <c r="AZ729" s="459">
        <f t="shared" ref="AZ729:BE729" si="1274">AZ1128+AZ1126</f>
      </c>
      <c r="BA729" s="459">
        <f t="shared" si="1274"/>
      </c>
      <c r="BB729" s="459">
        <f t="shared" si="1274"/>
      </c>
      <c r="BC729" s="459">
        <f t="shared" si="1274"/>
      </c>
      <c r="BD729" s="964">
        <f t="shared" si="1274"/>
      </c>
      <c r="BE729" s="459">
        <f t="shared" si="1274"/>
      </c>
      <c r="BF729" s="459">
        <f t="shared" ref="BF729:BK729" si="1275">BF1128+BF1126</f>
      </c>
      <c r="BG729" s="459">
        <f t="shared" si="1275"/>
      </c>
      <c r="BH729" s="459">
        <f t="shared" si="1275"/>
      </c>
      <c r="BI729" s="964">
        <f t="shared" si="1275"/>
      </c>
      <c r="BJ729" s="459">
        <f t="shared" si="1275"/>
      </c>
      <c r="BK729" s="459">
        <f t="shared" si="1275"/>
      </c>
      <c r="BL729" s="459">
        <f t="shared" ref="BL729:BQ729" si="1276">BL1128+BL1126</f>
      </c>
      <c r="BM729" s="459">
        <f t="shared" si="1276"/>
      </c>
      <c r="BN729" s="964">
        <f t="shared" si="1276"/>
      </c>
      <c r="BO729" s="459">
        <f t="shared" si="1276"/>
      </c>
      <c r="BP729" s="459">
        <f t="shared" si="1276"/>
      </c>
      <c r="BQ729" s="459">
        <f t="shared" si="1276"/>
      </c>
      <c r="BR729" s="459">
        <f>BR1128+BR1126</f>
      </c>
      <c r="BS729" s="964">
        <f>BS1128+BS1126</f>
      </c>
      <c r="BT729" s="795">
        <f>BT1128+BT1126</f>
      </c>
      <c r="BU729" s="857">
        <v>0</v>
      </c>
      <c r="BV729" s="857">
        <v>0</v>
      </c>
      <c r="BW729" s="857">
        <v>0</v>
      </c>
      <c r="BX729" s="962">
        <f>BX1128+BX1126</f>
      </c>
      <c r="BY729" s="857">
        <v>0</v>
      </c>
      <c r="BZ729" s="857">
        <v>0</v>
      </c>
      <c r="CA729" s="857">
        <v>0</v>
      </c>
      <c r="CB729" s="857">
        <v>0</v>
      </c>
      <c r="CC729" s="962">
        <f>CC1128+CC1126</f>
      </c>
      <c r="CD729" s="963">
        <v>0</v>
      </c>
      <c r="CE729" s="963">
        <v>0</v>
      </c>
      <c r="CF729" s="963">
        <v>0</v>
      </c>
      <c r="CG729" s="459"/>
    </row>
    <row r="730" spans="1:85" x14ac:dyDescent="0.3">
      <c r="A730" s="459" t="s">
        <v>108</v>
      </c>
      <c r="B730" s="414"/>
      <c r="C730" s="964">
        <f t="shared" ref="C730:AQ730" si="1277">C1150</f>
      </c>
      <c r="D730" s="964">
        <f t="shared" si="1277"/>
      </c>
      <c r="E730" s="964">
        <f t="shared" si="1277"/>
      </c>
      <c r="F730" s="964">
        <f t="shared" si="1277"/>
      </c>
      <c r="G730" s="459">
        <f t="shared" si="1277"/>
      </c>
      <c r="H730" s="459">
        <f t="shared" si="1277"/>
      </c>
      <c r="I730" s="459">
        <f t="shared" si="1277"/>
      </c>
      <c r="J730" s="459">
        <f t="shared" si="1277"/>
      </c>
      <c r="K730" s="964">
        <f t="shared" si="1277"/>
      </c>
      <c r="L730" s="459">
        <f t="shared" si="1277"/>
      </c>
      <c r="M730" s="459">
        <f t="shared" si="1277"/>
      </c>
      <c r="N730" s="459">
        <f t="shared" si="1277"/>
      </c>
      <c r="O730" s="459">
        <f t="shared" si="1277"/>
      </c>
      <c r="P730" s="964">
        <f t="shared" si="1277"/>
      </c>
      <c r="Q730" s="459">
        <f t="shared" si="1277"/>
      </c>
      <c r="R730" s="459">
        <f t="shared" si="1277"/>
      </c>
      <c r="S730" s="459">
        <f t="shared" si="1277"/>
      </c>
      <c r="T730" s="459">
        <f t="shared" si="1277"/>
      </c>
      <c r="U730" s="964">
        <f t="shared" si="1277"/>
      </c>
      <c r="V730" s="459">
        <f t="shared" si="1277"/>
      </c>
      <c r="W730" s="459">
        <f t="shared" si="1277"/>
      </c>
      <c r="X730" s="459">
        <f t="shared" si="1277"/>
      </c>
      <c r="Y730" s="459">
        <f t="shared" si="1277"/>
      </c>
      <c r="Z730" s="964">
        <f t="shared" si="1277"/>
      </c>
      <c r="AA730" s="459">
        <f t="shared" si="1277"/>
      </c>
      <c r="AB730" s="459">
        <f t="shared" si="1277"/>
      </c>
      <c r="AC730" s="459">
        <f t="shared" si="1277"/>
      </c>
      <c r="AD730" s="459">
        <f t="shared" si="1277"/>
      </c>
      <c r="AE730" s="964">
        <f t="shared" si="1277"/>
      </c>
      <c r="AF730" s="459">
        <f t="shared" si="1277"/>
      </c>
      <c r="AG730" s="459">
        <f t="shared" si="1277"/>
      </c>
      <c r="AH730" s="459">
        <f t="shared" si="1277"/>
      </c>
      <c r="AI730" s="459">
        <f t="shared" si="1277"/>
      </c>
      <c r="AJ730" s="964">
        <f t="shared" si="1277"/>
      </c>
      <c r="AK730" s="459">
        <f t="shared" si="1277"/>
      </c>
      <c r="AL730" s="459">
        <f t="shared" si="1277"/>
      </c>
      <c r="AM730" s="459">
        <f t="shared" si="1277"/>
      </c>
      <c r="AN730" s="459">
        <f t="shared" si="1277"/>
      </c>
      <c r="AO730" s="964">
        <f t="shared" si="1277"/>
      </c>
      <c r="AP730" s="459">
        <f t="shared" si="1277"/>
      </c>
      <c r="AQ730" s="459">
        <f t="shared" si="1277"/>
      </c>
      <c r="AR730" s="459">
        <f>AR1150</f>
      </c>
      <c r="AS730" s="459">
        <f>AS1150</f>
      </c>
      <c r="AT730" s="964">
        <f>AT1150</f>
      </c>
      <c r="AU730" s="459">
        <f t="shared" ref="AU730" si="1278">AU1150</f>
      </c>
      <c r="AV730" s="459">
        <f>AV1150</f>
      </c>
      <c r="AW730" s="459">
        <f>AW1150</f>
      </c>
      <c r="AX730" s="459">
        <f t="shared" ref="AX730:AY730" si="1279">AX1150</f>
      </c>
      <c r="AY730" s="964">
        <f t="shared" si="1279"/>
      </c>
      <c r="AZ730" s="459">
        <f t="shared" ref="AZ730:BE730" si="1280">AZ1150</f>
      </c>
      <c r="BA730" s="459">
        <f t="shared" si="1280"/>
      </c>
      <c r="BB730" s="459">
        <f t="shared" si="1280"/>
      </c>
      <c r="BC730" s="459">
        <f t="shared" si="1280"/>
      </c>
      <c r="BD730" s="964">
        <f t="shared" si="1280"/>
      </c>
      <c r="BE730" s="459">
        <f t="shared" si="1280"/>
      </c>
      <c r="BF730" s="459">
        <f t="shared" ref="BF730:BK730" si="1281">BF1150</f>
      </c>
      <c r="BG730" s="459">
        <f t="shared" si="1281"/>
      </c>
      <c r="BH730" s="459">
        <f t="shared" si="1281"/>
      </c>
      <c r="BI730" s="964">
        <f t="shared" si="1281"/>
      </c>
      <c r="BJ730" s="459">
        <f t="shared" si="1281"/>
      </c>
      <c r="BK730" s="459">
        <f t="shared" si="1281"/>
      </c>
      <c r="BL730" s="459">
        <f t="shared" ref="BL730:BQ730" si="1282">BL1150</f>
      </c>
      <c r="BM730" s="459">
        <f t="shared" si="1282"/>
      </c>
      <c r="BN730" s="964">
        <f t="shared" si="1282"/>
      </c>
      <c r="BO730" s="459">
        <f t="shared" si="1282"/>
      </c>
      <c r="BP730" s="459">
        <f t="shared" si="1282"/>
      </c>
      <c r="BQ730" s="459">
        <f t="shared" si="1282"/>
      </c>
      <c r="BR730" s="459">
        <f>BR1150</f>
      </c>
      <c r="BS730" s="964">
        <f>BS1150</f>
      </c>
      <c r="BT730" s="795">
        <f>BT1150</f>
      </c>
      <c r="BU730" s="757">
        <f>BU731*-BU510</f>
      </c>
      <c r="BV730" s="757">
        <f>BV731*-BV510</f>
      </c>
      <c r="BW730" s="757">
        <f>BW731*-BW510</f>
      </c>
      <c r="BX730" s="962">
        <f>BX1150</f>
      </c>
      <c r="BY730" s="757">
        <f>BY731*-BY510</f>
      </c>
      <c r="BZ730" s="757">
        <f>BZ731*-BZ510</f>
      </c>
      <c r="CA730" s="757">
        <f>CA731*-CA510</f>
      </c>
      <c r="CB730" s="757">
        <f>CB731*-CB510</f>
      </c>
      <c r="CC730" s="962">
        <f>CC1150</f>
      </c>
      <c r="CD730" s="962">
        <f>CD731*-CD510</f>
      </c>
      <c r="CE730" s="962">
        <f>CE731*-CE510</f>
      </c>
      <c r="CF730" s="962">
        <f>CF731*-CF510</f>
      </c>
      <c r="CG730" s="459"/>
    </row>
    <row r="731" spans="1:85" x14ac:dyDescent="0.3">
      <c r="A731" s="53" t="s">
        <v>109</v>
      </c>
      <c r="B731" s="269"/>
      <c r="C731" s="1042">
        <v>0</v>
      </c>
      <c r="D731" s="1042">
        <v>0</v>
      </c>
      <c r="E731" s="1042">
        <v>0</v>
      </c>
      <c r="F731" s="1042">
        <v>0</v>
      </c>
      <c r="G731" s="887">
        <v>0</v>
      </c>
      <c r="H731" s="887">
        <v>0</v>
      </c>
      <c r="I731" s="887">
        <v>0</v>
      </c>
      <c r="J731" s="887">
        <v>0</v>
      </c>
      <c r="K731" s="1043">
        <f>SUM(G731,H731,I731,J731)</f>
      </c>
      <c r="L731" s="887">
        <v>0</v>
      </c>
      <c r="M731" s="887">
        <v>0</v>
      </c>
      <c r="N731" s="887">
        <v>0</v>
      </c>
      <c r="O731" s="887">
        <v>0</v>
      </c>
      <c r="P731" s="1043">
        <f>SUM(L731,M731,N731,O731)</f>
      </c>
      <c r="Q731" s="887">
        <v>0</v>
      </c>
      <c r="R731" s="887">
        <v>0</v>
      </c>
      <c r="S731" s="887">
        <v>0</v>
      </c>
      <c r="T731" s="887">
        <v>0</v>
      </c>
      <c r="U731" s="1043">
        <f>SUM(Q731,R731,S731,T731)</f>
      </c>
      <c r="V731" s="887">
        <v>0</v>
      </c>
      <c r="W731" s="887">
        <v>0</v>
      </c>
      <c r="X731" s="887">
        <v>0</v>
      </c>
      <c r="Y731" s="887">
        <v>0</v>
      </c>
      <c r="Z731" s="1043">
        <f>SUM(V731,W731,X731,Y731)</f>
      </c>
      <c r="AA731" s="887">
        <v>0</v>
      </c>
      <c r="AB731" s="887">
        <v>0</v>
      </c>
      <c r="AC731" s="887">
        <v>0</v>
      </c>
      <c r="AD731" s="887">
        <v>0</v>
      </c>
      <c r="AE731" s="1043">
        <f>SUM(AA731,AB731,AC731,AD731)</f>
      </c>
      <c r="AF731" s="887">
        <v>0</v>
      </c>
      <c r="AG731" s="887">
        <v>0</v>
      </c>
      <c r="AH731" s="887">
        <v>0</v>
      </c>
      <c r="AI731" s="887">
        <v>0</v>
      </c>
      <c r="AJ731" s="1043">
        <f>SUM(AF731,AG731,AH731,AI731)</f>
      </c>
      <c r="AK731" s="887">
        <v>0</v>
      </c>
      <c r="AL731" s="887">
        <v>0</v>
      </c>
      <c r="AM731" s="887">
        <v>0</v>
      </c>
      <c r="AN731" s="887">
        <v>0</v>
      </c>
      <c r="AO731" s="1043">
        <f>SUM(AK731,AL731,AM731,AN731)</f>
      </c>
      <c r="AP731" s="887">
        <v>0</v>
      </c>
      <c r="AQ731" s="887">
        <v>0</v>
      </c>
      <c r="AR731" s="887">
        <v>0</v>
      </c>
      <c r="AS731" s="887">
        <v>0</v>
      </c>
      <c r="AT731" s="1043">
        <f>SUM(AP731,AQ731,AR731,AS731)</f>
      </c>
      <c r="AU731" s="887">
        <v>0</v>
      </c>
      <c r="AV731" s="887">
        <v>0</v>
      </c>
      <c r="AW731" s="887">
        <v>0</v>
      </c>
      <c r="AX731" s="887">
        <v>0</v>
      </c>
      <c r="AY731" s="1043">
        <f>SUM(AU731,AV731,AW731,AX731)</f>
      </c>
      <c r="AZ731" s="887">
        <v>0</v>
      </c>
      <c r="BA731" s="887">
        <v>0</v>
      </c>
      <c r="BB731" s="887">
        <v>0</v>
      </c>
      <c r="BC731" s="887">
        <v>0</v>
      </c>
      <c r="BD731" s="1043">
        <f>SUM(AZ731,BA731,BB731,BC731)</f>
      </c>
      <c r="BE731" s="887">
        <v>0</v>
      </c>
      <c r="BF731" s="887">
        <v>0</v>
      </c>
      <c r="BG731" s="887">
        <v>0</v>
      </c>
      <c r="BH731" s="887">
        <v>0</v>
      </c>
      <c r="BI731" s="1043">
        <f>SUM(BE731,BF731,BG731,BH731)</f>
      </c>
      <c r="BJ731" s="887">
        <v>0</v>
      </c>
      <c r="BK731" s="887">
        <v>0</v>
      </c>
      <c r="BL731" s="887">
        <v>0</v>
      </c>
      <c r="BM731" s="887">
        <v>0</v>
      </c>
      <c r="BN731" s="1043">
        <f>SUM(BJ731,BK731,BL731,BM731)</f>
      </c>
      <c r="BO731" s="887">
        <v>0</v>
      </c>
      <c r="BP731" s="887">
        <v>0</v>
      </c>
      <c r="BQ731" s="887">
        <v>0</v>
      </c>
      <c r="BR731" s="887">
        <v>0</v>
      </c>
      <c r="BS731" s="1043">
        <f>SUM(BO731,BP731,BQ731,BR731)</f>
      </c>
      <c r="BT731" s="888">
        <v>0</v>
      </c>
      <c r="BU731" s="887">
        <v>0</v>
      </c>
      <c r="BV731" s="887">
        <v>0</v>
      </c>
      <c r="BW731" s="887">
        <v>0</v>
      </c>
      <c r="BX731" s="1044">
        <f>SUM(BT731,BU731,BV731,BW731)</f>
      </c>
      <c r="BY731" s="887">
        <v>0</v>
      </c>
      <c r="BZ731" s="887">
        <v>0</v>
      </c>
      <c r="CA731" s="887">
        <v>0</v>
      </c>
      <c r="CB731" s="887">
        <v>0</v>
      </c>
      <c r="CC731" s="1044">
        <f>SUM(BY731,BZ731,CA731,CB731)</f>
      </c>
      <c r="CD731" s="1042">
        <v>0</v>
      </c>
      <c r="CE731" s="1042">
        <v>0</v>
      </c>
      <c r="CF731" s="1042">
        <v>0</v>
      </c>
      <c r="CG731" s="22"/>
    </row>
    <row r="732" spans="1:85" x14ac:dyDescent="0.3">
      <c r="A732" s="270"/>
      <c r="B732" s="269"/>
      <c r="C732" s="1044"/>
      <c r="D732" s="1044"/>
      <c r="E732" s="1044"/>
      <c r="F732" s="1044"/>
      <c r="G732" s="235"/>
      <c r="H732" s="235"/>
      <c r="I732" s="235"/>
      <c r="J732" s="235"/>
      <c r="K732" s="1044"/>
      <c r="L732" s="235"/>
      <c r="M732" s="235"/>
      <c r="N732" s="235"/>
      <c r="O732" s="235"/>
      <c r="P732" s="1044"/>
      <c r="Q732" s="235"/>
      <c r="R732" s="235"/>
      <c r="S732" s="235"/>
      <c r="T732" s="235"/>
      <c r="U732" s="1044"/>
      <c r="V732" s="235"/>
      <c r="W732" s="235"/>
      <c r="X732" s="235"/>
      <c r="Y732" s="235"/>
      <c r="Z732" s="1044"/>
      <c r="AA732" s="235"/>
      <c r="AB732" s="235"/>
      <c r="AC732" s="235"/>
      <c r="AD732" s="235"/>
      <c r="AE732" s="1044"/>
      <c r="AF732" s="235"/>
      <c r="AG732" s="235"/>
      <c r="AH732" s="235"/>
      <c r="AI732" s="235"/>
      <c r="AJ732" s="1044"/>
      <c r="AK732" s="235"/>
      <c r="AL732" s="235"/>
      <c r="AM732" s="235"/>
      <c r="AN732" s="235"/>
      <c r="AO732" s="1044"/>
      <c r="AP732" s="235"/>
      <c r="AQ732" s="235"/>
      <c r="AR732" s="235"/>
      <c r="AS732" s="235"/>
      <c r="AT732" s="1044"/>
      <c r="AU732" s="235"/>
      <c r="AV732" s="235"/>
      <c r="AW732" s="235"/>
      <c r="AX732" s="235"/>
      <c r="AY732" s="1044"/>
      <c r="AZ732" s="235"/>
      <c r="BA732" s="235"/>
      <c r="BB732" s="235"/>
      <c r="BC732" s="235"/>
      <c r="BD732" s="1044"/>
      <c r="BE732" s="235"/>
      <c r="BF732" s="235"/>
      <c r="BG732" s="235"/>
      <c r="BH732" s="235"/>
      <c r="BI732" s="1044"/>
      <c r="BJ732" s="235"/>
      <c r="BK732" s="235"/>
      <c r="BL732" s="235"/>
      <c r="BM732" s="235"/>
      <c r="BN732" s="1044"/>
      <c r="BO732" s="235"/>
      <c r="BP732" s="235"/>
      <c r="BQ732" s="235"/>
      <c r="BR732" s="235"/>
      <c r="BS732" s="1044"/>
      <c r="BT732" s="709"/>
      <c r="BU732" s="235"/>
      <c r="BV732" s="235"/>
      <c r="BW732" s="235"/>
      <c r="BX732" s="1044"/>
      <c r="BY732" s="235"/>
      <c r="BZ732" s="235"/>
      <c r="CA732" s="235"/>
      <c r="CB732" s="235"/>
      <c r="CC732" s="1044"/>
      <c r="CD732" s="1044"/>
      <c r="CE732" s="1044"/>
      <c r="CF732" s="1044"/>
      <c r="CG732" s="22"/>
    </row>
    <row r="733" spans="1:85" x14ac:dyDescent="0.3">
      <c r="A733" s="438" t="s">
        <v>468</v>
      </c>
      <c r="B733" s="269"/>
      <c r="C733" s="962">
        <f t="shared" ref="C733:BJ733" si="1283">C1146+C1145+C1143+C1142+C1140+C1151+C1141</f>
      </c>
      <c r="D733" s="962">
        <f t="shared" si="1283"/>
      </c>
      <c r="E733" s="962">
        <f t="shared" si="1283"/>
      </c>
      <c r="F733" s="962">
        <f t="shared" si="1283"/>
      </c>
      <c r="G733" s="757">
        <f t="shared" si="1283"/>
      </c>
      <c r="H733" s="757">
        <f t="shared" si="1283"/>
      </c>
      <c r="I733" s="757">
        <f t="shared" si="1283"/>
      </c>
      <c r="J733" s="757">
        <f t="shared" si="1283"/>
      </c>
      <c r="K733" s="962">
        <f t="shared" si="1283"/>
      </c>
      <c r="L733" s="757">
        <f t="shared" si="1283"/>
      </c>
      <c r="M733" s="757">
        <f t="shared" si="1283"/>
      </c>
      <c r="N733" s="757">
        <f t="shared" si="1283"/>
      </c>
      <c r="O733" s="757">
        <f t="shared" si="1283"/>
      </c>
      <c r="P733" s="962">
        <f t="shared" si="1283"/>
      </c>
      <c r="Q733" s="757">
        <f t="shared" si="1283"/>
      </c>
      <c r="R733" s="757">
        <f t="shared" si="1283"/>
      </c>
      <c r="S733" s="757">
        <f t="shared" si="1283"/>
      </c>
      <c r="T733" s="757">
        <f t="shared" si="1283"/>
      </c>
      <c r="U733" s="962">
        <f t="shared" si="1283"/>
      </c>
      <c r="V733" s="757">
        <f t="shared" si="1283"/>
      </c>
      <c r="W733" s="757">
        <f t="shared" si="1283"/>
      </c>
      <c r="X733" s="757">
        <f t="shared" si="1283"/>
      </c>
      <c r="Y733" s="757">
        <f t="shared" si="1283"/>
      </c>
      <c r="Z733" s="962">
        <f t="shared" si="1283"/>
      </c>
      <c r="AA733" s="757">
        <f t="shared" si="1283"/>
      </c>
      <c r="AB733" s="757">
        <f t="shared" si="1283"/>
      </c>
      <c r="AC733" s="757">
        <f t="shared" si="1283"/>
      </c>
      <c r="AD733" s="757">
        <f t="shared" si="1283"/>
      </c>
      <c r="AE733" s="962">
        <f t="shared" si="1283"/>
      </c>
      <c r="AF733" s="757">
        <f t="shared" si="1283"/>
      </c>
      <c r="AG733" s="757">
        <f t="shared" si="1283"/>
      </c>
      <c r="AH733" s="757">
        <f t="shared" si="1283"/>
      </c>
      <c r="AI733" s="757">
        <f t="shared" si="1283"/>
      </c>
      <c r="AJ733" s="962">
        <f t="shared" si="1283"/>
      </c>
      <c r="AK733" s="757">
        <f t="shared" si="1283"/>
      </c>
      <c r="AL733" s="757">
        <f t="shared" si="1283"/>
      </c>
      <c r="AM733" s="757">
        <f t="shared" si="1283"/>
      </c>
      <c r="AN733" s="757">
        <f t="shared" si="1283"/>
      </c>
      <c r="AO733" s="962">
        <f t="shared" si="1283"/>
      </c>
      <c r="AP733" s="757">
        <f t="shared" si="1283"/>
      </c>
      <c r="AQ733" s="757">
        <f t="shared" si="1283"/>
      </c>
      <c r="AR733" s="757">
        <f t="shared" si="1283"/>
      </c>
      <c r="AS733" s="757">
        <f t="shared" si="1283"/>
      </c>
      <c r="AT733" s="962">
        <f t="shared" si="1283"/>
      </c>
      <c r="AU733" s="757">
        <f t="shared" si="1283"/>
      </c>
      <c r="AV733" s="757">
        <f t="shared" si="1283"/>
      </c>
      <c r="AW733" s="757">
        <f t="shared" si="1283"/>
      </c>
      <c r="AX733" s="757">
        <f t="shared" si="1283"/>
      </c>
      <c r="AY733" s="962">
        <f t="shared" si="1283"/>
      </c>
      <c r="AZ733" s="757">
        <f t="shared" si="1283"/>
      </c>
      <c r="BA733" s="757">
        <f t="shared" si="1283"/>
      </c>
      <c r="BB733" s="757">
        <f t="shared" si="1283"/>
      </c>
      <c r="BC733" s="757">
        <f t="shared" si="1283"/>
      </c>
      <c r="BD733" s="962">
        <f t="shared" si="1283"/>
      </c>
      <c r="BE733" s="757">
        <f t="shared" si="1283"/>
      </c>
      <c r="BF733" s="757">
        <f t="shared" si="1283"/>
      </c>
      <c r="BG733" s="757">
        <f t="shared" si="1283"/>
      </c>
      <c r="BH733" s="757">
        <f t="shared" si="1283"/>
      </c>
      <c r="BI733" s="962">
        <f t="shared" si="1283"/>
      </c>
      <c r="BJ733" s="757">
        <f t="shared" si="1283"/>
      </c>
      <c r="BK733" s="757">
        <f t="shared" ref="BK733:BP733" si="1284">BK1146+BK1145+BK1143+BK1142+BK1140+BK1151+BK1141</f>
      </c>
      <c r="BL733" s="757">
        <f t="shared" si="1284"/>
      </c>
      <c r="BM733" s="757">
        <f t="shared" si="1284"/>
      </c>
      <c r="BN733" s="962">
        <f t="shared" si="1284"/>
      </c>
      <c r="BO733" s="757">
        <f t="shared" si="1284"/>
      </c>
      <c r="BP733" s="757">
        <f t="shared" si="1284"/>
      </c>
      <c r="BQ733" s="757">
        <f>BQ1146+BQ1145+BQ1143+BQ1142+BQ1140+BQ1151+BQ1141</f>
      </c>
      <c r="BR733" s="757">
        <f>BR1146+BR1145+BR1143+BR1142+BR1140+BR1151+BR1141</f>
      </c>
      <c r="BS733" s="962">
        <f>BS1146+BS1145+BS1143+BS1142+BS1140+BS1151+BS1141</f>
      </c>
      <c r="BT733" s="758">
        <f>BT1146+BT1145+BT1143+BT1142+BT1140+BT1151+BT1141</f>
      </c>
      <c r="BU733" s="757">
        <f>BU773</f>
      </c>
      <c r="BV733" s="757">
        <f>BV773</f>
      </c>
      <c r="BW733" s="757">
        <f>BW773</f>
      </c>
      <c r="BX733" s="962">
        <f>BX1146+BX1145+BX1143+BX1142+BX1140+BX1151+BX1141</f>
      </c>
      <c r="BY733" s="757">
        <f>BY773</f>
      </c>
      <c r="BZ733" s="757">
        <f>BZ773</f>
      </c>
      <c r="CA733" s="757">
        <f>CA773</f>
      </c>
      <c r="CB733" s="757">
        <f>CB773</f>
      </c>
      <c r="CC733" s="962">
        <f>CC1146+CC1145+CC1143+CC1142+CC1140+CC1151+CC1141</f>
      </c>
      <c r="CD733" s="962">
        <f>CD773</f>
      </c>
      <c r="CE733" s="962">
        <f>CE773</f>
      </c>
      <c r="CF733" s="962">
        <f>CF773</f>
      </c>
      <c r="CG733" s="235"/>
    </row>
    <row r="734" spans="1:85" x14ac:dyDescent="0.3">
      <c r="A734" s="53" t="s">
        <v>471</v>
      </c>
      <c r="B734" s="269"/>
      <c r="C734" s="964">
        <f t="shared" ref="C734:BJ734" si="1285">C1148+C1139+C1138+C1147</f>
      </c>
      <c r="D734" s="964">
        <f t="shared" si="1285"/>
      </c>
      <c r="E734" s="964">
        <f t="shared" si="1285"/>
      </c>
      <c r="F734" s="964">
        <f t="shared" si="1285"/>
      </c>
      <c r="G734" s="459">
        <f t="shared" si="1285"/>
      </c>
      <c r="H734" s="459">
        <f t="shared" si="1285"/>
      </c>
      <c r="I734" s="459">
        <f t="shared" si="1285"/>
      </c>
      <c r="J734" s="459">
        <f t="shared" si="1285"/>
      </c>
      <c r="K734" s="964">
        <f t="shared" si="1285"/>
      </c>
      <c r="L734" s="459">
        <f t="shared" si="1285"/>
      </c>
      <c r="M734" s="459">
        <f t="shared" si="1285"/>
      </c>
      <c r="N734" s="459">
        <f t="shared" si="1285"/>
      </c>
      <c r="O734" s="459">
        <f t="shared" si="1285"/>
      </c>
      <c r="P734" s="964">
        <f t="shared" si="1285"/>
      </c>
      <c r="Q734" s="459">
        <f t="shared" si="1285"/>
      </c>
      <c r="R734" s="459">
        <f t="shared" si="1285"/>
      </c>
      <c r="S734" s="459">
        <f t="shared" si="1285"/>
      </c>
      <c r="T734" s="459">
        <f t="shared" si="1285"/>
      </c>
      <c r="U734" s="964">
        <f t="shared" si="1285"/>
      </c>
      <c r="V734" s="459">
        <f t="shared" si="1285"/>
      </c>
      <c r="W734" s="459">
        <f t="shared" si="1285"/>
      </c>
      <c r="X734" s="459">
        <f t="shared" si="1285"/>
      </c>
      <c r="Y734" s="459">
        <f t="shared" si="1285"/>
      </c>
      <c r="Z734" s="964">
        <f t="shared" si="1285"/>
      </c>
      <c r="AA734" s="459">
        <f t="shared" si="1285"/>
      </c>
      <c r="AB734" s="459">
        <f t="shared" si="1285"/>
      </c>
      <c r="AC734" s="459">
        <f t="shared" si="1285"/>
      </c>
      <c r="AD734" s="459">
        <f t="shared" si="1285"/>
      </c>
      <c r="AE734" s="964">
        <f t="shared" si="1285"/>
      </c>
      <c r="AF734" s="459">
        <f t="shared" si="1285"/>
      </c>
      <c r="AG734" s="459">
        <f t="shared" si="1285"/>
      </c>
      <c r="AH734" s="459">
        <f t="shared" si="1285"/>
      </c>
      <c r="AI734" s="459">
        <f t="shared" si="1285"/>
      </c>
      <c r="AJ734" s="964">
        <f t="shared" si="1285"/>
      </c>
      <c r="AK734" s="459">
        <f t="shared" si="1285"/>
      </c>
      <c r="AL734" s="459">
        <f t="shared" si="1285"/>
      </c>
      <c r="AM734" s="459">
        <f t="shared" si="1285"/>
      </c>
      <c r="AN734" s="459">
        <f t="shared" si="1285"/>
      </c>
      <c r="AO734" s="964">
        <f t="shared" si="1285"/>
      </c>
      <c r="AP734" s="459">
        <f t="shared" si="1285"/>
      </c>
      <c r="AQ734" s="459">
        <f t="shared" si="1285"/>
      </c>
      <c r="AR734" s="459">
        <f t="shared" si="1285"/>
      </c>
      <c r="AS734" s="459">
        <f t="shared" si="1285"/>
      </c>
      <c r="AT734" s="964">
        <f t="shared" si="1285"/>
      </c>
      <c r="AU734" s="459">
        <f t="shared" si="1285"/>
      </c>
      <c r="AV734" s="459">
        <f t="shared" si="1285"/>
      </c>
      <c r="AW734" s="459">
        <f t="shared" si="1285"/>
      </c>
      <c r="AX734" s="459">
        <f t="shared" si="1285"/>
      </c>
      <c r="AY734" s="964">
        <f t="shared" si="1285"/>
      </c>
      <c r="AZ734" s="459">
        <f t="shared" si="1285"/>
      </c>
      <c r="BA734" s="459">
        <f t="shared" si="1285"/>
      </c>
      <c r="BB734" s="459">
        <f t="shared" si="1285"/>
      </c>
      <c r="BC734" s="459">
        <f t="shared" si="1285"/>
      </c>
      <c r="BD734" s="964">
        <f t="shared" si="1285"/>
      </c>
      <c r="BE734" s="459">
        <f t="shared" si="1285"/>
      </c>
      <c r="BF734" s="459">
        <f t="shared" si="1285"/>
      </c>
      <c r="BG734" s="459">
        <f t="shared" si="1285"/>
      </c>
      <c r="BH734" s="459">
        <f t="shared" si="1285"/>
      </c>
      <c r="BI734" s="964">
        <f t="shared" si="1285"/>
      </c>
      <c r="BJ734" s="459">
        <f t="shared" si="1285"/>
      </c>
      <c r="BK734" s="459">
        <f t="shared" ref="BK734:BP734" si="1286">BK1148+BK1139+BK1138+BK1147</f>
      </c>
      <c r="BL734" s="459">
        <f t="shared" si="1286"/>
      </c>
      <c r="BM734" s="459">
        <f t="shared" si="1286"/>
      </c>
      <c r="BN734" s="964">
        <f t="shared" si="1286"/>
      </c>
      <c r="BO734" s="459">
        <f t="shared" si="1286"/>
      </c>
      <c r="BP734" s="459">
        <f t="shared" si="1286"/>
      </c>
      <c r="BQ734" s="459">
        <f>BQ1148+BQ1139+BQ1138+BQ1147</f>
      </c>
      <c r="BR734" s="459">
        <f>BR1148+BR1139+BR1138+BR1147</f>
      </c>
      <c r="BS734" s="964">
        <f>BS1148+BS1139+BS1138+BS1147</f>
      </c>
      <c r="BT734" s="795">
        <f>BT1148+BT1139+BT1138+BT1147</f>
      </c>
      <c r="BU734" s="857">
        <v>0</v>
      </c>
      <c r="BV734" s="857">
        <v>0</v>
      </c>
      <c r="BW734" s="857">
        <v>0</v>
      </c>
      <c r="BX734" s="962">
        <f>BX1148+BX1139+BX1138+BX1147</f>
      </c>
      <c r="BY734" s="857">
        <v>0</v>
      </c>
      <c r="BZ734" s="857">
        <v>0</v>
      </c>
      <c r="CA734" s="857">
        <v>0</v>
      </c>
      <c r="CB734" s="857">
        <v>0</v>
      </c>
      <c r="CC734" s="962">
        <f>CC1148+CC1139+CC1138+CC1147</f>
      </c>
      <c r="CD734" s="963">
        <v>0</v>
      </c>
      <c r="CE734" s="963">
        <v>0</v>
      </c>
      <c r="CF734" s="963">
        <v>0</v>
      </c>
      <c r="CG734" s="22"/>
    </row>
    <row r="735" spans="1:85" x14ac:dyDescent="0.3">
      <c r="A735" s="212" t="s">
        <v>472</v>
      </c>
      <c r="B735" s="271"/>
      <c r="C735" s="1045"/>
      <c r="D735" s="1045"/>
      <c r="E735" s="1045"/>
      <c r="F735" s="1045"/>
      <c r="G735" s="623"/>
      <c r="H735" s="623"/>
      <c r="I735" s="623"/>
      <c r="J735" s="623"/>
      <c r="K735" s="1045"/>
      <c r="L735" s="623"/>
      <c r="M735" s="623"/>
      <c r="N735" s="623"/>
      <c r="O735" s="623"/>
      <c r="P735" s="1045"/>
      <c r="Q735" s="623"/>
      <c r="R735" s="623"/>
      <c r="S735" s="623"/>
      <c r="T735" s="623"/>
      <c r="U735" s="1045"/>
      <c r="V735" s="623"/>
      <c r="W735" s="623"/>
      <c r="X735" s="623"/>
      <c r="Y735" s="623"/>
      <c r="Z735" s="1045"/>
      <c r="AA735" s="623"/>
      <c r="AB735" s="623"/>
      <c r="AC735" s="623"/>
      <c r="AD735" s="623"/>
      <c r="AE735" s="1045"/>
      <c r="AF735" s="623"/>
      <c r="AG735" s="623"/>
      <c r="AH735" s="623"/>
      <c r="AI735" s="623"/>
      <c r="AJ735" s="1045"/>
      <c r="AK735" s="623"/>
      <c r="AL735" s="623"/>
      <c r="AM735" s="623"/>
      <c r="AN735" s="623"/>
      <c r="AO735" s="1045"/>
      <c r="AP735" s="623"/>
      <c r="AQ735" s="623"/>
      <c r="AR735" s="623"/>
      <c r="AS735" s="623"/>
      <c r="AT735" s="1045"/>
      <c r="AU735" s="623"/>
      <c r="AV735" s="623"/>
      <c r="AW735" s="623"/>
      <c r="AX735" s="623"/>
      <c r="AY735" s="1045"/>
      <c r="AZ735" s="623"/>
      <c r="BA735" s="623"/>
      <c r="BB735" s="623"/>
      <c r="BC735" s="623"/>
      <c r="BD735" s="1045"/>
      <c r="BE735" s="623"/>
      <c r="BF735" s="623"/>
      <c r="BG735" s="623"/>
      <c r="BH735" s="623"/>
      <c r="BI735" s="1045"/>
      <c r="BJ735" s="623"/>
      <c r="BK735" s="623"/>
      <c r="BL735" s="623"/>
      <c r="BM735" s="623"/>
      <c r="BN735" s="1045"/>
      <c r="BO735" s="623"/>
      <c r="BP735" s="623"/>
      <c r="BQ735" s="623"/>
      <c r="BR735" s="623"/>
      <c r="BS735" s="1045"/>
      <c r="BT735" s="710"/>
      <c r="BU735" s="889">
        <v>108</v>
      </c>
      <c r="BV735" s="889">
        <v>108</v>
      </c>
      <c r="BW735" s="889">
        <v>108</v>
      </c>
      <c r="BX735" s="1045">
        <f>AVERAGE(BT735,BU735,BV735,BW735)</f>
      </c>
      <c r="BY735" s="889">
        <v>119</v>
      </c>
      <c r="BZ735" s="889">
        <v>119</v>
      </c>
      <c r="CA735" s="889">
        <v>119</v>
      </c>
      <c r="CB735" s="889">
        <v>119</v>
      </c>
      <c r="CC735" s="1045">
        <f>AVERAGE(BY735,BZ735,CA735,CB735)</f>
      </c>
      <c r="CD735" s="1046">
        <v>131</v>
      </c>
      <c r="CE735" s="1046">
        <v>144</v>
      </c>
      <c r="CF735" s="1046">
        <v>158</v>
      </c>
      <c r="CG735" s="22"/>
    </row>
    <row r="736" spans="1:85" x14ac:dyDescent="0.3">
      <c r="A736" s="769"/>
      <c r="B736" s="770"/>
      <c r="C736" s="1009"/>
      <c r="D736" s="1009"/>
      <c r="E736" s="1009"/>
      <c r="F736" s="1009"/>
      <c r="G736" s="763"/>
      <c r="H736" s="763"/>
      <c r="I736" s="763"/>
      <c r="J736" s="763"/>
      <c r="K736" s="1009"/>
      <c r="L736" s="763"/>
      <c r="M736" s="763"/>
      <c r="N736" s="763"/>
      <c r="O736" s="763"/>
      <c r="P736" s="1009"/>
      <c r="Q736" s="763"/>
      <c r="R736" s="763"/>
      <c r="S736" s="763"/>
      <c r="T736" s="763"/>
      <c r="U736" s="1009"/>
      <c r="V736" s="763"/>
      <c r="W736" s="763"/>
      <c r="X736" s="763"/>
      <c r="Y736" s="763"/>
      <c r="Z736" s="1009"/>
      <c r="AA736" s="763"/>
      <c r="AB736" s="763"/>
      <c r="AC736" s="763"/>
      <c r="AD736" s="763"/>
      <c r="AE736" s="1009"/>
      <c r="AF736" s="763"/>
      <c r="AG736" s="763"/>
      <c r="AH736" s="763"/>
      <c r="AI736" s="763"/>
      <c r="AJ736" s="1009"/>
      <c r="AK736" s="763"/>
      <c r="AL736" s="763"/>
      <c r="AM736" s="763"/>
      <c r="AN736" s="763"/>
      <c r="AO736" s="1009"/>
      <c r="AP736" s="763"/>
      <c r="AQ736" s="763"/>
      <c r="AR736" s="763"/>
      <c r="AS736" s="763"/>
      <c r="AT736" s="1009"/>
      <c r="AU736" s="763"/>
      <c r="AV736" s="763"/>
      <c r="AW736" s="763"/>
      <c r="AX736" s="763"/>
      <c r="AY736" s="1009"/>
      <c r="AZ736" s="763"/>
      <c r="BA736" s="763"/>
      <c r="BB736" s="763"/>
      <c r="BC736" s="763"/>
      <c r="BD736" s="1009"/>
      <c r="BE736" s="763"/>
      <c r="BF736" s="763"/>
      <c r="BG736" s="763"/>
      <c r="BH736" s="763"/>
      <c r="BI736" s="1009"/>
      <c r="BJ736" s="763"/>
      <c r="BK736" s="763"/>
      <c r="BL736" s="763"/>
      <c r="BM736" s="763"/>
      <c r="BN736" s="1009"/>
      <c r="BO736" s="763"/>
      <c r="BP736" s="763"/>
      <c r="BQ736" s="763"/>
      <c r="BR736" s="763"/>
      <c r="BS736" s="1009"/>
      <c r="BT736" s="807"/>
      <c r="BU736" s="763"/>
      <c r="BV736" s="763"/>
      <c r="BW736" s="763"/>
      <c r="BX736" s="1009"/>
      <c r="BY736" s="763"/>
      <c r="BZ736" s="763"/>
      <c r="CA736" s="763"/>
      <c r="CB736" s="763"/>
      <c r="CC736" s="1009"/>
      <c r="CD736" s="1009"/>
      <c r="CE736" s="1009"/>
      <c r="CF736" s="1009"/>
      <c r="CG736" s="222"/>
    </row>
    <row r="737" spans="1:85" s="587" customFormat="1" x14ac:dyDescent="0.3">
      <c r="A737" s="432" t="s">
        <v>655</v>
      </c>
      <c r="B737" s="414"/>
      <c r="C737" s="962">
        <f t="shared" ref="C737:AV737" si="1287">C1106</f>
      </c>
      <c r="D737" s="962">
        <f t="shared" si="1287"/>
      </c>
      <c r="E737" s="962">
        <f t="shared" si="1287"/>
      </c>
      <c r="F737" s="962">
        <f t="shared" si="1287"/>
      </c>
      <c r="G737" s="757">
        <f t="shared" si="1287"/>
      </c>
      <c r="H737" s="757">
        <f t="shared" si="1287"/>
      </c>
      <c r="I737" s="757">
        <f t="shared" si="1287"/>
      </c>
      <c r="J737" s="757">
        <f t="shared" si="1287"/>
      </c>
      <c r="K737" s="962">
        <f t="shared" si="1287"/>
      </c>
      <c r="L737" s="757">
        <f t="shared" si="1287"/>
      </c>
      <c r="M737" s="757">
        <f t="shared" si="1287"/>
      </c>
      <c r="N737" s="757">
        <f t="shared" si="1287"/>
      </c>
      <c r="O737" s="757">
        <f t="shared" si="1287"/>
      </c>
      <c r="P737" s="962">
        <f t="shared" si="1287"/>
      </c>
      <c r="Q737" s="757">
        <f t="shared" si="1287"/>
      </c>
      <c r="R737" s="757">
        <f t="shared" si="1287"/>
      </c>
      <c r="S737" s="757">
        <f t="shared" si="1287"/>
      </c>
      <c r="T737" s="757">
        <f t="shared" si="1287"/>
      </c>
      <c r="U737" s="962">
        <f t="shared" si="1287"/>
      </c>
      <c r="V737" s="757">
        <f t="shared" si="1287"/>
      </c>
      <c r="W737" s="757">
        <f t="shared" si="1287"/>
      </c>
      <c r="X737" s="757">
        <f t="shared" si="1287"/>
      </c>
      <c r="Y737" s="757">
        <f t="shared" si="1287"/>
      </c>
      <c r="Z737" s="962">
        <f t="shared" si="1287"/>
      </c>
      <c r="AA737" s="757">
        <f t="shared" si="1287"/>
      </c>
      <c r="AB737" s="757">
        <f t="shared" si="1287"/>
      </c>
      <c r="AC737" s="757">
        <f t="shared" si="1287"/>
      </c>
      <c r="AD737" s="757">
        <f t="shared" si="1287"/>
      </c>
      <c r="AE737" s="962">
        <f t="shared" si="1287"/>
      </c>
      <c r="AF737" s="757">
        <f t="shared" si="1287"/>
      </c>
      <c r="AG737" s="757">
        <f t="shared" si="1287"/>
      </c>
      <c r="AH737" s="757">
        <f t="shared" si="1287"/>
      </c>
      <c r="AI737" s="757">
        <f t="shared" si="1287"/>
      </c>
      <c r="AJ737" s="962">
        <f t="shared" si="1287"/>
      </c>
      <c r="AK737" s="757">
        <f t="shared" si="1287"/>
      </c>
      <c r="AL737" s="757">
        <f t="shared" si="1287"/>
      </c>
      <c r="AM737" s="757">
        <f t="shared" si="1287"/>
      </c>
      <c r="AN737" s="757">
        <f t="shared" si="1287"/>
      </c>
      <c r="AO737" s="962">
        <f t="shared" si="1287"/>
      </c>
      <c r="AP737" s="757">
        <f t="shared" si="1287"/>
      </c>
      <c r="AQ737" s="757">
        <f t="shared" si="1287"/>
      </c>
      <c r="AR737" s="757">
        <f t="shared" si="1287"/>
      </c>
      <c r="AS737" s="757">
        <f t="shared" si="1287"/>
      </c>
      <c r="AT737" s="962">
        <f t="shared" si="1287"/>
      </c>
      <c r="AU737" s="757">
        <f t="shared" si="1287"/>
      </c>
      <c r="AV737" s="757">
        <f t="shared" si="1287"/>
      </c>
      <c r="AW737" s="757">
        <f>AW1106</f>
      </c>
      <c r="AX737" s="757">
        <f t="shared" ref="AX737:AY737" si="1288">AX1106</f>
      </c>
      <c r="AY737" s="962">
        <f t="shared" si="1288"/>
      </c>
      <c r="AZ737" s="757">
        <f>AZ1106</f>
      </c>
      <c r="BA737" s="459">
        <f t="shared" ref="BA737" si="1289">BA1106</f>
      </c>
      <c r="BB737" s="757">
        <f t="shared" ref="BB737:BG737" si="1290">BB1106</f>
      </c>
      <c r="BC737" s="757">
        <f t="shared" si="1290"/>
      </c>
      <c r="BD737" s="962">
        <f t="shared" si="1290"/>
      </c>
      <c r="BE737" s="757">
        <f t="shared" si="1290"/>
      </c>
      <c r="BF737" s="459">
        <f t="shared" si="1290"/>
      </c>
      <c r="BG737" s="757">
        <f t="shared" si="1290"/>
      </c>
      <c r="BH737" s="757">
        <f t="shared" ref="BH737:BN737" si="1291">BH1106</f>
      </c>
      <c r="BI737" s="962">
        <f t="shared" si="1291"/>
      </c>
      <c r="BJ737" s="757">
        <f t="shared" si="1291"/>
      </c>
      <c r="BK737" s="459">
        <f t="shared" si="1291"/>
      </c>
      <c r="BL737" s="757">
        <f t="shared" si="1291"/>
      </c>
      <c r="BM737" s="757">
        <f t="shared" si="1291"/>
      </c>
      <c r="BN737" s="962">
        <f t="shared" si="1291"/>
      </c>
      <c r="BO737" s="757">
        <f t="shared" ref="BO737:BT737" si="1292">BO1106</f>
      </c>
      <c r="BP737" s="459">
        <f t="shared" si="1292"/>
      </c>
      <c r="BQ737" s="757">
        <f t="shared" si="1292"/>
      </c>
      <c r="BR737" s="757">
        <f t="shared" si="1292"/>
      </c>
      <c r="BS737" s="962">
        <f t="shared" si="1292"/>
      </c>
      <c r="BT737" s="758">
        <f t="shared" si="1292"/>
      </c>
      <c r="BU737" s="757">
        <f>BU462*BU738</f>
      </c>
      <c r="BV737" s="757">
        <f>BV462*BV738</f>
      </c>
      <c r="BW737" s="757">
        <f>BW462*BW738</f>
      </c>
      <c r="BX737" s="962">
        <f>SUM(BT737,BU737,BV737,BW737)</f>
      </c>
      <c r="BY737" s="757">
        <f>BY462*BY738</f>
      </c>
      <c r="BZ737" s="757">
        <f>BZ462*BZ738</f>
      </c>
      <c r="CA737" s="757">
        <f>CA462*CA738</f>
      </c>
      <c r="CB737" s="757">
        <f>CB462*CB738</f>
      </c>
      <c r="CC737" s="962">
        <f>SUM(BY737,BZ737,CA737,CB737)</f>
      </c>
      <c r="CD737" s="962">
        <f>CD462*CD738</f>
      </c>
      <c r="CE737" s="962">
        <f>CE462*CE738</f>
      </c>
      <c r="CF737" s="962">
        <f>CF462*CF738</f>
      </c>
      <c r="CG737" s="459"/>
    </row>
    <row r="738" spans="1:85" s="590" customFormat="1" x14ac:dyDescent="0.3">
      <c r="A738" s="57" t="s">
        <v>656</v>
      </c>
      <c r="B738" s="66"/>
      <c r="C738" s="935">
        <f t="shared" ref="C738:AH738" si="1293">C737/C462</f>
      </c>
      <c r="D738" s="935">
        <f t="shared" si="1293"/>
      </c>
      <c r="E738" s="935">
        <f t="shared" si="1293"/>
      </c>
      <c r="F738" s="935">
        <f t="shared" si="1293"/>
      </c>
      <c r="G738" s="58">
        <f t="shared" si="1293"/>
      </c>
      <c r="H738" s="58">
        <f t="shared" si="1293"/>
      </c>
      <c r="I738" s="58">
        <f t="shared" si="1293"/>
      </c>
      <c r="J738" s="58">
        <f t="shared" si="1293"/>
      </c>
      <c r="K738" s="935">
        <f t="shared" si="1293"/>
      </c>
      <c r="L738" s="58">
        <f t="shared" si="1293"/>
      </c>
      <c r="M738" s="58">
        <f t="shared" si="1293"/>
      </c>
      <c r="N738" s="58">
        <f t="shared" si="1293"/>
      </c>
      <c r="O738" s="58">
        <f t="shared" si="1293"/>
      </c>
      <c r="P738" s="935">
        <f t="shared" si="1293"/>
      </c>
      <c r="Q738" s="58">
        <f t="shared" si="1293"/>
      </c>
      <c r="R738" s="58">
        <f t="shared" si="1293"/>
      </c>
      <c r="S738" s="58">
        <f t="shared" si="1293"/>
      </c>
      <c r="T738" s="58">
        <f t="shared" si="1293"/>
      </c>
      <c r="U738" s="935">
        <f t="shared" si="1293"/>
      </c>
      <c r="V738" s="58">
        <f t="shared" si="1293"/>
      </c>
      <c r="W738" s="58">
        <f t="shared" si="1293"/>
      </c>
      <c r="X738" s="58">
        <f t="shared" si="1293"/>
      </c>
      <c r="Y738" s="58">
        <f t="shared" si="1293"/>
      </c>
      <c r="Z738" s="935">
        <f t="shared" si="1293"/>
      </c>
      <c r="AA738" s="58">
        <f t="shared" si="1293"/>
      </c>
      <c r="AB738" s="58">
        <f t="shared" si="1293"/>
      </c>
      <c r="AC738" s="58">
        <f t="shared" si="1293"/>
      </c>
      <c r="AD738" s="58">
        <f t="shared" si="1293"/>
      </c>
      <c r="AE738" s="935">
        <f t="shared" si="1293"/>
      </c>
      <c r="AF738" s="58">
        <f t="shared" si="1293"/>
      </c>
      <c r="AG738" s="58">
        <f t="shared" si="1293"/>
      </c>
      <c r="AH738" s="58">
        <f t="shared" si="1293"/>
      </c>
      <c r="AI738" s="58">
        <f t="shared" ref="AI738:BJ738" si="1294">AI737/AI462</f>
      </c>
      <c r="AJ738" s="935">
        <f t="shared" si="1294"/>
      </c>
      <c r="AK738" s="58">
        <f t="shared" si="1294"/>
      </c>
      <c r="AL738" s="58">
        <f t="shared" si="1294"/>
      </c>
      <c r="AM738" s="58">
        <f t="shared" si="1294"/>
      </c>
      <c r="AN738" s="58">
        <f t="shared" si="1294"/>
      </c>
      <c r="AO738" s="935">
        <f t="shared" si="1294"/>
      </c>
      <c r="AP738" s="58">
        <f t="shared" si="1294"/>
      </c>
      <c r="AQ738" s="58">
        <f t="shared" si="1294"/>
      </c>
      <c r="AR738" s="58">
        <f t="shared" si="1294"/>
      </c>
      <c r="AS738" s="58">
        <f t="shared" si="1294"/>
      </c>
      <c r="AT738" s="935">
        <f t="shared" si="1294"/>
      </c>
      <c r="AU738" s="58">
        <f t="shared" si="1294"/>
      </c>
      <c r="AV738" s="58">
        <f t="shared" si="1294"/>
      </c>
      <c r="AW738" s="58">
        <f t="shared" si="1294"/>
      </c>
      <c r="AX738" s="58">
        <f t="shared" si="1294"/>
      </c>
      <c r="AY738" s="935">
        <f t="shared" si="1294"/>
      </c>
      <c r="AZ738" s="58">
        <f t="shared" si="1294"/>
      </c>
      <c r="BA738" s="308">
        <f t="shared" si="1294"/>
      </c>
      <c r="BB738" s="58">
        <f t="shared" si="1294"/>
      </c>
      <c r="BC738" s="58">
        <f t="shared" si="1294"/>
      </c>
      <c r="BD738" s="935">
        <f t="shared" si="1294"/>
      </c>
      <c r="BE738" s="58">
        <f t="shared" si="1294"/>
      </c>
      <c r="BF738" s="308">
        <f t="shared" si="1294"/>
      </c>
      <c r="BG738" s="58">
        <f t="shared" si="1294"/>
      </c>
      <c r="BH738" s="58">
        <f t="shared" si="1294"/>
      </c>
      <c r="BI738" s="935">
        <f t="shared" si="1294"/>
      </c>
      <c r="BJ738" s="58">
        <f t="shared" si="1294"/>
      </c>
      <c r="BK738" s="308">
        <f t="shared" ref="BK738:BP738" si="1295">BK737/BK462</f>
      </c>
      <c r="BL738" s="58">
        <f t="shared" si="1295"/>
      </c>
      <c r="BM738" s="58">
        <f t="shared" si="1295"/>
      </c>
      <c r="BN738" s="935">
        <f t="shared" si="1295"/>
      </c>
      <c r="BO738" s="58">
        <f t="shared" si="1295"/>
      </c>
      <c r="BP738" s="308">
        <f t="shared" si="1295"/>
      </c>
      <c r="BQ738" s="58">
        <f>BQ737/BQ462</f>
      </c>
      <c r="BR738" s="58">
        <f>BR737/BR462</f>
      </c>
      <c r="BS738" s="935">
        <f>BS737/BS462</f>
      </c>
      <c r="BT738" s="669">
        <f>BT737/BT462</f>
      </c>
      <c r="BU738" s="853">
        <v>7.0000000000000001E-3</v>
      </c>
      <c r="BV738" s="853">
        <v>7.0000000000000001E-3</v>
      </c>
      <c r="BW738" s="853">
        <v>7.0000000000000001E-3</v>
      </c>
      <c r="BX738" s="935">
        <f>BX737/BX462</f>
      </c>
      <c r="BY738" s="853">
        <v>7.0000000000000001E-3</v>
      </c>
      <c r="BZ738" s="853">
        <v>7.0000000000000001E-3</v>
      </c>
      <c r="CA738" s="853">
        <v>7.0000000000000001E-3</v>
      </c>
      <c r="CB738" s="853">
        <v>7.0000000000000001E-3</v>
      </c>
      <c r="CC738" s="935">
        <f>CC737/CC462</f>
      </c>
      <c r="CD738" s="961">
        <v>7.0000000000000001E-3</v>
      </c>
      <c r="CE738" s="961">
        <v>7.0000000000000001E-3</v>
      </c>
      <c r="CF738" s="961">
        <v>7.0000000000000001E-3</v>
      </c>
      <c r="CG738" s="308"/>
    </row>
    <row r="739" spans="1:85" x14ac:dyDescent="0.3">
      <c r="A739" s="769"/>
      <c r="B739" s="770"/>
      <c r="C739" s="1009"/>
      <c r="D739" s="1009"/>
      <c r="E739" s="1009"/>
      <c r="F739" s="1009"/>
      <c r="G739" s="763"/>
      <c r="H739" s="763"/>
      <c r="I739" s="763"/>
      <c r="J739" s="763"/>
      <c r="K739" s="1009"/>
      <c r="L739" s="763"/>
      <c r="M739" s="763"/>
      <c r="N739" s="763"/>
      <c r="O739" s="763"/>
      <c r="P739" s="1009"/>
      <c r="Q739" s="763"/>
      <c r="R739" s="763"/>
      <c r="S739" s="763"/>
      <c r="T739" s="763"/>
      <c r="U739" s="1009"/>
      <c r="V739" s="763"/>
      <c r="W739" s="763"/>
      <c r="X739" s="763"/>
      <c r="Y739" s="763"/>
      <c r="Z739" s="1009"/>
      <c r="AA739" s="763"/>
      <c r="AB739" s="763"/>
      <c r="AC739" s="763"/>
      <c r="AD739" s="763"/>
      <c r="AE739" s="1009"/>
      <c r="AF739" s="763"/>
      <c r="AG739" s="763"/>
      <c r="AH739" s="763"/>
      <c r="AI739" s="763"/>
      <c r="AJ739" s="1009"/>
      <c r="AK739" s="763"/>
      <c r="AL739" s="763"/>
      <c r="AM739" s="763"/>
      <c r="AN739" s="763"/>
      <c r="AO739" s="1009"/>
      <c r="AP739" s="763"/>
      <c r="AQ739" s="763"/>
      <c r="AR739" s="763"/>
      <c r="AS739" s="763"/>
      <c r="AT739" s="1009"/>
      <c r="AU739" s="763"/>
      <c r="AV739" s="763"/>
      <c r="AW739" s="763"/>
      <c r="AX739" s="763"/>
      <c r="AY739" s="1009"/>
      <c r="AZ739" s="763"/>
      <c r="BA739" s="763"/>
      <c r="BB739" s="763"/>
      <c r="BC739" s="763"/>
      <c r="BD739" s="1009"/>
      <c r="BE739" s="763"/>
      <c r="BF739" s="763"/>
      <c r="BG739" s="763"/>
      <c r="BH739" s="763"/>
      <c r="BI739" s="1009"/>
      <c r="BJ739" s="763"/>
      <c r="BK739" s="763"/>
      <c r="BL739" s="763"/>
      <c r="BM739" s="763"/>
      <c r="BN739" s="1009"/>
      <c r="BO739" s="763"/>
      <c r="BP739" s="763"/>
      <c r="BQ739" s="763"/>
      <c r="BR739" s="763"/>
      <c r="BS739" s="1009"/>
      <c r="BT739" s="807"/>
      <c r="BU739" s="763"/>
      <c r="BV739" s="763"/>
      <c r="BW739" s="763"/>
      <c r="BX739" s="1009"/>
      <c r="BY739" s="763"/>
      <c r="BZ739" s="763"/>
      <c r="CA739" s="763"/>
      <c r="CB739" s="763"/>
      <c r="CC739" s="1009"/>
      <c r="CD739" s="1009"/>
      <c r="CE739" s="1009"/>
      <c r="CF739" s="1009"/>
      <c r="CG739" s="222"/>
    </row>
    <row r="740" spans="1:85" hidden="1" outlineLevel="1" x14ac:dyDescent="0.3">
      <c r="A740" s="757" t="s">
        <v>110</v>
      </c>
      <c r="B740" s="414"/>
      <c r="C740" s="962">
        <f t="shared" ref="C740:AH740" si="1296">C720+C726</f>
      </c>
      <c r="D740" s="962">
        <f t="shared" si="1296"/>
      </c>
      <c r="E740" s="962">
        <f t="shared" si="1296"/>
      </c>
      <c r="F740" s="962">
        <f t="shared" si="1296"/>
      </c>
      <c r="G740" s="757">
        <f t="shared" si="1296"/>
      </c>
      <c r="H740" s="757">
        <f t="shared" si="1296"/>
      </c>
      <c r="I740" s="757">
        <f t="shared" si="1296"/>
      </c>
      <c r="J740" s="757">
        <f t="shared" si="1296"/>
      </c>
      <c r="K740" s="962">
        <f t="shared" si="1296"/>
      </c>
      <c r="L740" s="757">
        <f t="shared" si="1296"/>
      </c>
      <c r="M740" s="757">
        <f t="shared" si="1296"/>
      </c>
      <c r="N740" s="757">
        <f t="shared" si="1296"/>
      </c>
      <c r="O740" s="757">
        <f t="shared" si="1296"/>
      </c>
      <c r="P740" s="962">
        <f t="shared" si="1296"/>
      </c>
      <c r="Q740" s="757">
        <f t="shared" si="1296"/>
      </c>
      <c r="R740" s="757">
        <f t="shared" si="1296"/>
      </c>
      <c r="S740" s="757">
        <f t="shared" si="1296"/>
      </c>
      <c r="T740" s="757">
        <f t="shared" si="1296"/>
      </c>
      <c r="U740" s="962">
        <f t="shared" si="1296"/>
      </c>
      <c r="V740" s="757">
        <f t="shared" si="1296"/>
      </c>
      <c r="W740" s="757">
        <f t="shared" si="1296"/>
      </c>
      <c r="X740" s="757">
        <f t="shared" si="1296"/>
      </c>
      <c r="Y740" s="757">
        <f t="shared" si="1296"/>
      </c>
      <c r="Z740" s="962">
        <f t="shared" si="1296"/>
      </c>
      <c r="AA740" s="757">
        <f t="shared" si="1296"/>
      </c>
      <c r="AB740" s="757">
        <f t="shared" si="1296"/>
      </c>
      <c r="AC740" s="757">
        <f t="shared" si="1296"/>
      </c>
      <c r="AD740" s="757">
        <f t="shared" si="1296"/>
      </c>
      <c r="AE740" s="962">
        <f t="shared" si="1296"/>
      </c>
      <c r="AF740" s="757">
        <f t="shared" si="1296"/>
      </c>
      <c r="AG740" s="757">
        <f t="shared" si="1296"/>
      </c>
      <c r="AH740" s="757">
        <f t="shared" si="1296"/>
      </c>
      <c r="AI740" s="757">
        <f t="shared" ref="AI740:AQ740" si="1297">AI720+AI726</f>
      </c>
      <c r="AJ740" s="962">
        <f t="shared" si="1297"/>
      </c>
      <c r="AK740" s="757">
        <f t="shared" si="1297"/>
      </c>
      <c r="AL740" s="757">
        <f t="shared" si="1297"/>
      </c>
      <c r="AM740" s="757">
        <f t="shared" si="1297"/>
      </c>
      <c r="AN740" s="757">
        <f t="shared" si="1297"/>
      </c>
      <c r="AO740" s="962">
        <f t="shared" si="1297"/>
      </c>
      <c r="AP740" s="757">
        <f t="shared" si="1297"/>
      </c>
      <c r="AQ740" s="757">
        <f t="shared" si="1297"/>
      </c>
      <c r="AR740" s="757">
        <f>AR720+AR726</f>
      </c>
      <c r="AS740" s="757">
        <f>AS720+AS726</f>
      </c>
      <c r="AT740" s="962">
        <f>AT720+AT726</f>
      </c>
      <c r="AU740" s="757">
        <f t="shared" ref="AU740" si="1298">AU720+AU726</f>
      </c>
      <c r="AV740" s="757">
        <f>AV720+AV726</f>
      </c>
      <c r="AW740" s="757">
        <f>AW720+AW726</f>
      </c>
      <c r="AX740" s="757">
        <f t="shared" ref="AX740:AY740" si="1299">AX720+AX726</f>
      </c>
      <c r="AY740" s="962">
        <f t="shared" si="1299"/>
      </c>
      <c r="AZ740" s="757">
        <f t="shared" ref="AZ740:BD740" si="1300">AZ720+AZ726</f>
      </c>
      <c r="BA740" s="757">
        <f t="shared" si="1300"/>
      </c>
      <c r="BB740" s="757">
        <f t="shared" si="1300"/>
      </c>
      <c r="BC740" s="757">
        <f t="shared" si="1300"/>
      </c>
      <c r="BD740" s="962">
        <f t="shared" si="1300"/>
      </c>
      <c r="BE740" s="757">
        <f t="shared" ref="BE740:BI740" si="1301">BE720+BE726</f>
      </c>
      <c r="BF740" s="757">
        <f t="shared" si="1301"/>
      </c>
      <c r="BG740" s="757">
        <f t="shared" si="1301"/>
      </c>
      <c r="BH740" s="757">
        <f t="shared" si="1301"/>
      </c>
      <c r="BI740" s="962">
        <f t="shared" si="1301"/>
      </c>
      <c r="BJ740" s="757">
        <f t="shared" ref="BJ740:BX740" si="1302">BJ720+BJ726</f>
      </c>
      <c r="BK740" s="757">
        <f t="shared" si="1302"/>
      </c>
      <c r="BL740" s="757">
        <f t="shared" si="1302"/>
      </c>
      <c r="BM740" s="757">
        <f t="shared" si="1302"/>
      </c>
      <c r="BN740" s="962">
        <f t="shared" si="1302"/>
      </c>
      <c r="BO740" s="757">
        <f t="shared" ref="BO740:BW740" si="1303">BO720+BO726</f>
      </c>
      <c r="BP740" s="757">
        <f t="shared" si="1303"/>
      </c>
      <c r="BQ740" s="757">
        <f t="shared" si="1303"/>
      </c>
      <c r="BR740" s="757">
        <f t="shared" si="1303"/>
      </c>
      <c r="BS740" s="962">
        <f t="shared" si="1303"/>
      </c>
      <c r="BT740" s="758">
        <f>BT720+BT726</f>
      </c>
      <c r="BU740" s="757">
        <f t="shared" si="1303"/>
      </c>
      <c r="BV740" s="757">
        <f t="shared" si="1303"/>
      </c>
      <c r="BW740" s="757">
        <f t="shared" si="1303"/>
      </c>
      <c r="BX740" s="962">
        <f t="shared" si="1302"/>
      </c>
      <c r="BY740" s="757">
        <f t="shared" ref="BY740:CF740" si="1304">BY720+BY726</f>
      </c>
      <c r="BZ740" s="757">
        <f t="shared" si="1304"/>
      </c>
      <c r="CA740" s="757">
        <f t="shared" si="1304"/>
      </c>
      <c r="CB740" s="757">
        <f t="shared" si="1304"/>
      </c>
      <c r="CC740" s="962">
        <f t="shared" si="1304"/>
      </c>
      <c r="CD740" s="962">
        <f t="shared" si="1304"/>
      </c>
      <c r="CE740" s="962">
        <f t="shared" si="1304"/>
      </c>
      <c r="CF740" s="962">
        <f t="shared" si="1304"/>
      </c>
      <c r="CG740" s="757"/>
    </row>
    <row r="741" spans="1:85" hidden="1" outlineLevel="1" x14ac:dyDescent="0.3">
      <c r="A741" s="757" t="s">
        <v>111</v>
      </c>
      <c r="B741" s="414"/>
      <c r="C741" s="962">
        <f t="shared" ref="C741:AH741" si="1305">C740+C730</f>
      </c>
      <c r="D741" s="962">
        <f t="shared" si="1305"/>
      </c>
      <c r="E741" s="962">
        <f t="shared" si="1305"/>
      </c>
      <c r="F741" s="962">
        <f t="shared" si="1305"/>
      </c>
      <c r="G741" s="757">
        <f t="shared" si="1305"/>
      </c>
      <c r="H741" s="757">
        <f t="shared" si="1305"/>
      </c>
      <c r="I741" s="757">
        <f t="shared" si="1305"/>
      </c>
      <c r="J741" s="757">
        <f t="shared" si="1305"/>
      </c>
      <c r="K741" s="962">
        <f t="shared" si="1305"/>
      </c>
      <c r="L741" s="757">
        <f t="shared" si="1305"/>
      </c>
      <c r="M741" s="757">
        <f t="shared" si="1305"/>
      </c>
      <c r="N741" s="757">
        <f t="shared" si="1305"/>
      </c>
      <c r="O741" s="757">
        <f t="shared" si="1305"/>
      </c>
      <c r="P741" s="962">
        <f t="shared" si="1305"/>
      </c>
      <c r="Q741" s="757">
        <f t="shared" si="1305"/>
      </c>
      <c r="R741" s="757">
        <f t="shared" si="1305"/>
      </c>
      <c r="S741" s="757">
        <f t="shared" si="1305"/>
      </c>
      <c r="T741" s="757">
        <f t="shared" si="1305"/>
      </c>
      <c r="U741" s="962">
        <f t="shared" si="1305"/>
      </c>
      <c r="V741" s="757">
        <f t="shared" si="1305"/>
      </c>
      <c r="W741" s="757">
        <f t="shared" si="1305"/>
      </c>
      <c r="X741" s="757">
        <f t="shared" si="1305"/>
      </c>
      <c r="Y741" s="757">
        <f t="shared" si="1305"/>
      </c>
      <c r="Z741" s="962">
        <f t="shared" si="1305"/>
      </c>
      <c r="AA741" s="757">
        <f t="shared" si="1305"/>
      </c>
      <c r="AB741" s="757">
        <f t="shared" si="1305"/>
      </c>
      <c r="AC741" s="757">
        <f t="shared" si="1305"/>
      </c>
      <c r="AD741" s="757">
        <f t="shared" si="1305"/>
      </c>
      <c r="AE741" s="962">
        <f t="shared" si="1305"/>
      </c>
      <c r="AF741" s="757">
        <f t="shared" si="1305"/>
      </c>
      <c r="AG741" s="757">
        <f t="shared" si="1305"/>
      </c>
      <c r="AH741" s="757">
        <f t="shared" si="1305"/>
      </c>
      <c r="AI741" s="757">
        <f t="shared" ref="AI741:AQ741" si="1306">AI740+AI730</f>
      </c>
      <c r="AJ741" s="962">
        <f t="shared" si="1306"/>
      </c>
      <c r="AK741" s="757">
        <f t="shared" si="1306"/>
      </c>
      <c r="AL741" s="757">
        <f t="shared" si="1306"/>
      </c>
      <c r="AM741" s="757">
        <f t="shared" si="1306"/>
      </c>
      <c r="AN741" s="757">
        <f t="shared" si="1306"/>
      </c>
      <c r="AO741" s="962">
        <f t="shared" si="1306"/>
      </c>
      <c r="AP741" s="757">
        <f t="shared" si="1306"/>
      </c>
      <c r="AQ741" s="757">
        <f t="shared" si="1306"/>
      </c>
      <c r="AR741" s="757">
        <f>AR740+AR730</f>
      </c>
      <c r="AS741" s="757">
        <f>AS740+AS730</f>
      </c>
      <c r="AT741" s="962">
        <f>AT740+AT730</f>
      </c>
      <c r="AU741" s="757">
        <f t="shared" ref="AU741" si="1307">AU740+AU730</f>
      </c>
      <c r="AV741" s="757">
        <f>AV740+AV730</f>
      </c>
      <c r="AW741" s="757">
        <f>AW740+AW730</f>
      </c>
      <c r="AX741" s="757">
        <f t="shared" ref="AX741:AY741" si="1308">AX740+AX730</f>
      </c>
      <c r="AY741" s="962">
        <f t="shared" si="1308"/>
      </c>
      <c r="AZ741" s="757">
        <f t="shared" ref="AZ741:BD741" si="1309">AZ740+AZ730</f>
      </c>
      <c r="BA741" s="757">
        <f t="shared" si="1309"/>
      </c>
      <c r="BB741" s="757">
        <f t="shared" si="1309"/>
      </c>
      <c r="BC741" s="757">
        <f t="shared" si="1309"/>
      </c>
      <c r="BD741" s="962">
        <f t="shared" si="1309"/>
      </c>
      <c r="BE741" s="757">
        <f t="shared" ref="BE741:BI741" si="1310">BE740+BE730</f>
      </c>
      <c r="BF741" s="757">
        <f t="shared" si="1310"/>
      </c>
      <c r="BG741" s="757">
        <f t="shared" si="1310"/>
      </c>
      <c r="BH741" s="757">
        <f t="shared" si="1310"/>
      </c>
      <c r="BI741" s="962">
        <f t="shared" si="1310"/>
      </c>
      <c r="BJ741" s="757">
        <f t="shared" ref="BJ741:BX741" si="1311">BJ740+BJ730</f>
      </c>
      <c r="BK741" s="757">
        <f t="shared" si="1311"/>
      </c>
      <c r="BL741" s="757">
        <f t="shared" si="1311"/>
      </c>
      <c r="BM741" s="757">
        <f t="shared" si="1311"/>
      </c>
      <c r="BN741" s="962">
        <f t="shared" si="1311"/>
      </c>
      <c r="BO741" s="757">
        <f t="shared" ref="BO741:BW741" si="1312">BO740+BO730</f>
      </c>
      <c r="BP741" s="757">
        <f t="shared" si="1312"/>
      </c>
      <c r="BQ741" s="757">
        <f t="shared" si="1312"/>
      </c>
      <c r="BR741" s="757">
        <f t="shared" si="1312"/>
      </c>
      <c r="BS741" s="962">
        <f t="shared" si="1312"/>
      </c>
      <c r="BT741" s="758">
        <f>BT740+BT730</f>
      </c>
      <c r="BU741" s="757">
        <f t="shared" si="1312"/>
      </c>
      <c r="BV741" s="757">
        <f t="shared" si="1312"/>
      </c>
      <c r="BW741" s="757">
        <f t="shared" si="1312"/>
      </c>
      <c r="BX741" s="962">
        <f t="shared" si="1311"/>
      </c>
      <c r="BY741" s="757">
        <f t="shared" ref="BY741:CF741" si="1313">BY740+BY730</f>
      </c>
      <c r="BZ741" s="757">
        <f t="shared" si="1313"/>
      </c>
      <c r="CA741" s="757">
        <f t="shared" si="1313"/>
      </c>
      <c r="CB741" s="757">
        <f t="shared" si="1313"/>
      </c>
      <c r="CC741" s="962">
        <f t="shared" si="1313"/>
      </c>
      <c r="CD741" s="962">
        <f t="shared" si="1313"/>
      </c>
      <c r="CE741" s="962">
        <f t="shared" si="1313"/>
      </c>
      <c r="CF741" s="962">
        <f t="shared" si="1313"/>
      </c>
      <c r="CG741" s="757"/>
    </row>
    <row r="742" spans="1:85" hidden="1" outlineLevel="1" x14ac:dyDescent="0.3">
      <c r="A742" s="757" t="s">
        <v>112</v>
      </c>
      <c r="B742" s="414"/>
      <c r="C742" s="962">
        <f t="shared" ref="C742:AH742" si="1314">C741+C728+C729</f>
      </c>
      <c r="D742" s="962">
        <f t="shared" si="1314"/>
      </c>
      <c r="E742" s="962">
        <f t="shared" si="1314"/>
      </c>
      <c r="F742" s="962">
        <f t="shared" si="1314"/>
      </c>
      <c r="G742" s="757">
        <f t="shared" si="1314"/>
      </c>
      <c r="H742" s="757">
        <f t="shared" si="1314"/>
      </c>
      <c r="I742" s="757">
        <f t="shared" si="1314"/>
      </c>
      <c r="J742" s="757">
        <f t="shared" si="1314"/>
      </c>
      <c r="K742" s="962">
        <f t="shared" si="1314"/>
      </c>
      <c r="L742" s="757">
        <f t="shared" si="1314"/>
      </c>
      <c r="M742" s="757">
        <f t="shared" si="1314"/>
      </c>
      <c r="N742" s="757">
        <f t="shared" si="1314"/>
      </c>
      <c r="O742" s="757">
        <f t="shared" si="1314"/>
      </c>
      <c r="P742" s="962">
        <f t="shared" si="1314"/>
      </c>
      <c r="Q742" s="757">
        <f t="shared" si="1314"/>
      </c>
      <c r="R742" s="757">
        <f t="shared" si="1314"/>
      </c>
      <c r="S742" s="757">
        <f t="shared" si="1314"/>
      </c>
      <c r="T742" s="757">
        <f t="shared" si="1314"/>
      </c>
      <c r="U742" s="962">
        <f t="shared" si="1314"/>
      </c>
      <c r="V742" s="757">
        <f t="shared" si="1314"/>
      </c>
      <c r="W742" s="757">
        <f t="shared" si="1314"/>
      </c>
      <c r="X742" s="757">
        <f t="shared" si="1314"/>
      </c>
      <c r="Y742" s="757">
        <f t="shared" si="1314"/>
      </c>
      <c r="Z742" s="962">
        <f t="shared" si="1314"/>
      </c>
      <c r="AA742" s="757">
        <f t="shared" si="1314"/>
      </c>
      <c r="AB742" s="757">
        <f t="shared" si="1314"/>
      </c>
      <c r="AC742" s="757">
        <f t="shared" si="1314"/>
      </c>
      <c r="AD742" s="757">
        <f t="shared" si="1314"/>
      </c>
      <c r="AE742" s="962">
        <f t="shared" si="1314"/>
      </c>
      <c r="AF742" s="757">
        <f t="shared" si="1314"/>
      </c>
      <c r="AG742" s="757">
        <f t="shared" si="1314"/>
      </c>
      <c r="AH742" s="757">
        <f t="shared" si="1314"/>
      </c>
      <c r="AI742" s="757">
        <f t="shared" ref="AI742:AQ742" si="1315">AI741+AI728+AI729</f>
      </c>
      <c r="AJ742" s="962">
        <f t="shared" si="1315"/>
      </c>
      <c r="AK742" s="757">
        <f t="shared" si="1315"/>
      </c>
      <c r="AL742" s="757">
        <f t="shared" si="1315"/>
      </c>
      <c r="AM742" s="757">
        <f t="shared" si="1315"/>
      </c>
      <c r="AN742" s="757">
        <f t="shared" si="1315"/>
      </c>
      <c r="AO742" s="962">
        <f t="shared" si="1315"/>
      </c>
      <c r="AP742" s="757">
        <f t="shared" si="1315"/>
      </c>
      <c r="AQ742" s="757">
        <f t="shared" si="1315"/>
      </c>
      <c r="AR742" s="757">
        <f>AR741+AR728+AR729</f>
      </c>
      <c r="AS742" s="757">
        <f>AS741+AS728+AS729</f>
      </c>
      <c r="AT742" s="962">
        <f>AT741+AT728+AT729</f>
      </c>
      <c r="AU742" s="757">
        <f t="shared" ref="AU742" si="1316">AU741+AU728+AU729</f>
      </c>
      <c r="AV742" s="757">
        <f>AV741+AV728+AV729</f>
      </c>
      <c r="AW742" s="757">
        <f>AW741+AW728+AW729</f>
      </c>
      <c r="AX742" s="757">
        <f t="shared" ref="AX742:AY742" si="1317">AX741+AX728+AX729</f>
      </c>
      <c r="AY742" s="962">
        <f t="shared" si="1317"/>
      </c>
      <c r="AZ742" s="757">
        <f t="shared" ref="AZ742:BD742" si="1318">AZ741+AZ728+AZ729</f>
      </c>
      <c r="BA742" s="757">
        <f t="shared" si="1318"/>
      </c>
      <c r="BB742" s="757">
        <f t="shared" si="1318"/>
      </c>
      <c r="BC742" s="757">
        <f t="shared" si="1318"/>
      </c>
      <c r="BD742" s="962">
        <f t="shared" si="1318"/>
      </c>
      <c r="BE742" s="757">
        <f t="shared" ref="BE742:BI742" si="1319">BE741+BE728+BE729</f>
      </c>
      <c r="BF742" s="757">
        <f t="shared" si="1319"/>
      </c>
      <c r="BG742" s="757">
        <f t="shared" si="1319"/>
      </c>
      <c r="BH742" s="757">
        <f t="shared" si="1319"/>
      </c>
      <c r="BI742" s="962">
        <f t="shared" si="1319"/>
      </c>
      <c r="BJ742" s="757">
        <f t="shared" ref="BJ742:BX742" si="1320">BJ741+BJ728+BJ729</f>
      </c>
      <c r="BK742" s="757">
        <f t="shared" si="1320"/>
      </c>
      <c r="BL742" s="757">
        <f t="shared" si="1320"/>
      </c>
      <c r="BM742" s="757">
        <f t="shared" si="1320"/>
      </c>
      <c r="BN742" s="962">
        <f t="shared" si="1320"/>
      </c>
      <c r="BO742" s="757">
        <f t="shared" ref="BO742:BW742" si="1321">BO741+BO728+BO729</f>
      </c>
      <c r="BP742" s="757">
        <f t="shared" si="1321"/>
      </c>
      <c r="BQ742" s="757">
        <f t="shared" si="1321"/>
      </c>
      <c r="BR742" s="757">
        <f t="shared" si="1321"/>
      </c>
      <c r="BS742" s="962">
        <f t="shared" si="1321"/>
      </c>
      <c r="BT742" s="758">
        <f>BT741+BT728+BT729</f>
      </c>
      <c r="BU742" s="757">
        <f t="shared" si="1321"/>
      </c>
      <c r="BV742" s="757">
        <f t="shared" si="1321"/>
      </c>
      <c r="BW742" s="757">
        <f t="shared" si="1321"/>
      </c>
      <c r="BX742" s="962">
        <f t="shared" si="1320"/>
      </c>
      <c r="BY742" s="757">
        <f t="shared" ref="BY742:CF742" si="1322">BY741+BY728+BY729</f>
      </c>
      <c r="BZ742" s="757">
        <f t="shared" si="1322"/>
      </c>
      <c r="CA742" s="757">
        <f t="shared" si="1322"/>
      </c>
      <c r="CB742" s="757">
        <f t="shared" si="1322"/>
      </c>
      <c r="CC742" s="962">
        <f t="shared" si="1322"/>
      </c>
      <c r="CD742" s="962">
        <f t="shared" si="1322"/>
      </c>
      <c r="CE742" s="962">
        <f t="shared" si="1322"/>
      </c>
      <c r="CF742" s="962">
        <f t="shared" si="1322"/>
      </c>
      <c r="CG742" s="757"/>
    </row>
    <row r="743" spans="1:85" hidden="1" outlineLevel="1" x14ac:dyDescent="0.3">
      <c r="A743" s="759" t="s">
        <v>473</v>
      </c>
      <c r="B743" s="428"/>
      <c r="C743" s="969">
        <f t="shared" ref="C743:AH743" si="1323">C742+C733+C734</f>
      </c>
      <c r="D743" s="969">
        <f t="shared" si="1323"/>
      </c>
      <c r="E743" s="969">
        <f t="shared" si="1323"/>
      </c>
      <c r="F743" s="969">
        <f t="shared" si="1323"/>
      </c>
      <c r="G743" s="759">
        <f t="shared" si="1323"/>
      </c>
      <c r="H743" s="759">
        <f t="shared" si="1323"/>
      </c>
      <c r="I743" s="759">
        <f t="shared" si="1323"/>
      </c>
      <c r="J743" s="759">
        <f t="shared" si="1323"/>
      </c>
      <c r="K743" s="969">
        <f t="shared" si="1323"/>
      </c>
      <c r="L743" s="759">
        <f t="shared" si="1323"/>
      </c>
      <c r="M743" s="759">
        <f t="shared" si="1323"/>
      </c>
      <c r="N743" s="759">
        <f t="shared" si="1323"/>
      </c>
      <c r="O743" s="759">
        <f t="shared" si="1323"/>
      </c>
      <c r="P743" s="969">
        <f t="shared" si="1323"/>
      </c>
      <c r="Q743" s="759">
        <f t="shared" si="1323"/>
      </c>
      <c r="R743" s="759">
        <f t="shared" si="1323"/>
      </c>
      <c r="S743" s="759">
        <f t="shared" si="1323"/>
      </c>
      <c r="T743" s="759">
        <f t="shared" si="1323"/>
      </c>
      <c r="U743" s="969">
        <f t="shared" si="1323"/>
      </c>
      <c r="V743" s="759">
        <f t="shared" si="1323"/>
      </c>
      <c r="W743" s="759">
        <f t="shared" si="1323"/>
      </c>
      <c r="X743" s="759">
        <f t="shared" si="1323"/>
      </c>
      <c r="Y743" s="759">
        <f t="shared" si="1323"/>
      </c>
      <c r="Z743" s="969">
        <f t="shared" si="1323"/>
      </c>
      <c r="AA743" s="759">
        <f t="shared" si="1323"/>
      </c>
      <c r="AB743" s="759">
        <f t="shared" si="1323"/>
      </c>
      <c r="AC743" s="759">
        <f t="shared" si="1323"/>
      </c>
      <c r="AD743" s="759">
        <f t="shared" si="1323"/>
      </c>
      <c r="AE743" s="969">
        <f t="shared" si="1323"/>
      </c>
      <c r="AF743" s="759">
        <f t="shared" si="1323"/>
      </c>
      <c r="AG743" s="759">
        <f t="shared" si="1323"/>
      </c>
      <c r="AH743" s="759">
        <f t="shared" si="1323"/>
      </c>
      <c r="AI743" s="759">
        <f t="shared" ref="AI743:AQ743" si="1324">AI742+AI733+AI734</f>
      </c>
      <c r="AJ743" s="969">
        <f t="shared" si="1324"/>
      </c>
      <c r="AK743" s="759">
        <f t="shared" si="1324"/>
      </c>
      <c r="AL743" s="759">
        <f t="shared" si="1324"/>
      </c>
      <c r="AM743" s="759">
        <f t="shared" si="1324"/>
      </c>
      <c r="AN743" s="759">
        <f t="shared" si="1324"/>
      </c>
      <c r="AO743" s="969">
        <f t="shared" si="1324"/>
      </c>
      <c r="AP743" s="759">
        <f t="shared" si="1324"/>
      </c>
      <c r="AQ743" s="759">
        <f t="shared" si="1324"/>
      </c>
      <c r="AR743" s="759">
        <f>AR742+AR733+AR734</f>
      </c>
      <c r="AS743" s="759">
        <f>AS742+AS733+AS734</f>
      </c>
      <c r="AT743" s="969">
        <f>AT742+AT733+AT734</f>
      </c>
      <c r="AU743" s="759">
        <f t="shared" ref="AU743" si="1325">AU742+AU733+AU734</f>
      </c>
      <c r="AV743" s="759">
        <f>AV742+AV733+AV734</f>
      </c>
      <c r="AW743" s="759">
        <f>AW742+AW733+AW734</f>
      </c>
      <c r="AX743" s="759">
        <f t="shared" ref="AX743:AY743" si="1326">AX742+AX733+AX734</f>
      </c>
      <c r="AY743" s="969">
        <f t="shared" si="1326"/>
      </c>
      <c r="AZ743" s="759">
        <f t="shared" ref="AZ743:BD743" si="1327">AZ742+AZ733+AZ734</f>
      </c>
      <c r="BA743" s="759">
        <f t="shared" si="1327"/>
      </c>
      <c r="BB743" s="759">
        <f t="shared" si="1327"/>
      </c>
      <c r="BC743" s="759">
        <f t="shared" si="1327"/>
      </c>
      <c r="BD743" s="969">
        <f t="shared" si="1327"/>
      </c>
      <c r="BE743" s="759">
        <f t="shared" ref="BE743:BI743" si="1328">BE742+BE733+BE734</f>
      </c>
      <c r="BF743" s="759">
        <f t="shared" si="1328"/>
      </c>
      <c r="BG743" s="759">
        <f t="shared" si="1328"/>
      </c>
      <c r="BH743" s="759">
        <f t="shared" si="1328"/>
      </c>
      <c r="BI743" s="969">
        <f t="shared" si="1328"/>
      </c>
      <c r="BJ743" s="759">
        <f t="shared" ref="BJ743:BX743" si="1329">BJ742+BJ733+BJ734</f>
      </c>
      <c r="BK743" s="759">
        <f t="shared" si="1329"/>
      </c>
      <c r="BL743" s="759">
        <f t="shared" si="1329"/>
      </c>
      <c r="BM743" s="759">
        <f t="shared" si="1329"/>
      </c>
      <c r="BN743" s="969">
        <f t="shared" si="1329"/>
      </c>
      <c r="BO743" s="759">
        <f t="shared" ref="BO743:BW743" si="1330">BO742+BO733+BO734</f>
      </c>
      <c r="BP743" s="759">
        <f t="shared" si="1330"/>
      </c>
      <c r="BQ743" s="759">
        <f t="shared" si="1330"/>
      </c>
      <c r="BR743" s="759">
        <f t="shared" si="1330"/>
      </c>
      <c r="BS743" s="969">
        <f t="shared" si="1330"/>
      </c>
      <c r="BT743" s="760">
        <f>BT742+BT733+BT734</f>
      </c>
      <c r="BU743" s="759">
        <f t="shared" si="1330"/>
      </c>
      <c r="BV743" s="759">
        <f t="shared" si="1330"/>
      </c>
      <c r="BW743" s="759">
        <f t="shared" si="1330"/>
      </c>
      <c r="BX743" s="969">
        <f t="shared" si="1329"/>
      </c>
      <c r="BY743" s="759">
        <f t="shared" ref="BY743:CF743" si="1331">BY742+BY733+BY734</f>
      </c>
      <c r="BZ743" s="759">
        <f t="shared" si="1331"/>
      </c>
      <c r="CA743" s="759">
        <f t="shared" si="1331"/>
      </c>
      <c r="CB743" s="759">
        <f t="shared" si="1331"/>
      </c>
      <c r="CC743" s="969">
        <f t="shared" si="1331"/>
      </c>
      <c r="CD743" s="969">
        <f t="shared" si="1331"/>
      </c>
      <c r="CE743" s="969">
        <f t="shared" si="1331"/>
      </c>
      <c r="CF743" s="969">
        <f t="shared" si="1331"/>
      </c>
      <c r="CG743" s="757"/>
    </row>
    <row r="744" spans="1:85" collapsed="1" x14ac:dyDescent="0.3">
      <c r="A744" s="757" t="s">
        <v>912</v>
      </c>
      <c r="B744" s="414"/>
      <c r="C744" s="962">
        <f t="shared" ref="C744:AH744" si="1332">C722+C726</f>
      </c>
      <c r="D744" s="962">
        <f t="shared" si="1332"/>
      </c>
      <c r="E744" s="962">
        <f t="shared" si="1332"/>
      </c>
      <c r="F744" s="962">
        <f t="shared" si="1332"/>
      </c>
      <c r="G744" s="757">
        <f t="shared" si="1332"/>
      </c>
      <c r="H744" s="757">
        <f t="shared" si="1332"/>
      </c>
      <c r="I744" s="757">
        <f t="shared" si="1332"/>
      </c>
      <c r="J744" s="757">
        <f t="shared" si="1332"/>
      </c>
      <c r="K744" s="962">
        <f t="shared" si="1332"/>
      </c>
      <c r="L744" s="757">
        <f t="shared" si="1332"/>
      </c>
      <c r="M744" s="757">
        <f t="shared" si="1332"/>
      </c>
      <c r="N744" s="757">
        <f t="shared" si="1332"/>
      </c>
      <c r="O744" s="757">
        <f t="shared" si="1332"/>
      </c>
      <c r="P744" s="962">
        <f t="shared" si="1332"/>
      </c>
      <c r="Q744" s="757">
        <f t="shared" si="1332"/>
      </c>
      <c r="R744" s="757">
        <f t="shared" si="1332"/>
      </c>
      <c r="S744" s="757">
        <f t="shared" si="1332"/>
      </c>
      <c r="T744" s="757">
        <f t="shared" si="1332"/>
      </c>
      <c r="U744" s="962">
        <f t="shared" si="1332"/>
      </c>
      <c r="V744" s="757">
        <f t="shared" si="1332"/>
      </c>
      <c r="W744" s="757">
        <f t="shared" si="1332"/>
      </c>
      <c r="X744" s="757">
        <f t="shared" si="1332"/>
      </c>
      <c r="Y744" s="757">
        <f t="shared" si="1332"/>
      </c>
      <c r="Z744" s="962">
        <f t="shared" si="1332"/>
      </c>
      <c r="AA744" s="757">
        <f t="shared" si="1332"/>
      </c>
      <c r="AB744" s="757">
        <f t="shared" si="1332"/>
      </c>
      <c r="AC744" s="757">
        <f t="shared" si="1332"/>
      </c>
      <c r="AD744" s="757">
        <f t="shared" si="1332"/>
      </c>
      <c r="AE744" s="962">
        <f t="shared" si="1332"/>
      </c>
      <c r="AF744" s="757">
        <f t="shared" si="1332"/>
      </c>
      <c r="AG744" s="757">
        <f t="shared" si="1332"/>
      </c>
      <c r="AH744" s="757">
        <f t="shared" si="1332"/>
      </c>
      <c r="AI744" s="757">
        <f t="shared" ref="AI744:BD744" si="1333">AI722+AI726</f>
      </c>
      <c r="AJ744" s="962">
        <f t="shared" si="1333"/>
      </c>
      <c r="AK744" s="757">
        <f t="shared" si="1333"/>
      </c>
      <c r="AL744" s="757">
        <f t="shared" si="1333"/>
      </c>
      <c r="AM744" s="757">
        <f t="shared" si="1333"/>
      </c>
      <c r="AN744" s="757">
        <f t="shared" si="1333"/>
      </c>
      <c r="AO744" s="962">
        <f t="shared" si="1333"/>
      </c>
      <c r="AP744" s="757">
        <f t="shared" si="1333"/>
      </c>
      <c r="AQ744" s="757">
        <f t="shared" si="1333"/>
      </c>
      <c r="AR744" s="757">
        <f t="shared" si="1333"/>
      </c>
      <c r="AS744" s="757">
        <f t="shared" si="1333"/>
      </c>
      <c r="AT744" s="962">
        <f t="shared" si="1333"/>
      </c>
      <c r="AU744" s="757">
        <f t="shared" si="1333"/>
      </c>
      <c r="AV744" s="757">
        <f t="shared" si="1333"/>
      </c>
      <c r="AW744" s="757">
        <f t="shared" si="1333"/>
      </c>
      <c r="AX744" s="757">
        <f t="shared" si="1333"/>
      </c>
      <c r="AY744" s="962">
        <f t="shared" si="1333"/>
      </c>
      <c r="AZ744" s="757">
        <f t="shared" si="1333"/>
      </c>
      <c r="BA744" s="757">
        <f t="shared" si="1333"/>
      </c>
      <c r="BB744" s="757">
        <f t="shared" si="1333"/>
      </c>
      <c r="BC744" s="757">
        <f t="shared" si="1333"/>
      </c>
      <c r="BD744" s="962">
        <f t="shared" si="1333"/>
      </c>
      <c r="BE744" s="757">
        <f t="shared" ref="BE744:BI744" si="1334">BE722+BE726</f>
      </c>
      <c r="BF744" s="757">
        <f t="shared" si="1334"/>
      </c>
      <c r="BG744" s="757">
        <f t="shared" si="1334"/>
      </c>
      <c r="BH744" s="757">
        <f t="shared" si="1334"/>
      </c>
      <c r="BI744" s="962">
        <f t="shared" si="1334"/>
      </c>
      <c r="BJ744" s="757">
        <f t="shared" ref="BJ744:BX744" si="1335">BJ722+BJ726</f>
      </c>
      <c r="BK744" s="757">
        <f t="shared" si="1335"/>
      </c>
      <c r="BL744" s="757">
        <f t="shared" si="1335"/>
      </c>
      <c r="BM744" s="757">
        <f t="shared" si="1335"/>
      </c>
      <c r="BN744" s="962">
        <f t="shared" si="1335"/>
      </c>
      <c r="BO744" s="757">
        <f t="shared" ref="BO744:BW744" si="1336">BO722+BO726</f>
      </c>
      <c r="BP744" s="757">
        <f t="shared" si="1336"/>
      </c>
      <c r="BQ744" s="757">
        <f t="shared" si="1336"/>
      </c>
      <c r="BR744" s="757">
        <f t="shared" si="1336"/>
      </c>
      <c r="BS744" s="962">
        <f t="shared" si="1336"/>
      </c>
      <c r="BT744" s="758">
        <f>BT722+BT726</f>
      </c>
      <c r="BU744" s="757">
        <f t="shared" si="1336"/>
      </c>
      <c r="BV744" s="757">
        <f t="shared" si="1336"/>
      </c>
      <c r="BW744" s="757">
        <f t="shared" si="1336"/>
      </c>
      <c r="BX744" s="962">
        <f t="shared" si="1335"/>
      </c>
      <c r="BY744" s="757">
        <f t="shared" ref="BY744:CF744" si="1337">BY722+BY726</f>
      </c>
      <c r="BZ744" s="757">
        <f t="shared" si="1337"/>
      </c>
      <c r="CA744" s="757">
        <f t="shared" si="1337"/>
      </c>
      <c r="CB744" s="757">
        <f t="shared" si="1337"/>
      </c>
      <c r="CC744" s="962">
        <f t="shared" si="1337"/>
      </c>
      <c r="CD744" s="962">
        <f t="shared" si="1337"/>
      </c>
      <c r="CE744" s="962">
        <f t="shared" si="1337"/>
      </c>
      <c r="CF744" s="962">
        <f t="shared" si="1337"/>
      </c>
      <c r="CG744" s="757"/>
    </row>
    <row r="745" spans="1:85" x14ac:dyDescent="0.3">
      <c r="A745" s="757" t="s">
        <v>913</v>
      </c>
      <c r="B745" s="414"/>
      <c r="C745" s="962">
        <f t="shared" ref="C745:AH745" si="1338">C744+C730</f>
      </c>
      <c r="D745" s="962">
        <f t="shared" si="1338"/>
      </c>
      <c r="E745" s="962">
        <f t="shared" si="1338"/>
      </c>
      <c r="F745" s="962">
        <f t="shared" si="1338"/>
      </c>
      <c r="G745" s="757">
        <f t="shared" si="1338"/>
      </c>
      <c r="H745" s="757">
        <f t="shared" si="1338"/>
      </c>
      <c r="I745" s="757">
        <f t="shared" si="1338"/>
      </c>
      <c r="J745" s="757">
        <f t="shared" si="1338"/>
      </c>
      <c r="K745" s="962">
        <f t="shared" si="1338"/>
      </c>
      <c r="L745" s="757">
        <f t="shared" si="1338"/>
      </c>
      <c r="M745" s="757">
        <f t="shared" si="1338"/>
      </c>
      <c r="N745" s="757">
        <f t="shared" si="1338"/>
      </c>
      <c r="O745" s="757">
        <f t="shared" si="1338"/>
      </c>
      <c r="P745" s="962">
        <f t="shared" si="1338"/>
      </c>
      <c r="Q745" s="757">
        <f t="shared" si="1338"/>
      </c>
      <c r="R745" s="757">
        <f t="shared" si="1338"/>
      </c>
      <c r="S745" s="757">
        <f t="shared" si="1338"/>
      </c>
      <c r="T745" s="757">
        <f t="shared" si="1338"/>
      </c>
      <c r="U745" s="962">
        <f t="shared" si="1338"/>
      </c>
      <c r="V745" s="757">
        <f t="shared" si="1338"/>
      </c>
      <c r="W745" s="757">
        <f t="shared" si="1338"/>
      </c>
      <c r="X745" s="757">
        <f t="shared" si="1338"/>
      </c>
      <c r="Y745" s="757">
        <f t="shared" si="1338"/>
      </c>
      <c r="Z745" s="962">
        <f t="shared" si="1338"/>
      </c>
      <c r="AA745" s="757">
        <f t="shared" si="1338"/>
      </c>
      <c r="AB745" s="757">
        <f t="shared" si="1338"/>
      </c>
      <c r="AC745" s="757">
        <f t="shared" si="1338"/>
      </c>
      <c r="AD745" s="757">
        <f t="shared" si="1338"/>
      </c>
      <c r="AE745" s="962">
        <f t="shared" si="1338"/>
      </c>
      <c r="AF745" s="757">
        <f t="shared" si="1338"/>
      </c>
      <c r="AG745" s="757">
        <f t="shared" si="1338"/>
      </c>
      <c r="AH745" s="757">
        <f t="shared" si="1338"/>
      </c>
      <c r="AI745" s="757">
        <f t="shared" ref="AI745:BD745" si="1339">AI744+AI730</f>
      </c>
      <c r="AJ745" s="962">
        <f t="shared" si="1339"/>
      </c>
      <c r="AK745" s="757">
        <f t="shared" si="1339"/>
      </c>
      <c r="AL745" s="757">
        <f t="shared" si="1339"/>
      </c>
      <c r="AM745" s="757">
        <f t="shared" si="1339"/>
      </c>
      <c r="AN745" s="757">
        <f t="shared" si="1339"/>
      </c>
      <c r="AO745" s="962">
        <f t="shared" si="1339"/>
      </c>
      <c r="AP745" s="757">
        <f t="shared" si="1339"/>
      </c>
      <c r="AQ745" s="757">
        <f t="shared" si="1339"/>
      </c>
      <c r="AR745" s="757">
        <f t="shared" si="1339"/>
      </c>
      <c r="AS745" s="757">
        <f t="shared" si="1339"/>
      </c>
      <c r="AT745" s="962">
        <f t="shared" si="1339"/>
      </c>
      <c r="AU745" s="757">
        <f t="shared" si="1339"/>
      </c>
      <c r="AV745" s="757">
        <f t="shared" si="1339"/>
      </c>
      <c r="AW745" s="757">
        <f t="shared" si="1339"/>
      </c>
      <c r="AX745" s="757">
        <f t="shared" si="1339"/>
      </c>
      <c r="AY745" s="962">
        <f t="shared" si="1339"/>
      </c>
      <c r="AZ745" s="757">
        <f t="shared" si="1339"/>
      </c>
      <c r="BA745" s="757">
        <f t="shared" si="1339"/>
      </c>
      <c r="BB745" s="757">
        <f t="shared" si="1339"/>
      </c>
      <c r="BC745" s="757">
        <f t="shared" si="1339"/>
      </c>
      <c r="BD745" s="962">
        <f t="shared" si="1339"/>
      </c>
      <c r="BE745" s="757">
        <f t="shared" ref="BE745:BI745" si="1340">BE744+BE730</f>
      </c>
      <c r="BF745" s="757">
        <f t="shared" si="1340"/>
      </c>
      <c r="BG745" s="757">
        <f t="shared" si="1340"/>
      </c>
      <c r="BH745" s="757">
        <f t="shared" si="1340"/>
      </c>
      <c r="BI745" s="962">
        <f t="shared" si="1340"/>
      </c>
      <c r="BJ745" s="757">
        <f t="shared" ref="BJ745:BX745" si="1341">BJ744+BJ730</f>
      </c>
      <c r="BK745" s="757">
        <f t="shared" si="1341"/>
      </c>
      <c r="BL745" s="757">
        <f t="shared" si="1341"/>
      </c>
      <c r="BM745" s="757">
        <f t="shared" si="1341"/>
      </c>
      <c r="BN745" s="962">
        <f t="shared" si="1341"/>
      </c>
      <c r="BO745" s="757">
        <f t="shared" ref="BO745:BW745" si="1342">BO744+BO730</f>
      </c>
      <c r="BP745" s="757">
        <f t="shared" si="1342"/>
      </c>
      <c r="BQ745" s="757">
        <f t="shared" si="1342"/>
      </c>
      <c r="BR745" s="757">
        <f t="shared" si="1342"/>
      </c>
      <c r="BS745" s="962">
        <f t="shared" si="1342"/>
      </c>
      <c r="BT745" s="758">
        <f>BT744+BT730</f>
      </c>
      <c r="BU745" s="757">
        <f t="shared" si="1342"/>
      </c>
      <c r="BV745" s="757">
        <f t="shared" si="1342"/>
      </c>
      <c r="BW745" s="757">
        <f t="shared" si="1342"/>
      </c>
      <c r="BX745" s="962">
        <f t="shared" si="1341"/>
      </c>
      <c r="BY745" s="757">
        <f t="shared" ref="BY745:CF745" si="1343">BY744+BY730</f>
      </c>
      <c r="BZ745" s="757">
        <f t="shared" si="1343"/>
      </c>
      <c r="CA745" s="757">
        <f t="shared" si="1343"/>
      </c>
      <c r="CB745" s="757">
        <f t="shared" si="1343"/>
      </c>
      <c r="CC745" s="962">
        <f t="shared" si="1343"/>
      </c>
      <c r="CD745" s="962">
        <f t="shared" si="1343"/>
      </c>
      <c r="CE745" s="962">
        <f t="shared" si="1343"/>
      </c>
      <c r="CF745" s="962">
        <f t="shared" si="1343"/>
      </c>
      <c r="CG745" s="757"/>
    </row>
    <row r="746" spans="1:85" x14ac:dyDescent="0.3">
      <c r="A746" s="757" t="s">
        <v>914</v>
      </c>
      <c r="B746" s="414"/>
      <c r="C746" s="962">
        <f t="shared" ref="C746:AH746" si="1344">C745+C728+C729</f>
      </c>
      <c r="D746" s="962">
        <f t="shared" si="1344"/>
      </c>
      <c r="E746" s="962">
        <f t="shared" si="1344"/>
      </c>
      <c r="F746" s="962">
        <f t="shared" si="1344"/>
      </c>
      <c r="G746" s="757">
        <f t="shared" si="1344"/>
      </c>
      <c r="H746" s="757">
        <f t="shared" si="1344"/>
      </c>
      <c r="I746" s="757">
        <f t="shared" si="1344"/>
      </c>
      <c r="J746" s="757">
        <f t="shared" si="1344"/>
      </c>
      <c r="K746" s="962">
        <f t="shared" si="1344"/>
      </c>
      <c r="L746" s="757">
        <f t="shared" si="1344"/>
      </c>
      <c r="M746" s="757">
        <f t="shared" si="1344"/>
      </c>
      <c r="N746" s="757">
        <f t="shared" si="1344"/>
      </c>
      <c r="O746" s="757">
        <f t="shared" si="1344"/>
      </c>
      <c r="P746" s="962">
        <f t="shared" si="1344"/>
      </c>
      <c r="Q746" s="757">
        <f t="shared" si="1344"/>
      </c>
      <c r="R746" s="757">
        <f t="shared" si="1344"/>
      </c>
      <c r="S746" s="757">
        <f t="shared" si="1344"/>
      </c>
      <c r="T746" s="757">
        <f t="shared" si="1344"/>
      </c>
      <c r="U746" s="962">
        <f t="shared" si="1344"/>
      </c>
      <c r="V746" s="757">
        <f t="shared" si="1344"/>
      </c>
      <c r="W746" s="757">
        <f t="shared" si="1344"/>
      </c>
      <c r="X746" s="757">
        <f t="shared" si="1344"/>
      </c>
      <c r="Y746" s="757">
        <f t="shared" si="1344"/>
      </c>
      <c r="Z746" s="962">
        <f t="shared" si="1344"/>
      </c>
      <c r="AA746" s="757">
        <f t="shared" si="1344"/>
      </c>
      <c r="AB746" s="757">
        <f t="shared" si="1344"/>
      </c>
      <c r="AC746" s="757">
        <f t="shared" si="1344"/>
      </c>
      <c r="AD746" s="757">
        <f t="shared" si="1344"/>
      </c>
      <c r="AE746" s="962">
        <f t="shared" si="1344"/>
      </c>
      <c r="AF746" s="757">
        <f t="shared" si="1344"/>
      </c>
      <c r="AG746" s="757">
        <f t="shared" si="1344"/>
      </c>
      <c r="AH746" s="757">
        <f t="shared" si="1344"/>
      </c>
      <c r="AI746" s="757">
        <f t="shared" ref="AI746:BD746" si="1345">AI745+AI728+AI729</f>
      </c>
      <c r="AJ746" s="962">
        <f t="shared" si="1345"/>
      </c>
      <c r="AK746" s="757">
        <f t="shared" si="1345"/>
      </c>
      <c r="AL746" s="757">
        <f t="shared" si="1345"/>
      </c>
      <c r="AM746" s="757">
        <f t="shared" si="1345"/>
      </c>
      <c r="AN746" s="757">
        <f t="shared" si="1345"/>
      </c>
      <c r="AO746" s="962">
        <f t="shared" si="1345"/>
      </c>
      <c r="AP746" s="757">
        <f t="shared" si="1345"/>
      </c>
      <c r="AQ746" s="757">
        <f t="shared" si="1345"/>
      </c>
      <c r="AR746" s="757">
        <f t="shared" si="1345"/>
      </c>
      <c r="AS746" s="757">
        <f t="shared" si="1345"/>
      </c>
      <c r="AT746" s="962">
        <f t="shared" si="1345"/>
      </c>
      <c r="AU746" s="757">
        <f t="shared" si="1345"/>
      </c>
      <c r="AV746" s="757">
        <f t="shared" si="1345"/>
      </c>
      <c r="AW746" s="757">
        <f t="shared" si="1345"/>
      </c>
      <c r="AX746" s="757">
        <f t="shared" si="1345"/>
      </c>
      <c r="AY746" s="962">
        <f t="shared" si="1345"/>
      </c>
      <c r="AZ746" s="757">
        <f t="shared" si="1345"/>
      </c>
      <c r="BA746" s="757">
        <f t="shared" si="1345"/>
      </c>
      <c r="BB746" s="757">
        <f t="shared" si="1345"/>
      </c>
      <c r="BC746" s="757">
        <f t="shared" si="1345"/>
      </c>
      <c r="BD746" s="962">
        <f t="shared" si="1345"/>
      </c>
      <c r="BE746" s="757">
        <f t="shared" ref="BE746:BI746" si="1346">BE745+BE728+BE729</f>
      </c>
      <c r="BF746" s="757">
        <f t="shared" si="1346"/>
      </c>
      <c r="BG746" s="757">
        <f t="shared" si="1346"/>
      </c>
      <c r="BH746" s="757">
        <f t="shared" si="1346"/>
      </c>
      <c r="BI746" s="962">
        <f t="shared" si="1346"/>
      </c>
      <c r="BJ746" s="757">
        <f t="shared" ref="BJ746:BX746" si="1347">BJ745+BJ728+BJ729</f>
      </c>
      <c r="BK746" s="757">
        <f t="shared" si="1347"/>
      </c>
      <c r="BL746" s="757">
        <f t="shared" si="1347"/>
      </c>
      <c r="BM746" s="757">
        <f t="shared" si="1347"/>
      </c>
      <c r="BN746" s="962">
        <f t="shared" si="1347"/>
      </c>
      <c r="BO746" s="757">
        <f t="shared" ref="BO746:BW746" si="1348">BO745+BO728+BO729</f>
      </c>
      <c r="BP746" s="757">
        <f t="shared" si="1348"/>
      </c>
      <c r="BQ746" s="757">
        <f t="shared" si="1348"/>
      </c>
      <c r="BR746" s="757">
        <f t="shared" si="1348"/>
      </c>
      <c r="BS746" s="962">
        <f t="shared" si="1348"/>
      </c>
      <c r="BT746" s="758">
        <f>BT745+BT728+BT729</f>
      </c>
      <c r="BU746" s="757">
        <f t="shared" si="1348"/>
      </c>
      <c r="BV746" s="757">
        <f t="shared" si="1348"/>
      </c>
      <c r="BW746" s="757">
        <f t="shared" si="1348"/>
      </c>
      <c r="BX746" s="962">
        <f t="shared" si="1347"/>
      </c>
      <c r="BY746" s="757">
        <f t="shared" ref="BY746:CF746" si="1349">BY745+BY728+BY729</f>
      </c>
      <c r="BZ746" s="757">
        <f t="shared" si="1349"/>
      </c>
      <c r="CA746" s="757">
        <f t="shared" si="1349"/>
      </c>
      <c r="CB746" s="757">
        <f t="shared" si="1349"/>
      </c>
      <c r="CC746" s="962">
        <f t="shared" si="1349"/>
      </c>
      <c r="CD746" s="962">
        <f t="shared" si="1349"/>
      </c>
      <c r="CE746" s="962">
        <f t="shared" si="1349"/>
      </c>
      <c r="CF746" s="962">
        <f t="shared" si="1349"/>
      </c>
      <c r="CG746" s="757"/>
    </row>
    <row r="747" spans="1:85" x14ac:dyDescent="0.3">
      <c r="A747" s="759" t="s">
        <v>915</v>
      </c>
      <c r="B747" s="428"/>
      <c r="C747" s="969">
        <f t="shared" ref="C747:AH747" si="1350">C746+C733+C734</f>
      </c>
      <c r="D747" s="969">
        <f t="shared" si="1350"/>
      </c>
      <c r="E747" s="969">
        <f t="shared" si="1350"/>
      </c>
      <c r="F747" s="969">
        <f t="shared" si="1350"/>
      </c>
      <c r="G747" s="759">
        <f t="shared" si="1350"/>
      </c>
      <c r="H747" s="759">
        <f t="shared" si="1350"/>
      </c>
      <c r="I747" s="759">
        <f t="shared" si="1350"/>
      </c>
      <c r="J747" s="759">
        <f t="shared" si="1350"/>
      </c>
      <c r="K747" s="969">
        <f t="shared" si="1350"/>
      </c>
      <c r="L747" s="759">
        <f t="shared" si="1350"/>
      </c>
      <c r="M747" s="759">
        <f t="shared" si="1350"/>
      </c>
      <c r="N747" s="759">
        <f t="shared" si="1350"/>
      </c>
      <c r="O747" s="759">
        <f t="shared" si="1350"/>
      </c>
      <c r="P747" s="969">
        <f t="shared" si="1350"/>
      </c>
      <c r="Q747" s="759">
        <f t="shared" si="1350"/>
      </c>
      <c r="R747" s="759">
        <f t="shared" si="1350"/>
      </c>
      <c r="S747" s="759">
        <f t="shared" si="1350"/>
      </c>
      <c r="T747" s="759">
        <f t="shared" si="1350"/>
      </c>
      <c r="U747" s="969">
        <f t="shared" si="1350"/>
      </c>
      <c r="V747" s="759">
        <f t="shared" si="1350"/>
      </c>
      <c r="W747" s="759">
        <f t="shared" si="1350"/>
      </c>
      <c r="X747" s="759">
        <f t="shared" si="1350"/>
      </c>
      <c r="Y747" s="759">
        <f t="shared" si="1350"/>
      </c>
      <c r="Z747" s="969">
        <f t="shared" si="1350"/>
      </c>
      <c r="AA747" s="759">
        <f t="shared" si="1350"/>
      </c>
      <c r="AB747" s="759">
        <f t="shared" si="1350"/>
      </c>
      <c r="AC747" s="759">
        <f t="shared" si="1350"/>
      </c>
      <c r="AD747" s="759">
        <f t="shared" si="1350"/>
      </c>
      <c r="AE747" s="969">
        <f t="shared" si="1350"/>
      </c>
      <c r="AF747" s="759">
        <f t="shared" si="1350"/>
      </c>
      <c r="AG747" s="759">
        <f t="shared" si="1350"/>
      </c>
      <c r="AH747" s="759">
        <f t="shared" si="1350"/>
      </c>
      <c r="AI747" s="759">
        <f t="shared" ref="AI747:BD747" si="1351">AI746+AI733+AI734</f>
      </c>
      <c r="AJ747" s="969">
        <f t="shared" si="1351"/>
      </c>
      <c r="AK747" s="759">
        <f t="shared" si="1351"/>
      </c>
      <c r="AL747" s="759">
        <f t="shared" si="1351"/>
      </c>
      <c r="AM747" s="759">
        <f t="shared" si="1351"/>
      </c>
      <c r="AN747" s="759">
        <f t="shared" si="1351"/>
      </c>
      <c r="AO747" s="969">
        <f t="shared" si="1351"/>
      </c>
      <c r="AP747" s="759">
        <f t="shared" si="1351"/>
      </c>
      <c r="AQ747" s="759">
        <f t="shared" si="1351"/>
      </c>
      <c r="AR747" s="759">
        <f t="shared" si="1351"/>
      </c>
      <c r="AS747" s="759">
        <f t="shared" si="1351"/>
      </c>
      <c r="AT747" s="969">
        <f t="shared" si="1351"/>
      </c>
      <c r="AU747" s="759">
        <f t="shared" si="1351"/>
      </c>
      <c r="AV747" s="759">
        <f t="shared" si="1351"/>
      </c>
      <c r="AW747" s="759">
        <f t="shared" si="1351"/>
      </c>
      <c r="AX747" s="759">
        <f t="shared" si="1351"/>
      </c>
      <c r="AY747" s="969">
        <f t="shared" si="1351"/>
      </c>
      <c r="AZ747" s="759">
        <f t="shared" si="1351"/>
      </c>
      <c r="BA747" s="759">
        <f t="shared" si="1351"/>
      </c>
      <c r="BB747" s="759">
        <f t="shared" si="1351"/>
      </c>
      <c r="BC747" s="759">
        <f t="shared" si="1351"/>
      </c>
      <c r="BD747" s="969">
        <f t="shared" si="1351"/>
      </c>
      <c r="BE747" s="759">
        <f t="shared" ref="BE747:BI747" si="1352">BE746+BE733+BE734</f>
      </c>
      <c r="BF747" s="759">
        <f t="shared" si="1352"/>
      </c>
      <c r="BG747" s="759">
        <f t="shared" si="1352"/>
      </c>
      <c r="BH747" s="759">
        <f t="shared" si="1352"/>
      </c>
      <c r="BI747" s="969">
        <f t="shared" si="1352"/>
      </c>
      <c r="BJ747" s="759">
        <f t="shared" ref="BJ747:BX747" si="1353">BJ746+BJ733+BJ734</f>
      </c>
      <c r="BK747" s="759">
        <f t="shared" si="1353"/>
      </c>
      <c r="BL747" s="759">
        <f t="shared" si="1353"/>
      </c>
      <c r="BM747" s="759">
        <f t="shared" si="1353"/>
      </c>
      <c r="BN747" s="969">
        <f t="shared" si="1353"/>
      </c>
      <c r="BO747" s="759">
        <f t="shared" ref="BO747:BW747" si="1354">BO746+BO733+BO734</f>
      </c>
      <c r="BP747" s="759">
        <f t="shared" si="1354"/>
      </c>
      <c r="BQ747" s="759">
        <f t="shared" si="1354"/>
      </c>
      <c r="BR747" s="759">
        <f t="shared" si="1354"/>
      </c>
      <c r="BS747" s="969">
        <f t="shared" si="1354"/>
      </c>
      <c r="BT747" s="760">
        <f>BT746+BT733+BT734</f>
      </c>
      <c r="BU747" s="759">
        <f t="shared" si="1354"/>
      </c>
      <c r="BV747" s="759">
        <f t="shared" si="1354"/>
      </c>
      <c r="BW747" s="759">
        <f t="shared" si="1354"/>
      </c>
      <c r="BX747" s="969">
        <f t="shared" si="1353"/>
      </c>
      <c r="BY747" s="759">
        <f t="shared" ref="BY747:CF747" si="1355">BY746+BY733+BY734</f>
      </c>
      <c r="BZ747" s="759">
        <f t="shared" si="1355"/>
      </c>
      <c r="CA747" s="759">
        <f t="shared" si="1355"/>
      </c>
      <c r="CB747" s="759">
        <f t="shared" si="1355"/>
      </c>
      <c r="CC747" s="969">
        <f t="shared" si="1355"/>
      </c>
      <c r="CD747" s="969">
        <f t="shared" si="1355"/>
      </c>
      <c r="CE747" s="969">
        <f t="shared" si="1355"/>
      </c>
      <c r="CF747" s="969">
        <f t="shared" si="1355"/>
      </c>
      <c r="CG747" s="757"/>
    </row>
    <row r="748" spans="1:85" x14ac:dyDescent="0.3">
      <c r="A748" s="757"/>
      <c r="B748" s="414"/>
      <c r="C748" s="962"/>
      <c r="D748" s="962"/>
      <c r="E748" s="962"/>
      <c r="F748" s="962"/>
      <c r="G748" s="757"/>
      <c r="H748" s="757"/>
      <c r="I748" s="757"/>
      <c r="J748" s="757"/>
      <c r="K748" s="962"/>
      <c r="L748" s="757"/>
      <c r="M748" s="757"/>
      <c r="N748" s="757"/>
      <c r="O748" s="757"/>
      <c r="P748" s="962"/>
      <c r="Q748" s="757"/>
      <c r="R748" s="757"/>
      <c r="S748" s="757"/>
      <c r="T748" s="757"/>
      <c r="U748" s="962"/>
      <c r="V748" s="757"/>
      <c r="W748" s="757"/>
      <c r="X748" s="757"/>
      <c r="Y748" s="757"/>
      <c r="Z748" s="962"/>
      <c r="AA748" s="757"/>
      <c r="AB748" s="757"/>
      <c r="AC748" s="757"/>
      <c r="AD748" s="757"/>
      <c r="AE748" s="962"/>
      <c r="AF748" s="757"/>
      <c r="AG748" s="757"/>
      <c r="AH748" s="757"/>
      <c r="AI748" s="757"/>
      <c r="AJ748" s="962"/>
      <c r="AK748" s="757"/>
      <c r="AL748" s="757"/>
      <c r="AM748" s="757"/>
      <c r="AN748" s="757"/>
      <c r="AO748" s="962"/>
      <c r="AP748" s="757"/>
      <c r="AQ748" s="757"/>
      <c r="AR748" s="757"/>
      <c r="AS748" s="757"/>
      <c r="AT748" s="962"/>
      <c r="AU748" s="757"/>
      <c r="AV748" s="757"/>
      <c r="AW748" s="757"/>
      <c r="AX748" s="757"/>
      <c r="AY748" s="962"/>
      <c r="AZ748" s="757"/>
      <c r="BA748" s="757"/>
      <c r="BB748" s="757"/>
      <c r="BC748" s="757"/>
      <c r="BD748" s="962"/>
      <c r="BE748" s="757"/>
      <c r="BF748" s="757"/>
      <c r="BG748" s="757"/>
      <c r="BH748" s="757"/>
      <c r="BI748" s="962"/>
      <c r="BJ748" s="757"/>
      <c r="BK748" s="757"/>
      <c r="BL748" s="757"/>
      <c r="BM748" s="757"/>
      <c r="BN748" s="962"/>
      <c r="BO748" s="757"/>
      <c r="BP748" s="757"/>
      <c r="BQ748" s="757"/>
      <c r="BR748" s="757"/>
      <c r="BS748" s="962"/>
      <c r="BT748" s="758"/>
      <c r="BU748" s="757"/>
      <c r="BV748" s="757"/>
      <c r="BW748" s="757"/>
      <c r="BX748" s="962"/>
      <c r="BY748" s="757"/>
      <c r="BZ748" s="757"/>
      <c r="CA748" s="757"/>
      <c r="CB748" s="757"/>
      <c r="CC748" s="962"/>
      <c r="CD748" s="962"/>
      <c r="CE748" s="962"/>
      <c r="CF748" s="962"/>
      <c r="CG748" s="459"/>
    </row>
    <row r="749" spans="1:85" x14ac:dyDescent="0.3">
      <c r="A749" s="754" t="s">
        <v>113</v>
      </c>
      <c r="B749" s="754"/>
      <c r="C749" s="754"/>
      <c r="D749" s="754"/>
      <c r="E749" s="754"/>
      <c r="F749" s="754"/>
      <c r="G749" s="754"/>
      <c r="H749" s="754"/>
      <c r="I749" s="754"/>
      <c r="J749" s="754"/>
      <c r="K749" s="754"/>
      <c r="L749" s="754"/>
      <c r="M749" s="754"/>
      <c r="N749" s="754"/>
      <c r="O749" s="754"/>
      <c r="P749" s="754"/>
      <c r="Q749" s="754"/>
      <c r="R749" s="754"/>
      <c r="S749" s="754"/>
      <c r="T749" s="754"/>
      <c r="U749" s="754"/>
      <c r="V749" s="754"/>
      <c r="W749" s="754"/>
      <c r="X749" s="754"/>
      <c r="Y749" s="754"/>
      <c r="Z749" s="754"/>
      <c r="AA749" s="754"/>
      <c r="AB749" s="754"/>
      <c r="AC749" s="754"/>
      <c r="AD749" s="754"/>
      <c r="AE749" s="754"/>
      <c r="AF749" s="754"/>
      <c r="AG749" s="754"/>
      <c r="AH749" s="754"/>
      <c r="AI749" s="754"/>
      <c r="AJ749" s="754"/>
      <c r="AK749" s="754"/>
      <c r="AL749" s="754"/>
      <c r="AM749" s="754"/>
      <c r="AN749" s="754"/>
      <c r="AO749" s="754"/>
      <c r="AP749" s="754"/>
      <c r="AQ749" s="754"/>
      <c r="AR749" s="754"/>
      <c r="AS749" s="754"/>
      <c r="AT749" s="754"/>
      <c r="AU749" s="754"/>
      <c r="AV749" s="754"/>
      <c r="AW749" s="754"/>
      <c r="AX749" s="754"/>
      <c r="AY749" s="754"/>
      <c r="AZ749" s="754"/>
      <c r="BA749" s="754"/>
      <c r="BB749" s="754"/>
      <c r="BC749" s="754"/>
      <c r="BD749" s="754"/>
      <c r="BE749" s="754"/>
      <c r="BF749" s="754"/>
      <c r="BG749" s="754"/>
      <c r="BH749" s="754"/>
      <c r="BI749" s="754"/>
      <c r="BJ749" s="754"/>
      <c r="BK749" s="754"/>
      <c r="BL749" s="754"/>
      <c r="BM749" s="754"/>
      <c r="BN749" s="754"/>
      <c r="BO749" s="754"/>
      <c r="BP749" s="754"/>
      <c r="BQ749" s="754"/>
      <c r="BR749" s="754"/>
      <c r="BS749" s="754"/>
      <c r="BT749" s="755"/>
      <c r="BU749" s="754"/>
      <c r="BV749" s="754"/>
      <c r="BW749" s="754"/>
      <c r="BX749" s="754"/>
      <c r="BY749" s="754"/>
      <c r="BZ749" s="754"/>
      <c r="CA749" s="754"/>
      <c r="CB749" s="754"/>
      <c r="CC749" s="754"/>
      <c r="CD749" s="754"/>
      <c r="CE749" s="754"/>
      <c r="CF749" s="754"/>
      <c r="CG749" s="183"/>
    </row>
    <row r="750" spans="1:85" x14ac:dyDescent="0.3">
      <c r="A750" s="459" t="s">
        <v>114</v>
      </c>
      <c r="B750" s="414"/>
      <c r="C750" s="964">
        <f t="shared" ref="C750:BC750" si="1356">C1198+C1199+C1205</f>
      </c>
      <c r="D750" s="964">
        <f t="shared" si="1356"/>
      </c>
      <c r="E750" s="964">
        <f t="shared" si="1356"/>
      </c>
      <c r="F750" s="964">
        <f t="shared" si="1356"/>
      </c>
      <c r="G750" s="459">
        <f t="shared" si="1356"/>
      </c>
      <c r="H750" s="459">
        <f t="shared" si="1356"/>
      </c>
      <c r="I750" s="459">
        <f t="shared" si="1356"/>
      </c>
      <c r="J750" s="459">
        <f t="shared" si="1356"/>
      </c>
      <c r="K750" s="964">
        <f t="shared" si="1356"/>
      </c>
      <c r="L750" s="459">
        <f t="shared" si="1356"/>
      </c>
      <c r="M750" s="459">
        <f t="shared" si="1356"/>
      </c>
      <c r="N750" s="459">
        <f t="shared" si="1356"/>
      </c>
      <c r="O750" s="459">
        <f t="shared" si="1356"/>
      </c>
      <c r="P750" s="964">
        <f t="shared" si="1356"/>
      </c>
      <c r="Q750" s="459">
        <f t="shared" si="1356"/>
      </c>
      <c r="R750" s="459">
        <f t="shared" si="1356"/>
      </c>
      <c r="S750" s="459">
        <f t="shared" si="1356"/>
      </c>
      <c r="T750" s="459">
        <f t="shared" si="1356"/>
      </c>
      <c r="U750" s="964">
        <f t="shared" si="1356"/>
      </c>
      <c r="V750" s="459">
        <f t="shared" si="1356"/>
      </c>
      <c r="W750" s="459">
        <f t="shared" si="1356"/>
      </c>
      <c r="X750" s="459">
        <f t="shared" si="1356"/>
      </c>
      <c r="Y750" s="757">
        <f t="shared" si="1356"/>
      </c>
      <c r="Z750" s="962">
        <f t="shared" si="1356"/>
      </c>
      <c r="AA750" s="459">
        <f t="shared" si="1356"/>
      </c>
      <c r="AB750" s="459">
        <f t="shared" si="1356"/>
      </c>
      <c r="AC750" s="459">
        <f t="shared" si="1356"/>
      </c>
      <c r="AD750" s="757">
        <f t="shared" si="1356"/>
      </c>
      <c r="AE750" s="962">
        <f t="shared" si="1356"/>
      </c>
      <c r="AF750" s="459">
        <f t="shared" si="1356"/>
      </c>
      <c r="AG750" s="459">
        <f t="shared" si="1356"/>
      </c>
      <c r="AH750" s="459">
        <f t="shared" si="1356"/>
      </c>
      <c r="AI750" s="757">
        <f t="shared" si="1356"/>
      </c>
      <c r="AJ750" s="962">
        <f t="shared" si="1356"/>
      </c>
      <c r="AK750" s="459">
        <f t="shared" si="1356"/>
      </c>
      <c r="AL750" s="459">
        <f t="shared" si="1356"/>
      </c>
      <c r="AM750" s="459">
        <f t="shared" si="1356"/>
      </c>
      <c r="AN750" s="757">
        <f t="shared" si="1356"/>
      </c>
      <c r="AO750" s="962">
        <f t="shared" si="1356"/>
      </c>
      <c r="AP750" s="459">
        <f t="shared" si="1356"/>
      </c>
      <c r="AQ750" s="459">
        <f t="shared" si="1356"/>
      </c>
      <c r="AR750" s="459">
        <f t="shared" si="1356"/>
      </c>
      <c r="AS750" s="757">
        <f t="shared" si="1356"/>
      </c>
      <c r="AT750" s="962">
        <f t="shared" si="1356"/>
      </c>
      <c r="AU750" s="459">
        <f t="shared" si="1356"/>
      </c>
      <c r="AV750" s="459">
        <f t="shared" si="1356"/>
      </c>
      <c r="AW750" s="459">
        <f t="shared" si="1356"/>
      </c>
      <c r="AX750" s="757">
        <f t="shared" si="1356"/>
      </c>
      <c r="AY750" s="962">
        <f t="shared" si="1356"/>
      </c>
      <c r="AZ750" s="459">
        <f t="shared" si="1356"/>
      </c>
      <c r="BA750" s="459">
        <f t="shared" si="1356"/>
      </c>
      <c r="BB750" s="459">
        <f t="shared" si="1356"/>
      </c>
      <c r="BC750" s="757">
        <f t="shared" si="1356"/>
      </c>
      <c r="BD750" s="962">
        <f t="shared" ref="BD750:BI750" si="1357">BD1198+BD1199+BD1205</f>
      </c>
      <c r="BE750" s="459">
        <f t="shared" si="1357"/>
      </c>
      <c r="BF750" s="459">
        <f t="shared" si="1357"/>
      </c>
      <c r="BG750" s="459">
        <f t="shared" si="1357"/>
      </c>
      <c r="BH750" s="757">
        <f t="shared" si="1357"/>
      </c>
      <c r="BI750" s="962">
        <f t="shared" si="1357"/>
      </c>
      <c r="BJ750" s="459">
        <f t="shared" ref="BJ750:BX750" si="1358">BJ1198+BJ1199+BJ1205</f>
      </c>
      <c r="BK750" s="459">
        <f t="shared" si="1358"/>
      </c>
      <c r="BL750" s="459">
        <f t="shared" si="1358"/>
      </c>
      <c r="BM750" s="757">
        <f t="shared" si="1358"/>
      </c>
      <c r="BN750" s="962">
        <f t="shared" si="1358"/>
      </c>
      <c r="BO750" s="459">
        <f t="shared" ref="BO750:BW750" si="1359">BO1198+BO1199+BO1205</f>
      </c>
      <c r="BP750" s="459">
        <f t="shared" si="1359"/>
      </c>
      <c r="BQ750" s="459">
        <f t="shared" si="1359"/>
      </c>
      <c r="BR750" s="757">
        <f t="shared" si="1359"/>
      </c>
      <c r="BS750" s="962">
        <f t="shared" si="1359"/>
      </c>
      <c r="BT750" s="795">
        <f>BT1198+BT1199+BT1205</f>
      </c>
      <c r="BU750" s="757">
        <f t="shared" si="1359"/>
      </c>
      <c r="BV750" s="757">
        <f t="shared" si="1359"/>
      </c>
      <c r="BW750" s="757">
        <f t="shared" si="1359"/>
      </c>
      <c r="BX750" s="962">
        <f t="shared" si="1358"/>
      </c>
      <c r="BY750" s="757">
        <f t="shared" ref="BY750:CF750" si="1360">BY1198+BY1199+BY1205</f>
      </c>
      <c r="BZ750" s="757">
        <f t="shared" si="1360"/>
      </c>
      <c r="CA750" s="757">
        <f t="shared" si="1360"/>
      </c>
      <c r="CB750" s="757">
        <f t="shared" si="1360"/>
      </c>
      <c r="CC750" s="962">
        <f t="shared" si="1360"/>
      </c>
      <c r="CD750" s="962">
        <f t="shared" si="1360"/>
      </c>
      <c r="CE750" s="962">
        <f t="shared" si="1360"/>
      </c>
      <c r="CF750" s="962">
        <f t="shared" si="1360"/>
      </c>
      <c r="CG750" s="459"/>
    </row>
    <row r="751" spans="1:85" x14ac:dyDescent="0.3">
      <c r="A751" s="436" t="s">
        <v>466</v>
      </c>
      <c r="B751" s="414"/>
      <c r="C751" s="962">
        <f t="shared" ref="C751:AQ751" si="1361">C1231+C1232</f>
      </c>
      <c r="D751" s="962">
        <f t="shared" si="1361"/>
      </c>
      <c r="E751" s="962">
        <f t="shared" si="1361"/>
      </c>
      <c r="F751" s="962">
        <f t="shared" si="1361"/>
      </c>
      <c r="G751" s="757">
        <f t="shared" si="1361"/>
      </c>
      <c r="H751" s="757">
        <f t="shared" si="1361"/>
      </c>
      <c r="I751" s="757">
        <f t="shared" si="1361"/>
      </c>
      <c r="J751" s="757">
        <f t="shared" si="1361"/>
      </c>
      <c r="K751" s="962">
        <f t="shared" si="1361"/>
      </c>
      <c r="L751" s="757">
        <f t="shared" si="1361"/>
      </c>
      <c r="M751" s="757">
        <f t="shared" si="1361"/>
      </c>
      <c r="N751" s="757">
        <f t="shared" si="1361"/>
      </c>
      <c r="O751" s="757">
        <f t="shared" si="1361"/>
      </c>
      <c r="P751" s="962">
        <f t="shared" si="1361"/>
      </c>
      <c r="Q751" s="757">
        <f t="shared" si="1361"/>
      </c>
      <c r="R751" s="757">
        <f t="shared" si="1361"/>
      </c>
      <c r="S751" s="757">
        <f t="shared" si="1361"/>
      </c>
      <c r="T751" s="757">
        <f t="shared" si="1361"/>
      </c>
      <c r="U751" s="962">
        <f t="shared" si="1361"/>
      </c>
      <c r="V751" s="757">
        <f t="shared" si="1361"/>
      </c>
      <c r="W751" s="757">
        <f t="shared" si="1361"/>
      </c>
      <c r="X751" s="757">
        <f t="shared" si="1361"/>
      </c>
      <c r="Y751" s="757">
        <f t="shared" si="1361"/>
      </c>
      <c r="Z751" s="962">
        <f t="shared" si="1361"/>
      </c>
      <c r="AA751" s="757">
        <f t="shared" si="1361"/>
      </c>
      <c r="AB751" s="757">
        <f t="shared" si="1361"/>
      </c>
      <c r="AC751" s="757">
        <f t="shared" si="1361"/>
      </c>
      <c r="AD751" s="757">
        <f t="shared" si="1361"/>
      </c>
      <c r="AE751" s="962">
        <f t="shared" si="1361"/>
      </c>
      <c r="AF751" s="757">
        <f t="shared" si="1361"/>
      </c>
      <c r="AG751" s="757">
        <f t="shared" si="1361"/>
      </c>
      <c r="AH751" s="757">
        <f t="shared" si="1361"/>
      </c>
      <c r="AI751" s="757">
        <f t="shared" si="1361"/>
      </c>
      <c r="AJ751" s="962">
        <f t="shared" si="1361"/>
      </c>
      <c r="AK751" s="757">
        <f t="shared" si="1361"/>
      </c>
      <c r="AL751" s="757">
        <f t="shared" si="1361"/>
      </c>
      <c r="AM751" s="757">
        <f t="shared" si="1361"/>
      </c>
      <c r="AN751" s="757">
        <f t="shared" si="1361"/>
      </c>
      <c r="AO751" s="962">
        <f t="shared" si="1361"/>
      </c>
      <c r="AP751" s="757">
        <f t="shared" si="1361"/>
      </c>
      <c r="AQ751" s="757">
        <f t="shared" si="1361"/>
      </c>
      <c r="AR751" s="757">
        <f>AR1231+AR1232</f>
      </c>
      <c r="AS751" s="757">
        <f>AS1231+AS1232</f>
      </c>
      <c r="AT751" s="962">
        <f>AT1231+AT1232</f>
      </c>
      <c r="AU751" s="757">
        <f t="shared" ref="AU751" si="1362">AU1231+AU1232</f>
      </c>
      <c r="AV751" s="757">
        <f t="shared" ref="AV751:BA751" si="1363">AV1231+AV1232</f>
      </c>
      <c r="AW751" s="757">
        <f t="shared" si="1363"/>
      </c>
      <c r="AX751" s="757">
        <f t="shared" si="1363"/>
      </c>
      <c r="AY751" s="962">
        <f t="shared" si="1363"/>
      </c>
      <c r="AZ751" s="757">
        <f t="shared" si="1363"/>
      </c>
      <c r="BA751" s="757">
        <f t="shared" si="1363"/>
      </c>
      <c r="BB751" s="757">
        <f t="shared" ref="BB751:BG751" si="1364">BB1231+BB1232</f>
      </c>
      <c r="BC751" s="757">
        <f t="shared" si="1364"/>
      </c>
      <c r="BD751" s="962">
        <f t="shared" si="1364"/>
      </c>
      <c r="BE751" s="757">
        <f t="shared" si="1364"/>
      </c>
      <c r="BF751" s="757">
        <f t="shared" si="1364"/>
      </c>
      <c r="BG751" s="757">
        <f t="shared" si="1364"/>
      </c>
      <c r="BH751" s="757">
        <f t="shared" ref="BH751:BN751" si="1365">BH1231+BH1232</f>
      </c>
      <c r="BI751" s="962">
        <f t="shared" si="1365"/>
      </c>
      <c r="BJ751" s="757">
        <f t="shared" si="1365"/>
      </c>
      <c r="BK751" s="757">
        <f t="shared" si="1365"/>
      </c>
      <c r="BL751" s="757">
        <f t="shared" si="1365"/>
      </c>
      <c r="BM751" s="757">
        <f t="shared" si="1365"/>
      </c>
      <c r="BN751" s="962">
        <f t="shared" si="1365"/>
      </c>
      <c r="BO751" s="757">
        <f t="shared" ref="BO751:BT751" si="1366">BO1231+BO1232</f>
      </c>
      <c r="BP751" s="757">
        <f t="shared" si="1366"/>
      </c>
      <c r="BQ751" s="757">
        <f t="shared" si="1366"/>
      </c>
      <c r="BR751" s="757">
        <f t="shared" si="1366"/>
      </c>
      <c r="BS751" s="962">
        <f t="shared" si="1366"/>
      </c>
      <c r="BT751" s="758">
        <f t="shared" si="1366"/>
      </c>
      <c r="BU751" s="757">
        <f>-BU838</f>
      </c>
      <c r="BV751" s="757">
        <f>-BV838</f>
      </c>
      <c r="BW751" s="757">
        <f>-BW838</f>
      </c>
      <c r="BX751" s="962">
        <f>BX1231+BX1232</f>
      </c>
      <c r="BY751" s="757">
        <f>-BY838</f>
      </c>
      <c r="BZ751" s="757">
        <f>-BZ838</f>
      </c>
      <c r="CA751" s="757">
        <f>-CA838</f>
      </c>
      <c r="CB751" s="757">
        <f>-CB838</f>
      </c>
      <c r="CC751" s="962">
        <f>CC1231+CC1232</f>
      </c>
      <c r="CD751" s="962">
        <f>-CD838</f>
      </c>
      <c r="CE751" s="962">
        <f>-CE838</f>
      </c>
      <c r="CF751" s="962">
        <f>-CF838</f>
      </c>
      <c r="CG751" s="459"/>
    </row>
    <row r="752" spans="1:85" x14ac:dyDescent="0.3">
      <c r="A752" s="554" t="s">
        <v>467</v>
      </c>
      <c r="B752" s="416"/>
      <c r="C752" s="984">
        <f t="shared" ref="C752:AQ752" si="1367">C1238+C1239</f>
      </c>
      <c r="D752" s="984">
        <f t="shared" si="1367"/>
      </c>
      <c r="E752" s="984">
        <f t="shared" si="1367"/>
      </c>
      <c r="F752" s="984">
        <f t="shared" si="1367"/>
      </c>
      <c r="G752" s="761">
        <f t="shared" si="1367"/>
      </c>
      <c r="H752" s="761">
        <f t="shared" si="1367"/>
      </c>
      <c r="I752" s="761">
        <f t="shared" si="1367"/>
      </c>
      <c r="J752" s="761">
        <f t="shared" si="1367"/>
      </c>
      <c r="K752" s="984">
        <f t="shared" si="1367"/>
      </c>
      <c r="L752" s="761">
        <f t="shared" si="1367"/>
      </c>
      <c r="M752" s="761">
        <f t="shared" si="1367"/>
      </c>
      <c r="N752" s="761">
        <f t="shared" si="1367"/>
      </c>
      <c r="O752" s="761">
        <f t="shared" si="1367"/>
      </c>
      <c r="P752" s="984">
        <f t="shared" si="1367"/>
      </c>
      <c r="Q752" s="761">
        <f t="shared" si="1367"/>
      </c>
      <c r="R752" s="761">
        <f t="shared" si="1367"/>
      </c>
      <c r="S752" s="761">
        <f t="shared" si="1367"/>
      </c>
      <c r="T752" s="761">
        <f t="shared" si="1367"/>
      </c>
      <c r="U752" s="984">
        <f t="shared" si="1367"/>
      </c>
      <c r="V752" s="761">
        <f t="shared" si="1367"/>
      </c>
      <c r="W752" s="761">
        <f t="shared" si="1367"/>
      </c>
      <c r="X752" s="761">
        <f t="shared" si="1367"/>
      </c>
      <c r="Y752" s="761">
        <f t="shared" si="1367"/>
      </c>
      <c r="Z752" s="984">
        <f t="shared" si="1367"/>
      </c>
      <c r="AA752" s="761">
        <f t="shared" si="1367"/>
      </c>
      <c r="AB752" s="761">
        <f t="shared" si="1367"/>
      </c>
      <c r="AC752" s="761">
        <f t="shared" si="1367"/>
      </c>
      <c r="AD752" s="761">
        <f t="shared" si="1367"/>
      </c>
      <c r="AE752" s="984">
        <f t="shared" si="1367"/>
      </c>
      <c r="AF752" s="761">
        <f t="shared" si="1367"/>
      </c>
      <c r="AG752" s="761">
        <f t="shared" si="1367"/>
      </c>
      <c r="AH752" s="761">
        <f t="shared" si="1367"/>
      </c>
      <c r="AI752" s="761">
        <f t="shared" si="1367"/>
      </c>
      <c r="AJ752" s="984">
        <f t="shared" si="1367"/>
      </c>
      <c r="AK752" s="761">
        <f t="shared" si="1367"/>
      </c>
      <c r="AL752" s="761">
        <f t="shared" si="1367"/>
      </c>
      <c r="AM752" s="761">
        <f t="shared" si="1367"/>
      </c>
      <c r="AN752" s="761">
        <f t="shared" si="1367"/>
      </c>
      <c r="AO752" s="984">
        <f t="shared" si="1367"/>
      </c>
      <c r="AP752" s="761">
        <f t="shared" si="1367"/>
      </c>
      <c r="AQ752" s="761">
        <f t="shared" si="1367"/>
      </c>
      <c r="AR752" s="761">
        <f>AR1238+AR1239</f>
      </c>
      <c r="AS752" s="761">
        <f>AS1238+AS1239</f>
      </c>
      <c r="AT752" s="984">
        <f>AT1238+AT1239</f>
      </c>
      <c r="AU752" s="761">
        <f t="shared" ref="AU752" si="1368">AU1238+AU1239</f>
      </c>
      <c r="AV752" s="761">
        <f t="shared" ref="AV752:BA752" si="1369">AV1238+AV1239</f>
      </c>
      <c r="AW752" s="761">
        <f t="shared" si="1369"/>
      </c>
      <c r="AX752" s="761">
        <f t="shared" si="1369"/>
      </c>
      <c r="AY752" s="984">
        <f t="shared" si="1369"/>
      </c>
      <c r="AZ752" s="761">
        <f t="shared" si="1369"/>
      </c>
      <c r="BA752" s="761">
        <f t="shared" si="1369"/>
      </c>
      <c r="BB752" s="761">
        <f t="shared" ref="BB752:BG752" si="1370">BB1238+BB1239</f>
      </c>
      <c r="BC752" s="761">
        <f t="shared" si="1370"/>
      </c>
      <c r="BD752" s="984">
        <f t="shared" si="1370"/>
      </c>
      <c r="BE752" s="761">
        <f t="shared" si="1370"/>
      </c>
      <c r="BF752" s="761">
        <f t="shared" si="1370"/>
      </c>
      <c r="BG752" s="761">
        <f t="shared" si="1370"/>
      </c>
      <c r="BH752" s="761">
        <f t="shared" ref="BH752:BN752" si="1371">BH1238+BH1239</f>
      </c>
      <c r="BI752" s="984">
        <f t="shared" si="1371"/>
      </c>
      <c r="BJ752" s="761">
        <f t="shared" si="1371"/>
      </c>
      <c r="BK752" s="761">
        <f t="shared" si="1371"/>
      </c>
      <c r="BL752" s="761">
        <f t="shared" si="1371"/>
      </c>
      <c r="BM752" s="761">
        <f t="shared" si="1371"/>
      </c>
      <c r="BN752" s="984">
        <f t="shared" si="1371"/>
      </c>
      <c r="BO752" s="761">
        <f t="shared" ref="BO752:BT752" si="1372">BO1238+BO1239</f>
      </c>
      <c r="BP752" s="761">
        <f t="shared" si="1372"/>
      </c>
      <c r="BQ752" s="761">
        <f t="shared" si="1372"/>
      </c>
      <c r="BR752" s="761">
        <f t="shared" si="1372"/>
      </c>
      <c r="BS752" s="984">
        <f t="shared" si="1372"/>
      </c>
      <c r="BT752" s="762">
        <f t="shared" si="1372"/>
      </c>
      <c r="BU752" s="761">
        <f>BU753-BU751</f>
      </c>
      <c r="BV752" s="761">
        <f>BV753-BV751</f>
      </c>
      <c r="BW752" s="761">
        <f>BW753-BW751</f>
      </c>
      <c r="BX752" s="984">
        <f>BX1238+BX1239</f>
      </c>
      <c r="BY752" s="761">
        <f>BY753-BY751</f>
      </c>
      <c r="BZ752" s="761">
        <f>BZ753-BZ751</f>
      </c>
      <c r="CA752" s="761">
        <f>CA753-CA751</f>
      </c>
      <c r="CB752" s="761">
        <f>CB753-CB751</f>
      </c>
      <c r="CC752" s="984">
        <f>CC1238+CC1239</f>
      </c>
      <c r="CD752" s="984">
        <f>CD753-CD751</f>
      </c>
      <c r="CE752" s="984">
        <f>CE753-CE751</f>
      </c>
      <c r="CF752" s="984">
        <f>CF753-CF751</f>
      </c>
      <c r="CG752" s="459"/>
    </row>
    <row r="753" spans="1:85" x14ac:dyDescent="0.3">
      <c r="A753" s="555" t="s">
        <v>115</v>
      </c>
      <c r="B753" s="419"/>
      <c r="C753" s="1008">
        <f t="shared" ref="C753:AQ753" si="1373">C1231+C1238+C1239+C1232</f>
      </c>
      <c r="D753" s="1008">
        <f t="shared" si="1373"/>
      </c>
      <c r="E753" s="1008">
        <f t="shared" si="1373"/>
      </c>
      <c r="F753" s="1008">
        <f t="shared" si="1373"/>
      </c>
      <c r="G753" s="804">
        <f t="shared" si="1373"/>
      </c>
      <c r="H753" s="804">
        <f t="shared" si="1373"/>
      </c>
      <c r="I753" s="804">
        <f t="shared" si="1373"/>
      </c>
      <c r="J753" s="804">
        <f t="shared" si="1373"/>
      </c>
      <c r="K753" s="1008">
        <f t="shared" si="1373"/>
      </c>
      <c r="L753" s="804">
        <f t="shared" si="1373"/>
      </c>
      <c r="M753" s="804">
        <f t="shared" si="1373"/>
      </c>
      <c r="N753" s="804">
        <f t="shared" si="1373"/>
      </c>
      <c r="O753" s="804">
        <f t="shared" si="1373"/>
      </c>
      <c r="P753" s="1008">
        <f t="shared" si="1373"/>
      </c>
      <c r="Q753" s="804">
        <f t="shared" si="1373"/>
      </c>
      <c r="R753" s="804">
        <f t="shared" si="1373"/>
      </c>
      <c r="S753" s="804">
        <f t="shared" si="1373"/>
      </c>
      <c r="T753" s="804">
        <f t="shared" si="1373"/>
      </c>
      <c r="U753" s="1008">
        <f t="shared" si="1373"/>
      </c>
      <c r="V753" s="804">
        <f t="shared" si="1373"/>
      </c>
      <c r="W753" s="804">
        <f t="shared" si="1373"/>
      </c>
      <c r="X753" s="804">
        <f t="shared" si="1373"/>
      </c>
      <c r="Y753" s="804">
        <f t="shared" si="1373"/>
      </c>
      <c r="Z753" s="1008">
        <f t="shared" si="1373"/>
      </c>
      <c r="AA753" s="804">
        <f t="shared" si="1373"/>
      </c>
      <c r="AB753" s="804">
        <f t="shared" si="1373"/>
      </c>
      <c r="AC753" s="804">
        <f t="shared" si="1373"/>
      </c>
      <c r="AD753" s="804">
        <f t="shared" si="1373"/>
      </c>
      <c r="AE753" s="1008">
        <f t="shared" si="1373"/>
      </c>
      <c r="AF753" s="804">
        <f t="shared" si="1373"/>
      </c>
      <c r="AG753" s="804">
        <f t="shared" si="1373"/>
      </c>
      <c r="AH753" s="804">
        <f t="shared" si="1373"/>
      </c>
      <c r="AI753" s="804">
        <f t="shared" si="1373"/>
      </c>
      <c r="AJ753" s="1008">
        <f t="shared" si="1373"/>
      </c>
      <c r="AK753" s="804">
        <f t="shared" si="1373"/>
      </c>
      <c r="AL753" s="804">
        <f t="shared" si="1373"/>
      </c>
      <c r="AM753" s="804">
        <f t="shared" si="1373"/>
      </c>
      <c r="AN753" s="804">
        <f t="shared" si="1373"/>
      </c>
      <c r="AO753" s="1008">
        <f t="shared" si="1373"/>
      </c>
      <c r="AP753" s="804">
        <f t="shared" si="1373"/>
      </c>
      <c r="AQ753" s="804">
        <f t="shared" si="1373"/>
      </c>
      <c r="AR753" s="804">
        <f>AR1231+AR1238+AR1239+AR1232</f>
      </c>
      <c r="AS753" s="804">
        <f>AS1231+AS1238+AS1239+AS1232</f>
      </c>
      <c r="AT753" s="1008">
        <f>AT1231+AT1238+AT1239+AT1232</f>
      </c>
      <c r="AU753" s="804">
        <f t="shared" ref="AU753" si="1374">AU1231+AU1238+AU1239+AU1232</f>
      </c>
      <c r="AV753" s="804">
        <f t="shared" ref="AV753:BA753" si="1375">AV1231+AV1238+AV1239+AV1232</f>
      </c>
      <c r="AW753" s="804">
        <f t="shared" si="1375"/>
      </c>
      <c r="AX753" s="804">
        <f t="shared" si="1375"/>
      </c>
      <c r="AY753" s="1008">
        <f t="shared" si="1375"/>
      </c>
      <c r="AZ753" s="804">
        <f t="shared" si="1375"/>
      </c>
      <c r="BA753" s="804">
        <f t="shared" si="1375"/>
      </c>
      <c r="BB753" s="804">
        <f t="shared" ref="BB753:BG753" si="1376">BB1231+BB1238+BB1239+BB1232</f>
      </c>
      <c r="BC753" s="804">
        <f t="shared" si="1376"/>
      </c>
      <c r="BD753" s="1008">
        <f t="shared" si="1376"/>
      </c>
      <c r="BE753" s="804">
        <f t="shared" si="1376"/>
      </c>
      <c r="BF753" s="804">
        <f t="shared" si="1376"/>
      </c>
      <c r="BG753" s="804">
        <f t="shared" si="1376"/>
      </c>
      <c r="BH753" s="804">
        <f t="shared" ref="BH753:BN753" si="1377">BH1231+BH1238+BH1239+BH1232</f>
      </c>
      <c r="BI753" s="1008">
        <f t="shared" si="1377"/>
      </c>
      <c r="BJ753" s="804">
        <f t="shared" si="1377"/>
      </c>
      <c r="BK753" s="804">
        <f t="shared" si="1377"/>
      </c>
      <c r="BL753" s="804">
        <f t="shared" si="1377"/>
      </c>
      <c r="BM753" s="804">
        <f t="shared" si="1377"/>
      </c>
      <c r="BN753" s="1008">
        <f t="shared" si="1377"/>
      </c>
      <c r="BO753" s="804">
        <f t="shared" ref="BO753:BT753" si="1378">BO1231+BO1238+BO1239+BO1232</f>
      </c>
      <c r="BP753" s="804">
        <f t="shared" si="1378"/>
      </c>
      <c r="BQ753" s="804">
        <f t="shared" si="1378"/>
      </c>
      <c r="BR753" s="804">
        <f t="shared" si="1378"/>
      </c>
      <c r="BS753" s="1008">
        <f t="shared" si="1378"/>
      </c>
      <c r="BT753" s="805">
        <f t="shared" si="1378"/>
      </c>
      <c r="BU753" s="804">
        <f>BT753+BU773+BU796-BU774</f>
      </c>
      <c r="BV753" s="804">
        <f>BU753+BV773+BV796-BV774</f>
      </c>
      <c r="BW753" s="804">
        <f>BV753+BW773+BW796-BW774</f>
      </c>
      <c r="BX753" s="1008">
        <f>BX1231+BX1238+BX1239+BX1232</f>
      </c>
      <c r="BY753" s="804">
        <f>BX753+BY773+BY796-BY774</f>
      </c>
      <c r="BZ753" s="804">
        <f>BY753+BZ773+BZ796-BZ774</f>
      </c>
      <c r="CA753" s="804">
        <f>BZ753+CA773+CA796-CA774</f>
      </c>
      <c r="CB753" s="804">
        <f>CA753+CB773+CB796-CB774</f>
      </c>
      <c r="CC753" s="1008">
        <f>CC1231+CC1238+CC1239+CC1232</f>
      </c>
      <c r="CD753" s="1008">
        <f>CC753+CD773+CD796-CD774</f>
      </c>
      <c r="CE753" s="1008">
        <f>CD753+CE773+CE796-CE774</f>
      </c>
      <c r="CF753" s="1008">
        <f>CE753+CF773+CF796-CF774</f>
      </c>
      <c r="CG753" s="459"/>
    </row>
    <row r="754" spans="1:85" x14ac:dyDescent="0.3">
      <c r="A754" s="442" t="s">
        <v>381</v>
      </c>
      <c r="B754" s="414"/>
      <c r="C754" s="962">
        <f t="shared" ref="C754:AZ754" si="1379">C1240+C1228</f>
      </c>
      <c r="D754" s="962">
        <f t="shared" si="1379"/>
      </c>
      <c r="E754" s="962">
        <f t="shared" si="1379"/>
      </c>
      <c r="F754" s="962">
        <f t="shared" si="1379"/>
      </c>
      <c r="G754" s="757">
        <f t="shared" si="1379"/>
      </c>
      <c r="H754" s="757">
        <f t="shared" si="1379"/>
      </c>
      <c r="I754" s="757">
        <f t="shared" si="1379"/>
      </c>
      <c r="J754" s="757">
        <f t="shared" si="1379"/>
      </c>
      <c r="K754" s="962">
        <f t="shared" si="1379"/>
      </c>
      <c r="L754" s="757">
        <f t="shared" si="1379"/>
      </c>
      <c r="M754" s="757">
        <f t="shared" si="1379"/>
      </c>
      <c r="N754" s="757">
        <f t="shared" si="1379"/>
      </c>
      <c r="O754" s="757">
        <f t="shared" si="1379"/>
      </c>
      <c r="P754" s="962">
        <f t="shared" si="1379"/>
      </c>
      <c r="Q754" s="757">
        <f t="shared" si="1379"/>
      </c>
      <c r="R754" s="757">
        <f t="shared" si="1379"/>
      </c>
      <c r="S754" s="757">
        <f t="shared" si="1379"/>
      </c>
      <c r="T754" s="757">
        <f t="shared" si="1379"/>
      </c>
      <c r="U754" s="962">
        <f t="shared" si="1379"/>
      </c>
      <c r="V754" s="757">
        <f t="shared" si="1379"/>
      </c>
      <c r="W754" s="757">
        <f t="shared" si="1379"/>
      </c>
      <c r="X754" s="757">
        <f t="shared" si="1379"/>
      </c>
      <c r="Y754" s="757">
        <f t="shared" si="1379"/>
      </c>
      <c r="Z754" s="962">
        <f t="shared" si="1379"/>
      </c>
      <c r="AA754" s="757">
        <f t="shared" si="1379"/>
      </c>
      <c r="AB754" s="757">
        <f t="shared" si="1379"/>
      </c>
      <c r="AC754" s="757">
        <f t="shared" si="1379"/>
      </c>
      <c r="AD754" s="757">
        <f t="shared" si="1379"/>
      </c>
      <c r="AE754" s="962">
        <f t="shared" si="1379"/>
      </c>
      <c r="AF754" s="757">
        <f t="shared" si="1379"/>
      </c>
      <c r="AG754" s="757">
        <f t="shared" si="1379"/>
      </c>
      <c r="AH754" s="757">
        <f t="shared" si="1379"/>
      </c>
      <c r="AI754" s="757">
        <f t="shared" si="1379"/>
      </c>
      <c r="AJ754" s="962">
        <f t="shared" si="1379"/>
      </c>
      <c r="AK754" s="757">
        <f t="shared" si="1379"/>
      </c>
      <c r="AL754" s="757">
        <f t="shared" si="1379"/>
      </c>
      <c r="AM754" s="757">
        <f t="shared" si="1379"/>
      </c>
      <c r="AN754" s="757">
        <f t="shared" si="1379"/>
      </c>
      <c r="AO754" s="962">
        <f t="shared" si="1379"/>
      </c>
      <c r="AP754" s="757">
        <f t="shared" si="1379"/>
      </c>
      <c r="AQ754" s="757">
        <f t="shared" si="1379"/>
      </c>
      <c r="AR754" s="757">
        <f t="shared" si="1379"/>
      </c>
      <c r="AS754" s="757">
        <f t="shared" si="1379"/>
      </c>
      <c r="AT754" s="962">
        <f t="shared" si="1379"/>
      </c>
      <c r="AU754" s="757">
        <f t="shared" si="1379"/>
      </c>
      <c r="AV754" s="757">
        <f t="shared" si="1379"/>
      </c>
      <c r="AW754" s="757">
        <f t="shared" si="1379"/>
      </c>
      <c r="AX754" s="757">
        <f t="shared" si="1379"/>
      </c>
      <c r="AY754" s="962">
        <f t="shared" si="1379"/>
      </c>
      <c r="AZ754" s="757">
        <f t="shared" si="1379"/>
      </c>
      <c r="BA754" s="757">
        <f t="shared" ref="BA754:BD754" si="1380">BA1240+BA1228</f>
      </c>
      <c r="BB754" s="757">
        <f t="shared" si="1380"/>
      </c>
      <c r="BC754" s="757">
        <f t="shared" si="1380"/>
      </c>
      <c r="BD754" s="962">
        <f t="shared" si="1380"/>
      </c>
      <c r="BE754" s="757">
        <f t="shared" ref="BE754:BI754" si="1381">BE1240+BE1228</f>
      </c>
      <c r="BF754" s="757">
        <f t="shared" si="1381"/>
      </c>
      <c r="BG754" s="757">
        <f t="shared" si="1381"/>
      </c>
      <c r="BH754" s="757">
        <f t="shared" si="1381"/>
      </c>
      <c r="BI754" s="962">
        <f t="shared" si="1381"/>
      </c>
      <c r="BJ754" s="757">
        <f t="shared" ref="BJ754:BN754" si="1382">BJ1240+BJ1228</f>
      </c>
      <c r="BK754" s="757">
        <f t="shared" si="1382"/>
      </c>
      <c r="BL754" s="757">
        <f t="shared" si="1382"/>
      </c>
      <c r="BM754" s="757">
        <f t="shared" si="1382"/>
      </c>
      <c r="BN754" s="962">
        <f t="shared" si="1382"/>
      </c>
      <c r="BO754" s="757">
        <f t="shared" ref="BO754:CF754" si="1383">BO1240+BO1228</f>
      </c>
      <c r="BP754" s="757">
        <f t="shared" si="1383"/>
      </c>
      <c r="BQ754" s="757">
        <f t="shared" si="1383"/>
      </c>
      <c r="BR754" s="757">
        <f t="shared" si="1383"/>
      </c>
      <c r="BS754" s="962">
        <f t="shared" si="1383"/>
      </c>
      <c r="BT754" s="758">
        <f>BT1240+BT1228</f>
      </c>
      <c r="BU754" s="757">
        <f t="shared" si="1383"/>
      </c>
      <c r="BV754" s="757">
        <f t="shared" si="1383"/>
      </c>
      <c r="BW754" s="757">
        <f t="shared" si="1383"/>
      </c>
      <c r="BX754" s="962">
        <f t="shared" si="1383"/>
      </c>
      <c r="BY754" s="757">
        <f t="shared" si="1383"/>
      </c>
      <c r="BZ754" s="757">
        <f t="shared" si="1383"/>
      </c>
      <c r="CA754" s="757">
        <f t="shared" si="1383"/>
      </c>
      <c r="CB754" s="757">
        <f t="shared" si="1383"/>
      </c>
      <c r="CC754" s="962">
        <f t="shared" si="1383"/>
      </c>
      <c r="CD754" s="962">
        <f t="shared" si="1383"/>
      </c>
      <c r="CE754" s="962">
        <f t="shared" si="1383"/>
      </c>
      <c r="CF754" s="962">
        <f t="shared" si="1383"/>
      </c>
      <c r="CG754" s="757"/>
    </row>
    <row r="755" spans="1:85" x14ac:dyDescent="0.3">
      <c r="A755" s="459" t="s">
        <v>116</v>
      </c>
      <c r="B755" s="414"/>
      <c r="C755" s="964">
        <f t="shared" ref="C755:AH755" si="1384">C753+C754-C750</f>
      </c>
      <c r="D755" s="964">
        <f t="shared" si="1384"/>
      </c>
      <c r="E755" s="964">
        <f t="shared" si="1384"/>
      </c>
      <c r="F755" s="964">
        <f t="shared" si="1384"/>
      </c>
      <c r="G755" s="459">
        <f t="shared" si="1384"/>
      </c>
      <c r="H755" s="459">
        <f t="shared" si="1384"/>
      </c>
      <c r="I755" s="459">
        <f t="shared" si="1384"/>
      </c>
      <c r="J755" s="459">
        <f t="shared" si="1384"/>
      </c>
      <c r="K755" s="964">
        <f t="shared" si="1384"/>
      </c>
      <c r="L755" s="459">
        <f t="shared" si="1384"/>
      </c>
      <c r="M755" s="459">
        <f t="shared" si="1384"/>
      </c>
      <c r="N755" s="459">
        <f t="shared" si="1384"/>
      </c>
      <c r="O755" s="459">
        <f t="shared" si="1384"/>
      </c>
      <c r="P755" s="964">
        <f t="shared" si="1384"/>
      </c>
      <c r="Q755" s="459">
        <f t="shared" si="1384"/>
      </c>
      <c r="R755" s="459">
        <f t="shared" si="1384"/>
      </c>
      <c r="S755" s="459">
        <f t="shared" si="1384"/>
      </c>
      <c r="T755" s="459">
        <f t="shared" si="1384"/>
      </c>
      <c r="U755" s="964">
        <f t="shared" si="1384"/>
      </c>
      <c r="V755" s="459">
        <f t="shared" si="1384"/>
      </c>
      <c r="W755" s="459">
        <f t="shared" si="1384"/>
      </c>
      <c r="X755" s="459">
        <f t="shared" si="1384"/>
      </c>
      <c r="Y755" s="757">
        <f t="shared" si="1384"/>
      </c>
      <c r="Z755" s="962">
        <f t="shared" si="1384"/>
      </c>
      <c r="AA755" s="459">
        <f t="shared" si="1384"/>
      </c>
      <c r="AB755" s="459">
        <f t="shared" si="1384"/>
      </c>
      <c r="AC755" s="459">
        <f t="shared" si="1384"/>
      </c>
      <c r="AD755" s="757">
        <f t="shared" si="1384"/>
      </c>
      <c r="AE755" s="962">
        <f t="shared" si="1384"/>
      </c>
      <c r="AF755" s="459">
        <f t="shared" si="1384"/>
      </c>
      <c r="AG755" s="459">
        <f t="shared" si="1384"/>
      </c>
      <c r="AH755" s="459">
        <f t="shared" si="1384"/>
      </c>
      <c r="AI755" s="757">
        <f t="shared" ref="AI755:AQ755" si="1385">AI753+AI754-AI750</f>
      </c>
      <c r="AJ755" s="962">
        <f t="shared" si="1385"/>
      </c>
      <c r="AK755" s="459">
        <f t="shared" si="1385"/>
      </c>
      <c r="AL755" s="459">
        <f t="shared" si="1385"/>
      </c>
      <c r="AM755" s="459">
        <f t="shared" si="1385"/>
      </c>
      <c r="AN755" s="757">
        <f t="shared" si="1385"/>
      </c>
      <c r="AO755" s="962">
        <f t="shared" si="1385"/>
      </c>
      <c r="AP755" s="459">
        <f t="shared" si="1385"/>
      </c>
      <c r="AQ755" s="459">
        <f t="shared" si="1385"/>
      </c>
      <c r="AR755" s="459">
        <f>AR753+AR754-AR750</f>
      </c>
      <c r="AS755" s="757">
        <f>AS753+AS754-AS750</f>
      </c>
      <c r="AT755" s="962">
        <f>AT753+AT754-AT750</f>
      </c>
      <c r="AU755" s="459">
        <f t="shared" ref="AU755" si="1386">AU753+AU754-AU750</f>
      </c>
      <c r="AV755" s="459">
        <f t="shared" ref="AV755:BA755" si="1387">AV753+AV754-AV750</f>
      </c>
      <c r="AW755" s="459">
        <f t="shared" si="1387"/>
      </c>
      <c r="AX755" s="757">
        <f t="shared" si="1387"/>
      </c>
      <c r="AY755" s="962">
        <f t="shared" si="1387"/>
      </c>
      <c r="AZ755" s="459">
        <f t="shared" si="1387"/>
      </c>
      <c r="BA755" s="459">
        <f t="shared" si="1387"/>
      </c>
      <c r="BB755" s="459">
        <f t="shared" ref="BB755:BD755" si="1388">BB753+BB754-BB750</f>
      </c>
      <c r="BC755" s="757">
        <f t="shared" si="1388"/>
      </c>
      <c r="BD755" s="962">
        <f t="shared" si="1388"/>
      </c>
      <c r="BE755" s="459">
        <f t="shared" ref="BE755:BI755" si="1389">BE753+BE754-BE750</f>
      </c>
      <c r="BF755" s="459">
        <f t="shared" si="1389"/>
      </c>
      <c r="BG755" s="459">
        <f t="shared" si="1389"/>
      </c>
      <c r="BH755" s="757">
        <f t="shared" si="1389"/>
      </c>
      <c r="BI755" s="962">
        <f t="shared" si="1389"/>
      </c>
      <c r="BJ755" s="459">
        <f t="shared" ref="BJ755:BX755" si="1390">BJ753+BJ754-BJ750</f>
      </c>
      <c r="BK755" s="459">
        <f t="shared" si="1390"/>
      </c>
      <c r="BL755" s="459">
        <f t="shared" si="1390"/>
      </c>
      <c r="BM755" s="757">
        <f t="shared" si="1390"/>
      </c>
      <c r="BN755" s="962">
        <f t="shared" si="1390"/>
      </c>
      <c r="BO755" s="459">
        <f t="shared" ref="BO755:BW755" si="1391">BO753+BO754-BO750</f>
      </c>
      <c r="BP755" s="459">
        <f t="shared" si="1391"/>
      </c>
      <c r="BQ755" s="459">
        <f t="shared" si="1391"/>
      </c>
      <c r="BR755" s="757">
        <f t="shared" si="1391"/>
      </c>
      <c r="BS755" s="962">
        <f t="shared" si="1391"/>
      </c>
      <c r="BT755" s="795">
        <f>BT753+BT754-BT750</f>
      </c>
      <c r="BU755" s="757">
        <f t="shared" si="1391"/>
      </c>
      <c r="BV755" s="757">
        <f t="shared" si="1391"/>
      </c>
      <c r="BW755" s="757">
        <f t="shared" si="1391"/>
      </c>
      <c r="BX755" s="962">
        <f t="shared" si="1390"/>
      </c>
      <c r="BY755" s="757">
        <f t="shared" ref="BY755:CF755" si="1392">BY753+BY754-BY750</f>
      </c>
      <c r="BZ755" s="757">
        <f t="shared" si="1392"/>
      </c>
      <c r="CA755" s="757">
        <f t="shared" si="1392"/>
      </c>
      <c r="CB755" s="757">
        <f t="shared" si="1392"/>
      </c>
      <c r="CC755" s="962">
        <f t="shared" si="1392"/>
      </c>
      <c r="CD755" s="962">
        <f t="shared" si="1392"/>
      </c>
      <c r="CE755" s="962">
        <f t="shared" si="1392"/>
      </c>
      <c r="CF755" s="962">
        <f t="shared" si="1392"/>
      </c>
      <c r="CG755" s="459"/>
    </row>
    <row r="756" spans="1:85" x14ac:dyDescent="0.3">
      <c r="A756" s="757"/>
      <c r="B756" s="414"/>
      <c r="C756" s="962"/>
      <c r="D756" s="962"/>
      <c r="E756" s="962"/>
      <c r="F756" s="962"/>
      <c r="G756" s="757"/>
      <c r="H756" s="757"/>
      <c r="I756" s="757"/>
      <c r="J756" s="757"/>
      <c r="K756" s="962"/>
      <c r="L756" s="757"/>
      <c r="M756" s="757"/>
      <c r="N756" s="757"/>
      <c r="O756" s="757"/>
      <c r="P756" s="962"/>
      <c r="Q756" s="757"/>
      <c r="R756" s="757"/>
      <c r="S756" s="757"/>
      <c r="T756" s="757"/>
      <c r="U756" s="962"/>
      <c r="V756" s="757"/>
      <c r="W756" s="757"/>
      <c r="X756" s="757"/>
      <c r="Y756" s="757"/>
      <c r="Z756" s="962"/>
      <c r="AA756" s="757"/>
      <c r="AB756" s="757"/>
      <c r="AC756" s="757"/>
      <c r="AD756" s="757"/>
      <c r="AE756" s="962"/>
      <c r="AF756" s="757"/>
      <c r="AG756" s="757"/>
      <c r="AH756" s="757"/>
      <c r="AI756" s="757"/>
      <c r="AJ756" s="962"/>
      <c r="AK756" s="757"/>
      <c r="AL756" s="757"/>
      <c r="AM756" s="757"/>
      <c r="AN756" s="757"/>
      <c r="AO756" s="962"/>
      <c r="AP756" s="757"/>
      <c r="AQ756" s="757"/>
      <c r="AR756" s="757"/>
      <c r="AS756" s="757"/>
      <c r="AT756" s="962"/>
      <c r="AU756" s="757"/>
      <c r="AV756" s="757"/>
      <c r="AW756" s="757"/>
      <c r="AX756" s="757"/>
      <c r="AY756" s="962"/>
      <c r="AZ756" s="757"/>
      <c r="BA756" s="757"/>
      <c r="BB756" s="757"/>
      <c r="BC756" s="757"/>
      <c r="BD756" s="962"/>
      <c r="BE756" s="757"/>
      <c r="BF756" s="757"/>
      <c r="BG756" s="757"/>
      <c r="BH756" s="757"/>
      <c r="BI756" s="962"/>
      <c r="BJ756" s="757"/>
      <c r="BK756" s="757"/>
      <c r="BL756" s="757"/>
      <c r="BM756" s="757"/>
      <c r="BN756" s="962"/>
      <c r="BO756" s="757"/>
      <c r="BP756" s="757"/>
      <c r="BQ756" s="757"/>
      <c r="BR756" s="757"/>
      <c r="BS756" s="962"/>
      <c r="BT756" s="758"/>
      <c r="BU756" s="757"/>
      <c r="BV756" s="757"/>
      <c r="BW756" s="757"/>
      <c r="BX756" s="962"/>
      <c r="BY756" s="757"/>
      <c r="BZ756" s="757"/>
      <c r="CA756" s="757"/>
      <c r="CB756" s="757"/>
      <c r="CC756" s="962"/>
      <c r="CD756" s="962"/>
      <c r="CE756" s="962"/>
      <c r="CF756" s="962"/>
      <c r="CG756" s="459"/>
    </row>
    <row r="757" spans="1:85" x14ac:dyDescent="0.3">
      <c r="A757" s="442" t="s">
        <v>458</v>
      </c>
      <c r="B757" s="442"/>
      <c r="C757" s="943">
        <f t="shared" ref="C757:AH757" si="1393">C483</f>
      </c>
      <c r="D757" s="943">
        <f t="shared" si="1393"/>
      </c>
      <c r="E757" s="943">
        <f t="shared" si="1393"/>
      </c>
      <c r="F757" s="943">
        <f t="shared" si="1393"/>
      </c>
      <c r="G757" s="753">
        <f t="shared" si="1393"/>
      </c>
      <c r="H757" s="753">
        <f t="shared" si="1393"/>
      </c>
      <c r="I757" s="753">
        <f t="shared" si="1393"/>
      </c>
      <c r="J757" s="753">
        <f t="shared" si="1393"/>
      </c>
      <c r="K757" s="943">
        <f t="shared" si="1393"/>
      </c>
      <c r="L757" s="753">
        <f t="shared" si="1393"/>
      </c>
      <c r="M757" s="753">
        <f t="shared" si="1393"/>
      </c>
      <c r="N757" s="753">
        <f t="shared" si="1393"/>
      </c>
      <c r="O757" s="753">
        <f t="shared" si="1393"/>
      </c>
      <c r="P757" s="943">
        <f t="shared" si="1393"/>
      </c>
      <c r="Q757" s="753">
        <f t="shared" si="1393"/>
      </c>
      <c r="R757" s="753">
        <f t="shared" si="1393"/>
      </c>
      <c r="S757" s="753">
        <f t="shared" si="1393"/>
      </c>
      <c r="T757" s="753">
        <f t="shared" si="1393"/>
      </c>
      <c r="U757" s="943">
        <f t="shared" si="1393"/>
      </c>
      <c r="V757" s="753">
        <f t="shared" si="1393"/>
      </c>
      <c r="W757" s="753">
        <f t="shared" si="1393"/>
      </c>
      <c r="X757" s="753">
        <f t="shared" si="1393"/>
      </c>
      <c r="Y757" s="753">
        <f t="shared" si="1393"/>
      </c>
      <c r="Z757" s="943">
        <f t="shared" si="1393"/>
      </c>
      <c r="AA757" s="753">
        <f t="shared" si="1393"/>
      </c>
      <c r="AB757" s="753">
        <f t="shared" si="1393"/>
      </c>
      <c r="AC757" s="753">
        <f t="shared" si="1393"/>
      </c>
      <c r="AD757" s="753">
        <f t="shared" si="1393"/>
      </c>
      <c r="AE757" s="943">
        <f t="shared" si="1393"/>
      </c>
      <c r="AF757" s="753">
        <f t="shared" si="1393"/>
      </c>
      <c r="AG757" s="753">
        <f t="shared" si="1393"/>
      </c>
      <c r="AH757" s="753">
        <f t="shared" si="1393"/>
      </c>
      <c r="AI757" s="753">
        <f t="shared" ref="AI757:BJ757" si="1394">AI483</f>
      </c>
      <c r="AJ757" s="943">
        <f t="shared" si="1394"/>
      </c>
      <c r="AK757" s="753">
        <f t="shared" si="1394"/>
      </c>
      <c r="AL757" s="753">
        <f t="shared" si="1394"/>
      </c>
      <c r="AM757" s="753">
        <f t="shared" si="1394"/>
      </c>
      <c r="AN757" s="753">
        <f t="shared" si="1394"/>
      </c>
      <c r="AO757" s="943">
        <f t="shared" si="1394"/>
      </c>
      <c r="AP757" s="753">
        <f t="shared" si="1394"/>
      </c>
      <c r="AQ757" s="753">
        <f t="shared" si="1394"/>
      </c>
      <c r="AR757" s="753">
        <f t="shared" si="1394"/>
      </c>
      <c r="AS757" s="753">
        <f t="shared" si="1394"/>
      </c>
      <c r="AT757" s="943">
        <f t="shared" si="1394"/>
      </c>
      <c r="AU757" s="753">
        <f t="shared" si="1394"/>
      </c>
      <c r="AV757" s="753">
        <f t="shared" si="1394"/>
      </c>
      <c r="AW757" s="753">
        <f t="shared" si="1394"/>
      </c>
      <c r="AX757" s="753">
        <f t="shared" si="1394"/>
      </c>
      <c r="AY757" s="943">
        <f t="shared" si="1394"/>
      </c>
      <c r="AZ757" s="753">
        <f t="shared" si="1394"/>
      </c>
      <c r="BA757" s="753">
        <f t="shared" si="1394"/>
      </c>
      <c r="BB757" s="753">
        <f t="shared" si="1394"/>
      </c>
      <c r="BC757" s="753">
        <f t="shared" si="1394"/>
      </c>
      <c r="BD757" s="943">
        <f t="shared" si="1394"/>
      </c>
      <c r="BE757" s="753">
        <f t="shared" si="1394"/>
      </c>
      <c r="BF757" s="753">
        <f t="shared" si="1394"/>
      </c>
      <c r="BG757" s="753">
        <f t="shared" si="1394"/>
      </c>
      <c r="BH757" s="753">
        <f t="shared" si="1394"/>
      </c>
      <c r="BI757" s="943">
        <f t="shared" si="1394"/>
      </c>
      <c r="BJ757" s="753">
        <f t="shared" si="1394"/>
      </c>
      <c r="BK757" s="753">
        <f t="shared" ref="BK757:BP757" si="1395">BK483</f>
      </c>
      <c r="BL757" s="753">
        <f t="shared" si="1395"/>
      </c>
      <c r="BM757" s="753">
        <f t="shared" si="1395"/>
      </c>
      <c r="BN757" s="943">
        <f t="shared" si="1395"/>
      </c>
      <c r="BO757" s="753">
        <f t="shared" si="1395"/>
      </c>
      <c r="BP757" s="753">
        <f t="shared" si="1395"/>
      </c>
      <c r="BQ757" s="753">
        <f>BQ483</f>
      </c>
      <c r="BR757" s="753">
        <f>BR483</f>
      </c>
      <c r="BS757" s="943">
        <f>BS483</f>
      </c>
      <c r="BT757" s="756">
        <f>BT483</f>
      </c>
      <c r="BU757" s="753">
        <f>BU798</f>
      </c>
      <c r="BV757" s="753">
        <f>BV798</f>
      </c>
      <c r="BW757" s="753">
        <f>BW798</f>
      </c>
      <c r="BX757" s="943">
        <f>IF(OR(ISBLANK(BT757),ISBLANK(BU757),ISBLANK(BV757),ISBLANK(BW757)),"n/a",SUM(BT757,BU757,BV757,BW757))</f>
      </c>
      <c r="BY757" s="753">
        <f>BY798</f>
      </c>
      <c r="BZ757" s="753">
        <f>BZ798</f>
      </c>
      <c r="CA757" s="753">
        <f>CA798</f>
      </c>
      <c r="CB757" s="753">
        <f>CB798</f>
      </c>
      <c r="CC757" s="943">
        <f>IF(OR(ISBLANK(BY757),ISBLANK(BZ757),ISBLANK(CA757),ISBLANK(CB757)),"n/a",SUM(BY757,BZ757,CA757,CB757))</f>
      </c>
      <c r="CD757" s="943">
        <f>CD798</f>
      </c>
      <c r="CE757" s="943">
        <f>CE798</f>
      </c>
      <c r="CF757" s="943">
        <f>CF798</f>
      </c>
      <c r="CG757" s="757"/>
    </row>
    <row r="758" spans="1:85" x14ac:dyDescent="0.3">
      <c r="A758" s="429" t="s">
        <v>459</v>
      </c>
      <c r="B758" s="428"/>
      <c r="C758" s="980"/>
      <c r="D758" s="980">
        <f>IFERROR(D757/AVERAGE(C753,D753),"n/a")</f>
      </c>
      <c r="E758" s="980">
        <f>IFERROR(E757/AVERAGE(D753,E753),"n/a")</f>
      </c>
      <c r="F758" s="980">
        <f>IFERROR(F757/AVERAGE(E753,F753),"n/a")</f>
      </c>
      <c r="G758" s="26">
        <f>IFERROR(G757/AVERAGE(F753,G753)*K3/G3,"n/a")</f>
      </c>
      <c r="H758" s="26">
        <f>IFERROR(H757/AVERAGE(G753,H753)*K3/H3,"n/a")</f>
      </c>
      <c r="I758" s="26">
        <f>IFERROR(I757/AVERAGE(H753,I753)*K3/I3,"n/a")</f>
      </c>
      <c r="J758" s="26">
        <f>IFERROR(J757/AVERAGE(I753,J753)*K3/J3,"n/a")</f>
      </c>
      <c r="K758" s="980">
        <f>IFERROR(K757/AVERAGE(G753,H753,I753,J753),"n/a")</f>
      </c>
      <c r="L758" s="26">
        <f>IFERROR(L757/AVERAGE(K753,L753)*P3/L3,"n/a")</f>
      </c>
      <c r="M758" s="26">
        <f>IFERROR(M757/AVERAGE(L753,M753)*P3/M3,"n/a")</f>
      </c>
      <c r="N758" s="26">
        <f>IFERROR(N757/AVERAGE(M753,N753)*P3/N3,"n/a")</f>
      </c>
      <c r="O758" s="26">
        <f>IFERROR(O757/AVERAGE(N753,O753)*P3/O3,"n/a")</f>
      </c>
      <c r="P758" s="980">
        <f>IFERROR(P757/AVERAGE(L753,M753,N753,O753),"n/a")</f>
      </c>
      <c r="Q758" s="26">
        <f>IFERROR(Q757/AVERAGE(P753,Q753)*U3/Q3,"n/a")</f>
      </c>
      <c r="R758" s="26">
        <f>IFERROR(R757/AVERAGE(Q753,R753)*U3/R3,"n/a")</f>
      </c>
      <c r="S758" s="26">
        <f>IFERROR(S757/AVERAGE(R753,S753)*U3/S3,"n/a")</f>
      </c>
      <c r="T758" s="26">
        <f>IFERROR(T757/AVERAGE(S753,T753)*U3/T3,"n/a")</f>
      </c>
      <c r="U758" s="980">
        <f>IFERROR(U757/AVERAGE(Q753,R753,S753,T753),"n/a")</f>
      </c>
      <c r="V758" s="26">
        <f>IFERROR(V757/AVERAGE(U753,V753)*Z3/V3,"n/a")</f>
      </c>
      <c r="W758" s="26">
        <f>IFERROR(W757/AVERAGE(V753,W753)*Z3/W3,"n/a")</f>
      </c>
      <c r="X758" s="26">
        <f>IFERROR(X757/AVERAGE(W753,X753)*Z3/X3,"n/a")</f>
      </c>
      <c r="Y758" s="26">
        <f>IFERROR(Y757/AVERAGE(X753,Y753)*Z3/Y3,"n/a")</f>
      </c>
      <c r="Z758" s="980">
        <f>IFERROR(Z757/AVERAGE(V753,W753,X753,Y753),"n/a")</f>
      </c>
      <c r="AA758" s="26">
        <f>IFERROR(AA757/AVERAGE(Z753,AA753)*AE3/AA3,"n/a")</f>
      </c>
      <c r="AB758" s="26">
        <f>IFERROR(AB757/AVERAGE(AA753,AB753)*AE3/AB3,"n/a")</f>
      </c>
      <c r="AC758" s="26">
        <f>IFERROR(AC757/AVERAGE(AB753,AC753)*AE3/AC3,"n/a")</f>
      </c>
      <c r="AD758" s="26">
        <f>IFERROR(AD757/AVERAGE(AC753,AD753)*AE3/AD3,"n/a")</f>
      </c>
      <c r="AE758" s="980">
        <f>IFERROR(AE757/AVERAGE(AA753,AB753,AC753,AD753),"n/a")</f>
      </c>
      <c r="AF758" s="26">
        <f>IFERROR(AF757/AVERAGE(AE753,AF753)*AJ3/AF3,"n/a")</f>
      </c>
      <c r="AG758" s="26">
        <f>IFERROR(AG757/AVERAGE(AF753,AG753)*AJ3/AG3,"n/a")</f>
      </c>
      <c r="AH758" s="26">
        <f>IFERROR(AH757/AVERAGE(AG753,AH753)*AJ3/AH3,"n/a")</f>
      </c>
      <c r="AI758" s="26">
        <f>IFERROR(AI757/AVERAGE(AH753,AI753)*AJ3/AI3,"n/a")</f>
      </c>
      <c r="AJ758" s="980">
        <f>IFERROR(AJ757/AVERAGE(AF753,AG753,AH753,AI753),"n/a")</f>
      </c>
      <c r="AK758" s="26">
        <f>IFERROR(AK757/AVERAGE(AJ753,AK753)*AO3/AK3,"n/a")</f>
      </c>
      <c r="AL758" s="26">
        <f>IFERROR(AL757/AVERAGE(AK753,AL753)*AO3/AL3,"n/a")</f>
      </c>
      <c r="AM758" s="26">
        <f>IFERROR(AM757/AVERAGE(AL753,AM753)*AO3/AM3,"n/a")</f>
      </c>
      <c r="AN758" s="26">
        <f>IFERROR(AN757/AVERAGE(AM753,AN753)*AO3/AN3,"n/a")</f>
      </c>
      <c r="AO758" s="980">
        <f>IFERROR(AO757/AVERAGE(AK753,AL753,AM753,AN753),"n/a")</f>
      </c>
      <c r="AP758" s="26">
        <f>IFERROR(AP757/AVERAGE(AO753,AP753)*AT3/AP3,"n/a")</f>
      </c>
      <c r="AQ758" s="26">
        <f>IFERROR(AQ757/AVERAGE(AP753,AQ753)*AT3/AQ3,"n/a")</f>
      </c>
      <c r="AR758" s="26">
        <f>IFERROR(AR757/AVERAGE(AQ753,AR753)*AT3/AR3,"n/a")</f>
      </c>
      <c r="AS758" s="26">
        <f>IFERROR(AS757/AVERAGE(AR753,AS753)*AT3/AS3,"n/a")</f>
      </c>
      <c r="AT758" s="980">
        <f>IFERROR(AT757/AVERAGE(AP753,AQ753,AR753,AS753),"n/a")</f>
      </c>
      <c r="AU758" s="26">
        <f>IFERROR(AU757/AVERAGE(AT753,AU753)*AY3/AU3,"n/a")</f>
      </c>
      <c r="AV758" s="26">
        <f>IFERROR(AV757/AVERAGE(AU753,AV753)*AY3/AV3,"n/a")</f>
      </c>
      <c r="AW758" s="26">
        <f>IFERROR(AW757/AVERAGE(AV753,AW753)*AY3/AW3,"n/a")</f>
      </c>
      <c r="AX758" s="26">
        <f>IFERROR(AX757/AVERAGE(AW753,AX753)*AY3/AX3,"n/a")</f>
      </c>
      <c r="AY758" s="980">
        <f>IFERROR(AY757/AVERAGE(AU753,AV753,AW753,AX753),"n/a")</f>
      </c>
      <c r="AZ758" s="26">
        <f>IFERROR(AZ757/AVERAGE(AY753,AZ753)*BD3/AZ3,"n/a")</f>
      </c>
      <c r="BA758" s="26">
        <f>IFERROR(BA757/AVERAGE(AZ753,BA753)*BD3/BA3,"n/a")</f>
      </c>
      <c r="BB758" s="26">
        <f>IFERROR(BB757/AVERAGE(BA753,BB753)*BD3/BB3,"n/a")</f>
      </c>
      <c r="BC758" s="26">
        <f>IFERROR(BC757/AVERAGE(BB753,BC753)*BD3/BC3,"n/a")</f>
      </c>
      <c r="BD758" s="980">
        <f>IFERROR(BD757/AVERAGE(AZ753,BA753,BB753,BC753),"n/a")</f>
      </c>
      <c r="BE758" s="26">
        <f>IFERROR(BE757/AVERAGE(BD753,BE753)*BI3/BE3,"n/a")</f>
      </c>
      <c r="BF758" s="26">
        <f>IFERROR(BF757/AVERAGE(BE753,BF753)*BI3/BF3,"n/a")</f>
      </c>
      <c r="BG758" s="26">
        <f>IFERROR(BG757/AVERAGE(BF753,BG753)*BI3/BG3,"n/a")</f>
      </c>
      <c r="BH758" s="26">
        <f>IFERROR(BH757/AVERAGE(BG753,BH753)*BI3/BH3,"n/a")</f>
      </c>
      <c r="BI758" s="980">
        <f>IFERROR(BI757/AVERAGE(BE753,BF753,BG753,BH753),"n/a")</f>
      </c>
      <c r="BJ758" s="26">
        <f>IFERROR(BJ757/AVERAGE(BI753,BJ753)*BN3/BJ3,"n/a")</f>
      </c>
      <c r="BK758" s="26">
        <f>IFERROR(BK757/AVERAGE(BJ753,BK753)*BN3/BK3,"n/a")</f>
      </c>
      <c r="BL758" s="26">
        <f>IFERROR(BL757/AVERAGE(BK753,BL753)*BN3/BL3,"n/a")</f>
      </c>
      <c r="BM758" s="26">
        <f>IFERROR(BM757/AVERAGE(BL753,BM753)*BN3/BM3,"n/a")</f>
      </c>
      <c r="BN758" s="980">
        <f>IFERROR(BN757/AVERAGE(BJ753,BK753,BL753,BM753),"n/a")</f>
      </c>
      <c r="BO758" s="26">
        <f>IFERROR(BO757/AVERAGE(BN753,BO753)*BS3/BO3,"n/a")</f>
      </c>
      <c r="BP758" s="26">
        <f>IFERROR(BP757/AVERAGE(BO753,BP753)*BS3/BP3,"n/a")</f>
      </c>
      <c r="BQ758" s="26">
        <f>IFERROR(BQ757/AVERAGE(BP753,BQ753)*BS3/BQ3,"n/a")</f>
      </c>
      <c r="BR758" s="26">
        <f>IFERROR(BR757/AVERAGE(BQ753,BR753)*BS3/BR3,"n/a")</f>
      </c>
      <c r="BS758" s="980">
        <f>IFERROR(BS757/AVERAGE(BO753,BP753,BQ753,BR753),"n/a")</f>
      </c>
      <c r="BT758" s="680">
        <f>IFERROR(BT757/AVERAGE(BS753,BT753)*BX3/BT3,"n/a")</f>
      </c>
      <c r="BU758" s="26">
        <f>IFERROR(BU757/AVERAGE(BT753,BU753)*BX3/BU3,"n/a")</f>
      </c>
      <c r="BV758" s="26">
        <f>IFERROR(BV757/AVERAGE(BU753,BV753)*BX3/BV3,"n/a")</f>
      </c>
      <c r="BW758" s="26">
        <f>IFERROR(BW757/AVERAGE(BV753,BW753)*BX3/BW3,"n/a")</f>
      </c>
      <c r="BX758" s="980">
        <f>IFERROR(BX757/AVERAGE(BT753,BU753,BV753,BW753),"n/a")</f>
      </c>
      <c r="BY758" s="26">
        <f>IFERROR(BY757/AVERAGE(BX753,BY753)*CC3/BY3,"n/a")</f>
      </c>
      <c r="BZ758" s="26">
        <f>IFERROR(BZ757/AVERAGE(BY753,BZ753)*CC3/BZ3,"n/a")</f>
      </c>
      <c r="CA758" s="26">
        <f>IFERROR(CA757/AVERAGE(BZ753,CA753)*CC3/CA3,"n/a")</f>
      </c>
      <c r="CB758" s="26">
        <f>IFERROR(CB757/AVERAGE(CA753,CB753)*CC3/CB3,"n/a")</f>
      </c>
      <c r="CC758" s="980">
        <f>IFERROR(CC757/AVERAGE(BY753,BZ753,CA753,CB753),"n/a")</f>
      </c>
      <c r="CD758" s="980">
        <f>IFERROR(CD757/AVERAGE(CC753,CD753),"n/a")</f>
      </c>
      <c r="CE758" s="980">
        <f>IFERROR(CE757/AVERAGE(CD753,CE753),"n/a")</f>
      </c>
      <c r="CF758" s="980">
        <f>IFERROR(CF757/AVERAGE(CE753,CF753),"n/a")</f>
      </c>
      <c r="CG758" s="757"/>
    </row>
    <row r="759" spans="1:85" x14ac:dyDescent="0.3">
      <c r="A759" s="757" t="s">
        <v>460</v>
      </c>
      <c r="B759" s="414"/>
      <c r="C759" s="943">
        <f t="shared" ref="C759:AH759" si="1396">-C484</f>
      </c>
      <c r="D759" s="943">
        <f t="shared" si="1396"/>
      </c>
      <c r="E759" s="943">
        <f t="shared" si="1396"/>
      </c>
      <c r="F759" s="943">
        <f t="shared" si="1396"/>
      </c>
      <c r="G759" s="753">
        <f t="shared" si="1396"/>
      </c>
      <c r="H759" s="753">
        <f t="shared" si="1396"/>
      </c>
      <c r="I759" s="753">
        <f t="shared" si="1396"/>
      </c>
      <c r="J759" s="753">
        <f t="shared" si="1396"/>
      </c>
      <c r="K759" s="943">
        <f t="shared" si="1396"/>
      </c>
      <c r="L759" s="753">
        <f t="shared" si="1396"/>
      </c>
      <c r="M759" s="753">
        <f t="shared" si="1396"/>
      </c>
      <c r="N759" s="753">
        <f t="shared" si="1396"/>
      </c>
      <c r="O759" s="753">
        <f t="shared" si="1396"/>
      </c>
      <c r="P759" s="943">
        <f t="shared" si="1396"/>
      </c>
      <c r="Q759" s="753">
        <f t="shared" si="1396"/>
      </c>
      <c r="R759" s="753">
        <f t="shared" si="1396"/>
      </c>
      <c r="S759" s="753">
        <f t="shared" si="1396"/>
      </c>
      <c r="T759" s="753">
        <f t="shared" si="1396"/>
      </c>
      <c r="U759" s="943">
        <f t="shared" si="1396"/>
      </c>
      <c r="V759" s="753">
        <f t="shared" si="1396"/>
      </c>
      <c r="W759" s="753">
        <f t="shared" si="1396"/>
      </c>
      <c r="X759" s="753">
        <f t="shared" si="1396"/>
      </c>
      <c r="Y759" s="753">
        <f t="shared" si="1396"/>
      </c>
      <c r="Z759" s="943">
        <f t="shared" si="1396"/>
      </c>
      <c r="AA759" s="753">
        <f t="shared" si="1396"/>
      </c>
      <c r="AB759" s="753">
        <f t="shared" si="1396"/>
      </c>
      <c r="AC759" s="753">
        <f t="shared" si="1396"/>
      </c>
      <c r="AD759" s="753">
        <f t="shared" si="1396"/>
      </c>
      <c r="AE759" s="943">
        <f t="shared" si="1396"/>
      </c>
      <c r="AF759" s="753">
        <f t="shared" si="1396"/>
      </c>
      <c r="AG759" s="753">
        <f t="shared" si="1396"/>
      </c>
      <c r="AH759" s="753">
        <f t="shared" si="1396"/>
      </c>
      <c r="AI759" s="753">
        <f t="shared" ref="AI759:BJ759" si="1397">-AI484</f>
      </c>
      <c r="AJ759" s="943">
        <f t="shared" si="1397"/>
      </c>
      <c r="AK759" s="753">
        <f t="shared" si="1397"/>
      </c>
      <c r="AL759" s="753">
        <f t="shared" si="1397"/>
      </c>
      <c r="AM759" s="753">
        <f t="shared" si="1397"/>
      </c>
      <c r="AN759" s="753">
        <f t="shared" si="1397"/>
      </c>
      <c r="AO759" s="943">
        <f t="shared" si="1397"/>
      </c>
      <c r="AP759" s="753">
        <f t="shared" si="1397"/>
      </c>
      <c r="AQ759" s="753">
        <f t="shared" si="1397"/>
      </c>
      <c r="AR759" s="753">
        <f t="shared" si="1397"/>
      </c>
      <c r="AS759" s="753">
        <f t="shared" si="1397"/>
      </c>
      <c r="AT759" s="943">
        <f t="shared" si="1397"/>
      </c>
      <c r="AU759" s="753">
        <f t="shared" si="1397"/>
      </c>
      <c r="AV759" s="753">
        <f t="shared" si="1397"/>
      </c>
      <c r="AW759" s="753">
        <f t="shared" si="1397"/>
      </c>
      <c r="AX759" s="753">
        <f t="shared" si="1397"/>
      </c>
      <c r="AY759" s="943">
        <f t="shared" si="1397"/>
      </c>
      <c r="AZ759" s="753">
        <f t="shared" si="1397"/>
      </c>
      <c r="BA759" s="782">
        <f t="shared" si="1397"/>
      </c>
      <c r="BB759" s="753">
        <f t="shared" si="1397"/>
      </c>
      <c r="BC759" s="753">
        <f t="shared" si="1397"/>
      </c>
      <c r="BD759" s="943">
        <f t="shared" si="1397"/>
      </c>
      <c r="BE759" s="753">
        <f t="shared" si="1397"/>
      </c>
      <c r="BF759" s="782">
        <f t="shared" si="1397"/>
      </c>
      <c r="BG759" s="753">
        <f t="shared" si="1397"/>
      </c>
      <c r="BH759" s="753">
        <f t="shared" si="1397"/>
      </c>
      <c r="BI759" s="943">
        <f t="shared" si="1397"/>
      </c>
      <c r="BJ759" s="753">
        <f t="shared" si="1397"/>
      </c>
      <c r="BK759" s="782">
        <f t="shared" ref="BK759:BP759" si="1398">-BK484</f>
      </c>
      <c r="BL759" s="753">
        <f t="shared" si="1398"/>
      </c>
      <c r="BM759" s="753">
        <f t="shared" si="1398"/>
      </c>
      <c r="BN759" s="943">
        <f t="shared" si="1398"/>
      </c>
      <c r="BO759" s="753">
        <f t="shared" si="1398"/>
      </c>
      <c r="BP759" s="782">
        <f t="shared" si="1398"/>
      </c>
      <c r="BQ759" s="753">
        <f>-BQ484</f>
      </c>
      <c r="BR759" s="753">
        <f>-BR484</f>
      </c>
      <c r="BS759" s="943">
        <f>-BS484</f>
      </c>
      <c r="BT759" s="756">
        <f>-BT484</f>
      </c>
      <c r="BU759" s="753">
        <f>MAX(0,BU760*BT750*BU3/BX3)</f>
      </c>
      <c r="BV759" s="753">
        <f>MAX(0,BV760*BU750*BV3/BX3)</f>
      </c>
      <c r="BW759" s="753">
        <f>MAX(0,BW760*BV750*BW3/BX3)</f>
      </c>
      <c r="BX759" s="943">
        <f>IF(OR(ISBLANK(BT759),ISBLANK(BU759),ISBLANK(BV759),ISBLANK(BW759)),"n/a",SUM(BT759,BU759,BV759,BW759))</f>
      </c>
      <c r="BY759" s="753">
        <f>MAX(0,BY760*BX750*BY3/CC3)</f>
      </c>
      <c r="BZ759" s="753">
        <f>MAX(0,BZ760*BY750*BZ3/CC3)</f>
      </c>
      <c r="CA759" s="753">
        <f>MAX(0,CA760*BZ750*CA3/CC3)</f>
      </c>
      <c r="CB759" s="753">
        <f>MAX(0,CB760*CA750*CB3/CC3)</f>
      </c>
      <c r="CC759" s="943">
        <f>IF(OR(ISBLANK(BY759),ISBLANK(BZ759),ISBLANK(CA759),ISBLANK(CB759)),"n/a",SUM(BY759,BZ759,CA759,CB759))</f>
      </c>
      <c r="CD759" s="943">
        <f>MAX(0,CD760*CC750)</f>
      </c>
      <c r="CE759" s="943">
        <f>MAX(0,CE760*CD750)</f>
      </c>
      <c r="CF759" s="943">
        <f>MAX(0,CF760*CE750)</f>
      </c>
      <c r="CG759" s="459"/>
    </row>
    <row r="760" spans="1:85" x14ac:dyDescent="0.3">
      <c r="A760" s="759" t="s">
        <v>461</v>
      </c>
      <c r="B760" s="428"/>
      <c r="C760" s="980"/>
      <c r="D760" s="980">
        <f>IFERROR(D759/AVERAGE(C750,D750),"n/a")</f>
      </c>
      <c r="E760" s="980">
        <f>IFERROR(E759/AVERAGE(D750,E750),"n/a")</f>
      </c>
      <c r="F760" s="980">
        <f>IFERROR(F759/AVERAGE(E750,F750),"n/a")</f>
      </c>
      <c r="G760" s="26">
        <f>IFERROR(G759/AVERAGE(F750,G750)*K3/G3,"n/a")</f>
      </c>
      <c r="H760" s="26">
        <f>IFERROR(H759/AVERAGE(G750,H750)*K3/H3,"n/a")</f>
      </c>
      <c r="I760" s="26">
        <f>IFERROR(I759/AVERAGE(H750,I750)*K3/I3,"n/a")</f>
      </c>
      <c r="J760" s="26">
        <f>IFERROR(J759/AVERAGE(I750,J750)*K3/J3,"n/a")</f>
      </c>
      <c r="K760" s="980">
        <f>IFERROR(K759/AVERAGE(G750,H750,I750,J750),"n/a")</f>
      </c>
      <c r="L760" s="26">
        <f>IFERROR(L759/AVERAGE(K750,L750)*P3/L3,"n/a")</f>
      </c>
      <c r="M760" s="26">
        <f>IFERROR(M759/AVERAGE(L750,M750)*P3/M3,"n/a")</f>
      </c>
      <c r="N760" s="26">
        <f>IFERROR(N759/AVERAGE(M750,N750)*P3/N3,"n/a")</f>
      </c>
      <c r="O760" s="26">
        <f>IFERROR(O759/AVERAGE(N750,O750)*P3/O3,"n/a")</f>
      </c>
      <c r="P760" s="980">
        <f>IFERROR(P759/AVERAGE(L750,M750,N750,O750),"n/a")</f>
      </c>
      <c r="Q760" s="26">
        <f>IFERROR(Q759/AVERAGE(P750,Q750)*U3/Q3,"n/a")</f>
      </c>
      <c r="R760" s="26">
        <f>IFERROR(R759/AVERAGE(Q750,R750)*U3/R3,"n/a")</f>
      </c>
      <c r="S760" s="26">
        <f>IFERROR(S759/AVERAGE(R750,S750)*U3/S3,"n/a")</f>
      </c>
      <c r="T760" s="26">
        <f>IFERROR(T759/AVERAGE(S750,T750)*U3/T3,"n/a")</f>
      </c>
      <c r="U760" s="980">
        <f>IFERROR(U759/AVERAGE(Q750,R750,S750,T750),"n/a")</f>
      </c>
      <c r="V760" s="26">
        <f>IFERROR(V759/AVERAGE(U750,V750)*Z3/V3,"n/a")</f>
      </c>
      <c r="W760" s="26">
        <f>IFERROR(W759/AVERAGE(V750,W750)*Z3/W3,"n/a")</f>
      </c>
      <c r="X760" s="26">
        <f>IFERROR(X759/AVERAGE(W750,X750)*Z3/X3,"n/a")</f>
      </c>
      <c r="Y760" s="26">
        <f>IFERROR(Y759/AVERAGE(X750,Y750)*Z3/Y3,"n/a")</f>
      </c>
      <c r="Z760" s="980">
        <f>IFERROR(Z759/AVERAGE(V750,W750,X750,Y750),"n/a")</f>
      </c>
      <c r="AA760" s="26">
        <f>IFERROR(AA759/AVERAGE(Z750,AA750)*AE3/AA3,"n/a")</f>
      </c>
      <c r="AB760" s="26">
        <f>IFERROR(AB759/AVERAGE(AA750,AB750)*AE3/AB3,"n/a")</f>
      </c>
      <c r="AC760" s="26">
        <f>IFERROR(AC759/AVERAGE(AB750,AC750)*AE3/AC3,"n/a")</f>
      </c>
      <c r="AD760" s="26">
        <f>IFERROR(AD759/AVERAGE(AC750,AD750)*AE3/AD3,"n/a")</f>
      </c>
      <c r="AE760" s="980">
        <f>IFERROR(AE759/AVERAGE(AA750,AB750,AC750,AD750),"n/a")</f>
      </c>
      <c r="AF760" s="26">
        <f>IFERROR(AF759/AVERAGE(AE750,AF750)*AJ3/AF3,"n/a")</f>
      </c>
      <c r="AG760" s="26">
        <f>IFERROR(AG759/AVERAGE(AF750,AG750)*AJ3/AG3,"n/a")</f>
      </c>
      <c r="AH760" s="26">
        <f>IFERROR(AH759/AVERAGE(AG750,AH750)*AJ3/AH3,"n/a")</f>
      </c>
      <c r="AI760" s="26">
        <f>IFERROR(AI759/AVERAGE(AH750,AI750)*AJ3/AI3,"n/a")</f>
      </c>
      <c r="AJ760" s="980">
        <f>IFERROR(AJ759/AVERAGE(AF750,AG750,AH750,AI750),"n/a")</f>
      </c>
      <c r="AK760" s="26">
        <f>IFERROR(AK759/AVERAGE(AJ750,AK750)*AO3/AK3,"n/a")</f>
      </c>
      <c r="AL760" s="26">
        <f>IFERROR(AL759/AVERAGE(AK750,AL750)*AO3/AL3,"n/a")</f>
      </c>
      <c r="AM760" s="26">
        <f>IFERROR(AM759/AVERAGE(AL750,AM750)*AO3/AM3,"n/a")</f>
      </c>
      <c r="AN760" s="26">
        <f>IFERROR(AN759/AVERAGE(AM750,AN750)*AO3/AN3,"n/a")</f>
      </c>
      <c r="AO760" s="980">
        <f>IFERROR(AO759/AVERAGE(AK750,AL750,AM750,AN750),"n/a")</f>
      </c>
      <c r="AP760" s="26">
        <f>IFERROR(AP759/AVERAGE(AO750,AP750)*AT3/AP3,"n/a")</f>
      </c>
      <c r="AQ760" s="26">
        <f>IFERROR(AQ759/AVERAGE(AP750,AQ750)*AT3/AQ3,"n/a")</f>
      </c>
      <c r="AR760" s="26">
        <f>IFERROR(AR759/AVERAGE(AQ750,AR750)*AT3/AR3,"n/a")</f>
      </c>
      <c r="AS760" s="26">
        <f>IFERROR(AS759/AVERAGE(AR750,AS750)*AT3/AS3,"n/a")</f>
      </c>
      <c r="AT760" s="980">
        <f>IFERROR(AT759/AVERAGE(AP750,AQ750,AR750,AS750),"n/a")</f>
      </c>
      <c r="AU760" s="26">
        <f>IFERROR(AU759/AVERAGE(AT750,AU750)*AY3/AU3,"n/a")</f>
      </c>
      <c r="AV760" s="26">
        <f>IFERROR(AV759/AVERAGE(AU750,AV750)*AY3/AV3,"n/a")</f>
      </c>
      <c r="AW760" s="26">
        <f>IFERROR(AW759/AVERAGE(AV750,AW750)*AY3/AW3,"n/a")</f>
      </c>
      <c r="AX760" s="26">
        <f>IFERROR(AX759/AVERAGE(AW750,AX750)*AY3/AX3,"n/a")</f>
      </c>
      <c r="AY760" s="980">
        <f>IFERROR(AY759/AVERAGE(AU750,AV750,AW750,AX750),"n/a")</f>
      </c>
      <c r="AZ760" s="26">
        <f>IFERROR(AZ759/AVERAGE(AY750,AZ750)*BD3/AZ3,"n/a")</f>
      </c>
      <c r="BA760" s="620">
        <f>IFERROR(BA759/AVERAGE(AZ750,BA750)*BD3/BA3,"n/a")</f>
      </c>
      <c r="BB760" s="26">
        <f>IFERROR(BB759/AVERAGE(BA750,BB750)*BD3/BB3,"n/a")</f>
      </c>
      <c r="BC760" s="26">
        <f>IFERROR(BC759/AVERAGE(BB750,BC750)*BD3/BC3,"n/a")</f>
      </c>
      <c r="BD760" s="980">
        <f>IFERROR(BD759/AVERAGE(AZ750,BA750,BB750,BC750),"n/a")</f>
      </c>
      <c r="BE760" s="26">
        <f>IFERROR(BE759/AVERAGE(BD750,BE750)*BI3/BE3,"n/a")</f>
      </c>
      <c r="BF760" s="620">
        <f>IFERROR(BF759/AVERAGE(BE750,BF750)*BI3/BF3,"n/a")</f>
      </c>
      <c r="BG760" s="26">
        <f>IFERROR(BG759/AVERAGE(BF750,BG750)*BI3/BG3,"n/a")</f>
      </c>
      <c r="BH760" s="26">
        <f>IFERROR(BH759/AVERAGE(BG750,BH750)*BI3/BH3,"n/a")</f>
      </c>
      <c r="BI760" s="980">
        <f>IFERROR(BI759/AVERAGE(BE750,BF750,BG750,BH750),"n/a")</f>
      </c>
      <c r="BJ760" s="26">
        <f>IFERROR(BJ759/AVERAGE(BI750,BJ750)*BN3/BJ3,"n/a")</f>
      </c>
      <c r="BK760" s="620">
        <f>IFERROR(BK759/AVERAGE(BJ750,BK750)*BN3/BK3,"n/a")</f>
      </c>
      <c r="BL760" s="26">
        <f>IFERROR(BL759/AVERAGE(BK750,BL750)*BN3/BL3,"n/a")</f>
      </c>
      <c r="BM760" s="26">
        <f>IFERROR(BM759/AVERAGE(BL750,BM750)*BN3/BM3,"n/a")</f>
      </c>
      <c r="BN760" s="980">
        <f>IFERROR(BN759/AVERAGE(BJ750,BK750,BL750,BM750),"n/a")</f>
      </c>
      <c r="BO760" s="26">
        <f>IFERROR(BO759/AVERAGE(BN750,BO750)*BS3/BO3,"n/a")</f>
      </c>
      <c r="BP760" s="620">
        <f>IFERROR(BP759/AVERAGE(BO750,BP750)*BS3/BP3,"n/a")</f>
      </c>
      <c r="BQ760" s="26">
        <f>IFERROR(BQ759/AVERAGE(BP750,BQ750)*BS3/BQ3,"n/a")</f>
      </c>
      <c r="BR760" s="26">
        <f>IFERROR(BR759/AVERAGE(BQ750,BR750)*BS3/BR3,"n/a")</f>
      </c>
      <c r="BS760" s="980">
        <f>IFERROR(BS759/AVERAGE(BO750,BP750,BQ750,BR750),"n/a")</f>
      </c>
      <c r="BT760" s="680">
        <f>IFERROR(BT759/AVERAGE(BS750,BT750)*BX3/BT3,"n/a")</f>
      </c>
      <c r="BU760" s="890">
        <v>0.01</v>
      </c>
      <c r="BV760" s="890">
        <v>0.01</v>
      </c>
      <c r="BW760" s="890">
        <v>0.01</v>
      </c>
      <c r="BX760" s="980">
        <f>IFERROR(BX759/AVERAGE(BT750,BU750,BV750,BW750),"n/a")</f>
      </c>
      <c r="BY760" s="890">
        <v>0.01</v>
      </c>
      <c r="BZ760" s="890">
        <v>0.01</v>
      </c>
      <c r="CA760" s="890">
        <v>0.01</v>
      </c>
      <c r="CB760" s="890">
        <v>0.01</v>
      </c>
      <c r="CC760" s="980">
        <f>IFERROR(CC759/AVERAGE(BY750,BZ750,CA750,CB750),"n/a")</f>
      </c>
      <c r="CD760" s="1047">
        <v>0.01</v>
      </c>
      <c r="CE760" s="1047">
        <v>0.01</v>
      </c>
      <c r="CF760" s="1047">
        <v>0.01</v>
      </c>
      <c r="CG760" s="459"/>
    </row>
    <row r="761" spans="1:85" hidden="1" outlineLevel="1" x14ac:dyDescent="0.3">
      <c r="A761" s="442" t="s">
        <v>462</v>
      </c>
      <c r="B761" s="442"/>
      <c r="C761" s="943">
        <f t="shared" ref="C761:AH761" si="1399">IFERROR(C757-C759,"n/a")</f>
      </c>
      <c r="D761" s="943">
        <f t="shared" si="1399"/>
      </c>
      <c r="E761" s="943">
        <f t="shared" si="1399"/>
      </c>
      <c r="F761" s="943">
        <f t="shared" si="1399"/>
      </c>
      <c r="G761" s="753">
        <f t="shared" si="1399"/>
      </c>
      <c r="H761" s="753">
        <f t="shared" si="1399"/>
      </c>
      <c r="I761" s="753">
        <f t="shared" si="1399"/>
      </c>
      <c r="J761" s="753">
        <f t="shared" si="1399"/>
      </c>
      <c r="K761" s="943">
        <f t="shared" si="1399"/>
      </c>
      <c r="L761" s="753">
        <f t="shared" si="1399"/>
      </c>
      <c r="M761" s="753">
        <f t="shared" si="1399"/>
      </c>
      <c r="N761" s="753">
        <f t="shared" si="1399"/>
      </c>
      <c r="O761" s="753">
        <f t="shared" si="1399"/>
      </c>
      <c r="P761" s="943">
        <f t="shared" si="1399"/>
      </c>
      <c r="Q761" s="753">
        <f t="shared" si="1399"/>
      </c>
      <c r="R761" s="753">
        <f t="shared" si="1399"/>
      </c>
      <c r="S761" s="753">
        <f t="shared" si="1399"/>
      </c>
      <c r="T761" s="753">
        <f t="shared" si="1399"/>
      </c>
      <c r="U761" s="943">
        <f t="shared" si="1399"/>
      </c>
      <c r="V761" s="753">
        <f t="shared" si="1399"/>
      </c>
      <c r="W761" s="753">
        <f t="shared" si="1399"/>
      </c>
      <c r="X761" s="753">
        <f t="shared" si="1399"/>
      </c>
      <c r="Y761" s="753">
        <f t="shared" si="1399"/>
      </c>
      <c r="Z761" s="943">
        <f t="shared" si="1399"/>
      </c>
      <c r="AA761" s="753">
        <f t="shared" si="1399"/>
      </c>
      <c r="AB761" s="753">
        <f t="shared" si="1399"/>
      </c>
      <c r="AC761" s="753">
        <f t="shared" si="1399"/>
      </c>
      <c r="AD761" s="753">
        <f t="shared" si="1399"/>
      </c>
      <c r="AE761" s="943">
        <f t="shared" si="1399"/>
      </c>
      <c r="AF761" s="753">
        <f t="shared" si="1399"/>
      </c>
      <c r="AG761" s="753">
        <f t="shared" si="1399"/>
      </c>
      <c r="AH761" s="753">
        <f t="shared" si="1399"/>
      </c>
      <c r="AI761" s="753">
        <f t="shared" ref="AI761:BA761" si="1400">IFERROR(AI757-AI759,"n/a")</f>
      </c>
      <c r="AJ761" s="943">
        <f t="shared" si="1400"/>
      </c>
      <c r="AK761" s="753">
        <f t="shared" si="1400"/>
      </c>
      <c r="AL761" s="753">
        <f t="shared" si="1400"/>
      </c>
      <c r="AM761" s="753">
        <f t="shared" si="1400"/>
      </c>
      <c r="AN761" s="753">
        <f t="shared" si="1400"/>
      </c>
      <c r="AO761" s="943">
        <f t="shared" si="1400"/>
      </c>
      <c r="AP761" s="753">
        <f t="shared" si="1400"/>
      </c>
      <c r="AQ761" s="753">
        <f t="shared" si="1400"/>
      </c>
      <c r="AR761" s="753">
        <f t="shared" si="1400"/>
      </c>
      <c r="AS761" s="753">
        <f t="shared" si="1400"/>
      </c>
      <c r="AT761" s="943">
        <f t="shared" si="1400"/>
      </c>
      <c r="AU761" s="753">
        <f t="shared" si="1400"/>
      </c>
      <c r="AV761" s="753">
        <f t="shared" si="1400"/>
      </c>
      <c r="AW761" s="753">
        <f t="shared" si="1400"/>
      </c>
      <c r="AX761" s="753">
        <f t="shared" si="1400"/>
      </c>
      <c r="AY761" s="943">
        <f t="shared" si="1400"/>
      </c>
      <c r="AZ761" s="753">
        <f t="shared" si="1400"/>
      </c>
      <c r="BA761" s="753">
        <f t="shared" si="1400"/>
      </c>
      <c r="BB761" s="753">
        <f t="shared" ref="BB761:BG761" si="1401">IFERROR(BB757-BB759,"n/a")</f>
      </c>
      <c r="BC761" s="753">
        <f t="shared" si="1401"/>
      </c>
      <c r="BD761" s="943">
        <f t="shared" si="1401"/>
      </c>
      <c r="BE761" s="753">
        <f t="shared" si="1401"/>
      </c>
      <c r="BF761" s="753">
        <f t="shared" si="1401"/>
      </c>
      <c r="BG761" s="753">
        <f t="shared" si="1401"/>
      </c>
      <c r="BH761" s="753">
        <f t="shared" ref="BH761:BN761" si="1402">IFERROR(BH757-BH759,"n/a")</f>
      </c>
      <c r="BI761" s="943">
        <f t="shared" si="1402"/>
      </c>
      <c r="BJ761" s="753">
        <f t="shared" si="1402"/>
      </c>
      <c r="BK761" s="753">
        <f t="shared" si="1402"/>
      </c>
      <c r="BL761" s="753">
        <f t="shared" si="1402"/>
      </c>
      <c r="BM761" s="753">
        <f t="shared" si="1402"/>
      </c>
      <c r="BN761" s="943">
        <f t="shared" si="1402"/>
      </c>
      <c r="BO761" s="753">
        <f t="shared" ref="BO761:BT761" si="1403">IFERROR(BO757-BO759,"n/a")</f>
      </c>
      <c r="BP761" s="753">
        <f t="shared" si="1403"/>
      </c>
      <c r="BQ761" s="753">
        <f t="shared" si="1403"/>
      </c>
      <c r="BR761" s="753">
        <f t="shared" si="1403"/>
      </c>
      <c r="BS761" s="943">
        <f t="shared" si="1403"/>
      </c>
      <c r="BT761" s="756">
        <f t="shared" si="1403"/>
      </c>
      <c r="BU761" s="753">
        <f>+BU757-BU759</f>
      </c>
      <c r="BV761" s="753">
        <f>+BV757-BV759</f>
      </c>
      <c r="BW761" s="753">
        <f>+BW757-BW759</f>
      </c>
      <c r="BX761" s="943">
        <f>SUM(BT761,BU761,BV761,BW761)</f>
      </c>
      <c r="BY761" s="753">
        <f>+BY757-BY759</f>
      </c>
      <c r="BZ761" s="753">
        <f>+BZ757-BZ759</f>
      </c>
      <c r="CA761" s="753">
        <f>+CA757-CA759</f>
      </c>
      <c r="CB761" s="753">
        <f>+CB757-CB759</f>
      </c>
      <c r="CC761" s="943">
        <f>SUM(BY761,BZ761,CA761,CB761)</f>
      </c>
      <c r="CD761" s="943">
        <f>+CD757-CD759</f>
      </c>
      <c r="CE761" s="943">
        <f>+CE757-CE759</f>
      </c>
      <c r="CF761" s="943">
        <f>+CF757-CF759</f>
      </c>
      <c r="CG761" s="757"/>
    </row>
    <row r="762" spans="1:85" hidden="1" outlineLevel="1" x14ac:dyDescent="0.3">
      <c r="A762" s="759" t="s">
        <v>463</v>
      </c>
      <c r="B762" s="428"/>
      <c r="C762" s="980"/>
      <c r="D762" s="980">
        <f>IFERROR(IF(D761/AVERAGE(C753,D753)&lt;0,"n/a",D761/AVERAGE(C753,D753)),"n/a")</f>
      </c>
      <c r="E762" s="980">
        <f>IFERROR(IF(E761/AVERAGE(D753,E753)&lt;0,"n/a",E761/AVERAGE(D753,E753)),"n/a")</f>
      </c>
      <c r="F762" s="980">
        <f>IFERROR(IF(F761/AVERAGE(E753,F753)&lt;0,"n/a",F761/AVERAGE(E753,F753)),"n/a")</f>
      </c>
      <c r="G762" s="26">
        <f>IFERROR(IF(G761/AVERAGE(F753,G753)&lt;0,"n/a",G761/AVERAGE(F753,G753)*K3/G3),"n/a")</f>
      </c>
      <c r="H762" s="26">
        <f>IFERROR(IF(H761/AVERAGE(G753,H753)&lt;0,"n/a",H761/AVERAGE(G753,H753)*K3/H3),"n/a")</f>
      </c>
      <c r="I762" s="26">
        <f>IFERROR(IF(I761/AVERAGE(H753,I753)&lt;0,"n/a",I761/AVERAGE(H753,I753)*K3/I3),"n/a")</f>
      </c>
      <c r="J762" s="26">
        <f>IFERROR(IF(J761/AVERAGE(I753,J753)&lt;0,"n/a",J761/AVERAGE(I753,J753)*K3/J3),"n/a")</f>
      </c>
      <c r="K762" s="980">
        <f>IFERROR(IF(K761/AVERAGE(G753,H753,I753,J753)&lt;0,"n/a",K761/AVERAGE(G753,H753,I753,J753)),"n/a")</f>
      </c>
      <c r="L762" s="26">
        <f>IFERROR(IF(L761/AVERAGE(K753,L753)&lt;0,"n/a",L761/AVERAGE(K753,L753)*P3/L3),"n/a")</f>
      </c>
      <c r="M762" s="26">
        <f>IFERROR(IF(M761/AVERAGE(L753,M753)&lt;0,"n/a",M761/AVERAGE(L753,M753)*P3/M3),"n/a")</f>
      </c>
      <c r="N762" s="26">
        <f>IFERROR(IF(N761/AVERAGE(M753,N753)&lt;0,"n/a",N761/AVERAGE(M753,N753)*P3/N3),"n/a")</f>
      </c>
      <c r="O762" s="26">
        <f>IFERROR(IF(O761/AVERAGE(N753,O753)&lt;0,"n/a",O761/AVERAGE(N753,O753)*P3/O3),"n/a")</f>
      </c>
      <c r="P762" s="980">
        <f>IFERROR(IF(P761/AVERAGE(L753,M753,N753,O753)&lt;0,"n/a",P761/AVERAGE(L753,M753,N753,O753)),"n/a")</f>
      </c>
      <c r="Q762" s="26">
        <f>IFERROR(IF(Q761/AVERAGE(P753,Q753)&lt;0,"n/a",Q761/AVERAGE(P753,Q753)*U3/Q3),"n/a")</f>
      </c>
      <c r="R762" s="26">
        <f>IFERROR(IF(R761/AVERAGE(Q753,R753)&lt;0,"n/a",R761/AVERAGE(Q753,R753)*U3/R3),"n/a")</f>
      </c>
      <c r="S762" s="26">
        <f>IFERROR(IF(S761/AVERAGE(R753,S753)&lt;0,"n/a",S761/AVERAGE(R753,S753)*U3/S3),"n/a")</f>
      </c>
      <c r="T762" s="26">
        <f>IFERROR(IF(T761/AVERAGE(S753,T753)&lt;0,"n/a",T761/AVERAGE(S753,T753)*U3/T3),"n/a")</f>
      </c>
      <c r="U762" s="980">
        <f>IFERROR(IF(U761/AVERAGE(Q753,R753,S753,T753)&lt;0,"n/a",U761/AVERAGE(Q753,R753,S753,T753)),"n/a")</f>
      </c>
      <c r="V762" s="26">
        <f>IFERROR(IF(V761/AVERAGE(U753,V753)&lt;0,"n/a",V761/AVERAGE(U753,V753)*Z3/V3),"n/a")</f>
      </c>
      <c r="W762" s="26">
        <f>IFERROR(IF(W761/AVERAGE(V753,W753)&lt;0,"n/a",W761/AVERAGE(V753,W753)*Z3/W3),"n/a")</f>
      </c>
      <c r="X762" s="26">
        <f>IFERROR(IF(X761/AVERAGE(W753,X753)&lt;0,"n/a",X761/AVERAGE(W753,X753)*Z3/X3),"n/a")</f>
      </c>
      <c r="Y762" s="26">
        <f>IFERROR(IF(Y761/AVERAGE(X753,Y753)&lt;0,"n/a",Y761/AVERAGE(X753,Y753)*Z3/Y3),"n/a")</f>
      </c>
      <c r="Z762" s="980">
        <f>IFERROR(IF(Z761/AVERAGE(V753,W753,X753,Y753)&lt;0,"n/a",Z761/AVERAGE(V753,W753,X753,Y753)),"n/a")</f>
      </c>
      <c r="AA762" s="26">
        <f>IFERROR(IF(AA761/AVERAGE(Z753,AA753)&lt;0,"n/a",AA761/AVERAGE(Z753,AA753)*AE3/AA3),"n/a")</f>
      </c>
      <c r="AB762" s="26">
        <f>IFERROR(IF(AB761/AVERAGE(AA753,AB753)&lt;0,"n/a",AB761/AVERAGE(AA753,AB753)*AE3/AB3),"n/a")</f>
      </c>
      <c r="AC762" s="26">
        <f>IFERROR(IF(AC761/AVERAGE(AB753,AC753)&lt;0,"n/a",AC761/AVERAGE(AB753,AC753)*AE3/AC3),"n/a")</f>
      </c>
      <c r="AD762" s="26">
        <f>IFERROR(IF(AD761/AVERAGE(AC753,AD753)&lt;0,"n/a",AD761/AVERAGE(AC753,AD753)*AE3/AD3),"n/a")</f>
      </c>
      <c r="AE762" s="980">
        <f>IFERROR(IF(AE761/AVERAGE(AA753,AB753,AC753,AD753)&lt;0,"n/a",AE761/AVERAGE(AA753,AB753,AC753,AD753)),"n/a")</f>
      </c>
      <c r="AF762" s="26">
        <f>IFERROR(IF(AF761/AVERAGE(AE753,AF753)&lt;0,"n/a",AF761/AVERAGE(AE753,AF753)*AJ3/AF3),"n/a")</f>
      </c>
      <c r="AG762" s="26">
        <f>IFERROR(IF(AG761/AVERAGE(AF753,AG753)&lt;0,"n/a",AG761/AVERAGE(AF753,AG753)*AJ3/AG3),"n/a")</f>
      </c>
      <c r="AH762" s="26">
        <f>IFERROR(IF(AH761/AVERAGE(AG753,AH753)&lt;0,"n/a",AH761/AVERAGE(AG753,AH753)*AJ3/AH3),"n/a")</f>
      </c>
      <c r="AI762" s="26">
        <f>IFERROR(IF(AI761/AVERAGE(AH753,AI753)&lt;0,"n/a",AI761/AVERAGE(AH753,AI753)*AJ3/AI3),"n/a")</f>
      </c>
      <c r="AJ762" s="980">
        <f>IFERROR(IF(AJ761/AVERAGE(AF753,AG753,AH753,AI753)&lt;0,"n/a",AJ761/AVERAGE(AF753,AG753,AH753,AI753)),"n/a")</f>
      </c>
      <c r="AK762" s="26">
        <f>IFERROR(IF(AK761/AVERAGE(AJ753,AK753)&lt;0,"n/a",AK761/AVERAGE(AJ753,AK753)*AO3/AK3),"n/a")</f>
      </c>
      <c r="AL762" s="26">
        <f>IFERROR(IF(AL761/AVERAGE(AK753,AL753)&lt;0,"n/a",AL761/AVERAGE(AK753,AL753)*AO3/AL3),"n/a")</f>
      </c>
      <c r="AM762" s="26">
        <f>IFERROR(IF(AM761/AVERAGE(AL753,AM753)&lt;0,"n/a",AM761/AVERAGE(AL753,AM753)*AO3/AM3),"n/a")</f>
      </c>
      <c r="AN762" s="26">
        <f>IFERROR(IF(AN761/AVERAGE(AM753,AN753)&lt;0,"n/a",AN761/AVERAGE(AM753,AN753)*AO3/AN3),"n/a")</f>
      </c>
      <c r="AO762" s="980">
        <f>IFERROR(IF(AO761/AVERAGE(AK753,AL753,AM753,AN753)&lt;0,"n/a",AO761/AVERAGE(AK753,AL753,AM753,AN753)),"n/a")</f>
      </c>
      <c r="AP762" s="26">
        <f>IFERROR(IF(AP761/AVERAGE(AO753,AP753)&lt;0,"n/a",AP761/AVERAGE(AO753,AP753)*AT3/AP3),"n/a")</f>
      </c>
      <c r="AQ762" s="26">
        <f>IFERROR(IF(AQ761/AVERAGE(AP753,AQ753)&lt;0,"n/a",AQ761/AVERAGE(AP753,AQ753)*AT3/AQ3),"n/a")</f>
      </c>
      <c r="AR762" s="26">
        <f>IFERROR(IF(AR761/AVERAGE(AQ753,AR753)&lt;0,"n/a",AR761/AVERAGE(AQ753,AR753)*AT3/AR3),"n/a")</f>
      </c>
      <c r="AS762" s="26">
        <f>IFERROR(IF(AS761/AVERAGE(AR753,AS753)&lt;0,"n/a",AS761/AVERAGE(AR753,AS753)*AT3/AS3),"n/a")</f>
      </c>
      <c r="AT762" s="980">
        <f>IFERROR(IF(AT761/AVERAGE(AP753,AQ753,AR753,AS753)&lt;0,"n/a",AT761/AVERAGE(AP753,AQ753,AR753,AS753)),"n/a")</f>
      </c>
      <c r="AU762" s="26">
        <f>IFERROR(IF(AU761/AVERAGE(AT753,AU753)&lt;0,"n/a",AU761/AVERAGE(AT753,AU753)*AY3/AU3),"n/a")</f>
      </c>
      <c r="AV762" s="26">
        <f>IFERROR(IF(AV761/AVERAGE(AU753,AV753)&lt;0,"n/a",AV761/AVERAGE(AU753,AV753)*AY3/AV3),"n/a")</f>
      </c>
      <c r="AW762" s="26">
        <f>IFERROR(IF(AW761/AVERAGE(AV753,AW753)&lt;0,"n/a",AW761/AVERAGE(AV753,AW753)*AY3/AW3),"n/a")</f>
      </c>
      <c r="AX762" s="26">
        <f>IFERROR(IF(AX761/AVERAGE(AW753,AX753)&lt;0,"n/a",AX761/AVERAGE(AW753,AX753)*AY3/AX3),"n/a")</f>
      </c>
      <c r="AY762" s="980">
        <f>IFERROR(IF(AY761/AVERAGE(AU753,AV753,AW753,AX753)&lt;0,"n/a",AY761/AVERAGE(AU753,AV753,AW753,AX753)),"n/a")</f>
      </c>
      <c r="AZ762" s="26">
        <f>IFERROR(IF(AZ761/AVERAGE(AY753,AZ753)&lt;0,"n/a",AZ761/AVERAGE(AY753,AZ753)*BD3/AZ3),"n/a")</f>
      </c>
      <c r="BA762" s="620">
        <f>IFERROR(IF(BA761/AVERAGE(AZ753,BA753)&lt;0,"n/a",BA761/AVERAGE(AZ753,BA753)*BD3/BA3),"n/a")</f>
      </c>
      <c r="BB762" s="26">
        <f>IFERROR(IF(BB761/AVERAGE(BA753,BB753)&lt;0,"n/a",BB761/AVERAGE(BA753,BB753)*BD3/BB3),"n/a")</f>
      </c>
      <c r="BC762" s="26">
        <f>IFERROR(IF(BC761/AVERAGE(BB753,BC753)&lt;0,"n/a",BC761/AVERAGE(BB753,BC753)*BD3/BC3),"n/a")</f>
      </c>
      <c r="BD762" s="980">
        <f>IFERROR(IF(BD761/AVERAGE(AZ753,BA753,BB753,BC753)&lt;0,"n/a",BD761/AVERAGE(AZ753,BA753,BB753,BC753)),"n/a")</f>
      </c>
      <c r="BE762" s="26">
        <f>IFERROR(IF(BE761/AVERAGE(BD753,BE753)&lt;0,"n/a",BE761/AVERAGE(BD753,BE753)*BI3/BE3),"n/a")</f>
      </c>
      <c r="BF762" s="620">
        <f>IFERROR(IF(BF761/AVERAGE(BE753,BF753)&lt;0,"n/a",BF761/AVERAGE(BE753,BF753)*BI3/BF3),"n/a")</f>
      </c>
      <c r="BG762" s="26">
        <f>IFERROR(IF(BG761/AVERAGE(BF753,BG753)&lt;0,"n/a",BG761/AVERAGE(BF753,BG753)*BI3/BG3),"n/a")</f>
      </c>
      <c r="BH762" s="26">
        <f>IFERROR(IF(BH761/AVERAGE(BG753,BH753)&lt;0,"n/a",BH761/AVERAGE(BG753,BH753)*BI3/BH3),"n/a")</f>
      </c>
      <c r="BI762" s="980">
        <f>IFERROR(IF(BI761/AVERAGE(BE753,BF753,BG753,BH753)&lt;0,"n/a",BI761/AVERAGE(BE753,BF753,BG753,BH753)),"n/a")</f>
      </c>
      <c r="BJ762" s="26">
        <f>IFERROR(IF(BJ761/AVERAGE(BI753,BJ753)&lt;0,"n/a",BJ761/AVERAGE(BI753,BJ753)*BN3/BJ3),"n/a")</f>
      </c>
      <c r="BK762" s="620">
        <f>IFERROR(IF(BK761/AVERAGE(BJ753,BK753)&lt;0,"n/a",BK761/AVERAGE(BJ753,BK753)*BN3/BK3),"n/a")</f>
      </c>
      <c r="BL762" s="26">
        <f>IFERROR(IF(BL761/AVERAGE(BK753,BL753)&lt;0,"n/a",BL761/AVERAGE(BK753,BL753)*BN3/BL3),"n/a")</f>
      </c>
      <c r="BM762" s="26">
        <f>IFERROR(IF(BM761/AVERAGE(BL753,BM753)&lt;0,"n/a",BM761/AVERAGE(BL753,BM753)*BN3/BM3),"n/a")</f>
      </c>
      <c r="BN762" s="980">
        <f>IFERROR(IF(BN761/AVERAGE(BJ753,BK753,BL753,BM753)&lt;0,"n/a",BN761/AVERAGE(BJ753,BK753,BL753,BM753)),"n/a")</f>
      </c>
      <c r="BO762" s="26">
        <f>IFERROR(IF(BO761/AVERAGE(BN753,BO753)&lt;0,"n/a",BO761/AVERAGE(BN753,BO753)*BS3/BO3),"n/a")</f>
      </c>
      <c r="BP762" s="620">
        <f>IFERROR(IF(BP761/AVERAGE(BO753,BP753)&lt;0,"n/a",BP761/AVERAGE(BO753,BP753)*BS3/BP3),"n/a")</f>
      </c>
      <c r="BQ762" s="26">
        <f>IFERROR(IF(BQ761/AVERAGE(BP753,BQ753)&lt;0,"n/a",BQ761/AVERAGE(BP753,BQ753)*BS3/BQ3),"n/a")</f>
      </c>
      <c r="BR762" s="26">
        <f>IFERROR(IF(BR761/AVERAGE(BQ753,BR753)&lt;0,"n/a",BR761/AVERAGE(BQ753,BR753)*BS3/BR3),"n/a")</f>
      </c>
      <c r="BS762" s="980">
        <f>IFERROR(IF(BS761/AVERAGE(BO753,BP753,BQ753,BR753)&lt;0,"n/a",BS761/AVERAGE(BO753,BP753,BQ753,BR753)),"n/a")</f>
      </c>
      <c r="BT762" s="680">
        <f>IFERROR(IF(BT761/AVERAGE(BS753,BT753)&lt;0,"n/a",BT761/AVERAGE(BS753,BT753)*BX3/BT3),"n/a")</f>
      </c>
      <c r="BU762" s="26">
        <f>IFERROR(IF(BU761/AVERAGE(BT753,BU753)&lt;0,"n/a",BU761/AVERAGE(BT753,BU753)*BX3/BU3),"n/a")</f>
      </c>
      <c r="BV762" s="26">
        <f>IFERROR(IF(BV761/AVERAGE(BU753,BV753)&lt;0,"n/a",BV761/AVERAGE(BU753,BV753)*BX3/BV3),"n/a")</f>
      </c>
      <c r="BW762" s="26">
        <f>IFERROR(IF(BW761/AVERAGE(BV753,BW753)&lt;0,"n/a",BW761/AVERAGE(BV753,BW753)*BX3/BW3),"n/a")</f>
      </c>
      <c r="BX762" s="980">
        <f>IFERROR(IF(BX761/AVERAGE(BT753,BU753,BV753,BW753)&lt;0,"n/a",BX761/AVERAGE(BT753,BU753,BV753,BW753)),"n/a")</f>
      </c>
      <c r="BY762" s="26">
        <f>IFERROR(IF(BY761/AVERAGE(BX753,BY753)&lt;0,"n/a",BY761/AVERAGE(BX753,BY753)*CC3/BY3),"n/a")</f>
      </c>
      <c r="BZ762" s="26">
        <f>IFERROR(IF(BZ761/AVERAGE(BY753,BZ753)&lt;0,"n/a",BZ761/AVERAGE(BY753,BZ753)*CC3/BZ3),"n/a")</f>
      </c>
      <c r="CA762" s="26">
        <f>IFERROR(IF(CA761/AVERAGE(BZ753,CA753)&lt;0,"n/a",CA761/AVERAGE(BZ753,CA753)*CC3/CA3),"n/a")</f>
      </c>
      <c r="CB762" s="26">
        <f>IFERROR(IF(CB761/AVERAGE(CA753,CB753)&lt;0,"n/a",CB761/AVERAGE(CA753,CB753)*CC3/CB3),"n/a")</f>
      </c>
      <c r="CC762" s="980">
        <f>IFERROR(IF(CC761/AVERAGE(BY753,BZ753,CA753,CB753)&lt;0,"n/a",CC761/AVERAGE(BY753,BZ753,CA753,CB753)),"n/a")</f>
      </c>
      <c r="CD762" s="980">
        <f>IFERROR(IF(CD761/AVERAGE(CC753,CD753)&lt;0,"n/a",CD761/AVERAGE(CC753,CD753)),"n/a")</f>
      </c>
      <c r="CE762" s="980" t="str">
        <f>IFERROR(IF(CE761/AVERAGE(CD753,CE753)&lt;0,"n/a",CE761/AVERAGE(CD753,CE753)),"n/a")</f>
      </c>
      <c r="CF762" s="980" t="str">
        <f>IFERROR(IF(CF761/AVERAGE(CE753,CF753)&lt;0,"n/a",CF761/AVERAGE(CE753,CF753)),"n/a")</f>
      </c>
      <c r="CG762" s="459"/>
    </row>
    <row r="763" spans="1:85" collapsed="1" x14ac:dyDescent="0.3">
      <c r="A763" s="759"/>
      <c r="B763" s="428"/>
      <c r="C763" s="980"/>
      <c r="D763" s="980"/>
      <c r="E763" s="980"/>
      <c r="F763" s="980"/>
      <c r="G763" s="26"/>
      <c r="H763" s="26"/>
      <c r="I763" s="26"/>
      <c r="J763" s="26"/>
      <c r="K763" s="980"/>
      <c r="L763" s="26"/>
      <c r="M763" s="26"/>
      <c r="N763" s="26"/>
      <c r="O763" s="26"/>
      <c r="P763" s="980"/>
      <c r="Q763" s="26"/>
      <c r="R763" s="26"/>
      <c r="S763" s="26"/>
      <c r="T763" s="26"/>
      <c r="U763" s="980"/>
      <c r="V763" s="26"/>
      <c r="W763" s="26"/>
      <c r="X763" s="26"/>
      <c r="Y763" s="26"/>
      <c r="Z763" s="980"/>
      <c r="AA763" s="26"/>
      <c r="AB763" s="26"/>
      <c r="AC763" s="26"/>
      <c r="AD763" s="26"/>
      <c r="AE763" s="980"/>
      <c r="AF763" s="26"/>
      <c r="AG763" s="26"/>
      <c r="AH763" s="26"/>
      <c r="AI763" s="26"/>
      <c r="AJ763" s="980"/>
      <c r="AK763" s="26"/>
      <c r="AL763" s="26"/>
      <c r="AM763" s="26"/>
      <c r="AN763" s="26"/>
      <c r="AO763" s="980"/>
      <c r="AP763" s="26"/>
      <c r="AQ763" s="26"/>
      <c r="AR763" s="26"/>
      <c r="AS763" s="26"/>
      <c r="AT763" s="980"/>
      <c r="AU763" s="26"/>
      <c r="AV763" s="26"/>
      <c r="AW763" s="26"/>
      <c r="AX763" s="26"/>
      <c r="AY763" s="980"/>
      <c r="AZ763" s="26"/>
      <c r="BA763" s="26"/>
      <c r="BB763" s="26"/>
      <c r="BC763" s="26"/>
      <c r="BD763" s="980"/>
      <c r="BE763" s="26"/>
      <c r="BF763" s="26"/>
      <c r="BG763" s="26"/>
      <c r="BH763" s="26"/>
      <c r="BI763" s="980"/>
      <c r="BJ763" s="26"/>
      <c r="BK763" s="26"/>
      <c r="BL763" s="26"/>
      <c r="BM763" s="26"/>
      <c r="BN763" s="980"/>
      <c r="BO763" s="26"/>
      <c r="BP763" s="26"/>
      <c r="BQ763" s="26"/>
      <c r="BR763" s="26"/>
      <c r="BS763" s="980"/>
      <c r="BT763" s="680"/>
      <c r="BU763" s="26"/>
      <c r="BV763" s="26"/>
      <c r="BW763" s="26"/>
      <c r="BX763" s="980"/>
      <c r="BY763" s="26"/>
      <c r="BZ763" s="26"/>
      <c r="CA763" s="26"/>
      <c r="CB763" s="26"/>
      <c r="CC763" s="980"/>
      <c r="CD763" s="980"/>
      <c r="CE763" s="980"/>
      <c r="CF763" s="980"/>
      <c r="CG763" s="459"/>
    </row>
    <row r="764" spans="1:85" x14ac:dyDescent="0.3">
      <c r="A764" s="759" t="s">
        <v>464</v>
      </c>
      <c r="B764" s="428"/>
      <c r="C764" s="1048">
        <f t="shared" ref="C764:AH764" si="1404">IFERROR(IF(OR(C480&lt;0,C761&lt;0),"n/a",C480/C761),"n/a")</f>
      </c>
      <c r="D764" s="1048">
        <f t="shared" si="1404"/>
      </c>
      <c r="E764" s="1048">
        <f t="shared" si="1404"/>
      </c>
      <c r="F764" s="1048">
        <f t="shared" si="1404"/>
      </c>
      <c r="G764" s="211">
        <f t="shared" si="1404"/>
      </c>
      <c r="H764" s="211">
        <f t="shared" si="1404"/>
      </c>
      <c r="I764" s="211">
        <f t="shared" si="1404"/>
      </c>
      <c r="J764" s="211">
        <f t="shared" si="1404"/>
      </c>
      <c r="K764" s="1048">
        <f t="shared" si="1404"/>
      </c>
      <c r="L764" s="211">
        <f t="shared" si="1404"/>
      </c>
      <c r="M764" s="211">
        <f t="shared" si="1404"/>
      </c>
      <c r="N764" s="211">
        <f t="shared" si="1404"/>
      </c>
      <c r="O764" s="211">
        <f t="shared" si="1404"/>
      </c>
      <c r="P764" s="1048">
        <f t="shared" si="1404"/>
      </c>
      <c r="Q764" s="211">
        <f t="shared" si="1404"/>
      </c>
      <c r="R764" s="211">
        <f t="shared" si="1404"/>
      </c>
      <c r="S764" s="211">
        <f t="shared" si="1404"/>
      </c>
      <c r="T764" s="211">
        <f t="shared" si="1404"/>
      </c>
      <c r="U764" s="1048">
        <f t="shared" si="1404"/>
      </c>
      <c r="V764" s="211">
        <f t="shared" si="1404"/>
      </c>
      <c r="W764" s="211">
        <f t="shared" si="1404"/>
      </c>
      <c r="X764" s="211">
        <f t="shared" si="1404"/>
      </c>
      <c r="Y764" s="211">
        <f t="shared" si="1404"/>
      </c>
      <c r="Z764" s="1048">
        <f t="shared" si="1404"/>
      </c>
      <c r="AA764" s="211">
        <f t="shared" si="1404"/>
      </c>
      <c r="AB764" s="211">
        <f t="shared" si="1404"/>
      </c>
      <c r="AC764" s="211">
        <f t="shared" si="1404"/>
      </c>
      <c r="AD764" s="211">
        <f t="shared" si="1404"/>
      </c>
      <c r="AE764" s="1048">
        <f t="shared" si="1404"/>
      </c>
      <c r="AF764" s="211">
        <f t="shared" si="1404"/>
      </c>
      <c r="AG764" s="211">
        <f t="shared" si="1404"/>
      </c>
      <c r="AH764" s="211">
        <f t="shared" si="1404"/>
      </c>
      <c r="AI764" s="211">
        <f t="shared" ref="AI764:BJ764" si="1405">IFERROR(IF(OR(AI480&lt;0,AI761&lt;0),"n/a",AI480/AI761),"n/a")</f>
      </c>
      <c r="AJ764" s="1048">
        <f t="shared" si="1405"/>
      </c>
      <c r="AK764" s="211">
        <f t="shared" si="1405"/>
      </c>
      <c r="AL764" s="211">
        <f t="shared" si="1405"/>
      </c>
      <c r="AM764" s="211">
        <f t="shared" si="1405"/>
      </c>
      <c r="AN764" s="211">
        <f t="shared" si="1405"/>
      </c>
      <c r="AO764" s="1048">
        <f t="shared" si="1405"/>
      </c>
      <c r="AP764" s="211">
        <f t="shared" si="1405"/>
      </c>
      <c r="AQ764" s="211">
        <f t="shared" si="1405"/>
      </c>
      <c r="AR764" s="211">
        <f t="shared" si="1405"/>
      </c>
      <c r="AS764" s="211">
        <f t="shared" si="1405"/>
      </c>
      <c r="AT764" s="1048">
        <f t="shared" si="1405"/>
      </c>
      <c r="AU764" s="211">
        <f t="shared" si="1405"/>
      </c>
      <c r="AV764" s="211">
        <f t="shared" si="1405"/>
      </c>
      <c r="AW764" s="211">
        <f t="shared" si="1405"/>
      </c>
      <c r="AX764" s="211">
        <f t="shared" si="1405"/>
      </c>
      <c r="AY764" s="1048">
        <f t="shared" si="1405"/>
      </c>
      <c r="AZ764" s="211">
        <f t="shared" si="1405"/>
      </c>
      <c r="BA764" s="638">
        <f t="shared" si="1405"/>
      </c>
      <c r="BB764" s="211">
        <f t="shared" si="1405"/>
      </c>
      <c r="BC764" s="211">
        <f t="shared" si="1405"/>
      </c>
      <c r="BD764" s="1048">
        <f t="shared" si="1405"/>
      </c>
      <c r="BE764" s="211">
        <f t="shared" si="1405"/>
      </c>
      <c r="BF764" s="638">
        <f t="shared" si="1405"/>
      </c>
      <c r="BG764" s="211">
        <f t="shared" si="1405"/>
      </c>
      <c r="BH764" s="211">
        <f t="shared" si="1405"/>
      </c>
      <c r="BI764" s="1048">
        <f t="shared" si="1405"/>
      </c>
      <c r="BJ764" s="211">
        <f t="shared" si="1405"/>
      </c>
      <c r="BK764" s="638">
        <f t="shared" ref="BK764:BX764" si="1406">IFERROR(IF(OR(BK480&lt;0,BK761&lt;0),"n/a",BK480/BK761),"n/a")</f>
      </c>
      <c r="BL764" s="211">
        <f t="shared" si="1406"/>
      </c>
      <c r="BM764" s="211">
        <f t="shared" si="1406"/>
      </c>
      <c r="BN764" s="1048">
        <f t="shared" si="1406"/>
      </c>
      <c r="BO764" s="211">
        <f t="shared" ref="BO764:BW764" si="1407">IFERROR(IF(OR(BO480&lt;0,BO761&lt;0),"n/a",BO480/BO761),"n/a")</f>
      </c>
      <c r="BP764" s="638">
        <f t="shared" si="1407"/>
      </c>
      <c r="BQ764" s="211">
        <f t="shared" si="1407"/>
      </c>
      <c r="BR764" s="211">
        <f t="shared" si="1407"/>
      </c>
      <c r="BS764" s="1048">
        <f t="shared" si="1407"/>
      </c>
      <c r="BT764" s="711">
        <f>IFERROR(IF(OR(BT480&lt;0,BT761&lt;0),"n/a",BT480/BT761),"n/a")</f>
      </c>
      <c r="BU764" s="211">
        <f t="shared" si="1407"/>
      </c>
      <c r="BV764" s="211">
        <f t="shared" si="1407"/>
      </c>
      <c r="BW764" s="211">
        <f t="shared" si="1407"/>
      </c>
      <c r="BX764" s="1048">
        <f t="shared" si="1406"/>
      </c>
      <c r="BY764" s="211">
        <f t="shared" ref="BY764:CF764" si="1408">IFERROR(IF(OR(BY480&lt;0,BY761&lt;0),"n/a",BY480/BY761),"n/a")</f>
      </c>
      <c r="BZ764" s="211">
        <f t="shared" si="1408"/>
      </c>
      <c r="CA764" s="211">
        <f t="shared" si="1408"/>
      </c>
      <c r="CB764" s="211">
        <f t="shared" si="1408"/>
      </c>
      <c r="CC764" s="1048">
        <f t="shared" si="1408"/>
      </c>
      <c r="CD764" s="1048">
        <f t="shared" si="1408"/>
      </c>
      <c r="CE764" s="1048" t="str">
        <f t="shared" si="1408"/>
      </c>
      <c r="CF764" s="1048" t="str">
        <f t="shared" si="1408"/>
      </c>
      <c r="CG764" s="459"/>
    </row>
    <row r="765" spans="1:85" x14ac:dyDescent="0.3">
      <c r="A765" s="14" t="s">
        <v>117</v>
      </c>
      <c r="B765" s="272"/>
      <c r="C765" s="1049" t="str">
        <f>IF(C755&lt;0,"n/a",C755/C480)</f>
      </c>
      <c r="D765" s="1049" t="str">
        <f>IF(D755&lt;0,"n/a",D755/D480)</f>
      </c>
      <c r="E765" s="1049" t="str">
        <f>IF(E755&lt;0,"n/a",E755/E480)</f>
      </c>
      <c r="F765" s="1049" t="str">
        <f>IF(F755&lt;0,"n/a",F755/F480)</f>
      </c>
      <c r="G765" s="211"/>
      <c r="H765" s="211"/>
      <c r="I765" s="211"/>
      <c r="J765" s="211"/>
      <c r="K765" s="1049" t="str">
        <f>IF(K755&lt;0,"n/a",K755/K480)</f>
      </c>
      <c r="L765" s="211"/>
      <c r="M765" s="211"/>
      <c r="N765" s="211"/>
      <c r="O765" s="211"/>
      <c r="P765" s="1049" t="str">
        <f>IF(P755&lt;0,"n/a",P755/P480)</f>
      </c>
      <c r="Q765" s="211"/>
      <c r="R765" s="211"/>
      <c r="S765" s="211"/>
      <c r="T765" s="211"/>
      <c r="U765" s="1049">
        <f>IF(U755&lt;0,"n/a",U755/U480)</f>
      </c>
      <c r="V765" s="211"/>
      <c r="W765" s="273"/>
      <c r="X765" s="211"/>
      <c r="Y765" s="273"/>
      <c r="Z765" s="1048">
        <f>IF(Z755&lt;0,"n/a",Z755/Z480)</f>
      </c>
      <c r="AA765" s="273"/>
      <c r="AB765" s="273"/>
      <c r="AC765" s="211"/>
      <c r="AD765" s="273"/>
      <c r="AE765" s="1048">
        <f>IF(AE755&lt;0,"n/a",AE755/AE480)</f>
      </c>
      <c r="AF765" s="273"/>
      <c r="AG765" s="273"/>
      <c r="AH765" s="211"/>
      <c r="AI765" s="273"/>
      <c r="AJ765" s="1048">
        <f>IF(AJ755&lt;0,"n/a",AJ755/AJ480)</f>
      </c>
      <c r="AK765" s="273"/>
      <c r="AL765" s="273"/>
      <c r="AM765" s="211"/>
      <c r="AN765" s="273"/>
      <c r="AO765" s="1048">
        <f>IF(AO755&lt;0,"n/a",AO755/AO480)</f>
      </c>
      <c r="AP765" s="273"/>
      <c r="AQ765" s="273"/>
      <c r="AR765" s="211"/>
      <c r="AS765" s="273"/>
      <c r="AT765" s="1048">
        <f>IF(AT755&lt;0,"n/a",AT755/AT480)</f>
      </c>
      <c r="AU765" s="273"/>
      <c r="AV765" s="273"/>
      <c r="AW765" s="211"/>
      <c r="AX765" s="273"/>
      <c r="AY765" s="1048">
        <f>IF(AY755&lt;0,"n/a",AY755/AY480)</f>
      </c>
      <c r="AZ765" s="273"/>
      <c r="BA765" s="273"/>
      <c r="BB765" s="211"/>
      <c r="BC765" s="273"/>
      <c r="BD765" s="1048">
        <f>IF(BD755&lt;0,"n/a",BD755/BD480)</f>
      </c>
      <c r="BE765" s="273"/>
      <c r="BF765" s="273"/>
      <c r="BG765" s="211"/>
      <c r="BH765" s="273"/>
      <c r="BI765" s="1048">
        <f>IF(BI755&lt;0,"n/a",BI755/BI480)</f>
      </c>
      <c r="BJ765" s="273"/>
      <c r="BK765" s="273"/>
      <c r="BL765" s="211"/>
      <c r="BM765" s="273"/>
      <c r="BN765" s="1048">
        <f>IF(BN755&lt;0,"n/a",BN755/BN480)</f>
      </c>
      <c r="BO765" s="273"/>
      <c r="BP765" s="273"/>
      <c r="BQ765" s="211"/>
      <c r="BR765" s="273"/>
      <c r="BS765" s="1048">
        <f>IF(BS755&lt;0,"n/a",BS755/BS480)</f>
      </c>
      <c r="BT765" s="712"/>
      <c r="BU765" s="273"/>
      <c r="BV765" s="273"/>
      <c r="BW765" s="273"/>
      <c r="BX765" s="1048" t="str">
        <f>IF(BX755&lt;0,"n/a",BX755/BX480)</f>
      </c>
      <c r="BY765" s="273"/>
      <c r="BZ765" s="273"/>
      <c r="CA765" s="273"/>
      <c r="CB765" s="273"/>
      <c r="CC765" s="1048" t="str">
        <f>IF(CC755&lt;0,"n/a",CC755/CC480)</f>
      </c>
      <c r="CD765" s="1048" t="str">
        <f>IF(CD755&lt;0,"n/a",CD755/CD480)</f>
      </c>
      <c r="CE765" s="1048" t="str">
        <f>IF(CE755&lt;0,"n/a",CE755/CE480)</f>
      </c>
      <c r="CF765" s="1048" t="str">
        <f>IF(CF755&lt;0,"n/a",CF755/CF480)</f>
      </c>
      <c r="CG765" s="28"/>
    </row>
    <row r="766" spans="1:85" x14ac:dyDescent="0.3">
      <c r="A766" s="14" t="s">
        <v>118</v>
      </c>
      <c r="B766" s="272"/>
      <c r="C766" s="1049" t="str">
        <f>IF(C755&lt;0,"n/a",C755/C722)</f>
      </c>
      <c r="D766" s="1049" t="str">
        <f>IF(D755&lt;0,"n/a",D755/D722)</f>
      </c>
      <c r="E766" s="1049" t="str">
        <f>IF(E755&lt;0,"n/a",E755/E722)</f>
      </c>
      <c r="F766" s="1049" t="str">
        <f>IF(F755&lt;0,"n/a",F755/F722)</f>
      </c>
      <c r="G766" s="211"/>
      <c r="H766" s="211"/>
      <c r="I766" s="211"/>
      <c r="J766" s="211"/>
      <c r="K766" s="1049" t="str">
        <f>IF(K755&lt;0,"n/a",K755/K722)</f>
      </c>
      <c r="L766" s="211"/>
      <c r="M766" s="211"/>
      <c r="N766" s="211"/>
      <c r="O766" s="211"/>
      <c r="P766" s="1049" t="str">
        <f>IF(P755&lt;0,"n/a",P755/P722)</f>
      </c>
      <c r="Q766" s="211"/>
      <c r="R766" s="211"/>
      <c r="S766" s="211"/>
      <c r="T766" s="211"/>
      <c r="U766" s="1049">
        <f>IF(U755&lt;0,"n/a",U755/U722)</f>
      </c>
      <c r="V766" s="211"/>
      <c r="W766" s="273"/>
      <c r="X766" s="211"/>
      <c r="Y766" s="273"/>
      <c r="Z766" s="1048">
        <f>IF(Z755&lt;0,"n/a",Z755/Z722)</f>
      </c>
      <c r="AA766" s="273"/>
      <c r="AB766" s="273"/>
      <c r="AC766" s="211"/>
      <c r="AD766" s="273"/>
      <c r="AE766" s="1048">
        <f>IF(AE755&lt;0,"n/a",AE755/AE722)</f>
      </c>
      <c r="AF766" s="273"/>
      <c r="AG766" s="273"/>
      <c r="AH766" s="211"/>
      <c r="AI766" s="273"/>
      <c r="AJ766" s="1048">
        <f>IF(AJ755&lt;0,"n/a",AJ755/AJ722)</f>
      </c>
      <c r="AK766" s="273"/>
      <c r="AL766" s="273"/>
      <c r="AM766" s="211"/>
      <c r="AN766" s="273"/>
      <c r="AO766" s="1048">
        <f>IF(AO755&lt;0,"n/a",AO755/AO722)</f>
      </c>
      <c r="AP766" s="273"/>
      <c r="AQ766" s="273"/>
      <c r="AR766" s="211"/>
      <c r="AS766" s="273"/>
      <c r="AT766" s="1048">
        <f>IF(AT755&lt;0,"n/a",AT755/AT722)</f>
      </c>
      <c r="AU766" s="273"/>
      <c r="AV766" s="273"/>
      <c r="AW766" s="211"/>
      <c r="AX766" s="273"/>
      <c r="AY766" s="1048">
        <f>IF(AY755&lt;0,"n/a",AY755/AY722)</f>
      </c>
      <c r="AZ766" s="273"/>
      <c r="BA766" s="273"/>
      <c r="BB766" s="211"/>
      <c r="BC766" s="273"/>
      <c r="BD766" s="1048">
        <f>IF(BD755&lt;0,"n/a",BD755/BD722)</f>
      </c>
      <c r="BE766" s="273"/>
      <c r="BF766" s="273"/>
      <c r="BG766" s="211"/>
      <c r="BH766" s="273"/>
      <c r="BI766" s="1048">
        <f>IF(BI755&lt;0,"n/a",BI755/BI722)</f>
      </c>
      <c r="BJ766" s="273"/>
      <c r="BK766" s="273"/>
      <c r="BL766" s="211"/>
      <c r="BM766" s="273"/>
      <c r="BN766" s="1048">
        <f>IF(BN755&lt;0,"n/a",BN755/BN722)</f>
      </c>
      <c r="BO766" s="273"/>
      <c r="BP766" s="273"/>
      <c r="BQ766" s="211"/>
      <c r="BR766" s="273"/>
      <c r="BS766" s="1048">
        <f>IF(BS755&lt;0,"n/a",BS755/BS722)</f>
      </c>
      <c r="BT766" s="712"/>
      <c r="BU766" s="273"/>
      <c r="BV766" s="273"/>
      <c r="BW766" s="273"/>
      <c r="BX766" s="1048" t="str">
        <f>IF(BX755&lt;0,"n/a",BX755/BX722)</f>
      </c>
      <c r="BY766" s="273"/>
      <c r="BZ766" s="273"/>
      <c r="CA766" s="273"/>
      <c r="CB766" s="273"/>
      <c r="CC766" s="1048" t="str">
        <f>IF(CC755&lt;0,"n/a",CC755/CC722)</f>
      </c>
      <c r="CD766" s="1048" t="str">
        <f>IF(CD755&lt;0,"n/a",CD755/CD722)</f>
      </c>
      <c r="CE766" s="1048" t="str">
        <f>IF(CE755&lt;0,"n/a",CE755/CE722)</f>
      </c>
      <c r="CF766" s="1048" t="str">
        <f>IF(CF755&lt;0,"n/a",CF755/CF722)</f>
      </c>
      <c r="CG766" s="28"/>
    </row>
    <row r="767" spans="1:85" x14ac:dyDescent="0.3">
      <c r="A767" s="444"/>
      <c r="B767" s="272"/>
      <c r="C767" s="1048"/>
      <c r="D767" s="1048"/>
      <c r="E767" s="1048"/>
      <c r="F767" s="1048"/>
      <c r="G767" s="211"/>
      <c r="H767" s="211"/>
      <c r="I767" s="211"/>
      <c r="J767" s="211"/>
      <c r="K767" s="1048"/>
      <c r="L767" s="211"/>
      <c r="M767" s="211"/>
      <c r="N767" s="211"/>
      <c r="O767" s="211"/>
      <c r="P767" s="1048"/>
      <c r="Q767" s="211"/>
      <c r="R767" s="211"/>
      <c r="S767" s="211"/>
      <c r="T767" s="211"/>
      <c r="U767" s="1048"/>
      <c r="V767" s="211"/>
      <c r="W767" s="273"/>
      <c r="X767" s="211"/>
      <c r="Y767" s="273"/>
      <c r="Z767" s="1048"/>
      <c r="AA767" s="273"/>
      <c r="AB767" s="273"/>
      <c r="AC767" s="211"/>
      <c r="AD767" s="273"/>
      <c r="AE767" s="1048"/>
      <c r="AF767" s="273"/>
      <c r="AG767" s="273"/>
      <c r="AH767" s="211"/>
      <c r="AI767" s="273"/>
      <c r="AJ767" s="1048"/>
      <c r="AK767" s="273"/>
      <c r="AL767" s="273"/>
      <c r="AM767" s="211"/>
      <c r="AN767" s="273"/>
      <c r="AO767" s="1048"/>
      <c r="AP767" s="273"/>
      <c r="AQ767" s="273"/>
      <c r="AR767" s="211"/>
      <c r="AS767" s="273"/>
      <c r="AT767" s="1048"/>
      <c r="AU767" s="273"/>
      <c r="AV767" s="273"/>
      <c r="AW767" s="211"/>
      <c r="AX767" s="273"/>
      <c r="AY767" s="1048"/>
      <c r="AZ767" s="273"/>
      <c r="BA767" s="273"/>
      <c r="BB767" s="273"/>
      <c r="BC767" s="273"/>
      <c r="BD767" s="1048"/>
      <c r="BE767" s="273"/>
      <c r="BF767" s="273"/>
      <c r="BG767" s="273"/>
      <c r="BH767" s="273"/>
      <c r="BI767" s="1048"/>
      <c r="BJ767" s="273"/>
      <c r="BK767" s="273"/>
      <c r="BL767" s="273"/>
      <c r="BM767" s="273"/>
      <c r="BN767" s="1048"/>
      <c r="BO767" s="273"/>
      <c r="BP767" s="273"/>
      <c r="BQ767" s="273"/>
      <c r="BR767" s="273"/>
      <c r="BS767" s="1048"/>
      <c r="BT767" s="712"/>
      <c r="BU767" s="273"/>
      <c r="BV767" s="273"/>
      <c r="BW767" s="273"/>
      <c r="BX767" s="1048"/>
      <c r="BY767" s="273"/>
      <c r="BZ767" s="273"/>
      <c r="CA767" s="273"/>
      <c r="CB767" s="273"/>
      <c r="CC767" s="1048"/>
      <c r="CD767" s="1048"/>
      <c r="CE767" s="1048"/>
      <c r="CF767" s="1048"/>
      <c r="CG767" s="28"/>
    </row>
    <row r="768" spans="1:85" x14ac:dyDescent="0.3">
      <c r="A768" s="411" t="s">
        <v>717</v>
      </c>
      <c r="B768" s="412"/>
      <c r="C768" s="754"/>
      <c r="D768" s="754"/>
      <c r="E768" s="754"/>
      <c r="F768" s="754"/>
      <c r="G768" s="754"/>
      <c r="H768" s="754"/>
      <c r="I768" s="754"/>
      <c r="J768" s="754"/>
      <c r="K768" s="754"/>
      <c r="L768" s="754"/>
      <c r="M768" s="754"/>
      <c r="N768" s="754"/>
      <c r="O768" s="754"/>
      <c r="P768" s="754"/>
      <c r="Q768" s="754"/>
      <c r="R768" s="754"/>
      <c r="S768" s="754"/>
      <c r="T768" s="754"/>
      <c r="U768" s="754"/>
      <c r="V768" s="754"/>
      <c r="W768" s="754"/>
      <c r="X768" s="754"/>
      <c r="Y768" s="754"/>
      <c r="Z768" s="754"/>
      <c r="AA768" s="754"/>
      <c r="AB768" s="754"/>
      <c r="AC768" s="754"/>
      <c r="AD768" s="754"/>
      <c r="AE768" s="754"/>
      <c r="AF768" s="754"/>
      <c r="AG768" s="754"/>
      <c r="AH768" s="754"/>
      <c r="AI768" s="754"/>
      <c r="AJ768" s="754"/>
      <c r="AK768" s="754"/>
      <c r="AL768" s="754"/>
      <c r="AM768" s="754"/>
      <c r="AN768" s="754"/>
      <c r="AO768" s="754"/>
      <c r="AP768" s="754"/>
      <c r="AQ768" s="754"/>
      <c r="AR768" s="754"/>
      <c r="AS768" s="754"/>
      <c r="AT768" s="754"/>
      <c r="AU768" s="754"/>
      <c r="AV768" s="754"/>
      <c r="AW768" s="754"/>
      <c r="AX768" s="754"/>
      <c r="AY768" s="754"/>
      <c r="AZ768" s="754"/>
      <c r="BA768" s="754"/>
      <c r="BB768" s="754"/>
      <c r="BC768" s="754"/>
      <c r="BD768" s="754"/>
      <c r="BE768" s="754"/>
      <c r="BF768" s="754"/>
      <c r="BG768" s="754"/>
      <c r="BH768" s="754"/>
      <c r="BI768" s="754"/>
      <c r="BJ768" s="754"/>
      <c r="BK768" s="754"/>
      <c r="BL768" s="754"/>
      <c r="BM768" s="754"/>
      <c r="BN768" s="754"/>
      <c r="BO768" s="754"/>
      <c r="BP768" s="754"/>
      <c r="BQ768" s="754"/>
      <c r="BR768" s="754"/>
      <c r="BS768" s="754"/>
      <c r="BT768" s="755"/>
      <c r="BU768" s="754"/>
      <c r="BV768" s="754"/>
      <c r="BW768" s="754"/>
      <c r="BX768" s="754"/>
      <c r="BY768" s="754"/>
      <c r="BZ768" s="754"/>
      <c r="CA768" s="754"/>
      <c r="CB768" s="754"/>
      <c r="CC768" s="754"/>
      <c r="CD768" s="754"/>
      <c r="CE768" s="754"/>
      <c r="CF768" s="754"/>
      <c r="CG768" s="28"/>
    </row>
    <row r="769" spans="1:85" x14ac:dyDescent="0.3">
      <c r="A769" s="413" t="s">
        <v>718</v>
      </c>
      <c r="B769" s="442"/>
      <c r="C769" s="943"/>
      <c r="D769" s="943"/>
      <c r="E769" s="943"/>
      <c r="F769" s="943"/>
      <c r="G769" s="753"/>
      <c r="H769" s="753"/>
      <c r="I769" s="753"/>
      <c r="J769" s="753"/>
      <c r="K769" s="943"/>
      <c r="L769" s="753"/>
      <c r="M769" s="753"/>
      <c r="N769" s="753"/>
      <c r="O769" s="753"/>
      <c r="P769" s="943"/>
      <c r="Q769" s="753"/>
      <c r="R769" s="753"/>
      <c r="S769" s="753"/>
      <c r="T769" s="753"/>
      <c r="U769" s="943"/>
      <c r="V769" s="753"/>
      <c r="W769" s="753"/>
      <c r="X769" s="753"/>
      <c r="Y769" s="753"/>
      <c r="Z769" s="943"/>
      <c r="AA769" s="753"/>
      <c r="AB769" s="753"/>
      <c r="AC769" s="753"/>
      <c r="AD769" s="753"/>
      <c r="AE769" s="943"/>
      <c r="AF769" s="753"/>
      <c r="AG769" s="753"/>
      <c r="AH769" s="753"/>
      <c r="AI769" s="753"/>
      <c r="AJ769" s="943"/>
      <c r="AK769" s="753"/>
      <c r="AL769" s="753"/>
      <c r="AM769" s="753"/>
      <c r="AN769" s="753"/>
      <c r="AO769" s="943"/>
      <c r="AP769" s="753"/>
      <c r="AQ769" s="753"/>
      <c r="AR769" s="753"/>
      <c r="AS769" s="753"/>
      <c r="AT769" s="943"/>
      <c r="AU769" s="753"/>
      <c r="AV769" s="753"/>
      <c r="AW769" s="753"/>
      <c r="AX769" s="753"/>
      <c r="AY769" s="943"/>
      <c r="AZ769" s="753"/>
      <c r="BA769" s="753"/>
      <c r="BB769" s="753"/>
      <c r="BC769" s="753"/>
      <c r="BD769" s="943"/>
      <c r="BE769" s="753"/>
      <c r="BF769" s="753"/>
      <c r="BG769" s="753"/>
      <c r="BH769" s="753"/>
      <c r="BI769" s="943"/>
      <c r="BJ769" s="753"/>
      <c r="BK769" s="753"/>
      <c r="BL769" s="753"/>
      <c r="BM769" s="753"/>
      <c r="BN769" s="943"/>
      <c r="BO769" s="753"/>
      <c r="BP769" s="753"/>
      <c r="BQ769" s="753"/>
      <c r="BR769" s="753"/>
      <c r="BS769" s="943"/>
      <c r="BT769" s="756"/>
      <c r="BU769" s="753">
        <f>BU865+BU841</f>
      </c>
      <c r="BV769" s="753">
        <f>BV865+BV841</f>
      </c>
      <c r="BW769" s="753">
        <f>BW865+BW841</f>
      </c>
      <c r="BX769" s="943" t="str">
        <f>IF(ISBLANK(BT769),"n/a",SUM(BT769,BU769,BV769,BW769))</f>
      </c>
      <c r="BY769" s="753">
        <f>BY865+BY841</f>
      </c>
      <c r="BZ769" s="753">
        <f>BZ865+BZ841</f>
      </c>
      <c r="CA769" s="753">
        <f>CA865+CA841</f>
      </c>
      <c r="CB769" s="753">
        <f>CB865+CB841</f>
      </c>
      <c r="CC769" s="943">
        <f>IF(ISBLANK(BY769),"n/a",SUM(BY769,BZ769,CA769,CB769))</f>
      </c>
      <c r="CD769" s="943">
        <f>CD865+CD841</f>
      </c>
      <c r="CE769" s="943">
        <f>CE865+CE841</f>
      </c>
      <c r="CF769" s="943">
        <f>CF865+CF841</f>
      </c>
      <c r="CG769" s="273"/>
    </row>
    <row r="770" spans="1:85" x14ac:dyDescent="0.3">
      <c r="A770" s="415" t="s">
        <v>719</v>
      </c>
      <c r="B770" s="417"/>
      <c r="C770" s="946"/>
      <c r="D770" s="946"/>
      <c r="E770" s="946"/>
      <c r="F770" s="946"/>
      <c r="G770" s="784"/>
      <c r="H770" s="784"/>
      <c r="I770" s="784"/>
      <c r="J770" s="784"/>
      <c r="K770" s="946"/>
      <c r="L770" s="784"/>
      <c r="M770" s="784"/>
      <c r="N770" s="784"/>
      <c r="O770" s="784"/>
      <c r="P770" s="946"/>
      <c r="Q770" s="784"/>
      <c r="R770" s="784"/>
      <c r="S770" s="784"/>
      <c r="T770" s="784"/>
      <c r="U770" s="946"/>
      <c r="V770" s="784"/>
      <c r="W770" s="784"/>
      <c r="X770" s="784"/>
      <c r="Y770" s="784"/>
      <c r="Z770" s="946"/>
      <c r="AA770" s="784"/>
      <c r="AB770" s="784"/>
      <c r="AC770" s="784"/>
      <c r="AD770" s="784"/>
      <c r="AE770" s="946"/>
      <c r="AF770" s="784"/>
      <c r="AG770" s="784"/>
      <c r="AH770" s="784"/>
      <c r="AI770" s="784"/>
      <c r="AJ770" s="946"/>
      <c r="AK770" s="784"/>
      <c r="AL770" s="784"/>
      <c r="AM770" s="784"/>
      <c r="AN770" s="784"/>
      <c r="AO770" s="946"/>
      <c r="AP770" s="784"/>
      <c r="AQ770" s="784"/>
      <c r="AR770" s="784"/>
      <c r="AS770" s="784"/>
      <c r="AT770" s="946"/>
      <c r="AU770" s="784"/>
      <c r="AV770" s="784"/>
      <c r="AW770" s="784"/>
      <c r="AX770" s="784"/>
      <c r="AY770" s="946"/>
      <c r="AZ770" s="784"/>
      <c r="BA770" s="784"/>
      <c r="BB770" s="784"/>
      <c r="BC770" s="784"/>
      <c r="BD770" s="946"/>
      <c r="BE770" s="784"/>
      <c r="BF770" s="784"/>
      <c r="BG770" s="784"/>
      <c r="BH770" s="784"/>
      <c r="BI770" s="946"/>
      <c r="BJ770" s="784"/>
      <c r="BK770" s="784"/>
      <c r="BL770" s="784"/>
      <c r="BM770" s="784"/>
      <c r="BN770" s="946"/>
      <c r="BO770" s="784"/>
      <c r="BP770" s="784"/>
      <c r="BQ770" s="784"/>
      <c r="BR770" s="784"/>
      <c r="BS770" s="946"/>
      <c r="BT770" s="817"/>
      <c r="BU770" s="784">
        <f>+BU771-BU769+BU863+BU864</f>
      </c>
      <c r="BV770" s="784">
        <f>+BV771-BV769+BV863+BV864</f>
      </c>
      <c r="BW770" s="784">
        <f>+BW771-BW769+BW863+BW864</f>
      </c>
      <c r="BX770" s="946" t="str">
        <f>IF(ISBLANK(BT770),"n/a",SUM(BT770,BU770,BV770,BW770))</f>
      </c>
      <c r="BY770" s="784">
        <f>+BY771-BY769+BY863+BY864</f>
      </c>
      <c r="BZ770" s="784">
        <f>+BZ771-BZ769+BZ863+BZ864</f>
      </c>
      <c r="CA770" s="784">
        <f>+CA771-CA769+CA863+CA864</f>
      </c>
      <c r="CB770" s="784">
        <f>+CB771-CB769+CB863+CB864</f>
      </c>
      <c r="CC770" s="946">
        <f>IF(ISBLANK(BY770),"n/a",SUM(BY770,BZ770,CA770,CB770))</f>
      </c>
      <c r="CD770" s="946">
        <f>+CD771-CD769+CD863+CD864</f>
      </c>
      <c r="CE770" s="946">
        <f>+CE771-CE769+CE863+CE864</f>
      </c>
      <c r="CF770" s="946">
        <f>+CF771-CF769+CF863+CF864</f>
      </c>
      <c r="CG770" s="273"/>
    </row>
    <row r="771" spans="1:85" x14ac:dyDescent="0.3">
      <c r="A771" s="418" t="s">
        <v>720</v>
      </c>
      <c r="B771" s="555"/>
      <c r="C771" s="1050">
        <f t="shared" ref="C771:AZ771" si="1409">-(C1146+C1143+C1151)</f>
      </c>
      <c r="D771" s="1050">
        <f t="shared" si="1409"/>
      </c>
      <c r="E771" s="1050">
        <f t="shared" si="1409"/>
      </c>
      <c r="F771" s="1050">
        <f t="shared" si="1409"/>
      </c>
      <c r="G771" s="818">
        <f t="shared" si="1409"/>
      </c>
      <c r="H771" s="818">
        <f t="shared" si="1409"/>
      </c>
      <c r="I771" s="818">
        <f t="shared" si="1409"/>
      </c>
      <c r="J771" s="818">
        <f t="shared" si="1409"/>
      </c>
      <c r="K771" s="1050">
        <f t="shared" si="1409"/>
      </c>
      <c r="L771" s="818">
        <f t="shared" si="1409"/>
      </c>
      <c r="M771" s="818">
        <f t="shared" si="1409"/>
      </c>
      <c r="N771" s="818">
        <f t="shared" si="1409"/>
      </c>
      <c r="O771" s="818">
        <f t="shared" si="1409"/>
      </c>
      <c r="P771" s="1050">
        <f t="shared" si="1409"/>
      </c>
      <c r="Q771" s="818">
        <f t="shared" si="1409"/>
      </c>
      <c r="R771" s="818">
        <f t="shared" si="1409"/>
      </c>
      <c r="S771" s="818">
        <f t="shared" si="1409"/>
      </c>
      <c r="T771" s="818">
        <f t="shared" si="1409"/>
      </c>
      <c r="U771" s="1050">
        <f t="shared" si="1409"/>
      </c>
      <c r="V771" s="818">
        <f t="shared" si="1409"/>
      </c>
      <c r="W771" s="818">
        <f t="shared" si="1409"/>
      </c>
      <c r="X771" s="818">
        <f t="shared" si="1409"/>
      </c>
      <c r="Y771" s="818">
        <f t="shared" si="1409"/>
      </c>
      <c r="Z771" s="1050">
        <f t="shared" si="1409"/>
      </c>
      <c r="AA771" s="818">
        <f t="shared" si="1409"/>
      </c>
      <c r="AB771" s="818">
        <f t="shared" si="1409"/>
      </c>
      <c r="AC771" s="818">
        <f t="shared" si="1409"/>
      </c>
      <c r="AD771" s="818">
        <f t="shared" si="1409"/>
      </c>
      <c r="AE771" s="1050">
        <f t="shared" si="1409"/>
      </c>
      <c r="AF771" s="818">
        <f t="shared" si="1409"/>
      </c>
      <c r="AG771" s="818">
        <f t="shared" si="1409"/>
      </c>
      <c r="AH771" s="818">
        <f t="shared" si="1409"/>
      </c>
      <c r="AI771" s="818">
        <f t="shared" si="1409"/>
      </c>
      <c r="AJ771" s="1050">
        <f t="shared" si="1409"/>
      </c>
      <c r="AK771" s="818">
        <f t="shared" si="1409"/>
      </c>
      <c r="AL771" s="818">
        <f t="shared" si="1409"/>
      </c>
      <c r="AM771" s="818">
        <f t="shared" si="1409"/>
      </c>
      <c r="AN771" s="818">
        <f t="shared" si="1409"/>
      </c>
      <c r="AO771" s="1050">
        <f t="shared" si="1409"/>
      </c>
      <c r="AP771" s="818">
        <f t="shared" si="1409"/>
      </c>
      <c r="AQ771" s="818">
        <f t="shared" si="1409"/>
      </c>
      <c r="AR771" s="818">
        <f t="shared" si="1409"/>
      </c>
      <c r="AS771" s="818">
        <f t="shared" si="1409"/>
      </c>
      <c r="AT771" s="1050">
        <f t="shared" si="1409"/>
      </c>
      <c r="AU771" s="818">
        <f t="shared" si="1409"/>
      </c>
      <c r="AV771" s="818">
        <f t="shared" si="1409"/>
      </c>
      <c r="AW771" s="818">
        <f t="shared" si="1409"/>
      </c>
      <c r="AX771" s="818">
        <f t="shared" si="1409"/>
      </c>
      <c r="AY771" s="1050">
        <f t="shared" si="1409"/>
      </c>
      <c r="AZ771" s="818">
        <f t="shared" si="1409"/>
      </c>
      <c r="BA771" s="818">
        <f t="shared" ref="BA771:BF771" si="1410">-(BA1146+BA1143+BA1151)</f>
      </c>
      <c r="BB771" s="818">
        <f t="shared" si="1410"/>
      </c>
      <c r="BC771" s="818">
        <f t="shared" si="1410"/>
      </c>
      <c r="BD771" s="1050">
        <f t="shared" si="1410"/>
      </c>
      <c r="BE771" s="818">
        <f t="shared" si="1410"/>
      </c>
      <c r="BF771" s="818">
        <f t="shared" si="1410"/>
      </c>
      <c r="BG771" s="818">
        <f t="shared" ref="BG771:BL771" si="1411">-(BG1146+BG1143+BG1151)</f>
      </c>
      <c r="BH771" s="818">
        <f t="shared" si="1411"/>
      </c>
      <c r="BI771" s="1050">
        <f t="shared" si="1411"/>
      </c>
      <c r="BJ771" s="818">
        <f t="shared" si="1411"/>
      </c>
      <c r="BK771" s="818">
        <f t="shared" si="1411"/>
      </c>
      <c r="BL771" s="818">
        <f t="shared" si="1411"/>
      </c>
      <c r="BM771" s="818">
        <f t="shared" ref="BM771:BS771" si="1412">-(BM1146+BM1143+BM1151)</f>
      </c>
      <c r="BN771" s="1050">
        <f t="shared" si="1412"/>
      </c>
      <c r="BO771" s="818">
        <f t="shared" si="1412"/>
      </c>
      <c r="BP771" s="818">
        <f t="shared" si="1412"/>
      </c>
      <c r="BQ771" s="818">
        <f t="shared" si="1412"/>
      </c>
      <c r="BR771" s="818">
        <f t="shared" si="1412"/>
      </c>
      <c r="BS771" s="1050">
        <f t="shared" si="1412"/>
      </c>
      <c r="BT771" s="819">
        <f>-(BT1146+BT1143+BT1151)</f>
      </c>
      <c r="BU771" s="818">
        <f>+BU866</f>
      </c>
      <c r="BV771" s="818">
        <f>+BV866</f>
      </c>
      <c r="BW771" s="818">
        <f>+BW866</f>
      </c>
      <c r="BX771" s="1050">
        <f>IF(ISBLANK(BT771),"n/a",SUM(BT771,BU771,BV771,BW771))</f>
      </c>
      <c r="BY771" s="818">
        <f>+BY866</f>
      </c>
      <c r="BZ771" s="818">
        <f>+BZ866</f>
      </c>
      <c r="CA771" s="818">
        <f>+CA866</f>
      </c>
      <c r="CB771" s="818">
        <f>+CB866</f>
      </c>
      <c r="CC771" s="1050">
        <f>IF(ISBLANK(BY771),"n/a",SUM(BY771,BZ771,CA771,CB771))</f>
      </c>
      <c r="CD771" s="1050">
        <f>+CD866</f>
      </c>
      <c r="CE771" s="1050">
        <f>+CE866</f>
      </c>
      <c r="CF771" s="1050">
        <f>+CF866</f>
      </c>
      <c r="CG771" s="273"/>
    </row>
    <row r="772" spans="1:85" x14ac:dyDescent="0.3">
      <c r="A772" s="420" t="s">
        <v>721</v>
      </c>
      <c r="B772" s="417"/>
      <c r="C772" s="946">
        <f t="shared" ref="C772:AZ772" si="1413">C1145+C1140</f>
      </c>
      <c r="D772" s="946">
        <f t="shared" si="1413"/>
      </c>
      <c r="E772" s="946">
        <f t="shared" si="1413"/>
      </c>
      <c r="F772" s="946">
        <f t="shared" si="1413"/>
      </c>
      <c r="G772" s="784">
        <f t="shared" si="1413"/>
      </c>
      <c r="H772" s="784">
        <f t="shared" si="1413"/>
      </c>
      <c r="I772" s="784">
        <f t="shared" si="1413"/>
      </c>
      <c r="J772" s="784">
        <f t="shared" si="1413"/>
      </c>
      <c r="K772" s="946">
        <f t="shared" si="1413"/>
      </c>
      <c r="L772" s="784">
        <f t="shared" si="1413"/>
      </c>
      <c r="M772" s="784">
        <f t="shared" si="1413"/>
      </c>
      <c r="N772" s="784">
        <f t="shared" si="1413"/>
      </c>
      <c r="O772" s="784">
        <f t="shared" si="1413"/>
      </c>
      <c r="P772" s="946">
        <f t="shared" si="1413"/>
      </c>
      <c r="Q772" s="784">
        <f t="shared" si="1413"/>
      </c>
      <c r="R772" s="784">
        <f t="shared" si="1413"/>
      </c>
      <c r="S772" s="784">
        <f t="shared" si="1413"/>
      </c>
      <c r="T772" s="784">
        <f t="shared" si="1413"/>
      </c>
      <c r="U772" s="946">
        <f t="shared" si="1413"/>
      </c>
      <c r="V772" s="784">
        <f t="shared" si="1413"/>
      </c>
      <c r="W772" s="784">
        <f t="shared" si="1413"/>
      </c>
      <c r="X772" s="784">
        <f t="shared" si="1413"/>
      </c>
      <c r="Y772" s="784">
        <f t="shared" si="1413"/>
      </c>
      <c r="Z772" s="946">
        <f t="shared" si="1413"/>
      </c>
      <c r="AA772" s="784">
        <f t="shared" si="1413"/>
      </c>
      <c r="AB772" s="784">
        <f t="shared" si="1413"/>
      </c>
      <c r="AC772" s="784">
        <f t="shared" si="1413"/>
      </c>
      <c r="AD772" s="784">
        <f t="shared" si="1413"/>
      </c>
      <c r="AE772" s="946">
        <f t="shared" si="1413"/>
      </c>
      <c r="AF772" s="784">
        <f t="shared" si="1413"/>
      </c>
      <c r="AG772" s="784">
        <f t="shared" si="1413"/>
      </c>
      <c r="AH772" s="784">
        <f t="shared" si="1413"/>
      </c>
      <c r="AI772" s="784">
        <f t="shared" si="1413"/>
      </c>
      <c r="AJ772" s="946">
        <f t="shared" si="1413"/>
      </c>
      <c r="AK772" s="784">
        <f t="shared" si="1413"/>
      </c>
      <c r="AL772" s="784">
        <f t="shared" si="1413"/>
      </c>
      <c r="AM772" s="784">
        <f t="shared" si="1413"/>
      </c>
      <c r="AN772" s="784">
        <f t="shared" si="1413"/>
      </c>
      <c r="AO772" s="946">
        <f t="shared" si="1413"/>
      </c>
      <c r="AP772" s="784">
        <f t="shared" si="1413"/>
      </c>
      <c r="AQ772" s="784">
        <f t="shared" si="1413"/>
      </c>
      <c r="AR772" s="784">
        <f t="shared" si="1413"/>
      </c>
      <c r="AS772" s="784">
        <f t="shared" si="1413"/>
      </c>
      <c r="AT772" s="946">
        <f t="shared" si="1413"/>
      </c>
      <c r="AU772" s="784">
        <f t="shared" si="1413"/>
      </c>
      <c r="AV772" s="784">
        <f t="shared" si="1413"/>
      </c>
      <c r="AW772" s="784">
        <f t="shared" si="1413"/>
      </c>
      <c r="AX772" s="784">
        <f t="shared" si="1413"/>
      </c>
      <c r="AY772" s="946">
        <f t="shared" si="1413"/>
      </c>
      <c r="AZ772" s="784">
        <f t="shared" si="1413"/>
      </c>
      <c r="BA772" s="784">
        <f t="shared" ref="BA772:BF772" si="1414">BA1145+BA1140</f>
      </c>
      <c r="BB772" s="784">
        <f t="shared" si="1414"/>
      </c>
      <c r="BC772" s="784">
        <f t="shared" si="1414"/>
      </c>
      <c r="BD772" s="946">
        <f t="shared" si="1414"/>
      </c>
      <c r="BE772" s="784">
        <f t="shared" si="1414"/>
      </c>
      <c r="BF772" s="784">
        <f t="shared" si="1414"/>
      </c>
      <c r="BG772" s="784">
        <f t="shared" ref="BG772:BK772" si="1415">BG1145+BG1140</f>
      </c>
      <c r="BH772" s="784">
        <f t="shared" si="1415"/>
      </c>
      <c r="BI772" s="946">
        <f t="shared" si="1415"/>
      </c>
      <c r="BJ772" s="784">
        <f t="shared" si="1415"/>
      </c>
      <c r="BK772" s="784">
        <f t="shared" si="1415"/>
      </c>
      <c r="BL772" s="784">
        <f t="shared" ref="BL772:BQ772" si="1416">BL1145+BL1140</f>
      </c>
      <c r="BM772" s="784">
        <f t="shared" si="1416"/>
      </c>
      <c r="BN772" s="946">
        <f t="shared" si="1416"/>
      </c>
      <c r="BO772" s="784">
        <f t="shared" si="1416"/>
      </c>
      <c r="BP772" s="784">
        <f t="shared" si="1416"/>
      </c>
      <c r="BQ772" s="784">
        <f t="shared" si="1416"/>
      </c>
      <c r="BR772" s="784">
        <f>BR1145+BR1140</f>
      </c>
      <c r="BS772" s="946">
        <f>BS1145+BS1140</f>
      </c>
      <c r="BT772" s="817">
        <f>BT1145+BT1140</f>
      </c>
      <c r="BU772" s="891">
        <v>0</v>
      </c>
      <c r="BV772" s="891">
        <v>0</v>
      </c>
      <c r="BW772" s="891">
        <v>0</v>
      </c>
      <c r="BX772" s="946">
        <f>IF(ISBLANK(BT772),"n/a",SUM(BT772,BU772,BV772,BW772))</f>
      </c>
      <c r="BY772" s="891">
        <v>0</v>
      </c>
      <c r="BZ772" s="891">
        <v>0</v>
      </c>
      <c r="CA772" s="891">
        <v>0</v>
      </c>
      <c r="CB772" s="891">
        <v>0</v>
      </c>
      <c r="CC772" s="946">
        <f>IF(ISBLANK(BY772),"n/a",SUM(BY772,BZ772,CA772,CB772))</f>
      </c>
      <c r="CD772" s="1051">
        <v>0</v>
      </c>
      <c r="CE772" s="1051">
        <v>0</v>
      </c>
      <c r="CF772" s="1051">
        <v>0</v>
      </c>
      <c r="CG772" s="273"/>
    </row>
    <row r="773" spans="1:85" x14ac:dyDescent="0.3">
      <c r="A773" s="421" t="s">
        <v>722</v>
      </c>
      <c r="B773" s="423"/>
      <c r="C773" s="948">
        <f t="shared" ref="C773:AY773" si="1417">C733</f>
      </c>
      <c r="D773" s="948">
        <f t="shared" si="1417"/>
      </c>
      <c r="E773" s="948">
        <f t="shared" si="1417"/>
      </c>
      <c r="F773" s="948">
        <f t="shared" si="1417"/>
      </c>
      <c r="G773" s="787">
        <f t="shared" si="1417"/>
      </c>
      <c r="H773" s="787">
        <f t="shared" si="1417"/>
      </c>
      <c r="I773" s="787">
        <f t="shared" si="1417"/>
      </c>
      <c r="J773" s="787">
        <f t="shared" si="1417"/>
      </c>
      <c r="K773" s="948">
        <f t="shared" si="1417"/>
      </c>
      <c r="L773" s="787">
        <f t="shared" si="1417"/>
      </c>
      <c r="M773" s="787">
        <f t="shared" si="1417"/>
      </c>
      <c r="N773" s="787">
        <f t="shared" si="1417"/>
      </c>
      <c r="O773" s="787">
        <f t="shared" si="1417"/>
      </c>
      <c r="P773" s="948">
        <f t="shared" si="1417"/>
      </c>
      <c r="Q773" s="787">
        <f t="shared" si="1417"/>
      </c>
      <c r="R773" s="787">
        <f t="shared" si="1417"/>
      </c>
      <c r="S773" s="787">
        <f t="shared" si="1417"/>
      </c>
      <c r="T773" s="787">
        <f t="shared" si="1417"/>
      </c>
      <c r="U773" s="948">
        <f t="shared" si="1417"/>
      </c>
      <c r="V773" s="787">
        <f t="shared" si="1417"/>
      </c>
      <c r="W773" s="787">
        <f t="shared" si="1417"/>
      </c>
      <c r="X773" s="787">
        <f t="shared" si="1417"/>
      </c>
      <c r="Y773" s="787">
        <f t="shared" si="1417"/>
      </c>
      <c r="Z773" s="948">
        <f t="shared" si="1417"/>
      </c>
      <c r="AA773" s="787">
        <f t="shared" si="1417"/>
      </c>
      <c r="AB773" s="787">
        <f t="shared" si="1417"/>
      </c>
      <c r="AC773" s="787">
        <f t="shared" si="1417"/>
      </c>
      <c r="AD773" s="787">
        <f t="shared" si="1417"/>
      </c>
      <c r="AE773" s="948">
        <f t="shared" si="1417"/>
      </c>
      <c r="AF773" s="787">
        <f t="shared" si="1417"/>
      </c>
      <c r="AG773" s="787">
        <f t="shared" si="1417"/>
      </c>
      <c r="AH773" s="787">
        <f t="shared" si="1417"/>
      </c>
      <c r="AI773" s="787">
        <f t="shared" si="1417"/>
      </c>
      <c r="AJ773" s="948">
        <f t="shared" si="1417"/>
      </c>
      <c r="AK773" s="787">
        <f t="shared" si="1417"/>
      </c>
      <c r="AL773" s="787">
        <f t="shared" si="1417"/>
      </c>
      <c r="AM773" s="787">
        <f t="shared" si="1417"/>
      </c>
      <c r="AN773" s="787">
        <f t="shared" si="1417"/>
      </c>
      <c r="AO773" s="948">
        <f t="shared" si="1417"/>
      </c>
      <c r="AP773" s="787">
        <f t="shared" si="1417"/>
      </c>
      <c r="AQ773" s="787">
        <f t="shared" si="1417"/>
      </c>
      <c r="AR773" s="787">
        <f t="shared" si="1417"/>
      </c>
      <c r="AS773" s="787">
        <f t="shared" si="1417"/>
      </c>
      <c r="AT773" s="948">
        <f t="shared" si="1417"/>
      </c>
      <c r="AU773" s="787">
        <f t="shared" si="1417"/>
      </c>
      <c r="AV773" s="787">
        <f t="shared" si="1417"/>
      </c>
      <c r="AW773" s="787">
        <f t="shared" si="1417"/>
      </c>
      <c r="AX773" s="787">
        <f t="shared" si="1417"/>
      </c>
      <c r="AY773" s="948">
        <f t="shared" si="1417"/>
      </c>
      <c r="AZ773" s="787">
        <f>AZ733</f>
      </c>
      <c r="BA773" s="787">
        <f t="shared" ref="BA773" si="1418">BA733</f>
      </c>
      <c r="BB773" s="787">
        <f t="shared" ref="BB773:BG773" si="1419">BB733</f>
      </c>
      <c r="BC773" s="787">
        <f t="shared" si="1419"/>
      </c>
      <c r="BD773" s="948">
        <f t="shared" si="1419"/>
      </c>
      <c r="BE773" s="787">
        <f t="shared" si="1419"/>
      </c>
      <c r="BF773" s="787">
        <f t="shared" si="1419"/>
      </c>
      <c r="BG773" s="787">
        <f t="shared" si="1419"/>
      </c>
      <c r="BH773" s="787">
        <f t="shared" ref="BH773:BN773" si="1420">BH733</f>
      </c>
      <c r="BI773" s="948">
        <f t="shared" si="1420"/>
      </c>
      <c r="BJ773" s="787">
        <f t="shared" si="1420"/>
      </c>
      <c r="BK773" s="787">
        <f t="shared" si="1420"/>
      </c>
      <c r="BL773" s="787">
        <f t="shared" si="1420"/>
      </c>
      <c r="BM773" s="787">
        <f t="shared" si="1420"/>
      </c>
      <c r="BN773" s="948">
        <f t="shared" si="1420"/>
      </c>
      <c r="BO773" s="787">
        <f t="shared" ref="BO773:BT773" si="1421">BO733</f>
      </c>
      <c r="BP773" s="787">
        <f t="shared" si="1421"/>
      </c>
      <c r="BQ773" s="787">
        <f t="shared" si="1421"/>
      </c>
      <c r="BR773" s="787">
        <f t="shared" si="1421"/>
      </c>
      <c r="BS773" s="948">
        <f t="shared" si="1421"/>
      </c>
      <c r="BT773" s="788">
        <f t="shared" si="1421"/>
      </c>
      <c r="BU773" s="787">
        <f>BU772-BU771</f>
      </c>
      <c r="BV773" s="787">
        <f>BV772-BV771</f>
      </c>
      <c r="BW773" s="787">
        <f>BW772-BW771</f>
      </c>
      <c r="BX773" s="948">
        <f>SUM(BT773,BU773,BV773,BW773)</f>
      </c>
      <c r="BY773" s="787">
        <f>BY772-BY771</f>
      </c>
      <c r="BZ773" s="787">
        <f>BZ772-BZ771</f>
      </c>
      <c r="CA773" s="787">
        <f>CA772-CA771</f>
      </c>
      <c r="CB773" s="787">
        <f>CB772-CB771</f>
      </c>
      <c r="CC773" s="948">
        <f>SUM(BY773,BZ773,CA773,CB773)</f>
      </c>
      <c r="CD773" s="948">
        <f>CD772-CD771</f>
      </c>
      <c r="CE773" s="948">
        <f>CE772-CE771</f>
      </c>
      <c r="CF773" s="948">
        <f>CF772-CF771</f>
      </c>
      <c r="CG773" s="273"/>
    </row>
    <row r="774" spans="1:85" x14ac:dyDescent="0.3">
      <c r="A774" s="454" t="s">
        <v>880</v>
      </c>
      <c r="B774" s="442"/>
      <c r="C774" s="943"/>
      <c r="D774" s="943"/>
      <c r="E774" s="943"/>
      <c r="F774" s="943"/>
      <c r="G774" s="753"/>
      <c r="H774" s="753"/>
      <c r="I774" s="753"/>
      <c r="J774" s="753"/>
      <c r="K774" s="943"/>
      <c r="L774" s="753"/>
      <c r="M774" s="753"/>
      <c r="N774" s="753"/>
      <c r="O774" s="753"/>
      <c r="P774" s="943"/>
      <c r="Q774" s="753"/>
      <c r="R774" s="753"/>
      <c r="S774" s="753"/>
      <c r="T774" s="753"/>
      <c r="U774" s="943"/>
      <c r="V774" s="753"/>
      <c r="W774" s="753"/>
      <c r="X774" s="753"/>
      <c r="Y774" s="753"/>
      <c r="Z774" s="943"/>
      <c r="AA774" s="753"/>
      <c r="AB774" s="753"/>
      <c r="AC774" s="753"/>
      <c r="AD774" s="753"/>
      <c r="AE774" s="943"/>
      <c r="AF774" s="753"/>
      <c r="AG774" s="753"/>
      <c r="AH774" s="753"/>
      <c r="AI774" s="753"/>
      <c r="AJ774" s="943"/>
      <c r="AK774" s="753"/>
      <c r="AL774" s="753"/>
      <c r="AM774" s="753"/>
      <c r="AN774" s="753"/>
      <c r="AO774" s="943"/>
      <c r="AP774" s="753"/>
      <c r="AQ774" s="753"/>
      <c r="AR774" s="753"/>
      <c r="AS774" s="753"/>
      <c r="AT774" s="943"/>
      <c r="AU774" s="753"/>
      <c r="AV774" s="753"/>
      <c r="AW774" s="753"/>
      <c r="AX774" s="753"/>
      <c r="AY774" s="943"/>
      <c r="AZ774" s="753"/>
      <c r="BA774" s="753"/>
      <c r="BB774" s="753"/>
      <c r="BC774" s="753"/>
      <c r="BD774" s="943"/>
      <c r="BE774" s="753"/>
      <c r="BF774" s="753"/>
      <c r="BG774" s="753"/>
      <c r="BH774" s="753"/>
      <c r="BI774" s="943"/>
      <c r="BJ774" s="753"/>
      <c r="BK774" s="753"/>
      <c r="BL774" s="753"/>
      <c r="BM774" s="753"/>
      <c r="BN774" s="943"/>
      <c r="BO774" s="753"/>
      <c r="BP774" s="753"/>
      <c r="BQ774" s="753"/>
      <c r="BR774" s="753"/>
      <c r="BS774" s="943"/>
      <c r="BT774" s="756"/>
      <c r="BU774" s="753">
        <f>(BT835-BU835)+BU772-BU866</f>
      </c>
      <c r="BV774" s="753">
        <f>(BU835-BV835)+BV772-BV866</f>
      </c>
      <c r="BW774" s="753">
        <f>(BV835-BW835)+BW772-BW866</f>
      </c>
      <c r="BX774" s="943">
        <f>SUM(BT774,BU774,BV774,BW774)</f>
      </c>
      <c r="BY774" s="753">
        <f>(BX835-BY835)+BY772-BY866</f>
      </c>
      <c r="BZ774" s="753">
        <f>(BY835-BZ835)+BZ772-BZ866</f>
      </c>
      <c r="CA774" s="753">
        <f>(BZ835-CA835)+CA772-CA866</f>
      </c>
      <c r="CB774" s="753">
        <f>(CA835-CB835)+CB772-CB866</f>
      </c>
      <c r="CC774" s="943">
        <f>SUM(BY774,BZ774,CA774,CB774)</f>
      </c>
      <c r="CD774" s="943">
        <f>(CC835-CD835)+CD772-CD866</f>
      </c>
      <c r="CE774" s="943">
        <f>(CD835-CE835)+CE772-CE866</f>
      </c>
      <c r="CF774" s="943">
        <f>(CE835-CF835)+CF772-CF866</f>
      </c>
      <c r="CG774" s="277"/>
    </row>
    <row r="775" spans="1:85" s="599" customFormat="1" x14ac:dyDescent="0.3">
      <c r="A775" s="450" t="s">
        <v>900</v>
      </c>
      <c r="B775" s="451"/>
      <c r="C775" s="1052">
        <v>0.69773932458833376</v>
      </c>
      <c r="D775" s="1052">
        <v>0.75363629512397323</v>
      </c>
      <c r="E775" s="1052">
        <v>0.77083172743390127</v>
      </c>
      <c r="F775" s="1052">
        <v>0.75838010010617318</v>
      </c>
      <c r="G775" s="892">
        <v>0.78027465667915097</v>
      </c>
      <c r="H775" s="892">
        <v>0.76863950807071491</v>
      </c>
      <c r="I775" s="892">
        <v>0.73882526782415958</v>
      </c>
      <c r="J775" s="892">
        <v>0.72574207126787149</v>
      </c>
      <c r="K775" s="1052">
        <v>0.72574207126787149</v>
      </c>
      <c r="L775" s="892">
        <v>0.72584742687087178</v>
      </c>
      <c r="M775" s="892">
        <v>0.73046018991964934</v>
      </c>
      <c r="N775" s="892">
        <v>0.79189103579347486</v>
      </c>
      <c r="O775" s="892">
        <v>0.82637798529047191</v>
      </c>
      <c r="P775" s="1052">
        <v>0.82637798529047191</v>
      </c>
      <c r="Q775" s="892">
        <v>0.93101201005492962</v>
      </c>
      <c r="R775" s="892">
        <v>0.8965393580778197</v>
      </c>
      <c r="S775" s="892">
        <v>0.89589679268948208</v>
      </c>
      <c r="T775" s="892">
        <v>0.92089511004696556</v>
      </c>
      <c r="U775" s="1052">
        <v>0.92089511004696556</v>
      </c>
      <c r="V775" s="892">
        <v>0.87796312554872691</v>
      </c>
      <c r="W775" s="892">
        <v>0.90645395213923141</v>
      </c>
      <c r="X775" s="892">
        <v>0.88983804947499567</v>
      </c>
      <c r="Y775" s="892">
        <v>0.94768764215314638</v>
      </c>
      <c r="Z775" s="1052">
        <v>0.94768764215314638</v>
      </c>
      <c r="AA775" s="892">
        <v>0.93475415965601039</v>
      </c>
      <c r="AB775" s="892">
        <v>0.87634738410305846</v>
      </c>
      <c r="AC775" s="892">
        <v>0.84652501481418774</v>
      </c>
      <c r="AD775" s="892">
        <v>0.83180835135584763</v>
      </c>
      <c r="AE775" s="1052">
        <v>0.83180835135584763</v>
      </c>
      <c r="AF775" s="892">
        <v>0.81168831168831168</v>
      </c>
      <c r="AG775" s="892">
        <v>0.85638434529416807</v>
      </c>
      <c r="AH775" s="892">
        <v>0.86043710204784041</v>
      </c>
      <c r="AI775" s="892">
        <v>0.87290502793296088</v>
      </c>
      <c r="AJ775" s="1052">
        <v>0.87290502793296088</v>
      </c>
      <c r="AK775" s="892">
        <v>0.89063056644104022</v>
      </c>
      <c r="AL775" s="892">
        <v>0.87919817126780375</v>
      </c>
      <c r="AM775" s="892">
        <v>0.9170105456212746</v>
      </c>
      <c r="AN775" s="892">
        <v>0.89070989578694215</v>
      </c>
      <c r="AO775" s="1052">
        <v>0.89070989578694215</v>
      </c>
      <c r="AP775" s="892">
        <v>0.90777051561365296</v>
      </c>
      <c r="AQ775" s="892">
        <v>0.88991723769689424</v>
      </c>
      <c r="AR775" s="892">
        <v>0.85302396997355634</v>
      </c>
      <c r="AS775" s="892">
        <v>0.81766148814390838</v>
      </c>
      <c r="AT775" s="1052">
        <v>0.81766148814390838</v>
      </c>
      <c r="AU775" s="892">
        <v>0.85157114876947981</v>
      </c>
      <c r="AV775" s="892">
        <v>0.84402430790006744</v>
      </c>
      <c r="AW775" s="892">
        <v>0.86378163600241864</v>
      </c>
      <c r="AX775" s="892">
        <v>0.88354833009365619</v>
      </c>
      <c r="AY775" s="1052">
        <v>0.88354833009365619</v>
      </c>
      <c r="AZ775" s="892">
        <v>0.9014693951140359</v>
      </c>
      <c r="BA775" s="892">
        <v>0.95520106982519826</v>
      </c>
      <c r="BB775" s="892">
        <v>1.0221813349688236</v>
      </c>
      <c r="BC775" s="892">
        <v>0.93475415965601039</v>
      </c>
      <c r="BD775" s="1052">
        <v>0.93475415965601039</v>
      </c>
      <c r="BE775" s="892">
        <v>0.91979396615158204</v>
      </c>
      <c r="BF775" s="892">
        <v>0.91575091575091605</v>
      </c>
      <c r="BG775" s="892">
        <v>0.9446</v>
      </c>
      <c r="BH775" s="892">
        <v>0.90598999999999996</v>
      </c>
      <c r="BI775" s="1052">
        <v>0.90598999999999996</v>
      </c>
      <c r="BJ775" s="892">
        <v>0.92662</v>
      </c>
      <c r="BK775" s="892">
        <v>0.92872489010989023</v>
      </c>
      <c r="BL775" s="892">
        <v>0.89800000000000002</v>
      </c>
      <c r="BM775" s="892">
        <v>0.93776375000000001</v>
      </c>
      <c r="BN775" s="1052">
        <v>0.92420927732240443</v>
      </c>
      <c r="BO775" s="892">
        <v>0.92440999999999995</v>
      </c>
      <c r="BP775" s="892">
        <v>0.84846999999999995</v>
      </c>
      <c r="BQ775" s="892">
        <v>0.85216000000000003</v>
      </c>
      <c r="BR775" s="892">
        <v>0.8589</v>
      </c>
      <c r="BS775" s="1052">
        <v>0.86799999999999999</v>
      </c>
      <c r="BT775" s="893">
        <v>0.86399999999999999</v>
      </c>
      <c r="BU775" s="892">
        <v>0.96</v>
      </c>
      <c r="BV775" s="892">
        <v>0.96</v>
      </c>
      <c r="BW775" s="892">
        <v>0.96</v>
      </c>
      <c r="BX775" s="1053">
        <f>BW775</f>
      </c>
      <c r="BY775" s="892">
        <v>0.96</v>
      </c>
      <c r="BZ775" s="892">
        <v>0.96</v>
      </c>
      <c r="CA775" s="892">
        <v>0.96</v>
      </c>
      <c r="CB775" s="892">
        <v>0.96</v>
      </c>
      <c r="CC775" s="1053">
        <f>CB775</f>
      </c>
      <c r="CD775" s="1052">
        <v>0.96</v>
      </c>
      <c r="CE775" s="1052">
        <v>0.96</v>
      </c>
      <c r="CF775" s="1052">
        <v>0.96</v>
      </c>
      <c r="CG775" s="453"/>
    </row>
    <row r="776" spans="1:85" s="599" customFormat="1" x14ac:dyDescent="0.3">
      <c r="A776" s="450" t="s">
        <v>901</v>
      </c>
      <c r="B776" s="451"/>
      <c r="C776" s="1052">
        <v>0.71914972603601857</v>
      </c>
      <c r="D776" s="1052">
        <v>0.75525554486144075</v>
      </c>
      <c r="E776" s="1052">
        <v>0.71898934846156981</v>
      </c>
      <c r="F776" s="1052">
        <v>0.77825915420719571</v>
      </c>
      <c r="G776" s="892">
        <v>0.75775742518759026</v>
      </c>
      <c r="H776" s="892">
        <v>0.76565715035804061</v>
      </c>
      <c r="I776" s="892">
        <v>0.75500601579362026</v>
      </c>
      <c r="J776" s="892">
        <v>0.73456955661691381</v>
      </c>
      <c r="K776" s="1052">
        <v>0.75316543204740849</v>
      </c>
      <c r="L776" s="892">
        <v>0.7297853405642295</v>
      </c>
      <c r="M776" s="892">
        <v>0.72919645406207623</v>
      </c>
      <c r="N776" s="892">
        <v>0.75482579956372098</v>
      </c>
      <c r="O776" s="892">
        <v>0.80087504930690545</v>
      </c>
      <c r="P776" s="1052">
        <v>0.75394746105596533</v>
      </c>
      <c r="Q776" s="892">
        <v>0.88873073030880612</v>
      </c>
      <c r="R776" s="892">
        <v>0.9038853017164844</v>
      </c>
      <c r="S776" s="892">
        <v>0.89958416446636369</v>
      </c>
      <c r="T776" s="892">
        <v>0.91361792421344734</v>
      </c>
      <c r="U776" s="1052">
        <v>0.90154271725748103</v>
      </c>
      <c r="V776" s="892">
        <v>0.90648729555705942</v>
      </c>
      <c r="W776" s="892">
        <v>0.88558736230627744</v>
      </c>
      <c r="X776" s="892">
        <v>0.89591598108463766</v>
      </c>
      <c r="Y776" s="892">
        <v>0.92825594859118699</v>
      </c>
      <c r="Z776" s="1052">
        <v>0.90403043743728062</v>
      </c>
      <c r="AA776" s="892">
        <v>0.93838769559484125</v>
      </c>
      <c r="AB776" s="892">
        <v>0.90866765396678639</v>
      </c>
      <c r="AC776" s="892">
        <v>0.85122831353343409</v>
      </c>
      <c r="AD776" s="892">
        <v>0.84922313356982304</v>
      </c>
      <c r="AE776" s="1052">
        <v>0.88687669916622125</v>
      </c>
      <c r="AF776" s="892">
        <v>0.81410432889131668</v>
      </c>
      <c r="AG776" s="892">
        <v>0.83947139134332049</v>
      </c>
      <c r="AH776" s="892">
        <v>0.86000185257727702</v>
      </c>
      <c r="AI776" s="892">
        <v>0.87628082479592573</v>
      </c>
      <c r="AJ776" s="1052">
        <v>0.8475750063958073</v>
      </c>
      <c r="AK776" s="892">
        <v>0.88065681038344334</v>
      </c>
      <c r="AL776" s="892">
        <v>0.89000202937216721</v>
      </c>
      <c r="AM776" s="892">
        <v>0.89929110200834095</v>
      </c>
      <c r="AN776" s="892">
        <v>0.90318319884719322</v>
      </c>
      <c r="AO776" s="1052">
        <v>0.89339261160994832</v>
      </c>
      <c r="AP776" s="892">
        <v>0.90733664433232375</v>
      </c>
      <c r="AQ776" s="892">
        <v>0.90820807394072622</v>
      </c>
      <c r="AR776" s="892">
        <v>0.85547273128004919</v>
      </c>
      <c r="AS776" s="892">
        <v>0.83845457641874521</v>
      </c>
      <c r="AT776" s="1052">
        <v>0.87713591219797149</v>
      </c>
      <c r="AU776" s="892">
        <v>0.82987832601484657</v>
      </c>
      <c r="AV776" s="892">
        <v>0.82978903437417317</v>
      </c>
      <c r="AW776" s="892">
        <v>0.84844455353138137</v>
      </c>
      <c r="AX776" s="892">
        <v>0.87483434680844496</v>
      </c>
      <c r="AY776" s="1052">
        <v>0.84591918590689652</v>
      </c>
      <c r="AZ776" s="892">
        <v>0.89140759919039003</v>
      </c>
      <c r="BA776" s="892">
        <v>0.93970151969303173</v>
      </c>
      <c r="BB776" s="892">
        <v>0.99330280049795106</v>
      </c>
      <c r="BC776" s="892">
        <v>0.97957571630169682</v>
      </c>
      <c r="BD776" s="1052">
        <v>0.95138881354118132</v>
      </c>
      <c r="BE776" s="892">
        <v>0.93209106721259161</v>
      </c>
      <c r="BF776" s="892">
        <v>0.91868599879081703</v>
      </c>
      <c r="BG776" s="892">
        <v>0.91889582608695619</v>
      </c>
      <c r="BH776" s="892">
        <v>0.92874021739130452</v>
      </c>
      <c r="BI776" s="1052">
        <v>0.92401518356164358</v>
      </c>
      <c r="BJ776" s="892">
        <v>0.92076884615384658</v>
      </c>
      <c r="BK776" s="892">
        <v>0.93160500000000002</v>
      </c>
      <c r="BL776" s="892">
        <v>0.90959130978260916</v>
      </c>
      <c r="BM776" s="892">
        <v>0.95951500000000001</v>
      </c>
      <c r="BN776" s="1052">
        <v>0.95951500000000001</v>
      </c>
      <c r="BO776" s="892">
        <v>0.95038916444444388</v>
      </c>
      <c r="BP776" s="892">
        <v>0.88157996931818228</v>
      </c>
      <c r="BQ776" s="892">
        <v>0.85532487173913074</v>
      </c>
      <c r="BR776" s="892">
        <v>0.85199999999999998</v>
      </c>
      <c r="BS776" s="1053">
        <f>BR776</f>
      </c>
      <c r="BT776" s="893">
        <v>0.85447727777777804</v>
      </c>
      <c r="BU776" s="452">
        <f>+AVERAGE(BU775,BT775)</f>
      </c>
      <c r="BV776" s="452">
        <f>+AVERAGE(BV775,BU775)</f>
      </c>
      <c r="BW776" s="452">
        <f>+AVERAGE(BW775,BV775)</f>
      </c>
      <c r="BX776" s="1053">
        <f>AVERAGE(BT776,BU776,BV776,BW776)</f>
      </c>
      <c r="BY776" s="452">
        <f>+AVERAGE(BY775,BX775)</f>
      </c>
      <c r="BZ776" s="452">
        <f>+AVERAGE(BZ775,BY775)</f>
      </c>
      <c r="CA776" s="452">
        <f>+AVERAGE(CA775,BZ775)</f>
      </c>
      <c r="CB776" s="452">
        <f>+AVERAGE(CB775,CA775)</f>
      </c>
      <c r="CC776" s="1053">
        <f>AVERAGE(BY776,BZ776,CA776,CB776)</f>
      </c>
      <c r="CD776" s="1053">
        <f>+AVERAGE(CD775,CC775)</f>
      </c>
      <c r="CE776" s="1053">
        <f>+AVERAGE(CE775,CD775)</f>
      </c>
      <c r="CF776" s="1053">
        <f>+AVERAGE(CF775,CE775)</f>
      </c>
      <c r="CG776" s="453"/>
    </row>
    <row r="777" spans="1:85" s="599" customFormat="1" x14ac:dyDescent="0.3">
      <c r="A777" s="450"/>
      <c r="B777" s="451"/>
      <c r="C777" s="1053"/>
      <c r="D777" s="1053"/>
      <c r="E777" s="1053"/>
      <c r="F777" s="1053"/>
      <c r="G777" s="452"/>
      <c r="H777" s="452"/>
      <c r="I777" s="452"/>
      <c r="J777" s="452"/>
      <c r="K777" s="1053"/>
      <c r="L777" s="452"/>
      <c r="M777" s="452"/>
      <c r="N777" s="452"/>
      <c r="O777" s="452"/>
      <c r="P777" s="1053"/>
      <c r="Q777" s="452"/>
      <c r="R777" s="452"/>
      <c r="S777" s="452"/>
      <c r="T777" s="452"/>
      <c r="U777" s="1053"/>
      <c r="V777" s="452"/>
      <c r="W777" s="452"/>
      <c r="X777" s="452"/>
      <c r="Y777" s="452"/>
      <c r="Z777" s="1053"/>
      <c r="AA777" s="452"/>
      <c r="AB777" s="452"/>
      <c r="AC777" s="452"/>
      <c r="AD777" s="452"/>
      <c r="AE777" s="1053"/>
      <c r="AF777" s="452"/>
      <c r="AG777" s="452"/>
      <c r="AH777" s="452"/>
      <c r="AI777" s="452"/>
      <c r="AJ777" s="1053"/>
      <c r="AK777" s="452"/>
      <c r="AL777" s="452"/>
      <c r="AM777" s="452"/>
      <c r="AN777" s="452"/>
      <c r="AO777" s="1053"/>
      <c r="AP777" s="452"/>
      <c r="AQ777" s="452"/>
      <c r="AR777" s="452"/>
      <c r="AS777" s="452"/>
      <c r="AT777" s="1053"/>
      <c r="AU777" s="452"/>
      <c r="AV777" s="452"/>
      <c r="AW777" s="452"/>
      <c r="AX777" s="452"/>
      <c r="AY777" s="1053"/>
      <c r="AZ777" s="452"/>
      <c r="BA777" s="452"/>
      <c r="BB777" s="452"/>
      <c r="BC777" s="452"/>
      <c r="BD777" s="1053"/>
      <c r="BE777" s="452"/>
      <c r="BF777" s="452"/>
      <c r="BG777" s="452"/>
      <c r="BH777" s="452"/>
      <c r="BI777" s="1053"/>
      <c r="BJ777" s="452"/>
      <c r="BK777" s="452"/>
      <c r="BL777" s="452"/>
      <c r="BM777" s="452"/>
      <c r="BN777" s="1053"/>
      <c r="BO777" s="452"/>
      <c r="BP777" s="452"/>
      <c r="BQ777" s="452"/>
      <c r="BR777" s="452"/>
      <c r="BS777" s="1053"/>
      <c r="BT777" s="713"/>
      <c r="BU777" s="452"/>
      <c r="BV777" s="452"/>
      <c r="BW777" s="452"/>
      <c r="BX777" s="1053"/>
      <c r="BY777" s="452"/>
      <c r="BZ777" s="452"/>
      <c r="CA777" s="452"/>
      <c r="CB777" s="452"/>
      <c r="CC777" s="1053"/>
      <c r="CD777" s="1053"/>
      <c r="CE777" s="1053"/>
      <c r="CF777" s="1053"/>
      <c r="CG777" s="453"/>
    </row>
    <row r="778" spans="1:85" x14ac:dyDescent="0.3">
      <c r="A778" s="413" t="s">
        <v>723</v>
      </c>
      <c r="B778" s="442"/>
      <c r="C778" s="943"/>
      <c r="D778" s="943"/>
      <c r="E778" s="943"/>
      <c r="F778" s="943"/>
      <c r="G778" s="753"/>
      <c r="H778" s="753"/>
      <c r="I778" s="753"/>
      <c r="J778" s="753"/>
      <c r="K778" s="943"/>
      <c r="L778" s="753"/>
      <c r="M778" s="753"/>
      <c r="N778" s="753"/>
      <c r="O778" s="753"/>
      <c r="P778" s="943"/>
      <c r="Q778" s="753"/>
      <c r="R778" s="753"/>
      <c r="S778" s="753"/>
      <c r="T778" s="753"/>
      <c r="U778" s="943"/>
      <c r="V778" s="753"/>
      <c r="W778" s="753"/>
      <c r="X778" s="753"/>
      <c r="Y778" s="753"/>
      <c r="Z778" s="943"/>
      <c r="AA778" s="753"/>
      <c r="AB778" s="753"/>
      <c r="AC778" s="753"/>
      <c r="AD778" s="753"/>
      <c r="AE778" s="943"/>
      <c r="AF778" s="753"/>
      <c r="AG778" s="753"/>
      <c r="AH778" s="753"/>
      <c r="AI778" s="753"/>
      <c r="AJ778" s="943"/>
      <c r="AK778" s="753"/>
      <c r="AL778" s="753"/>
      <c r="AM778" s="753"/>
      <c r="AN778" s="753"/>
      <c r="AO778" s="943"/>
      <c r="AP778" s="753"/>
      <c r="AQ778" s="753"/>
      <c r="AR778" s="753"/>
      <c r="AS778" s="753"/>
      <c r="AT778" s="943"/>
      <c r="AU778" s="753"/>
      <c r="AV778" s="753"/>
      <c r="AW778" s="753"/>
      <c r="AX778" s="753"/>
      <c r="AY778" s="943"/>
      <c r="AZ778" s="753"/>
      <c r="BA778" s="753"/>
      <c r="BB778" s="753"/>
      <c r="BC778" s="753"/>
      <c r="BD778" s="943"/>
      <c r="BE778" s="753"/>
      <c r="BF778" s="753"/>
      <c r="BG778" s="753"/>
      <c r="BH778" s="753"/>
      <c r="BI778" s="943"/>
      <c r="BJ778" s="753"/>
      <c r="BK778" s="753"/>
      <c r="BL778" s="753"/>
      <c r="BM778" s="753"/>
      <c r="BN778" s="943"/>
      <c r="BO778" s="753"/>
      <c r="BP778" s="753"/>
      <c r="BQ778" s="753"/>
      <c r="BR778" s="753"/>
      <c r="BS778" s="943"/>
      <c r="BT778" s="756"/>
      <c r="BU778" s="753"/>
      <c r="BV778" s="753"/>
      <c r="BW778" s="753"/>
      <c r="BX778" s="943"/>
      <c r="BY778" s="753"/>
      <c r="BZ778" s="753"/>
      <c r="CA778" s="753"/>
      <c r="CB778" s="753"/>
      <c r="CC778" s="943"/>
      <c r="CD778" s="943"/>
      <c r="CE778" s="943"/>
      <c r="CF778" s="943"/>
      <c r="CG778" s="273"/>
    </row>
    <row r="779" spans="1:85" x14ac:dyDescent="0.3">
      <c r="A779" s="415" t="s">
        <v>724</v>
      </c>
      <c r="B779" s="417"/>
      <c r="C779" s="946"/>
      <c r="D779" s="946"/>
      <c r="E779" s="946"/>
      <c r="F779" s="946"/>
      <c r="G779" s="784"/>
      <c r="H779" s="784"/>
      <c r="I779" s="784"/>
      <c r="J779" s="784"/>
      <c r="K779" s="946"/>
      <c r="L779" s="784"/>
      <c r="M779" s="784"/>
      <c r="N779" s="784"/>
      <c r="O779" s="784"/>
      <c r="P779" s="946"/>
      <c r="Q779" s="784"/>
      <c r="R779" s="784"/>
      <c r="S779" s="784"/>
      <c r="T779" s="784"/>
      <c r="U779" s="946"/>
      <c r="V779" s="784"/>
      <c r="W779" s="784"/>
      <c r="X779" s="784"/>
      <c r="Y779" s="784"/>
      <c r="Z779" s="946"/>
      <c r="AA779" s="784"/>
      <c r="AB779" s="784"/>
      <c r="AC779" s="784"/>
      <c r="AD779" s="784"/>
      <c r="AE779" s="946"/>
      <c r="AF779" s="784"/>
      <c r="AG779" s="784"/>
      <c r="AH779" s="784"/>
      <c r="AI779" s="784"/>
      <c r="AJ779" s="946"/>
      <c r="AK779" s="784"/>
      <c r="AL779" s="784"/>
      <c r="AM779" s="784"/>
      <c r="AN779" s="784">
        <f t="shared" ref="AN779:BL779" si="1422">AN834+AN811+AN812+AN813+AN814+AN816+AN817+AN818+AN820+AN821+AN822+AN824+AN825+AN827+AN828+AN830+AN831+AN832+AN833</f>
      </c>
      <c r="AO779" s="946">
        <f t="shared" si="1422"/>
      </c>
      <c r="AP779" s="784">
        <f t="shared" si="1422"/>
      </c>
      <c r="AQ779" s="784">
        <f t="shared" si="1422"/>
      </c>
      <c r="AR779" s="784">
        <f t="shared" si="1422"/>
      </c>
      <c r="AS779" s="784">
        <f t="shared" si="1422"/>
      </c>
      <c r="AT779" s="946">
        <f t="shared" si="1422"/>
      </c>
      <c r="AU779" s="784">
        <f t="shared" si="1422"/>
      </c>
      <c r="AV779" s="784">
        <f t="shared" si="1422"/>
      </c>
      <c r="AW779" s="784">
        <f t="shared" si="1422"/>
      </c>
      <c r="AX779" s="784">
        <f t="shared" si="1422"/>
      </c>
      <c r="AY779" s="946">
        <f t="shared" si="1422"/>
      </c>
      <c r="AZ779" s="784">
        <f t="shared" si="1422"/>
      </c>
      <c r="BA779" s="784">
        <f t="shared" si="1422"/>
      </c>
      <c r="BB779" s="784">
        <f t="shared" si="1422"/>
      </c>
      <c r="BC779" s="784">
        <f t="shared" si="1422"/>
      </c>
      <c r="BD779" s="946">
        <f t="shared" si="1422"/>
      </c>
      <c r="BE779" s="784">
        <f t="shared" si="1422"/>
      </c>
      <c r="BF779" s="784">
        <f t="shared" si="1422"/>
      </c>
      <c r="BG779" s="784">
        <f t="shared" si="1422"/>
      </c>
      <c r="BH779" s="784">
        <f t="shared" si="1422"/>
      </c>
      <c r="BI779" s="946">
        <f t="shared" si="1422"/>
      </c>
      <c r="BJ779" s="784">
        <f t="shared" si="1422"/>
      </c>
      <c r="BK779" s="784">
        <f t="shared" si="1422"/>
      </c>
      <c r="BL779" s="784">
        <f t="shared" si="1422"/>
      </c>
      <c r="BM779" s="784">
        <f t="shared" ref="BM779" si="1423">BM834+BM811+BM812+BM813+BM814+BM816+BM817+BM818+BM820+BM821+BM822+BM824+BM825+BM827+BM828+BM830+BM831+BM832+BM833</f>
      </c>
      <c r="BN779" s="946">
        <f t="shared" ref="BN779:CF779" si="1424">BN834+BN811+BN812+BN813+BN814+BN816+BN817+BN818+BN820+BN821+BN822+BN824+BN825+BN827+BN828+BN830+BN831+BN832+BN833</f>
      </c>
      <c r="BO779" s="784">
        <f t="shared" si="1424"/>
      </c>
      <c r="BP779" s="784">
        <f t="shared" si="1424"/>
      </c>
      <c r="BQ779" s="784">
        <f t="shared" si="1424"/>
      </c>
      <c r="BR779" s="784">
        <f t="shared" si="1424"/>
      </c>
      <c r="BS779" s="946">
        <f t="shared" si="1424"/>
      </c>
      <c r="BT779" s="817">
        <f>BT834+BT811+BT812+BT813+BT814+BT816+BT817+BT818+BT820+BT821+BT822+BT824+BT825+BT827+BT828+BT830+BT831+BT832+BT833</f>
      </c>
      <c r="BU779" s="784">
        <f t="shared" si="1424"/>
      </c>
      <c r="BV779" s="784">
        <f t="shared" si="1424"/>
      </c>
      <c r="BW779" s="784">
        <f t="shared" si="1424"/>
      </c>
      <c r="BX779" s="946">
        <f t="shared" si="1424"/>
      </c>
      <c r="BY779" s="784">
        <f t="shared" si="1424"/>
      </c>
      <c r="BZ779" s="784">
        <f t="shared" si="1424"/>
      </c>
      <c r="CA779" s="784">
        <f t="shared" si="1424"/>
      </c>
      <c r="CB779" s="784">
        <f t="shared" si="1424"/>
      </c>
      <c r="CC779" s="946">
        <f t="shared" si="1424"/>
      </c>
      <c r="CD779" s="946">
        <f t="shared" si="1424"/>
      </c>
      <c r="CE779" s="946">
        <f t="shared" si="1424"/>
      </c>
      <c r="CF779" s="946">
        <f t="shared" si="1424"/>
      </c>
      <c r="CG779" s="273"/>
    </row>
    <row r="780" spans="1:85" x14ac:dyDescent="0.3">
      <c r="A780" s="418" t="s">
        <v>725</v>
      </c>
      <c r="B780" s="555"/>
      <c r="C780" s="1050"/>
      <c r="D780" s="1050"/>
      <c r="E780" s="1050"/>
      <c r="F780" s="1050"/>
      <c r="G780" s="818"/>
      <c r="H780" s="818"/>
      <c r="I780" s="818"/>
      <c r="J780" s="818"/>
      <c r="K780" s="1050"/>
      <c r="L780" s="818"/>
      <c r="M780" s="818"/>
      <c r="N780" s="818"/>
      <c r="O780" s="818"/>
      <c r="P780" s="1050"/>
      <c r="Q780" s="818"/>
      <c r="R780" s="818"/>
      <c r="S780" s="818"/>
      <c r="T780" s="818"/>
      <c r="U780" s="1050"/>
      <c r="V780" s="818"/>
      <c r="W780" s="818"/>
      <c r="X780" s="818"/>
      <c r="Y780" s="818"/>
      <c r="Z780" s="1050"/>
      <c r="AA780" s="818"/>
      <c r="AB780" s="818"/>
      <c r="AC780" s="818"/>
      <c r="AD780" s="818"/>
      <c r="AE780" s="1050"/>
      <c r="AF780" s="818"/>
      <c r="AG780" s="818"/>
      <c r="AH780" s="818"/>
      <c r="AI780" s="818"/>
      <c r="AJ780" s="1050"/>
      <c r="AK780" s="818"/>
      <c r="AL780" s="818"/>
      <c r="AM780" s="818"/>
      <c r="AN780" s="818">
        <f t="shared" ref="AN780:BA780" si="1425">AN778+AN779</f>
      </c>
      <c r="AO780" s="1050">
        <f t="shared" si="1425"/>
      </c>
      <c r="AP780" s="818">
        <f t="shared" si="1425"/>
      </c>
      <c r="AQ780" s="818">
        <f t="shared" si="1425"/>
      </c>
      <c r="AR780" s="818">
        <f t="shared" si="1425"/>
      </c>
      <c r="AS780" s="818">
        <f t="shared" si="1425"/>
      </c>
      <c r="AT780" s="1050">
        <f t="shared" si="1425"/>
      </c>
      <c r="AU780" s="818">
        <f t="shared" si="1425"/>
      </c>
      <c r="AV780" s="818">
        <f t="shared" si="1425"/>
      </c>
      <c r="AW780" s="818">
        <f t="shared" si="1425"/>
      </c>
      <c r="AX780" s="818">
        <f t="shared" si="1425"/>
      </c>
      <c r="AY780" s="1050">
        <f t="shared" si="1425"/>
      </c>
      <c r="AZ780" s="818">
        <f t="shared" si="1425"/>
      </c>
      <c r="BA780" s="818">
        <f t="shared" si="1425"/>
      </c>
      <c r="BB780" s="818">
        <f t="shared" ref="BB780:BD780" si="1426">BB778+BB779</f>
      </c>
      <c r="BC780" s="818">
        <f t="shared" si="1426"/>
      </c>
      <c r="BD780" s="1050">
        <f t="shared" si="1426"/>
      </c>
      <c r="BE780" s="818">
        <f>BE778+BE779</f>
      </c>
      <c r="BF780" s="818">
        <f>BF778+BF779</f>
      </c>
      <c r="BG780" s="818">
        <f t="shared" ref="BG780" si="1427">BG778+BG779</f>
      </c>
      <c r="BH780" s="818">
        <f t="shared" ref="BH780:BI780" si="1428">BH778+BH779</f>
      </c>
      <c r="BI780" s="1050">
        <f t="shared" si="1428"/>
      </c>
      <c r="BJ780" s="818">
        <f t="shared" ref="BJ780:BN780" si="1429">BJ778+BJ779</f>
      </c>
      <c r="BK780" s="818">
        <f t="shared" si="1429"/>
      </c>
      <c r="BL780" s="818">
        <f t="shared" si="1429"/>
      </c>
      <c r="BM780" s="818">
        <f t="shared" si="1429"/>
      </c>
      <c r="BN780" s="1050">
        <f t="shared" si="1429"/>
      </c>
      <c r="BO780" s="818">
        <f t="shared" ref="BO780:CF780" si="1430">BO778+BO779</f>
      </c>
      <c r="BP780" s="818">
        <f t="shared" si="1430"/>
      </c>
      <c r="BQ780" s="818">
        <f t="shared" si="1430"/>
      </c>
      <c r="BR780" s="818">
        <f t="shared" si="1430"/>
      </c>
      <c r="BS780" s="1050">
        <f t="shared" si="1430"/>
      </c>
      <c r="BT780" s="819">
        <f>BT778+BT779</f>
      </c>
      <c r="BU780" s="818">
        <f t="shared" si="1430"/>
      </c>
      <c r="BV780" s="818">
        <f t="shared" si="1430"/>
      </c>
      <c r="BW780" s="818">
        <f t="shared" si="1430"/>
      </c>
      <c r="BX780" s="1050">
        <f t="shared" si="1430"/>
      </c>
      <c r="BY780" s="818">
        <f t="shared" si="1430"/>
      </c>
      <c r="BZ780" s="818">
        <f t="shared" si="1430"/>
      </c>
      <c r="CA780" s="818">
        <f t="shared" si="1430"/>
      </c>
      <c r="CB780" s="818">
        <f t="shared" si="1430"/>
      </c>
      <c r="CC780" s="1050">
        <f t="shared" si="1430"/>
      </c>
      <c r="CD780" s="1050">
        <f t="shared" si="1430"/>
      </c>
      <c r="CE780" s="1050">
        <f t="shared" si="1430"/>
      </c>
      <c r="CF780" s="1050">
        <f t="shared" si="1430"/>
      </c>
      <c r="CG780" s="273"/>
    </row>
    <row r="781" spans="1:85" x14ac:dyDescent="0.3">
      <c r="A781" s="415" t="s">
        <v>726</v>
      </c>
      <c r="B781" s="417"/>
      <c r="C781" s="946"/>
      <c r="D781" s="946"/>
      <c r="E781" s="946"/>
      <c r="F781" s="946"/>
      <c r="G781" s="784"/>
      <c r="H781" s="784"/>
      <c r="I781" s="784"/>
      <c r="J781" s="784"/>
      <c r="K781" s="946"/>
      <c r="L781" s="784"/>
      <c r="M781" s="784"/>
      <c r="N781" s="784"/>
      <c r="O781" s="784"/>
      <c r="P781" s="946"/>
      <c r="Q781" s="784"/>
      <c r="R781" s="784"/>
      <c r="S781" s="784"/>
      <c r="T781" s="784"/>
      <c r="U781" s="946"/>
      <c r="V781" s="784"/>
      <c r="W781" s="784"/>
      <c r="X781" s="784"/>
      <c r="Y781" s="784"/>
      <c r="Z781" s="946"/>
      <c r="AA781" s="784"/>
      <c r="AB781" s="784"/>
      <c r="AC781" s="784"/>
      <c r="AD781" s="784"/>
      <c r="AE781" s="946"/>
      <c r="AF781" s="784"/>
      <c r="AG781" s="784"/>
      <c r="AH781" s="784"/>
      <c r="AI781" s="784"/>
      <c r="AJ781" s="946"/>
      <c r="AK781" s="784"/>
      <c r="AL781" s="784"/>
      <c r="AM781" s="784"/>
      <c r="AN781" s="784">
        <f>AO781</f>
      </c>
      <c r="AO781" s="946">
        <f t="shared" ref="AO781:BA781" si="1431">AO836</f>
      </c>
      <c r="AP781" s="784">
        <f t="shared" si="1431"/>
      </c>
      <c r="AQ781" s="784">
        <f t="shared" si="1431"/>
      </c>
      <c r="AR781" s="784">
        <f t="shared" si="1431"/>
      </c>
      <c r="AS781" s="784">
        <f t="shared" si="1431"/>
      </c>
      <c r="AT781" s="946">
        <f t="shared" si="1431"/>
      </c>
      <c r="AU781" s="784">
        <f t="shared" si="1431"/>
      </c>
      <c r="AV781" s="784">
        <f t="shared" si="1431"/>
      </c>
      <c r="AW781" s="784">
        <f t="shared" si="1431"/>
      </c>
      <c r="AX781" s="784">
        <f t="shared" si="1431"/>
      </c>
      <c r="AY781" s="946">
        <f t="shared" si="1431"/>
      </c>
      <c r="AZ781" s="784">
        <f t="shared" si="1431"/>
      </c>
      <c r="BA781" s="784">
        <f t="shared" si="1431"/>
      </c>
      <c r="BB781" s="784">
        <f t="shared" ref="BB781:BD781" si="1432">BB836</f>
      </c>
      <c r="BC781" s="784">
        <f t="shared" si="1432"/>
      </c>
      <c r="BD781" s="946">
        <f t="shared" si="1432"/>
      </c>
      <c r="BE781" s="784">
        <f t="shared" ref="BE781:BI781" si="1433">BE836</f>
      </c>
      <c r="BF781" s="784">
        <f t="shared" si="1433"/>
      </c>
      <c r="BG781" s="784">
        <f t="shared" si="1433"/>
      </c>
      <c r="BH781" s="784">
        <f t="shared" si="1433"/>
      </c>
      <c r="BI781" s="946">
        <f t="shared" si="1433"/>
      </c>
      <c r="BJ781" s="784">
        <f t="shared" ref="BJ781:BN781" si="1434">BJ836</f>
      </c>
      <c r="BK781" s="784">
        <f t="shared" si="1434"/>
      </c>
      <c r="BL781" s="784">
        <f t="shared" si="1434"/>
      </c>
      <c r="BM781" s="784">
        <f t="shared" si="1434"/>
      </c>
      <c r="BN781" s="946">
        <f t="shared" si="1434"/>
      </c>
      <c r="BO781" s="784">
        <f t="shared" ref="BO781:CF781" si="1435">BO836</f>
      </c>
      <c r="BP781" s="784">
        <f t="shared" si="1435"/>
      </c>
      <c r="BQ781" s="784">
        <f t="shared" si="1435"/>
      </c>
      <c r="BR781" s="784">
        <f t="shared" si="1435"/>
      </c>
      <c r="BS781" s="946">
        <f t="shared" si="1435"/>
      </c>
      <c r="BT781" s="817">
        <f>BT836</f>
      </c>
      <c r="BU781" s="784">
        <f t="shared" si="1435"/>
      </c>
      <c r="BV781" s="784">
        <f t="shared" si="1435"/>
      </c>
      <c r="BW781" s="784">
        <f t="shared" si="1435"/>
      </c>
      <c r="BX781" s="946">
        <f t="shared" si="1435"/>
      </c>
      <c r="BY781" s="784">
        <f t="shared" si="1435"/>
      </c>
      <c r="BZ781" s="784">
        <f t="shared" si="1435"/>
      </c>
      <c r="CA781" s="784">
        <f t="shared" si="1435"/>
      </c>
      <c r="CB781" s="784">
        <f t="shared" si="1435"/>
      </c>
      <c r="CC781" s="946">
        <f t="shared" si="1435"/>
      </c>
      <c r="CD781" s="946">
        <f t="shared" si="1435"/>
      </c>
      <c r="CE781" s="946">
        <f t="shared" si="1435"/>
      </c>
      <c r="CF781" s="946">
        <f t="shared" si="1435"/>
      </c>
      <c r="CG781" s="273"/>
    </row>
    <row r="782" spans="1:85" x14ac:dyDescent="0.3">
      <c r="A782" s="418" t="s">
        <v>727</v>
      </c>
      <c r="B782" s="555"/>
      <c r="C782" s="1050">
        <f t="shared" ref="C782:AL782" si="1436">C753</f>
      </c>
      <c r="D782" s="1050">
        <f t="shared" si="1436"/>
      </c>
      <c r="E782" s="1050">
        <f t="shared" si="1436"/>
      </c>
      <c r="F782" s="1050">
        <f t="shared" si="1436"/>
      </c>
      <c r="G782" s="818">
        <f t="shared" si="1436"/>
      </c>
      <c r="H782" s="818">
        <f t="shared" si="1436"/>
      </c>
      <c r="I782" s="818">
        <f t="shared" si="1436"/>
      </c>
      <c r="J782" s="818">
        <f t="shared" si="1436"/>
      </c>
      <c r="K782" s="1050">
        <f t="shared" si="1436"/>
      </c>
      <c r="L782" s="818">
        <f t="shared" si="1436"/>
      </c>
      <c r="M782" s="818">
        <f t="shared" si="1436"/>
      </c>
      <c r="N782" s="818">
        <f t="shared" si="1436"/>
      </c>
      <c r="O782" s="818">
        <f t="shared" si="1436"/>
      </c>
      <c r="P782" s="1050">
        <f t="shared" si="1436"/>
      </c>
      <c r="Q782" s="818">
        <f t="shared" si="1436"/>
      </c>
      <c r="R782" s="818">
        <f t="shared" si="1436"/>
      </c>
      <c r="S782" s="818">
        <f t="shared" si="1436"/>
      </c>
      <c r="T782" s="818">
        <f t="shared" si="1436"/>
      </c>
      <c r="U782" s="1050">
        <f t="shared" si="1436"/>
      </c>
      <c r="V782" s="818">
        <f t="shared" si="1436"/>
      </c>
      <c r="W782" s="818">
        <f t="shared" si="1436"/>
      </c>
      <c r="X782" s="818">
        <f t="shared" si="1436"/>
      </c>
      <c r="Y782" s="818">
        <f t="shared" si="1436"/>
      </c>
      <c r="Z782" s="1050">
        <f t="shared" si="1436"/>
      </c>
      <c r="AA782" s="818">
        <f t="shared" si="1436"/>
      </c>
      <c r="AB782" s="818">
        <f t="shared" si="1436"/>
      </c>
      <c r="AC782" s="818">
        <f t="shared" si="1436"/>
      </c>
      <c r="AD782" s="818">
        <f t="shared" si="1436"/>
      </c>
      <c r="AE782" s="1050">
        <f t="shared" si="1436"/>
      </c>
      <c r="AF782" s="818">
        <f t="shared" si="1436"/>
      </c>
      <c r="AG782" s="818">
        <f t="shared" si="1436"/>
      </c>
      <c r="AH782" s="818">
        <f t="shared" si="1436"/>
      </c>
      <c r="AI782" s="818">
        <f t="shared" si="1436"/>
      </c>
      <c r="AJ782" s="1050">
        <f t="shared" si="1436"/>
      </c>
      <c r="AK782" s="818">
        <f t="shared" si="1436"/>
      </c>
      <c r="AL782" s="818">
        <f t="shared" si="1436"/>
      </c>
      <c r="AM782" s="818">
        <f>AM753</f>
      </c>
      <c r="AN782" s="818">
        <f t="shared" ref="AN782:AZ782" si="1437">AN780+AN781</f>
      </c>
      <c r="AO782" s="1050">
        <f t="shared" si="1437"/>
      </c>
      <c r="AP782" s="818">
        <f t="shared" si="1437"/>
      </c>
      <c r="AQ782" s="818">
        <f t="shared" si="1437"/>
      </c>
      <c r="AR782" s="818">
        <f t="shared" si="1437"/>
      </c>
      <c r="AS782" s="818">
        <f t="shared" si="1437"/>
      </c>
      <c r="AT782" s="1050">
        <f t="shared" si="1437"/>
      </c>
      <c r="AU782" s="818">
        <f t="shared" si="1437"/>
      </c>
      <c r="AV782" s="818">
        <f t="shared" si="1437"/>
      </c>
      <c r="AW782" s="818">
        <f t="shared" si="1437"/>
      </c>
      <c r="AX782" s="818">
        <f t="shared" si="1437"/>
      </c>
      <c r="AY782" s="1050">
        <f t="shared" si="1437"/>
      </c>
      <c r="AZ782" s="818">
        <f t="shared" si="1437"/>
      </c>
      <c r="BA782" s="818">
        <f t="shared" ref="BA782:BD782" si="1438">BA780+BA781</f>
      </c>
      <c r="BB782" s="818">
        <f t="shared" si="1438"/>
      </c>
      <c r="BC782" s="818">
        <f t="shared" si="1438"/>
      </c>
      <c r="BD782" s="1050">
        <f t="shared" si="1438"/>
      </c>
      <c r="BE782" s="818">
        <f>BE780+BE781</f>
      </c>
      <c r="BF782" s="818">
        <f>BF780+BF781</f>
      </c>
      <c r="BG782" s="818">
        <f t="shared" ref="BG782" si="1439">BG780+BG781</f>
      </c>
      <c r="BH782" s="818">
        <f t="shared" ref="BH782:BI782" si="1440">BH780+BH781</f>
      </c>
      <c r="BI782" s="1050">
        <f t="shared" si="1440"/>
      </c>
      <c r="BJ782" s="818">
        <f t="shared" ref="BJ782:BN782" si="1441">BJ780+BJ781</f>
      </c>
      <c r="BK782" s="818">
        <f t="shared" si="1441"/>
      </c>
      <c r="BL782" s="818">
        <f t="shared" si="1441"/>
      </c>
      <c r="BM782" s="818">
        <f t="shared" si="1441"/>
      </c>
      <c r="BN782" s="1050">
        <f t="shared" si="1441"/>
      </c>
      <c r="BO782" s="818">
        <f t="shared" ref="BO782:CF782" si="1442">BO780+BO781</f>
      </c>
      <c r="BP782" s="818">
        <f t="shared" si="1442"/>
      </c>
      <c r="BQ782" s="818">
        <f t="shared" si="1442"/>
      </c>
      <c r="BR782" s="818">
        <f t="shared" si="1442"/>
      </c>
      <c r="BS782" s="1050">
        <f t="shared" si="1442"/>
      </c>
      <c r="BT782" s="819">
        <f>BT780+BT781</f>
      </c>
      <c r="BU782" s="818">
        <f t="shared" si="1442"/>
      </c>
      <c r="BV782" s="818">
        <f t="shared" si="1442"/>
      </c>
      <c r="BW782" s="818">
        <f t="shared" si="1442"/>
      </c>
      <c r="BX782" s="1050">
        <f t="shared" si="1442"/>
      </c>
      <c r="BY782" s="818">
        <f t="shared" si="1442"/>
      </c>
      <c r="BZ782" s="818">
        <f t="shared" si="1442"/>
      </c>
      <c r="CA782" s="818">
        <f t="shared" si="1442"/>
      </c>
      <c r="CB782" s="818">
        <f t="shared" si="1442"/>
      </c>
      <c r="CC782" s="1050">
        <f t="shared" si="1442"/>
      </c>
      <c r="CD782" s="1050">
        <f t="shared" si="1442"/>
      </c>
      <c r="CE782" s="1050">
        <f t="shared" si="1442"/>
      </c>
      <c r="CF782" s="1050">
        <f t="shared" si="1442"/>
      </c>
      <c r="CG782" s="273"/>
    </row>
    <row r="783" spans="1:85" x14ac:dyDescent="0.3">
      <c r="A783" s="420" t="s">
        <v>728</v>
      </c>
      <c r="B783" s="417"/>
      <c r="C783" s="946">
        <f t="shared" ref="C783:AH783" si="1443">C750</f>
      </c>
      <c r="D783" s="946">
        <f t="shared" si="1443"/>
      </c>
      <c r="E783" s="946">
        <f t="shared" si="1443"/>
      </c>
      <c r="F783" s="946">
        <f t="shared" si="1443"/>
      </c>
      <c r="G783" s="784">
        <f t="shared" si="1443"/>
      </c>
      <c r="H783" s="784">
        <f t="shared" si="1443"/>
      </c>
      <c r="I783" s="784">
        <f t="shared" si="1443"/>
      </c>
      <c r="J783" s="784">
        <f t="shared" si="1443"/>
      </c>
      <c r="K783" s="946">
        <f t="shared" si="1443"/>
      </c>
      <c r="L783" s="784">
        <f t="shared" si="1443"/>
      </c>
      <c r="M783" s="784">
        <f t="shared" si="1443"/>
      </c>
      <c r="N783" s="784">
        <f t="shared" si="1443"/>
      </c>
      <c r="O783" s="784">
        <f t="shared" si="1443"/>
      </c>
      <c r="P783" s="946">
        <f t="shared" si="1443"/>
      </c>
      <c r="Q783" s="784">
        <f t="shared" si="1443"/>
      </c>
      <c r="R783" s="784">
        <f t="shared" si="1443"/>
      </c>
      <c r="S783" s="784">
        <f t="shared" si="1443"/>
      </c>
      <c r="T783" s="784">
        <f t="shared" si="1443"/>
      </c>
      <c r="U783" s="946">
        <f t="shared" si="1443"/>
      </c>
      <c r="V783" s="784">
        <f t="shared" si="1443"/>
      </c>
      <c r="W783" s="784">
        <f t="shared" si="1443"/>
      </c>
      <c r="X783" s="784">
        <f t="shared" si="1443"/>
      </c>
      <c r="Y783" s="784">
        <f t="shared" si="1443"/>
      </c>
      <c r="Z783" s="946">
        <f t="shared" si="1443"/>
      </c>
      <c r="AA783" s="784">
        <f t="shared" si="1443"/>
      </c>
      <c r="AB783" s="784">
        <f t="shared" si="1443"/>
      </c>
      <c r="AC783" s="784">
        <f t="shared" si="1443"/>
      </c>
      <c r="AD783" s="784">
        <f t="shared" si="1443"/>
      </c>
      <c r="AE783" s="946">
        <f t="shared" si="1443"/>
      </c>
      <c r="AF783" s="784">
        <f t="shared" si="1443"/>
      </c>
      <c r="AG783" s="784">
        <f t="shared" si="1443"/>
      </c>
      <c r="AH783" s="784">
        <f t="shared" si="1443"/>
      </c>
      <c r="AI783" s="784">
        <f t="shared" ref="AI783:BA783" si="1444">AI750</f>
      </c>
      <c r="AJ783" s="946">
        <f t="shared" si="1444"/>
      </c>
      <c r="AK783" s="784">
        <f t="shared" si="1444"/>
      </c>
      <c r="AL783" s="784">
        <f t="shared" si="1444"/>
      </c>
      <c r="AM783" s="784">
        <f t="shared" si="1444"/>
      </c>
      <c r="AN783" s="784">
        <f t="shared" si="1444"/>
      </c>
      <c r="AO783" s="946">
        <f t="shared" si="1444"/>
      </c>
      <c r="AP783" s="784">
        <f t="shared" si="1444"/>
      </c>
      <c r="AQ783" s="784">
        <f t="shared" si="1444"/>
      </c>
      <c r="AR783" s="784">
        <f t="shared" si="1444"/>
      </c>
      <c r="AS783" s="784">
        <f t="shared" si="1444"/>
      </c>
      <c r="AT783" s="946">
        <f t="shared" si="1444"/>
      </c>
      <c r="AU783" s="784">
        <f t="shared" si="1444"/>
      </c>
      <c r="AV783" s="784">
        <f t="shared" si="1444"/>
      </c>
      <c r="AW783" s="784">
        <f t="shared" si="1444"/>
      </c>
      <c r="AX783" s="784">
        <f t="shared" si="1444"/>
      </c>
      <c r="AY783" s="946">
        <f t="shared" si="1444"/>
      </c>
      <c r="AZ783" s="784">
        <f t="shared" si="1444"/>
      </c>
      <c r="BA783" s="784">
        <f t="shared" si="1444"/>
      </c>
      <c r="BB783" s="784">
        <f t="shared" ref="BB783:BD783" si="1445">BB750</f>
      </c>
      <c r="BC783" s="784">
        <f t="shared" si="1445"/>
      </c>
      <c r="BD783" s="946">
        <f t="shared" si="1445"/>
      </c>
      <c r="BE783" s="784">
        <f>BE750</f>
      </c>
      <c r="BF783" s="784">
        <f>BF750</f>
      </c>
      <c r="BG783" s="784">
        <f t="shared" ref="BG783" si="1446">BG750</f>
      </c>
      <c r="BH783" s="784">
        <f t="shared" ref="BH783:BI783" si="1447">BH750</f>
      </c>
      <c r="BI783" s="946">
        <f t="shared" si="1447"/>
      </c>
      <c r="BJ783" s="784">
        <f t="shared" ref="BJ783:BN783" si="1448">BJ750</f>
      </c>
      <c r="BK783" s="784">
        <f t="shared" si="1448"/>
      </c>
      <c r="BL783" s="784">
        <f t="shared" si="1448"/>
      </c>
      <c r="BM783" s="784">
        <f t="shared" si="1448"/>
      </c>
      <c r="BN783" s="946">
        <f t="shared" si="1448"/>
      </c>
      <c r="BO783" s="784">
        <f t="shared" ref="BO783:CF783" si="1449">BO750</f>
      </c>
      <c r="BP783" s="784">
        <f t="shared" si="1449"/>
      </c>
      <c r="BQ783" s="784">
        <f t="shared" si="1449"/>
      </c>
      <c r="BR783" s="784">
        <f t="shared" si="1449"/>
      </c>
      <c r="BS783" s="946">
        <f t="shared" si="1449"/>
      </c>
      <c r="BT783" s="817">
        <f>BT750</f>
      </c>
      <c r="BU783" s="784">
        <f t="shared" si="1449"/>
      </c>
      <c r="BV783" s="784">
        <f t="shared" si="1449"/>
      </c>
      <c r="BW783" s="784">
        <f t="shared" si="1449"/>
      </c>
      <c r="BX783" s="946">
        <f t="shared" si="1449"/>
      </c>
      <c r="BY783" s="784">
        <f t="shared" si="1449"/>
      </c>
      <c r="BZ783" s="784">
        <f t="shared" si="1449"/>
      </c>
      <c r="CA783" s="784">
        <f t="shared" si="1449"/>
      </c>
      <c r="CB783" s="784">
        <f t="shared" si="1449"/>
      </c>
      <c r="CC783" s="946">
        <f t="shared" si="1449"/>
      </c>
      <c r="CD783" s="946">
        <f t="shared" si="1449"/>
      </c>
      <c r="CE783" s="946">
        <f t="shared" si="1449"/>
      </c>
      <c r="CF783" s="946">
        <f t="shared" si="1449"/>
      </c>
      <c r="CG783" s="273"/>
    </row>
    <row r="784" spans="1:85" x14ac:dyDescent="0.3">
      <c r="A784" s="421" t="s">
        <v>116</v>
      </c>
      <c r="B784" s="423"/>
      <c r="C784" s="948">
        <f t="shared" ref="C784:AH784" si="1450">C782-C783</f>
      </c>
      <c r="D784" s="948">
        <f t="shared" si="1450"/>
      </c>
      <c r="E784" s="948">
        <f t="shared" si="1450"/>
      </c>
      <c r="F784" s="948">
        <f t="shared" si="1450"/>
      </c>
      <c r="G784" s="787">
        <f t="shared" si="1450"/>
      </c>
      <c r="H784" s="787">
        <f t="shared" si="1450"/>
      </c>
      <c r="I784" s="787">
        <f t="shared" si="1450"/>
      </c>
      <c r="J784" s="787">
        <f t="shared" si="1450"/>
      </c>
      <c r="K784" s="948">
        <f t="shared" si="1450"/>
      </c>
      <c r="L784" s="787">
        <f t="shared" si="1450"/>
      </c>
      <c r="M784" s="787">
        <f t="shared" si="1450"/>
      </c>
      <c r="N784" s="787">
        <f t="shared" si="1450"/>
      </c>
      <c r="O784" s="787">
        <f t="shared" si="1450"/>
      </c>
      <c r="P784" s="948">
        <f t="shared" si="1450"/>
      </c>
      <c r="Q784" s="787">
        <f t="shared" si="1450"/>
      </c>
      <c r="R784" s="787">
        <f t="shared" si="1450"/>
      </c>
      <c r="S784" s="787">
        <f t="shared" si="1450"/>
      </c>
      <c r="T784" s="787">
        <f t="shared" si="1450"/>
      </c>
      <c r="U784" s="948">
        <f t="shared" si="1450"/>
      </c>
      <c r="V784" s="787">
        <f t="shared" si="1450"/>
      </c>
      <c r="W784" s="787">
        <f t="shared" si="1450"/>
      </c>
      <c r="X784" s="787">
        <f t="shared" si="1450"/>
      </c>
      <c r="Y784" s="787">
        <f t="shared" si="1450"/>
      </c>
      <c r="Z784" s="948">
        <f t="shared" si="1450"/>
      </c>
      <c r="AA784" s="787">
        <f t="shared" si="1450"/>
      </c>
      <c r="AB784" s="787">
        <f t="shared" si="1450"/>
      </c>
      <c r="AC784" s="787">
        <f t="shared" si="1450"/>
      </c>
      <c r="AD784" s="787">
        <f t="shared" si="1450"/>
      </c>
      <c r="AE784" s="948">
        <f t="shared" si="1450"/>
      </c>
      <c r="AF784" s="787">
        <f t="shared" si="1450"/>
      </c>
      <c r="AG784" s="787">
        <f t="shared" si="1450"/>
      </c>
      <c r="AH784" s="787">
        <f t="shared" si="1450"/>
      </c>
      <c r="AI784" s="787">
        <f t="shared" ref="AI784:BA784" si="1451">AI782-AI783</f>
      </c>
      <c r="AJ784" s="948">
        <f t="shared" si="1451"/>
      </c>
      <c r="AK784" s="787">
        <f t="shared" si="1451"/>
      </c>
      <c r="AL784" s="787">
        <f t="shared" si="1451"/>
      </c>
      <c r="AM784" s="787">
        <f t="shared" si="1451"/>
      </c>
      <c r="AN784" s="787">
        <f t="shared" si="1451"/>
      </c>
      <c r="AO784" s="948">
        <f t="shared" si="1451"/>
      </c>
      <c r="AP784" s="787">
        <f t="shared" si="1451"/>
      </c>
      <c r="AQ784" s="787">
        <f t="shared" si="1451"/>
      </c>
      <c r="AR784" s="787">
        <f t="shared" si="1451"/>
      </c>
      <c r="AS784" s="787">
        <f t="shared" si="1451"/>
      </c>
      <c r="AT784" s="948">
        <f t="shared" si="1451"/>
      </c>
      <c r="AU784" s="787">
        <f t="shared" si="1451"/>
      </c>
      <c r="AV784" s="787">
        <f t="shared" si="1451"/>
      </c>
      <c r="AW784" s="787">
        <f t="shared" si="1451"/>
      </c>
      <c r="AX784" s="787">
        <f t="shared" si="1451"/>
      </c>
      <c r="AY784" s="948">
        <f t="shared" si="1451"/>
      </c>
      <c r="AZ784" s="787">
        <f t="shared" si="1451"/>
      </c>
      <c r="BA784" s="787">
        <f t="shared" si="1451"/>
      </c>
      <c r="BB784" s="787">
        <f t="shared" ref="BB784:BD784" si="1452">BB782-BB783</f>
      </c>
      <c r="BC784" s="787">
        <f t="shared" si="1452"/>
      </c>
      <c r="BD784" s="948">
        <f t="shared" si="1452"/>
      </c>
      <c r="BE784" s="787">
        <f>BE782-BE783</f>
      </c>
      <c r="BF784" s="787">
        <f>BF782-BF783</f>
      </c>
      <c r="BG784" s="787">
        <f t="shared" ref="BG784" si="1453">BG782-BG783</f>
      </c>
      <c r="BH784" s="787">
        <f t="shared" ref="BH784:BI784" si="1454">BH782-BH783</f>
      </c>
      <c r="BI784" s="948">
        <f t="shared" si="1454"/>
      </c>
      <c r="BJ784" s="787">
        <f t="shared" ref="BJ784:BN784" si="1455">BJ782-BJ783</f>
      </c>
      <c r="BK784" s="787">
        <f t="shared" si="1455"/>
      </c>
      <c r="BL784" s="787">
        <f t="shared" si="1455"/>
      </c>
      <c r="BM784" s="787">
        <f t="shared" si="1455"/>
      </c>
      <c r="BN784" s="948">
        <f t="shared" si="1455"/>
      </c>
      <c r="BO784" s="787">
        <f t="shared" ref="BO784:CF784" si="1456">BO782-BO783</f>
      </c>
      <c r="BP784" s="787">
        <f t="shared" si="1456"/>
      </c>
      <c r="BQ784" s="787">
        <f t="shared" si="1456"/>
      </c>
      <c r="BR784" s="787">
        <f t="shared" si="1456"/>
      </c>
      <c r="BS784" s="948">
        <f t="shared" si="1456"/>
      </c>
      <c r="BT784" s="788">
        <f>BT782-BT783</f>
      </c>
      <c r="BU784" s="787">
        <f t="shared" si="1456"/>
      </c>
      <c r="BV784" s="787">
        <f t="shared" si="1456"/>
      </c>
      <c r="BW784" s="787">
        <f t="shared" si="1456"/>
      </c>
      <c r="BX784" s="948">
        <f t="shared" si="1456"/>
      </c>
      <c r="BY784" s="787">
        <f t="shared" si="1456"/>
      </c>
      <c r="BZ784" s="787">
        <f t="shared" si="1456"/>
      </c>
      <c r="CA784" s="787">
        <f t="shared" si="1456"/>
      </c>
      <c r="CB784" s="787">
        <f t="shared" si="1456"/>
      </c>
      <c r="CC784" s="948">
        <f t="shared" si="1456"/>
      </c>
      <c r="CD784" s="948">
        <f t="shared" si="1456"/>
      </c>
      <c r="CE784" s="948">
        <f t="shared" si="1456"/>
      </c>
      <c r="CF784" s="948">
        <f t="shared" si="1456"/>
      </c>
      <c r="CG784" s="273"/>
    </row>
    <row r="785" spans="1:85" x14ac:dyDescent="0.3">
      <c r="A785" s="420" t="s">
        <v>729</v>
      </c>
      <c r="B785" s="425"/>
      <c r="C785" s="984"/>
      <c r="D785" s="984"/>
      <c r="E785" s="984"/>
      <c r="F785" s="984"/>
      <c r="G785" s="761"/>
      <c r="H785" s="761"/>
      <c r="I785" s="761"/>
      <c r="J785" s="761"/>
      <c r="K785" s="984"/>
      <c r="L785" s="761"/>
      <c r="M785" s="761"/>
      <c r="N785" s="761"/>
      <c r="O785" s="761"/>
      <c r="P785" s="984"/>
      <c r="Q785" s="761"/>
      <c r="R785" s="761"/>
      <c r="S785" s="761"/>
      <c r="T785" s="761"/>
      <c r="U785" s="984"/>
      <c r="V785" s="761"/>
      <c r="W785" s="761"/>
      <c r="X785" s="761"/>
      <c r="Y785" s="761"/>
      <c r="Z785" s="984"/>
      <c r="AA785" s="761"/>
      <c r="AB785" s="761"/>
      <c r="AC785" s="761"/>
      <c r="AD785" s="761"/>
      <c r="AE785" s="984"/>
      <c r="AF785" s="761"/>
      <c r="AG785" s="761"/>
      <c r="AH785" s="761"/>
      <c r="AI785" s="761"/>
      <c r="AJ785" s="984"/>
      <c r="AK785" s="761">
        <f t="shared" ref="AK785:AN785" si="1457">+AK784-AK755</f>
      </c>
      <c r="AL785" s="761">
        <f t="shared" si="1457"/>
      </c>
      <c r="AM785" s="761">
        <f t="shared" si="1457"/>
      </c>
      <c r="AN785" s="761">
        <f t="shared" si="1457"/>
      </c>
      <c r="AO785" s="984">
        <f t="shared" ref="AO785:BA785" si="1458">AO754</f>
      </c>
      <c r="AP785" s="761">
        <f t="shared" si="1458"/>
      </c>
      <c r="AQ785" s="761">
        <f t="shared" si="1458"/>
      </c>
      <c r="AR785" s="761">
        <f t="shared" si="1458"/>
      </c>
      <c r="AS785" s="761">
        <f t="shared" si="1458"/>
      </c>
      <c r="AT785" s="984">
        <f t="shared" si="1458"/>
      </c>
      <c r="AU785" s="761">
        <f t="shared" si="1458"/>
      </c>
      <c r="AV785" s="761">
        <f t="shared" si="1458"/>
      </c>
      <c r="AW785" s="761">
        <f t="shared" si="1458"/>
      </c>
      <c r="AX785" s="761">
        <f t="shared" si="1458"/>
      </c>
      <c r="AY785" s="984">
        <f t="shared" si="1458"/>
      </c>
      <c r="AZ785" s="761">
        <f t="shared" si="1458"/>
      </c>
      <c r="BA785" s="761">
        <f t="shared" si="1458"/>
      </c>
      <c r="BB785" s="761">
        <f t="shared" ref="BB785:BD785" si="1459">BB754</f>
      </c>
      <c r="BC785" s="761">
        <f t="shared" si="1459"/>
      </c>
      <c r="BD785" s="984">
        <f t="shared" si="1459"/>
      </c>
      <c r="BE785" s="761">
        <f>BE754</f>
      </c>
      <c r="BF785" s="761">
        <f>BF754</f>
      </c>
      <c r="BG785" s="761">
        <f t="shared" ref="BG785" si="1460">BG754</f>
      </c>
      <c r="BH785" s="761">
        <f t="shared" ref="BH785:BI785" si="1461">BH754</f>
      </c>
      <c r="BI785" s="984">
        <f t="shared" si="1461"/>
      </c>
      <c r="BJ785" s="761">
        <f t="shared" ref="BJ785:BN785" si="1462">BJ754</f>
      </c>
      <c r="BK785" s="761">
        <f t="shared" si="1462"/>
      </c>
      <c r="BL785" s="761">
        <f t="shared" si="1462"/>
      </c>
      <c r="BM785" s="761">
        <f t="shared" si="1462"/>
      </c>
      <c r="BN785" s="984">
        <f t="shared" si="1462"/>
      </c>
      <c r="BO785" s="761">
        <f t="shared" ref="BO785:CF785" si="1463">BO754</f>
      </c>
      <c r="BP785" s="761">
        <f t="shared" si="1463"/>
      </c>
      <c r="BQ785" s="761">
        <f t="shared" si="1463"/>
      </c>
      <c r="BR785" s="761">
        <f t="shared" si="1463"/>
      </c>
      <c r="BS785" s="984">
        <f t="shared" si="1463"/>
      </c>
      <c r="BT785" s="762">
        <f>BT754</f>
      </c>
      <c r="BU785" s="761">
        <f t="shared" si="1463"/>
      </c>
      <c r="BV785" s="761">
        <f t="shared" si="1463"/>
      </c>
      <c r="BW785" s="761">
        <f t="shared" si="1463"/>
      </c>
      <c r="BX785" s="984">
        <f t="shared" si="1463"/>
      </c>
      <c r="BY785" s="761">
        <f t="shared" si="1463"/>
      </c>
      <c r="BZ785" s="761">
        <f t="shared" si="1463"/>
      </c>
      <c r="CA785" s="761">
        <f t="shared" si="1463"/>
      </c>
      <c r="CB785" s="761">
        <f t="shared" si="1463"/>
      </c>
      <c r="CC785" s="984">
        <f t="shared" si="1463"/>
      </c>
      <c r="CD785" s="984">
        <f t="shared" si="1463"/>
      </c>
      <c r="CE785" s="984">
        <f t="shared" si="1463"/>
      </c>
      <c r="CF785" s="984">
        <f t="shared" si="1463"/>
      </c>
      <c r="CG785" s="273"/>
    </row>
    <row r="786" spans="1:85" x14ac:dyDescent="0.3">
      <c r="A786" s="421" t="s">
        <v>730</v>
      </c>
      <c r="B786" s="426"/>
      <c r="C786" s="965"/>
      <c r="D786" s="965"/>
      <c r="E786" s="965"/>
      <c r="F786" s="965"/>
      <c r="G786" s="791"/>
      <c r="H786" s="791"/>
      <c r="I786" s="791"/>
      <c r="J786" s="791"/>
      <c r="K786" s="965"/>
      <c r="L786" s="791"/>
      <c r="M786" s="791"/>
      <c r="N786" s="791"/>
      <c r="O786" s="791"/>
      <c r="P786" s="965"/>
      <c r="Q786" s="791"/>
      <c r="R786" s="791"/>
      <c r="S786" s="791"/>
      <c r="T786" s="791"/>
      <c r="U786" s="965"/>
      <c r="V786" s="791"/>
      <c r="W786" s="791"/>
      <c r="X786" s="791"/>
      <c r="Y786" s="791"/>
      <c r="Z786" s="965"/>
      <c r="AA786" s="791"/>
      <c r="AB786" s="791"/>
      <c r="AC786" s="791"/>
      <c r="AD786" s="791"/>
      <c r="AE786" s="965"/>
      <c r="AF786" s="791"/>
      <c r="AG786" s="791"/>
      <c r="AH786" s="791"/>
      <c r="AI786" s="791"/>
      <c r="AJ786" s="965"/>
      <c r="AK786" s="791"/>
      <c r="AL786" s="791"/>
      <c r="AM786" s="791"/>
      <c r="AN786" s="791"/>
      <c r="AO786" s="965">
        <f t="shared" ref="AO786:BA786" si="1464">AO784+AO785</f>
      </c>
      <c r="AP786" s="791">
        <f t="shared" si="1464"/>
      </c>
      <c r="AQ786" s="791">
        <f t="shared" si="1464"/>
      </c>
      <c r="AR786" s="791">
        <f t="shared" si="1464"/>
      </c>
      <c r="AS786" s="791">
        <f t="shared" si="1464"/>
      </c>
      <c r="AT786" s="965">
        <f t="shared" si="1464"/>
      </c>
      <c r="AU786" s="791">
        <f t="shared" si="1464"/>
      </c>
      <c r="AV786" s="791">
        <f t="shared" si="1464"/>
      </c>
      <c r="AW786" s="791">
        <f t="shared" si="1464"/>
      </c>
      <c r="AX786" s="791">
        <f t="shared" si="1464"/>
      </c>
      <c r="AY786" s="965">
        <f t="shared" si="1464"/>
      </c>
      <c r="AZ786" s="791">
        <f t="shared" si="1464"/>
      </c>
      <c r="BA786" s="791">
        <f t="shared" si="1464"/>
      </c>
      <c r="BB786" s="791">
        <f t="shared" ref="BB786:BD786" si="1465">BB784+BB785</f>
      </c>
      <c r="BC786" s="791">
        <f t="shared" si="1465"/>
      </c>
      <c r="BD786" s="965">
        <f t="shared" si="1465"/>
      </c>
      <c r="BE786" s="791">
        <f>BE784+BE785</f>
      </c>
      <c r="BF786" s="791">
        <f>BF784+BF785</f>
      </c>
      <c r="BG786" s="791">
        <f t="shared" ref="BG786" si="1466">BG784+BG785</f>
      </c>
      <c r="BH786" s="791">
        <f t="shared" ref="BH786:BI786" si="1467">BH784+BH785</f>
      </c>
      <c r="BI786" s="965">
        <f t="shared" si="1467"/>
      </c>
      <c r="BJ786" s="791">
        <f t="shared" ref="BJ786:BN786" si="1468">BJ784+BJ785</f>
      </c>
      <c r="BK786" s="791">
        <f t="shared" si="1468"/>
      </c>
      <c r="BL786" s="791">
        <f t="shared" si="1468"/>
      </c>
      <c r="BM786" s="791">
        <f t="shared" si="1468"/>
      </c>
      <c r="BN786" s="965">
        <f t="shared" si="1468"/>
      </c>
      <c r="BO786" s="791">
        <f t="shared" ref="BO786:CF786" si="1469">BO784+BO785</f>
      </c>
      <c r="BP786" s="791">
        <f t="shared" si="1469"/>
      </c>
      <c r="BQ786" s="791">
        <f t="shared" si="1469"/>
      </c>
      <c r="BR786" s="791">
        <f t="shared" si="1469"/>
      </c>
      <c r="BS786" s="965">
        <f t="shared" si="1469"/>
      </c>
      <c r="BT786" s="797">
        <f>BT784+BT785</f>
      </c>
      <c r="BU786" s="791">
        <f t="shared" si="1469"/>
      </c>
      <c r="BV786" s="791">
        <f t="shared" si="1469"/>
      </c>
      <c r="BW786" s="791">
        <f t="shared" si="1469"/>
      </c>
      <c r="BX786" s="965">
        <f t="shared" si="1469"/>
      </c>
      <c r="BY786" s="791">
        <f t="shared" si="1469"/>
      </c>
      <c r="BZ786" s="791">
        <f t="shared" si="1469"/>
      </c>
      <c r="CA786" s="791">
        <f t="shared" si="1469"/>
      </c>
      <c r="CB786" s="791">
        <f t="shared" si="1469"/>
      </c>
      <c r="CC786" s="965">
        <f t="shared" si="1469"/>
      </c>
      <c r="CD786" s="965">
        <f t="shared" si="1469"/>
      </c>
      <c r="CE786" s="965">
        <f t="shared" si="1469"/>
      </c>
      <c r="CF786" s="965">
        <f t="shared" si="1469"/>
      </c>
      <c r="CG786" s="273"/>
    </row>
    <row r="787" spans="1:85" s="587" customFormat="1" x14ac:dyDescent="0.3">
      <c r="A787" s="445"/>
      <c r="B787" s="428"/>
      <c r="C787" s="940"/>
      <c r="D787" s="940"/>
      <c r="E787" s="940"/>
      <c r="F787" s="940"/>
      <c r="G787" s="778"/>
      <c r="H787" s="778"/>
      <c r="I787" s="778"/>
      <c r="J787" s="778"/>
      <c r="K787" s="940"/>
      <c r="L787" s="778"/>
      <c r="M787" s="778"/>
      <c r="N787" s="778"/>
      <c r="O787" s="778"/>
      <c r="P787" s="940"/>
      <c r="Q787" s="778"/>
      <c r="R787" s="778"/>
      <c r="S787" s="778"/>
      <c r="T787" s="778"/>
      <c r="U787" s="940"/>
      <c r="V787" s="778"/>
      <c r="W787" s="759"/>
      <c r="X787" s="778"/>
      <c r="Y787" s="759"/>
      <c r="Z787" s="940"/>
      <c r="AA787" s="759"/>
      <c r="AB787" s="759"/>
      <c r="AC787" s="778"/>
      <c r="AD787" s="759"/>
      <c r="AE787" s="940"/>
      <c r="AF787" s="759"/>
      <c r="AG787" s="759"/>
      <c r="AH787" s="778"/>
      <c r="AI787" s="759"/>
      <c r="AJ787" s="940"/>
      <c r="AK787" s="759"/>
      <c r="AL787" s="759"/>
      <c r="AM787" s="778"/>
      <c r="AN787" s="759"/>
      <c r="AO787" s="940"/>
      <c r="AP787" s="759"/>
      <c r="AQ787" s="759"/>
      <c r="AR787" s="778"/>
      <c r="AS787" s="759"/>
      <c r="AT787" s="940"/>
      <c r="AU787" s="759"/>
      <c r="AV787" s="759"/>
      <c r="AW787" s="778"/>
      <c r="AX787" s="759"/>
      <c r="AY787" s="940"/>
      <c r="AZ787" s="759"/>
      <c r="BA787" s="759"/>
      <c r="BB787" s="778"/>
      <c r="BC787" s="759"/>
      <c r="BD787" s="940"/>
      <c r="BE787" s="759"/>
      <c r="BF787" s="759"/>
      <c r="BG787" s="778"/>
      <c r="BH787" s="759"/>
      <c r="BI787" s="940"/>
      <c r="BJ787" s="759"/>
      <c r="BK787" s="759"/>
      <c r="BL787" s="778"/>
      <c r="BM787" s="759"/>
      <c r="BN787" s="940"/>
      <c r="BO787" s="759"/>
      <c r="BP787" s="759"/>
      <c r="BQ787" s="778"/>
      <c r="BR787" s="759"/>
      <c r="BS787" s="940"/>
      <c r="BT787" s="760"/>
      <c r="BU787" s="759"/>
      <c r="BV787" s="759"/>
      <c r="BW787" s="759"/>
      <c r="BX787" s="940"/>
      <c r="BY787" s="759"/>
      <c r="BZ787" s="759"/>
      <c r="CA787" s="759"/>
      <c r="CB787" s="759"/>
      <c r="CC787" s="940"/>
      <c r="CD787" s="940"/>
      <c r="CE787" s="940"/>
      <c r="CF787" s="940"/>
      <c r="CG787" s="183"/>
    </row>
    <row r="788" spans="1:85" s="587" customFormat="1" x14ac:dyDescent="0.3">
      <c r="A788" s="424" t="s">
        <v>816</v>
      </c>
      <c r="B788" s="414"/>
      <c r="C788" s="943"/>
      <c r="D788" s="943"/>
      <c r="E788" s="943"/>
      <c r="F788" s="943"/>
      <c r="G788" s="753"/>
      <c r="H788" s="753"/>
      <c r="I788" s="753"/>
      <c r="J788" s="753"/>
      <c r="K788" s="943"/>
      <c r="L788" s="753"/>
      <c r="M788" s="753"/>
      <c r="N788" s="753"/>
      <c r="O788" s="753"/>
      <c r="P788" s="943"/>
      <c r="Q788" s="753"/>
      <c r="R788" s="753"/>
      <c r="S788" s="753"/>
      <c r="T788" s="753"/>
      <c r="U788" s="943"/>
      <c r="V788" s="753"/>
      <c r="W788" s="757"/>
      <c r="X788" s="753"/>
      <c r="Y788" s="757"/>
      <c r="Z788" s="943"/>
      <c r="AA788" s="757"/>
      <c r="AB788" s="757"/>
      <c r="AC788" s="753"/>
      <c r="AD788" s="757"/>
      <c r="AE788" s="943"/>
      <c r="AF788" s="757"/>
      <c r="AG788" s="757"/>
      <c r="AH788" s="753"/>
      <c r="AI788" s="757"/>
      <c r="AJ788" s="943"/>
      <c r="AK788" s="757"/>
      <c r="AL788" s="757"/>
      <c r="AM788" s="753"/>
      <c r="AN788" s="753">
        <f>+AO788</f>
      </c>
      <c r="AO788" s="944">
        <v>750</v>
      </c>
      <c r="AP788" s="849">
        <v>750</v>
      </c>
      <c r="AQ788" s="849">
        <v>750</v>
      </c>
      <c r="AR788" s="849">
        <v>750</v>
      </c>
      <c r="AS788" s="753">
        <f>+AT788</f>
      </c>
      <c r="AT788" s="944">
        <v>750</v>
      </c>
      <c r="AU788" s="849">
        <v>750</v>
      </c>
      <c r="AV788" s="857">
        <v>1000</v>
      </c>
      <c r="AW788" s="849">
        <v>1000</v>
      </c>
      <c r="AX788" s="757">
        <f>+AY788</f>
      </c>
      <c r="AY788" s="944">
        <v>1000</v>
      </c>
      <c r="AZ788" s="857">
        <v>1000</v>
      </c>
      <c r="BA788" s="857">
        <v>1000</v>
      </c>
      <c r="BB788" s="849">
        <v>1000</v>
      </c>
      <c r="BC788" s="757">
        <f>+BD788</f>
      </c>
      <c r="BD788" s="944">
        <v>1000</v>
      </c>
      <c r="BE788" s="857">
        <v>1000</v>
      </c>
      <c r="BF788" s="857">
        <v>1000</v>
      </c>
      <c r="BG788" s="849">
        <v>1000</v>
      </c>
      <c r="BH788" s="757">
        <f>+BI788</f>
      </c>
      <c r="BI788" s="944">
        <v>1000</v>
      </c>
      <c r="BJ788" s="857">
        <v>1000</v>
      </c>
      <c r="BK788" s="857">
        <v>3000</v>
      </c>
      <c r="BL788" s="849">
        <v>3000</v>
      </c>
      <c r="BM788" s="757">
        <f>+BN788</f>
      </c>
      <c r="BN788" s="944">
        <v>3000</v>
      </c>
      <c r="BO788" s="857">
        <v>3000</v>
      </c>
      <c r="BP788" s="857">
        <v>3000</v>
      </c>
      <c r="BQ788" s="849">
        <v>3000</v>
      </c>
      <c r="BR788" s="757">
        <f>+BS788</f>
      </c>
      <c r="BS788" s="944">
        <v>3000</v>
      </c>
      <c r="BT788" s="864">
        <v>3000</v>
      </c>
      <c r="BU788" s="757">
        <f>IF(BT$4&gt;$B810,0,BT788)</f>
      </c>
      <c r="BV788" s="757">
        <f>IF(BU$4&gt;$B810,0,BU788)</f>
      </c>
      <c r="BW788" s="757">
        <f>IF(BV$4&gt;$B810,0,BV788)</f>
      </c>
      <c r="BX788" s="943">
        <f>+BW788</f>
      </c>
      <c r="BY788" s="757">
        <f>IF(BX$4&gt;$B810,0,BX788)</f>
      </c>
      <c r="BZ788" s="757">
        <f>IF(BY$4&gt;$B810,0,BY788)</f>
      </c>
      <c r="CA788" s="757">
        <f>IF(BZ$4&gt;$B810,0,BZ788)</f>
      </c>
      <c r="CB788" s="757">
        <f>IF(CA$4&gt;$B810,0,CA788)</f>
      </c>
      <c r="CC788" s="943">
        <f>+CB788</f>
      </c>
      <c r="CD788" s="943">
        <f>IF(CC$4&gt;$B810,0,CC788)</f>
      </c>
      <c r="CE788" s="943">
        <f>IF(CD$4&gt;$B810,0,CD788)</f>
      </c>
      <c r="CF788" s="943">
        <f>IF(CE$4&gt;$B810,0,CE788)</f>
      </c>
      <c r="CG788" s="459"/>
    </row>
    <row r="789" spans="1:85" s="587" customFormat="1" x14ac:dyDescent="0.3">
      <c r="A789" s="421" t="s">
        <v>731</v>
      </c>
      <c r="B789" s="426"/>
      <c r="C789" s="965"/>
      <c r="D789" s="965"/>
      <c r="E789" s="965"/>
      <c r="F789" s="965"/>
      <c r="G789" s="791"/>
      <c r="H789" s="791"/>
      <c r="I789" s="791"/>
      <c r="J789" s="791"/>
      <c r="K789" s="965"/>
      <c r="L789" s="791"/>
      <c r="M789" s="791"/>
      <c r="N789" s="791"/>
      <c r="O789" s="791"/>
      <c r="P789" s="965"/>
      <c r="Q789" s="791"/>
      <c r="R789" s="791"/>
      <c r="S789" s="791"/>
      <c r="T789" s="791"/>
      <c r="U789" s="965"/>
      <c r="V789" s="791"/>
      <c r="W789" s="791"/>
      <c r="X789" s="791"/>
      <c r="Y789" s="791"/>
      <c r="Z789" s="965"/>
      <c r="AA789" s="791"/>
      <c r="AB789" s="791"/>
      <c r="AC789" s="791"/>
      <c r="AD789" s="791"/>
      <c r="AE789" s="965"/>
      <c r="AF789" s="791"/>
      <c r="AG789" s="791"/>
      <c r="AH789" s="791"/>
      <c r="AI789" s="791"/>
      <c r="AJ789" s="965"/>
      <c r="AK789" s="791"/>
      <c r="AL789" s="791"/>
      <c r="AM789" s="791"/>
      <c r="AN789" s="791">
        <f t="shared" ref="AN789" si="1470">SUM(AN788)</f>
      </c>
      <c r="AO789" s="965">
        <f t="shared" ref="AO789:AZ789" si="1471">SUM(AO788)</f>
      </c>
      <c r="AP789" s="791">
        <f t="shared" si="1471"/>
      </c>
      <c r="AQ789" s="791">
        <f t="shared" si="1471"/>
      </c>
      <c r="AR789" s="791">
        <f t="shared" si="1471"/>
      </c>
      <c r="AS789" s="791">
        <f t="shared" si="1471"/>
      </c>
      <c r="AT789" s="965">
        <f t="shared" si="1471"/>
      </c>
      <c r="AU789" s="791">
        <f t="shared" si="1471"/>
      </c>
      <c r="AV789" s="791">
        <f t="shared" si="1471"/>
      </c>
      <c r="AW789" s="791">
        <f t="shared" si="1471"/>
      </c>
      <c r="AX789" s="791">
        <f t="shared" si="1471"/>
      </c>
      <c r="AY789" s="965">
        <f t="shared" si="1471"/>
      </c>
      <c r="AZ789" s="791">
        <f t="shared" si="1471"/>
      </c>
      <c r="BA789" s="791">
        <f t="shared" ref="BA789:BD789" si="1472">SUM(BA788)</f>
      </c>
      <c r="BB789" s="791">
        <f t="shared" si="1472"/>
      </c>
      <c r="BC789" s="791">
        <f t="shared" si="1472"/>
      </c>
      <c r="BD789" s="965">
        <f t="shared" si="1472"/>
      </c>
      <c r="BE789" s="791">
        <f>SUM(BE788)</f>
      </c>
      <c r="BF789" s="791">
        <f>SUM(BF788)</f>
      </c>
      <c r="BG789" s="791">
        <f t="shared" ref="BG789" si="1473">SUM(BG788)</f>
      </c>
      <c r="BH789" s="791">
        <f t="shared" ref="BH789:BI789" si="1474">SUM(BH788)</f>
      </c>
      <c r="BI789" s="965">
        <f t="shared" si="1474"/>
      </c>
      <c r="BJ789" s="791">
        <f t="shared" ref="BJ789:BN789" si="1475">SUM(BJ788)</f>
      </c>
      <c r="BK789" s="791">
        <f t="shared" si="1475"/>
      </c>
      <c r="BL789" s="791">
        <f t="shared" si="1475"/>
      </c>
      <c r="BM789" s="791">
        <f t="shared" si="1475"/>
      </c>
      <c r="BN789" s="965">
        <f t="shared" si="1475"/>
      </c>
      <c r="BO789" s="791">
        <f t="shared" ref="BO789:CF789" si="1476">SUM(BO788)</f>
      </c>
      <c r="BP789" s="791">
        <f t="shared" si="1476"/>
      </c>
      <c r="BQ789" s="791">
        <f t="shared" si="1476"/>
      </c>
      <c r="BR789" s="791">
        <f t="shared" si="1476"/>
      </c>
      <c r="BS789" s="965">
        <f t="shared" si="1476"/>
      </c>
      <c r="BT789" s="797">
        <f>SUM(BT788)</f>
      </c>
      <c r="BU789" s="791">
        <f t="shared" si="1476"/>
      </c>
      <c r="BV789" s="791">
        <f t="shared" si="1476"/>
      </c>
      <c r="BW789" s="791">
        <f t="shared" si="1476"/>
      </c>
      <c r="BX789" s="965">
        <f t="shared" si="1476"/>
      </c>
      <c r="BY789" s="791">
        <f t="shared" si="1476"/>
      </c>
      <c r="BZ789" s="791">
        <f t="shared" si="1476"/>
      </c>
      <c r="CA789" s="791">
        <f t="shared" si="1476"/>
      </c>
      <c r="CB789" s="791">
        <f t="shared" si="1476"/>
      </c>
      <c r="CC789" s="965">
        <f t="shared" si="1476"/>
      </c>
      <c r="CD789" s="965">
        <f t="shared" si="1476"/>
      </c>
      <c r="CE789" s="965">
        <f t="shared" si="1476"/>
      </c>
      <c r="CF789" s="965">
        <f t="shared" si="1476"/>
      </c>
      <c r="CG789" s="759"/>
    </row>
    <row r="790" spans="1:85" s="587" customFormat="1" x14ac:dyDescent="0.3">
      <c r="A790" s="420" t="s">
        <v>732</v>
      </c>
      <c r="B790" s="425"/>
      <c r="C790" s="984"/>
      <c r="D790" s="984"/>
      <c r="E790" s="984"/>
      <c r="F790" s="984"/>
      <c r="G790" s="761"/>
      <c r="H790" s="761"/>
      <c r="I790" s="761"/>
      <c r="J790" s="761"/>
      <c r="K790" s="984"/>
      <c r="L790" s="761"/>
      <c r="M790" s="761"/>
      <c r="N790" s="761"/>
      <c r="O790" s="761"/>
      <c r="P790" s="984"/>
      <c r="Q790" s="761"/>
      <c r="R790" s="761"/>
      <c r="S790" s="761"/>
      <c r="T790" s="761"/>
      <c r="U790" s="984"/>
      <c r="V790" s="761"/>
      <c r="W790" s="761"/>
      <c r="X790" s="761"/>
      <c r="Y790" s="761"/>
      <c r="Z790" s="984"/>
      <c r="AA790" s="761"/>
      <c r="AB790" s="761"/>
      <c r="AC790" s="761"/>
      <c r="AD790" s="761"/>
      <c r="AE790" s="984"/>
      <c r="AF790" s="761"/>
      <c r="AG790" s="761"/>
      <c r="AH790" s="761"/>
      <c r="AI790" s="761"/>
      <c r="AJ790" s="984"/>
      <c r="AK790" s="761"/>
      <c r="AL790" s="761"/>
      <c r="AM790" s="761"/>
      <c r="AN790" s="761">
        <f t="shared" ref="AN790:BA790" si="1477">AN810</f>
      </c>
      <c r="AO790" s="984">
        <f t="shared" si="1477"/>
      </c>
      <c r="AP790" s="761">
        <f t="shared" si="1477"/>
      </c>
      <c r="AQ790" s="761">
        <f t="shared" si="1477"/>
      </c>
      <c r="AR790" s="761">
        <f t="shared" si="1477"/>
      </c>
      <c r="AS790" s="761">
        <f t="shared" si="1477"/>
      </c>
      <c r="AT790" s="984">
        <f t="shared" si="1477"/>
      </c>
      <c r="AU790" s="761">
        <f t="shared" si="1477"/>
      </c>
      <c r="AV790" s="761">
        <f t="shared" si="1477"/>
      </c>
      <c r="AW790" s="761">
        <f t="shared" si="1477"/>
      </c>
      <c r="AX790" s="761">
        <f t="shared" si="1477"/>
      </c>
      <c r="AY790" s="984">
        <f t="shared" si="1477"/>
      </c>
      <c r="AZ790" s="761">
        <f t="shared" si="1477"/>
      </c>
      <c r="BA790" s="761">
        <f t="shared" si="1477"/>
      </c>
      <c r="BB790" s="761">
        <f t="shared" ref="BB790:BD790" si="1478">BB810</f>
      </c>
      <c r="BC790" s="761">
        <f t="shared" si="1478"/>
      </c>
      <c r="BD790" s="984">
        <f t="shared" si="1478"/>
      </c>
      <c r="BE790" s="761">
        <f>BE810</f>
      </c>
      <c r="BF790" s="761">
        <f>BF810</f>
      </c>
      <c r="BG790" s="761">
        <f t="shared" ref="BG790" si="1479">BG810</f>
      </c>
      <c r="BH790" s="761">
        <f t="shared" ref="BH790:BI790" si="1480">BH810</f>
      </c>
      <c r="BI790" s="984">
        <f t="shared" si="1480"/>
      </c>
      <c r="BJ790" s="761">
        <f t="shared" ref="BJ790:BN790" si="1481">BJ810</f>
      </c>
      <c r="BK790" s="761">
        <f t="shared" si="1481"/>
      </c>
      <c r="BL790" s="761">
        <f t="shared" si="1481"/>
      </c>
      <c r="BM790" s="761">
        <f t="shared" si="1481"/>
      </c>
      <c r="BN790" s="984">
        <f t="shared" si="1481"/>
      </c>
      <c r="BO790" s="761">
        <f t="shared" ref="BO790:CF790" si="1482">BO810</f>
      </c>
      <c r="BP790" s="761">
        <f t="shared" si="1482"/>
      </c>
      <c r="BQ790" s="761">
        <f t="shared" si="1482"/>
      </c>
      <c r="BR790" s="761">
        <f t="shared" si="1482"/>
      </c>
      <c r="BS790" s="984">
        <f t="shared" si="1482"/>
      </c>
      <c r="BT790" s="762">
        <f>BT810</f>
      </c>
      <c r="BU790" s="761">
        <f t="shared" si="1482"/>
      </c>
      <c r="BV790" s="761">
        <f t="shared" si="1482"/>
      </c>
      <c r="BW790" s="761">
        <f t="shared" si="1482"/>
      </c>
      <c r="BX790" s="984">
        <f t="shared" si="1482"/>
      </c>
      <c r="BY790" s="761">
        <f t="shared" si="1482"/>
      </c>
      <c r="BZ790" s="761">
        <f t="shared" si="1482"/>
      </c>
      <c r="CA790" s="761">
        <f t="shared" si="1482"/>
      </c>
      <c r="CB790" s="761">
        <f t="shared" si="1482"/>
      </c>
      <c r="CC790" s="984">
        <f t="shared" si="1482"/>
      </c>
      <c r="CD790" s="984">
        <f t="shared" si="1482"/>
      </c>
      <c r="CE790" s="984">
        <f t="shared" si="1482"/>
      </c>
      <c r="CF790" s="984">
        <f t="shared" si="1482"/>
      </c>
      <c r="CG790" s="759"/>
    </row>
    <row r="791" spans="1:85" s="587" customFormat="1" x14ac:dyDescent="0.3">
      <c r="A791" s="421" t="s">
        <v>733</v>
      </c>
      <c r="B791" s="426"/>
      <c r="C791" s="965"/>
      <c r="D791" s="965"/>
      <c r="E791" s="965"/>
      <c r="F791" s="965"/>
      <c r="G791" s="791"/>
      <c r="H791" s="791"/>
      <c r="I791" s="791"/>
      <c r="J791" s="791"/>
      <c r="K791" s="965"/>
      <c r="L791" s="791"/>
      <c r="M791" s="791"/>
      <c r="N791" s="791"/>
      <c r="O791" s="791"/>
      <c r="P791" s="965"/>
      <c r="Q791" s="791"/>
      <c r="R791" s="791"/>
      <c r="S791" s="791"/>
      <c r="T791" s="791"/>
      <c r="U791" s="965"/>
      <c r="V791" s="791"/>
      <c r="W791" s="791"/>
      <c r="X791" s="791"/>
      <c r="Y791" s="791"/>
      <c r="Z791" s="965"/>
      <c r="AA791" s="791"/>
      <c r="AB791" s="791"/>
      <c r="AC791" s="791"/>
      <c r="AD791" s="791"/>
      <c r="AE791" s="965"/>
      <c r="AF791" s="791"/>
      <c r="AG791" s="791"/>
      <c r="AH791" s="791"/>
      <c r="AI791" s="791"/>
      <c r="AJ791" s="965"/>
      <c r="AK791" s="791"/>
      <c r="AL791" s="791"/>
      <c r="AM791" s="791"/>
      <c r="AN791" s="791">
        <f t="shared" ref="AN791" si="1483">AN789-AN790</f>
      </c>
      <c r="AO791" s="965">
        <f t="shared" ref="AO791:BA791" si="1484">AO789-AO790</f>
      </c>
      <c r="AP791" s="791">
        <f t="shared" si="1484"/>
      </c>
      <c r="AQ791" s="791">
        <f t="shared" si="1484"/>
      </c>
      <c r="AR791" s="791">
        <f t="shared" si="1484"/>
      </c>
      <c r="AS791" s="791">
        <f t="shared" si="1484"/>
      </c>
      <c r="AT791" s="965">
        <f t="shared" si="1484"/>
      </c>
      <c r="AU791" s="791">
        <f t="shared" si="1484"/>
      </c>
      <c r="AV791" s="791">
        <f t="shared" si="1484"/>
      </c>
      <c r="AW791" s="791">
        <f t="shared" si="1484"/>
      </c>
      <c r="AX791" s="791">
        <f t="shared" si="1484"/>
      </c>
      <c r="AY791" s="965">
        <f t="shared" si="1484"/>
      </c>
      <c r="AZ791" s="791">
        <f t="shared" si="1484"/>
      </c>
      <c r="BA791" s="791">
        <f t="shared" si="1484"/>
      </c>
      <c r="BB791" s="791">
        <f t="shared" ref="BB791:BD791" si="1485">BB789-BB790</f>
      </c>
      <c r="BC791" s="791">
        <f t="shared" si="1485"/>
      </c>
      <c r="BD791" s="965">
        <f t="shared" si="1485"/>
      </c>
      <c r="BE791" s="791">
        <f>BE789-BE790</f>
      </c>
      <c r="BF791" s="791">
        <f>BF789-BF790</f>
      </c>
      <c r="BG791" s="791">
        <f t="shared" ref="BG791" si="1486">BG789-BG790</f>
      </c>
      <c r="BH791" s="791">
        <f t="shared" ref="BH791:BI791" si="1487">BH789-BH790</f>
      </c>
      <c r="BI791" s="965">
        <f t="shared" si="1487"/>
      </c>
      <c r="BJ791" s="791">
        <f t="shared" ref="BJ791:BN791" si="1488">BJ789-BJ790</f>
      </c>
      <c r="BK791" s="791">
        <f t="shared" si="1488"/>
      </c>
      <c r="BL791" s="791">
        <f t="shared" si="1488"/>
      </c>
      <c r="BM791" s="791">
        <f t="shared" si="1488"/>
      </c>
      <c r="BN791" s="965">
        <f t="shared" si="1488"/>
      </c>
      <c r="BO791" s="791">
        <f t="shared" ref="BO791:CF791" si="1489">BO789-BO790</f>
      </c>
      <c r="BP791" s="791">
        <f t="shared" si="1489"/>
      </c>
      <c r="BQ791" s="791">
        <f t="shared" si="1489"/>
      </c>
      <c r="BR791" s="791">
        <f t="shared" si="1489"/>
      </c>
      <c r="BS791" s="965">
        <f t="shared" si="1489"/>
      </c>
      <c r="BT791" s="797">
        <f>BT789-BT790</f>
      </c>
      <c r="BU791" s="791">
        <f t="shared" si="1489"/>
      </c>
      <c r="BV791" s="791">
        <f t="shared" si="1489"/>
      </c>
      <c r="BW791" s="791">
        <f t="shared" si="1489"/>
      </c>
      <c r="BX791" s="965">
        <f t="shared" si="1489"/>
      </c>
      <c r="BY791" s="791">
        <f t="shared" si="1489"/>
      </c>
      <c r="BZ791" s="791">
        <f t="shared" si="1489"/>
      </c>
      <c r="CA791" s="791">
        <f t="shared" si="1489"/>
      </c>
      <c r="CB791" s="791">
        <f t="shared" si="1489"/>
      </c>
      <c r="CC791" s="965">
        <f t="shared" si="1489"/>
      </c>
      <c r="CD791" s="965">
        <f t="shared" si="1489"/>
      </c>
      <c r="CE791" s="965">
        <f t="shared" si="1489"/>
      </c>
      <c r="CF791" s="965">
        <f t="shared" si="1489"/>
      </c>
      <c r="CG791" s="759"/>
    </row>
    <row r="792" spans="1:85" s="587" customFormat="1" x14ac:dyDescent="0.3">
      <c r="A792" s="420" t="s">
        <v>728</v>
      </c>
      <c r="B792" s="417"/>
      <c r="C792" s="946"/>
      <c r="D792" s="946"/>
      <c r="E792" s="946"/>
      <c r="F792" s="946"/>
      <c r="G792" s="784"/>
      <c r="H792" s="784"/>
      <c r="I792" s="784"/>
      <c r="J792" s="784"/>
      <c r="K792" s="946"/>
      <c r="L792" s="784"/>
      <c r="M792" s="784"/>
      <c r="N792" s="784"/>
      <c r="O792" s="784"/>
      <c r="P792" s="946"/>
      <c r="Q792" s="784"/>
      <c r="R792" s="784"/>
      <c r="S792" s="784"/>
      <c r="T792" s="784"/>
      <c r="U792" s="946"/>
      <c r="V792" s="784"/>
      <c r="W792" s="784"/>
      <c r="X792" s="784"/>
      <c r="Y792" s="784"/>
      <c r="Z792" s="946"/>
      <c r="AA792" s="784"/>
      <c r="AB792" s="784"/>
      <c r="AC792" s="784"/>
      <c r="AD792" s="784"/>
      <c r="AE792" s="946"/>
      <c r="AF792" s="784"/>
      <c r="AG792" s="784"/>
      <c r="AH792" s="784"/>
      <c r="AI792" s="784"/>
      <c r="AJ792" s="946"/>
      <c r="AK792" s="784"/>
      <c r="AL792" s="784"/>
      <c r="AM792" s="784"/>
      <c r="AN792" s="784">
        <f t="shared" ref="AN792" si="1490">AN783</f>
      </c>
      <c r="AO792" s="946">
        <f t="shared" ref="AO792:BA792" si="1491">AO783</f>
      </c>
      <c r="AP792" s="784">
        <f t="shared" si="1491"/>
      </c>
      <c r="AQ792" s="784">
        <f t="shared" si="1491"/>
      </c>
      <c r="AR792" s="784">
        <f t="shared" si="1491"/>
      </c>
      <c r="AS792" s="784">
        <f t="shared" si="1491"/>
      </c>
      <c r="AT792" s="946">
        <f t="shared" si="1491"/>
      </c>
      <c r="AU792" s="784">
        <f t="shared" si="1491"/>
      </c>
      <c r="AV792" s="784">
        <f t="shared" si="1491"/>
      </c>
      <c r="AW792" s="784">
        <f t="shared" si="1491"/>
      </c>
      <c r="AX792" s="784">
        <f t="shared" si="1491"/>
      </c>
      <c r="AY792" s="946">
        <f t="shared" si="1491"/>
      </c>
      <c r="AZ792" s="784">
        <f t="shared" si="1491"/>
      </c>
      <c r="BA792" s="784">
        <f t="shared" si="1491"/>
      </c>
      <c r="BB792" s="784">
        <f t="shared" ref="BB792:BD792" si="1492">BB783</f>
      </c>
      <c r="BC792" s="784">
        <f t="shared" si="1492"/>
      </c>
      <c r="BD792" s="946">
        <f t="shared" si="1492"/>
      </c>
      <c r="BE792" s="784">
        <f>BE783</f>
      </c>
      <c r="BF792" s="784">
        <f>BF783</f>
      </c>
      <c r="BG792" s="784">
        <f t="shared" ref="BG792" si="1493">BG783</f>
      </c>
      <c r="BH792" s="784">
        <f t="shared" ref="BH792:BI792" si="1494">BH783</f>
      </c>
      <c r="BI792" s="946">
        <f t="shared" si="1494"/>
      </c>
      <c r="BJ792" s="784">
        <f t="shared" ref="BJ792:BN792" si="1495">BJ783</f>
      </c>
      <c r="BK792" s="784">
        <f t="shared" si="1495"/>
      </c>
      <c r="BL792" s="784">
        <f t="shared" si="1495"/>
      </c>
      <c r="BM792" s="784">
        <f t="shared" si="1495"/>
      </c>
      <c r="BN792" s="946">
        <f t="shared" si="1495"/>
      </c>
      <c r="BO792" s="784">
        <f t="shared" ref="BO792:CF792" si="1496">BO783</f>
      </c>
      <c r="BP792" s="784">
        <f t="shared" si="1496"/>
      </c>
      <c r="BQ792" s="784">
        <f t="shared" si="1496"/>
      </c>
      <c r="BR792" s="784">
        <f t="shared" si="1496"/>
      </c>
      <c r="BS792" s="946">
        <f t="shared" si="1496"/>
      </c>
      <c r="BT792" s="817">
        <f>BT783</f>
      </c>
      <c r="BU792" s="784">
        <f t="shared" si="1496"/>
      </c>
      <c r="BV792" s="784">
        <f t="shared" si="1496"/>
      </c>
      <c r="BW792" s="784">
        <f t="shared" si="1496"/>
      </c>
      <c r="BX792" s="946">
        <f t="shared" si="1496"/>
      </c>
      <c r="BY792" s="784">
        <f t="shared" si="1496"/>
      </c>
      <c r="BZ792" s="784">
        <f t="shared" si="1496"/>
      </c>
      <c r="CA792" s="784">
        <f t="shared" si="1496"/>
      </c>
      <c r="CB792" s="784">
        <f t="shared" si="1496"/>
      </c>
      <c r="CC792" s="946">
        <f t="shared" si="1496"/>
      </c>
      <c r="CD792" s="946">
        <f t="shared" si="1496"/>
      </c>
      <c r="CE792" s="946">
        <f t="shared" si="1496"/>
      </c>
      <c r="CF792" s="946">
        <f t="shared" si="1496"/>
      </c>
      <c r="CG792" s="759"/>
    </row>
    <row r="793" spans="1:85" s="587" customFormat="1" x14ac:dyDescent="0.3">
      <c r="A793" s="421" t="s">
        <v>734</v>
      </c>
      <c r="B793" s="426"/>
      <c r="C793" s="965"/>
      <c r="D793" s="965"/>
      <c r="E793" s="965"/>
      <c r="F793" s="965"/>
      <c r="G793" s="791"/>
      <c r="H793" s="791"/>
      <c r="I793" s="791"/>
      <c r="J793" s="791"/>
      <c r="K793" s="965"/>
      <c r="L793" s="791"/>
      <c r="M793" s="791"/>
      <c r="N793" s="791"/>
      <c r="O793" s="791"/>
      <c r="P793" s="965"/>
      <c r="Q793" s="791"/>
      <c r="R793" s="791"/>
      <c r="S793" s="791"/>
      <c r="T793" s="791"/>
      <c r="U793" s="965"/>
      <c r="V793" s="791"/>
      <c r="W793" s="791"/>
      <c r="X793" s="791"/>
      <c r="Y793" s="791"/>
      <c r="Z793" s="965"/>
      <c r="AA793" s="791"/>
      <c r="AB793" s="791"/>
      <c r="AC793" s="791"/>
      <c r="AD793" s="791"/>
      <c r="AE793" s="965"/>
      <c r="AF793" s="791"/>
      <c r="AG793" s="791"/>
      <c r="AH793" s="791"/>
      <c r="AI793" s="791"/>
      <c r="AJ793" s="965"/>
      <c r="AK793" s="791"/>
      <c r="AL793" s="791"/>
      <c r="AM793" s="791"/>
      <c r="AN793" s="791">
        <f t="shared" ref="AN793" si="1497">AN791+AN792</f>
      </c>
      <c r="AO793" s="965">
        <f t="shared" ref="AO793:BA793" si="1498">AO791+AO792</f>
      </c>
      <c r="AP793" s="791">
        <f t="shared" si="1498"/>
      </c>
      <c r="AQ793" s="791">
        <f t="shared" si="1498"/>
      </c>
      <c r="AR793" s="791">
        <f t="shared" si="1498"/>
      </c>
      <c r="AS793" s="791">
        <f t="shared" si="1498"/>
      </c>
      <c r="AT793" s="965">
        <f t="shared" si="1498"/>
      </c>
      <c r="AU793" s="791">
        <f t="shared" si="1498"/>
      </c>
      <c r="AV793" s="791">
        <f t="shared" si="1498"/>
      </c>
      <c r="AW793" s="791">
        <f t="shared" si="1498"/>
      </c>
      <c r="AX793" s="791">
        <f t="shared" si="1498"/>
      </c>
      <c r="AY793" s="965">
        <f t="shared" si="1498"/>
      </c>
      <c r="AZ793" s="791">
        <f t="shared" si="1498"/>
      </c>
      <c r="BA793" s="791">
        <f t="shared" si="1498"/>
      </c>
      <c r="BB793" s="791">
        <f t="shared" ref="BB793:BD793" si="1499">BB791+BB792</f>
      </c>
      <c r="BC793" s="791">
        <f t="shared" si="1499"/>
      </c>
      <c r="BD793" s="965">
        <f t="shared" si="1499"/>
      </c>
      <c r="BE793" s="791">
        <f>BE791+BE792</f>
      </c>
      <c r="BF793" s="791">
        <f>BF791+BF792</f>
      </c>
      <c r="BG793" s="791">
        <f t="shared" ref="BG793" si="1500">BG791+BG792</f>
      </c>
      <c r="BH793" s="791">
        <f t="shared" ref="BH793:BI793" si="1501">BH791+BH792</f>
      </c>
      <c r="BI793" s="965">
        <f t="shared" si="1501"/>
      </c>
      <c r="BJ793" s="791">
        <f t="shared" ref="BJ793:BN793" si="1502">BJ791+BJ792</f>
      </c>
      <c r="BK793" s="791">
        <f t="shared" si="1502"/>
      </c>
      <c r="BL793" s="791">
        <f t="shared" si="1502"/>
      </c>
      <c r="BM793" s="791">
        <f t="shared" si="1502"/>
      </c>
      <c r="BN793" s="965">
        <f t="shared" si="1502"/>
      </c>
      <c r="BO793" s="791">
        <f t="shared" ref="BO793:CF793" si="1503">BO791+BO792</f>
      </c>
      <c r="BP793" s="791">
        <f t="shared" si="1503"/>
      </c>
      <c r="BQ793" s="791">
        <f t="shared" si="1503"/>
      </c>
      <c r="BR793" s="791">
        <f t="shared" si="1503"/>
      </c>
      <c r="BS793" s="965">
        <f t="shared" si="1503"/>
      </c>
      <c r="BT793" s="797">
        <f>BT791+BT792</f>
      </c>
      <c r="BU793" s="791">
        <f t="shared" si="1503"/>
      </c>
      <c r="BV793" s="791">
        <f t="shared" si="1503"/>
      </c>
      <c r="BW793" s="791">
        <f t="shared" si="1503"/>
      </c>
      <c r="BX793" s="965">
        <f t="shared" si="1503"/>
      </c>
      <c r="BY793" s="791">
        <f t="shared" si="1503"/>
      </c>
      <c r="BZ793" s="791">
        <f t="shared" si="1503"/>
      </c>
      <c r="CA793" s="791">
        <f t="shared" si="1503"/>
      </c>
      <c r="CB793" s="791">
        <f t="shared" si="1503"/>
      </c>
      <c r="CC793" s="965">
        <f t="shared" si="1503"/>
      </c>
      <c r="CD793" s="965">
        <f t="shared" si="1503"/>
      </c>
      <c r="CE793" s="965">
        <f t="shared" si="1503"/>
      </c>
      <c r="CF793" s="965">
        <f t="shared" si="1503"/>
      </c>
      <c r="CG793" s="759"/>
    </row>
    <row r="794" spans="1:85" x14ac:dyDescent="0.3">
      <c r="A794" s="444"/>
      <c r="B794" s="272"/>
      <c r="C794" s="1048"/>
      <c r="D794" s="1048"/>
      <c r="E794" s="1048"/>
      <c r="F794" s="1048"/>
      <c r="G794" s="211"/>
      <c r="H794" s="211"/>
      <c r="I794" s="211"/>
      <c r="J794" s="211"/>
      <c r="K794" s="1048"/>
      <c r="L794" s="211"/>
      <c r="M794" s="211"/>
      <c r="N794" s="211"/>
      <c r="O794" s="211"/>
      <c r="P794" s="1048"/>
      <c r="Q794" s="211"/>
      <c r="R794" s="211"/>
      <c r="S794" s="211"/>
      <c r="T794" s="211"/>
      <c r="U794" s="1048"/>
      <c r="V794" s="211"/>
      <c r="W794" s="273"/>
      <c r="X794" s="211"/>
      <c r="Y794" s="273"/>
      <c r="Z794" s="1048"/>
      <c r="AA794" s="273"/>
      <c r="AB794" s="273"/>
      <c r="AC794" s="211"/>
      <c r="AD794" s="273"/>
      <c r="AE794" s="1048"/>
      <c r="AF794" s="273"/>
      <c r="AG794" s="273"/>
      <c r="AH794" s="211"/>
      <c r="AI794" s="273"/>
      <c r="AJ794" s="1048"/>
      <c r="AK794" s="273"/>
      <c r="AL794" s="273"/>
      <c r="AM794" s="211"/>
      <c r="AN794" s="273"/>
      <c r="AO794" s="1048"/>
      <c r="AP794" s="273"/>
      <c r="AQ794" s="273"/>
      <c r="AR794" s="211"/>
      <c r="AS794" s="273"/>
      <c r="AT794" s="1048"/>
      <c r="AU794" s="273"/>
      <c r="AV794" s="273"/>
      <c r="AW794" s="211"/>
      <c r="AX794" s="273"/>
      <c r="AY794" s="1048"/>
      <c r="AZ794" s="273"/>
      <c r="BA794" s="273"/>
      <c r="BB794" s="211"/>
      <c r="BC794" s="273"/>
      <c r="BD794" s="1048"/>
      <c r="BE794" s="273"/>
      <c r="BF794" s="273"/>
      <c r="BG794" s="211"/>
      <c r="BH794" s="273"/>
      <c r="BI794" s="1048"/>
      <c r="BJ794" s="273"/>
      <c r="BK794" s="273"/>
      <c r="BL794" s="211"/>
      <c r="BM794" s="273"/>
      <c r="BN794" s="1048"/>
      <c r="BO794" s="273"/>
      <c r="BP794" s="273"/>
      <c r="BQ794" s="211"/>
      <c r="BR794" s="273"/>
      <c r="BS794" s="1048"/>
      <c r="BT794" s="712"/>
      <c r="BU794" s="273"/>
      <c r="BV794" s="273"/>
      <c r="BW794" s="273"/>
      <c r="BX794" s="1048"/>
      <c r="BY794" s="273"/>
      <c r="BZ794" s="273"/>
      <c r="CA794" s="273"/>
      <c r="CB794" s="273"/>
      <c r="CC794" s="1048"/>
      <c r="CD794" s="1048"/>
      <c r="CE794" s="1048"/>
      <c r="CF794" s="1048"/>
      <c r="CG794" s="28"/>
    </row>
    <row r="795" spans="1:85" s="587" customFormat="1" x14ac:dyDescent="0.3">
      <c r="A795" s="427" t="s">
        <v>735</v>
      </c>
      <c r="B795" s="429"/>
      <c r="C795" s="969"/>
      <c r="D795" s="969"/>
      <c r="E795" s="969"/>
      <c r="F795" s="969"/>
      <c r="G795" s="759"/>
      <c r="H795" s="759"/>
      <c r="I795" s="759"/>
      <c r="J795" s="759"/>
      <c r="K795" s="969"/>
      <c r="L795" s="759"/>
      <c r="M795" s="759"/>
      <c r="N795" s="759"/>
      <c r="O795" s="759"/>
      <c r="P795" s="969"/>
      <c r="Q795" s="759"/>
      <c r="R795" s="759"/>
      <c r="S795" s="759"/>
      <c r="T795" s="759"/>
      <c r="U795" s="969"/>
      <c r="V795" s="759"/>
      <c r="W795" s="759"/>
      <c r="X795" s="759"/>
      <c r="Y795" s="759"/>
      <c r="Z795" s="969"/>
      <c r="AA795" s="759"/>
      <c r="AB795" s="759"/>
      <c r="AC795" s="759"/>
      <c r="AD795" s="759"/>
      <c r="AE795" s="969"/>
      <c r="AF795" s="759"/>
      <c r="AG795" s="759"/>
      <c r="AH795" s="759"/>
      <c r="AI795" s="759"/>
      <c r="AJ795" s="969"/>
      <c r="AK795" s="759"/>
      <c r="AL795" s="759"/>
      <c r="AM795" s="759"/>
      <c r="AN795" s="759"/>
      <c r="AO795" s="969"/>
      <c r="AP795" s="759">
        <f t="shared" ref="AP795:BA795" si="1504">AP896</f>
      </c>
      <c r="AQ795" s="759">
        <f t="shared" si="1504"/>
      </c>
      <c r="AR795" s="759">
        <f t="shared" si="1504"/>
      </c>
      <c r="AS795" s="759">
        <f t="shared" si="1504"/>
      </c>
      <c r="AT795" s="969">
        <f t="shared" si="1504"/>
      </c>
      <c r="AU795" s="759">
        <f t="shared" si="1504"/>
      </c>
      <c r="AV795" s="759">
        <f t="shared" si="1504"/>
      </c>
      <c r="AW795" s="759">
        <f t="shared" si="1504"/>
      </c>
      <c r="AX795" s="759">
        <f t="shared" si="1504"/>
      </c>
      <c r="AY795" s="969">
        <f t="shared" si="1504"/>
      </c>
      <c r="AZ795" s="759">
        <f t="shared" si="1504"/>
      </c>
      <c r="BA795" s="759">
        <f t="shared" si="1504"/>
      </c>
      <c r="BB795" s="759">
        <f t="shared" ref="BB795:BD795" si="1505">BB896</f>
      </c>
      <c r="BC795" s="759">
        <f t="shared" si="1505"/>
      </c>
      <c r="BD795" s="969">
        <f t="shared" si="1505"/>
      </c>
      <c r="BE795" s="759">
        <f t="shared" ref="BE795:BI795" si="1506">BE896</f>
      </c>
      <c r="BF795" s="759">
        <f t="shared" si="1506"/>
      </c>
      <c r="BG795" s="759">
        <f t="shared" si="1506"/>
      </c>
      <c r="BH795" s="759">
        <f t="shared" si="1506"/>
      </c>
      <c r="BI795" s="969">
        <f t="shared" si="1506"/>
      </c>
      <c r="BJ795" s="759">
        <f t="shared" ref="BJ795:BN795" si="1507">BJ896</f>
      </c>
      <c r="BK795" s="759">
        <f t="shared" si="1507"/>
      </c>
      <c r="BL795" s="759">
        <f t="shared" si="1507"/>
      </c>
      <c r="BM795" s="759">
        <f t="shared" si="1507"/>
      </c>
      <c r="BN795" s="969">
        <f t="shared" si="1507"/>
      </c>
      <c r="BO795" s="759">
        <f t="shared" ref="BO795:BW795" si="1508">BO896</f>
      </c>
      <c r="BP795" s="759">
        <f t="shared" si="1508"/>
      </c>
      <c r="BQ795" s="759">
        <f t="shared" si="1508"/>
      </c>
      <c r="BR795" s="759">
        <f t="shared" si="1508"/>
      </c>
      <c r="BS795" s="969">
        <f t="shared" si="1508"/>
      </c>
      <c r="BT795" s="760">
        <f>BT896</f>
      </c>
      <c r="BU795" s="759">
        <f t="shared" si="1508"/>
      </c>
      <c r="BV795" s="759">
        <f t="shared" si="1508"/>
      </c>
      <c r="BW795" s="759">
        <f t="shared" si="1508"/>
      </c>
      <c r="BX795" s="969">
        <f>SUM(BT795,BU795,BV795,BW795)</f>
      </c>
      <c r="BY795" s="759">
        <f>BY896</f>
      </c>
      <c r="BZ795" s="759">
        <f>BZ896</f>
      </c>
      <c r="CA795" s="759">
        <f>CA896</f>
      </c>
      <c r="CB795" s="759">
        <f>CB896</f>
      </c>
      <c r="CC795" s="969">
        <f>SUM(BY795,BZ795,CA795,CB795)</f>
      </c>
      <c r="CD795" s="969">
        <f>CD896</f>
      </c>
      <c r="CE795" s="969">
        <f>CE896</f>
      </c>
      <c r="CF795" s="969">
        <f>CF896</f>
      </c>
      <c r="CG795" s="759"/>
    </row>
    <row r="796" spans="1:85" s="587" customFormat="1" x14ac:dyDescent="0.3">
      <c r="A796" s="424" t="s">
        <v>736</v>
      </c>
      <c r="B796" s="442"/>
      <c r="C796" s="962"/>
      <c r="D796" s="962"/>
      <c r="E796" s="962"/>
      <c r="F796" s="962"/>
      <c r="G796" s="757"/>
      <c r="H796" s="757"/>
      <c r="I796" s="757"/>
      <c r="J796" s="757"/>
      <c r="K796" s="962"/>
      <c r="L796" s="757"/>
      <c r="M796" s="757"/>
      <c r="N796" s="757"/>
      <c r="O796" s="757"/>
      <c r="P796" s="962"/>
      <c r="Q796" s="757"/>
      <c r="R796" s="757"/>
      <c r="S796" s="757"/>
      <c r="T796" s="757"/>
      <c r="U796" s="962"/>
      <c r="V796" s="757"/>
      <c r="W796" s="757"/>
      <c r="X796" s="757"/>
      <c r="Y796" s="757"/>
      <c r="Z796" s="962"/>
      <c r="AA796" s="757"/>
      <c r="AB796" s="757"/>
      <c r="AC796" s="757"/>
      <c r="AD796" s="757"/>
      <c r="AE796" s="962"/>
      <c r="AF796" s="757"/>
      <c r="AG796" s="757"/>
      <c r="AH796" s="757"/>
      <c r="AI796" s="757"/>
      <c r="AJ796" s="962"/>
      <c r="AK796" s="757"/>
      <c r="AL796" s="757"/>
      <c r="AM796" s="757"/>
      <c r="AN796" s="757"/>
      <c r="AO796" s="962"/>
      <c r="AP796" s="757"/>
      <c r="AQ796" s="757"/>
      <c r="AR796" s="757"/>
      <c r="AS796" s="757"/>
      <c r="AT796" s="962"/>
      <c r="AU796" s="757"/>
      <c r="AV796" s="757"/>
      <c r="AW796" s="757"/>
      <c r="AX796" s="757"/>
      <c r="AY796" s="962"/>
      <c r="AZ796" s="757"/>
      <c r="BA796" s="757"/>
      <c r="BB796" s="757"/>
      <c r="BC796" s="757"/>
      <c r="BD796" s="962"/>
      <c r="BE796" s="757"/>
      <c r="BF796" s="757"/>
      <c r="BG796" s="757"/>
      <c r="BH796" s="757"/>
      <c r="BI796" s="962"/>
      <c r="BJ796" s="757"/>
      <c r="BK796" s="757"/>
      <c r="BL796" s="757"/>
      <c r="BM796" s="757"/>
      <c r="BN796" s="962"/>
      <c r="BO796" s="757"/>
      <c r="BP796" s="757"/>
      <c r="BQ796" s="757"/>
      <c r="BR796" s="757"/>
      <c r="BS796" s="962"/>
      <c r="BT796" s="758"/>
      <c r="BU796" s="857">
        <v>2</v>
      </c>
      <c r="BV796" s="857">
        <v>2</v>
      </c>
      <c r="BW796" s="857">
        <v>2</v>
      </c>
      <c r="BX796" s="962">
        <f>SUM(BT796,BU796,BV796,BW796)</f>
      </c>
      <c r="BY796" s="857">
        <v>2</v>
      </c>
      <c r="BZ796" s="857">
        <v>2</v>
      </c>
      <c r="CA796" s="857">
        <v>2</v>
      </c>
      <c r="CB796" s="857">
        <v>2</v>
      </c>
      <c r="CC796" s="962">
        <f>SUM(BY796,BZ796,CA796,CB796)</f>
      </c>
      <c r="CD796" s="963">
        <v>8</v>
      </c>
      <c r="CE796" s="963">
        <v>8</v>
      </c>
      <c r="CF796" s="963">
        <v>8</v>
      </c>
      <c r="CG796" s="759"/>
    </row>
    <row r="797" spans="1:85" s="587" customFormat="1" x14ac:dyDescent="0.3">
      <c r="A797" s="420" t="s">
        <v>737</v>
      </c>
      <c r="B797" s="425"/>
      <c r="C797" s="984"/>
      <c r="D797" s="984"/>
      <c r="E797" s="984"/>
      <c r="F797" s="984"/>
      <c r="G797" s="761"/>
      <c r="H797" s="761"/>
      <c r="I797" s="761"/>
      <c r="J797" s="761"/>
      <c r="K797" s="984"/>
      <c r="L797" s="761"/>
      <c r="M797" s="761"/>
      <c r="N797" s="761"/>
      <c r="O797" s="761"/>
      <c r="P797" s="984"/>
      <c r="Q797" s="761"/>
      <c r="R797" s="761"/>
      <c r="S797" s="761"/>
      <c r="T797" s="761"/>
      <c r="U797" s="984"/>
      <c r="V797" s="761"/>
      <c r="W797" s="761"/>
      <c r="X797" s="761"/>
      <c r="Y797" s="761"/>
      <c r="Z797" s="984"/>
      <c r="AA797" s="761"/>
      <c r="AB797" s="761"/>
      <c r="AC797" s="761"/>
      <c r="AD797" s="761"/>
      <c r="AE797" s="984"/>
      <c r="AF797" s="761"/>
      <c r="AG797" s="761"/>
      <c r="AH797" s="761"/>
      <c r="AI797" s="761"/>
      <c r="AJ797" s="984"/>
      <c r="AK797" s="761"/>
      <c r="AL797" s="761"/>
      <c r="AM797" s="761"/>
      <c r="AN797" s="761"/>
      <c r="AO797" s="984"/>
      <c r="AP797" s="761">
        <f t="shared" ref="AP797:BA797" si="1509">AP798-SUM(AP795:AP796)</f>
      </c>
      <c r="AQ797" s="761">
        <f t="shared" si="1509"/>
      </c>
      <c r="AR797" s="761">
        <f t="shared" si="1509"/>
      </c>
      <c r="AS797" s="761">
        <f t="shared" si="1509"/>
      </c>
      <c r="AT797" s="984">
        <f t="shared" si="1509"/>
      </c>
      <c r="AU797" s="761">
        <f t="shared" si="1509"/>
      </c>
      <c r="AV797" s="761">
        <f t="shared" si="1509"/>
      </c>
      <c r="AW797" s="761">
        <f t="shared" si="1509"/>
      </c>
      <c r="AX797" s="761">
        <f t="shared" si="1509"/>
      </c>
      <c r="AY797" s="984">
        <f t="shared" si="1509"/>
      </c>
      <c r="AZ797" s="761">
        <f t="shared" si="1509"/>
      </c>
      <c r="BA797" s="761">
        <f t="shared" si="1509"/>
      </c>
      <c r="BB797" s="761">
        <f t="shared" ref="BB797:BF797" si="1510">BB798-SUM(BB795:BB796)</f>
      </c>
      <c r="BC797" s="761">
        <f t="shared" si="1510"/>
      </c>
      <c r="BD797" s="984">
        <f t="shared" si="1510"/>
      </c>
      <c r="BE797" s="761">
        <f t="shared" si="1510"/>
      </c>
      <c r="BF797" s="761">
        <f t="shared" si="1510"/>
      </c>
      <c r="BG797" s="800">
        <f t="shared" ref="BG797" si="1511">BG798-SUM(BG795:BG796)</f>
      </c>
      <c r="BH797" s="761">
        <f t="shared" ref="BH797:BN797" si="1512">BH798-SUM(BH795:BH796)</f>
      </c>
      <c r="BI797" s="984">
        <f t="shared" si="1512"/>
      </c>
      <c r="BJ797" s="761">
        <f t="shared" si="1512"/>
      </c>
      <c r="BK797" s="761">
        <f t="shared" si="1512"/>
      </c>
      <c r="BL797" s="800">
        <f t="shared" si="1512"/>
      </c>
      <c r="BM797" s="761">
        <f t="shared" si="1512"/>
      </c>
      <c r="BN797" s="984">
        <f t="shared" si="1512"/>
      </c>
      <c r="BO797" s="761">
        <f t="shared" ref="BO797:BT797" si="1513">BO798-SUM(BO795:BO796)</f>
      </c>
      <c r="BP797" s="761">
        <f t="shared" si="1513"/>
      </c>
      <c r="BQ797" s="800">
        <f t="shared" si="1513"/>
      </c>
      <c r="BR797" s="761">
        <f t="shared" si="1513"/>
      </c>
      <c r="BS797" s="984">
        <f t="shared" si="1513"/>
      </c>
      <c r="BT797" s="762">
        <f t="shared" si="1513"/>
      </c>
      <c r="BU797" s="863">
        <v>0</v>
      </c>
      <c r="BV797" s="863">
        <v>0</v>
      </c>
      <c r="BW797" s="863">
        <v>0</v>
      </c>
      <c r="BX797" s="984">
        <f>SUM(BT797,BU797,BV797,BW797)</f>
      </c>
      <c r="BY797" s="863">
        <v>0</v>
      </c>
      <c r="BZ797" s="863">
        <v>0</v>
      </c>
      <c r="CA797" s="863">
        <v>0</v>
      </c>
      <c r="CB797" s="863">
        <v>0</v>
      </c>
      <c r="CC797" s="984">
        <f>SUM(BY797,BZ797,CA797,CB797)</f>
      </c>
      <c r="CD797" s="989">
        <v>0</v>
      </c>
      <c r="CE797" s="989">
        <v>0</v>
      </c>
      <c r="CF797" s="989">
        <v>0</v>
      </c>
      <c r="CG797" s="759"/>
    </row>
    <row r="798" spans="1:85" s="587" customFormat="1" x14ac:dyDescent="0.3">
      <c r="A798" s="427" t="s">
        <v>856</v>
      </c>
      <c r="B798" s="429"/>
      <c r="C798" s="969">
        <f t="shared" ref="C798:AH798" si="1514">C761</f>
      </c>
      <c r="D798" s="969">
        <f t="shared" si="1514"/>
      </c>
      <c r="E798" s="969">
        <f t="shared" si="1514"/>
      </c>
      <c r="F798" s="969">
        <f t="shared" si="1514"/>
      </c>
      <c r="G798" s="759">
        <f t="shared" si="1514"/>
      </c>
      <c r="H798" s="759">
        <f t="shared" si="1514"/>
      </c>
      <c r="I798" s="759">
        <f t="shared" si="1514"/>
      </c>
      <c r="J798" s="759">
        <f t="shared" si="1514"/>
      </c>
      <c r="K798" s="969">
        <f t="shared" si="1514"/>
      </c>
      <c r="L798" s="759">
        <f t="shared" si="1514"/>
      </c>
      <c r="M798" s="759">
        <f t="shared" si="1514"/>
      </c>
      <c r="N798" s="759">
        <f t="shared" si="1514"/>
      </c>
      <c r="O798" s="759">
        <f t="shared" si="1514"/>
      </c>
      <c r="P798" s="969">
        <f t="shared" si="1514"/>
      </c>
      <c r="Q798" s="759">
        <f t="shared" si="1514"/>
      </c>
      <c r="R798" s="759">
        <f t="shared" si="1514"/>
      </c>
      <c r="S798" s="759">
        <f t="shared" si="1514"/>
      </c>
      <c r="T798" s="759">
        <f t="shared" si="1514"/>
      </c>
      <c r="U798" s="969">
        <f t="shared" si="1514"/>
      </c>
      <c r="V798" s="759">
        <f t="shared" si="1514"/>
      </c>
      <c r="W798" s="759">
        <f t="shared" si="1514"/>
      </c>
      <c r="X798" s="759">
        <f t="shared" si="1514"/>
      </c>
      <c r="Y798" s="759">
        <f t="shared" si="1514"/>
      </c>
      <c r="Z798" s="969">
        <f t="shared" si="1514"/>
      </c>
      <c r="AA798" s="759">
        <f t="shared" si="1514"/>
      </c>
      <c r="AB798" s="759">
        <f t="shared" si="1514"/>
      </c>
      <c r="AC798" s="759">
        <f t="shared" si="1514"/>
      </c>
      <c r="AD798" s="759">
        <f t="shared" si="1514"/>
      </c>
      <c r="AE798" s="969">
        <f t="shared" si="1514"/>
      </c>
      <c r="AF798" s="759">
        <f t="shared" si="1514"/>
      </c>
      <c r="AG798" s="759">
        <f t="shared" si="1514"/>
      </c>
      <c r="AH798" s="759">
        <f t="shared" si="1514"/>
      </c>
      <c r="AI798" s="759">
        <f t="shared" ref="AI798:BA798" si="1515">AI761</f>
      </c>
      <c r="AJ798" s="969">
        <f t="shared" si="1515"/>
      </c>
      <c r="AK798" s="759">
        <f t="shared" si="1515"/>
      </c>
      <c r="AL798" s="759">
        <f t="shared" si="1515"/>
      </c>
      <c r="AM798" s="759">
        <f t="shared" si="1515"/>
      </c>
      <c r="AN798" s="759">
        <f t="shared" si="1515"/>
      </c>
      <c r="AO798" s="969">
        <f t="shared" si="1515"/>
      </c>
      <c r="AP798" s="759">
        <f t="shared" si="1515"/>
      </c>
      <c r="AQ798" s="759">
        <f t="shared" si="1515"/>
      </c>
      <c r="AR798" s="759">
        <f t="shared" si="1515"/>
      </c>
      <c r="AS798" s="759">
        <f t="shared" si="1515"/>
      </c>
      <c r="AT798" s="969">
        <f t="shared" si="1515"/>
      </c>
      <c r="AU798" s="759">
        <f t="shared" si="1515"/>
      </c>
      <c r="AV798" s="759">
        <f t="shared" si="1515"/>
      </c>
      <c r="AW798" s="759">
        <f t="shared" si="1515"/>
      </c>
      <c r="AX798" s="759">
        <f t="shared" si="1515"/>
      </c>
      <c r="AY798" s="969">
        <f t="shared" si="1515"/>
      </c>
      <c r="AZ798" s="759">
        <f t="shared" si="1515"/>
      </c>
      <c r="BA798" s="759">
        <f t="shared" si="1515"/>
      </c>
      <c r="BB798" s="759">
        <f t="shared" ref="BB798:BF798" si="1516">BB761</f>
      </c>
      <c r="BC798" s="759">
        <f t="shared" si="1516"/>
      </c>
      <c r="BD798" s="969">
        <f t="shared" si="1516"/>
      </c>
      <c r="BE798" s="759">
        <f t="shared" si="1516"/>
      </c>
      <c r="BF798" s="759">
        <f t="shared" si="1516"/>
      </c>
      <c r="BG798" s="183">
        <f t="shared" ref="BG798" si="1517">BG761</f>
      </c>
      <c r="BH798" s="759">
        <f t="shared" ref="BH798:BN798" si="1518">BH761</f>
      </c>
      <c r="BI798" s="969">
        <f t="shared" si="1518"/>
      </c>
      <c r="BJ798" s="759">
        <f t="shared" si="1518"/>
      </c>
      <c r="BK798" s="759">
        <f t="shared" si="1518"/>
      </c>
      <c r="BL798" s="183">
        <f t="shared" si="1518"/>
      </c>
      <c r="BM798" s="759">
        <f t="shared" si="1518"/>
      </c>
      <c r="BN798" s="969">
        <f t="shared" si="1518"/>
      </c>
      <c r="BO798" s="759">
        <f t="shared" ref="BO798:BT798" si="1519">BO761</f>
      </c>
      <c r="BP798" s="759">
        <f t="shared" si="1519"/>
      </c>
      <c r="BQ798" s="183">
        <f t="shared" si="1519"/>
      </c>
      <c r="BR798" s="759">
        <f t="shared" si="1519"/>
      </c>
      <c r="BS798" s="969">
        <f t="shared" si="1519"/>
      </c>
      <c r="BT798" s="760">
        <f t="shared" si="1519"/>
      </c>
      <c r="BU798" s="759">
        <f t="shared" ref="BU798:CF798" si="1520">SUM(BU795:BU797)</f>
      </c>
      <c r="BV798" s="759">
        <f t="shared" si="1520"/>
      </c>
      <c r="BW798" s="759">
        <f t="shared" si="1520"/>
      </c>
      <c r="BX798" s="969">
        <f t="shared" si="1520"/>
      </c>
      <c r="BY798" s="759">
        <f t="shared" si="1520"/>
      </c>
      <c r="BZ798" s="759">
        <f t="shared" si="1520"/>
      </c>
      <c r="CA798" s="759">
        <f t="shared" si="1520"/>
      </c>
      <c r="CB798" s="759">
        <f t="shared" si="1520"/>
      </c>
      <c r="CC798" s="969">
        <f t="shared" si="1520"/>
      </c>
      <c r="CD798" s="969">
        <f t="shared" si="1520"/>
      </c>
      <c r="CE798" s="969">
        <f t="shared" si="1520"/>
      </c>
      <c r="CF798" s="969">
        <f t="shared" si="1520"/>
      </c>
      <c r="CG798" s="759"/>
    </row>
    <row r="799" spans="1:85" x14ac:dyDescent="0.3">
      <c r="A799" s="444"/>
      <c r="B799" s="272"/>
      <c r="C799" s="1048"/>
      <c r="D799" s="1048"/>
      <c r="E799" s="1048"/>
      <c r="F799" s="1048"/>
      <c r="G799" s="211"/>
      <c r="H799" s="211"/>
      <c r="I799" s="211"/>
      <c r="J799" s="211"/>
      <c r="K799" s="1048"/>
      <c r="L799" s="211"/>
      <c r="M799" s="211"/>
      <c r="N799" s="211"/>
      <c r="O799" s="211"/>
      <c r="P799" s="1048"/>
      <c r="Q799" s="211"/>
      <c r="R799" s="211"/>
      <c r="S799" s="211"/>
      <c r="T799" s="211"/>
      <c r="U799" s="1048"/>
      <c r="V799" s="211"/>
      <c r="W799" s="273"/>
      <c r="X799" s="211"/>
      <c r="Y799" s="273"/>
      <c r="Z799" s="1048"/>
      <c r="AA799" s="273"/>
      <c r="AB799" s="273"/>
      <c r="AC799" s="211"/>
      <c r="AD799" s="273"/>
      <c r="AE799" s="1048"/>
      <c r="AF799" s="273"/>
      <c r="AG799" s="273"/>
      <c r="AH799" s="211"/>
      <c r="AI799" s="273"/>
      <c r="AJ799" s="1048"/>
      <c r="AK799" s="273"/>
      <c r="AL799" s="273"/>
      <c r="AM799" s="211"/>
      <c r="AN799" s="273"/>
      <c r="AO799" s="1048"/>
      <c r="AP799" s="273"/>
      <c r="AQ799" s="273"/>
      <c r="AR799" s="211"/>
      <c r="AS799" s="273"/>
      <c r="AT799" s="1048"/>
      <c r="AU799" s="273"/>
      <c r="AV799" s="273"/>
      <c r="AW799" s="211"/>
      <c r="AX799" s="273"/>
      <c r="AY799" s="1048"/>
      <c r="AZ799" s="273"/>
      <c r="BA799" s="273"/>
      <c r="BB799" s="211"/>
      <c r="BC799" s="273"/>
      <c r="BD799" s="1048"/>
      <c r="BE799" s="273"/>
      <c r="BF799" s="273"/>
      <c r="BG799" s="211"/>
      <c r="BH799" s="273"/>
      <c r="BI799" s="1048"/>
      <c r="BJ799" s="273"/>
      <c r="BK799" s="273"/>
      <c r="BL799" s="211"/>
      <c r="BM799" s="273"/>
      <c r="BN799" s="1048"/>
      <c r="BO799" s="273"/>
      <c r="BP799" s="273"/>
      <c r="BQ799" s="211"/>
      <c r="BR799" s="273"/>
      <c r="BS799" s="1048"/>
      <c r="BT799" s="712"/>
      <c r="BU799" s="273"/>
      <c r="BV799" s="273"/>
      <c r="BW799" s="273"/>
      <c r="BX799" s="1048"/>
      <c r="BY799" s="273"/>
      <c r="BZ799" s="273"/>
      <c r="CA799" s="273"/>
      <c r="CB799" s="273"/>
      <c r="CC799" s="1048"/>
      <c r="CD799" s="1048"/>
      <c r="CE799" s="1048"/>
      <c r="CF799" s="1048"/>
      <c r="CG799" s="28"/>
    </row>
    <row r="800" spans="1:85" x14ac:dyDescent="0.3">
      <c r="A800" s="427" t="s">
        <v>64</v>
      </c>
      <c r="B800" s="429"/>
      <c r="C800" s="940">
        <f>C480</f>
      </c>
      <c r="D800" s="940">
        <f>D480</f>
      </c>
      <c r="E800" s="940">
        <f>E480</f>
      </c>
      <c r="F800" s="940">
        <f>F480</f>
      </c>
      <c r="G800" s="778"/>
      <c r="H800" s="778"/>
      <c r="I800" s="778"/>
      <c r="J800" s="778"/>
      <c r="K800" s="940">
        <f>K480</f>
      </c>
      <c r="L800" s="778"/>
      <c r="M800" s="778"/>
      <c r="N800" s="778"/>
      <c r="O800" s="778"/>
      <c r="P800" s="940">
        <f>P480</f>
      </c>
      <c r="Q800" s="778"/>
      <c r="R800" s="778"/>
      <c r="S800" s="778"/>
      <c r="T800" s="778"/>
      <c r="U800" s="940">
        <f>U480</f>
      </c>
      <c r="V800" s="778"/>
      <c r="W800" s="778"/>
      <c r="X800" s="778"/>
      <c r="Y800" s="778"/>
      <c r="Z800" s="940">
        <f>Z480</f>
      </c>
      <c r="AA800" s="778"/>
      <c r="AB800" s="778"/>
      <c r="AC800" s="778"/>
      <c r="AD800" s="778"/>
      <c r="AE800" s="940">
        <f>AE480</f>
      </c>
      <c r="AF800" s="778"/>
      <c r="AG800" s="778"/>
      <c r="AH800" s="778"/>
      <c r="AI800" s="778"/>
      <c r="AJ800" s="940">
        <f>AJ480</f>
      </c>
      <c r="AK800" s="778"/>
      <c r="AL800" s="778"/>
      <c r="AM800" s="778"/>
      <c r="AN800" s="778"/>
      <c r="AO800" s="940">
        <f t="shared" ref="AO800:BJ800" si="1521">AO480</f>
      </c>
      <c r="AP800" s="778">
        <f t="shared" si="1521"/>
      </c>
      <c r="AQ800" s="778">
        <f t="shared" si="1521"/>
      </c>
      <c r="AR800" s="778">
        <f t="shared" si="1521"/>
      </c>
      <c r="AS800" s="778">
        <f t="shared" si="1521"/>
      </c>
      <c r="AT800" s="940">
        <f t="shared" si="1521"/>
      </c>
      <c r="AU800" s="778">
        <f t="shared" si="1521"/>
      </c>
      <c r="AV800" s="778">
        <f t="shared" si="1521"/>
      </c>
      <c r="AW800" s="778">
        <f t="shared" si="1521"/>
      </c>
      <c r="AX800" s="778">
        <f t="shared" si="1521"/>
      </c>
      <c r="AY800" s="940">
        <f t="shared" si="1521"/>
      </c>
      <c r="AZ800" s="778">
        <f t="shared" si="1521"/>
      </c>
      <c r="BA800" s="778">
        <f t="shared" si="1521"/>
      </c>
      <c r="BB800" s="778">
        <f t="shared" si="1521"/>
      </c>
      <c r="BC800" s="778">
        <f t="shared" si="1521"/>
      </c>
      <c r="BD800" s="940">
        <f t="shared" si="1521"/>
      </c>
      <c r="BE800" s="778">
        <f t="shared" si="1521"/>
      </c>
      <c r="BF800" s="778">
        <f t="shared" si="1521"/>
      </c>
      <c r="BG800" s="778">
        <f t="shared" si="1521"/>
      </c>
      <c r="BH800" s="778">
        <f t="shared" si="1521"/>
      </c>
      <c r="BI800" s="940">
        <f t="shared" si="1521"/>
      </c>
      <c r="BJ800" s="778">
        <f t="shared" si="1521"/>
      </c>
      <c r="BK800" s="778">
        <f t="shared" ref="BK800:BN800" si="1522">BK480</f>
      </c>
      <c r="BL800" s="778">
        <f t="shared" si="1522"/>
      </c>
      <c r="BM800" s="778">
        <f t="shared" si="1522"/>
      </c>
      <c r="BN800" s="940">
        <f t="shared" si="1522"/>
      </c>
      <c r="BO800" s="778">
        <f t="shared" ref="BO800:CF800" si="1523">BO480</f>
      </c>
      <c r="BP800" s="778">
        <f t="shared" si="1523"/>
      </c>
      <c r="BQ800" s="778">
        <f t="shared" si="1523"/>
      </c>
      <c r="BR800" s="778">
        <f t="shared" si="1523"/>
      </c>
      <c r="BS800" s="940">
        <f t="shared" si="1523"/>
      </c>
      <c r="BT800" s="779">
        <f>BT480</f>
      </c>
      <c r="BU800" s="778">
        <f t="shared" si="1523"/>
      </c>
      <c r="BV800" s="778">
        <f t="shared" si="1523"/>
      </c>
      <c r="BW800" s="778">
        <f t="shared" si="1523"/>
      </c>
      <c r="BX800" s="940">
        <f t="shared" si="1523"/>
      </c>
      <c r="BY800" s="778">
        <f t="shared" si="1523"/>
      </c>
      <c r="BZ800" s="778">
        <f t="shared" si="1523"/>
      </c>
      <c r="CA800" s="778">
        <f t="shared" si="1523"/>
      </c>
      <c r="CB800" s="778">
        <f t="shared" si="1523"/>
      </c>
      <c r="CC800" s="940">
        <f t="shared" si="1523"/>
      </c>
      <c r="CD800" s="940">
        <f t="shared" si="1523"/>
      </c>
      <c r="CE800" s="940">
        <f t="shared" si="1523"/>
      </c>
      <c r="CF800" s="940">
        <f t="shared" si="1523"/>
      </c>
      <c r="CG800" s="28"/>
    </row>
    <row r="801" spans="1:85" x14ac:dyDescent="0.3">
      <c r="A801" s="424" t="s">
        <v>780</v>
      </c>
      <c r="B801" s="442"/>
      <c r="C801" s="943"/>
      <c r="D801" s="943"/>
      <c r="E801" s="943"/>
      <c r="F801" s="943"/>
      <c r="G801" s="753"/>
      <c r="H801" s="753"/>
      <c r="I801" s="753"/>
      <c r="J801" s="753"/>
      <c r="K801" s="943">
        <f t="shared" ref="K801:AJ801" si="1524">K959-K951</f>
      </c>
      <c r="L801" s="753"/>
      <c r="M801" s="753"/>
      <c r="N801" s="753"/>
      <c r="O801" s="753"/>
      <c r="P801" s="943">
        <f t="shared" si="1524"/>
      </c>
      <c r="Q801" s="753"/>
      <c r="R801" s="753"/>
      <c r="S801" s="753"/>
      <c r="T801" s="753"/>
      <c r="U801" s="943">
        <f t="shared" si="1524"/>
      </c>
      <c r="V801" s="753"/>
      <c r="W801" s="753"/>
      <c r="X801" s="753"/>
      <c r="Y801" s="753"/>
      <c r="Z801" s="943">
        <f t="shared" si="1524"/>
      </c>
      <c r="AA801" s="753"/>
      <c r="AB801" s="753"/>
      <c r="AC801" s="753"/>
      <c r="AD801" s="753"/>
      <c r="AE801" s="943">
        <f t="shared" si="1524"/>
      </c>
      <c r="AF801" s="753"/>
      <c r="AG801" s="753"/>
      <c r="AH801" s="753"/>
      <c r="AI801" s="753"/>
      <c r="AJ801" s="943">
        <f t="shared" si="1524"/>
      </c>
      <c r="AK801" s="753"/>
      <c r="AL801" s="753"/>
      <c r="AM801" s="753"/>
      <c r="AN801" s="753"/>
      <c r="AO801" s="943">
        <f t="shared" ref="AO801:BA801" si="1525">AO959-AO951</f>
      </c>
      <c r="AP801" s="753">
        <f t="shared" si="1525"/>
      </c>
      <c r="AQ801" s="753">
        <f t="shared" si="1525"/>
      </c>
      <c r="AR801" s="753">
        <f t="shared" si="1525"/>
      </c>
      <c r="AS801" s="753">
        <f t="shared" si="1525"/>
      </c>
      <c r="AT801" s="943">
        <f t="shared" si="1525"/>
      </c>
      <c r="AU801" s="753">
        <f t="shared" si="1525"/>
      </c>
      <c r="AV801" s="753">
        <f t="shared" si="1525"/>
      </c>
      <c r="AW801" s="753">
        <f t="shared" si="1525"/>
      </c>
      <c r="AX801" s="753">
        <f t="shared" si="1525"/>
      </c>
      <c r="AY801" s="943">
        <f t="shared" si="1525"/>
      </c>
      <c r="AZ801" s="753">
        <f t="shared" si="1525"/>
      </c>
      <c r="BA801" s="753">
        <f t="shared" si="1525"/>
      </c>
      <c r="BB801" s="753">
        <f t="shared" ref="BB801:BD801" si="1526">BB959-BB951</f>
      </c>
      <c r="BC801" s="753">
        <f t="shared" si="1526"/>
      </c>
      <c r="BD801" s="943">
        <f t="shared" si="1526"/>
      </c>
      <c r="BE801" s="753">
        <f>BE959-BE951</f>
      </c>
      <c r="BF801" s="753">
        <f>BF959-BF951</f>
      </c>
      <c r="BG801" s="753">
        <f t="shared" ref="BG801" si="1527">BG959-BG951</f>
      </c>
      <c r="BH801" s="753">
        <f t="shared" ref="BH801:BI801" si="1528">BH959-BH951</f>
      </c>
      <c r="BI801" s="943">
        <f t="shared" si="1528"/>
      </c>
      <c r="BJ801" s="753">
        <f t="shared" ref="BJ801:BN801" si="1529">BJ959-BJ951</f>
      </c>
      <c r="BK801" s="753">
        <f t="shared" si="1529"/>
      </c>
      <c r="BL801" s="753">
        <f t="shared" si="1529"/>
      </c>
      <c r="BM801" s="782">
        <f t="shared" si="1529"/>
      </c>
      <c r="BN801" s="945">
        <f t="shared" si="1529"/>
      </c>
      <c r="BO801" s="753">
        <f t="shared" ref="BO801:CF801" si="1530">BO959-BO951</f>
      </c>
      <c r="BP801" s="753">
        <f t="shared" si="1530"/>
      </c>
      <c r="BQ801" s="753">
        <f t="shared" si="1530"/>
      </c>
      <c r="BR801" s="782">
        <f t="shared" si="1530"/>
      </c>
      <c r="BS801" s="945">
        <f t="shared" si="1530"/>
      </c>
      <c r="BT801" s="756">
        <f>BT959-BT951</f>
      </c>
      <c r="BU801" s="753">
        <f t="shared" si="1530"/>
      </c>
      <c r="BV801" s="753">
        <f t="shared" si="1530"/>
      </c>
      <c r="BW801" s="753">
        <f t="shared" si="1530"/>
      </c>
      <c r="BX801" s="943">
        <f t="shared" si="1530"/>
      </c>
      <c r="BY801" s="753">
        <f t="shared" si="1530"/>
      </c>
      <c r="BZ801" s="753">
        <f t="shared" si="1530"/>
      </c>
      <c r="CA801" s="753">
        <f t="shared" si="1530"/>
      </c>
      <c r="CB801" s="753">
        <f t="shared" si="1530"/>
      </c>
      <c r="CC801" s="943">
        <f t="shared" si="1530"/>
      </c>
      <c r="CD801" s="943">
        <f t="shared" si="1530"/>
      </c>
      <c r="CE801" s="943">
        <f t="shared" si="1530"/>
      </c>
      <c r="CF801" s="943">
        <f t="shared" si="1530"/>
      </c>
      <c r="CG801" s="273"/>
    </row>
    <row r="802" spans="1:85" x14ac:dyDescent="0.3">
      <c r="A802" s="424" t="s">
        <v>738</v>
      </c>
      <c r="B802" s="442"/>
      <c r="C802" s="943">
        <f t="shared" ref="C802:AO802" si="1531">-C1162</f>
      </c>
      <c r="D802" s="943">
        <f t="shared" si="1531"/>
      </c>
      <c r="E802" s="943">
        <f t="shared" si="1531"/>
      </c>
      <c r="F802" s="943">
        <f t="shared" si="1531"/>
      </c>
      <c r="G802" s="753"/>
      <c r="H802" s="753"/>
      <c r="I802" s="753"/>
      <c r="J802" s="753"/>
      <c r="K802" s="943">
        <f t="shared" si="1531"/>
      </c>
      <c r="L802" s="753"/>
      <c r="M802" s="753"/>
      <c r="N802" s="753"/>
      <c r="O802" s="753"/>
      <c r="P802" s="943">
        <f t="shared" si="1531"/>
      </c>
      <c r="Q802" s="753"/>
      <c r="R802" s="753"/>
      <c r="S802" s="753"/>
      <c r="T802" s="753"/>
      <c r="U802" s="943">
        <f t="shared" si="1531"/>
      </c>
      <c r="V802" s="753"/>
      <c r="W802" s="753"/>
      <c r="X802" s="753"/>
      <c r="Y802" s="753"/>
      <c r="Z802" s="943">
        <f t="shared" si="1531"/>
      </c>
      <c r="AA802" s="753"/>
      <c r="AB802" s="753"/>
      <c r="AC802" s="753"/>
      <c r="AD802" s="753"/>
      <c r="AE802" s="943">
        <f t="shared" si="1531"/>
      </c>
      <c r="AF802" s="753"/>
      <c r="AG802" s="753"/>
      <c r="AH802" s="753"/>
      <c r="AI802" s="753"/>
      <c r="AJ802" s="943">
        <f t="shared" si="1531"/>
      </c>
      <c r="AK802" s="753"/>
      <c r="AL802" s="753"/>
      <c r="AM802" s="753"/>
      <c r="AN802" s="753"/>
      <c r="AO802" s="943">
        <f t="shared" si="1531"/>
      </c>
      <c r="AP802" s="753">
        <f>-AP928</f>
      </c>
      <c r="AQ802" s="753">
        <f t="shared" ref="AQ802:AS802" si="1532">-AQ928</f>
      </c>
      <c r="AR802" s="753">
        <f t="shared" si="1532"/>
      </c>
      <c r="AS802" s="753">
        <f t="shared" si="1532"/>
      </c>
      <c r="AT802" s="943">
        <f>-AT1162</f>
      </c>
      <c r="AU802" s="753">
        <f>-AU928</f>
      </c>
      <c r="AV802" s="753">
        <f t="shared" ref="AV802:AX802" si="1533">-AV928</f>
      </c>
      <c r="AW802" s="753">
        <f t="shared" si="1533"/>
      </c>
      <c r="AX802" s="753">
        <f t="shared" si="1533"/>
      </c>
      <c r="AY802" s="943">
        <f>-AY1162</f>
      </c>
      <c r="AZ802" s="753">
        <f>-AZ928</f>
      </c>
      <c r="BA802" s="753">
        <f>-BA928</f>
      </c>
      <c r="BB802" s="753">
        <f>-BB928</f>
      </c>
      <c r="BC802" s="753">
        <f>-BC928</f>
      </c>
      <c r="BD802" s="943">
        <f>-BD1162</f>
      </c>
      <c r="BE802" s="753">
        <f>-BE928</f>
      </c>
      <c r="BF802" s="753">
        <f>-BF928</f>
      </c>
      <c r="BG802" s="753">
        <f>-BG928</f>
      </c>
      <c r="BH802" s="753">
        <f>-BH928</f>
      </c>
      <c r="BI802" s="943">
        <f>-BI1162</f>
      </c>
      <c r="BJ802" s="753">
        <f>-BJ928</f>
      </c>
      <c r="BK802" s="753">
        <f>-BK928</f>
      </c>
      <c r="BL802" s="753">
        <f>-BL928</f>
      </c>
      <c r="BM802" s="782">
        <f>-BM928</f>
      </c>
      <c r="BN802" s="945">
        <f>-BN1162</f>
      </c>
      <c r="BO802" s="753">
        <f>-BO928</f>
      </c>
      <c r="BP802" s="753">
        <f>-BP928</f>
      </c>
      <c r="BQ802" s="753">
        <f>-BQ928</f>
      </c>
      <c r="BR802" s="782">
        <f>-BR928</f>
      </c>
      <c r="BS802" s="945">
        <f>-BS1162</f>
      </c>
      <c r="BT802" s="756">
        <f>-BT928</f>
      </c>
      <c r="BU802" s="753">
        <f>-BU928</f>
      </c>
      <c r="BV802" s="753">
        <f>-BV928</f>
      </c>
      <c r="BW802" s="753">
        <f>-BW928</f>
      </c>
      <c r="BX802" s="943">
        <f>SUM(BT802,BU802,BV802,BW802)</f>
      </c>
      <c r="BY802" s="753">
        <f>-BY928</f>
      </c>
      <c r="BZ802" s="753">
        <f>-BZ928</f>
      </c>
      <c r="CA802" s="753">
        <f>-CA928</f>
      </c>
      <c r="CB802" s="753">
        <f>-CB928</f>
      </c>
      <c r="CC802" s="943">
        <f>SUM(BY802,BZ802,CA802,CB802)</f>
      </c>
      <c r="CD802" s="943">
        <f>-CD928</f>
      </c>
      <c r="CE802" s="943">
        <f>-CE928</f>
      </c>
      <c r="CF802" s="943">
        <f>-CF928</f>
      </c>
      <c r="CG802" s="273"/>
    </row>
    <row r="803" spans="1:85" x14ac:dyDescent="0.3">
      <c r="A803" s="424" t="s">
        <v>739</v>
      </c>
      <c r="B803" s="442"/>
      <c r="C803" s="943">
        <f t="shared" ref="C803:AT803" si="1534">-C1161</f>
      </c>
      <c r="D803" s="943">
        <f t="shared" si="1534"/>
      </c>
      <c r="E803" s="943">
        <f t="shared" si="1534"/>
      </c>
      <c r="F803" s="943">
        <f t="shared" si="1534"/>
      </c>
      <c r="G803" s="753"/>
      <c r="H803" s="753"/>
      <c r="I803" s="753"/>
      <c r="J803" s="753"/>
      <c r="K803" s="943">
        <f t="shared" si="1534"/>
      </c>
      <c r="L803" s="753"/>
      <c r="M803" s="753"/>
      <c r="N803" s="753"/>
      <c r="O803" s="753"/>
      <c r="P803" s="943">
        <f t="shared" si="1534"/>
      </c>
      <c r="Q803" s="753"/>
      <c r="R803" s="753"/>
      <c r="S803" s="753"/>
      <c r="T803" s="753"/>
      <c r="U803" s="943">
        <f t="shared" si="1534"/>
      </c>
      <c r="V803" s="753"/>
      <c r="W803" s="753"/>
      <c r="X803" s="753"/>
      <c r="Y803" s="753"/>
      <c r="Z803" s="943">
        <f t="shared" si="1534"/>
      </c>
      <c r="AA803" s="753"/>
      <c r="AB803" s="753"/>
      <c r="AC803" s="753"/>
      <c r="AD803" s="753"/>
      <c r="AE803" s="943">
        <f t="shared" si="1534"/>
      </c>
      <c r="AF803" s="753"/>
      <c r="AG803" s="753"/>
      <c r="AH803" s="753"/>
      <c r="AI803" s="753"/>
      <c r="AJ803" s="943">
        <f t="shared" si="1534"/>
      </c>
      <c r="AK803" s="753"/>
      <c r="AL803" s="753"/>
      <c r="AM803" s="753"/>
      <c r="AN803" s="753"/>
      <c r="AO803" s="943">
        <f t="shared" si="1534"/>
      </c>
      <c r="AP803" s="753">
        <f>-AP487*AP804</f>
      </c>
      <c r="AQ803" s="753">
        <f>-AQ487*AQ804</f>
      </c>
      <c r="AR803" s="753">
        <f>-AR487*AR804</f>
      </c>
      <c r="AS803" s="753">
        <f>AT803-SUM(AP803,AQ803,AR803)</f>
      </c>
      <c r="AT803" s="943">
        <f t="shared" si="1534"/>
      </c>
      <c r="AU803" s="753">
        <f>-AU487*AU804</f>
      </c>
      <c r="AV803" s="753">
        <f>-AV487*AV804</f>
      </c>
      <c r="AW803" s="753">
        <f>-AW487*AW804</f>
      </c>
      <c r="AX803" s="753">
        <f>AY803-SUM(AU803,AV803,AW803)</f>
      </c>
      <c r="AY803" s="943">
        <f>-AY1161</f>
      </c>
      <c r="AZ803" s="753">
        <f>-AZ487*AZ804</f>
      </c>
      <c r="BA803" s="753">
        <f>-BA487*BA804</f>
      </c>
      <c r="BB803" s="753">
        <f>-BB487*BB804</f>
      </c>
      <c r="BC803" s="753">
        <f>BD803-SUM(AZ803,BA803,BB803)</f>
      </c>
      <c r="BD803" s="943">
        <f>-BD1161</f>
      </c>
      <c r="BE803" s="753">
        <f>-BE487*BE804</f>
      </c>
      <c r="BF803" s="753">
        <f>-BF487*BF804</f>
      </c>
      <c r="BG803" s="753">
        <f>-BG487*BG804</f>
      </c>
      <c r="BH803" s="753">
        <f>BI803-SUM(BE803,BF803,BG803)</f>
      </c>
      <c r="BI803" s="943">
        <f>-BI1161</f>
      </c>
      <c r="BJ803" s="753">
        <f>-BJ487*BJ804</f>
      </c>
      <c r="BK803" s="753">
        <f>-BK487*BK804</f>
      </c>
      <c r="BL803" s="753">
        <f>-BL487*BL804</f>
      </c>
      <c r="BM803" s="782">
        <f>BN803-SUM(BJ803,BK803,BL803)</f>
      </c>
      <c r="BN803" s="945">
        <f>-BN1161</f>
      </c>
      <c r="BO803" s="753">
        <f>-BO487*BO804</f>
      </c>
      <c r="BP803" s="753">
        <f>-BP487*BP804</f>
      </c>
      <c r="BQ803" s="753">
        <f>-BQ487*BQ804</f>
      </c>
      <c r="BR803" s="782">
        <f>BS803-SUM(BO803,BP803,BQ803)</f>
      </c>
      <c r="BS803" s="945">
        <f>-BS1161</f>
      </c>
      <c r="BT803" s="756">
        <f>-BT487*BT804</f>
      </c>
      <c r="BU803" s="753">
        <f>-BU487*BU804</f>
      </c>
      <c r="BV803" s="753">
        <f>-BV487*BV804</f>
      </c>
      <c r="BW803" s="753">
        <f>-BW487*BW804</f>
      </c>
      <c r="BX803" s="943">
        <f>SUM(BT803,BU803,BV803,BW803)</f>
      </c>
      <c r="BY803" s="753">
        <f>-BY487*BY804</f>
      </c>
      <c r="BZ803" s="753">
        <f>-BZ487*BZ804</f>
      </c>
      <c r="CA803" s="753">
        <f>-CA487*CA804</f>
      </c>
      <c r="CB803" s="753">
        <f>-CB487*CB804</f>
      </c>
      <c r="CC803" s="943">
        <f>SUM(BY803,BZ803,CA803,CB803)</f>
      </c>
      <c r="CD803" s="943">
        <f>-CD487*CD804</f>
      </c>
      <c r="CE803" s="943">
        <f>-CE487*CE804</f>
      </c>
      <c r="CF803" s="943">
        <f>-CF487*CF804</f>
      </c>
      <c r="CG803" s="273"/>
    </row>
    <row r="804" spans="1:85" x14ac:dyDescent="0.3">
      <c r="A804" s="431" t="s">
        <v>740</v>
      </c>
      <c r="B804" s="323"/>
      <c r="C804" s="936">
        <f>-C803/C487</f>
      </c>
      <c r="D804" s="936">
        <f>-D803/D487</f>
      </c>
      <c r="E804" s="936">
        <f>-E803/E487</f>
      </c>
      <c r="F804" s="936">
        <f>-F803/F487</f>
      </c>
      <c r="G804" s="446"/>
      <c r="H804" s="446"/>
      <c r="I804" s="446"/>
      <c r="J804" s="446"/>
      <c r="K804" s="936">
        <f>-K803/K487</f>
      </c>
      <c r="L804" s="446"/>
      <c r="M804" s="446"/>
      <c r="N804" s="446"/>
      <c r="O804" s="446"/>
      <c r="P804" s="936">
        <f>-P803/P487</f>
      </c>
      <c r="Q804" s="446"/>
      <c r="R804" s="446"/>
      <c r="S804" s="446"/>
      <c r="T804" s="446"/>
      <c r="U804" s="936">
        <f>-U803/U487</f>
      </c>
      <c r="V804" s="446"/>
      <c r="W804" s="446"/>
      <c r="X804" s="446"/>
      <c r="Y804" s="446"/>
      <c r="Z804" s="936">
        <f>-Z803/Z487</f>
      </c>
      <c r="AA804" s="446"/>
      <c r="AB804" s="446"/>
      <c r="AC804" s="446"/>
      <c r="AD804" s="446"/>
      <c r="AE804" s="936">
        <f>-AE803/AE487</f>
      </c>
      <c r="AF804" s="446"/>
      <c r="AG804" s="446"/>
      <c r="AH804" s="446"/>
      <c r="AI804" s="446"/>
      <c r="AJ804" s="936">
        <f>-AJ803/AJ487</f>
      </c>
      <c r="AK804" s="446"/>
      <c r="AL804" s="446"/>
      <c r="AM804" s="446"/>
      <c r="AN804" s="446"/>
      <c r="AO804" s="936">
        <f>-AO803/AO487</f>
      </c>
      <c r="AP804" s="446">
        <f>AT804</f>
      </c>
      <c r="AQ804" s="446">
        <f>AT804</f>
      </c>
      <c r="AR804" s="446">
        <f>AT804</f>
      </c>
      <c r="AS804" s="446">
        <f>-AS803/AS487</f>
      </c>
      <c r="AT804" s="936">
        <f>-AT803/AT487</f>
      </c>
      <c r="AU804" s="446">
        <f>AY804</f>
      </c>
      <c r="AV804" s="446">
        <f>AY804</f>
      </c>
      <c r="AW804" s="446">
        <f>AY804</f>
      </c>
      <c r="AX804" s="446">
        <f>-AX803/AX487</f>
      </c>
      <c r="AY804" s="936">
        <f>-AY803/AY487</f>
      </c>
      <c r="AZ804" s="848">
        <v>0.12</v>
      </c>
      <c r="BA804" s="848">
        <v>0.12</v>
      </c>
      <c r="BB804" s="848">
        <v>0.12</v>
      </c>
      <c r="BC804" s="619">
        <f>-BC803/BC487</f>
      </c>
      <c r="BD804" s="936">
        <f>-BD803/BD487</f>
      </c>
      <c r="BE804" s="848">
        <v>0.12</v>
      </c>
      <c r="BF804" s="848">
        <v>0.12</v>
      </c>
      <c r="BG804" s="848">
        <v>0.12</v>
      </c>
      <c r="BH804" s="619">
        <f>-BH803/BH487</f>
      </c>
      <c r="BI804" s="936">
        <f>-BI803/BI487</f>
      </c>
      <c r="BJ804" s="848">
        <v>0.16500000000000001</v>
      </c>
      <c r="BK804" s="848">
        <v>0.16500000000000001</v>
      </c>
      <c r="BL804" s="848">
        <v>0.16500000000000001</v>
      </c>
      <c r="BM804" s="619">
        <f>-BM803/BM487</f>
      </c>
      <c r="BN804" s="937">
        <f>-BN803/BN487</f>
      </c>
      <c r="BO804" s="848">
        <v>0.17499999999999999</v>
      </c>
      <c r="BP804" s="848">
        <v>0.17499999999999999</v>
      </c>
      <c r="BQ804" s="848">
        <v>0.17499999999999999</v>
      </c>
      <c r="BR804" s="619">
        <f>-BR803/BR487</f>
      </c>
      <c r="BS804" s="937">
        <f>-BS803/BS487</f>
      </c>
      <c r="BT804" s="894">
        <v>0.15</v>
      </c>
      <c r="BU804" s="848">
        <v>0.12</v>
      </c>
      <c r="BV804" s="848">
        <v>0.12</v>
      </c>
      <c r="BW804" s="848">
        <v>0.12</v>
      </c>
      <c r="BX804" s="936">
        <f>-BX803/BX487</f>
      </c>
      <c r="BY804" s="848">
        <v>0.12</v>
      </c>
      <c r="BZ804" s="848">
        <v>0.12</v>
      </c>
      <c r="CA804" s="848">
        <v>0.12</v>
      </c>
      <c r="CB804" s="848">
        <v>0.12</v>
      </c>
      <c r="CC804" s="936">
        <f>-CC803/CC487</f>
      </c>
      <c r="CD804" s="955">
        <v>0.12</v>
      </c>
      <c r="CE804" s="955">
        <v>0.12</v>
      </c>
      <c r="CF804" s="955">
        <v>0.12</v>
      </c>
      <c r="CG804" s="273"/>
    </row>
    <row r="805" spans="1:85" x14ac:dyDescent="0.3">
      <c r="A805" s="424" t="s">
        <v>105</v>
      </c>
      <c r="B805" s="442"/>
      <c r="C805" s="943">
        <f t="shared" ref="C805:AE805" si="1535">C726</f>
      </c>
      <c r="D805" s="943">
        <f t="shared" si="1535"/>
      </c>
      <c r="E805" s="943">
        <f t="shared" si="1535"/>
      </c>
      <c r="F805" s="943">
        <f t="shared" si="1535"/>
      </c>
      <c r="G805" s="753"/>
      <c r="H805" s="753"/>
      <c r="I805" s="753"/>
      <c r="J805" s="753"/>
      <c r="K805" s="943">
        <f t="shared" si="1535"/>
      </c>
      <c r="L805" s="753"/>
      <c r="M805" s="753"/>
      <c r="N805" s="753"/>
      <c r="O805" s="753"/>
      <c r="P805" s="943">
        <f t="shared" si="1535"/>
      </c>
      <c r="Q805" s="753"/>
      <c r="R805" s="753"/>
      <c r="S805" s="753"/>
      <c r="T805" s="753"/>
      <c r="U805" s="943">
        <f t="shared" si="1535"/>
      </c>
      <c r="V805" s="753"/>
      <c r="W805" s="753"/>
      <c r="X805" s="753"/>
      <c r="Y805" s="753"/>
      <c r="Z805" s="943">
        <f t="shared" si="1535"/>
      </c>
      <c r="AA805" s="753"/>
      <c r="AB805" s="753"/>
      <c r="AC805" s="753"/>
      <c r="AD805" s="753"/>
      <c r="AE805" s="943">
        <f t="shared" si="1535"/>
      </c>
      <c r="AF805" s="753"/>
      <c r="AG805" s="753"/>
      <c r="AH805" s="753"/>
      <c r="AI805" s="753"/>
      <c r="AJ805" s="943">
        <f t="shared" ref="AJ805:BA805" si="1536">AJ726</f>
      </c>
      <c r="AK805" s="753"/>
      <c r="AL805" s="753"/>
      <c r="AM805" s="753"/>
      <c r="AN805" s="753"/>
      <c r="AO805" s="943">
        <f t="shared" si="1536"/>
      </c>
      <c r="AP805" s="753">
        <f t="shared" si="1536"/>
      </c>
      <c r="AQ805" s="753">
        <f t="shared" si="1536"/>
      </c>
      <c r="AR805" s="753">
        <f t="shared" si="1536"/>
      </c>
      <c r="AS805" s="753">
        <f t="shared" si="1536"/>
      </c>
      <c r="AT805" s="943">
        <f t="shared" si="1536"/>
      </c>
      <c r="AU805" s="753">
        <f t="shared" si="1536"/>
      </c>
      <c r="AV805" s="753">
        <f t="shared" si="1536"/>
      </c>
      <c r="AW805" s="753">
        <f t="shared" si="1536"/>
      </c>
      <c r="AX805" s="753">
        <f t="shared" si="1536"/>
      </c>
      <c r="AY805" s="943">
        <f t="shared" si="1536"/>
      </c>
      <c r="AZ805" s="753">
        <f t="shared" si="1536"/>
      </c>
      <c r="BA805" s="753">
        <f t="shared" si="1536"/>
      </c>
      <c r="BB805" s="753">
        <f t="shared" ref="BB805:BD805" si="1537">BB726</f>
      </c>
      <c r="BC805" s="753">
        <f t="shared" si="1537"/>
      </c>
      <c r="BD805" s="943">
        <f t="shared" si="1537"/>
      </c>
      <c r="BE805" s="753">
        <f t="shared" ref="BE805:BI805" si="1538">BE726</f>
      </c>
      <c r="BF805" s="753">
        <f t="shared" si="1538"/>
      </c>
      <c r="BG805" s="753">
        <f t="shared" si="1538"/>
      </c>
      <c r="BH805" s="753">
        <f t="shared" si="1538"/>
      </c>
      <c r="BI805" s="943">
        <f t="shared" si="1538"/>
      </c>
      <c r="BJ805" s="753">
        <f t="shared" ref="BJ805:BN805" si="1539">BJ726</f>
      </c>
      <c r="BK805" s="753">
        <f t="shared" si="1539"/>
      </c>
      <c r="BL805" s="753">
        <f t="shared" si="1539"/>
      </c>
      <c r="BM805" s="782">
        <f t="shared" si="1539"/>
      </c>
      <c r="BN805" s="945">
        <f t="shared" si="1539"/>
      </c>
      <c r="BO805" s="753">
        <f t="shared" ref="BO805:BW805" si="1540">BO726</f>
      </c>
      <c r="BP805" s="753">
        <f t="shared" si="1540"/>
      </c>
      <c r="BQ805" s="753">
        <f t="shared" si="1540"/>
      </c>
      <c r="BR805" s="782">
        <f t="shared" si="1540"/>
      </c>
      <c r="BS805" s="945">
        <f t="shared" si="1540"/>
      </c>
      <c r="BT805" s="756">
        <f>BT726</f>
      </c>
      <c r="BU805" s="753">
        <f t="shared" si="1540"/>
      </c>
      <c r="BV805" s="753">
        <f t="shared" si="1540"/>
      </c>
      <c r="BW805" s="753">
        <f t="shared" si="1540"/>
      </c>
      <c r="BX805" s="943">
        <f>SUM(BT805,BU805,BV805,BW805)</f>
      </c>
      <c r="BY805" s="753">
        <f>BY726</f>
      </c>
      <c r="BZ805" s="753">
        <f>BZ726</f>
      </c>
      <c r="CA805" s="753">
        <f>CA726</f>
      </c>
      <c r="CB805" s="753">
        <f>CB726</f>
      </c>
      <c r="CC805" s="943">
        <f>SUM(BY805,BZ805,CA805,CB805)</f>
      </c>
      <c r="CD805" s="943">
        <f>CD726</f>
      </c>
      <c r="CE805" s="943">
        <f>CE726</f>
      </c>
      <c r="CF805" s="943">
        <f>CF726</f>
      </c>
      <c r="CG805" s="273"/>
    </row>
    <row r="806" spans="1:85" x14ac:dyDescent="0.3">
      <c r="A806" s="420" t="s">
        <v>741</v>
      </c>
      <c r="B806" s="417"/>
      <c r="C806" s="1054">
        <f>C1121-C1114-(C798+C802)-(C489+C803)-C942</f>
      </c>
      <c r="D806" s="1054">
        <f>D1121-D1114-(D798+D802)-(D489+D803)-D942</f>
      </c>
      <c r="E806" s="1054">
        <f>E1121-E1114-(E798+E802)-(E489+E803)-E942</f>
      </c>
      <c r="F806" s="1054">
        <f>F1121-F1114-(F798+F802)-(F489+F803)-F942</f>
      </c>
      <c r="G806" s="820"/>
      <c r="H806" s="820"/>
      <c r="I806" s="820"/>
      <c r="J806" s="820"/>
      <c r="K806" s="1054">
        <f>K1121-K1114-(K798+K802)-(K489+K803)-K942</f>
      </c>
      <c r="L806" s="820"/>
      <c r="M806" s="820"/>
      <c r="N806" s="820"/>
      <c r="O806" s="820"/>
      <c r="P806" s="1054">
        <f>P1121-P1114-(P798+P802)-(P489+P803)-P942</f>
      </c>
      <c r="Q806" s="820"/>
      <c r="R806" s="820"/>
      <c r="S806" s="820"/>
      <c r="T806" s="820"/>
      <c r="U806" s="1054">
        <f>U1121-U1114-(U798+U802)-(U489+U803)-U942</f>
      </c>
      <c r="V806" s="820"/>
      <c r="W806" s="820"/>
      <c r="X806" s="820"/>
      <c r="Y806" s="820"/>
      <c r="Z806" s="1054">
        <f>Z1121-Z1114-(Z798+Z802)-(Z489+Z803)-Z942</f>
      </c>
      <c r="AA806" s="820"/>
      <c r="AB806" s="820"/>
      <c r="AC806" s="820"/>
      <c r="AD806" s="820"/>
      <c r="AE806" s="1054">
        <f>AE1121-AE1114-(AE798+AE802)-(AE489+AE803)-AE942</f>
      </c>
      <c r="AF806" s="820"/>
      <c r="AG806" s="820"/>
      <c r="AH806" s="820"/>
      <c r="AI806" s="820"/>
      <c r="AJ806" s="1054">
        <f>AJ1121-AJ1114-(AJ798+AJ802)-(AJ489+AJ803)-AJ942</f>
      </c>
      <c r="AK806" s="820"/>
      <c r="AL806" s="820"/>
      <c r="AM806" s="820"/>
      <c r="AN806" s="820"/>
      <c r="AO806" s="1054">
        <f t="shared" ref="AO806:BJ806" si="1541">AO1121-AO1114-(AO798+AO802)-(AO489+AO803)-AO942</f>
      </c>
      <c r="AP806" s="820">
        <f t="shared" si="1541"/>
      </c>
      <c r="AQ806" s="820">
        <f t="shared" si="1541"/>
      </c>
      <c r="AR806" s="820">
        <f t="shared" si="1541"/>
      </c>
      <c r="AS806" s="820">
        <f t="shared" si="1541"/>
      </c>
      <c r="AT806" s="1054">
        <f t="shared" si="1541"/>
      </c>
      <c r="AU806" s="820">
        <f t="shared" si="1541"/>
      </c>
      <c r="AV806" s="820">
        <f t="shared" si="1541"/>
      </c>
      <c r="AW806" s="820">
        <f t="shared" si="1541"/>
      </c>
      <c r="AX806" s="820">
        <f t="shared" si="1541"/>
      </c>
      <c r="AY806" s="1054">
        <f t="shared" si="1541"/>
      </c>
      <c r="AZ806" s="820">
        <f t="shared" si="1541"/>
      </c>
      <c r="BA806" s="820">
        <f t="shared" si="1541"/>
      </c>
      <c r="BB806" s="820">
        <f t="shared" si="1541"/>
      </c>
      <c r="BC806" s="820">
        <f t="shared" si="1541"/>
      </c>
      <c r="BD806" s="1054">
        <f t="shared" si="1541"/>
      </c>
      <c r="BE806" s="820">
        <f t="shared" si="1541"/>
      </c>
      <c r="BF806" s="820">
        <f t="shared" si="1541"/>
      </c>
      <c r="BG806" s="820">
        <f t="shared" si="1541"/>
      </c>
      <c r="BH806" s="820">
        <f t="shared" si="1541"/>
      </c>
      <c r="BI806" s="1054">
        <f t="shared" si="1541"/>
      </c>
      <c r="BJ806" s="820">
        <f t="shared" si="1541"/>
      </c>
      <c r="BK806" s="820">
        <f t="shared" ref="BK806:BN806" si="1542">BK1121-BK1114-(BK798+BK802)-(BK489+BK803)-BK942</f>
      </c>
      <c r="BL806" s="820">
        <f t="shared" si="1542"/>
      </c>
      <c r="BM806" s="821">
        <f t="shared" si="1542"/>
      </c>
      <c r="BN806" s="1055">
        <f t="shared" si="1542"/>
      </c>
      <c r="BO806" s="820">
        <f t="shared" ref="BO806:CF806" si="1543">BO1121-BO1114-(BO798+BO802)-(BO489+BO803)-BO942</f>
      </c>
      <c r="BP806" s="820">
        <f t="shared" si="1543"/>
      </c>
      <c r="BQ806" s="820">
        <f t="shared" si="1543"/>
      </c>
      <c r="BR806" s="821">
        <f t="shared" si="1543"/>
      </c>
      <c r="BS806" s="1055">
        <f t="shared" si="1543"/>
      </c>
      <c r="BT806" s="822">
        <f>BT1121-BT1114-(BT798+BT802)-(BT489+BT803)-BT942</f>
      </c>
      <c r="BU806" s="820">
        <f t="shared" si="1543"/>
      </c>
      <c r="BV806" s="820">
        <f t="shared" si="1543"/>
      </c>
      <c r="BW806" s="820">
        <f t="shared" si="1543"/>
      </c>
      <c r="BX806" s="1054">
        <f t="shared" si="1543"/>
      </c>
      <c r="BY806" s="820">
        <f t="shared" si="1543"/>
      </c>
      <c r="BZ806" s="820">
        <f t="shared" si="1543"/>
      </c>
      <c r="CA806" s="820">
        <f t="shared" si="1543"/>
      </c>
      <c r="CB806" s="820">
        <f t="shared" si="1543"/>
      </c>
      <c r="CC806" s="1054">
        <f t="shared" si="1543"/>
      </c>
      <c r="CD806" s="1054">
        <f t="shared" si="1543"/>
      </c>
      <c r="CE806" s="1054">
        <f t="shared" si="1543"/>
      </c>
      <c r="CF806" s="1054">
        <f t="shared" si="1543"/>
      </c>
      <c r="CG806" s="273"/>
    </row>
    <row r="807" spans="1:85" x14ac:dyDescent="0.3">
      <c r="A807" s="421" t="s">
        <v>742</v>
      </c>
      <c r="B807" s="423"/>
      <c r="C807" s="948">
        <f t="shared" ref="C807:AE807" si="1544">SUM(C800:C803,C805:C806)</f>
      </c>
      <c r="D807" s="948">
        <f t="shared" si="1544"/>
      </c>
      <c r="E807" s="948">
        <f t="shared" si="1544"/>
      </c>
      <c r="F807" s="948">
        <f t="shared" si="1544"/>
      </c>
      <c r="G807" s="787"/>
      <c r="H807" s="787"/>
      <c r="I807" s="787"/>
      <c r="J807" s="787"/>
      <c r="K807" s="948">
        <f t="shared" si="1544"/>
      </c>
      <c r="L807" s="787"/>
      <c r="M807" s="787"/>
      <c r="N807" s="787"/>
      <c r="O807" s="787"/>
      <c r="P807" s="948">
        <f t="shared" si="1544"/>
      </c>
      <c r="Q807" s="787"/>
      <c r="R807" s="787"/>
      <c r="S807" s="787"/>
      <c r="T807" s="787"/>
      <c r="U807" s="948">
        <f t="shared" si="1544"/>
      </c>
      <c r="V807" s="787"/>
      <c r="W807" s="787"/>
      <c r="X807" s="787"/>
      <c r="Y807" s="787"/>
      <c r="Z807" s="948">
        <f t="shared" si="1544"/>
      </c>
      <c r="AA807" s="787"/>
      <c r="AB807" s="787"/>
      <c r="AC807" s="787"/>
      <c r="AD807" s="787"/>
      <c r="AE807" s="948">
        <f t="shared" si="1544"/>
      </c>
      <c r="AF807" s="787"/>
      <c r="AG807" s="787"/>
      <c r="AH807" s="787"/>
      <c r="AI807" s="787"/>
      <c r="AJ807" s="948">
        <f t="shared" ref="AJ807:BA807" si="1545">SUM(AJ800:AJ803,AJ805:AJ806)</f>
      </c>
      <c r="AK807" s="787"/>
      <c r="AL807" s="787"/>
      <c r="AM807" s="787"/>
      <c r="AN807" s="787"/>
      <c r="AO807" s="948">
        <f t="shared" si="1545"/>
      </c>
      <c r="AP807" s="787">
        <f t="shared" si="1545"/>
      </c>
      <c r="AQ807" s="787">
        <f t="shared" si="1545"/>
      </c>
      <c r="AR807" s="787">
        <f t="shared" si="1545"/>
      </c>
      <c r="AS807" s="787">
        <f t="shared" si="1545"/>
      </c>
      <c r="AT807" s="948">
        <f t="shared" si="1545"/>
      </c>
      <c r="AU807" s="787">
        <f t="shared" si="1545"/>
      </c>
      <c r="AV807" s="787">
        <f t="shared" si="1545"/>
      </c>
      <c r="AW807" s="787">
        <f t="shared" si="1545"/>
      </c>
      <c r="AX807" s="787">
        <f t="shared" si="1545"/>
      </c>
      <c r="AY807" s="948">
        <f>SUM(AY800:AY803,AY805:AY806)</f>
      </c>
      <c r="AZ807" s="787">
        <f t="shared" si="1545"/>
      </c>
      <c r="BA807" s="787">
        <f t="shared" si="1545"/>
      </c>
      <c r="BB807" s="787">
        <f t="shared" ref="BB807:BD807" si="1546">SUM(BB800:BB803,BB805:BB806)</f>
      </c>
      <c r="BC807" s="787">
        <f t="shared" si="1546"/>
      </c>
      <c r="BD807" s="948">
        <f t="shared" si="1546"/>
      </c>
      <c r="BE807" s="787">
        <f>SUM(BE800:BE803,BE805:BE806)</f>
      </c>
      <c r="BF807" s="787">
        <f>SUM(BF800:BF803,BF805:BF806)</f>
      </c>
      <c r="BG807" s="787">
        <f t="shared" ref="BG807" si="1547">SUM(BG800:BG803,BG805:BG806)</f>
      </c>
      <c r="BH807" s="787">
        <f t="shared" ref="BH807:BI807" si="1548">SUM(BH800:BH803,BH805:BH806)</f>
      </c>
      <c r="BI807" s="948">
        <f t="shared" si="1548"/>
      </c>
      <c r="BJ807" s="787">
        <f t="shared" ref="BJ807:BN807" si="1549">SUM(BJ800:BJ803,BJ805:BJ806)</f>
      </c>
      <c r="BK807" s="787">
        <f t="shared" si="1549"/>
      </c>
      <c r="BL807" s="787">
        <f t="shared" si="1549"/>
      </c>
      <c r="BM807" s="787">
        <f t="shared" si="1549"/>
      </c>
      <c r="BN807" s="948">
        <f t="shared" si="1549"/>
      </c>
      <c r="BO807" s="787">
        <f t="shared" ref="BO807:CF807" si="1550">SUM(BO800:BO803,BO805:BO806)</f>
      </c>
      <c r="BP807" s="787">
        <f t="shared" si="1550"/>
      </c>
      <c r="BQ807" s="787">
        <f t="shared" si="1550"/>
      </c>
      <c r="BR807" s="787">
        <f t="shared" si="1550"/>
      </c>
      <c r="BS807" s="948">
        <f t="shared" si="1550"/>
      </c>
      <c r="BT807" s="788">
        <f>SUM(BT800:BT803,BT805:BT806)</f>
      </c>
      <c r="BU807" s="787">
        <f t="shared" si="1550"/>
      </c>
      <c r="BV807" s="787">
        <f t="shared" si="1550"/>
      </c>
      <c r="BW807" s="787">
        <f t="shared" si="1550"/>
      </c>
      <c r="BX807" s="948">
        <f t="shared" si="1550"/>
      </c>
      <c r="BY807" s="787">
        <f t="shared" si="1550"/>
      </c>
      <c r="BZ807" s="787">
        <f t="shared" si="1550"/>
      </c>
      <c r="CA807" s="787">
        <f t="shared" si="1550"/>
      </c>
      <c r="CB807" s="787">
        <f t="shared" si="1550"/>
      </c>
      <c r="CC807" s="948">
        <f t="shared" si="1550"/>
      </c>
      <c r="CD807" s="948">
        <f t="shared" si="1550"/>
      </c>
      <c r="CE807" s="948">
        <f t="shared" si="1550"/>
      </c>
      <c r="CF807" s="948">
        <f t="shared" si="1550"/>
      </c>
      <c r="CG807" s="273"/>
    </row>
    <row r="808" spans="1:85" x14ac:dyDescent="0.3">
      <c r="A808" s="444"/>
      <c r="B808" s="272"/>
      <c r="C808" s="1048"/>
      <c r="D808" s="1048"/>
      <c r="E808" s="1048"/>
      <c r="F808" s="1048"/>
      <c r="G808" s="211"/>
      <c r="H808" s="211"/>
      <c r="I808" s="211"/>
      <c r="J808" s="211"/>
      <c r="K808" s="1048"/>
      <c r="L808" s="211"/>
      <c r="M808" s="211"/>
      <c r="N808" s="211"/>
      <c r="O808" s="211"/>
      <c r="P808" s="1048"/>
      <c r="Q808" s="211"/>
      <c r="R808" s="211"/>
      <c r="S808" s="211"/>
      <c r="T808" s="211"/>
      <c r="U808" s="1048"/>
      <c r="V808" s="211"/>
      <c r="W808" s="273"/>
      <c r="X808" s="211"/>
      <c r="Y808" s="273"/>
      <c r="Z808" s="1048"/>
      <c r="AA808" s="273"/>
      <c r="AB808" s="273"/>
      <c r="AC808" s="211"/>
      <c r="AD808" s="273"/>
      <c r="AE808" s="1048"/>
      <c r="AF808" s="273"/>
      <c r="AG808" s="273"/>
      <c r="AH808" s="211"/>
      <c r="AI808" s="273"/>
      <c r="AJ808" s="1048"/>
      <c r="AK808" s="273"/>
      <c r="AL808" s="273"/>
      <c r="AM808" s="211"/>
      <c r="AN808" s="273"/>
      <c r="AO808" s="1048"/>
      <c r="AP808" s="273"/>
      <c r="AQ808" s="273"/>
      <c r="AR808" s="211"/>
      <c r="AS808" s="273"/>
      <c r="AT808" s="1048"/>
      <c r="AU808" s="273"/>
      <c r="AV808" s="273"/>
      <c r="AW808" s="211"/>
      <c r="AX808" s="273"/>
      <c r="AY808" s="1048"/>
      <c r="AZ808" s="273"/>
      <c r="BA808" s="273"/>
      <c r="BB808" s="273"/>
      <c r="BC808" s="273"/>
      <c r="BD808" s="1048"/>
      <c r="BE808" s="273"/>
      <c r="BF808" s="273"/>
      <c r="BG808" s="273"/>
      <c r="BH808" s="273"/>
      <c r="BI808" s="1048"/>
      <c r="BJ808" s="273"/>
      <c r="BK808" s="273"/>
      <c r="BL808" s="273"/>
      <c r="BM808" s="273"/>
      <c r="BN808" s="1048"/>
      <c r="BO808" s="273"/>
      <c r="BP808" s="273"/>
      <c r="BQ808" s="273"/>
      <c r="BR808" s="273"/>
      <c r="BS808" s="1048"/>
      <c r="BT808" s="712"/>
      <c r="BU808" s="273"/>
      <c r="BV808" s="273"/>
      <c r="BW808" s="273"/>
      <c r="BX808" s="1048"/>
      <c r="BY808" s="273"/>
      <c r="BZ808" s="273"/>
      <c r="CA808" s="273"/>
      <c r="CB808" s="273"/>
      <c r="CC808" s="1048"/>
      <c r="CD808" s="1048"/>
      <c r="CE808" s="1048"/>
      <c r="CF808" s="1048"/>
      <c r="CG808" s="28"/>
    </row>
    <row r="809" spans="1:85" x14ac:dyDescent="0.3">
      <c r="A809" s="411" t="s">
        <v>743</v>
      </c>
      <c r="B809" s="412"/>
      <c r="C809" s="754"/>
      <c r="D809" s="754"/>
      <c r="E809" s="754"/>
      <c r="F809" s="754"/>
      <c r="G809" s="754"/>
      <c r="H809" s="754"/>
      <c r="I809" s="754"/>
      <c r="J809" s="754"/>
      <c r="K809" s="754"/>
      <c r="L809" s="754"/>
      <c r="M809" s="754"/>
      <c r="N809" s="754"/>
      <c r="O809" s="754"/>
      <c r="P809" s="754"/>
      <c r="Q809" s="754"/>
      <c r="R809" s="754"/>
      <c r="S809" s="754"/>
      <c r="T809" s="754"/>
      <c r="U809" s="754"/>
      <c r="V809" s="754"/>
      <c r="W809" s="754"/>
      <c r="X809" s="754"/>
      <c r="Y809" s="754"/>
      <c r="Z809" s="754"/>
      <c r="AA809" s="754"/>
      <c r="AB809" s="754"/>
      <c r="AC809" s="754"/>
      <c r="AD809" s="754"/>
      <c r="AE809" s="754"/>
      <c r="AF809" s="754"/>
      <c r="AG809" s="754"/>
      <c r="AH809" s="754"/>
      <c r="AI809" s="754"/>
      <c r="AJ809" s="754"/>
      <c r="AK809" s="754"/>
      <c r="AL809" s="754"/>
      <c r="AM809" s="754"/>
      <c r="AN809" s="754"/>
      <c r="AO809" s="754"/>
      <c r="AP809" s="754"/>
      <c r="AQ809" s="754"/>
      <c r="AR809" s="754"/>
      <c r="AS809" s="754"/>
      <c r="AT809" s="754"/>
      <c r="AU809" s="754"/>
      <c r="AV809" s="754"/>
      <c r="AW809" s="754"/>
      <c r="AX809" s="754"/>
      <c r="AY809" s="754"/>
      <c r="AZ809" s="754"/>
      <c r="BA809" s="754"/>
      <c r="BB809" s="754"/>
      <c r="BC809" s="754"/>
      <c r="BD809" s="754"/>
      <c r="BE809" s="754"/>
      <c r="BF809" s="754"/>
      <c r="BG809" s="754"/>
      <c r="BH809" s="754"/>
      <c r="BI809" s="754"/>
      <c r="BJ809" s="754"/>
      <c r="BK809" s="754"/>
      <c r="BL809" s="754"/>
      <c r="BM809" s="754"/>
      <c r="BN809" s="754"/>
      <c r="BO809" s="754"/>
      <c r="BP809" s="754"/>
      <c r="BQ809" s="754"/>
      <c r="BR809" s="754"/>
      <c r="BS809" s="754"/>
      <c r="BT809" s="755"/>
      <c r="BU809" s="754"/>
      <c r="BV809" s="754"/>
      <c r="BW809" s="754"/>
      <c r="BX809" s="754"/>
      <c r="BY809" s="754"/>
      <c r="BZ809" s="754"/>
      <c r="CA809" s="754"/>
      <c r="CB809" s="754"/>
      <c r="CC809" s="754"/>
      <c r="CD809" s="754"/>
      <c r="CE809" s="754"/>
      <c r="CF809" s="754"/>
      <c r="CG809" s="28"/>
    </row>
    <row r="810" spans="1:85" s="587" customFormat="1" hidden="1" outlineLevel="1" x14ac:dyDescent="0.3">
      <c r="A810" s="455" t="s">
        <v>817</v>
      </c>
      <c r="B810" s="895">
        <v>47220</v>
      </c>
      <c r="C810" s="956"/>
      <c r="D810" s="956"/>
      <c r="E810" s="956"/>
      <c r="F810" s="956"/>
      <c r="G810" s="257"/>
      <c r="H810" s="257"/>
      <c r="I810" s="257"/>
      <c r="J810" s="257"/>
      <c r="K810" s="956"/>
      <c r="L810" s="257"/>
      <c r="M810" s="257"/>
      <c r="N810" s="257"/>
      <c r="O810" s="257"/>
      <c r="P810" s="956"/>
      <c r="Q810" s="257"/>
      <c r="R810" s="257"/>
      <c r="S810" s="257"/>
      <c r="T810" s="257"/>
      <c r="U810" s="956"/>
      <c r="V810" s="257"/>
      <c r="W810" s="204"/>
      <c r="X810" s="257"/>
      <c r="Y810" s="204"/>
      <c r="Z810" s="956"/>
      <c r="AA810" s="204"/>
      <c r="AB810" s="204"/>
      <c r="AC810" s="257"/>
      <c r="AD810" s="204"/>
      <c r="AE810" s="956"/>
      <c r="AF810" s="204"/>
      <c r="AG810" s="204"/>
      <c r="AH810" s="257"/>
      <c r="AI810" s="204"/>
      <c r="AJ810" s="956"/>
      <c r="AK810" s="204"/>
      <c r="AL810" s="204"/>
      <c r="AM810" s="257"/>
      <c r="AN810" s="204">
        <f t="shared" ref="AN810:AN831" si="1551">AO810</f>
      </c>
      <c r="AO810" s="1056">
        <v>0</v>
      </c>
      <c r="AP810" s="850">
        <v>0</v>
      </c>
      <c r="AQ810" s="850">
        <v>0</v>
      </c>
      <c r="AR810" s="854">
        <v>0</v>
      </c>
      <c r="AS810" s="204">
        <f t="shared" ref="AS810:AS831" si="1552">AT810</f>
      </c>
      <c r="AT810" s="1056">
        <v>0</v>
      </c>
      <c r="AU810" s="850">
        <v>0</v>
      </c>
      <c r="AV810" s="850">
        <v>0</v>
      </c>
      <c r="AW810" s="850">
        <v>0</v>
      </c>
      <c r="AX810" s="204">
        <f>+AY810</f>
      </c>
      <c r="AY810" s="951">
        <v>0</v>
      </c>
      <c r="AZ810" s="850">
        <v>0</v>
      </c>
      <c r="BA810" s="850">
        <v>0</v>
      </c>
      <c r="BB810" s="896">
        <v>0</v>
      </c>
      <c r="BC810" s="204">
        <f>+BD810</f>
      </c>
      <c r="BD810" s="951">
        <v>0</v>
      </c>
      <c r="BE810" s="850">
        <v>0</v>
      </c>
      <c r="BF810" s="850">
        <v>0</v>
      </c>
      <c r="BG810" s="896">
        <v>0</v>
      </c>
      <c r="BH810" s="204">
        <f>+BI810</f>
      </c>
      <c r="BI810" s="951">
        <v>0</v>
      </c>
      <c r="BJ810" s="850">
        <v>0</v>
      </c>
      <c r="BK810" s="850">
        <v>0</v>
      </c>
      <c r="BL810" s="896">
        <v>0</v>
      </c>
      <c r="BM810" s="204">
        <f>+BN810</f>
      </c>
      <c r="BN810" s="951">
        <v>0</v>
      </c>
      <c r="BO810" s="850">
        <v>0</v>
      </c>
      <c r="BP810" s="850">
        <v>0</v>
      </c>
      <c r="BQ810" s="896">
        <v>0</v>
      </c>
      <c r="BR810" s="204">
        <f>+BS810</f>
      </c>
      <c r="BS810" s="950"/>
      <c r="BT810" s="294"/>
      <c r="BU810" s="194">
        <f>+MIN(BT810-BU841+BU772,BU788)</f>
      </c>
      <c r="BV810" s="194">
        <f>+MIN(BU810-BV841+BV772,BV788)</f>
      </c>
      <c r="BW810" s="194">
        <f>+MIN(BV810-BW841+BW772,BW788)</f>
      </c>
      <c r="BX810" s="198">
        <f>+BW810</f>
      </c>
      <c r="BY810" s="194">
        <f>+MIN(BX810-BY841+BY772,BY788)</f>
      </c>
      <c r="BZ810" s="194">
        <f>+MIN(BY810-BZ841+BZ772,BZ788)</f>
      </c>
      <c r="CA810" s="194">
        <f>+MIN(BZ810-CA841+CA772,CA788)</f>
      </c>
      <c r="CB810" s="194">
        <f>+MIN(CA810-CB841+CB772,CB788)</f>
      </c>
      <c r="CC810" s="198">
        <f>+CB810</f>
      </c>
      <c r="CD810" s="198">
        <f>+MIN(CC810-CD841+CD772,CD788)</f>
      </c>
      <c r="CE810" s="198">
        <f>+MIN(CD810-CE841+CE772,CE788)</f>
      </c>
      <c r="CF810" s="198">
        <f>+MIN(CE810-CF841+CF772,CF788)</f>
      </c>
      <c r="CG810" s="459"/>
    </row>
    <row r="811" spans="1:85" hidden="1" outlineLevel="2" x14ac:dyDescent="0.3">
      <c r="A811" s="424" t="s">
        <v>818</v>
      </c>
      <c r="B811" s="895">
        <v>44228</v>
      </c>
      <c r="C811" s="962"/>
      <c r="D811" s="962"/>
      <c r="E811" s="962"/>
      <c r="F811" s="962"/>
      <c r="G811" s="757"/>
      <c r="H811" s="757"/>
      <c r="I811" s="757"/>
      <c r="J811" s="757"/>
      <c r="K811" s="962"/>
      <c r="L811" s="757"/>
      <c r="M811" s="757"/>
      <c r="N811" s="757"/>
      <c r="O811" s="757"/>
      <c r="P811" s="962"/>
      <c r="Q811" s="757"/>
      <c r="R811" s="757"/>
      <c r="S811" s="757"/>
      <c r="T811" s="757"/>
      <c r="U811" s="962"/>
      <c r="V811" s="757"/>
      <c r="W811" s="757"/>
      <c r="X811" s="757"/>
      <c r="Y811" s="757"/>
      <c r="Z811" s="962"/>
      <c r="AA811" s="757"/>
      <c r="AB811" s="757"/>
      <c r="AC811" s="757"/>
      <c r="AD811" s="757"/>
      <c r="AE811" s="962"/>
      <c r="AF811" s="757"/>
      <c r="AG811" s="757"/>
      <c r="AH811" s="757"/>
      <c r="AI811" s="757"/>
      <c r="AJ811" s="962"/>
      <c r="AK811" s="757"/>
      <c r="AL811" s="757"/>
      <c r="AM811" s="757"/>
      <c r="AN811" s="757">
        <f t="shared" si="1551"/>
      </c>
      <c r="AO811" s="963">
        <v>500</v>
      </c>
      <c r="AP811" s="857">
        <v>500</v>
      </c>
      <c r="AQ811" s="857">
        <v>500</v>
      </c>
      <c r="AR811" s="857">
        <v>500</v>
      </c>
      <c r="AS811" s="757">
        <f t="shared" si="1552"/>
      </c>
      <c r="AT811" s="963">
        <v>500</v>
      </c>
      <c r="AU811" s="757"/>
      <c r="AV811" s="757"/>
      <c r="AW811" s="757"/>
      <c r="AX811" s="757"/>
      <c r="AY811" s="962"/>
      <c r="AZ811" s="757"/>
      <c r="BA811" s="757"/>
      <c r="BB811" s="757"/>
      <c r="BC811" s="757"/>
      <c r="BD811" s="962"/>
      <c r="BE811" s="757"/>
      <c r="BF811" s="757"/>
      <c r="BG811" s="757"/>
      <c r="BH811" s="757"/>
      <c r="BI811" s="962"/>
      <c r="BJ811" s="757"/>
      <c r="BK811" s="757"/>
      <c r="BL811" s="757"/>
      <c r="BM811" s="757"/>
      <c r="BN811" s="962"/>
      <c r="BO811" s="757"/>
      <c r="BP811" s="757"/>
      <c r="BQ811" s="757"/>
      <c r="BR811" s="757"/>
      <c r="BS811" s="962"/>
      <c r="BT811" s="758"/>
      <c r="BU811" s="757"/>
      <c r="BV811" s="757"/>
      <c r="BW811" s="757"/>
      <c r="BX811" s="962"/>
      <c r="BY811" s="757"/>
      <c r="BZ811" s="757"/>
      <c r="CA811" s="757"/>
      <c r="CB811" s="757"/>
      <c r="CC811" s="962"/>
      <c r="CD811" s="962"/>
      <c r="CE811" s="962"/>
      <c r="CF811" s="962"/>
      <c r="CG811" s="277"/>
    </row>
    <row r="812" spans="1:85" hidden="1" outlineLevel="2" x14ac:dyDescent="0.3">
      <c r="A812" s="424" t="s">
        <v>819</v>
      </c>
      <c r="B812" s="895">
        <v>44607</v>
      </c>
      <c r="C812" s="962"/>
      <c r="D812" s="962"/>
      <c r="E812" s="962"/>
      <c r="F812" s="962"/>
      <c r="G812" s="757"/>
      <c r="H812" s="757"/>
      <c r="I812" s="757"/>
      <c r="J812" s="757"/>
      <c r="K812" s="962"/>
      <c r="L812" s="757"/>
      <c r="M812" s="757"/>
      <c r="N812" s="757"/>
      <c r="O812" s="757"/>
      <c r="P812" s="962"/>
      <c r="Q812" s="757"/>
      <c r="R812" s="757"/>
      <c r="S812" s="757"/>
      <c r="T812" s="757"/>
      <c r="U812" s="962"/>
      <c r="V812" s="757"/>
      <c r="W812" s="757"/>
      <c r="X812" s="757"/>
      <c r="Y812" s="757"/>
      <c r="Z812" s="962"/>
      <c r="AA812" s="757"/>
      <c r="AB812" s="757"/>
      <c r="AC812" s="757"/>
      <c r="AD812" s="757"/>
      <c r="AE812" s="962"/>
      <c r="AF812" s="757"/>
      <c r="AG812" s="757"/>
      <c r="AH812" s="757"/>
      <c r="AI812" s="757"/>
      <c r="AJ812" s="962"/>
      <c r="AK812" s="757"/>
      <c r="AL812" s="757"/>
      <c r="AM812" s="757"/>
      <c r="AN812" s="757">
        <f t="shared" si="1551"/>
      </c>
      <c r="AO812" s="963">
        <v>700</v>
      </c>
      <c r="AP812" s="857">
        <v>700</v>
      </c>
      <c r="AQ812" s="857">
        <v>700</v>
      </c>
      <c r="AR812" s="857">
        <v>700</v>
      </c>
      <c r="AS812" s="757">
        <f t="shared" si="1552"/>
      </c>
      <c r="AT812" s="963">
        <v>700</v>
      </c>
      <c r="AU812" s="857">
        <v>700</v>
      </c>
      <c r="AV812" s="857">
        <v>700</v>
      </c>
      <c r="AW812" s="857">
        <v>700</v>
      </c>
      <c r="AX812" s="757">
        <f t="shared" ref="AX812:AX834" si="1553">AY812</f>
      </c>
      <c r="AY812" s="963">
        <v>700</v>
      </c>
      <c r="AZ812" s="757"/>
      <c r="BA812" s="757"/>
      <c r="BB812" s="757"/>
      <c r="BC812" s="757">
        <f t="shared" ref="BC812:BC831" si="1554">BD812</f>
      </c>
      <c r="BD812" s="962"/>
      <c r="BE812" s="757"/>
      <c r="BF812" s="757"/>
      <c r="BG812" s="757"/>
      <c r="BH812" s="757"/>
      <c r="BI812" s="962"/>
      <c r="BJ812" s="757"/>
      <c r="BK812" s="757"/>
      <c r="BL812" s="757"/>
      <c r="BM812" s="757"/>
      <c r="BN812" s="962"/>
      <c r="BO812" s="757"/>
      <c r="BP812" s="757"/>
      <c r="BQ812" s="757"/>
      <c r="BR812" s="757"/>
      <c r="BS812" s="962"/>
      <c r="BT812" s="758"/>
      <c r="BU812" s="757"/>
      <c r="BV812" s="757"/>
      <c r="BW812" s="757"/>
      <c r="BX812" s="962"/>
      <c r="BY812" s="757"/>
      <c r="BZ812" s="757"/>
      <c r="CA812" s="757"/>
      <c r="CB812" s="757"/>
      <c r="CC812" s="962"/>
      <c r="CD812" s="962"/>
      <c r="CE812" s="962"/>
      <c r="CF812" s="962"/>
      <c r="CG812" s="277"/>
    </row>
    <row r="813" spans="1:85" hidden="1" outlineLevel="2" x14ac:dyDescent="0.3">
      <c r="A813" s="424" t="s">
        <v>820</v>
      </c>
      <c r="B813" s="895">
        <v>45352</v>
      </c>
      <c r="C813" s="962"/>
      <c r="D813" s="962"/>
      <c r="E813" s="962"/>
      <c r="F813" s="962"/>
      <c r="G813" s="757"/>
      <c r="H813" s="757"/>
      <c r="I813" s="757"/>
      <c r="J813" s="757"/>
      <c r="K813" s="962"/>
      <c r="L813" s="757"/>
      <c r="M813" s="757"/>
      <c r="N813" s="757"/>
      <c r="O813" s="757"/>
      <c r="P813" s="962"/>
      <c r="Q813" s="757"/>
      <c r="R813" s="757"/>
      <c r="S813" s="757"/>
      <c r="T813" s="757"/>
      <c r="U813" s="962"/>
      <c r="V813" s="757"/>
      <c r="W813" s="757"/>
      <c r="X813" s="757"/>
      <c r="Y813" s="757"/>
      <c r="Z813" s="962"/>
      <c r="AA813" s="757"/>
      <c r="AB813" s="757"/>
      <c r="AC813" s="757"/>
      <c r="AD813" s="757"/>
      <c r="AE813" s="962"/>
      <c r="AF813" s="757"/>
      <c r="AG813" s="757"/>
      <c r="AH813" s="757"/>
      <c r="AI813" s="757"/>
      <c r="AJ813" s="962"/>
      <c r="AK813" s="757"/>
      <c r="AL813" s="757"/>
      <c r="AM813" s="757"/>
      <c r="AN813" s="757">
        <f t="shared" si="1551"/>
      </c>
      <c r="AO813" s="963">
        <v>400</v>
      </c>
      <c r="AP813" s="857">
        <v>400</v>
      </c>
      <c r="AQ813" s="857">
        <v>400</v>
      </c>
      <c r="AR813" s="857">
        <v>400</v>
      </c>
      <c r="AS813" s="757">
        <f t="shared" si="1552"/>
      </c>
      <c r="AT813" s="963">
        <v>400</v>
      </c>
      <c r="AU813" s="857">
        <v>400</v>
      </c>
      <c r="AV813" s="857">
        <v>400</v>
      </c>
      <c r="AW813" s="857">
        <v>400</v>
      </c>
      <c r="AX813" s="757">
        <f t="shared" si="1553"/>
      </c>
      <c r="AY813" s="963">
        <v>400</v>
      </c>
      <c r="AZ813" s="857">
        <v>400</v>
      </c>
      <c r="BA813" s="857">
        <v>400</v>
      </c>
      <c r="BB813" s="857">
        <v>400</v>
      </c>
      <c r="BC813" s="757">
        <f t="shared" si="1554"/>
      </c>
      <c r="BD813" s="963">
        <v>400</v>
      </c>
      <c r="BE813" s="857">
        <v>400</v>
      </c>
      <c r="BF813" s="857">
        <v>400</v>
      </c>
      <c r="BG813" s="857">
        <v>400</v>
      </c>
      <c r="BH813" s="757">
        <f t="shared" ref="BH813:BH831" si="1555">BI813</f>
      </c>
      <c r="BI813" s="963">
        <v>400</v>
      </c>
      <c r="BJ813" s="857">
        <v>0</v>
      </c>
      <c r="BK813" s="857">
        <v>0</v>
      </c>
      <c r="BL813" s="857">
        <v>0</v>
      </c>
      <c r="BM813" s="757">
        <f t="shared" ref="BM813:BM831" si="1556">BN813</f>
      </c>
      <c r="BN813" s="963">
        <v>0</v>
      </c>
      <c r="BO813" s="757"/>
      <c r="BP813" s="757"/>
      <c r="BQ813" s="757"/>
      <c r="BR813" s="757">
        <f t="shared" ref="BR813:BR831" si="1557">BS813</f>
      </c>
      <c r="BS813" s="962"/>
      <c r="BT813" s="758"/>
      <c r="BU813" s="757"/>
      <c r="BV813" s="757"/>
      <c r="BW813" s="757"/>
      <c r="BX813" s="962"/>
      <c r="BY813" s="757"/>
      <c r="BZ813" s="757"/>
      <c r="CA813" s="757"/>
      <c r="CB813" s="757"/>
      <c r="CC813" s="962"/>
      <c r="CD813" s="962"/>
      <c r="CE813" s="962"/>
      <c r="CF813" s="962"/>
      <c r="CG813" s="277"/>
    </row>
    <row r="814" spans="1:85" hidden="1" outlineLevel="2" x14ac:dyDescent="0.3">
      <c r="A814" s="424" t="s">
        <v>821</v>
      </c>
      <c r="B814" s="895">
        <v>45703</v>
      </c>
      <c r="C814" s="962"/>
      <c r="D814" s="962"/>
      <c r="E814" s="962"/>
      <c r="F814" s="962"/>
      <c r="G814" s="757"/>
      <c r="H814" s="757"/>
      <c r="I814" s="757"/>
      <c r="J814" s="757"/>
      <c r="K814" s="962"/>
      <c r="L814" s="757"/>
      <c r="M814" s="757"/>
      <c r="N814" s="757"/>
      <c r="O814" s="757"/>
      <c r="P814" s="962"/>
      <c r="Q814" s="757"/>
      <c r="R814" s="757"/>
      <c r="S814" s="757"/>
      <c r="T814" s="757"/>
      <c r="U814" s="962"/>
      <c r="V814" s="757"/>
      <c r="W814" s="757"/>
      <c r="X814" s="757"/>
      <c r="Y814" s="757"/>
      <c r="Z814" s="962"/>
      <c r="AA814" s="757"/>
      <c r="AB814" s="757"/>
      <c r="AC814" s="757"/>
      <c r="AD814" s="757"/>
      <c r="AE814" s="962"/>
      <c r="AF814" s="757"/>
      <c r="AG814" s="757"/>
      <c r="AH814" s="757"/>
      <c r="AI814" s="757"/>
      <c r="AJ814" s="962"/>
      <c r="AK814" s="757"/>
      <c r="AL814" s="757"/>
      <c r="AM814" s="757"/>
      <c r="AN814" s="757">
        <f t="shared" si="1551"/>
      </c>
      <c r="AO814" s="963">
        <v>800</v>
      </c>
      <c r="AP814" s="857">
        <v>800</v>
      </c>
      <c r="AQ814" s="857">
        <v>800</v>
      </c>
      <c r="AR814" s="857">
        <v>800</v>
      </c>
      <c r="AS814" s="757">
        <f t="shared" si="1552"/>
      </c>
      <c r="AT814" s="963">
        <v>800</v>
      </c>
      <c r="AU814" s="857">
        <v>800</v>
      </c>
      <c r="AV814" s="857">
        <v>800</v>
      </c>
      <c r="AW814" s="857">
        <v>800</v>
      </c>
      <c r="AX814" s="757">
        <f t="shared" si="1553"/>
      </c>
      <c r="AY814" s="963">
        <v>800</v>
      </c>
      <c r="AZ814" s="857">
        <v>800</v>
      </c>
      <c r="BA814" s="857">
        <v>800</v>
      </c>
      <c r="BB814" s="857">
        <v>800</v>
      </c>
      <c r="BC814" s="757">
        <f t="shared" si="1554"/>
      </c>
      <c r="BD814" s="963">
        <v>800</v>
      </c>
      <c r="BE814" s="857">
        <v>800</v>
      </c>
      <c r="BF814" s="857">
        <v>800</v>
      </c>
      <c r="BG814" s="857">
        <v>800</v>
      </c>
      <c r="BH814" s="757">
        <f t="shared" si="1555"/>
      </c>
      <c r="BI814" s="963">
        <v>800</v>
      </c>
      <c r="BJ814" s="857">
        <v>800</v>
      </c>
      <c r="BK814" s="857">
        <v>800</v>
      </c>
      <c r="BL814" s="857">
        <v>800</v>
      </c>
      <c r="BM814" s="757">
        <f t="shared" si="1556"/>
      </c>
      <c r="BN814" s="963">
        <v>800</v>
      </c>
      <c r="BO814" s="857">
        <v>0</v>
      </c>
      <c r="BP814" s="757"/>
      <c r="BQ814" s="757"/>
      <c r="BR814" s="757">
        <f t="shared" si="1557"/>
      </c>
      <c r="BS814" s="962"/>
      <c r="BT814" s="758"/>
      <c r="BU814" s="757"/>
      <c r="BV814" s="757"/>
      <c r="BW814" s="757"/>
      <c r="BX814" s="962"/>
      <c r="BY814" s="757"/>
      <c r="BZ814" s="757"/>
      <c r="CA814" s="757"/>
      <c r="CB814" s="757"/>
      <c r="CC814" s="962"/>
      <c r="CD814" s="962"/>
      <c r="CE814" s="962"/>
      <c r="CF814" s="962"/>
      <c r="CG814" s="277"/>
    </row>
    <row r="815" spans="1:85" hidden="1" outlineLevel="2" x14ac:dyDescent="0.3">
      <c r="A815" s="413" t="s">
        <v>878</v>
      </c>
      <c r="B815" s="895">
        <v>45823</v>
      </c>
      <c r="C815" s="962"/>
      <c r="D815" s="962"/>
      <c r="E815" s="962"/>
      <c r="F815" s="962"/>
      <c r="G815" s="757"/>
      <c r="H815" s="757"/>
      <c r="I815" s="757"/>
      <c r="J815" s="757"/>
      <c r="K815" s="962"/>
      <c r="L815" s="757"/>
      <c r="M815" s="757"/>
      <c r="N815" s="757"/>
      <c r="O815" s="757"/>
      <c r="P815" s="962"/>
      <c r="Q815" s="757"/>
      <c r="R815" s="757"/>
      <c r="S815" s="757"/>
      <c r="T815" s="757"/>
      <c r="U815" s="962"/>
      <c r="V815" s="757"/>
      <c r="W815" s="757"/>
      <c r="X815" s="757"/>
      <c r="Y815" s="757"/>
      <c r="Z815" s="962"/>
      <c r="AA815" s="757"/>
      <c r="AB815" s="757"/>
      <c r="AC815" s="757"/>
      <c r="AD815" s="757"/>
      <c r="AE815" s="962"/>
      <c r="AF815" s="757"/>
      <c r="AG815" s="757"/>
      <c r="AH815" s="757"/>
      <c r="AI815" s="757"/>
      <c r="AJ815" s="962"/>
      <c r="AK815" s="757"/>
      <c r="AL815" s="757"/>
      <c r="AM815" s="757"/>
      <c r="AN815" s="757">
        <f t="shared" si="1551"/>
      </c>
      <c r="AO815" s="962"/>
      <c r="AP815" s="757"/>
      <c r="AQ815" s="857">
        <v>470</v>
      </c>
      <c r="AR815" s="857">
        <v>470</v>
      </c>
      <c r="AS815" s="757">
        <f t="shared" si="1552"/>
      </c>
      <c r="AT815" s="963">
        <v>470</v>
      </c>
      <c r="AU815" s="857">
        <v>470</v>
      </c>
      <c r="AV815" s="857">
        <v>470</v>
      </c>
      <c r="AW815" s="857">
        <v>470</v>
      </c>
      <c r="AX815" s="757">
        <f t="shared" si="1553"/>
      </c>
      <c r="AY815" s="963">
        <v>470</v>
      </c>
      <c r="AZ815" s="857">
        <v>470</v>
      </c>
      <c r="BA815" s="857">
        <v>470</v>
      </c>
      <c r="BB815" s="857">
        <v>470</v>
      </c>
      <c r="BC815" s="757">
        <f t="shared" si="1554"/>
      </c>
      <c r="BD815" s="963">
        <v>470</v>
      </c>
      <c r="BE815" s="857">
        <v>470</v>
      </c>
      <c r="BF815" s="857">
        <v>470</v>
      </c>
      <c r="BG815" s="857">
        <v>470</v>
      </c>
      <c r="BH815" s="757">
        <f t="shared" si="1555"/>
      </c>
      <c r="BI815" s="963">
        <v>470</v>
      </c>
      <c r="BJ815" s="857">
        <v>470</v>
      </c>
      <c r="BK815" s="857">
        <v>470</v>
      </c>
      <c r="BL815" s="857">
        <v>470</v>
      </c>
      <c r="BM815" s="757">
        <f t="shared" si="1556"/>
      </c>
      <c r="BN815" s="963">
        <v>470</v>
      </c>
      <c r="BO815" s="857">
        <v>470</v>
      </c>
      <c r="BP815" s="757"/>
      <c r="BQ815" s="757"/>
      <c r="BR815" s="757">
        <f t="shared" si="1557"/>
      </c>
      <c r="BS815" s="962"/>
      <c r="BT815" s="758"/>
      <c r="BU815" s="757"/>
      <c r="BV815" s="757"/>
      <c r="BW815" s="757"/>
      <c r="BX815" s="962"/>
      <c r="BY815" s="757"/>
      <c r="BZ815" s="757"/>
      <c r="CA815" s="757"/>
      <c r="CB815" s="757"/>
      <c r="CC815" s="962"/>
      <c r="CD815" s="962"/>
      <c r="CE815" s="962"/>
      <c r="CF815" s="962"/>
      <c r="CG815" s="277"/>
    </row>
    <row r="816" spans="1:85" hidden="1" outlineLevel="2" x14ac:dyDescent="0.3">
      <c r="A816" s="424" t="s">
        <v>858</v>
      </c>
      <c r="B816" s="895">
        <v>45823</v>
      </c>
      <c r="C816" s="962"/>
      <c r="D816" s="962"/>
      <c r="E816" s="962"/>
      <c r="F816" s="962"/>
      <c r="G816" s="757"/>
      <c r="H816" s="757"/>
      <c r="I816" s="757"/>
      <c r="J816" s="757"/>
      <c r="K816" s="962"/>
      <c r="L816" s="757"/>
      <c r="M816" s="757"/>
      <c r="N816" s="757"/>
      <c r="O816" s="757"/>
      <c r="P816" s="962"/>
      <c r="Q816" s="757"/>
      <c r="R816" s="757"/>
      <c r="S816" s="757"/>
      <c r="T816" s="757"/>
      <c r="U816" s="962"/>
      <c r="V816" s="757"/>
      <c r="W816" s="757"/>
      <c r="X816" s="757"/>
      <c r="Y816" s="757"/>
      <c r="Z816" s="962"/>
      <c r="AA816" s="757"/>
      <c r="AB816" s="757"/>
      <c r="AC816" s="757"/>
      <c r="AD816" s="757"/>
      <c r="AE816" s="962"/>
      <c r="AF816" s="757"/>
      <c r="AG816" s="757"/>
      <c r="AH816" s="757"/>
      <c r="AI816" s="757"/>
      <c r="AJ816" s="962"/>
      <c r="AK816" s="757"/>
      <c r="AL816" s="757"/>
      <c r="AM816" s="757"/>
      <c r="AN816" s="757">
        <f t="shared" si="1551"/>
      </c>
      <c r="AO816" s="962"/>
      <c r="AP816" s="757"/>
      <c r="AQ816" s="857">
        <v>527</v>
      </c>
      <c r="AR816" s="857">
        <v>551</v>
      </c>
      <c r="AS816" s="757">
        <f t="shared" si="1552"/>
      </c>
      <c r="AT816" s="963">
        <v>574</v>
      </c>
      <c r="AU816" s="857">
        <v>551</v>
      </c>
      <c r="AV816" s="857">
        <v>557</v>
      </c>
      <c r="AW816" s="857">
        <v>545</v>
      </c>
      <c r="AX816" s="757">
        <f t="shared" si="1553"/>
      </c>
      <c r="AY816" s="963">
        <v>535</v>
      </c>
      <c r="AZ816" s="857">
        <v>520</v>
      </c>
      <c r="BA816" s="857">
        <v>492</v>
      </c>
      <c r="BB816" s="857">
        <v>460</v>
      </c>
      <c r="BC816" s="757">
        <f t="shared" si="1554"/>
      </c>
      <c r="BD816" s="963">
        <v>503</v>
      </c>
      <c r="BE816" s="857">
        <v>510</v>
      </c>
      <c r="BF816" s="857">
        <v>513</v>
      </c>
      <c r="BG816" s="857">
        <v>497</v>
      </c>
      <c r="BH816" s="757">
        <f t="shared" si="1555"/>
      </c>
      <c r="BI816" s="963">
        <v>519</v>
      </c>
      <c r="BJ816" s="857">
        <v>507</v>
      </c>
      <c r="BK816" s="857">
        <v>503</v>
      </c>
      <c r="BL816" s="857">
        <v>523</v>
      </c>
      <c r="BM816" s="757">
        <f t="shared" si="1556"/>
      </c>
      <c r="BN816" s="963">
        <v>487</v>
      </c>
      <c r="BO816" s="857">
        <v>508</v>
      </c>
      <c r="BP816" s="757"/>
      <c r="BQ816" s="757"/>
      <c r="BR816" s="757">
        <f t="shared" si="1557"/>
      </c>
      <c r="BS816" s="962"/>
      <c r="BT816" s="758"/>
      <c r="BU816" s="757"/>
      <c r="BV816" s="757"/>
      <c r="BW816" s="757"/>
      <c r="BX816" s="962"/>
      <c r="BY816" s="757"/>
      <c r="BZ816" s="757"/>
      <c r="CA816" s="757"/>
      <c r="CB816" s="757"/>
      <c r="CC816" s="962"/>
      <c r="CD816" s="962"/>
      <c r="CE816" s="962"/>
      <c r="CF816" s="962"/>
      <c r="CG816" s="277"/>
    </row>
    <row r="817" spans="1:85" hidden="1" outlineLevel="2" x14ac:dyDescent="0.3">
      <c r="A817" s="424" t="s">
        <v>822</v>
      </c>
      <c r="B817" s="895">
        <v>45823</v>
      </c>
      <c r="C817" s="962"/>
      <c r="D817" s="962"/>
      <c r="E817" s="962"/>
      <c r="F817" s="962"/>
      <c r="G817" s="757"/>
      <c r="H817" s="757"/>
      <c r="I817" s="757"/>
      <c r="J817" s="757"/>
      <c r="K817" s="962"/>
      <c r="L817" s="757"/>
      <c r="M817" s="757"/>
      <c r="N817" s="757"/>
      <c r="O817" s="757"/>
      <c r="P817" s="962"/>
      <c r="Q817" s="757"/>
      <c r="R817" s="757"/>
      <c r="S817" s="757"/>
      <c r="T817" s="757"/>
      <c r="U817" s="962"/>
      <c r="V817" s="757"/>
      <c r="W817" s="757"/>
      <c r="X817" s="757"/>
      <c r="Y817" s="757"/>
      <c r="Z817" s="962"/>
      <c r="AA817" s="757"/>
      <c r="AB817" s="757"/>
      <c r="AC817" s="757"/>
      <c r="AD817" s="757"/>
      <c r="AE817" s="962"/>
      <c r="AF817" s="757"/>
      <c r="AG817" s="757"/>
      <c r="AH817" s="757"/>
      <c r="AI817" s="757"/>
      <c r="AJ817" s="962"/>
      <c r="AK817" s="757"/>
      <c r="AL817" s="757"/>
      <c r="AM817" s="757"/>
      <c r="AN817" s="757">
        <f t="shared" si="1551"/>
      </c>
      <c r="AO817" s="962"/>
      <c r="AP817" s="757"/>
      <c r="AQ817" s="857">
        <v>500</v>
      </c>
      <c r="AR817" s="857">
        <v>500</v>
      </c>
      <c r="AS817" s="757">
        <f t="shared" si="1552"/>
      </c>
      <c r="AT817" s="963">
        <v>500</v>
      </c>
      <c r="AU817" s="857">
        <v>500</v>
      </c>
      <c r="AV817" s="857">
        <v>500</v>
      </c>
      <c r="AW817" s="857">
        <v>500</v>
      </c>
      <c r="AX817" s="757">
        <f t="shared" si="1553"/>
      </c>
      <c r="AY817" s="963">
        <v>500</v>
      </c>
      <c r="AZ817" s="857">
        <v>500</v>
      </c>
      <c r="BA817" s="857">
        <v>500</v>
      </c>
      <c r="BB817" s="857">
        <v>500</v>
      </c>
      <c r="BC817" s="757">
        <f t="shared" si="1554"/>
      </c>
      <c r="BD817" s="963">
        <v>500</v>
      </c>
      <c r="BE817" s="857">
        <v>500</v>
      </c>
      <c r="BF817" s="857">
        <v>500</v>
      </c>
      <c r="BG817" s="857">
        <v>500</v>
      </c>
      <c r="BH817" s="757">
        <f t="shared" si="1555"/>
      </c>
      <c r="BI817" s="963">
        <v>500</v>
      </c>
      <c r="BJ817" s="857">
        <v>500</v>
      </c>
      <c r="BK817" s="857">
        <v>500</v>
      </c>
      <c r="BL817" s="857">
        <v>500</v>
      </c>
      <c r="BM817" s="757">
        <f t="shared" si="1556"/>
      </c>
      <c r="BN817" s="963">
        <v>500</v>
      </c>
      <c r="BO817" s="857">
        <v>500</v>
      </c>
      <c r="BP817" s="757"/>
      <c r="BQ817" s="757"/>
      <c r="BR817" s="757">
        <f t="shared" si="1557"/>
      </c>
      <c r="BS817" s="962"/>
      <c r="BT817" s="758"/>
      <c r="BU817" s="757"/>
      <c r="BV817" s="757"/>
      <c r="BW817" s="757"/>
      <c r="BX817" s="962"/>
      <c r="BY817" s="757"/>
      <c r="BZ817" s="757"/>
      <c r="CA817" s="757"/>
      <c r="CB817" s="757"/>
      <c r="CC817" s="962"/>
      <c r="CD817" s="962"/>
      <c r="CE817" s="962"/>
      <c r="CF817" s="962"/>
      <c r="CG817" s="277"/>
    </row>
    <row r="818" spans="1:85" hidden="1" outlineLevel="1" collapsed="1" x14ac:dyDescent="0.3">
      <c r="A818" s="424" t="s">
        <v>823</v>
      </c>
      <c r="B818" s="895">
        <v>46341</v>
      </c>
      <c r="C818" s="962"/>
      <c r="D818" s="962"/>
      <c r="E818" s="962"/>
      <c r="F818" s="962"/>
      <c r="G818" s="757"/>
      <c r="H818" s="757"/>
      <c r="I818" s="757"/>
      <c r="J818" s="757"/>
      <c r="K818" s="962"/>
      <c r="L818" s="757"/>
      <c r="M818" s="757"/>
      <c r="N818" s="757"/>
      <c r="O818" s="757"/>
      <c r="P818" s="962"/>
      <c r="Q818" s="757"/>
      <c r="R818" s="757"/>
      <c r="S818" s="757"/>
      <c r="T818" s="757"/>
      <c r="U818" s="962"/>
      <c r="V818" s="757"/>
      <c r="W818" s="757"/>
      <c r="X818" s="757"/>
      <c r="Y818" s="757"/>
      <c r="Z818" s="962"/>
      <c r="AA818" s="757"/>
      <c r="AB818" s="757"/>
      <c r="AC818" s="757"/>
      <c r="AD818" s="757"/>
      <c r="AE818" s="962"/>
      <c r="AF818" s="757"/>
      <c r="AG818" s="757"/>
      <c r="AH818" s="757"/>
      <c r="AI818" s="757"/>
      <c r="AJ818" s="962"/>
      <c r="AK818" s="757"/>
      <c r="AL818" s="757"/>
      <c r="AM818" s="757"/>
      <c r="AN818" s="757">
        <f t="shared" si="1551"/>
      </c>
      <c r="AO818" s="963">
        <v>1000</v>
      </c>
      <c r="AP818" s="857">
        <v>1000</v>
      </c>
      <c r="AQ818" s="857">
        <v>1000</v>
      </c>
      <c r="AR818" s="857">
        <v>1000</v>
      </c>
      <c r="AS818" s="757">
        <f t="shared" si="1552"/>
      </c>
      <c r="AT818" s="963">
        <v>1000</v>
      </c>
      <c r="AU818" s="857">
        <v>1000</v>
      </c>
      <c r="AV818" s="857">
        <v>1000</v>
      </c>
      <c r="AW818" s="857">
        <v>1000</v>
      </c>
      <c r="AX818" s="757">
        <f t="shared" si="1553"/>
      </c>
      <c r="AY818" s="963">
        <v>1000</v>
      </c>
      <c r="AZ818" s="857">
        <v>1000</v>
      </c>
      <c r="BA818" s="857">
        <v>1000</v>
      </c>
      <c r="BB818" s="857">
        <v>1000</v>
      </c>
      <c r="BC818" s="757">
        <f t="shared" si="1554"/>
      </c>
      <c r="BD818" s="963">
        <v>1000</v>
      </c>
      <c r="BE818" s="857">
        <v>1000</v>
      </c>
      <c r="BF818" s="857">
        <v>1000</v>
      </c>
      <c r="BG818" s="857">
        <v>1000</v>
      </c>
      <c r="BH818" s="757">
        <f t="shared" si="1555"/>
      </c>
      <c r="BI818" s="963">
        <v>1000</v>
      </c>
      <c r="BJ818" s="857">
        <v>1000</v>
      </c>
      <c r="BK818" s="857">
        <v>1000</v>
      </c>
      <c r="BL818" s="857">
        <v>1000</v>
      </c>
      <c r="BM818" s="757">
        <f t="shared" si="1556"/>
      </c>
      <c r="BN818" s="963">
        <v>1000</v>
      </c>
      <c r="BO818" s="857">
        <v>1000</v>
      </c>
      <c r="BP818" s="857">
        <v>1000</v>
      </c>
      <c r="BQ818" s="857">
        <v>1000</v>
      </c>
      <c r="BR818" s="757">
        <f t="shared" si="1557"/>
      </c>
      <c r="BS818" s="963">
        <v>1000</v>
      </c>
      <c r="BT818" s="864">
        <v>1000</v>
      </c>
      <c r="BU818" s="757">
        <f t="shared" ref="BU818:BW819" si="1558">BT818-BU849</f>
      </c>
      <c r="BV818" s="757">
        <f t="shared" si="1558"/>
      </c>
      <c r="BW818" s="757">
        <f t="shared" si="1558"/>
      </c>
      <c r="BX818" s="962">
        <f>BW818</f>
      </c>
      <c r="BY818" s="757">
        <f t="shared" ref="BY818:CB819" si="1559">BX818-BY849</f>
      </c>
      <c r="BZ818" s="757">
        <f t="shared" si="1559"/>
      </c>
      <c r="CA818" s="757">
        <f t="shared" si="1559"/>
      </c>
      <c r="CB818" s="757">
        <f t="shared" si="1559"/>
      </c>
      <c r="CC818" s="962">
        <f>CB818</f>
      </c>
      <c r="CD818" s="962">
        <f t="shared" ref="CD818:CF819" si="1560">CC818-CD849</f>
      </c>
      <c r="CE818" s="962">
        <f t="shared" si="1560"/>
      </c>
      <c r="CF818" s="962">
        <f t="shared" si="1560"/>
      </c>
      <c r="CG818" s="277"/>
    </row>
    <row r="819" spans="1:85" hidden="1" outlineLevel="2" x14ac:dyDescent="0.3">
      <c r="A819" s="413" t="s">
        <v>881</v>
      </c>
      <c r="B819" s="895">
        <v>46522</v>
      </c>
      <c r="C819" s="962"/>
      <c r="D819" s="962"/>
      <c r="E819" s="962"/>
      <c r="F819" s="962"/>
      <c r="G819" s="757"/>
      <c r="H819" s="757"/>
      <c r="I819" s="757"/>
      <c r="J819" s="757"/>
      <c r="K819" s="962"/>
      <c r="L819" s="757"/>
      <c r="M819" s="757"/>
      <c r="N819" s="757"/>
      <c r="O819" s="757"/>
      <c r="P819" s="962"/>
      <c r="Q819" s="757"/>
      <c r="R819" s="757"/>
      <c r="S819" s="757"/>
      <c r="T819" s="757"/>
      <c r="U819" s="962"/>
      <c r="V819" s="757"/>
      <c r="W819" s="757"/>
      <c r="X819" s="757"/>
      <c r="Y819" s="757"/>
      <c r="Z819" s="962"/>
      <c r="AA819" s="757"/>
      <c r="AB819" s="757"/>
      <c r="AC819" s="757"/>
      <c r="AD819" s="757"/>
      <c r="AE819" s="962"/>
      <c r="AF819" s="757"/>
      <c r="AG819" s="757"/>
      <c r="AH819" s="757"/>
      <c r="AI819" s="757"/>
      <c r="AJ819" s="962"/>
      <c r="AK819" s="757"/>
      <c r="AL819" s="757"/>
      <c r="AM819" s="757"/>
      <c r="AN819" s="757">
        <f t="shared" si="1551"/>
      </c>
      <c r="AO819" s="963">
        <v>1300</v>
      </c>
      <c r="AP819" s="857">
        <v>1300</v>
      </c>
      <c r="AQ819" s="857">
        <v>1300</v>
      </c>
      <c r="AR819" s="857">
        <v>1300</v>
      </c>
      <c r="AS819" s="757">
        <f t="shared" si="1552"/>
      </c>
      <c r="AT819" s="963">
        <v>1300</v>
      </c>
      <c r="AU819" s="857">
        <v>1300</v>
      </c>
      <c r="AV819" s="857">
        <v>1300</v>
      </c>
      <c r="AW819" s="857">
        <v>1300</v>
      </c>
      <c r="AX819" s="757">
        <f t="shared" si="1553"/>
      </c>
      <c r="AY819" s="963">
        <v>1300</v>
      </c>
      <c r="AZ819" s="857">
        <v>1300</v>
      </c>
      <c r="BA819" s="857">
        <v>1300</v>
      </c>
      <c r="BB819" s="857">
        <v>1300</v>
      </c>
      <c r="BC819" s="757">
        <f t="shared" si="1554"/>
      </c>
      <c r="BD819" s="963">
        <v>1300</v>
      </c>
      <c r="BE819" s="857">
        <v>1300</v>
      </c>
      <c r="BF819" s="857">
        <v>1300</v>
      </c>
      <c r="BG819" s="857">
        <v>1300</v>
      </c>
      <c r="BH819" s="757">
        <f t="shared" si="1555"/>
      </c>
      <c r="BI819" s="963">
        <v>1300</v>
      </c>
      <c r="BJ819" s="857">
        <v>1300</v>
      </c>
      <c r="BK819" s="857">
        <v>1300</v>
      </c>
      <c r="BL819" s="857">
        <v>1300</v>
      </c>
      <c r="BM819" s="757">
        <f t="shared" si="1556"/>
      </c>
      <c r="BN819" s="963">
        <v>1300</v>
      </c>
      <c r="BO819" s="857">
        <v>1300</v>
      </c>
      <c r="BP819" s="857">
        <v>1300</v>
      </c>
      <c r="BQ819" s="857">
        <v>1300</v>
      </c>
      <c r="BR819" s="757">
        <f t="shared" si="1557"/>
      </c>
      <c r="BS819" s="963">
        <v>1300</v>
      </c>
      <c r="BT819" s="864">
        <v>1300</v>
      </c>
      <c r="BU819" s="757">
        <f t="shared" si="1558"/>
      </c>
      <c r="BV819" s="757">
        <f t="shared" si="1558"/>
      </c>
      <c r="BW819" s="757">
        <f t="shared" si="1558"/>
      </c>
      <c r="BX819" s="962">
        <f>BW819</f>
      </c>
      <c r="BY819" s="757">
        <f t="shared" si="1559"/>
      </c>
      <c r="BZ819" s="757">
        <f t="shared" si="1559"/>
      </c>
      <c r="CA819" s="757">
        <f t="shared" si="1559"/>
      </c>
      <c r="CB819" s="757">
        <f t="shared" si="1559"/>
      </c>
      <c r="CC819" s="962">
        <f>CB819</f>
      </c>
      <c r="CD819" s="962">
        <f t="shared" si="1560"/>
      </c>
      <c r="CE819" s="962">
        <f t="shared" si="1560"/>
      </c>
      <c r="CF819" s="962">
        <f t="shared" si="1560"/>
      </c>
      <c r="CG819" s="277"/>
    </row>
    <row r="820" spans="1:85" hidden="1" outlineLevel="1" collapsed="1" x14ac:dyDescent="0.3">
      <c r="A820" s="424" t="s">
        <v>859</v>
      </c>
      <c r="B820" s="895">
        <v>46522</v>
      </c>
      <c r="C820" s="962"/>
      <c r="D820" s="962"/>
      <c r="E820" s="962"/>
      <c r="F820" s="962"/>
      <c r="G820" s="757"/>
      <c r="H820" s="757"/>
      <c r="I820" s="757"/>
      <c r="J820" s="757"/>
      <c r="K820" s="962"/>
      <c r="L820" s="757"/>
      <c r="M820" s="757"/>
      <c r="N820" s="757"/>
      <c r="O820" s="757"/>
      <c r="P820" s="962"/>
      <c r="Q820" s="757"/>
      <c r="R820" s="757"/>
      <c r="S820" s="757"/>
      <c r="T820" s="757"/>
      <c r="U820" s="962"/>
      <c r="V820" s="757"/>
      <c r="W820" s="757"/>
      <c r="X820" s="757"/>
      <c r="Y820" s="757"/>
      <c r="Z820" s="962"/>
      <c r="AA820" s="757"/>
      <c r="AB820" s="757"/>
      <c r="AC820" s="757"/>
      <c r="AD820" s="757"/>
      <c r="AE820" s="962"/>
      <c r="AF820" s="757"/>
      <c r="AG820" s="757"/>
      <c r="AH820" s="757"/>
      <c r="AI820" s="757"/>
      <c r="AJ820" s="962"/>
      <c r="AK820" s="757"/>
      <c r="AL820" s="757"/>
      <c r="AM820" s="757"/>
      <c r="AN820" s="757">
        <f t="shared" si="1551"/>
      </c>
      <c r="AO820" s="963">
        <v>1459</v>
      </c>
      <c r="AP820" s="857">
        <v>1433</v>
      </c>
      <c r="AQ820" s="857">
        <v>1461</v>
      </c>
      <c r="AR820" s="857">
        <v>1523</v>
      </c>
      <c r="AS820" s="757">
        <f t="shared" si="1552"/>
      </c>
      <c r="AT820" s="963">
        <v>1588</v>
      </c>
      <c r="AU820" s="857">
        <v>1524</v>
      </c>
      <c r="AV820" s="857">
        <v>1540</v>
      </c>
      <c r="AW820" s="857">
        <v>1506</v>
      </c>
      <c r="AX820" s="757">
        <f t="shared" si="1553"/>
      </c>
      <c r="AY820" s="963">
        <v>1480</v>
      </c>
      <c r="AZ820" s="857">
        <v>1439</v>
      </c>
      <c r="BA820" s="857">
        <v>1362</v>
      </c>
      <c r="BB820" s="857">
        <v>1275</v>
      </c>
      <c r="BC820" s="757">
        <f t="shared" si="1554"/>
      </c>
      <c r="BD820" s="963">
        <v>1391</v>
      </c>
      <c r="BE820" s="857">
        <v>1412</v>
      </c>
      <c r="BF820" s="857">
        <v>1419</v>
      </c>
      <c r="BG820" s="857">
        <v>1375</v>
      </c>
      <c r="BH820" s="757">
        <f t="shared" si="1555"/>
      </c>
      <c r="BI820" s="963">
        <v>1434</v>
      </c>
      <c r="BJ820" s="857">
        <v>1401</v>
      </c>
      <c r="BK820" s="857">
        <v>1394</v>
      </c>
      <c r="BL820" s="857">
        <v>1446</v>
      </c>
      <c r="BM820" s="757">
        <f t="shared" si="1556"/>
      </c>
      <c r="BN820" s="963">
        <v>1346</v>
      </c>
      <c r="BO820" s="857">
        <v>1404</v>
      </c>
      <c r="BP820" s="857">
        <v>1525</v>
      </c>
      <c r="BQ820" s="857">
        <v>1528</v>
      </c>
      <c r="BR820" s="757">
        <f t="shared" si="1557"/>
      </c>
      <c r="BS820" s="963">
        <v>1526</v>
      </c>
      <c r="BT820" s="864">
        <v>1497</v>
      </c>
      <c r="BU820" s="757">
        <f>+BU819/BU$775</f>
      </c>
      <c r="BV820" s="757">
        <f>+BV819/BV$775</f>
      </c>
      <c r="BW820" s="757">
        <f>+BW819/BW$775</f>
      </c>
      <c r="BX820" s="962">
        <f t="shared" ref="BX820" si="1561">+BX819/BX$775</f>
      </c>
      <c r="BY820" s="757">
        <f t="shared" ref="BY820:CF820" si="1562">+BY819/BY$775</f>
      </c>
      <c r="BZ820" s="757">
        <f t="shared" si="1562"/>
      </c>
      <c r="CA820" s="757">
        <f t="shared" si="1562"/>
      </c>
      <c r="CB820" s="757">
        <f t="shared" si="1562"/>
      </c>
      <c r="CC820" s="962">
        <f t="shared" si="1562"/>
      </c>
      <c r="CD820" s="962">
        <f t="shared" si="1562"/>
      </c>
      <c r="CE820" s="962">
        <f t="shared" si="1562"/>
      </c>
      <c r="CF820" s="962">
        <f t="shared" si="1562"/>
      </c>
      <c r="CG820" s="277"/>
    </row>
    <row r="821" spans="1:85" hidden="1" outlineLevel="1" x14ac:dyDescent="0.3">
      <c r="A821" s="424" t="s">
        <v>824</v>
      </c>
      <c r="B821" s="895">
        <v>46858</v>
      </c>
      <c r="C821" s="962"/>
      <c r="D821" s="962"/>
      <c r="E821" s="962"/>
      <c r="F821" s="962"/>
      <c r="G821" s="757"/>
      <c r="H821" s="757"/>
      <c r="I821" s="757"/>
      <c r="J821" s="757"/>
      <c r="K821" s="962"/>
      <c r="L821" s="757"/>
      <c r="M821" s="757"/>
      <c r="N821" s="757"/>
      <c r="O821" s="757"/>
      <c r="P821" s="962"/>
      <c r="Q821" s="757"/>
      <c r="R821" s="757"/>
      <c r="S821" s="757"/>
      <c r="T821" s="757"/>
      <c r="U821" s="962"/>
      <c r="V821" s="757"/>
      <c r="W821" s="757"/>
      <c r="X821" s="757"/>
      <c r="Y821" s="757"/>
      <c r="Z821" s="962"/>
      <c r="AA821" s="757"/>
      <c r="AB821" s="757"/>
      <c r="AC821" s="757"/>
      <c r="AD821" s="757"/>
      <c r="AE821" s="962"/>
      <c r="AF821" s="757"/>
      <c r="AG821" s="757"/>
      <c r="AH821" s="757"/>
      <c r="AI821" s="757"/>
      <c r="AJ821" s="962"/>
      <c r="AK821" s="757"/>
      <c r="AL821" s="757"/>
      <c r="AM821" s="757"/>
      <c r="AN821" s="757">
        <f t="shared" si="1551"/>
      </c>
      <c r="AO821" s="963">
        <v>1600</v>
      </c>
      <c r="AP821" s="857">
        <v>1600</v>
      </c>
      <c r="AQ821" s="857">
        <v>1600</v>
      </c>
      <c r="AR821" s="857">
        <v>1600</v>
      </c>
      <c r="AS821" s="757">
        <f t="shared" si="1552"/>
      </c>
      <c r="AT821" s="963">
        <v>1600</v>
      </c>
      <c r="AU821" s="857">
        <v>1600</v>
      </c>
      <c r="AV821" s="857">
        <v>1600</v>
      </c>
      <c r="AW821" s="857">
        <v>1600</v>
      </c>
      <c r="AX821" s="757">
        <f t="shared" si="1553"/>
      </c>
      <c r="AY821" s="963">
        <v>1600</v>
      </c>
      <c r="AZ821" s="857">
        <v>1600</v>
      </c>
      <c r="BA821" s="857">
        <v>1600</v>
      </c>
      <c r="BB821" s="857">
        <v>1600</v>
      </c>
      <c r="BC821" s="757">
        <f t="shared" si="1554"/>
      </c>
      <c r="BD821" s="963">
        <v>1600</v>
      </c>
      <c r="BE821" s="857">
        <v>1600</v>
      </c>
      <c r="BF821" s="857">
        <v>1600</v>
      </c>
      <c r="BG821" s="857">
        <v>1600</v>
      </c>
      <c r="BH821" s="757">
        <f t="shared" si="1555"/>
      </c>
      <c r="BI821" s="963">
        <v>1600</v>
      </c>
      <c r="BJ821" s="857">
        <v>1600</v>
      </c>
      <c r="BK821" s="857">
        <v>1600</v>
      </c>
      <c r="BL821" s="857">
        <v>1600</v>
      </c>
      <c r="BM821" s="757">
        <f t="shared" si="1556"/>
      </c>
      <c r="BN821" s="963">
        <v>1600</v>
      </c>
      <c r="BO821" s="857">
        <v>1600</v>
      </c>
      <c r="BP821" s="857">
        <v>1600</v>
      </c>
      <c r="BQ821" s="857">
        <v>1600</v>
      </c>
      <c r="BR821" s="757">
        <f t="shared" si="1557"/>
      </c>
      <c r="BS821" s="963">
        <v>1600</v>
      </c>
      <c r="BT821" s="864">
        <v>1600</v>
      </c>
      <c r="BU821" s="757">
        <f t="shared" ref="BU821:BW823" si="1563">BT821-BU852</f>
      </c>
      <c r="BV821" s="757">
        <f t="shared" si="1563"/>
      </c>
      <c r="BW821" s="757">
        <f t="shared" si="1563"/>
      </c>
      <c r="BX821" s="962">
        <f>BW821</f>
      </c>
      <c r="BY821" s="757">
        <f t="shared" ref="BY821:CB823" si="1564">BX821-BY852</f>
      </c>
      <c r="BZ821" s="757">
        <f t="shared" si="1564"/>
      </c>
      <c r="CA821" s="757">
        <f t="shared" si="1564"/>
      </c>
      <c r="CB821" s="757">
        <f t="shared" si="1564"/>
      </c>
      <c r="CC821" s="962">
        <f>CB821</f>
      </c>
      <c r="CD821" s="962">
        <f t="shared" ref="CD821:CF823" si="1565">CC821-CD852</f>
      </c>
      <c r="CE821" s="962">
        <f t="shared" si="1565"/>
      </c>
      <c r="CF821" s="962">
        <f t="shared" si="1565"/>
      </c>
      <c r="CG821" s="277"/>
    </row>
    <row r="822" spans="1:85" hidden="1" outlineLevel="1" x14ac:dyDescent="0.3">
      <c r="A822" s="424" t="s">
        <v>821</v>
      </c>
      <c r="B822" s="895">
        <v>47072</v>
      </c>
      <c r="C822" s="962"/>
      <c r="D822" s="962"/>
      <c r="E822" s="962"/>
      <c r="F822" s="962"/>
      <c r="G822" s="757"/>
      <c r="H822" s="757"/>
      <c r="I822" s="757"/>
      <c r="J822" s="757"/>
      <c r="K822" s="962"/>
      <c r="L822" s="757"/>
      <c r="M822" s="757"/>
      <c r="N822" s="757"/>
      <c r="O822" s="757"/>
      <c r="P822" s="962"/>
      <c r="Q822" s="757"/>
      <c r="R822" s="757"/>
      <c r="S822" s="757"/>
      <c r="T822" s="757"/>
      <c r="U822" s="962"/>
      <c r="V822" s="757"/>
      <c r="W822" s="757"/>
      <c r="X822" s="757"/>
      <c r="Y822" s="757"/>
      <c r="Z822" s="962"/>
      <c r="AA822" s="757"/>
      <c r="AB822" s="757"/>
      <c r="AC822" s="757"/>
      <c r="AD822" s="757"/>
      <c r="AE822" s="962"/>
      <c r="AF822" s="757"/>
      <c r="AG822" s="757"/>
      <c r="AH822" s="757"/>
      <c r="AI822" s="757"/>
      <c r="AJ822" s="962"/>
      <c r="AK822" s="757"/>
      <c r="AL822" s="757"/>
      <c r="AM822" s="757"/>
      <c r="AN822" s="757">
        <f t="shared" si="1551"/>
      </c>
      <c r="AO822" s="963">
        <v>1900</v>
      </c>
      <c r="AP822" s="857">
        <v>1900</v>
      </c>
      <c r="AQ822" s="857">
        <v>1900</v>
      </c>
      <c r="AR822" s="857">
        <v>1900</v>
      </c>
      <c r="AS822" s="757">
        <f t="shared" si="1552"/>
      </c>
      <c r="AT822" s="963">
        <v>1900</v>
      </c>
      <c r="AU822" s="857">
        <v>1900</v>
      </c>
      <c r="AV822" s="857">
        <v>1900</v>
      </c>
      <c r="AW822" s="857">
        <v>1900</v>
      </c>
      <c r="AX822" s="757">
        <f t="shared" si="1553"/>
      </c>
      <c r="AY822" s="963">
        <v>1900</v>
      </c>
      <c r="AZ822" s="857">
        <v>1900</v>
      </c>
      <c r="BA822" s="857">
        <v>1900</v>
      </c>
      <c r="BB822" s="857">
        <v>1900</v>
      </c>
      <c r="BC822" s="757">
        <f t="shared" si="1554"/>
      </c>
      <c r="BD822" s="963">
        <v>1900</v>
      </c>
      <c r="BE822" s="857">
        <v>1900</v>
      </c>
      <c r="BF822" s="857">
        <v>1900</v>
      </c>
      <c r="BG822" s="857">
        <v>1900</v>
      </c>
      <c r="BH822" s="757">
        <f t="shared" si="1555"/>
      </c>
      <c r="BI822" s="963">
        <v>1900</v>
      </c>
      <c r="BJ822" s="857">
        <v>1900</v>
      </c>
      <c r="BK822" s="857">
        <v>1900</v>
      </c>
      <c r="BL822" s="857">
        <v>1900</v>
      </c>
      <c r="BM822" s="757">
        <f t="shared" si="1556"/>
      </c>
      <c r="BN822" s="963">
        <v>1900</v>
      </c>
      <c r="BO822" s="857">
        <v>1900</v>
      </c>
      <c r="BP822" s="857">
        <v>1900</v>
      </c>
      <c r="BQ822" s="857">
        <v>1900</v>
      </c>
      <c r="BR822" s="757">
        <f t="shared" si="1557"/>
      </c>
      <c r="BS822" s="963">
        <v>1900</v>
      </c>
      <c r="BT822" s="864">
        <v>1900</v>
      </c>
      <c r="BU822" s="757">
        <f t="shared" si="1563"/>
      </c>
      <c r="BV822" s="757">
        <f t="shared" si="1563"/>
      </c>
      <c r="BW822" s="757">
        <f t="shared" si="1563"/>
      </c>
      <c r="BX822" s="962">
        <f>BW822</f>
      </c>
      <c r="BY822" s="757">
        <f t="shared" si="1564"/>
      </c>
      <c r="BZ822" s="757">
        <f t="shared" si="1564"/>
      </c>
      <c r="CA822" s="757">
        <f t="shared" si="1564"/>
      </c>
      <c r="CB822" s="757">
        <f t="shared" si="1564"/>
      </c>
      <c r="CC822" s="962">
        <f>CB822</f>
      </c>
      <c r="CD822" s="962">
        <f t="shared" si="1565"/>
      </c>
      <c r="CE822" s="962">
        <f t="shared" si="1565"/>
      </c>
      <c r="CF822" s="962">
        <f t="shared" si="1565"/>
      </c>
      <c r="CG822" s="277"/>
    </row>
    <row r="823" spans="1:85" hidden="1" outlineLevel="2" x14ac:dyDescent="0.3">
      <c r="A823" s="413" t="s">
        <v>882</v>
      </c>
      <c r="B823" s="895">
        <v>47253</v>
      </c>
      <c r="C823" s="962"/>
      <c r="D823" s="962"/>
      <c r="E823" s="962"/>
      <c r="F823" s="962"/>
      <c r="G823" s="757"/>
      <c r="H823" s="757"/>
      <c r="I823" s="757"/>
      <c r="J823" s="757"/>
      <c r="K823" s="962"/>
      <c r="L823" s="757"/>
      <c r="M823" s="757"/>
      <c r="N823" s="757"/>
      <c r="O823" s="757"/>
      <c r="P823" s="962"/>
      <c r="Q823" s="757"/>
      <c r="R823" s="757"/>
      <c r="S823" s="757"/>
      <c r="T823" s="757"/>
      <c r="U823" s="962"/>
      <c r="V823" s="757"/>
      <c r="W823" s="757"/>
      <c r="X823" s="757"/>
      <c r="Y823" s="757"/>
      <c r="Z823" s="962"/>
      <c r="AA823" s="757"/>
      <c r="AB823" s="757"/>
      <c r="AC823" s="757"/>
      <c r="AD823" s="757"/>
      <c r="AE823" s="962"/>
      <c r="AF823" s="757"/>
      <c r="AG823" s="757"/>
      <c r="AH823" s="757"/>
      <c r="AI823" s="757"/>
      <c r="AJ823" s="962"/>
      <c r="AK823" s="757"/>
      <c r="AL823" s="757"/>
      <c r="AM823" s="757"/>
      <c r="AN823" s="757">
        <f t="shared" si="1551"/>
      </c>
      <c r="AO823" s="963">
        <v>1100</v>
      </c>
      <c r="AP823" s="857">
        <v>1100</v>
      </c>
      <c r="AQ823" s="857">
        <v>1100</v>
      </c>
      <c r="AR823" s="857">
        <v>1100</v>
      </c>
      <c r="AS823" s="757">
        <f t="shared" si="1552"/>
      </c>
      <c r="AT823" s="963">
        <v>1100</v>
      </c>
      <c r="AU823" s="857">
        <v>1100</v>
      </c>
      <c r="AV823" s="857">
        <v>1100</v>
      </c>
      <c r="AW823" s="857">
        <v>1100</v>
      </c>
      <c r="AX823" s="757">
        <f t="shared" si="1553"/>
      </c>
      <c r="AY823" s="963">
        <v>1100</v>
      </c>
      <c r="AZ823" s="857">
        <v>1100</v>
      </c>
      <c r="BA823" s="857">
        <v>1100</v>
      </c>
      <c r="BB823" s="857">
        <v>1100</v>
      </c>
      <c r="BC823" s="757">
        <f t="shared" si="1554"/>
      </c>
      <c r="BD823" s="963">
        <v>1100</v>
      </c>
      <c r="BE823" s="857">
        <v>1100</v>
      </c>
      <c r="BF823" s="857">
        <v>1100</v>
      </c>
      <c r="BG823" s="857">
        <v>1100</v>
      </c>
      <c r="BH823" s="757">
        <f t="shared" si="1555"/>
      </c>
      <c r="BI823" s="963">
        <v>1100</v>
      </c>
      <c r="BJ823" s="857">
        <v>1100</v>
      </c>
      <c r="BK823" s="857">
        <v>1100</v>
      </c>
      <c r="BL823" s="857">
        <v>1100</v>
      </c>
      <c r="BM823" s="757">
        <f t="shared" si="1556"/>
      </c>
      <c r="BN823" s="963">
        <v>1100</v>
      </c>
      <c r="BO823" s="857">
        <v>1100</v>
      </c>
      <c r="BP823" s="857">
        <v>1100</v>
      </c>
      <c r="BQ823" s="857">
        <v>1100</v>
      </c>
      <c r="BR823" s="757">
        <f t="shared" si="1557"/>
      </c>
      <c r="BS823" s="963">
        <v>1100</v>
      </c>
      <c r="BT823" s="864">
        <v>1100</v>
      </c>
      <c r="BU823" s="757">
        <f t="shared" si="1563"/>
      </c>
      <c r="BV823" s="757">
        <f t="shared" si="1563"/>
      </c>
      <c r="BW823" s="757">
        <f t="shared" si="1563"/>
      </c>
      <c r="BX823" s="962">
        <f>BW823</f>
      </c>
      <c r="BY823" s="757">
        <f t="shared" si="1564"/>
      </c>
      <c r="BZ823" s="757">
        <f t="shared" si="1564"/>
      </c>
      <c r="CA823" s="757">
        <f t="shared" si="1564"/>
      </c>
      <c r="CB823" s="757">
        <f t="shared" si="1564"/>
      </c>
      <c r="CC823" s="962">
        <f>CB823</f>
      </c>
      <c r="CD823" s="962">
        <f t="shared" si="1565"/>
      </c>
      <c r="CE823" s="962">
        <f t="shared" si="1565"/>
      </c>
      <c r="CF823" s="962">
        <f t="shared" si="1565"/>
      </c>
      <c r="CG823" s="277"/>
    </row>
    <row r="824" spans="1:85" hidden="1" outlineLevel="1" collapsed="1" x14ac:dyDescent="0.3">
      <c r="A824" s="424" t="s">
        <v>860</v>
      </c>
      <c r="B824" s="895">
        <v>47253</v>
      </c>
      <c r="C824" s="962"/>
      <c r="D824" s="962"/>
      <c r="E824" s="962"/>
      <c r="F824" s="962"/>
      <c r="G824" s="757"/>
      <c r="H824" s="757"/>
      <c r="I824" s="757"/>
      <c r="J824" s="757"/>
      <c r="K824" s="962"/>
      <c r="L824" s="757"/>
      <c r="M824" s="757"/>
      <c r="N824" s="757"/>
      <c r="O824" s="757"/>
      <c r="P824" s="962"/>
      <c r="Q824" s="757"/>
      <c r="R824" s="757"/>
      <c r="S824" s="757"/>
      <c r="T824" s="757"/>
      <c r="U824" s="962"/>
      <c r="V824" s="757"/>
      <c r="W824" s="757"/>
      <c r="X824" s="757"/>
      <c r="Y824" s="757"/>
      <c r="Z824" s="962"/>
      <c r="AA824" s="757"/>
      <c r="AB824" s="757"/>
      <c r="AC824" s="757"/>
      <c r="AD824" s="757"/>
      <c r="AE824" s="962"/>
      <c r="AF824" s="757"/>
      <c r="AG824" s="757"/>
      <c r="AH824" s="757"/>
      <c r="AI824" s="757"/>
      <c r="AJ824" s="962"/>
      <c r="AK824" s="757"/>
      <c r="AL824" s="757"/>
      <c r="AM824" s="757"/>
      <c r="AN824" s="757">
        <f t="shared" si="1551"/>
      </c>
      <c r="AO824" s="963">
        <v>1234</v>
      </c>
      <c r="AP824" s="857">
        <v>1212</v>
      </c>
      <c r="AQ824" s="857">
        <v>1236</v>
      </c>
      <c r="AR824" s="857">
        <v>1289</v>
      </c>
      <c r="AS824" s="757">
        <f t="shared" si="1552"/>
      </c>
      <c r="AT824" s="963">
        <v>1344</v>
      </c>
      <c r="AU824" s="857">
        <v>1290</v>
      </c>
      <c r="AV824" s="857">
        <v>1303</v>
      </c>
      <c r="AW824" s="857">
        <v>1274</v>
      </c>
      <c r="AX824" s="757">
        <f t="shared" si="1553"/>
      </c>
      <c r="AY824" s="963">
        <v>1252</v>
      </c>
      <c r="AZ824" s="857">
        <v>1218</v>
      </c>
      <c r="BA824" s="857">
        <v>1153</v>
      </c>
      <c r="BB824" s="857">
        <v>1079</v>
      </c>
      <c r="BC824" s="757">
        <f t="shared" si="1554"/>
      </c>
      <c r="BD824" s="963">
        <v>1177</v>
      </c>
      <c r="BE824" s="857">
        <v>1194</v>
      </c>
      <c r="BF824" s="857">
        <v>1200</v>
      </c>
      <c r="BG824" s="857">
        <v>1163</v>
      </c>
      <c r="BH824" s="757">
        <f t="shared" si="1555"/>
      </c>
      <c r="BI824" s="963">
        <v>1215</v>
      </c>
      <c r="BJ824" s="857">
        <v>1187</v>
      </c>
      <c r="BK824" s="857">
        <v>1178</v>
      </c>
      <c r="BL824" s="857">
        <v>1225</v>
      </c>
      <c r="BM824" s="757">
        <f t="shared" si="1556"/>
      </c>
      <c r="BN824" s="963">
        <v>1139</v>
      </c>
      <c r="BO824" s="857">
        <v>1188</v>
      </c>
      <c r="BP824" s="857">
        <v>1291</v>
      </c>
      <c r="BQ824" s="857">
        <v>1293</v>
      </c>
      <c r="BR824" s="757">
        <f t="shared" si="1557"/>
      </c>
      <c r="BS824" s="963">
        <v>1292</v>
      </c>
      <c r="BT824" s="864">
        <v>1267</v>
      </c>
      <c r="BU824" s="757">
        <f>+BU823/BU$775</f>
      </c>
      <c r="BV824" s="757">
        <f>+BV823/BV$775</f>
      </c>
      <c r="BW824" s="757">
        <f>+BW823/BW$775</f>
      </c>
      <c r="BX824" s="962">
        <f t="shared" ref="BX824" si="1566">+BX823/BX$775</f>
      </c>
      <c r="BY824" s="757">
        <f t="shared" ref="BY824:CF824" si="1567">+BY823/BY$775</f>
      </c>
      <c r="BZ824" s="757">
        <f t="shared" si="1567"/>
      </c>
      <c r="CA824" s="757">
        <f t="shared" si="1567"/>
      </c>
      <c r="CB824" s="757">
        <f t="shared" si="1567"/>
      </c>
      <c r="CC824" s="962">
        <f t="shared" si="1567"/>
      </c>
      <c r="CD824" s="962">
        <f t="shared" si="1567"/>
      </c>
      <c r="CE824" s="962">
        <f t="shared" si="1567"/>
      </c>
      <c r="CF824" s="962">
        <f t="shared" si="1567"/>
      </c>
      <c r="CG824" s="277"/>
    </row>
    <row r="825" spans="1:85" hidden="1" outlineLevel="1" x14ac:dyDescent="0.3">
      <c r="A825" s="424" t="s">
        <v>825</v>
      </c>
      <c r="B825" s="895">
        <v>47253</v>
      </c>
      <c r="C825" s="962"/>
      <c r="D825" s="962"/>
      <c r="E825" s="962"/>
      <c r="F825" s="962"/>
      <c r="G825" s="757"/>
      <c r="H825" s="757"/>
      <c r="I825" s="757"/>
      <c r="J825" s="757"/>
      <c r="K825" s="962"/>
      <c r="L825" s="757"/>
      <c r="M825" s="757"/>
      <c r="N825" s="757"/>
      <c r="O825" s="757"/>
      <c r="P825" s="962"/>
      <c r="Q825" s="757"/>
      <c r="R825" s="757"/>
      <c r="S825" s="757"/>
      <c r="T825" s="757"/>
      <c r="U825" s="962"/>
      <c r="V825" s="757"/>
      <c r="W825" s="757"/>
      <c r="X825" s="757"/>
      <c r="Y825" s="757"/>
      <c r="Z825" s="962"/>
      <c r="AA825" s="757"/>
      <c r="AB825" s="757"/>
      <c r="AC825" s="757"/>
      <c r="AD825" s="757"/>
      <c r="AE825" s="962"/>
      <c r="AF825" s="757"/>
      <c r="AG825" s="757"/>
      <c r="AH825" s="757"/>
      <c r="AI825" s="757"/>
      <c r="AJ825" s="962"/>
      <c r="AK825" s="757"/>
      <c r="AL825" s="757"/>
      <c r="AM825" s="757"/>
      <c r="AN825" s="757">
        <f t="shared" si="1551"/>
      </c>
      <c r="AO825" s="963">
        <v>800</v>
      </c>
      <c r="AP825" s="857">
        <v>800</v>
      </c>
      <c r="AQ825" s="857">
        <v>800</v>
      </c>
      <c r="AR825" s="857">
        <v>800</v>
      </c>
      <c r="AS825" s="757">
        <f t="shared" si="1552"/>
      </c>
      <c r="AT825" s="963">
        <v>800</v>
      </c>
      <c r="AU825" s="857">
        <v>800</v>
      </c>
      <c r="AV825" s="857">
        <v>800</v>
      </c>
      <c r="AW825" s="857">
        <v>800</v>
      </c>
      <c r="AX825" s="757">
        <f t="shared" si="1553"/>
      </c>
      <c r="AY825" s="963">
        <v>800</v>
      </c>
      <c r="AZ825" s="857">
        <v>800</v>
      </c>
      <c r="BA825" s="857">
        <v>800</v>
      </c>
      <c r="BB825" s="857">
        <v>800</v>
      </c>
      <c r="BC825" s="757">
        <f t="shared" si="1554"/>
      </c>
      <c r="BD825" s="963">
        <v>800</v>
      </c>
      <c r="BE825" s="857">
        <v>800</v>
      </c>
      <c r="BF825" s="857">
        <v>800</v>
      </c>
      <c r="BG825" s="857">
        <v>800</v>
      </c>
      <c r="BH825" s="757">
        <f t="shared" si="1555"/>
      </c>
      <c r="BI825" s="963">
        <v>800</v>
      </c>
      <c r="BJ825" s="857">
        <v>800</v>
      </c>
      <c r="BK825" s="857">
        <v>800</v>
      </c>
      <c r="BL825" s="857">
        <v>800</v>
      </c>
      <c r="BM825" s="757">
        <f t="shared" si="1556"/>
      </c>
      <c r="BN825" s="963">
        <v>800</v>
      </c>
      <c r="BO825" s="857">
        <v>800</v>
      </c>
      <c r="BP825" s="857">
        <v>800</v>
      </c>
      <c r="BQ825" s="857">
        <v>800</v>
      </c>
      <c r="BR825" s="757">
        <f t="shared" si="1557"/>
      </c>
      <c r="BS825" s="963">
        <v>800</v>
      </c>
      <c r="BT825" s="864">
        <v>800</v>
      </c>
      <c r="BU825" s="757">
        <f t="shared" ref="BU825:BW826" si="1568">BT825-BU856</f>
      </c>
      <c r="BV825" s="757">
        <f t="shared" si="1568"/>
      </c>
      <c r="BW825" s="757">
        <f t="shared" si="1568"/>
      </c>
      <c r="BX825" s="962">
        <f>BW825</f>
      </c>
      <c r="BY825" s="757">
        <f t="shared" ref="BY825:CB826" si="1569">BX825-BY856</f>
      </c>
      <c r="BZ825" s="757">
        <f t="shared" si="1569"/>
      </c>
      <c r="CA825" s="757">
        <f t="shared" si="1569"/>
      </c>
      <c r="CB825" s="757">
        <f t="shared" si="1569"/>
      </c>
      <c r="CC825" s="962">
        <f>CB825</f>
      </c>
      <c r="CD825" s="962">
        <f t="shared" ref="CD825:CF826" si="1570">CC825-CD856</f>
      </c>
      <c r="CE825" s="962">
        <f t="shared" si="1570"/>
      </c>
      <c r="CF825" s="962">
        <f t="shared" si="1570"/>
      </c>
      <c r="CG825" s="277"/>
    </row>
    <row r="826" spans="1:85" hidden="1" outlineLevel="2" x14ac:dyDescent="0.3">
      <c r="A826" s="413" t="s">
        <v>883</v>
      </c>
      <c r="B826" s="895">
        <v>47437</v>
      </c>
      <c r="C826" s="962"/>
      <c r="D826" s="962"/>
      <c r="E826" s="962"/>
      <c r="F826" s="962"/>
      <c r="G826" s="757"/>
      <c r="H826" s="757"/>
      <c r="I826" s="757"/>
      <c r="J826" s="757"/>
      <c r="K826" s="962"/>
      <c r="L826" s="757"/>
      <c r="M826" s="757"/>
      <c r="N826" s="757"/>
      <c r="O826" s="757"/>
      <c r="P826" s="962"/>
      <c r="Q826" s="757"/>
      <c r="R826" s="757"/>
      <c r="S826" s="757"/>
      <c r="T826" s="757"/>
      <c r="U826" s="962"/>
      <c r="V826" s="757"/>
      <c r="W826" s="757"/>
      <c r="X826" s="757"/>
      <c r="Y826" s="757"/>
      <c r="Z826" s="962"/>
      <c r="AA826" s="757"/>
      <c r="AB826" s="757"/>
      <c r="AC826" s="757"/>
      <c r="AD826" s="757"/>
      <c r="AE826" s="962"/>
      <c r="AF826" s="757"/>
      <c r="AG826" s="757"/>
      <c r="AH826" s="757"/>
      <c r="AI826" s="757"/>
      <c r="AJ826" s="962"/>
      <c r="AK826" s="757"/>
      <c r="AL826" s="757"/>
      <c r="AM826" s="757"/>
      <c r="AN826" s="757">
        <f t="shared" si="1551"/>
      </c>
      <c r="AO826" s="963">
        <v>1200</v>
      </c>
      <c r="AP826" s="857">
        <v>1200</v>
      </c>
      <c r="AQ826" s="857">
        <v>1200</v>
      </c>
      <c r="AR826" s="857">
        <v>1200</v>
      </c>
      <c r="AS826" s="757">
        <f t="shared" si="1552"/>
      </c>
      <c r="AT826" s="963">
        <v>1200</v>
      </c>
      <c r="AU826" s="857">
        <v>1200</v>
      </c>
      <c r="AV826" s="857">
        <v>1200</v>
      </c>
      <c r="AW826" s="857">
        <v>1200</v>
      </c>
      <c r="AX826" s="757">
        <f t="shared" si="1553"/>
      </c>
      <c r="AY826" s="963">
        <v>1200</v>
      </c>
      <c r="AZ826" s="857">
        <v>1200</v>
      </c>
      <c r="BA826" s="857">
        <v>1200</v>
      </c>
      <c r="BB826" s="857">
        <v>1200</v>
      </c>
      <c r="BC826" s="757">
        <f t="shared" si="1554"/>
      </c>
      <c r="BD826" s="963">
        <v>1200</v>
      </c>
      <c r="BE826" s="857">
        <v>1200</v>
      </c>
      <c r="BF826" s="857">
        <v>1200</v>
      </c>
      <c r="BG826" s="857">
        <v>1200</v>
      </c>
      <c r="BH826" s="757">
        <f t="shared" si="1555"/>
      </c>
      <c r="BI826" s="963">
        <v>1200</v>
      </c>
      <c r="BJ826" s="857">
        <v>1200</v>
      </c>
      <c r="BK826" s="857">
        <v>1200</v>
      </c>
      <c r="BL826" s="857">
        <v>1200</v>
      </c>
      <c r="BM826" s="757">
        <f t="shared" si="1556"/>
      </c>
      <c r="BN826" s="963">
        <v>1200</v>
      </c>
      <c r="BO826" s="857">
        <v>1200</v>
      </c>
      <c r="BP826" s="857">
        <v>1200</v>
      </c>
      <c r="BQ826" s="857">
        <v>1200</v>
      </c>
      <c r="BR826" s="757">
        <f t="shared" si="1557"/>
      </c>
      <c r="BS826" s="963">
        <v>1200</v>
      </c>
      <c r="BT826" s="864">
        <v>1200</v>
      </c>
      <c r="BU826" s="757">
        <f t="shared" si="1568"/>
      </c>
      <c r="BV826" s="757">
        <f t="shared" si="1568"/>
      </c>
      <c r="BW826" s="757">
        <f t="shared" si="1568"/>
      </c>
      <c r="BX826" s="962">
        <f>BW826</f>
      </c>
      <c r="BY826" s="757">
        <f t="shared" si="1569"/>
      </c>
      <c r="BZ826" s="757">
        <f t="shared" si="1569"/>
      </c>
      <c r="CA826" s="757">
        <f t="shared" si="1569"/>
      </c>
      <c r="CB826" s="757">
        <f t="shared" si="1569"/>
      </c>
      <c r="CC826" s="962">
        <f>CB826</f>
      </c>
      <c r="CD826" s="962">
        <f t="shared" si="1570"/>
      </c>
      <c r="CE826" s="962">
        <f t="shared" si="1570"/>
      </c>
      <c r="CF826" s="962">
        <f t="shared" si="1570"/>
      </c>
      <c r="CG826" s="277"/>
    </row>
    <row r="827" spans="1:85" hidden="1" outlineLevel="1" collapsed="1" x14ac:dyDescent="0.3">
      <c r="A827" s="424" t="s">
        <v>861</v>
      </c>
      <c r="B827" s="895">
        <v>47437</v>
      </c>
      <c r="C827" s="962"/>
      <c r="D827" s="962"/>
      <c r="E827" s="962"/>
      <c r="F827" s="962"/>
      <c r="G827" s="757"/>
      <c r="H827" s="757"/>
      <c r="I827" s="757"/>
      <c r="J827" s="757"/>
      <c r="K827" s="962"/>
      <c r="L827" s="757"/>
      <c r="M827" s="757"/>
      <c r="N827" s="757"/>
      <c r="O827" s="757"/>
      <c r="P827" s="962"/>
      <c r="Q827" s="757"/>
      <c r="R827" s="757"/>
      <c r="S827" s="757"/>
      <c r="T827" s="757"/>
      <c r="U827" s="962"/>
      <c r="V827" s="757"/>
      <c r="W827" s="757"/>
      <c r="X827" s="757"/>
      <c r="Y827" s="757"/>
      <c r="Z827" s="962"/>
      <c r="AA827" s="757"/>
      <c r="AB827" s="757"/>
      <c r="AC827" s="757"/>
      <c r="AD827" s="757"/>
      <c r="AE827" s="962"/>
      <c r="AF827" s="757"/>
      <c r="AG827" s="757"/>
      <c r="AH827" s="757"/>
      <c r="AI827" s="757"/>
      <c r="AJ827" s="962"/>
      <c r="AK827" s="757"/>
      <c r="AL827" s="757"/>
      <c r="AM827" s="757"/>
      <c r="AN827" s="757">
        <f t="shared" si="1551"/>
      </c>
      <c r="AO827" s="963">
        <v>1346</v>
      </c>
      <c r="AP827" s="857">
        <v>1323</v>
      </c>
      <c r="AQ827" s="857">
        <v>1348</v>
      </c>
      <c r="AR827" s="857">
        <v>1406</v>
      </c>
      <c r="AS827" s="757">
        <f t="shared" si="1552"/>
      </c>
      <c r="AT827" s="963">
        <v>1466</v>
      </c>
      <c r="AU827" s="857">
        <v>1407</v>
      </c>
      <c r="AV827" s="857">
        <v>1422</v>
      </c>
      <c r="AW827" s="857">
        <v>1390</v>
      </c>
      <c r="AX827" s="757">
        <f t="shared" si="1553"/>
      </c>
      <c r="AY827" s="963">
        <v>1366</v>
      </c>
      <c r="AZ827" s="857">
        <v>1328</v>
      </c>
      <c r="BA827" s="857">
        <v>1258</v>
      </c>
      <c r="BB827" s="857">
        <v>1177</v>
      </c>
      <c r="BC827" s="757">
        <f t="shared" si="1554"/>
      </c>
      <c r="BD827" s="963">
        <v>1284</v>
      </c>
      <c r="BE827" s="857">
        <v>1303</v>
      </c>
      <c r="BF827" s="857">
        <v>1310</v>
      </c>
      <c r="BG827" s="857">
        <v>1269</v>
      </c>
      <c r="BH827" s="757">
        <f t="shared" si="1555"/>
      </c>
      <c r="BI827" s="963">
        <v>1325</v>
      </c>
      <c r="BJ827" s="857">
        <v>1295</v>
      </c>
      <c r="BK827" s="857">
        <v>1285</v>
      </c>
      <c r="BL827" s="857">
        <v>1336</v>
      </c>
      <c r="BM827" s="757">
        <f t="shared" si="1556"/>
      </c>
      <c r="BN827" s="963">
        <v>1242</v>
      </c>
      <c r="BO827" s="857">
        <v>1296</v>
      </c>
      <c r="BP827" s="857">
        <v>1408</v>
      </c>
      <c r="BQ827" s="857">
        <v>1410</v>
      </c>
      <c r="BR827" s="757">
        <f t="shared" si="1557"/>
      </c>
      <c r="BS827" s="963">
        <v>1409</v>
      </c>
      <c r="BT827" s="864">
        <v>1382</v>
      </c>
      <c r="BU827" s="757">
        <f>+BU826/BU$775</f>
      </c>
      <c r="BV827" s="757">
        <f>+BV826/BV$775</f>
      </c>
      <c r="BW827" s="757">
        <f>+BW826/BW$775</f>
      </c>
      <c r="BX827" s="962">
        <f t="shared" ref="BX827" si="1571">+BX826/BX$775</f>
      </c>
      <c r="BY827" s="757">
        <f t="shared" ref="BY827:CF827" si="1572">+BY826/BY$775</f>
      </c>
      <c r="BZ827" s="757">
        <f t="shared" si="1572"/>
      </c>
      <c r="CA827" s="757">
        <f t="shared" si="1572"/>
      </c>
      <c r="CB827" s="757">
        <f t="shared" si="1572"/>
      </c>
      <c r="CC827" s="962">
        <f t="shared" si="1572"/>
      </c>
      <c r="CD827" s="962">
        <f t="shared" si="1572"/>
      </c>
      <c r="CE827" s="962">
        <f t="shared" si="1572"/>
      </c>
      <c r="CF827" s="962">
        <f t="shared" si="1572"/>
      </c>
      <c r="CG827" s="277"/>
    </row>
    <row r="828" spans="1:85" hidden="1" outlineLevel="1" x14ac:dyDescent="0.3">
      <c r="A828" s="424" t="s">
        <v>818</v>
      </c>
      <c r="B828" s="895">
        <v>47437</v>
      </c>
      <c r="C828" s="962"/>
      <c r="D828" s="962"/>
      <c r="E828" s="962"/>
      <c r="F828" s="962"/>
      <c r="G828" s="757"/>
      <c r="H828" s="757"/>
      <c r="I828" s="757"/>
      <c r="J828" s="757"/>
      <c r="K828" s="962"/>
      <c r="L828" s="757"/>
      <c r="M828" s="757"/>
      <c r="N828" s="757"/>
      <c r="O828" s="757"/>
      <c r="P828" s="962"/>
      <c r="Q828" s="757"/>
      <c r="R828" s="757"/>
      <c r="S828" s="757"/>
      <c r="T828" s="757"/>
      <c r="U828" s="962"/>
      <c r="V828" s="757"/>
      <c r="W828" s="757"/>
      <c r="X828" s="757"/>
      <c r="Y828" s="757"/>
      <c r="Z828" s="962"/>
      <c r="AA828" s="757"/>
      <c r="AB828" s="757"/>
      <c r="AC828" s="757"/>
      <c r="AD828" s="757"/>
      <c r="AE828" s="962"/>
      <c r="AF828" s="757"/>
      <c r="AG828" s="757"/>
      <c r="AH828" s="757"/>
      <c r="AI828" s="757"/>
      <c r="AJ828" s="962"/>
      <c r="AK828" s="757"/>
      <c r="AL828" s="757"/>
      <c r="AM828" s="757"/>
      <c r="AN828" s="757">
        <f t="shared" si="1551"/>
      </c>
      <c r="AO828" s="963">
        <v>900</v>
      </c>
      <c r="AP828" s="857">
        <v>900</v>
      </c>
      <c r="AQ828" s="857">
        <v>900</v>
      </c>
      <c r="AR828" s="857">
        <v>900</v>
      </c>
      <c r="AS828" s="757">
        <f t="shared" si="1552"/>
      </c>
      <c r="AT828" s="963">
        <v>900</v>
      </c>
      <c r="AU828" s="857">
        <v>900</v>
      </c>
      <c r="AV828" s="857">
        <v>900</v>
      </c>
      <c r="AW828" s="857">
        <v>900</v>
      </c>
      <c r="AX828" s="757">
        <f t="shared" si="1553"/>
      </c>
      <c r="AY828" s="963">
        <v>900</v>
      </c>
      <c r="AZ828" s="857">
        <v>900</v>
      </c>
      <c r="BA828" s="857">
        <v>900</v>
      </c>
      <c r="BB828" s="857">
        <v>900</v>
      </c>
      <c r="BC828" s="757">
        <f t="shared" si="1554"/>
      </c>
      <c r="BD828" s="963">
        <v>900</v>
      </c>
      <c r="BE828" s="857">
        <v>900</v>
      </c>
      <c r="BF828" s="857">
        <v>900</v>
      </c>
      <c r="BG828" s="857">
        <v>900</v>
      </c>
      <c r="BH828" s="757">
        <f t="shared" si="1555"/>
      </c>
      <c r="BI828" s="963">
        <v>900</v>
      </c>
      <c r="BJ828" s="857">
        <v>900</v>
      </c>
      <c r="BK828" s="857">
        <v>900</v>
      </c>
      <c r="BL828" s="857">
        <v>900</v>
      </c>
      <c r="BM828" s="757">
        <f t="shared" si="1556"/>
      </c>
      <c r="BN828" s="963">
        <v>900</v>
      </c>
      <c r="BO828" s="857">
        <v>900</v>
      </c>
      <c r="BP828" s="857">
        <v>900</v>
      </c>
      <c r="BQ828" s="857">
        <v>900</v>
      </c>
      <c r="BR828" s="757">
        <f t="shared" si="1557"/>
      </c>
      <c r="BS828" s="963">
        <v>900</v>
      </c>
      <c r="BT828" s="864">
        <v>900</v>
      </c>
      <c r="BU828" s="757">
        <f t="shared" ref="BU828:BW829" si="1573">BT828-BU859</f>
      </c>
      <c r="BV828" s="757">
        <f t="shared" si="1573"/>
      </c>
      <c r="BW828" s="757">
        <f t="shared" si="1573"/>
      </c>
      <c r="BX828" s="962">
        <f>BW828</f>
      </c>
      <c r="BY828" s="757">
        <f t="shared" ref="BY828:CB829" si="1574">BX828-BY859</f>
      </c>
      <c r="BZ828" s="757">
        <f t="shared" si="1574"/>
      </c>
      <c r="CA828" s="757">
        <f t="shared" si="1574"/>
      </c>
      <c r="CB828" s="757">
        <f t="shared" si="1574"/>
      </c>
      <c r="CC828" s="962">
        <f>CB828</f>
      </c>
      <c r="CD828" s="962">
        <f t="shared" ref="CD828:CF829" si="1575">CC828-CD859</f>
      </c>
      <c r="CE828" s="962">
        <f t="shared" si="1575"/>
      </c>
      <c r="CF828" s="962">
        <f t="shared" si="1575"/>
      </c>
      <c r="CG828" s="277"/>
    </row>
    <row r="829" spans="1:85" hidden="1" outlineLevel="2" x14ac:dyDescent="0.3">
      <c r="A829" s="413" t="s">
        <v>884</v>
      </c>
      <c r="B829" s="895">
        <v>47649</v>
      </c>
      <c r="C829" s="962"/>
      <c r="D829" s="962"/>
      <c r="E829" s="962"/>
      <c r="F829" s="962"/>
      <c r="G829" s="757"/>
      <c r="H829" s="757"/>
      <c r="I829" s="757"/>
      <c r="J829" s="757"/>
      <c r="K829" s="962"/>
      <c r="L829" s="757"/>
      <c r="M829" s="757"/>
      <c r="N829" s="757"/>
      <c r="O829" s="757"/>
      <c r="P829" s="962"/>
      <c r="Q829" s="757"/>
      <c r="R829" s="757"/>
      <c r="S829" s="757"/>
      <c r="T829" s="757"/>
      <c r="U829" s="962"/>
      <c r="V829" s="757"/>
      <c r="W829" s="757"/>
      <c r="X829" s="757"/>
      <c r="Y829" s="757"/>
      <c r="Z829" s="962"/>
      <c r="AA829" s="757"/>
      <c r="AB829" s="757"/>
      <c r="AC829" s="757"/>
      <c r="AD829" s="757"/>
      <c r="AE829" s="962"/>
      <c r="AF829" s="757"/>
      <c r="AG829" s="757"/>
      <c r="AH829" s="757"/>
      <c r="AI829" s="757"/>
      <c r="AJ829" s="962"/>
      <c r="AK829" s="757"/>
      <c r="AL829" s="757"/>
      <c r="AM829" s="757"/>
      <c r="AN829" s="757">
        <f t="shared" si="1551"/>
      </c>
      <c r="AO829" s="963">
        <v>1100</v>
      </c>
      <c r="AP829" s="857">
        <v>1100</v>
      </c>
      <c r="AQ829" s="857">
        <v>1100</v>
      </c>
      <c r="AR829" s="857">
        <v>1100</v>
      </c>
      <c r="AS829" s="757">
        <f t="shared" si="1552"/>
      </c>
      <c r="AT829" s="963">
        <v>1100</v>
      </c>
      <c r="AU829" s="857">
        <v>1100</v>
      </c>
      <c r="AV829" s="857">
        <v>1100</v>
      </c>
      <c r="AW829" s="857">
        <v>1100</v>
      </c>
      <c r="AX829" s="757">
        <f t="shared" si="1553"/>
      </c>
      <c r="AY829" s="963">
        <v>1100</v>
      </c>
      <c r="AZ829" s="857">
        <v>1100</v>
      </c>
      <c r="BA829" s="857">
        <v>1100</v>
      </c>
      <c r="BB829" s="857">
        <v>1100</v>
      </c>
      <c r="BC829" s="757">
        <f t="shared" si="1554"/>
      </c>
      <c r="BD829" s="963">
        <v>1100</v>
      </c>
      <c r="BE829" s="857">
        <v>1100</v>
      </c>
      <c r="BF829" s="857">
        <v>1100</v>
      </c>
      <c r="BG829" s="857">
        <v>1100</v>
      </c>
      <c r="BH829" s="757">
        <f t="shared" si="1555"/>
      </c>
      <c r="BI829" s="963">
        <v>1100</v>
      </c>
      <c r="BJ829" s="857">
        <v>1100</v>
      </c>
      <c r="BK829" s="857">
        <v>1100</v>
      </c>
      <c r="BL829" s="857">
        <v>1100</v>
      </c>
      <c r="BM829" s="757">
        <f t="shared" si="1556"/>
      </c>
      <c r="BN829" s="963">
        <v>1100</v>
      </c>
      <c r="BO829" s="857">
        <v>1100</v>
      </c>
      <c r="BP829" s="857">
        <v>1100</v>
      </c>
      <c r="BQ829" s="857">
        <v>1100</v>
      </c>
      <c r="BR829" s="757">
        <f t="shared" si="1557"/>
      </c>
      <c r="BS829" s="963">
        <v>1100</v>
      </c>
      <c r="BT829" s="864">
        <v>1100</v>
      </c>
      <c r="BU829" s="757">
        <f t="shared" si="1573"/>
      </c>
      <c r="BV829" s="757">
        <f t="shared" si="1573"/>
      </c>
      <c r="BW829" s="757">
        <f t="shared" si="1573"/>
      </c>
      <c r="BX829" s="962">
        <f>BW829</f>
      </c>
      <c r="BY829" s="757">
        <f t="shared" si="1574"/>
      </c>
      <c r="BZ829" s="757">
        <f t="shared" si="1574"/>
      </c>
      <c r="CA829" s="757">
        <f t="shared" si="1574"/>
      </c>
      <c r="CB829" s="757">
        <f t="shared" si="1574"/>
      </c>
      <c r="CC829" s="962">
        <f>CB829</f>
      </c>
      <c r="CD829" s="962">
        <f t="shared" si="1575"/>
      </c>
      <c r="CE829" s="962">
        <f t="shared" si="1575"/>
      </c>
      <c r="CF829" s="962">
        <f t="shared" si="1575"/>
      </c>
      <c r="CG829" s="277"/>
    </row>
    <row r="830" spans="1:85" hidden="1" outlineLevel="1" collapsed="1" x14ac:dyDescent="0.3">
      <c r="A830" s="424" t="s">
        <v>859</v>
      </c>
      <c r="B830" s="895">
        <v>47649</v>
      </c>
      <c r="C830" s="962"/>
      <c r="D830" s="962"/>
      <c r="E830" s="962"/>
      <c r="F830" s="962"/>
      <c r="G830" s="757"/>
      <c r="H830" s="757"/>
      <c r="I830" s="757"/>
      <c r="J830" s="757"/>
      <c r="K830" s="962"/>
      <c r="L830" s="757"/>
      <c r="M830" s="757"/>
      <c r="N830" s="757"/>
      <c r="O830" s="757"/>
      <c r="P830" s="962"/>
      <c r="Q830" s="757"/>
      <c r="R830" s="757"/>
      <c r="S830" s="757"/>
      <c r="T830" s="757"/>
      <c r="U830" s="962"/>
      <c r="V830" s="757"/>
      <c r="W830" s="757"/>
      <c r="X830" s="757"/>
      <c r="Y830" s="757"/>
      <c r="Z830" s="962"/>
      <c r="AA830" s="757"/>
      <c r="AB830" s="757"/>
      <c r="AC830" s="757"/>
      <c r="AD830" s="757"/>
      <c r="AE830" s="962"/>
      <c r="AF830" s="757"/>
      <c r="AG830" s="757"/>
      <c r="AH830" s="757"/>
      <c r="AI830" s="757"/>
      <c r="AJ830" s="962"/>
      <c r="AK830" s="757"/>
      <c r="AL830" s="757"/>
      <c r="AM830" s="757"/>
      <c r="AN830" s="757">
        <f t="shared" si="1551"/>
      </c>
      <c r="AO830" s="963">
        <v>1234</v>
      </c>
      <c r="AP830" s="857">
        <v>1212</v>
      </c>
      <c r="AQ830" s="857">
        <v>1236</v>
      </c>
      <c r="AR830" s="857">
        <v>1289</v>
      </c>
      <c r="AS830" s="757">
        <f t="shared" si="1552"/>
      </c>
      <c r="AT830" s="963">
        <v>1344</v>
      </c>
      <c r="AU830" s="857">
        <v>1290</v>
      </c>
      <c r="AV830" s="857">
        <v>1303</v>
      </c>
      <c r="AW830" s="857">
        <v>1274</v>
      </c>
      <c r="AX830" s="757">
        <f t="shared" si="1553"/>
      </c>
      <c r="AY830" s="963">
        <v>1252</v>
      </c>
      <c r="AZ830" s="857">
        <v>1218</v>
      </c>
      <c r="BA830" s="857">
        <v>1153</v>
      </c>
      <c r="BB830" s="857">
        <v>1079</v>
      </c>
      <c r="BC830" s="757">
        <f t="shared" si="1554"/>
      </c>
      <c r="BD830" s="963">
        <v>1177</v>
      </c>
      <c r="BE830" s="857">
        <v>1194</v>
      </c>
      <c r="BF830" s="857">
        <v>1200</v>
      </c>
      <c r="BG830" s="857">
        <v>1164</v>
      </c>
      <c r="BH830" s="757">
        <f t="shared" si="1555"/>
      </c>
      <c r="BI830" s="963">
        <v>1215</v>
      </c>
      <c r="BJ830" s="857">
        <v>1187</v>
      </c>
      <c r="BK830" s="857">
        <v>1178</v>
      </c>
      <c r="BL830" s="857">
        <v>1225</v>
      </c>
      <c r="BM830" s="757">
        <f t="shared" si="1556"/>
      </c>
      <c r="BN830" s="963">
        <v>1139</v>
      </c>
      <c r="BO830" s="857">
        <v>1188</v>
      </c>
      <c r="BP830" s="857">
        <v>1291</v>
      </c>
      <c r="BQ830" s="857">
        <v>1292</v>
      </c>
      <c r="BR830" s="757">
        <f t="shared" si="1557"/>
      </c>
      <c r="BS830" s="963">
        <v>1292</v>
      </c>
      <c r="BT830" s="864">
        <v>1267</v>
      </c>
      <c r="BU830" s="757">
        <f>+BU829/BU$775</f>
      </c>
      <c r="BV830" s="757">
        <f>+BV829/BV$775</f>
      </c>
      <c r="BW830" s="757">
        <f>+BW829/BW$775</f>
      </c>
      <c r="BX830" s="962">
        <f t="shared" ref="BX830" si="1576">+BX829/BX$775</f>
      </c>
      <c r="BY830" s="757">
        <f t="shared" ref="BY830:CF830" si="1577">+BY829/BY$775</f>
      </c>
      <c r="BZ830" s="757">
        <f t="shared" si="1577"/>
      </c>
      <c r="CA830" s="757">
        <f t="shared" si="1577"/>
      </c>
      <c r="CB830" s="757">
        <f t="shared" si="1577"/>
      </c>
      <c r="CC830" s="962">
        <f t="shared" si="1577"/>
      </c>
      <c r="CD830" s="962">
        <f t="shared" si="1577"/>
      </c>
      <c r="CE830" s="962">
        <f t="shared" si="1577"/>
      </c>
      <c r="CF830" s="962">
        <f t="shared" si="1577"/>
      </c>
      <c r="CG830" s="277"/>
    </row>
    <row r="831" spans="1:85" hidden="1" outlineLevel="1" x14ac:dyDescent="0.3">
      <c r="A831" s="424" t="s">
        <v>824</v>
      </c>
      <c r="B831" s="895">
        <v>47649</v>
      </c>
      <c r="C831" s="962"/>
      <c r="D831" s="962"/>
      <c r="E831" s="962"/>
      <c r="F831" s="962"/>
      <c r="G831" s="757"/>
      <c r="H831" s="757"/>
      <c r="I831" s="757"/>
      <c r="J831" s="757"/>
      <c r="K831" s="962"/>
      <c r="L831" s="757"/>
      <c r="M831" s="757"/>
      <c r="N831" s="757"/>
      <c r="O831" s="757"/>
      <c r="P831" s="962"/>
      <c r="Q831" s="757"/>
      <c r="R831" s="757"/>
      <c r="S831" s="757"/>
      <c r="T831" s="757"/>
      <c r="U831" s="962"/>
      <c r="V831" s="757"/>
      <c r="W831" s="757"/>
      <c r="X831" s="757"/>
      <c r="Y831" s="757"/>
      <c r="Z831" s="962"/>
      <c r="AA831" s="757"/>
      <c r="AB831" s="757"/>
      <c r="AC831" s="757"/>
      <c r="AD831" s="757"/>
      <c r="AE831" s="962"/>
      <c r="AF831" s="757"/>
      <c r="AG831" s="757"/>
      <c r="AH831" s="757"/>
      <c r="AI831" s="757"/>
      <c r="AJ831" s="962"/>
      <c r="AK831" s="757"/>
      <c r="AL831" s="757"/>
      <c r="AM831" s="757"/>
      <c r="AN831" s="757">
        <f t="shared" si="1551"/>
      </c>
      <c r="AO831" s="963">
        <v>1000</v>
      </c>
      <c r="AP831" s="857">
        <v>1000</v>
      </c>
      <c r="AQ831" s="857">
        <v>1000</v>
      </c>
      <c r="AR831" s="857">
        <v>1000</v>
      </c>
      <c r="AS831" s="757">
        <f t="shared" si="1552"/>
      </c>
      <c r="AT831" s="963">
        <v>1000</v>
      </c>
      <c r="AU831" s="857">
        <v>1000</v>
      </c>
      <c r="AV831" s="857">
        <v>1000</v>
      </c>
      <c r="AW831" s="857">
        <v>1000</v>
      </c>
      <c r="AX831" s="757">
        <f t="shared" si="1553"/>
      </c>
      <c r="AY831" s="963">
        <v>1000</v>
      </c>
      <c r="AZ831" s="857">
        <v>1000</v>
      </c>
      <c r="BA831" s="857">
        <v>1000</v>
      </c>
      <c r="BB831" s="857">
        <v>1000</v>
      </c>
      <c r="BC831" s="757">
        <f t="shared" si="1554"/>
      </c>
      <c r="BD831" s="963">
        <v>1000</v>
      </c>
      <c r="BE831" s="857">
        <v>1000</v>
      </c>
      <c r="BF831" s="857">
        <v>1000</v>
      </c>
      <c r="BG831" s="857">
        <v>1000</v>
      </c>
      <c r="BH831" s="757">
        <f t="shared" si="1555"/>
      </c>
      <c r="BI831" s="963">
        <v>1000</v>
      </c>
      <c r="BJ831" s="857">
        <v>1000</v>
      </c>
      <c r="BK831" s="857">
        <v>1000</v>
      </c>
      <c r="BL831" s="857">
        <v>1000</v>
      </c>
      <c r="BM831" s="757">
        <f t="shared" si="1556"/>
      </c>
      <c r="BN831" s="963">
        <v>1000</v>
      </c>
      <c r="BO831" s="857">
        <v>1000</v>
      </c>
      <c r="BP831" s="857">
        <v>1000</v>
      </c>
      <c r="BQ831" s="857">
        <v>1000</v>
      </c>
      <c r="BR831" s="757">
        <f t="shared" si="1557"/>
      </c>
      <c r="BS831" s="963">
        <v>1000</v>
      </c>
      <c r="BT831" s="864">
        <v>1000</v>
      </c>
      <c r="BU831" s="757">
        <f t="shared" ref="BU831:BW833" si="1578">BT831-BU862</f>
      </c>
      <c r="BV831" s="757">
        <f t="shared" si="1578"/>
      </c>
      <c r="BW831" s="757">
        <f t="shared" si="1578"/>
      </c>
      <c r="BX831" s="962">
        <f>BW831</f>
      </c>
      <c r="BY831" s="757">
        <f t="shared" ref="BY831:CB833" si="1579">BX831-BY862</f>
      </c>
      <c r="BZ831" s="757">
        <f t="shared" si="1579"/>
      </c>
      <c r="CA831" s="757">
        <f t="shared" si="1579"/>
      </c>
      <c r="CB831" s="757">
        <f t="shared" si="1579"/>
      </c>
      <c r="CC831" s="962">
        <f>CB831</f>
      </c>
      <c r="CD831" s="962">
        <f t="shared" ref="CD831:CF833" si="1580">CC831-CD862</f>
      </c>
      <c r="CE831" s="962">
        <f t="shared" si="1580"/>
      </c>
      <c r="CF831" s="962">
        <f t="shared" si="1580"/>
      </c>
      <c r="CG831" s="277"/>
    </row>
    <row r="832" spans="1:85" hidden="1" outlineLevel="1" x14ac:dyDescent="0.3">
      <c r="A832" s="424" t="s">
        <v>2193</v>
      </c>
      <c r="B832" s="895">
        <v>49171</v>
      </c>
      <c r="C832" s="962"/>
      <c r="D832" s="962"/>
      <c r="E832" s="962"/>
      <c r="F832" s="962"/>
      <c r="G832" s="757"/>
      <c r="H832" s="757"/>
      <c r="I832" s="757"/>
      <c r="J832" s="757"/>
      <c r="K832" s="962"/>
      <c r="L832" s="757"/>
      <c r="M832" s="757"/>
      <c r="N832" s="757"/>
      <c r="O832" s="757"/>
      <c r="P832" s="962"/>
      <c r="Q832" s="757"/>
      <c r="R832" s="757"/>
      <c r="S832" s="757"/>
      <c r="T832" s="757"/>
      <c r="U832" s="962"/>
      <c r="V832" s="757"/>
      <c r="W832" s="757"/>
      <c r="X832" s="757"/>
      <c r="Y832" s="757"/>
      <c r="Z832" s="962"/>
      <c r="AA832" s="757"/>
      <c r="AB832" s="757"/>
      <c r="AC832" s="757"/>
      <c r="AD832" s="757"/>
      <c r="AE832" s="962"/>
      <c r="AF832" s="757"/>
      <c r="AG832" s="757"/>
      <c r="AH832" s="757"/>
      <c r="AI832" s="757"/>
      <c r="AJ832" s="962"/>
      <c r="AK832" s="757"/>
      <c r="AL832" s="757"/>
      <c r="AM832" s="757"/>
      <c r="AN832" s="757"/>
      <c r="AO832" s="962"/>
      <c r="AP832" s="757"/>
      <c r="AQ832" s="757"/>
      <c r="AR832" s="757"/>
      <c r="AS832" s="757"/>
      <c r="AT832" s="962"/>
      <c r="AU832" s="757"/>
      <c r="AV832" s="757"/>
      <c r="AW832" s="757"/>
      <c r="AX832" s="757">
        <f t="shared" si="1553"/>
      </c>
      <c r="AY832" s="962"/>
      <c r="AZ832" s="757"/>
      <c r="BA832" s="757"/>
      <c r="BB832" s="757"/>
      <c r="BC832" s="757">
        <f>BD832</f>
      </c>
      <c r="BD832" s="962"/>
      <c r="BE832" s="757"/>
      <c r="BF832" s="757"/>
      <c r="BG832" s="757"/>
      <c r="BH832" s="757">
        <f>BI832</f>
      </c>
      <c r="BI832" s="962"/>
      <c r="BJ832" s="757"/>
      <c r="BK832" s="757"/>
      <c r="BL832" s="857">
        <v>1000</v>
      </c>
      <c r="BM832" s="757">
        <f>BN832</f>
      </c>
      <c r="BN832" s="963">
        <v>1000</v>
      </c>
      <c r="BO832" s="857">
        <v>1000</v>
      </c>
      <c r="BP832" s="857">
        <v>1000</v>
      </c>
      <c r="BQ832" s="857">
        <v>1000</v>
      </c>
      <c r="BR832" s="757">
        <f>BS832</f>
      </c>
      <c r="BS832" s="963">
        <v>1000</v>
      </c>
      <c r="BT832" s="864">
        <v>1000</v>
      </c>
      <c r="BU832" s="757">
        <f t="shared" si="1578"/>
      </c>
      <c r="BV832" s="757">
        <f t="shared" si="1578"/>
      </c>
      <c r="BW832" s="757">
        <f t="shared" si="1578"/>
      </c>
      <c r="BX832" s="962">
        <f>BW832</f>
      </c>
      <c r="BY832" s="757">
        <f t="shared" si="1579"/>
      </c>
      <c r="BZ832" s="757">
        <f t="shared" si="1579"/>
      </c>
      <c r="CA832" s="757">
        <f t="shared" si="1579"/>
      </c>
      <c r="CB832" s="757">
        <f t="shared" si="1579"/>
      </c>
      <c r="CC832" s="962">
        <f>CB832</f>
      </c>
      <c r="CD832" s="962">
        <f t="shared" si="1580"/>
      </c>
      <c r="CE832" s="962">
        <f t="shared" si="1580"/>
      </c>
      <c r="CF832" s="962">
        <f t="shared" si="1580"/>
      </c>
      <c r="CG832" s="277"/>
    </row>
    <row r="833" spans="1:85" hidden="1" outlineLevel="1" x14ac:dyDescent="0.3">
      <c r="A833" s="424" t="s">
        <v>2197</v>
      </c>
      <c r="B833" s="895">
        <v>56476</v>
      </c>
      <c r="C833" s="962"/>
      <c r="D833" s="962"/>
      <c r="E833" s="962"/>
      <c r="F833" s="962"/>
      <c r="G833" s="757"/>
      <c r="H833" s="757"/>
      <c r="I833" s="757"/>
      <c r="J833" s="757"/>
      <c r="K833" s="962"/>
      <c r="L833" s="757"/>
      <c r="M833" s="757"/>
      <c r="N833" s="757"/>
      <c r="O833" s="757"/>
      <c r="P833" s="962"/>
      <c r="Q833" s="757"/>
      <c r="R833" s="757"/>
      <c r="S833" s="757"/>
      <c r="T833" s="757"/>
      <c r="U833" s="962"/>
      <c r="V833" s="757"/>
      <c r="W833" s="757"/>
      <c r="X833" s="757"/>
      <c r="Y833" s="757"/>
      <c r="Z833" s="962"/>
      <c r="AA833" s="757"/>
      <c r="AB833" s="757"/>
      <c r="AC833" s="757"/>
      <c r="AD833" s="757"/>
      <c r="AE833" s="962"/>
      <c r="AF833" s="757"/>
      <c r="AG833" s="757"/>
      <c r="AH833" s="757"/>
      <c r="AI833" s="757"/>
      <c r="AJ833" s="962"/>
      <c r="AK833" s="757"/>
      <c r="AL833" s="757"/>
      <c r="AM833" s="757"/>
      <c r="AN833" s="757"/>
      <c r="AO833" s="962"/>
      <c r="AP833" s="757"/>
      <c r="AQ833" s="757"/>
      <c r="AR833" s="757"/>
      <c r="AS833" s="757"/>
      <c r="AT833" s="962"/>
      <c r="AU833" s="757"/>
      <c r="AV833" s="757"/>
      <c r="AW833" s="757"/>
      <c r="AX833" s="757">
        <f t="shared" si="1553"/>
      </c>
      <c r="AY833" s="962"/>
      <c r="AZ833" s="757"/>
      <c r="BA833" s="757"/>
      <c r="BB833" s="757"/>
      <c r="BC833" s="757">
        <f>BD833</f>
      </c>
      <c r="BD833" s="962"/>
      <c r="BE833" s="757"/>
      <c r="BF833" s="757"/>
      <c r="BG833" s="757"/>
      <c r="BH833" s="757">
        <f>BI833</f>
      </c>
      <c r="BI833" s="962"/>
      <c r="BJ833" s="757"/>
      <c r="BK833" s="757"/>
      <c r="BL833" s="857">
        <v>800</v>
      </c>
      <c r="BM833" s="757">
        <f>BN833</f>
      </c>
      <c r="BN833" s="963">
        <v>800</v>
      </c>
      <c r="BO833" s="857">
        <v>800</v>
      </c>
      <c r="BP833" s="857">
        <v>800</v>
      </c>
      <c r="BQ833" s="857">
        <v>800</v>
      </c>
      <c r="BR833" s="757">
        <f>BS833</f>
      </c>
      <c r="BS833" s="963">
        <v>800</v>
      </c>
      <c r="BT833" s="864">
        <v>800</v>
      </c>
      <c r="BU833" s="757">
        <f t="shared" si="1578"/>
      </c>
      <c r="BV833" s="757">
        <f t="shared" si="1578"/>
      </c>
      <c r="BW833" s="757">
        <f t="shared" si="1578"/>
      </c>
      <c r="BX833" s="962">
        <f>BW833</f>
      </c>
      <c r="BY833" s="757">
        <f t="shared" si="1579"/>
      </c>
      <c r="BZ833" s="757">
        <f t="shared" si="1579"/>
      </c>
      <c r="CA833" s="757">
        <f t="shared" si="1579"/>
      </c>
      <c r="CB833" s="757">
        <f t="shared" si="1579"/>
      </c>
      <c r="CC833" s="962">
        <f>CB833</f>
      </c>
      <c r="CD833" s="962">
        <f t="shared" si="1580"/>
      </c>
      <c r="CE833" s="962">
        <f t="shared" si="1580"/>
      </c>
      <c r="CF833" s="962">
        <f t="shared" si="1580"/>
      </c>
      <c r="CG833" s="277"/>
    </row>
    <row r="834" spans="1:85" hidden="1" outlineLevel="1" x14ac:dyDescent="0.3">
      <c r="A834" s="420" t="s">
        <v>744</v>
      </c>
      <c r="B834" s="417"/>
      <c r="C834" s="984"/>
      <c r="D834" s="984"/>
      <c r="E834" s="984"/>
      <c r="F834" s="984"/>
      <c r="G834" s="761"/>
      <c r="H834" s="761"/>
      <c r="I834" s="761"/>
      <c r="J834" s="761"/>
      <c r="K834" s="984"/>
      <c r="L834" s="761"/>
      <c r="M834" s="761"/>
      <c r="N834" s="761"/>
      <c r="O834" s="761"/>
      <c r="P834" s="984"/>
      <c r="Q834" s="761"/>
      <c r="R834" s="761"/>
      <c r="S834" s="761"/>
      <c r="T834" s="761"/>
      <c r="U834" s="984"/>
      <c r="V834" s="761"/>
      <c r="W834" s="761"/>
      <c r="X834" s="761"/>
      <c r="Y834" s="761"/>
      <c r="Z834" s="984"/>
      <c r="AA834" s="761"/>
      <c r="AB834" s="761"/>
      <c r="AC834" s="761"/>
      <c r="AD834" s="761"/>
      <c r="AE834" s="984"/>
      <c r="AF834" s="761"/>
      <c r="AG834" s="761"/>
      <c r="AH834" s="761"/>
      <c r="AI834" s="761"/>
      <c r="AJ834" s="984"/>
      <c r="AK834" s="761"/>
      <c r="AL834" s="761"/>
      <c r="AM834" s="761"/>
      <c r="AN834" s="761">
        <f>AO834</f>
      </c>
      <c r="AO834" s="984"/>
      <c r="AP834" s="761"/>
      <c r="AQ834" s="761"/>
      <c r="AR834" s="761"/>
      <c r="AS834" s="761">
        <f>AT834</f>
      </c>
      <c r="AT834" s="984"/>
      <c r="AU834" s="761"/>
      <c r="AV834" s="761"/>
      <c r="AW834" s="761"/>
      <c r="AX834" s="761">
        <f t="shared" si="1553"/>
      </c>
      <c r="AY834" s="984"/>
      <c r="AZ834" s="761"/>
      <c r="BA834" s="761"/>
      <c r="BB834" s="761"/>
      <c r="BC834" s="761">
        <f>BD834</f>
      </c>
      <c r="BD834" s="984"/>
      <c r="BE834" s="761"/>
      <c r="BF834" s="761"/>
      <c r="BG834" s="761"/>
      <c r="BH834" s="761">
        <f>BI834</f>
      </c>
      <c r="BI834" s="984"/>
      <c r="BJ834" s="761"/>
      <c r="BK834" s="761"/>
      <c r="BL834" s="761"/>
      <c r="BM834" s="761">
        <f>BN834</f>
      </c>
      <c r="BN834" s="984"/>
      <c r="BO834" s="761"/>
      <c r="BP834" s="761"/>
      <c r="BQ834" s="761"/>
      <c r="BR834" s="761">
        <f>BS834</f>
      </c>
      <c r="BS834" s="984"/>
      <c r="BT834" s="762"/>
      <c r="BU834" s="761">
        <f>BT834-BU865+BU772-(BU810-BT810+BU841)</f>
      </c>
      <c r="BV834" s="761">
        <f>BU834-BV865+BV772-(BV810-BU810+BV841)</f>
      </c>
      <c r="BW834" s="761">
        <f>BV834-BW865+BW772-(BW810-BV810+BW841)</f>
      </c>
      <c r="BX834" s="984">
        <f>BW834</f>
      </c>
      <c r="BY834" s="761">
        <f>BX834-BY865+BY772-(BY810-BX810+BY841)</f>
      </c>
      <c r="BZ834" s="761">
        <f>BY834-BZ865+BZ772-(BZ810-BY810+BZ841)</f>
      </c>
      <c r="CA834" s="761">
        <f>BZ834-CA865+CA772-(CA810-BZ810+CA841)</f>
      </c>
      <c r="CB834" s="761">
        <f>CA834-CB865+CB772-(CB810-CA810+CB841)</f>
      </c>
      <c r="CC834" s="984">
        <f>CB834</f>
      </c>
      <c r="CD834" s="984">
        <f>CC834-CD865+CD772-(CD810-CC810+CD841)</f>
      </c>
      <c r="CE834" s="984">
        <f>CD834-CE865+CE772-(CE810-CD810+CE841)</f>
      </c>
      <c r="CF834" s="984">
        <f>CE834-CF865+CF772-(CF810-CE810+CF841)</f>
      </c>
      <c r="CG834" s="273"/>
    </row>
    <row r="835" spans="1:85" s="587" customFormat="1" collapsed="1" x14ac:dyDescent="0.3">
      <c r="A835" s="427" t="s">
        <v>745</v>
      </c>
      <c r="B835" s="250"/>
      <c r="C835" s="969"/>
      <c r="D835" s="969"/>
      <c r="E835" s="969"/>
      <c r="F835" s="969"/>
      <c r="G835" s="759"/>
      <c r="H835" s="759"/>
      <c r="I835" s="759"/>
      <c r="J835" s="759"/>
      <c r="K835" s="969"/>
      <c r="L835" s="759"/>
      <c r="M835" s="759"/>
      <c r="N835" s="759"/>
      <c r="O835" s="759"/>
      <c r="P835" s="969"/>
      <c r="Q835" s="759"/>
      <c r="R835" s="759"/>
      <c r="S835" s="759"/>
      <c r="T835" s="759"/>
      <c r="U835" s="969"/>
      <c r="V835" s="759"/>
      <c r="W835" s="759"/>
      <c r="X835" s="759"/>
      <c r="Y835" s="759"/>
      <c r="Z835" s="969"/>
      <c r="AA835" s="759"/>
      <c r="AB835" s="759"/>
      <c r="AC835" s="759"/>
      <c r="AD835" s="759"/>
      <c r="AE835" s="969"/>
      <c r="AF835" s="759"/>
      <c r="AG835" s="759"/>
      <c r="AH835" s="759"/>
      <c r="AI835" s="759"/>
      <c r="AJ835" s="969"/>
      <c r="AK835" s="759"/>
      <c r="AL835" s="759"/>
      <c r="AM835" s="759"/>
      <c r="AN835" s="759">
        <f t="shared" ref="AN835:BK835" si="1581">+AN834+AN831+AN830+AN828+AN827+AN825+AN824+AN822+AN821+AN820+AN818+AN817+AN816+AN814+AN813+AN812+AN811+AN810+AN832+AN833</f>
      </c>
      <c r="AO835" s="969">
        <f t="shared" si="1581"/>
      </c>
      <c r="AP835" s="759">
        <f t="shared" si="1581"/>
      </c>
      <c r="AQ835" s="759">
        <f t="shared" si="1581"/>
      </c>
      <c r="AR835" s="759">
        <f t="shared" si="1581"/>
      </c>
      <c r="AS835" s="759">
        <f t="shared" si="1581"/>
      </c>
      <c r="AT835" s="969">
        <f t="shared" si="1581"/>
      </c>
      <c r="AU835" s="759">
        <f t="shared" si="1581"/>
      </c>
      <c r="AV835" s="759">
        <f t="shared" si="1581"/>
      </c>
      <c r="AW835" s="759">
        <f t="shared" si="1581"/>
      </c>
      <c r="AX835" s="759">
        <f t="shared" si="1581"/>
      </c>
      <c r="AY835" s="969">
        <f t="shared" si="1581"/>
      </c>
      <c r="AZ835" s="759">
        <f t="shared" si="1581"/>
      </c>
      <c r="BA835" s="759">
        <f t="shared" si="1581"/>
      </c>
      <c r="BB835" s="759">
        <f t="shared" si="1581"/>
      </c>
      <c r="BC835" s="759">
        <f t="shared" si="1581"/>
      </c>
      <c r="BD835" s="969">
        <f t="shared" si="1581"/>
      </c>
      <c r="BE835" s="759">
        <f t="shared" si="1581"/>
      </c>
      <c r="BF835" s="759">
        <f t="shared" si="1581"/>
      </c>
      <c r="BG835" s="759">
        <f t="shared" si="1581"/>
      </c>
      <c r="BH835" s="759">
        <f t="shared" si="1581"/>
      </c>
      <c r="BI835" s="969">
        <f t="shared" si="1581"/>
      </c>
      <c r="BJ835" s="759">
        <f t="shared" si="1581"/>
      </c>
      <c r="BK835" s="759">
        <f t="shared" si="1581"/>
      </c>
      <c r="BL835" s="759">
        <f t="shared" ref="BL835:BN835" si="1582">+BL834+BL831+BL830+BL828+BL827+BL825+BL824+BL822+BL821+BL820+BL818+BL817+BL816+BL814+BL813+BL812+BL811+BL810+BL832+BL833</f>
      </c>
      <c r="BM835" s="759">
        <f t="shared" si="1582"/>
      </c>
      <c r="BN835" s="969">
        <f t="shared" si="1582"/>
      </c>
      <c r="BO835" s="759">
        <f>+BO834+BO831+BO830+BO828+BO827+BO825+BO824+BO822+BO821+BO820+BO818+BO817+BO816+BO814+BO813+BO812+BO811+BO810+BO832+BO833</f>
      </c>
      <c r="BP835" s="759">
        <f>+BP834+BP831+BP830+BP828+BP827+BP825+BP824+BP822+BP821+BP820+BP818+BP817+BP816+BP814+BP813+BP812+BP811+BP810+BP832+BP833</f>
      </c>
      <c r="BQ835" s="759">
        <f t="shared" ref="BQ835:BR835" si="1583">+BQ834+BQ831+BQ830+BQ828+BQ827+BQ825+BQ824+BQ822+BQ821+BQ820+BQ818+BQ817+BQ816+BQ814+BQ813+BQ812+BQ811+BQ810+BQ832+BQ833</f>
      </c>
      <c r="BR835" s="759">
        <f t="shared" si="1583"/>
      </c>
      <c r="BS835" s="969">
        <f t="shared" ref="BS835:CF835" si="1584">+BS834+BS831+BS830+BS828+BS827+BS825+BS824+BS822+BS821+BS820+BS818+BS817+BS816+BS814+BS813+BS812+BS811+BS810+BS832+BS833</f>
      </c>
      <c r="BT835" s="760">
        <f>+BT834+BT831+BT830+BT828+BT827+BT825+BT824+BT822+BT821+BT820+BT818+BT817+BT816+BT814+BT813+BT812+BT811+BT810+BT832+BT833</f>
      </c>
      <c r="BU835" s="759">
        <f t="shared" si="1584"/>
      </c>
      <c r="BV835" s="759">
        <f t="shared" si="1584"/>
      </c>
      <c r="BW835" s="759">
        <f t="shared" si="1584"/>
      </c>
      <c r="BX835" s="969">
        <f t="shared" si="1584"/>
      </c>
      <c r="BY835" s="759">
        <f t="shared" si="1584"/>
      </c>
      <c r="BZ835" s="759">
        <f t="shared" si="1584"/>
      </c>
      <c r="CA835" s="759">
        <f t="shared" si="1584"/>
      </c>
      <c r="CB835" s="759">
        <f t="shared" si="1584"/>
      </c>
      <c r="CC835" s="969">
        <f t="shared" si="1584"/>
      </c>
      <c r="CD835" s="969">
        <f t="shared" si="1584"/>
      </c>
      <c r="CE835" s="969">
        <f t="shared" si="1584"/>
      </c>
      <c r="CF835" s="969">
        <f t="shared" si="1584"/>
      </c>
      <c r="CG835" s="759"/>
    </row>
    <row r="836" spans="1:85" s="587" customFormat="1" x14ac:dyDescent="0.3">
      <c r="A836" s="420" t="s">
        <v>726</v>
      </c>
      <c r="B836" s="425"/>
      <c r="C836" s="984"/>
      <c r="D836" s="984"/>
      <c r="E836" s="984"/>
      <c r="F836" s="984"/>
      <c r="G836" s="761"/>
      <c r="H836" s="761"/>
      <c r="I836" s="761"/>
      <c r="J836" s="761"/>
      <c r="K836" s="984"/>
      <c r="L836" s="761"/>
      <c r="M836" s="761"/>
      <c r="N836" s="761"/>
      <c r="O836" s="761"/>
      <c r="P836" s="984"/>
      <c r="Q836" s="761"/>
      <c r="R836" s="761"/>
      <c r="S836" s="761"/>
      <c r="T836" s="761"/>
      <c r="U836" s="984"/>
      <c r="V836" s="761"/>
      <c r="W836" s="761"/>
      <c r="X836" s="761"/>
      <c r="Y836" s="761"/>
      <c r="Z836" s="984"/>
      <c r="AA836" s="761"/>
      <c r="AB836" s="761"/>
      <c r="AC836" s="761"/>
      <c r="AD836" s="761"/>
      <c r="AE836" s="984"/>
      <c r="AF836" s="761"/>
      <c r="AG836" s="761"/>
      <c r="AH836" s="761"/>
      <c r="AI836" s="761"/>
      <c r="AJ836" s="984"/>
      <c r="AK836" s="761"/>
      <c r="AL836" s="761"/>
      <c r="AM836" s="761"/>
      <c r="AN836" s="761">
        <f>AO836</f>
      </c>
      <c r="AO836" s="989">
        <v>-114</v>
      </c>
      <c r="AP836" s="863">
        <v>-110</v>
      </c>
      <c r="AQ836" s="863">
        <v>-114</v>
      </c>
      <c r="AR836" s="863">
        <v>-111</v>
      </c>
      <c r="AS836" s="761">
        <f>AT836</f>
      </c>
      <c r="AT836" s="989">
        <v>-107</v>
      </c>
      <c r="AU836" s="863">
        <v>-103</v>
      </c>
      <c r="AV836" s="863">
        <v>-99</v>
      </c>
      <c r="AW836" s="863">
        <v>-96</v>
      </c>
      <c r="AX836" s="761">
        <f>AY836</f>
      </c>
      <c r="AY836" s="989">
        <v>-92</v>
      </c>
      <c r="AZ836" s="863">
        <v>-88</v>
      </c>
      <c r="BA836" s="863">
        <v>-85</v>
      </c>
      <c r="BB836" s="863">
        <v>-82</v>
      </c>
      <c r="BC836" s="761">
        <f>BD836</f>
      </c>
      <c r="BD836" s="989">
        <v>-79</v>
      </c>
      <c r="BE836" s="863">
        <v>-76</v>
      </c>
      <c r="BF836" s="863">
        <v>-72</v>
      </c>
      <c r="BG836" s="863">
        <v>-68</v>
      </c>
      <c r="BH836" s="761">
        <f>BI836</f>
      </c>
      <c r="BI836" s="989">
        <v>-65</v>
      </c>
      <c r="BJ836" s="863">
        <v>-61</v>
      </c>
      <c r="BK836" s="863">
        <v>-58</v>
      </c>
      <c r="BL836" s="863">
        <f>-68-6</f>
      </c>
      <c r="BM836" s="761">
        <f>BN836</f>
      </c>
      <c r="BN836" s="989">
        <v>-70</v>
      </c>
      <c r="BO836" s="863">
        <v>-67</v>
      </c>
      <c r="BP836" s="863">
        <v>-62</v>
      </c>
      <c r="BQ836" s="863">
        <f>-59-1</f>
      </c>
      <c r="BR836" s="761">
        <f>BS836</f>
      </c>
      <c r="BS836" s="989">
        <v>-56</v>
      </c>
      <c r="BT836" s="873">
        <v>-52</v>
      </c>
      <c r="BU836" s="761">
        <f>BT836+BU796</f>
      </c>
      <c r="BV836" s="761">
        <f>BU836+BV796</f>
      </c>
      <c r="BW836" s="761">
        <f>BV836+BW796</f>
      </c>
      <c r="BX836" s="984">
        <f>BW836</f>
      </c>
      <c r="BY836" s="761">
        <f>BX836+BY796</f>
      </c>
      <c r="BZ836" s="761">
        <f>BY836+BZ796</f>
      </c>
      <c r="CA836" s="761">
        <f>BZ836+CA796</f>
      </c>
      <c r="CB836" s="761">
        <f>CA836+CB796</f>
      </c>
      <c r="CC836" s="984">
        <f>CB836</f>
      </c>
      <c r="CD836" s="984">
        <f>CC836+CD796</f>
      </c>
      <c r="CE836" s="984">
        <f>CD836+CE796</f>
      </c>
      <c r="CF836" s="984">
        <f>CE836+CF796</f>
      </c>
      <c r="CG836" s="759"/>
    </row>
    <row r="837" spans="1:85" s="587" customFormat="1" x14ac:dyDescent="0.3">
      <c r="A837" s="421" t="s">
        <v>746</v>
      </c>
      <c r="B837" s="426"/>
      <c r="C837" s="965"/>
      <c r="D837" s="965"/>
      <c r="E837" s="965"/>
      <c r="F837" s="965"/>
      <c r="G837" s="791"/>
      <c r="H837" s="791"/>
      <c r="I837" s="791"/>
      <c r="J837" s="791"/>
      <c r="K837" s="965"/>
      <c r="L837" s="791"/>
      <c r="M837" s="791"/>
      <c r="N837" s="791"/>
      <c r="O837" s="791"/>
      <c r="P837" s="965"/>
      <c r="Q837" s="791"/>
      <c r="R837" s="791"/>
      <c r="S837" s="791"/>
      <c r="T837" s="791"/>
      <c r="U837" s="965"/>
      <c r="V837" s="791"/>
      <c r="W837" s="791"/>
      <c r="X837" s="791"/>
      <c r="Y837" s="791"/>
      <c r="Z837" s="965"/>
      <c r="AA837" s="791"/>
      <c r="AB837" s="791"/>
      <c r="AC837" s="791"/>
      <c r="AD837" s="791"/>
      <c r="AE837" s="965"/>
      <c r="AF837" s="791"/>
      <c r="AG837" s="791"/>
      <c r="AH837" s="791"/>
      <c r="AI837" s="791"/>
      <c r="AJ837" s="965"/>
      <c r="AK837" s="791"/>
      <c r="AL837" s="791"/>
      <c r="AM837" s="791"/>
      <c r="AN837" s="791">
        <f t="shared" ref="AN837" si="1585">AN835+AN836</f>
      </c>
      <c r="AO837" s="965">
        <f t="shared" ref="AO837:AP837" si="1586">AO835+AO836</f>
      </c>
      <c r="AP837" s="791">
        <f t="shared" si="1586"/>
      </c>
      <c r="AQ837" s="791">
        <f t="shared" ref="AQ837:AY837" si="1587">AQ835+AQ836</f>
      </c>
      <c r="AR837" s="791">
        <f t="shared" si="1587"/>
      </c>
      <c r="AS837" s="791">
        <f t="shared" si="1587"/>
      </c>
      <c r="AT837" s="965">
        <f t="shared" si="1587"/>
      </c>
      <c r="AU837" s="791">
        <f t="shared" si="1587"/>
      </c>
      <c r="AV837" s="791">
        <f t="shared" si="1587"/>
      </c>
      <c r="AW837" s="791">
        <f t="shared" si="1587"/>
      </c>
      <c r="AX837" s="791">
        <f t="shared" si="1587"/>
      </c>
      <c r="AY837" s="965">
        <f t="shared" si="1587"/>
      </c>
      <c r="AZ837" s="791">
        <f t="shared" ref="AZ837:BE837" si="1588">AZ835+AZ836</f>
      </c>
      <c r="BA837" s="791">
        <f t="shared" si="1588"/>
      </c>
      <c r="BB837" s="791">
        <f t="shared" si="1588"/>
      </c>
      <c r="BC837" s="791">
        <f t="shared" ref="BC837:BD837" si="1589">BC835+BC836</f>
      </c>
      <c r="BD837" s="965">
        <f t="shared" si="1589"/>
      </c>
      <c r="BE837" s="791">
        <f t="shared" si="1588"/>
      </c>
      <c r="BF837" s="791">
        <f t="shared" ref="BF837:BG837" si="1590">BF835+BF836</f>
      </c>
      <c r="BG837" s="791">
        <f t="shared" si="1590"/>
      </c>
      <c r="BH837" s="791">
        <f t="shared" ref="BH837:BI837" si="1591">BH835+BH836</f>
      </c>
      <c r="BI837" s="965">
        <f t="shared" si="1591"/>
      </c>
      <c r="BJ837" s="791">
        <f t="shared" ref="BJ837:BN837" si="1592">BJ835+BJ836</f>
      </c>
      <c r="BK837" s="791">
        <f t="shared" si="1592"/>
      </c>
      <c r="BL837" s="791">
        <f t="shared" si="1592"/>
      </c>
      <c r="BM837" s="791">
        <f t="shared" si="1592"/>
      </c>
      <c r="BN837" s="965">
        <f t="shared" si="1592"/>
      </c>
      <c r="BO837" s="791">
        <f>BO835+BO836</f>
      </c>
      <c r="BP837" s="791">
        <f>BP835+BP836</f>
      </c>
      <c r="BQ837" s="791">
        <f t="shared" ref="BQ837:BR837" si="1593">BQ835+BQ836</f>
      </c>
      <c r="BR837" s="791">
        <f t="shared" si="1593"/>
      </c>
      <c r="BS837" s="965">
        <f t="shared" ref="BS837:CF837" si="1594">BS835+BS836</f>
      </c>
      <c r="BT837" s="797">
        <f t="shared" si="1594"/>
      </c>
      <c r="BU837" s="791">
        <f t="shared" si="1594"/>
      </c>
      <c r="BV837" s="791">
        <f t="shared" si="1594"/>
      </c>
      <c r="BW837" s="791">
        <f t="shared" si="1594"/>
      </c>
      <c r="BX837" s="965">
        <f t="shared" si="1594"/>
      </c>
      <c r="BY837" s="791">
        <f t="shared" si="1594"/>
      </c>
      <c r="BZ837" s="791">
        <f t="shared" si="1594"/>
      </c>
      <c r="CA837" s="791">
        <f t="shared" si="1594"/>
      </c>
      <c r="CB837" s="791">
        <f t="shared" si="1594"/>
      </c>
      <c r="CC837" s="965">
        <f t="shared" si="1594"/>
      </c>
      <c r="CD837" s="965">
        <f t="shared" si="1594"/>
      </c>
      <c r="CE837" s="965">
        <f t="shared" si="1594"/>
      </c>
      <c r="CF837" s="965">
        <f t="shared" si="1594"/>
      </c>
      <c r="CG837" s="759"/>
    </row>
    <row r="838" spans="1:85" s="587" customFormat="1" x14ac:dyDescent="0.3">
      <c r="A838" s="420" t="s">
        <v>747</v>
      </c>
      <c r="B838" s="425"/>
      <c r="C838" s="984"/>
      <c r="D838" s="984"/>
      <c r="E838" s="984"/>
      <c r="F838" s="984"/>
      <c r="G838" s="761"/>
      <c r="H838" s="761"/>
      <c r="I838" s="761"/>
      <c r="J838" s="761"/>
      <c r="K838" s="984"/>
      <c r="L838" s="761"/>
      <c r="M838" s="761"/>
      <c r="N838" s="761"/>
      <c r="O838" s="761"/>
      <c r="P838" s="984"/>
      <c r="Q838" s="761"/>
      <c r="R838" s="761"/>
      <c r="S838" s="761"/>
      <c r="T838" s="761"/>
      <c r="U838" s="984"/>
      <c r="V838" s="761"/>
      <c r="W838" s="761"/>
      <c r="X838" s="761"/>
      <c r="Y838" s="761"/>
      <c r="Z838" s="984"/>
      <c r="AA838" s="761"/>
      <c r="AB838" s="761"/>
      <c r="AC838" s="761"/>
      <c r="AD838" s="761"/>
      <c r="AE838" s="984"/>
      <c r="AF838" s="761"/>
      <c r="AG838" s="761"/>
      <c r="AH838" s="761"/>
      <c r="AI838" s="761"/>
      <c r="AJ838" s="984"/>
      <c r="AK838" s="761"/>
      <c r="AL838" s="761"/>
      <c r="AM838" s="761"/>
      <c r="AN838" s="761">
        <f t="shared" ref="AN838:BB838" si="1595">-AN751</f>
      </c>
      <c r="AO838" s="984">
        <f t="shared" si="1595"/>
      </c>
      <c r="AP838" s="761">
        <f t="shared" si="1595"/>
      </c>
      <c r="AQ838" s="761">
        <f t="shared" si="1595"/>
      </c>
      <c r="AR838" s="761">
        <f t="shared" si="1595"/>
      </c>
      <c r="AS838" s="761">
        <f t="shared" si="1595"/>
      </c>
      <c r="AT838" s="984">
        <f t="shared" si="1595"/>
      </c>
      <c r="AU838" s="761">
        <f t="shared" si="1595"/>
      </c>
      <c r="AV838" s="761">
        <f t="shared" si="1595"/>
      </c>
      <c r="AW838" s="761">
        <f t="shared" si="1595"/>
      </c>
      <c r="AX838" s="761">
        <f t="shared" si="1595"/>
      </c>
      <c r="AY838" s="984">
        <f t="shared" si="1595"/>
      </c>
      <c r="AZ838" s="761">
        <f t="shared" si="1595"/>
      </c>
      <c r="BA838" s="761">
        <f t="shared" si="1595"/>
      </c>
      <c r="BB838" s="761">
        <f t="shared" si="1595"/>
      </c>
      <c r="BC838" s="761">
        <f>-BC751</f>
      </c>
      <c r="BD838" s="984">
        <f>-BD751</f>
      </c>
      <c r="BE838" s="761">
        <f t="shared" ref="BE838:BG838" si="1596">-BE751</f>
      </c>
      <c r="BF838" s="761">
        <f t="shared" si="1596"/>
      </c>
      <c r="BG838" s="761">
        <f t="shared" si="1596"/>
      </c>
      <c r="BH838" s="761">
        <f t="shared" ref="BH838:BN838" si="1597">-BH751</f>
      </c>
      <c r="BI838" s="984">
        <f t="shared" si="1597"/>
      </c>
      <c r="BJ838" s="761">
        <f t="shared" si="1597"/>
      </c>
      <c r="BK838" s="761">
        <f t="shared" si="1597"/>
      </c>
      <c r="BL838" s="761">
        <f t="shared" si="1597"/>
      </c>
      <c r="BM838" s="761">
        <f t="shared" ref="BM838" si="1598">-BM751</f>
      </c>
      <c r="BN838" s="984">
        <f t="shared" si="1597"/>
      </c>
      <c r="BO838" s="761">
        <f>-BO751</f>
      </c>
      <c r="BP838" s="761">
        <f>-BP751</f>
      </c>
      <c r="BQ838" s="761">
        <f t="shared" ref="BQ838:BR838" si="1599">-BQ751</f>
      </c>
      <c r="BR838" s="761">
        <f t="shared" si="1599"/>
      </c>
      <c r="BS838" s="984">
        <f>-BS751</f>
      </c>
      <c r="BT838" s="762">
        <f>-BT751</f>
      </c>
      <c r="BU838" s="761">
        <f>+IF($B810-BU4&lt;=BX3,-BU810)+IF($B811-BU4&lt;=BX3,-BU811,0)+IF($B812-BU4&lt;=BX3,-BU812,0)+IF($B813-BU4&lt;=BX3,-BU813,0)+IF($B814-BU4&lt;=BX3,-BU814,0)+IF($B816-BU4&lt;=BX3,-BU816,0)+IF($B817-BU4&lt;=BX3,-BU817,0)+IF($B818-BU4&lt;=BX3,-BU818,0)+IF($B820-BU4&lt;=BX3,-BU820,0)+IF($B821-BU4&lt;=BX3,-BU821,0)+IF($B822-BU4&lt;=BX3,-BU822,0)+IF($B824-BU4&lt;=BX3,-BU824,0)+IF($B825-BU4&lt;=BX3,-BU825,0)+IF($B827-BU4&lt;=BX3,-BU827,0)+IF($B828-BU4&lt;=BX3,-BU828,0)+IF($B830-BU4&lt;=BX3,-BU830,0)+IF($B831-BU4&lt;=BX3,-BU831,0)+IF($B832-BU$4&lt;=BX$3,-BU832,0)+IF($B833-BU$4&lt;=BX$3,-BU833,0)</f>
      </c>
      <c r="BV838" s="761">
        <f>+IF($B810-BV4&lt;=BX3,-BV810)+IF($B811-BV4&lt;=BX3,-BV811,0)+IF($B812-BV4&lt;=BX3,-BV812,0)+IF($B813-BV4&lt;=BX3,-BV813,0)+IF($B814-BV4&lt;=BX3,-BV814,0)+IF($B816-BV4&lt;=BX3,-BV816,0)+IF($B817-BV4&lt;=BX3,-BV817,0)+IF($B818-BV4&lt;=BX3,-BV818,0)+IF($B820-BV4&lt;=BX3,-BV820,0)+IF($B821-BV4&lt;=BX3,-BV821,0)+IF($B822-BV4&lt;=BX3,-BV822,0)+IF($B824-BV4&lt;=BX3,-BV824,0)+IF($B825-BV4&lt;=BX3,-BV825,0)+IF($B827-BV4&lt;=BX3,-BV827,0)+IF($B828-BV4&lt;=BX3,-BV828,0)+IF($B830-BV4&lt;=BX3,-BV830,0)+IF($B831-BV4&lt;=BX3,-BV831,0)+IF($B832-BV$4&lt;=BX$3,-BV832,0)+IF($B833-BV$4&lt;=BX$3,-BV833,0)</f>
      </c>
      <c r="BW838" s="761">
        <f>+IF($B810-BW4&lt;=CC$3,-BW810)+IF($B811-BW4&lt;=CC$3,-BW811,0)+IF($B812-BW4&lt;=CC$3,-BW812,0)+IF($B813-BW4&lt;=CC$3,-BW813,0)+IF($B814-BW4&lt;=CC$3,-BW814,0)+IF($B816-BW4&lt;=CC$3,-BW816,0)+IF($B817-BW4&lt;=CC$3,-BW817,0)+IF($B818-BW4&lt;=CC$3,-BW818,0)+IF($B820-BW4&lt;=CC$3,-BW820,0)+IF($B821-BW4&lt;=CC$3,-BW821,0)+IF($B822-BW4&lt;=CC$3,-BW822,0)+IF($B824-BW4&lt;=CC$3,-BW824,0)+IF($B825-BW4&lt;=CC$3,-BW825,0)+IF($B827-BW4&lt;=CC$3,-BW827,0)+IF($B828-BW4&lt;=CC$3,-BW828,0)+IF($B830-BW4&lt;=CC$3,-BW830,0)+IF($B831-BW4&lt;=CC$3,-BW831,0)+IF($B832-BW$4&lt;=CC$3,-BW832,0)+IF($B833-BW$4&lt;=CC$3,-BW833,0)</f>
      </c>
      <c r="BX838" s="984">
        <f>BW838</f>
      </c>
      <c r="BY838" s="761">
        <f>+IF($B$810-BY4&lt;=CC3,-BY810)+IF($B811-BY4&lt;=CC3,-BY811,0)+IF($B812-BY4&lt;=CC3,-BY812,0)+IF($B813-BY4&lt;=CC3,-BY813,0)+IF($B814-BY4&lt;=CC3,-BY814,0)+IF($B816-BY4&lt;=CC3,-BY816,0)+IF($B817-BY4&lt;=CC3,-BY817,0)+IF($B818-BY4&lt;=CC3,-BY818,0)+IF($B820-BY4&lt;=CC3,-BY820,0)+IF($B821-BY4&lt;=CC3,-BY821,0)+IF($B822-BY4&lt;=CC3,-BY822,0)+IF($B824-BY4&lt;=CC3,-BY824,0)+IF($B825-BY4&lt;=CC3,-BY825,0)+IF($B827-BY4&lt;=CC3,-BY827,0)+IF($B828-BY4&lt;=CC3,-BY828,0)+IF($B830-BY4&lt;=CC3,-BY830,0)+IF($B831-BY4&lt;=CC3,-BY831,0)+IF($B832-BY$4&lt;=CC$3,-BY832,0)+IF($B833-BY$4&lt;=CC$3,-BY833,0)</f>
      </c>
      <c r="BZ838" s="761">
        <f>+IF($B810-BZ4&lt;=CC3,-BZ810)+IF($B811-BZ4&lt;=CC3,-BZ811,0)+IF($B812-BZ4&lt;=CC3,-BZ812,0)+IF($B813-BZ4&lt;=CC3,-BZ813,0)+IF($B814-BZ4&lt;=CC3,-BZ814,0)+IF($B816-BZ4&lt;=CC3,-BZ816,0)+IF($B817-BZ4&lt;=CC3,-BZ817,0)+IF($B818-BZ4&lt;=CC3,-BZ818,0)+IF($B820-BZ4&lt;=CC3,-BZ820,0)+IF($B821-BZ4&lt;=CC3,-BZ821,0)+IF($B822-BZ4&lt;=CC3,-BZ822,0)+IF($B824-BZ4&lt;=CC3,-BZ824,0)+IF($B825-BZ4&lt;=CC3,-BZ825,0)+IF($B827-BZ4&lt;=CC3,-BZ827,0)+IF($B828-BZ4&lt;=CC3,-BZ828,0)+IF($B830-BZ4&lt;=CC3,-BZ830,0)+IF($B831-BZ4&lt;=CC3,-BZ831,0)+IF($B832-BZ$4&lt;=CC$3,-BZ832,0)+IF($B833-BZ$4&lt;=CC$3,-BZ833,0)</f>
      </c>
      <c r="CA838" s="761">
        <f>+IF($B810-CA4&lt;=CC3,-CA810)+IF($B811-CA4&lt;=CC3,-CA811,0)+IF($B812-CA4&lt;=CC3,-CA812,0)+IF($B813-CA4&lt;=CC3,-CA813,0)+IF($B814-CA4&lt;=CC3,-CA814,0)+IF($B816-CA4&lt;=CC3,-CA816,0)+IF($B817-CA4&lt;=CC3,-CA817,0)+IF($B818-CA4&lt;=CC3,-CA818,0)+IF($B820-CA4&lt;=CC3,-CA820,0)+IF($B821-CA4&lt;=CC3,-CA821,0)+IF($B822-CA4&lt;=CC3,-CA822,0)+IF($B824-CA4&lt;=CC3,-CA824,0)+IF($B825-CA4&lt;=CC3,-CA825,0)+IF($B827-CA4&lt;=CC3,-CA827,0)+IF($B828-CA4&lt;=CC3,-CA828,0)+IF($B830-CA4&lt;=CC3,-CA830,0)+IF($B831-CA4&lt;=CC3,-CA831,0)+IF($B832-CA$4&lt;=CC$3,-CA832,0)+IF($B833-CA$4&lt;=CC$3,-CA833,0)</f>
      </c>
      <c r="CB838" s="761">
        <f>+IF($B810-CB4&lt;=CD$3,-CB810)+IF($B811-CB4&lt;=CD$3,-CB811,0)+IF($B812-CB4&lt;=CD$3,-CB812,0)+IF($B813-CB4&lt;=CD$3,-CB813,0)+IF($B814-CB4&lt;=CD$3,-CB814,0)+IF($B816-CB4&lt;=CD$3,-CB816,0)+IF($B817-CB4&lt;=CD$3,-CB817,0)+IF($B818-CB4&lt;=CD$3,-CB818,0)+IF($B820-CB4&lt;=CD$3,-CB820,0)+IF($B821-CB4&lt;=CD$3,-CB821,0)+IF($B822-CB4&lt;=CD$3,-CB822,0)+IF($B824-CB4&lt;=CD$3,-CB824,0)+IF($B825-CB4&lt;=CD$3,-CB825,0)+IF($B827-CB4&lt;=CD$3,-CB827,0)+IF($B828-CB4&lt;=CD$3,-CB828,0)+IF($B830-CB4&lt;=CD$3,-CB830,0)+IF($B831-CB4&lt;=CD$3,-CB831,0)+IF($B832-CB$4&lt;=CD$3,-CB832,0)+IF($B833-CB$4&lt;=CD$3,-CB833,0)</f>
      </c>
      <c r="CC838" s="984">
        <f>CB838</f>
      </c>
      <c r="CD838" s="984">
        <f>IF($B810-CD$4&lt;=CE$3,-CD810)+IF($B811-CD4&lt;=CE3,-CD811,0)+IF($B812-CD4&lt;=CE3,-CD812,0)+IF($B813-CD4&lt;=CE3,-CD813,0)+IF($B814-CD4&lt;=CE3,-CD814,0)+IF($B816-CD4&lt;=CE3,-CD816,0)+IF($B817-CD4&lt;=CE3,-CD817,0)+IF($B818-CD4&lt;=CE3,-CD818,0)+IF($B820-CD4&lt;=CE3,-CD820,0)+IF($B821-CD4&lt;=CE3,-CD821,0)+IF($B822-CD4&lt;=CE3,-CD822,0)+IF($B824-CD4&lt;=CE3,-CD824,0)+IF($B825-CD4&lt;=CE3,-CD825,0)+IF($B827-CD4&lt;=CE3,-CD827,0)+IF($B828-CD4&lt;=CE3,-CD828,0)+IF($B830-CD4&lt;=CE3,-CD830,0)+IF($B831-CD4&lt;=CE3,-CD831,0)+IF($B832-CD$4&lt;=CE$3,-CD832,0)+IF($B833-CD$4&lt;=CE$3,-CD833,0)</f>
      </c>
      <c r="CE838" s="984">
        <f>IF($B810-CE$4&lt;=CF$3,-CE810)+IF($B811-CE4&lt;=CF3,-CE811,0)+IF($B812-CE4&lt;=CF3,-CE812,0)+IF($B813-CE4&lt;=CF3,-CE813,0)+IF($B814-CE4&lt;=CF3,-CE814,0)+IF($B816-CE4&lt;=CF3,-CE816,0)+IF($B817-CE4&lt;=CF3,-CE817,0)+IF($B818-CE4&lt;=CF3,-CE818,0)+IF($B820-CE4&lt;=CF3,-CE820,0)+IF($B821-CE4&lt;=CF3,-CE821,0)+IF($B822-CE4&lt;=CF3,-CE822,0)+IF($B824-CE4&lt;=CF3,-CE824,0)+IF($B825-CE4&lt;=CF3,-CE825,0)+IF($B827-CE4&lt;=CF3,-CE827,0)+IF($B828-CE4&lt;=CF3,-CE828,0)+IF($B830-CE4&lt;=CF3,-CE830,0)+IF($B831-CE4&lt;=CF3,-CE831,0)+IF($B832-CE$4&lt;=CF$3,-CE832,0)+IF($B833-CE$4&lt;=CF$3,-CE833,0)</f>
      </c>
      <c r="CF838" s="984">
        <f>IF($B810-CF$4&lt;=CF$3,-CF810)+IF($B811-CF4&lt;=CF3,-CF811,0)+IF($B812-CF4&lt;=CF3,-CF812,0)+IF($B813-CF4&lt;=CF3,-CF813,0)+IF($B814-CF4&lt;=CF3,-CF814,0)+IF($B816-CF4&lt;=CF3,-CF816,0)+IF($B817-CF4&lt;=CF3,-CF817,0)+IF($B818-CF4&lt;=CF3,-CF818,0)+IF($B820-CF4&lt;=CF3,-CF820,0)+IF($B821-CF4&lt;=CF3,-CF821,0)+IF($B822-CF4&lt;=CF3,-CF822,0)+IF($B824-CF4&lt;=CF3,-CF824,0)+IF($B825-CF4&lt;=CF3,-CF825,0)+IF($B827-CF4&lt;=CF3,-CF827,0)+IF($B828-CF4&lt;=CF3,-CF828,0)+IF($B830-CF4&lt;=CF3,-CF830,0)+IF($B831-CF4&lt;=CF3,-CF831,0)+IF($B832-CF$4&lt;=CF$3,-CF832,0)+IF($B833-CF$4&lt;=CF$3,-CF833,0)</f>
      </c>
      <c r="CG838" s="759"/>
    </row>
    <row r="839" spans="1:85" s="587" customFormat="1" x14ac:dyDescent="0.3">
      <c r="A839" s="421" t="s">
        <v>748</v>
      </c>
      <c r="B839" s="426"/>
      <c r="C839" s="965"/>
      <c r="D839" s="965"/>
      <c r="E839" s="965"/>
      <c r="F839" s="965"/>
      <c r="G839" s="791"/>
      <c r="H839" s="791"/>
      <c r="I839" s="791"/>
      <c r="J839" s="791"/>
      <c r="K839" s="965"/>
      <c r="L839" s="791"/>
      <c r="M839" s="791"/>
      <c r="N839" s="791"/>
      <c r="O839" s="791"/>
      <c r="P839" s="965"/>
      <c r="Q839" s="791"/>
      <c r="R839" s="791"/>
      <c r="S839" s="791"/>
      <c r="T839" s="791"/>
      <c r="U839" s="965"/>
      <c r="V839" s="791"/>
      <c r="W839" s="791"/>
      <c r="X839" s="791"/>
      <c r="Y839" s="791"/>
      <c r="Z839" s="965"/>
      <c r="AA839" s="791"/>
      <c r="AB839" s="791"/>
      <c r="AC839" s="791"/>
      <c r="AD839" s="791"/>
      <c r="AE839" s="965"/>
      <c r="AF839" s="791"/>
      <c r="AG839" s="791"/>
      <c r="AH839" s="791"/>
      <c r="AI839" s="791"/>
      <c r="AJ839" s="965"/>
      <c r="AK839" s="791"/>
      <c r="AL839" s="791"/>
      <c r="AM839" s="791"/>
      <c r="AN839" s="791">
        <f t="shared" ref="AN839" si="1600">AN837+AN838</f>
      </c>
      <c r="AO839" s="965">
        <f t="shared" ref="AO839:AP839" si="1601">AO837+AO838</f>
      </c>
      <c r="AP839" s="791">
        <f t="shared" si="1601"/>
      </c>
      <c r="AQ839" s="791">
        <f t="shared" ref="AQ839:BB839" si="1602">AQ837+AQ838</f>
      </c>
      <c r="AR839" s="791">
        <f t="shared" si="1602"/>
      </c>
      <c r="AS839" s="791">
        <f t="shared" si="1602"/>
      </c>
      <c r="AT839" s="965">
        <f t="shared" si="1602"/>
      </c>
      <c r="AU839" s="791">
        <f t="shared" si="1602"/>
      </c>
      <c r="AV839" s="791">
        <f t="shared" si="1602"/>
      </c>
      <c r="AW839" s="791">
        <f t="shared" si="1602"/>
      </c>
      <c r="AX839" s="791">
        <f t="shared" si="1602"/>
      </c>
      <c r="AY839" s="965">
        <f t="shared" si="1602"/>
      </c>
      <c r="AZ839" s="791">
        <f t="shared" si="1602"/>
      </c>
      <c r="BA839" s="791">
        <f t="shared" si="1602"/>
      </c>
      <c r="BB839" s="791">
        <f t="shared" si="1602"/>
      </c>
      <c r="BC839" s="791">
        <f t="shared" ref="BC839:BG839" si="1603">BC837+BC838</f>
      </c>
      <c r="BD839" s="965">
        <f t="shared" si="1603"/>
      </c>
      <c r="BE839" s="791">
        <f t="shared" si="1603"/>
      </c>
      <c r="BF839" s="791">
        <f t="shared" si="1603"/>
      </c>
      <c r="BG839" s="791">
        <f t="shared" si="1603"/>
      </c>
      <c r="BH839" s="791">
        <f t="shared" ref="BH839:BI839" si="1604">BH837+BH838</f>
      </c>
      <c r="BI839" s="965">
        <f t="shared" si="1604"/>
      </c>
      <c r="BJ839" s="791">
        <f t="shared" ref="BJ839:BN839" si="1605">BJ837+BJ838</f>
      </c>
      <c r="BK839" s="791">
        <f t="shared" si="1605"/>
      </c>
      <c r="BL839" s="791">
        <f t="shared" si="1605"/>
      </c>
      <c r="BM839" s="791">
        <f t="shared" si="1605"/>
      </c>
      <c r="BN839" s="965">
        <f t="shared" si="1605"/>
      </c>
      <c r="BO839" s="791">
        <f>BO837+BO838</f>
      </c>
      <c r="BP839" s="791">
        <f>BP837+BP838</f>
      </c>
      <c r="BQ839" s="791">
        <f t="shared" ref="BQ839:BR839" si="1606">BQ837+BQ838</f>
      </c>
      <c r="BR839" s="791">
        <f t="shared" si="1606"/>
      </c>
      <c r="BS839" s="965">
        <f t="shared" ref="BS839:CF839" si="1607">BS837+BS838</f>
      </c>
      <c r="BT839" s="797">
        <f>BT837+BT838</f>
      </c>
      <c r="BU839" s="791">
        <f t="shared" si="1607"/>
      </c>
      <c r="BV839" s="791">
        <f t="shared" si="1607"/>
      </c>
      <c r="BW839" s="791">
        <f t="shared" si="1607"/>
      </c>
      <c r="BX839" s="965">
        <f t="shared" si="1607"/>
      </c>
      <c r="BY839" s="791">
        <f t="shared" si="1607"/>
      </c>
      <c r="BZ839" s="791">
        <f t="shared" si="1607"/>
      </c>
      <c r="CA839" s="791">
        <f t="shared" si="1607"/>
      </c>
      <c r="CB839" s="791">
        <f t="shared" si="1607"/>
      </c>
      <c r="CC839" s="965">
        <f t="shared" si="1607"/>
      </c>
      <c r="CD839" s="965">
        <f t="shared" si="1607"/>
      </c>
      <c r="CE839" s="965">
        <f t="shared" si="1607"/>
      </c>
      <c r="CF839" s="965">
        <f t="shared" si="1607"/>
      </c>
      <c r="CG839" s="759"/>
    </row>
    <row r="840" spans="1:85" s="587" customFormat="1" x14ac:dyDescent="0.3">
      <c r="A840" s="445"/>
      <c r="B840" s="428"/>
      <c r="C840" s="940"/>
      <c r="D840" s="940"/>
      <c r="E840" s="940"/>
      <c r="F840" s="940"/>
      <c r="G840" s="778"/>
      <c r="H840" s="778"/>
      <c r="I840" s="778"/>
      <c r="J840" s="778"/>
      <c r="K840" s="940"/>
      <c r="L840" s="778"/>
      <c r="M840" s="778"/>
      <c r="N840" s="778"/>
      <c r="O840" s="778"/>
      <c r="P840" s="940"/>
      <c r="Q840" s="778"/>
      <c r="R840" s="778"/>
      <c r="S840" s="778"/>
      <c r="T840" s="778"/>
      <c r="U840" s="940"/>
      <c r="V840" s="778"/>
      <c r="W840" s="759"/>
      <c r="X840" s="778"/>
      <c r="Y840" s="759"/>
      <c r="Z840" s="940"/>
      <c r="AA840" s="759"/>
      <c r="AB840" s="759"/>
      <c r="AC840" s="778"/>
      <c r="AD840" s="759"/>
      <c r="AE840" s="940"/>
      <c r="AF840" s="759"/>
      <c r="AG840" s="759"/>
      <c r="AH840" s="778"/>
      <c r="AI840" s="759"/>
      <c r="AJ840" s="940"/>
      <c r="AK840" s="759"/>
      <c r="AL840" s="759"/>
      <c r="AM840" s="778"/>
      <c r="AN840" s="759"/>
      <c r="AO840" s="940"/>
      <c r="AP840" s="759"/>
      <c r="AQ840" s="759"/>
      <c r="AR840" s="778"/>
      <c r="AS840" s="759"/>
      <c r="AT840" s="940"/>
      <c r="AU840" s="759"/>
      <c r="AV840" s="759"/>
      <c r="AW840" s="778"/>
      <c r="AX840" s="759"/>
      <c r="AY840" s="940"/>
      <c r="AZ840" s="759"/>
      <c r="BA840" s="759"/>
      <c r="BB840" s="759"/>
      <c r="BC840" s="759"/>
      <c r="BD840" s="940"/>
      <c r="BE840" s="759"/>
      <c r="BF840" s="759"/>
      <c r="BG840" s="759"/>
      <c r="BH840" s="759"/>
      <c r="BI840" s="940"/>
      <c r="BJ840" s="759"/>
      <c r="BK840" s="759"/>
      <c r="BL840" s="759"/>
      <c r="BM840" s="759"/>
      <c r="BN840" s="940"/>
      <c r="BO840" s="759"/>
      <c r="BP840" s="759"/>
      <c r="BQ840" s="759"/>
      <c r="BR840" s="759"/>
      <c r="BS840" s="940"/>
      <c r="BT840" s="760"/>
      <c r="BU840" s="759"/>
      <c r="BV840" s="759"/>
      <c r="BW840" s="759"/>
      <c r="BX840" s="940"/>
      <c r="BY840" s="759"/>
      <c r="BZ840" s="759"/>
      <c r="CA840" s="759"/>
      <c r="CB840" s="759"/>
      <c r="CC840" s="940"/>
      <c r="CD840" s="940"/>
      <c r="CE840" s="940"/>
      <c r="CF840" s="940"/>
      <c r="CG840" s="183"/>
    </row>
    <row r="841" spans="1:85" hidden="1" outlineLevel="1" x14ac:dyDescent="0.3">
      <c r="A841" s="424" t="s">
        <v>850</v>
      </c>
      <c r="B841" s="442"/>
      <c r="C841" s="962"/>
      <c r="D841" s="962"/>
      <c r="E841" s="962"/>
      <c r="F841" s="962"/>
      <c r="G841" s="757"/>
      <c r="H841" s="757"/>
      <c r="I841" s="757"/>
      <c r="J841" s="757"/>
      <c r="K841" s="962"/>
      <c r="L841" s="757"/>
      <c r="M841" s="757"/>
      <c r="N841" s="757"/>
      <c r="O841" s="757"/>
      <c r="P841" s="962"/>
      <c r="Q841" s="757"/>
      <c r="R841" s="757"/>
      <c r="S841" s="757"/>
      <c r="T841" s="757"/>
      <c r="U841" s="962"/>
      <c r="V841" s="757"/>
      <c r="W841" s="757"/>
      <c r="X841" s="757"/>
      <c r="Y841" s="757"/>
      <c r="Z841" s="962"/>
      <c r="AA841" s="757"/>
      <c r="AB841" s="757"/>
      <c r="AC841" s="757"/>
      <c r="AD841" s="757"/>
      <c r="AE841" s="962"/>
      <c r="AF841" s="757"/>
      <c r="AG841" s="757"/>
      <c r="AH841" s="757"/>
      <c r="AI841" s="757"/>
      <c r="AJ841" s="962"/>
      <c r="AK841" s="757"/>
      <c r="AL841" s="757"/>
      <c r="AM841" s="757"/>
      <c r="AN841" s="757"/>
      <c r="AO841" s="962"/>
      <c r="AP841" s="757">
        <f>AO810-AP810</f>
      </c>
      <c r="AQ841" s="757">
        <f t="shared" ref="AQ841" si="1608">AP810-AQ810</f>
      </c>
      <c r="AR841" s="757">
        <f t="shared" ref="AR841" si="1609">AQ810-AR810</f>
      </c>
      <c r="AS841" s="757">
        <f t="shared" ref="AS841" si="1610">AR810-AS810</f>
      </c>
      <c r="AT841" s="962">
        <f t="shared" ref="AT841:AT846" si="1611">AO810-AT810</f>
      </c>
      <c r="AU841" s="757">
        <f>AT810-AU810</f>
      </c>
      <c r="AV841" s="757">
        <f t="shared" ref="AV841" si="1612">AU810-AV810</f>
      </c>
      <c r="AW841" s="757">
        <f t="shared" ref="AW841" si="1613">AV810-AW810</f>
      </c>
      <c r="AX841" s="757">
        <f t="shared" ref="AX841" si="1614">AW810-AX810</f>
      </c>
      <c r="AY841" s="962">
        <f t="shared" ref="AY841:AY846" si="1615">AT810-AY810</f>
      </c>
      <c r="AZ841" s="757">
        <f>AY810-AZ810</f>
      </c>
      <c r="BA841" s="757">
        <f t="shared" ref="BA841" si="1616">AZ810-BA810</f>
      </c>
      <c r="BB841" s="459">
        <f>BA810-BB810</f>
      </c>
      <c r="BC841" s="757">
        <f>BB810-BC810</f>
      </c>
      <c r="BD841" s="962">
        <f t="shared" ref="BD841:BD846" si="1617">AY810-BD810</f>
      </c>
      <c r="BE841" s="459">
        <f>BD810-BE810</f>
      </c>
      <c r="BF841" s="459">
        <f t="shared" ref="BF841" si="1618">BE810-BF810</f>
      </c>
      <c r="BG841" s="459">
        <f>BF810-BG810</f>
      </c>
      <c r="BH841" s="757">
        <f>BG810-BH810</f>
      </c>
      <c r="BI841" s="962">
        <f t="shared" ref="BI841:BI846" si="1619">BD810-BI810</f>
      </c>
      <c r="BJ841" s="459">
        <f>BI810-BJ810</f>
      </c>
      <c r="BK841" s="459">
        <f>BJ810-BK810</f>
      </c>
      <c r="BL841" s="459">
        <f>BK810-BL810</f>
      </c>
      <c r="BM841" s="757">
        <f>BL810-BM810</f>
      </c>
      <c r="BN841" s="962">
        <f t="shared" ref="BN841:BN846" si="1620">BI810-BN810</f>
      </c>
      <c r="BO841" s="459">
        <f>BN810-BO810</f>
      </c>
      <c r="BP841" s="459">
        <f>BO810-BP810</f>
      </c>
      <c r="BQ841" s="757">
        <f>BP810-BQ810</f>
      </c>
      <c r="BR841" s="757">
        <f>BQ810-BR810</f>
      </c>
      <c r="BS841" s="962">
        <f t="shared" ref="BS841:BS846" si="1621">BN810-BS810</f>
      </c>
      <c r="BT841" s="795">
        <f>BS810-BT810</f>
      </c>
      <c r="BU841" s="857">
        <v>0</v>
      </c>
      <c r="BV841" s="857">
        <v>0</v>
      </c>
      <c r="BW841" s="857">
        <v>0</v>
      </c>
      <c r="BX841" s="962">
        <f>SUM(BT841,BU841,BV841,BW841)</f>
      </c>
      <c r="BY841" s="857">
        <v>0</v>
      </c>
      <c r="BZ841" s="857">
        <v>0</v>
      </c>
      <c r="CA841" s="857">
        <v>0</v>
      </c>
      <c r="CB841" s="857">
        <v>0</v>
      </c>
      <c r="CC841" s="962">
        <f>SUM(BY841,BZ841,CA841,CB841)</f>
      </c>
      <c r="CD841" s="963">
        <v>0</v>
      </c>
      <c r="CE841" s="963">
        <v>0</v>
      </c>
      <c r="CF841" s="963">
        <v>0</v>
      </c>
      <c r="CG841" s="273"/>
    </row>
    <row r="842" spans="1:85" hidden="1" outlineLevel="2" x14ac:dyDescent="0.3">
      <c r="A842" s="424" t="s">
        <v>833</v>
      </c>
      <c r="B842" s="442"/>
      <c r="C842" s="962"/>
      <c r="D842" s="962"/>
      <c r="E842" s="962"/>
      <c r="F842" s="962"/>
      <c r="G842" s="757"/>
      <c r="H842" s="757"/>
      <c r="I842" s="757"/>
      <c r="J842" s="757"/>
      <c r="K842" s="962"/>
      <c r="L842" s="757"/>
      <c r="M842" s="757"/>
      <c r="N842" s="757"/>
      <c r="O842" s="757"/>
      <c r="P842" s="962"/>
      <c r="Q842" s="757"/>
      <c r="R842" s="757"/>
      <c r="S842" s="757"/>
      <c r="T842" s="757"/>
      <c r="U842" s="962"/>
      <c r="V842" s="757"/>
      <c r="W842" s="757"/>
      <c r="X842" s="757"/>
      <c r="Y842" s="757"/>
      <c r="Z842" s="962"/>
      <c r="AA842" s="757"/>
      <c r="AB842" s="757"/>
      <c r="AC842" s="757"/>
      <c r="AD842" s="757"/>
      <c r="AE842" s="962"/>
      <c r="AF842" s="757"/>
      <c r="AG842" s="757"/>
      <c r="AH842" s="757"/>
      <c r="AI842" s="757"/>
      <c r="AJ842" s="962"/>
      <c r="AK842" s="757"/>
      <c r="AL842" s="757"/>
      <c r="AM842" s="757"/>
      <c r="AN842" s="757"/>
      <c r="AO842" s="962"/>
      <c r="AP842" s="757">
        <f t="shared" ref="AP842:AS846" si="1622">AO811-AP811</f>
      </c>
      <c r="AQ842" s="757">
        <f t="shared" si="1622"/>
      </c>
      <c r="AR842" s="757">
        <f t="shared" si="1622"/>
      </c>
      <c r="AS842" s="757">
        <f t="shared" si="1622"/>
      </c>
      <c r="AT842" s="962">
        <f t="shared" si="1611"/>
      </c>
      <c r="AU842" s="757">
        <f>AT811-AU811</f>
      </c>
      <c r="AV842" s="757"/>
      <c r="AW842" s="757"/>
      <c r="AX842" s="757"/>
      <c r="AY842" s="962">
        <f t="shared" si="1615"/>
      </c>
      <c r="AZ842" s="757"/>
      <c r="BA842" s="757"/>
      <c r="BB842" s="757"/>
      <c r="BC842" s="757"/>
      <c r="BD842" s="962">
        <f t="shared" si="1617"/>
      </c>
      <c r="BE842" s="757"/>
      <c r="BF842" s="757"/>
      <c r="BG842" s="757"/>
      <c r="BH842" s="757"/>
      <c r="BI842" s="962">
        <f t="shared" si="1619"/>
      </c>
      <c r="BJ842" s="757"/>
      <c r="BK842" s="757"/>
      <c r="BL842" s="757"/>
      <c r="BM842" s="757"/>
      <c r="BN842" s="962">
        <f t="shared" si="1620"/>
      </c>
      <c r="BO842" s="757"/>
      <c r="BP842" s="757"/>
      <c r="BQ842" s="757"/>
      <c r="BR842" s="757"/>
      <c r="BS842" s="962">
        <f t="shared" si="1621"/>
      </c>
      <c r="BT842" s="758"/>
      <c r="BU842" s="757"/>
      <c r="BV842" s="757"/>
      <c r="BW842" s="757"/>
      <c r="BX842" s="962"/>
      <c r="BY842" s="757"/>
      <c r="BZ842" s="757"/>
      <c r="CA842" s="757"/>
      <c r="CB842" s="757"/>
      <c r="CC842" s="962"/>
      <c r="CD842" s="962"/>
      <c r="CE842" s="962"/>
      <c r="CF842" s="962"/>
      <c r="CG842" s="273"/>
    </row>
    <row r="843" spans="1:85" hidden="1" outlineLevel="2" x14ac:dyDescent="0.3">
      <c r="A843" s="424" t="s">
        <v>826</v>
      </c>
      <c r="B843" s="442"/>
      <c r="C843" s="962"/>
      <c r="D843" s="962"/>
      <c r="E843" s="962"/>
      <c r="F843" s="962"/>
      <c r="G843" s="757"/>
      <c r="H843" s="757"/>
      <c r="I843" s="757"/>
      <c r="J843" s="757"/>
      <c r="K843" s="962"/>
      <c r="L843" s="757"/>
      <c r="M843" s="757"/>
      <c r="N843" s="757"/>
      <c r="O843" s="757"/>
      <c r="P843" s="962"/>
      <c r="Q843" s="757"/>
      <c r="R843" s="757"/>
      <c r="S843" s="757"/>
      <c r="T843" s="757"/>
      <c r="U843" s="962"/>
      <c r="V843" s="757"/>
      <c r="W843" s="757"/>
      <c r="X843" s="757"/>
      <c r="Y843" s="757"/>
      <c r="Z843" s="962"/>
      <c r="AA843" s="757"/>
      <c r="AB843" s="757"/>
      <c r="AC843" s="757"/>
      <c r="AD843" s="757"/>
      <c r="AE843" s="962"/>
      <c r="AF843" s="757"/>
      <c r="AG843" s="757"/>
      <c r="AH843" s="757"/>
      <c r="AI843" s="757"/>
      <c r="AJ843" s="962"/>
      <c r="AK843" s="757"/>
      <c r="AL843" s="757"/>
      <c r="AM843" s="757"/>
      <c r="AN843" s="757"/>
      <c r="AO843" s="962"/>
      <c r="AP843" s="757">
        <f t="shared" si="1622"/>
      </c>
      <c r="AQ843" s="757">
        <f t="shared" si="1622"/>
      </c>
      <c r="AR843" s="757">
        <f t="shared" si="1622"/>
      </c>
      <c r="AS843" s="757">
        <f t="shared" si="1622"/>
      </c>
      <c r="AT843" s="962">
        <f t="shared" si="1611"/>
      </c>
      <c r="AU843" s="757">
        <f t="shared" ref="AU843:AX846" si="1623">AT812-AU812</f>
      </c>
      <c r="AV843" s="757">
        <f t="shared" si="1623"/>
      </c>
      <c r="AW843" s="757">
        <f t="shared" si="1623"/>
      </c>
      <c r="AX843" s="757">
        <f t="shared" si="1623"/>
      </c>
      <c r="AY843" s="962">
        <f t="shared" si="1615"/>
      </c>
      <c r="AZ843" s="757">
        <f>AY812-AZ812</f>
      </c>
      <c r="BA843" s="757"/>
      <c r="BB843" s="757"/>
      <c r="BC843" s="757"/>
      <c r="BD843" s="962">
        <f t="shared" si="1617"/>
      </c>
      <c r="BE843" s="757"/>
      <c r="BF843" s="757"/>
      <c r="BG843" s="757"/>
      <c r="BH843" s="757"/>
      <c r="BI843" s="962">
        <f t="shared" si="1619"/>
      </c>
      <c r="BJ843" s="757"/>
      <c r="BK843" s="757"/>
      <c r="BL843" s="757"/>
      <c r="BM843" s="757"/>
      <c r="BN843" s="962">
        <f t="shared" si="1620"/>
      </c>
      <c r="BO843" s="757"/>
      <c r="BP843" s="757"/>
      <c r="BQ843" s="757"/>
      <c r="BR843" s="757"/>
      <c r="BS843" s="962">
        <f t="shared" si="1621"/>
      </c>
      <c r="BT843" s="758"/>
      <c r="BU843" s="757"/>
      <c r="BV843" s="757"/>
      <c r="BW843" s="757"/>
      <c r="BX843" s="962"/>
      <c r="BY843" s="757"/>
      <c r="BZ843" s="757"/>
      <c r="CA843" s="757"/>
      <c r="CB843" s="757"/>
      <c r="CC843" s="962"/>
      <c r="CD843" s="962"/>
      <c r="CE843" s="962"/>
      <c r="CF843" s="962"/>
      <c r="CG843" s="273"/>
    </row>
    <row r="844" spans="1:85" hidden="1" outlineLevel="1" collapsed="1" x14ac:dyDescent="0.3">
      <c r="A844" s="424" t="s">
        <v>827</v>
      </c>
      <c r="B844" s="442"/>
      <c r="C844" s="962"/>
      <c r="D844" s="962"/>
      <c r="E844" s="962"/>
      <c r="F844" s="962"/>
      <c r="G844" s="757"/>
      <c r="H844" s="757"/>
      <c r="I844" s="757"/>
      <c r="J844" s="757"/>
      <c r="K844" s="962"/>
      <c r="L844" s="757"/>
      <c r="M844" s="757"/>
      <c r="N844" s="757"/>
      <c r="O844" s="757"/>
      <c r="P844" s="962"/>
      <c r="Q844" s="757"/>
      <c r="R844" s="757"/>
      <c r="S844" s="757"/>
      <c r="T844" s="757"/>
      <c r="U844" s="962"/>
      <c r="V844" s="757"/>
      <c r="W844" s="757"/>
      <c r="X844" s="757"/>
      <c r="Y844" s="757"/>
      <c r="Z844" s="962"/>
      <c r="AA844" s="757"/>
      <c r="AB844" s="757"/>
      <c r="AC844" s="757"/>
      <c r="AD844" s="757"/>
      <c r="AE844" s="962"/>
      <c r="AF844" s="757"/>
      <c r="AG844" s="757"/>
      <c r="AH844" s="757"/>
      <c r="AI844" s="757"/>
      <c r="AJ844" s="962"/>
      <c r="AK844" s="757"/>
      <c r="AL844" s="757"/>
      <c r="AM844" s="757"/>
      <c r="AN844" s="757"/>
      <c r="AO844" s="962"/>
      <c r="AP844" s="757">
        <f t="shared" si="1622"/>
      </c>
      <c r="AQ844" s="757">
        <f t="shared" si="1622"/>
      </c>
      <c r="AR844" s="757">
        <f t="shared" si="1622"/>
      </c>
      <c r="AS844" s="757">
        <f t="shared" si="1622"/>
      </c>
      <c r="AT844" s="962">
        <f t="shared" si="1611"/>
      </c>
      <c r="AU844" s="757">
        <f t="shared" si="1623"/>
      </c>
      <c r="AV844" s="757">
        <f t="shared" si="1623"/>
      </c>
      <c r="AW844" s="757">
        <f t="shared" si="1623"/>
      </c>
      <c r="AX844" s="757">
        <f t="shared" si="1623"/>
      </c>
      <c r="AY844" s="962">
        <f t="shared" si="1615"/>
      </c>
      <c r="AZ844" s="757">
        <f>AY813-AZ813</f>
      </c>
      <c r="BA844" s="757">
        <f t="shared" ref="BA844:BC846" si="1624">AZ813-BA813</f>
      </c>
      <c r="BB844" s="757">
        <f t="shared" si="1624"/>
      </c>
      <c r="BC844" s="757">
        <f t="shared" si="1624"/>
      </c>
      <c r="BD844" s="962">
        <f t="shared" si="1617"/>
      </c>
      <c r="BE844" s="757">
        <f t="shared" ref="BE844:BH846" si="1625">BD813-BE813</f>
      </c>
      <c r="BF844" s="757">
        <f t="shared" si="1625"/>
      </c>
      <c r="BG844" s="757">
        <f t="shared" si="1625"/>
      </c>
      <c r="BH844" s="757">
        <f t="shared" si="1625"/>
      </c>
      <c r="BI844" s="962">
        <f t="shared" si="1619"/>
      </c>
      <c r="BJ844" s="459">
        <f t="shared" ref="BJ844:BK846" si="1626">BI813-BJ813</f>
      </c>
      <c r="BK844" s="459">
        <f t="shared" si="1626"/>
      </c>
      <c r="BL844" s="757">
        <f>IF(AND(BL4&gt;=$B813,BK4&lt;$B813),BK813,0)</f>
      </c>
      <c r="BM844" s="757">
        <f>IF(AND(BM4&gt;=B813,BL4&lt;B813),BL813,0)</f>
      </c>
      <c r="BN844" s="962">
        <f t="shared" si="1620"/>
      </c>
      <c r="BO844" s="459">
        <f t="shared" ref="BO844:BP846" si="1627">BN813-BO813</f>
      </c>
      <c r="BP844" s="459">
        <f t="shared" si="1627"/>
      </c>
      <c r="BQ844" s="757">
        <f>IF(AND(BQ4&gt;=$B813,BP4&lt;$B813),BP813,0)</f>
      </c>
      <c r="BR844" s="757">
        <f>IF(AND(BR4&gt;=G813,BQ4&lt;G813),BQ813,0)</f>
      </c>
      <c r="BS844" s="962">
        <f t="shared" si="1621"/>
      </c>
      <c r="BT844" s="758"/>
      <c r="BU844" s="757">
        <f>IF(AND(BU4&gt;=$B813,BT4&lt;$B813),BT813,0)</f>
      </c>
      <c r="BV844" s="757">
        <f>IF(AND(BV4&gt;=$B813,BU4&lt;$B813),BU813,0)</f>
      </c>
      <c r="BW844" s="757">
        <f>IF(AND(BW4&gt;=$B813,BV4&lt;$B813),BV813,0)</f>
      </c>
      <c r="BX844" s="962">
        <f>SUM(BT844,BU844,BV844,BW844)</f>
      </c>
      <c r="BY844" s="757">
        <f>IF(AND(BY4&gt;=$B813,BX4&lt;$B813),BX813,0)</f>
      </c>
      <c r="BZ844" s="757">
        <f>IF(AND(BZ4&gt;=$B813,BY4&lt;$B813),BY813,0)</f>
      </c>
      <c r="CA844" s="757">
        <f>IF(AND(CA4&gt;=$B813,BZ4&lt;$B813),BZ813,0)</f>
      </c>
      <c r="CB844" s="757">
        <f>IF(AND(CB4&gt;=$B813,CA4&lt;$B813),CA813,0)</f>
      </c>
      <c r="CC844" s="962">
        <f>SUM(BY844,BZ844,CA844,CB844)</f>
      </c>
      <c r="CD844" s="962">
        <f>IF(AND(CD4&gt;=$B813,CC4&lt;$B813),CC813,0)</f>
      </c>
      <c r="CE844" s="962">
        <f>IF(AND(CE4&gt;=$B813,CD4&lt;$B813),CD813,0)</f>
      </c>
      <c r="CF844" s="962">
        <f>IF(AND(CF4&gt;=$B813,CE4&lt;$B813),CE813,0)</f>
      </c>
      <c r="CG844" s="273"/>
    </row>
    <row r="845" spans="1:85" hidden="1" outlineLevel="1" x14ac:dyDescent="0.3">
      <c r="A845" s="424" t="s">
        <v>828</v>
      </c>
      <c r="B845" s="442"/>
      <c r="C845" s="962"/>
      <c r="D845" s="962"/>
      <c r="E845" s="962"/>
      <c r="F845" s="962"/>
      <c r="G845" s="757"/>
      <c r="H845" s="757"/>
      <c r="I845" s="757"/>
      <c r="J845" s="757"/>
      <c r="K845" s="962"/>
      <c r="L845" s="757"/>
      <c r="M845" s="757"/>
      <c r="N845" s="757"/>
      <c r="O845" s="757"/>
      <c r="P845" s="962"/>
      <c r="Q845" s="757"/>
      <c r="R845" s="757"/>
      <c r="S845" s="757"/>
      <c r="T845" s="757"/>
      <c r="U845" s="962"/>
      <c r="V845" s="757"/>
      <c r="W845" s="757"/>
      <c r="X845" s="757"/>
      <c r="Y845" s="757"/>
      <c r="Z845" s="962"/>
      <c r="AA845" s="757"/>
      <c r="AB845" s="757"/>
      <c r="AC845" s="757"/>
      <c r="AD845" s="757"/>
      <c r="AE845" s="962"/>
      <c r="AF845" s="757"/>
      <c r="AG845" s="757"/>
      <c r="AH845" s="757"/>
      <c r="AI845" s="757"/>
      <c r="AJ845" s="962"/>
      <c r="AK845" s="757"/>
      <c r="AL845" s="757"/>
      <c r="AM845" s="757"/>
      <c r="AN845" s="757"/>
      <c r="AO845" s="962"/>
      <c r="AP845" s="757">
        <f t="shared" si="1622"/>
      </c>
      <c r="AQ845" s="757">
        <f t="shared" si="1622"/>
      </c>
      <c r="AR845" s="757">
        <f t="shared" si="1622"/>
      </c>
      <c r="AS845" s="757">
        <f t="shared" si="1622"/>
      </c>
      <c r="AT845" s="962">
        <f t="shared" si="1611"/>
      </c>
      <c r="AU845" s="757">
        <f t="shared" si="1623"/>
      </c>
      <c r="AV845" s="757">
        <f t="shared" si="1623"/>
      </c>
      <c r="AW845" s="757">
        <f t="shared" si="1623"/>
      </c>
      <c r="AX845" s="757">
        <f t="shared" si="1623"/>
      </c>
      <c r="AY845" s="962">
        <f t="shared" si="1615"/>
      </c>
      <c r="AZ845" s="757">
        <f>AY814-AZ814</f>
      </c>
      <c r="BA845" s="757">
        <f t="shared" si="1624"/>
      </c>
      <c r="BB845" s="757">
        <f t="shared" si="1624"/>
      </c>
      <c r="BC845" s="757">
        <f t="shared" si="1624"/>
      </c>
      <c r="BD845" s="962">
        <f t="shared" si="1617"/>
      </c>
      <c r="BE845" s="757">
        <f t="shared" si="1625"/>
      </c>
      <c r="BF845" s="757">
        <f t="shared" si="1625"/>
      </c>
      <c r="BG845" s="757">
        <f t="shared" si="1625"/>
      </c>
      <c r="BH845" s="757">
        <f t="shared" si="1625"/>
      </c>
      <c r="BI845" s="962">
        <f t="shared" si="1619"/>
      </c>
      <c r="BJ845" s="459">
        <f t="shared" si="1626"/>
      </c>
      <c r="BK845" s="459">
        <f t="shared" si="1626"/>
      </c>
      <c r="BL845" s="757">
        <f>IF(AND(BL4&gt;=$B814,BK4&lt;$B814),BK814,0)</f>
      </c>
      <c r="BM845" s="757">
        <f>IF(AND(BM4&gt;=B813,BL4&lt;B813),BL814,0)</f>
      </c>
      <c r="BN845" s="962">
        <f t="shared" si="1620"/>
      </c>
      <c r="BO845" s="459">
        <f t="shared" si="1627"/>
      </c>
      <c r="BP845" s="459">
        <f t="shared" si="1627"/>
      </c>
      <c r="BQ845" s="757">
        <f>IF(AND(BQ4&gt;=$B814,BP4&lt;$B814),BP814,0)</f>
      </c>
      <c r="BR845" s="757">
        <f>IF(AND(BR4&gt;=G813,BQ4&lt;G813),BQ814,0)</f>
      </c>
      <c r="BS845" s="962">
        <f t="shared" si="1621"/>
      </c>
      <c r="BT845" s="758"/>
      <c r="BU845" s="757">
        <f>IF(AND(BU4&gt;=$B814,BT4&lt;$B814),BT814,0)</f>
      </c>
      <c r="BV845" s="757">
        <f>IF(AND(BV4&gt;=$B814,BU4&lt;$B814),BU814,0)</f>
      </c>
      <c r="BW845" s="757">
        <f>IF(AND(BW4&gt;=$B814,BV4&lt;$B814),BV814,0)</f>
      </c>
      <c r="BX845" s="962">
        <f>SUM(BT845,BU845,BV845,BW845)</f>
      </c>
      <c r="BY845" s="757">
        <f>IF(AND(BY4&gt;=$B814,BX4&lt;$B814),BX814,0)</f>
      </c>
      <c r="BZ845" s="757">
        <f>IF(AND(BZ4&gt;=$B814,BY4&lt;$B814),BY814,0)</f>
      </c>
      <c r="CA845" s="757">
        <f>IF(AND(CA4&gt;=$B814,BZ4&lt;$B814),BZ814,0)</f>
      </c>
      <c r="CB845" s="757">
        <f>IF(AND(CB4&gt;=$B814,CA4&lt;$B814),CA814,0)</f>
      </c>
      <c r="CC845" s="962">
        <f>SUM(BY845,BZ845,CA845,CB845)</f>
      </c>
      <c r="CD845" s="962">
        <f>IF(AND(CD4&gt;=$B814,CC4&lt;$B814),CC814,0)</f>
      </c>
      <c r="CE845" s="962">
        <f>IF(AND(CE4&gt;=$B814,CD4&lt;$B814),CD814,0)</f>
      </c>
      <c r="CF845" s="962">
        <f>IF(AND(CF4&gt;=$B814,CE4&lt;$B814),CE814,0)</f>
      </c>
      <c r="CG845" s="273"/>
    </row>
    <row r="846" spans="1:85" hidden="1" outlineLevel="2" x14ac:dyDescent="0.3">
      <c r="A846" s="413" t="s">
        <v>885</v>
      </c>
      <c r="B846" s="442"/>
      <c r="C846" s="962"/>
      <c r="D846" s="962"/>
      <c r="E846" s="962"/>
      <c r="F846" s="962"/>
      <c r="G846" s="757"/>
      <c r="H846" s="757"/>
      <c r="I846" s="757"/>
      <c r="J846" s="757"/>
      <c r="K846" s="962"/>
      <c r="L846" s="757"/>
      <c r="M846" s="757"/>
      <c r="N846" s="757"/>
      <c r="O846" s="757"/>
      <c r="P846" s="962"/>
      <c r="Q846" s="757"/>
      <c r="R846" s="757"/>
      <c r="S846" s="757"/>
      <c r="T846" s="757"/>
      <c r="U846" s="962"/>
      <c r="V846" s="757"/>
      <c r="W846" s="757"/>
      <c r="X846" s="757"/>
      <c r="Y846" s="757"/>
      <c r="Z846" s="962"/>
      <c r="AA846" s="757"/>
      <c r="AB846" s="757"/>
      <c r="AC846" s="757"/>
      <c r="AD846" s="757"/>
      <c r="AE846" s="962"/>
      <c r="AF846" s="757"/>
      <c r="AG846" s="757"/>
      <c r="AH846" s="757"/>
      <c r="AI846" s="757"/>
      <c r="AJ846" s="962"/>
      <c r="AK846" s="757"/>
      <c r="AL846" s="757"/>
      <c r="AM846" s="757"/>
      <c r="AN846" s="757"/>
      <c r="AO846" s="962"/>
      <c r="AP846" s="757"/>
      <c r="AQ846" s="757">
        <f t="shared" si="1622"/>
      </c>
      <c r="AR846" s="757">
        <f t="shared" si="1622"/>
      </c>
      <c r="AS846" s="757">
        <f t="shared" si="1622"/>
      </c>
      <c r="AT846" s="962">
        <f t="shared" si="1611"/>
      </c>
      <c r="AU846" s="757">
        <f t="shared" si="1623"/>
      </c>
      <c r="AV846" s="757">
        <f t="shared" si="1623"/>
      </c>
      <c r="AW846" s="757">
        <f t="shared" si="1623"/>
      </c>
      <c r="AX846" s="757">
        <f t="shared" si="1623"/>
      </c>
      <c r="AY846" s="962">
        <f t="shared" si="1615"/>
      </c>
      <c r="AZ846" s="757">
        <f>AY815-AZ815</f>
      </c>
      <c r="BA846" s="757">
        <f t="shared" si="1624"/>
      </c>
      <c r="BB846" s="757">
        <f t="shared" si="1624"/>
      </c>
      <c r="BC846" s="757">
        <f t="shared" si="1624"/>
      </c>
      <c r="BD846" s="962">
        <f t="shared" si="1617"/>
      </c>
      <c r="BE846" s="757">
        <f t="shared" si="1625"/>
      </c>
      <c r="BF846" s="757">
        <f t="shared" si="1625"/>
      </c>
      <c r="BG846" s="757">
        <f t="shared" si="1625"/>
      </c>
      <c r="BH846" s="757">
        <f t="shared" si="1625"/>
      </c>
      <c r="BI846" s="962">
        <f t="shared" si="1619"/>
      </c>
      <c r="BJ846" s="459">
        <f t="shared" si="1626"/>
      </c>
      <c r="BK846" s="459">
        <f t="shared" si="1626"/>
      </c>
      <c r="BL846" s="757">
        <f>IF(AND(BL4&gt;=$B815,BK4&lt;$B815),BK815,0)</f>
      </c>
      <c r="BM846" s="757">
        <f>IF(AND(BM4&gt;=B813,BL4&lt;B813),BL815,0)</f>
      </c>
      <c r="BN846" s="962">
        <f t="shared" si="1620"/>
      </c>
      <c r="BO846" s="459">
        <f t="shared" si="1627"/>
      </c>
      <c r="BP846" s="459">
        <f t="shared" si="1627"/>
      </c>
      <c r="BQ846" s="757">
        <f>IF(AND(BQ4&gt;=$B815,BP4&lt;$B815),BP815,0)</f>
      </c>
      <c r="BR846" s="757">
        <f>IF(AND(BR4&gt;=G813,BQ4&lt;G813),BQ815,0)</f>
      </c>
      <c r="BS846" s="962">
        <f t="shared" si="1621"/>
      </c>
      <c r="BT846" s="758"/>
      <c r="BU846" s="757">
        <f>IF(AND(BU4&gt;=$B815,BT4&lt;$B815),BT815,0)</f>
      </c>
      <c r="BV846" s="757">
        <f>IF(AND(BV4&gt;=$B815,BU4&lt;$B815),BU815,0)</f>
      </c>
      <c r="BW846" s="757">
        <f>IF(AND(BW4&gt;=$B815,BV4&lt;$B815),BV815,0)</f>
      </c>
      <c r="BX846" s="962">
        <f>SUM(BT846,BU846,BV846,BW846)</f>
      </c>
      <c r="BY846" s="757">
        <f>IF(AND(BY4&gt;=$B815,BX4&lt;$B815),BX815,0)</f>
      </c>
      <c r="BZ846" s="757">
        <f>IF(AND(BZ4&gt;=$B815,BY4&lt;$B815),BY815,0)</f>
      </c>
      <c r="CA846" s="757">
        <f>IF(AND(CA4&gt;=$B815,BZ4&lt;$B815),BZ815,0)</f>
      </c>
      <c r="CB846" s="757">
        <f>IF(AND(CB4&gt;=$B815,CA4&lt;$B815),CA815,0)</f>
      </c>
      <c r="CC846" s="962">
        <f>SUM(BY846,BZ846,CA846,CB846)</f>
      </c>
      <c r="CD846" s="962">
        <f>IF(AND(CD4&gt;=$B815,CC4&lt;$B815),CC815,0)</f>
      </c>
      <c r="CE846" s="962">
        <f>IF(AND(CE4&gt;=$B815,CD4&lt;$B815),CD815,0)</f>
      </c>
      <c r="CF846" s="962">
        <f>IF(AND(CF4&gt;=$B815,CE4&lt;$B815),CE815,0)</f>
      </c>
      <c r="CG846" s="273"/>
    </row>
    <row r="847" spans="1:85" hidden="1" outlineLevel="1" collapsed="1" x14ac:dyDescent="0.3">
      <c r="A847" s="424" t="s">
        <v>862</v>
      </c>
      <c r="B847" s="442"/>
      <c r="C847" s="962"/>
      <c r="D847" s="962"/>
      <c r="E847" s="962"/>
      <c r="F847" s="962"/>
      <c r="G847" s="757"/>
      <c r="H847" s="757"/>
      <c r="I847" s="757"/>
      <c r="J847" s="757"/>
      <c r="K847" s="962"/>
      <c r="L847" s="757"/>
      <c r="M847" s="757"/>
      <c r="N847" s="757"/>
      <c r="O847" s="757"/>
      <c r="P847" s="962"/>
      <c r="Q847" s="757"/>
      <c r="R847" s="757"/>
      <c r="S847" s="757"/>
      <c r="T847" s="757"/>
      <c r="U847" s="962"/>
      <c r="V847" s="757"/>
      <c r="W847" s="757"/>
      <c r="X847" s="757"/>
      <c r="Y847" s="757"/>
      <c r="Z847" s="962"/>
      <c r="AA847" s="757"/>
      <c r="AB847" s="757"/>
      <c r="AC847" s="757"/>
      <c r="AD847" s="757"/>
      <c r="AE847" s="962"/>
      <c r="AF847" s="757"/>
      <c r="AG847" s="757"/>
      <c r="AH847" s="757"/>
      <c r="AI847" s="757"/>
      <c r="AJ847" s="962"/>
      <c r="AK847" s="757"/>
      <c r="AL847" s="757"/>
      <c r="AM847" s="757"/>
      <c r="AN847" s="757"/>
      <c r="AO847" s="962"/>
      <c r="AP847" s="757"/>
      <c r="AQ847" s="757">
        <f t="shared" ref="AQ847:BS847" si="1628">+AQ846/AQ$775</f>
      </c>
      <c r="AR847" s="757">
        <f t="shared" si="1628"/>
      </c>
      <c r="AS847" s="757">
        <f t="shared" si="1628"/>
      </c>
      <c r="AT847" s="962">
        <f t="shared" si="1628"/>
      </c>
      <c r="AU847" s="757">
        <f t="shared" si="1628"/>
      </c>
      <c r="AV847" s="757">
        <f t="shared" si="1628"/>
      </c>
      <c r="AW847" s="757">
        <f t="shared" si="1628"/>
      </c>
      <c r="AX847" s="757">
        <f t="shared" si="1628"/>
      </c>
      <c r="AY847" s="962">
        <f t="shared" si="1628"/>
      </c>
      <c r="AZ847" s="757">
        <f t="shared" si="1628"/>
      </c>
      <c r="BA847" s="757">
        <f t="shared" si="1628"/>
      </c>
      <c r="BB847" s="757">
        <f t="shared" si="1628"/>
      </c>
      <c r="BC847" s="757">
        <f t="shared" si="1628"/>
      </c>
      <c r="BD847" s="962">
        <f t="shared" si="1628"/>
      </c>
      <c r="BE847" s="757">
        <f t="shared" si="1628"/>
      </c>
      <c r="BF847" s="757">
        <f t="shared" si="1628"/>
      </c>
      <c r="BG847" s="757">
        <f t="shared" si="1628"/>
      </c>
      <c r="BH847" s="757">
        <f t="shared" si="1628"/>
      </c>
      <c r="BI847" s="962">
        <f t="shared" si="1628"/>
      </c>
      <c r="BJ847" s="459">
        <f t="shared" si="1628"/>
      </c>
      <c r="BK847" s="459">
        <f t="shared" si="1628"/>
      </c>
      <c r="BL847" s="757">
        <f t="shared" si="1628"/>
      </c>
      <c r="BM847" s="757">
        <f t="shared" si="1628"/>
      </c>
      <c r="BN847" s="962">
        <f t="shared" si="1628"/>
      </c>
      <c r="BO847" s="459">
        <f t="shared" si="1628"/>
      </c>
      <c r="BP847" s="459">
        <f t="shared" si="1628"/>
      </c>
      <c r="BQ847" s="757">
        <f t="shared" si="1628"/>
      </c>
      <c r="BR847" s="757">
        <f t="shared" si="1628"/>
      </c>
      <c r="BS847" s="962">
        <f t="shared" si="1628"/>
      </c>
      <c r="BT847" s="758"/>
      <c r="BU847" s="757">
        <f t="shared" ref="BU847:CF847" si="1629">+BU846/BU$775</f>
      </c>
      <c r="BV847" s="757">
        <f t="shared" si="1629"/>
      </c>
      <c r="BW847" s="757">
        <f t="shared" si="1629"/>
      </c>
      <c r="BX847" s="962">
        <f t="shared" si="1629"/>
      </c>
      <c r="BY847" s="757">
        <f t="shared" si="1629"/>
      </c>
      <c r="BZ847" s="757">
        <f t="shared" si="1629"/>
      </c>
      <c r="CA847" s="757">
        <f t="shared" si="1629"/>
      </c>
      <c r="CB847" s="757">
        <f t="shared" si="1629"/>
      </c>
      <c r="CC847" s="962">
        <f t="shared" si="1629"/>
      </c>
      <c r="CD847" s="962">
        <f t="shared" si="1629"/>
      </c>
      <c r="CE847" s="962">
        <f t="shared" si="1629"/>
      </c>
      <c r="CF847" s="962">
        <f t="shared" si="1629"/>
      </c>
      <c r="CG847" s="273"/>
    </row>
    <row r="848" spans="1:85" hidden="1" outlineLevel="1" x14ac:dyDescent="0.3">
      <c r="A848" s="424" t="s">
        <v>829</v>
      </c>
      <c r="B848" s="442"/>
      <c r="C848" s="962"/>
      <c r="D848" s="962"/>
      <c r="E848" s="962"/>
      <c r="F848" s="962"/>
      <c r="G848" s="757"/>
      <c r="H848" s="757"/>
      <c r="I848" s="757"/>
      <c r="J848" s="757"/>
      <c r="K848" s="962"/>
      <c r="L848" s="757"/>
      <c r="M848" s="757"/>
      <c r="N848" s="757"/>
      <c r="O848" s="757"/>
      <c r="P848" s="962"/>
      <c r="Q848" s="757"/>
      <c r="R848" s="757"/>
      <c r="S848" s="757"/>
      <c r="T848" s="757"/>
      <c r="U848" s="962"/>
      <c r="V848" s="757"/>
      <c r="W848" s="757"/>
      <c r="X848" s="757"/>
      <c r="Y848" s="757"/>
      <c r="Z848" s="962"/>
      <c r="AA848" s="757"/>
      <c r="AB848" s="757"/>
      <c r="AC848" s="757"/>
      <c r="AD848" s="757"/>
      <c r="AE848" s="962"/>
      <c r="AF848" s="757"/>
      <c r="AG848" s="757"/>
      <c r="AH848" s="757"/>
      <c r="AI848" s="757"/>
      <c r="AJ848" s="962"/>
      <c r="AK848" s="757"/>
      <c r="AL848" s="757"/>
      <c r="AM848" s="757"/>
      <c r="AN848" s="757"/>
      <c r="AO848" s="962"/>
      <c r="AP848" s="757"/>
      <c r="AQ848" s="757">
        <f t="shared" ref="AQ848:AS850" si="1630">AP817-AQ817</f>
      </c>
      <c r="AR848" s="757">
        <f t="shared" si="1630"/>
      </c>
      <c r="AS848" s="757">
        <f t="shared" si="1630"/>
      </c>
      <c r="AT848" s="962">
        <f>AO817-AT817</f>
      </c>
      <c r="AU848" s="757">
        <f t="shared" ref="AU848:AX850" si="1631">AT817-AU817</f>
      </c>
      <c r="AV848" s="757">
        <f t="shared" si="1631"/>
      </c>
      <c r="AW848" s="757">
        <f t="shared" si="1631"/>
      </c>
      <c r="AX848" s="757">
        <f t="shared" si="1631"/>
      </c>
      <c r="AY848" s="962">
        <f>AT817-AY817</f>
      </c>
      <c r="AZ848" s="757">
        <f t="shared" ref="AZ848:BC849" si="1632">AY817-AZ817</f>
      </c>
      <c r="BA848" s="757">
        <f t="shared" si="1632"/>
      </c>
      <c r="BB848" s="757">
        <f t="shared" si="1632"/>
      </c>
      <c r="BC848" s="757">
        <f t="shared" si="1632"/>
      </c>
      <c r="BD848" s="962">
        <f>AY817-BD817</f>
      </c>
      <c r="BE848" s="757">
        <f t="shared" ref="BE848:BH849" si="1633">BD817-BE817</f>
      </c>
      <c r="BF848" s="757">
        <f t="shared" si="1633"/>
      </c>
      <c r="BG848" s="757">
        <f t="shared" si="1633"/>
      </c>
      <c r="BH848" s="757">
        <f t="shared" si="1633"/>
      </c>
      <c r="BI848" s="962">
        <f>BD817-BI817</f>
      </c>
      <c r="BJ848" s="459">
        <f t="shared" ref="BJ848:BK850" si="1634">BI817-BJ817</f>
      </c>
      <c r="BK848" s="459">
        <f t="shared" si="1634"/>
      </c>
      <c r="BL848" s="757">
        <f>IF(AND(BL4&gt;=$B817,BK4&lt;$B817),BK817,0)</f>
      </c>
      <c r="BM848" s="757">
        <f>IF(AND(BM4&gt;=B813,BL4&lt;B813),BL817,0)</f>
      </c>
      <c r="BN848" s="962">
        <f>BI817-BN817</f>
      </c>
      <c r="BO848" s="459">
        <f t="shared" ref="BO848:BP850" si="1635">BN817-BO817</f>
      </c>
      <c r="BP848" s="459">
        <f t="shared" si="1635"/>
      </c>
      <c r="BQ848" s="757">
        <f>IF(AND(BQ4&gt;=$B817,BP4&lt;$B817),BP817,0)</f>
      </c>
      <c r="BR848" s="757">
        <f>IF(AND(BR4&gt;=G813,BQ4&lt;G813),BQ817,0)</f>
      </c>
      <c r="BS848" s="962">
        <f>BN817-BS817</f>
      </c>
      <c r="BT848" s="758"/>
      <c r="BU848" s="757">
        <f>IF(AND(BU4&gt;=$B817,BT4&lt;$B817),BT817,0)</f>
      </c>
      <c r="BV848" s="757">
        <f>IF(AND(BV4&gt;=$B817,BU4&lt;$B817),BU817,0)</f>
      </c>
      <c r="BW848" s="757">
        <f>IF(AND(BW4&gt;=$B817,BV4&lt;$B817),BV817,0)</f>
      </c>
      <c r="BX848" s="962">
        <f>SUM(BT848,BU848,BV848,BW848)</f>
      </c>
      <c r="BY848" s="757">
        <f>IF(AND(BY4&gt;=$B817,BX4&lt;$B817),BX817,0)</f>
      </c>
      <c r="BZ848" s="757">
        <f>IF(AND(BZ4&gt;=$B817,BY4&lt;$B817),BY817,0)</f>
      </c>
      <c r="CA848" s="757">
        <f>IF(AND(CA4&gt;=$B817,BZ4&lt;$B817),BZ817,0)</f>
      </c>
      <c r="CB848" s="757">
        <f>IF(AND(CB4&gt;=$B817,CA4&lt;$B817),CA817,0)</f>
      </c>
      <c r="CC848" s="962">
        <f>SUM(BY848,BZ848,CA848,CB848)</f>
      </c>
      <c r="CD848" s="962">
        <f>IF(AND(CD4&gt;=$B817,CC4&lt;$B817),CC817,0)</f>
      </c>
      <c r="CE848" s="962">
        <f>IF(AND(CE4&gt;=$B817,CD4&lt;$B817),CD817,0)</f>
      </c>
      <c r="CF848" s="962">
        <f>IF(AND(CF4&gt;=$B817,CE4&lt;$B817),CE817,0)</f>
      </c>
      <c r="CG848" s="273"/>
    </row>
    <row r="849" spans="1:85" hidden="1" outlineLevel="1" x14ac:dyDescent="0.3">
      <c r="A849" s="424" t="s">
        <v>830</v>
      </c>
      <c r="B849" s="442"/>
      <c r="C849" s="962"/>
      <c r="D849" s="962"/>
      <c r="E849" s="962"/>
      <c r="F849" s="962"/>
      <c r="G849" s="757"/>
      <c r="H849" s="757"/>
      <c r="I849" s="757"/>
      <c r="J849" s="757"/>
      <c r="K849" s="962"/>
      <c r="L849" s="757"/>
      <c r="M849" s="757"/>
      <c r="N849" s="757"/>
      <c r="O849" s="757"/>
      <c r="P849" s="962"/>
      <c r="Q849" s="757"/>
      <c r="R849" s="757"/>
      <c r="S849" s="757"/>
      <c r="T849" s="757"/>
      <c r="U849" s="962"/>
      <c r="V849" s="757"/>
      <c r="W849" s="757"/>
      <c r="X849" s="757"/>
      <c r="Y849" s="757"/>
      <c r="Z849" s="962"/>
      <c r="AA849" s="757"/>
      <c r="AB849" s="757"/>
      <c r="AC849" s="757"/>
      <c r="AD849" s="757"/>
      <c r="AE849" s="962"/>
      <c r="AF849" s="757"/>
      <c r="AG849" s="757"/>
      <c r="AH849" s="757"/>
      <c r="AI849" s="757"/>
      <c r="AJ849" s="962"/>
      <c r="AK849" s="757"/>
      <c r="AL849" s="757"/>
      <c r="AM849" s="757"/>
      <c r="AN849" s="757"/>
      <c r="AO849" s="962"/>
      <c r="AP849" s="757">
        <f>AO818-AP818</f>
      </c>
      <c r="AQ849" s="757">
        <f t="shared" si="1630"/>
      </c>
      <c r="AR849" s="757">
        <f t="shared" si="1630"/>
      </c>
      <c r="AS849" s="757">
        <f t="shared" si="1630"/>
      </c>
      <c r="AT849" s="962">
        <f>AO818-AT818</f>
      </c>
      <c r="AU849" s="757">
        <f t="shared" si="1631"/>
      </c>
      <c r="AV849" s="757">
        <f t="shared" si="1631"/>
      </c>
      <c r="AW849" s="757">
        <f t="shared" si="1631"/>
      </c>
      <c r="AX849" s="757">
        <f t="shared" si="1631"/>
      </c>
      <c r="AY849" s="962">
        <f>AT818-AY818</f>
      </c>
      <c r="AZ849" s="757">
        <f t="shared" si="1632"/>
      </c>
      <c r="BA849" s="757">
        <f t="shared" si="1632"/>
      </c>
      <c r="BB849" s="757">
        <f t="shared" si="1632"/>
      </c>
      <c r="BC849" s="757">
        <f t="shared" si="1632"/>
      </c>
      <c r="BD849" s="962">
        <f>AY818-BD818</f>
      </c>
      <c r="BE849" s="757">
        <f t="shared" si="1633"/>
      </c>
      <c r="BF849" s="757">
        <f t="shared" si="1633"/>
      </c>
      <c r="BG849" s="757">
        <f t="shared" si="1633"/>
      </c>
      <c r="BH849" s="757">
        <f t="shared" si="1633"/>
      </c>
      <c r="BI849" s="962">
        <f>BD818-BI818</f>
      </c>
      <c r="BJ849" s="459">
        <f t="shared" si="1634"/>
      </c>
      <c r="BK849" s="459">
        <f t="shared" si="1634"/>
      </c>
      <c r="BL849" s="757">
        <f>IF(AND(BL4&gt;=$B818,BK4&lt;$B818),BK818,0)</f>
      </c>
      <c r="BM849" s="757">
        <f>IF(AND(BM4&gt;=B813,BL4&lt;B813),BL818,0)</f>
      </c>
      <c r="BN849" s="962">
        <f>BI818-BN818</f>
      </c>
      <c r="BO849" s="459">
        <f t="shared" si="1635"/>
      </c>
      <c r="BP849" s="459">
        <f t="shared" si="1635"/>
      </c>
      <c r="BQ849" s="757">
        <f>IF(AND(BQ4&gt;=$B818,BP4&lt;$B818),BP818,0)</f>
      </c>
      <c r="BR849" s="757">
        <f>IF(AND(BR4&gt;=G813,BQ4&lt;G813),BQ818,0)</f>
      </c>
      <c r="BS849" s="962">
        <f>BN818-BS818</f>
      </c>
      <c r="BT849" s="795">
        <f>BS818-BT818</f>
      </c>
      <c r="BU849" s="757">
        <f>IF(AND(BU4&gt;=$B818,BT4&lt;$B818),BT818,0)</f>
      </c>
      <c r="BV849" s="757">
        <f>IF(AND(BV4&gt;=$B818,BU4&lt;$B818),BU818,0)</f>
      </c>
      <c r="BW849" s="757">
        <f>IF(AND(BW4&gt;=$B818,BV4&lt;$B818),BV818,0)</f>
      </c>
      <c r="BX849" s="962">
        <f>SUM(BT849,BU849,BV849,BW849)</f>
      </c>
      <c r="BY849" s="757">
        <f>IF(AND(BY4&gt;=$B818,BX4&lt;$B818),BX818,0)</f>
      </c>
      <c r="BZ849" s="757">
        <f>IF(AND(BZ4&gt;=$B818,BY4&lt;$B818),BY818,0)</f>
      </c>
      <c r="CA849" s="757">
        <f>IF(AND(CA4&gt;=$B818,BZ4&lt;$B818),BZ818,0)</f>
      </c>
      <c r="CB849" s="757">
        <f>IF(AND(CB4&gt;=$B818,CA4&lt;$B818),CA818,0)</f>
      </c>
      <c r="CC849" s="962">
        <f>SUM(BY849,BZ849,CA849,CB849)</f>
      </c>
      <c r="CD849" s="962">
        <f>IF(AND(CD4&gt;=$B818,CC4&lt;$B818),CC818,0)</f>
      </c>
      <c r="CE849" s="962">
        <f>IF(AND(CE4&gt;=$B818,CD4&lt;$B818),CD818,0)</f>
      </c>
      <c r="CF849" s="962">
        <f>IF(AND(CF4&gt;=$B818,CE4&lt;$B818),CE818,0)</f>
      </c>
      <c r="CG849" s="273"/>
    </row>
    <row r="850" spans="1:85" hidden="1" outlineLevel="2" x14ac:dyDescent="0.3">
      <c r="A850" s="413" t="s">
        <v>886</v>
      </c>
      <c r="B850" s="442"/>
      <c r="C850" s="962"/>
      <c r="D850" s="962"/>
      <c r="E850" s="962"/>
      <c r="F850" s="962"/>
      <c r="G850" s="757"/>
      <c r="H850" s="757"/>
      <c r="I850" s="757"/>
      <c r="J850" s="757"/>
      <c r="K850" s="962"/>
      <c r="L850" s="757"/>
      <c r="M850" s="757"/>
      <c r="N850" s="757"/>
      <c r="O850" s="757"/>
      <c r="P850" s="962"/>
      <c r="Q850" s="757"/>
      <c r="R850" s="757"/>
      <c r="S850" s="757"/>
      <c r="T850" s="757"/>
      <c r="U850" s="962"/>
      <c r="V850" s="757"/>
      <c r="W850" s="757"/>
      <c r="X850" s="757"/>
      <c r="Y850" s="757"/>
      <c r="Z850" s="962"/>
      <c r="AA850" s="757"/>
      <c r="AB850" s="757"/>
      <c r="AC850" s="757"/>
      <c r="AD850" s="757"/>
      <c r="AE850" s="962"/>
      <c r="AF850" s="757"/>
      <c r="AG850" s="757"/>
      <c r="AH850" s="757"/>
      <c r="AI850" s="757"/>
      <c r="AJ850" s="962"/>
      <c r="AK850" s="757"/>
      <c r="AL850" s="757"/>
      <c r="AM850" s="757"/>
      <c r="AN850" s="757"/>
      <c r="AO850" s="962"/>
      <c r="AP850" s="757">
        <f>AO819-AP819</f>
      </c>
      <c r="AQ850" s="757">
        <f t="shared" si="1630"/>
      </c>
      <c r="AR850" s="757">
        <f t="shared" si="1630"/>
      </c>
      <c r="AS850" s="757">
        <f t="shared" si="1630"/>
      </c>
      <c r="AT850" s="962">
        <f>AO819-AT819</f>
      </c>
      <c r="AU850" s="757">
        <f t="shared" si="1631"/>
      </c>
      <c r="AV850" s="757">
        <f t="shared" si="1631"/>
      </c>
      <c r="AW850" s="757">
        <f t="shared" si="1631"/>
      </c>
      <c r="AX850" s="757">
        <f t="shared" si="1631"/>
      </c>
      <c r="AY850" s="962">
        <f>AT819-AY819</f>
      </c>
      <c r="AZ850" s="757">
        <f>AY819-AZ819</f>
      </c>
      <c r="BA850" s="757">
        <f>AZ819-BA819</f>
      </c>
      <c r="BB850" s="757">
        <f>BA819-BB819</f>
      </c>
      <c r="BC850" s="757">
        <f>IF(AND(BC4&gt;=B813,BB4&lt;B813),BB819,0)</f>
      </c>
      <c r="BD850" s="962">
        <f>AY819-BD819</f>
      </c>
      <c r="BE850" s="757">
        <f>BD819-BE819</f>
      </c>
      <c r="BF850" s="757">
        <f>BE819-BF819</f>
      </c>
      <c r="BG850" s="757">
        <f>BF819-BG819</f>
      </c>
      <c r="BH850" s="757">
        <f>IF(AND(BH4&gt;=G813,BG4&lt;G813),BG819,0)</f>
      </c>
      <c r="BI850" s="962">
        <f>BD819-BI819</f>
      </c>
      <c r="BJ850" s="459">
        <f t="shared" si="1634"/>
      </c>
      <c r="BK850" s="459">
        <f t="shared" si="1634"/>
      </c>
      <c r="BL850" s="757">
        <f>IF(AND(BL4&gt;=$B819,BK4&lt;$B819),BK819,0)</f>
      </c>
      <c r="BM850" s="757">
        <f>IF(AND(BM4&gt;=L813,BL4&lt;L813),BL819,0)</f>
      </c>
      <c r="BN850" s="962">
        <f>BI819-BN819</f>
      </c>
      <c r="BO850" s="459">
        <f t="shared" si="1635"/>
      </c>
      <c r="BP850" s="459">
        <f t="shared" si="1635"/>
      </c>
      <c r="BQ850" s="757">
        <f>IF(AND(BQ4&gt;=$B819,BP4&lt;$B819),BP819,0)</f>
      </c>
      <c r="BR850" s="757">
        <f>IF(AND(BR4&gt;=Q813,BQ4&lt;Q813),BQ819,0)</f>
      </c>
      <c r="BS850" s="962">
        <f>BN819-BS819</f>
      </c>
      <c r="BT850" s="795">
        <f>BS819-BT819</f>
      </c>
      <c r="BU850" s="757">
        <f>IF(AND(BU4&gt;=$B819,BT4&lt;$B819),BT819,0)</f>
      </c>
      <c r="BV850" s="757">
        <f>IF(AND(BV4&gt;=$B819,BU4&lt;$B819),BU819,0)</f>
      </c>
      <c r="BW850" s="757">
        <f>IF(AND(BW4&gt;=$B819,BV4&lt;$B819),BV819,0)</f>
      </c>
      <c r="BX850" s="962">
        <f>SUM(BT850,BU850,BV850,BW850)</f>
      </c>
      <c r="BY850" s="757">
        <f>IF(AND(BY4&gt;=$B819,BX4&lt;$B819),BX819,0)</f>
      </c>
      <c r="BZ850" s="757">
        <f>IF(AND(BZ4&gt;=$B819,BY4&lt;$B819),BY819,0)</f>
      </c>
      <c r="CA850" s="757">
        <f>IF(AND(CA4&gt;=$B819,BZ4&lt;$B819),BZ819,0)</f>
      </c>
      <c r="CB850" s="757">
        <f>IF(AND(CB4&gt;=$B819,CA4&lt;$B819),CA819,0)</f>
      </c>
      <c r="CC850" s="962">
        <f>SUM(BY850,BZ850,CA850,CB850)</f>
      </c>
      <c r="CD850" s="962">
        <f>IF(AND(CD4&gt;=$B819,CC4&lt;$B819),CC819,0)</f>
      </c>
      <c r="CE850" s="962">
        <f>IF(AND(CE4&gt;=$B819,CD4&lt;$B819),CD819,0)</f>
      </c>
      <c r="CF850" s="962">
        <f>IF(AND(CF4&gt;=$B819,CE4&lt;$B819),CE819,0)</f>
      </c>
      <c r="CG850" s="273"/>
    </row>
    <row r="851" spans="1:85" hidden="1" outlineLevel="1" collapsed="1" x14ac:dyDescent="0.3">
      <c r="A851" s="424" t="s">
        <v>863</v>
      </c>
      <c r="B851" s="442"/>
      <c r="C851" s="962"/>
      <c r="D851" s="962"/>
      <c r="E851" s="962"/>
      <c r="F851" s="962"/>
      <c r="G851" s="757"/>
      <c r="H851" s="757"/>
      <c r="I851" s="757"/>
      <c r="J851" s="757"/>
      <c r="K851" s="962"/>
      <c r="L851" s="757"/>
      <c r="M851" s="757"/>
      <c r="N851" s="757"/>
      <c r="O851" s="757"/>
      <c r="P851" s="962"/>
      <c r="Q851" s="757"/>
      <c r="R851" s="757"/>
      <c r="S851" s="757"/>
      <c r="T851" s="757"/>
      <c r="U851" s="962"/>
      <c r="V851" s="757"/>
      <c r="W851" s="757"/>
      <c r="X851" s="757"/>
      <c r="Y851" s="757"/>
      <c r="Z851" s="962"/>
      <c r="AA851" s="757"/>
      <c r="AB851" s="757"/>
      <c r="AC851" s="757"/>
      <c r="AD851" s="757"/>
      <c r="AE851" s="962"/>
      <c r="AF851" s="757"/>
      <c r="AG851" s="757"/>
      <c r="AH851" s="757"/>
      <c r="AI851" s="757"/>
      <c r="AJ851" s="962"/>
      <c r="AK851" s="757"/>
      <c r="AL851" s="757"/>
      <c r="AM851" s="757"/>
      <c r="AN851" s="757"/>
      <c r="AO851" s="962"/>
      <c r="AP851" s="757">
        <f t="shared" ref="AP851" si="1636">+AP850/AP$775</f>
      </c>
      <c r="AQ851" s="757">
        <f t="shared" ref="AQ851" si="1637">+AQ850/AQ$775</f>
      </c>
      <c r="AR851" s="757">
        <f t="shared" ref="AR851" si="1638">+AR850/AR$775</f>
      </c>
      <c r="AS851" s="757">
        <f t="shared" ref="AS851" si="1639">+AS850/AS$775</f>
      </c>
      <c r="AT851" s="962">
        <f t="shared" ref="AT851" si="1640">+AT850/AT$775</f>
      </c>
      <c r="AU851" s="757">
        <f t="shared" ref="AU851" si="1641">+AU850/AU$775</f>
      </c>
      <c r="AV851" s="757">
        <f t="shared" ref="AV851" si="1642">+AV850/AV$775</f>
      </c>
      <c r="AW851" s="757">
        <f t="shared" ref="AW851" si="1643">+AW850/AW$775</f>
      </c>
      <c r="AX851" s="757">
        <f t="shared" ref="AX851" si="1644">+AX850/AX$775</f>
      </c>
      <c r="AY851" s="962">
        <f t="shared" ref="AY851" si="1645">+AY850/AY$775</f>
      </c>
      <c r="AZ851" s="757">
        <f t="shared" ref="AZ851" si="1646">+AZ850/AZ$775</f>
      </c>
      <c r="BA851" s="757">
        <f t="shared" ref="BA851" si="1647">+BA850/BA$775</f>
      </c>
      <c r="BB851" s="757">
        <f>+BB850/BB$775</f>
      </c>
      <c r="BC851" s="757">
        <f t="shared" ref="BC851:BF851" si="1648">+BC850/BC$775</f>
      </c>
      <c r="BD851" s="962">
        <f t="shared" si="1648"/>
      </c>
      <c r="BE851" s="757">
        <f t="shared" si="1648"/>
      </c>
      <c r="BF851" s="757">
        <f t="shared" si="1648"/>
      </c>
      <c r="BG851" s="757">
        <f t="shared" ref="BG851:BJ851" si="1649">+BG850/BG$775</f>
      </c>
      <c r="BH851" s="757">
        <f t="shared" si="1649"/>
      </c>
      <c r="BI851" s="962">
        <f t="shared" si="1649"/>
      </c>
      <c r="BJ851" s="459">
        <f t="shared" si="1649"/>
      </c>
      <c r="BK851" s="459">
        <f t="shared" ref="BK851:BL851" si="1650">+BK850/BK$775</f>
      </c>
      <c r="BL851" s="757">
        <f t="shared" si="1650"/>
      </c>
      <c r="BM851" s="757">
        <f t="shared" ref="BM851:BN851" si="1651">+BM850/BM$775</f>
      </c>
      <c r="BN851" s="962">
        <f t="shared" si="1651"/>
      </c>
      <c r="BO851" s="459">
        <f>+BO850/BO$775</f>
      </c>
      <c r="BP851" s="459">
        <f>+BP850/BP$775</f>
      </c>
      <c r="BQ851" s="757">
        <f t="shared" ref="BQ851:BS851" si="1652">+BQ850/BQ$775</f>
      </c>
      <c r="BR851" s="757">
        <f t="shared" si="1652"/>
      </c>
      <c r="BS851" s="962">
        <f t="shared" si="1652"/>
      </c>
      <c r="BT851" s="795">
        <f>+BT850/BT$775</f>
      </c>
      <c r="BU851" s="757">
        <f t="shared" ref="BU851:CF851" si="1653">+BU850/BU$775</f>
      </c>
      <c r="BV851" s="757">
        <f t="shared" si="1653"/>
      </c>
      <c r="BW851" s="757">
        <f t="shared" si="1653"/>
      </c>
      <c r="BX851" s="962">
        <f t="shared" si="1653"/>
      </c>
      <c r="BY851" s="757">
        <f t="shared" si="1653"/>
      </c>
      <c r="BZ851" s="757">
        <f t="shared" si="1653"/>
      </c>
      <c r="CA851" s="757">
        <f t="shared" si="1653"/>
      </c>
      <c r="CB851" s="757">
        <f t="shared" si="1653"/>
      </c>
      <c r="CC851" s="962">
        <f t="shared" si="1653"/>
      </c>
      <c r="CD851" s="962">
        <f t="shared" si="1653"/>
      </c>
      <c r="CE851" s="962">
        <f t="shared" si="1653"/>
      </c>
      <c r="CF851" s="962">
        <f t="shared" si="1653"/>
      </c>
      <c r="CG851" s="273"/>
    </row>
    <row r="852" spans="1:85" hidden="1" outlineLevel="1" x14ac:dyDescent="0.3">
      <c r="A852" s="424" t="s">
        <v>831</v>
      </c>
      <c r="B852" s="442"/>
      <c r="C852" s="962"/>
      <c r="D852" s="962"/>
      <c r="E852" s="962"/>
      <c r="F852" s="962"/>
      <c r="G852" s="757"/>
      <c r="H852" s="757"/>
      <c r="I852" s="757"/>
      <c r="J852" s="757"/>
      <c r="K852" s="962"/>
      <c r="L852" s="757"/>
      <c r="M852" s="757"/>
      <c r="N852" s="757"/>
      <c r="O852" s="757"/>
      <c r="P852" s="962"/>
      <c r="Q852" s="757"/>
      <c r="R852" s="757"/>
      <c r="S852" s="757"/>
      <c r="T852" s="757"/>
      <c r="U852" s="962"/>
      <c r="V852" s="757"/>
      <c r="W852" s="757"/>
      <c r="X852" s="757"/>
      <c r="Y852" s="757"/>
      <c r="Z852" s="962"/>
      <c r="AA852" s="757"/>
      <c r="AB852" s="757"/>
      <c r="AC852" s="757"/>
      <c r="AD852" s="757"/>
      <c r="AE852" s="962"/>
      <c r="AF852" s="757"/>
      <c r="AG852" s="757"/>
      <c r="AH852" s="757"/>
      <c r="AI852" s="757"/>
      <c r="AJ852" s="962"/>
      <c r="AK852" s="757"/>
      <c r="AL852" s="757"/>
      <c r="AM852" s="757"/>
      <c r="AN852" s="757"/>
      <c r="AO852" s="962"/>
      <c r="AP852" s="757">
        <f t="shared" ref="AP852:AS854" si="1654">AO821-AP821</f>
      </c>
      <c r="AQ852" s="757">
        <f t="shared" si="1654"/>
      </c>
      <c r="AR852" s="757">
        <f t="shared" si="1654"/>
      </c>
      <c r="AS852" s="757">
        <f t="shared" si="1654"/>
      </c>
      <c r="AT852" s="962">
        <f>AO821-AT821</f>
      </c>
      <c r="AU852" s="757">
        <f t="shared" ref="AU852:AX854" si="1655">AT821-AU821</f>
      </c>
      <c r="AV852" s="757">
        <f t="shared" si="1655"/>
      </c>
      <c r="AW852" s="757">
        <f t="shared" si="1655"/>
      </c>
      <c r="AX852" s="757">
        <f t="shared" si="1655"/>
      </c>
      <c r="AY852" s="962">
        <f>AT821-AY821</f>
      </c>
      <c r="AZ852" s="757">
        <f t="shared" ref="AZ852:BA854" si="1656">AY821-AZ821</f>
      </c>
      <c r="BA852" s="757">
        <f t="shared" si="1656"/>
      </c>
      <c r="BB852" s="757">
        <f t="shared" ref="BB852:BC854" si="1657">BA821-BB821</f>
      </c>
      <c r="BC852" s="757">
        <f t="shared" si="1657"/>
      </c>
      <c r="BD852" s="962">
        <f>AY821-BD821</f>
      </c>
      <c r="BE852" s="757">
        <f t="shared" ref="BE852:BG854" si="1658">BD821-BE821</f>
      </c>
      <c r="BF852" s="757">
        <f t="shared" si="1658"/>
      </c>
      <c r="BG852" s="757">
        <f t="shared" si="1658"/>
      </c>
      <c r="BH852" s="757">
        <f t="shared" ref="BH852:BH854" si="1659">BG821-BH821</f>
      </c>
      <c r="BI852" s="962">
        <f>BD821-BI821</f>
      </c>
      <c r="BJ852" s="459">
        <f t="shared" ref="BJ852:BK854" si="1660">BI821-BJ821</f>
      </c>
      <c r="BK852" s="459">
        <f t="shared" si="1660"/>
      </c>
      <c r="BL852" s="757">
        <f>IF(AND(BL4&gt;=$B821,BK4&lt;$B821),BK821,0)</f>
      </c>
      <c r="BM852" s="757">
        <f>IF(AND(BM4&gt;=B813,BL4&lt;B813),BL821,0)</f>
      </c>
      <c r="BN852" s="962">
        <f>BI821-BN821</f>
      </c>
      <c r="BO852" s="459">
        <f t="shared" ref="BO852:BP854" si="1661">BN821-BO821</f>
      </c>
      <c r="BP852" s="459">
        <f t="shared" si="1661"/>
      </c>
      <c r="BQ852" s="757">
        <f>IF(AND(BQ4&gt;=$B821,BP4&lt;$B821),BP821,0)</f>
      </c>
      <c r="BR852" s="757">
        <f>IF(AND(BR4&gt;=G813,BQ4&lt;G813),BQ821,0)</f>
      </c>
      <c r="BS852" s="962">
        <f>BN821-BS821</f>
      </c>
      <c r="BT852" s="795">
        <f>BS821-BT821</f>
      </c>
      <c r="BU852" s="757">
        <f>IF(AND(BU4&gt;=$B821,BT4&lt;$B821),BT821,0)</f>
      </c>
      <c r="BV852" s="757">
        <f>IF(AND(BV4&gt;=$B821,BU4&lt;$B821),BU821,0)</f>
      </c>
      <c r="BW852" s="757">
        <f>IF(AND(BW4&gt;=$B821,BV4&lt;$B821),BV821,0)</f>
      </c>
      <c r="BX852" s="962">
        <f>SUM(BT852,BU852,BV852,BW852)</f>
      </c>
      <c r="BY852" s="757">
        <f>IF(AND(BY4&gt;=$B821,BX4&lt;$B821),BX821,0)</f>
      </c>
      <c r="BZ852" s="757">
        <f>IF(AND(BZ4&gt;=$B821,BY4&lt;$B821),BY821,0)</f>
      </c>
      <c r="CA852" s="757">
        <f>IF(AND(CA4&gt;=$B821,BZ4&lt;$B821),BZ821,0)</f>
      </c>
      <c r="CB852" s="757">
        <f>IF(AND(CB4&gt;=$B821,CA4&lt;$B821),CA821,0)</f>
      </c>
      <c r="CC852" s="962">
        <f>SUM(BY852,BZ852,CA852,CB852)</f>
      </c>
      <c r="CD852" s="962">
        <f>IF(AND(CD4&gt;=$B821,CC4&lt;$B821),CC821,0)</f>
      </c>
      <c r="CE852" s="962">
        <f>IF(AND(CE4&gt;=$B821,CD4&lt;$B821),CD821,0)</f>
      </c>
      <c r="CF852" s="962">
        <f>IF(AND(CF4&gt;=$B821,CE4&lt;$B821),CE821,0)</f>
      </c>
      <c r="CG852" s="273"/>
    </row>
    <row r="853" spans="1:85" hidden="1" outlineLevel="1" x14ac:dyDescent="0.3">
      <c r="A853" s="424" t="s">
        <v>828</v>
      </c>
      <c r="B853" s="442"/>
      <c r="C853" s="962"/>
      <c r="D853" s="962"/>
      <c r="E853" s="962"/>
      <c r="F853" s="962"/>
      <c r="G853" s="757"/>
      <c r="H853" s="757"/>
      <c r="I853" s="757"/>
      <c r="J853" s="757"/>
      <c r="K853" s="962"/>
      <c r="L853" s="757"/>
      <c r="M853" s="757"/>
      <c r="N853" s="757"/>
      <c r="O853" s="757"/>
      <c r="P853" s="962"/>
      <c r="Q853" s="757"/>
      <c r="R853" s="757"/>
      <c r="S853" s="757"/>
      <c r="T853" s="757"/>
      <c r="U853" s="962"/>
      <c r="V853" s="757"/>
      <c r="W853" s="757"/>
      <c r="X853" s="757"/>
      <c r="Y853" s="757"/>
      <c r="Z853" s="962"/>
      <c r="AA853" s="757"/>
      <c r="AB853" s="757"/>
      <c r="AC853" s="757"/>
      <c r="AD853" s="757"/>
      <c r="AE853" s="962"/>
      <c r="AF853" s="757"/>
      <c r="AG853" s="757"/>
      <c r="AH853" s="757"/>
      <c r="AI853" s="757"/>
      <c r="AJ853" s="962"/>
      <c r="AK853" s="757"/>
      <c r="AL853" s="757"/>
      <c r="AM853" s="757"/>
      <c r="AN853" s="757"/>
      <c r="AO853" s="962"/>
      <c r="AP853" s="757">
        <f t="shared" si="1654"/>
      </c>
      <c r="AQ853" s="757">
        <f t="shared" si="1654"/>
      </c>
      <c r="AR853" s="757">
        <f t="shared" si="1654"/>
      </c>
      <c r="AS853" s="757">
        <f t="shared" si="1654"/>
      </c>
      <c r="AT853" s="962">
        <f>AO822-AT822</f>
      </c>
      <c r="AU853" s="757">
        <f t="shared" si="1655"/>
      </c>
      <c r="AV853" s="757">
        <f t="shared" si="1655"/>
      </c>
      <c r="AW853" s="757">
        <f t="shared" si="1655"/>
      </c>
      <c r="AX853" s="757">
        <f t="shared" si="1655"/>
      </c>
      <c r="AY853" s="962">
        <f>AT822-AY822</f>
      </c>
      <c r="AZ853" s="757">
        <f t="shared" si="1656"/>
      </c>
      <c r="BA853" s="757">
        <f t="shared" si="1656"/>
      </c>
      <c r="BB853" s="757">
        <f t="shared" si="1657"/>
      </c>
      <c r="BC853" s="757">
        <f t="shared" si="1657"/>
      </c>
      <c r="BD853" s="962">
        <f>AY822-BD822</f>
      </c>
      <c r="BE853" s="757">
        <f t="shared" si="1658"/>
      </c>
      <c r="BF853" s="757">
        <f t="shared" si="1658"/>
      </c>
      <c r="BG853" s="757">
        <f t="shared" si="1658"/>
      </c>
      <c r="BH853" s="757">
        <f t="shared" si="1659"/>
      </c>
      <c r="BI853" s="962">
        <f>BD822-BI822</f>
      </c>
      <c r="BJ853" s="459">
        <f t="shared" si="1660"/>
      </c>
      <c r="BK853" s="459">
        <f t="shared" si="1660"/>
      </c>
      <c r="BL853" s="757">
        <f>IF(AND(BL4&gt;=$B822,BK4&lt;$B822),BK822,0)</f>
      </c>
      <c r="BM853" s="757">
        <f>IF(AND(BM4&gt;=B813,BL4&lt;B813),BL822,0)</f>
      </c>
      <c r="BN853" s="962">
        <f>BI822-BN822</f>
      </c>
      <c r="BO853" s="459">
        <f t="shared" si="1661"/>
      </c>
      <c r="BP853" s="459">
        <f t="shared" si="1661"/>
      </c>
      <c r="BQ853" s="757">
        <f>IF(AND(BQ4&gt;=$B822,BP4&lt;$B822),BP822,0)</f>
      </c>
      <c r="BR853" s="757">
        <f>IF(AND(BR4&gt;=G813,BQ4&lt;G813),BQ822,0)</f>
      </c>
      <c r="BS853" s="962">
        <f>BN822-BS822</f>
      </c>
      <c r="BT853" s="795">
        <f>BS822-BT822</f>
      </c>
      <c r="BU853" s="757">
        <f>IF(AND(BU4&gt;=$B822,BT4&lt;$B822),BT822,0)</f>
      </c>
      <c r="BV853" s="757">
        <f>IF(AND(BV4&gt;=$B822,BU4&lt;$B822),BU822,0)</f>
      </c>
      <c r="BW853" s="757">
        <f>IF(AND(BW4&gt;=$B822,BV4&lt;$B822),BV822,0)</f>
      </c>
      <c r="BX853" s="962">
        <f>SUM(BT853,BU853,BV853,BW853)</f>
      </c>
      <c r="BY853" s="757">
        <f>IF(AND(BY4&gt;=$B822,BX4&lt;$B822),BX822,0)</f>
      </c>
      <c r="BZ853" s="757">
        <f>IF(AND(BZ4&gt;=$B822,BY4&lt;$B822),BY822,0)</f>
      </c>
      <c r="CA853" s="757">
        <f>IF(AND(CA4&gt;=$B822,BZ4&lt;$B822),BZ822,0)</f>
      </c>
      <c r="CB853" s="757">
        <f>IF(AND(CB4&gt;=$B822,CA4&lt;$B822),CA822,0)</f>
      </c>
      <c r="CC853" s="962">
        <f>SUM(BY853,BZ853,CA853,CB853)</f>
      </c>
      <c r="CD853" s="962">
        <f>IF(AND(CD4&gt;=$B822,CC4&lt;$B822),CC822,0)</f>
      </c>
      <c r="CE853" s="962">
        <f>IF(AND(CE4&gt;=$B822,CD4&lt;$B822),CD822,0)</f>
      </c>
      <c r="CF853" s="962">
        <f>IF(AND(CF4&gt;=$B822,CE4&lt;$B822),CE822,0)</f>
      </c>
      <c r="CG853" s="273"/>
    </row>
    <row r="854" spans="1:85" hidden="1" outlineLevel="2" x14ac:dyDescent="0.3">
      <c r="A854" s="413" t="s">
        <v>887</v>
      </c>
      <c r="B854" s="442"/>
      <c r="C854" s="962"/>
      <c r="D854" s="962"/>
      <c r="E854" s="962"/>
      <c r="F854" s="962"/>
      <c r="G854" s="757"/>
      <c r="H854" s="757"/>
      <c r="I854" s="757"/>
      <c r="J854" s="757"/>
      <c r="K854" s="962"/>
      <c r="L854" s="757"/>
      <c r="M854" s="757"/>
      <c r="N854" s="757"/>
      <c r="O854" s="757"/>
      <c r="P854" s="962"/>
      <c r="Q854" s="757"/>
      <c r="R854" s="757"/>
      <c r="S854" s="757"/>
      <c r="T854" s="757"/>
      <c r="U854" s="962"/>
      <c r="V854" s="757"/>
      <c r="W854" s="757"/>
      <c r="X854" s="757"/>
      <c r="Y854" s="757"/>
      <c r="Z854" s="962"/>
      <c r="AA854" s="757"/>
      <c r="AB854" s="757"/>
      <c r="AC854" s="757"/>
      <c r="AD854" s="757"/>
      <c r="AE854" s="962"/>
      <c r="AF854" s="757"/>
      <c r="AG854" s="757"/>
      <c r="AH854" s="757"/>
      <c r="AI854" s="757"/>
      <c r="AJ854" s="962"/>
      <c r="AK854" s="757"/>
      <c r="AL854" s="757"/>
      <c r="AM854" s="757"/>
      <c r="AN854" s="757"/>
      <c r="AO854" s="962"/>
      <c r="AP854" s="757">
        <f t="shared" si="1654"/>
      </c>
      <c r="AQ854" s="757">
        <f t="shared" si="1654"/>
      </c>
      <c r="AR854" s="757">
        <f t="shared" si="1654"/>
      </c>
      <c r="AS854" s="757">
        <f t="shared" si="1654"/>
      </c>
      <c r="AT854" s="962">
        <f>AO823-AT823</f>
      </c>
      <c r="AU854" s="757">
        <f t="shared" si="1655"/>
      </c>
      <c r="AV854" s="757">
        <f t="shared" si="1655"/>
      </c>
      <c r="AW854" s="757">
        <f t="shared" si="1655"/>
      </c>
      <c r="AX854" s="757">
        <f t="shared" si="1655"/>
      </c>
      <c r="AY854" s="962">
        <f>AT823-AY823</f>
      </c>
      <c r="AZ854" s="757">
        <f t="shared" si="1656"/>
      </c>
      <c r="BA854" s="757">
        <f t="shared" si="1656"/>
      </c>
      <c r="BB854" s="757">
        <f t="shared" si="1657"/>
      </c>
      <c r="BC854" s="757">
        <f t="shared" si="1657"/>
      </c>
      <c r="BD854" s="962">
        <f>AY823-BD823</f>
      </c>
      <c r="BE854" s="757">
        <f t="shared" si="1658"/>
      </c>
      <c r="BF854" s="757">
        <f t="shared" si="1658"/>
      </c>
      <c r="BG854" s="757">
        <f t="shared" si="1658"/>
      </c>
      <c r="BH854" s="757">
        <f t="shared" si="1659"/>
      </c>
      <c r="BI854" s="962">
        <f>BD823-BI823</f>
      </c>
      <c r="BJ854" s="459">
        <f t="shared" si="1660"/>
      </c>
      <c r="BK854" s="459">
        <f t="shared" si="1660"/>
      </c>
      <c r="BL854" s="757">
        <f>IF(AND(BL4&gt;=$B823,BK4&lt;$B823),BK823,0)</f>
      </c>
      <c r="BM854" s="757">
        <f>IF(AND(BM4&gt;=B813,BL4&lt;B813),BL823,0)</f>
      </c>
      <c r="BN854" s="962">
        <f>BI823-BN823</f>
      </c>
      <c r="BO854" s="459">
        <f t="shared" si="1661"/>
      </c>
      <c r="BP854" s="459">
        <f t="shared" si="1661"/>
      </c>
      <c r="BQ854" s="757">
        <f>IF(AND(BQ4&gt;=$B823,BP4&lt;$B823),BP823,0)</f>
      </c>
      <c r="BR854" s="757">
        <f>IF(AND(BR4&gt;=G813,BQ4&lt;G813),BQ823,0)</f>
      </c>
      <c r="BS854" s="962">
        <f>BN823-BS823</f>
      </c>
      <c r="BT854" s="795">
        <f>BS823-BT823</f>
      </c>
      <c r="BU854" s="757">
        <f>IF(AND(BU4&gt;=$B823,BT4&lt;$B823),BT823,0)</f>
      </c>
      <c r="BV854" s="757">
        <f>IF(AND(BV4&gt;=$B823,BU4&lt;$B823),BU823,0)</f>
      </c>
      <c r="BW854" s="757">
        <f>IF(AND(BW4&gt;=$B823,BV4&lt;$B823),BV823,0)</f>
      </c>
      <c r="BX854" s="962">
        <f>SUM(BT854,BU854,BV854,BW854)</f>
      </c>
      <c r="BY854" s="757">
        <f>IF(AND(BY4&gt;=$B823,BX4&lt;$B823),BX823,0)</f>
      </c>
      <c r="BZ854" s="757">
        <f>IF(AND(BZ4&gt;=$B823,BY4&lt;$B823),BY823,0)</f>
      </c>
      <c r="CA854" s="757">
        <f>IF(AND(CA4&gt;=$B823,BZ4&lt;$B823),BZ823,0)</f>
      </c>
      <c r="CB854" s="757">
        <f>IF(AND(CB4&gt;=$B823,CA4&lt;$B823),CA823,0)</f>
      </c>
      <c r="CC854" s="962">
        <f>SUM(BY854,BZ854,CA854,CB854)</f>
      </c>
      <c r="CD854" s="962">
        <f>IF(AND(CD4&gt;=$B823,CC4&lt;$B823),CC823,0)</f>
      </c>
      <c r="CE854" s="962">
        <f>IF(AND(CE4&gt;=$B823,CD4&lt;$B823),CD823,0)</f>
      </c>
      <c r="CF854" s="962">
        <f>IF(AND(CF4&gt;=$B823,CE4&lt;$B823),CE823,0)</f>
      </c>
      <c r="CG854" s="273"/>
    </row>
    <row r="855" spans="1:85" hidden="1" outlineLevel="1" collapsed="1" x14ac:dyDescent="0.3">
      <c r="A855" s="424" t="s">
        <v>864</v>
      </c>
      <c r="B855" s="442"/>
      <c r="C855" s="962"/>
      <c r="D855" s="962"/>
      <c r="E855" s="962"/>
      <c r="F855" s="962"/>
      <c r="G855" s="757"/>
      <c r="H855" s="757"/>
      <c r="I855" s="757"/>
      <c r="J855" s="757"/>
      <c r="K855" s="962"/>
      <c r="L855" s="757"/>
      <c r="M855" s="757"/>
      <c r="N855" s="757"/>
      <c r="O855" s="757"/>
      <c r="P855" s="962"/>
      <c r="Q855" s="757"/>
      <c r="R855" s="757"/>
      <c r="S855" s="757"/>
      <c r="T855" s="757"/>
      <c r="U855" s="962"/>
      <c r="V855" s="757"/>
      <c r="W855" s="757"/>
      <c r="X855" s="757"/>
      <c r="Y855" s="757"/>
      <c r="Z855" s="962"/>
      <c r="AA855" s="757"/>
      <c r="AB855" s="757"/>
      <c r="AC855" s="757"/>
      <c r="AD855" s="757"/>
      <c r="AE855" s="962"/>
      <c r="AF855" s="757"/>
      <c r="AG855" s="757"/>
      <c r="AH855" s="757"/>
      <c r="AI855" s="757"/>
      <c r="AJ855" s="962"/>
      <c r="AK855" s="757"/>
      <c r="AL855" s="757"/>
      <c r="AM855" s="757"/>
      <c r="AN855" s="757"/>
      <c r="AO855" s="962"/>
      <c r="AP855" s="757">
        <f t="shared" ref="AP855" si="1662">+AP854/AP$775</f>
      </c>
      <c r="AQ855" s="757">
        <f t="shared" ref="AQ855" si="1663">+AQ854/AQ$775</f>
      </c>
      <c r="AR855" s="757">
        <f t="shared" ref="AR855" si="1664">+AR854/AR$775</f>
      </c>
      <c r="AS855" s="757">
        <f t="shared" ref="AS855" si="1665">+AS854/AS$775</f>
      </c>
      <c r="AT855" s="962">
        <f t="shared" ref="AT855" si="1666">+AT854/AT$775</f>
      </c>
      <c r="AU855" s="757">
        <f t="shared" ref="AU855" si="1667">+AU854/AU$775</f>
      </c>
      <c r="AV855" s="757">
        <f t="shared" ref="AV855" si="1668">+AV854/AV$775</f>
      </c>
      <c r="AW855" s="757">
        <f t="shared" ref="AW855" si="1669">+AW854/AW$775</f>
      </c>
      <c r="AX855" s="757">
        <f t="shared" ref="AX855" si="1670">+AX854/AX$775</f>
      </c>
      <c r="AY855" s="962">
        <f t="shared" ref="AY855" si="1671">+AY854/AY$775</f>
      </c>
      <c r="AZ855" s="757">
        <f t="shared" ref="AZ855" si="1672">+AZ854/AZ$775</f>
      </c>
      <c r="BA855" s="757">
        <f t="shared" ref="BA855" si="1673">+BA854/BA$775</f>
      </c>
      <c r="BB855" s="757">
        <f>+BB854/BB$775</f>
      </c>
      <c r="BC855" s="757">
        <f t="shared" ref="BC855:BF855" si="1674">+BC854/BC$775</f>
      </c>
      <c r="BD855" s="962">
        <f t="shared" si="1674"/>
      </c>
      <c r="BE855" s="757">
        <f t="shared" si="1674"/>
      </c>
      <c r="BF855" s="757">
        <f t="shared" si="1674"/>
      </c>
      <c r="BG855" s="757">
        <f t="shared" ref="BG855:BJ855" si="1675">+BG854/BG$775</f>
      </c>
      <c r="BH855" s="757">
        <f t="shared" si="1675"/>
      </c>
      <c r="BI855" s="962">
        <f t="shared" si="1675"/>
      </c>
      <c r="BJ855" s="459">
        <f t="shared" si="1675"/>
      </c>
      <c r="BK855" s="459">
        <f t="shared" ref="BK855:BL855" si="1676">+BK854/BK$775</f>
      </c>
      <c r="BL855" s="757">
        <f t="shared" si="1676"/>
      </c>
      <c r="BM855" s="757">
        <f t="shared" ref="BM855:BN855" si="1677">+BM854/BM$775</f>
      </c>
      <c r="BN855" s="962">
        <f t="shared" si="1677"/>
      </c>
      <c r="BO855" s="459">
        <f>+BO854/BO$775</f>
      </c>
      <c r="BP855" s="459">
        <f>+BP854/BP$775</f>
      </c>
      <c r="BQ855" s="757">
        <f t="shared" ref="BQ855:BS855" si="1678">+BQ854/BQ$775</f>
      </c>
      <c r="BR855" s="757">
        <f t="shared" si="1678"/>
      </c>
      <c r="BS855" s="962">
        <f t="shared" si="1678"/>
      </c>
      <c r="BT855" s="795">
        <f>+BT854/BT$775</f>
      </c>
      <c r="BU855" s="757">
        <f t="shared" ref="BU855:CF855" si="1679">+BU854/BU$775</f>
      </c>
      <c r="BV855" s="757">
        <f t="shared" si="1679"/>
      </c>
      <c r="BW855" s="757">
        <f t="shared" si="1679"/>
      </c>
      <c r="BX855" s="962">
        <f t="shared" si="1679"/>
      </c>
      <c r="BY855" s="757">
        <f t="shared" si="1679"/>
      </c>
      <c r="BZ855" s="757">
        <f t="shared" si="1679"/>
      </c>
      <c r="CA855" s="757">
        <f t="shared" si="1679"/>
      </c>
      <c r="CB855" s="757">
        <f t="shared" si="1679"/>
      </c>
      <c r="CC855" s="962">
        <f t="shared" si="1679"/>
      </c>
      <c r="CD855" s="962">
        <f t="shared" si="1679"/>
      </c>
      <c r="CE855" s="962">
        <f t="shared" si="1679"/>
      </c>
      <c r="CF855" s="962">
        <f t="shared" si="1679"/>
      </c>
      <c r="CG855" s="273"/>
    </row>
    <row r="856" spans="1:85" hidden="1" outlineLevel="1" x14ac:dyDescent="0.3">
      <c r="A856" s="424" t="s">
        <v>832</v>
      </c>
      <c r="B856" s="442"/>
      <c r="C856" s="962"/>
      <c r="D856" s="962"/>
      <c r="E856" s="962"/>
      <c r="F856" s="962"/>
      <c r="G856" s="757"/>
      <c r="H856" s="757"/>
      <c r="I856" s="757"/>
      <c r="J856" s="757"/>
      <c r="K856" s="962"/>
      <c r="L856" s="757"/>
      <c r="M856" s="757"/>
      <c r="N856" s="757"/>
      <c r="O856" s="757"/>
      <c r="P856" s="962"/>
      <c r="Q856" s="757"/>
      <c r="R856" s="757"/>
      <c r="S856" s="757"/>
      <c r="T856" s="757"/>
      <c r="U856" s="962"/>
      <c r="V856" s="757"/>
      <c r="W856" s="757"/>
      <c r="X856" s="757"/>
      <c r="Y856" s="757"/>
      <c r="Z856" s="962"/>
      <c r="AA856" s="757"/>
      <c r="AB856" s="757"/>
      <c r="AC856" s="757"/>
      <c r="AD856" s="757"/>
      <c r="AE856" s="962"/>
      <c r="AF856" s="757"/>
      <c r="AG856" s="757"/>
      <c r="AH856" s="757"/>
      <c r="AI856" s="757"/>
      <c r="AJ856" s="962"/>
      <c r="AK856" s="757"/>
      <c r="AL856" s="757"/>
      <c r="AM856" s="757"/>
      <c r="AN856" s="757"/>
      <c r="AO856" s="962"/>
      <c r="AP856" s="757">
        <f t="shared" ref="AP856:AS857" si="1680">AO825-AP825</f>
      </c>
      <c r="AQ856" s="757">
        <f t="shared" si="1680"/>
      </c>
      <c r="AR856" s="757">
        <f t="shared" si="1680"/>
      </c>
      <c r="AS856" s="757">
        <f t="shared" si="1680"/>
      </c>
      <c r="AT856" s="962">
        <f>AO825-AT825</f>
      </c>
      <c r="AU856" s="757">
        <f t="shared" ref="AU856:AX857" si="1681">AT825-AU825</f>
      </c>
      <c r="AV856" s="757">
        <f t="shared" si="1681"/>
      </c>
      <c r="AW856" s="757">
        <f t="shared" si="1681"/>
      </c>
      <c r="AX856" s="757">
        <f t="shared" si="1681"/>
      </c>
      <c r="AY856" s="962">
        <f>AT825-AY825</f>
      </c>
      <c r="AZ856" s="757">
        <f t="shared" ref="AZ856:BA857" si="1682">AY825-AZ825</f>
      </c>
      <c r="BA856" s="757">
        <f t="shared" si="1682"/>
      </c>
      <c r="BB856" s="757">
        <f>BA825-BB825</f>
      </c>
      <c r="BC856" s="757">
        <f>BB825-BC825</f>
      </c>
      <c r="BD856" s="962">
        <f>AY825-BD825</f>
      </c>
      <c r="BE856" s="757">
        <f t="shared" ref="BE856:BF857" si="1683">BD825-BE825</f>
      </c>
      <c r="BF856" s="757">
        <f t="shared" si="1683"/>
      </c>
      <c r="BG856" s="757">
        <f>BF825-BG825</f>
      </c>
      <c r="BH856" s="757">
        <f>BG825-BH825</f>
      </c>
      <c r="BI856" s="962">
        <f>BD825-BI825</f>
      </c>
      <c r="BJ856" s="459">
        <f t="shared" ref="BJ856:BK857" si="1684">BI825-BJ825</f>
      </c>
      <c r="BK856" s="459">
        <f t="shared" si="1684"/>
      </c>
      <c r="BL856" s="757">
        <f>IF(AND(BL4&gt;=$B825,BK4&lt;$B825),BK825,0)</f>
      </c>
      <c r="BM856" s="757">
        <f>IF(AND(BM4&gt;=B813,BL4&lt;B813),BL825,0)</f>
      </c>
      <c r="BN856" s="962">
        <f>BI825-BN825</f>
      </c>
      <c r="BO856" s="459">
        <f>BN825-BO825</f>
      </c>
      <c r="BP856" s="459">
        <f>BO825-BP825</f>
      </c>
      <c r="BQ856" s="757">
        <f>IF(AND(BQ4&gt;=$B825,BP4&lt;$B825),BP825,0)</f>
      </c>
      <c r="BR856" s="757">
        <f>IF(AND(BR4&gt;=G813,BQ4&lt;G813),BQ825,0)</f>
      </c>
      <c r="BS856" s="962">
        <f>BN825-BS825</f>
      </c>
      <c r="BT856" s="795">
        <f>BS825-BT825</f>
      </c>
      <c r="BU856" s="757">
        <f>IF(AND(BU4&gt;=$B825,BT4&lt;$B825),BT825,0)</f>
      </c>
      <c r="BV856" s="757">
        <f>IF(AND(BV4&gt;=$B825,BU4&lt;$B825),BU825,0)</f>
      </c>
      <c r="BW856" s="757">
        <f>IF(AND(BW4&gt;=$B825,BV4&lt;$B825),BV825,0)</f>
      </c>
      <c r="BX856" s="962">
        <f>SUM(BT856,BU856,BV856,BW856)</f>
      </c>
      <c r="BY856" s="757">
        <f>IF(AND(BY4&gt;=$B825,BX4&lt;$B825),BX825,0)</f>
      </c>
      <c r="BZ856" s="757">
        <f>IF(AND(BZ4&gt;=$B825,BY4&lt;$B825),BY825,0)</f>
      </c>
      <c r="CA856" s="757">
        <f>IF(AND(CA4&gt;=$B825,BZ4&lt;$B825),BZ825,0)</f>
      </c>
      <c r="CB856" s="757">
        <f>IF(AND(CB4&gt;=$B825,CA4&lt;$B825),CA825,0)</f>
      </c>
      <c r="CC856" s="962">
        <f>SUM(BY856,BZ856,CA856,CB856)</f>
      </c>
      <c r="CD856" s="962">
        <f>IF(AND(CD4&gt;=$B825,CC4&lt;$B825),CC825,0)</f>
      </c>
      <c r="CE856" s="962">
        <f>IF(AND(CE4&gt;=$B825,CD4&lt;$B825),CD825,0)</f>
      </c>
      <c r="CF856" s="962">
        <f>IF(AND(CF4&gt;=$B825,CE4&lt;$B825),CE825,0)</f>
      </c>
      <c r="CG856" s="273"/>
    </row>
    <row r="857" spans="1:85" hidden="1" outlineLevel="2" x14ac:dyDescent="0.3">
      <c r="A857" s="413" t="s">
        <v>888</v>
      </c>
      <c r="B857" s="442"/>
      <c r="C857" s="962"/>
      <c r="D857" s="962"/>
      <c r="E857" s="962"/>
      <c r="F857" s="962"/>
      <c r="G857" s="757"/>
      <c r="H857" s="757"/>
      <c r="I857" s="757"/>
      <c r="J857" s="757"/>
      <c r="K857" s="962"/>
      <c r="L857" s="757"/>
      <c r="M857" s="757"/>
      <c r="N857" s="757"/>
      <c r="O857" s="757"/>
      <c r="P857" s="962"/>
      <c r="Q857" s="757"/>
      <c r="R857" s="757"/>
      <c r="S857" s="757"/>
      <c r="T857" s="757"/>
      <c r="U857" s="962"/>
      <c r="V857" s="757"/>
      <c r="W857" s="757"/>
      <c r="X857" s="757"/>
      <c r="Y857" s="757"/>
      <c r="Z857" s="962"/>
      <c r="AA857" s="757"/>
      <c r="AB857" s="757"/>
      <c r="AC857" s="757"/>
      <c r="AD857" s="757"/>
      <c r="AE857" s="962"/>
      <c r="AF857" s="757"/>
      <c r="AG857" s="757"/>
      <c r="AH857" s="757"/>
      <c r="AI857" s="757"/>
      <c r="AJ857" s="962"/>
      <c r="AK857" s="757"/>
      <c r="AL857" s="757"/>
      <c r="AM857" s="757"/>
      <c r="AN857" s="757"/>
      <c r="AO857" s="962"/>
      <c r="AP857" s="757">
        <f t="shared" si="1680"/>
      </c>
      <c r="AQ857" s="757">
        <f t="shared" si="1680"/>
      </c>
      <c r="AR857" s="757">
        <f t="shared" si="1680"/>
      </c>
      <c r="AS857" s="757">
        <f t="shared" si="1680"/>
      </c>
      <c r="AT857" s="962">
        <f>AO826-AT826</f>
      </c>
      <c r="AU857" s="757">
        <f t="shared" si="1681"/>
      </c>
      <c r="AV857" s="757">
        <f t="shared" si="1681"/>
      </c>
      <c r="AW857" s="757">
        <f t="shared" si="1681"/>
      </c>
      <c r="AX857" s="757">
        <f t="shared" si="1681"/>
      </c>
      <c r="AY857" s="962">
        <f>AT826-AY826</f>
      </c>
      <c r="AZ857" s="757">
        <f t="shared" si="1682"/>
      </c>
      <c r="BA857" s="757">
        <f t="shared" si="1682"/>
      </c>
      <c r="BB857" s="757">
        <f>BA826-BB826</f>
      </c>
      <c r="BC857" s="757">
        <f>BB826-BC826</f>
      </c>
      <c r="BD857" s="962">
        <f>AY826-BD826</f>
      </c>
      <c r="BE857" s="757">
        <f t="shared" si="1683"/>
      </c>
      <c r="BF857" s="757">
        <f t="shared" si="1683"/>
      </c>
      <c r="BG857" s="757">
        <f>BF826-BG826</f>
      </c>
      <c r="BH857" s="757">
        <f>BG826-BH826</f>
      </c>
      <c r="BI857" s="962">
        <f>BD826-BI826</f>
      </c>
      <c r="BJ857" s="459">
        <f t="shared" si="1684"/>
      </c>
      <c r="BK857" s="459">
        <f t="shared" si="1684"/>
      </c>
      <c r="BL857" s="757">
        <f>IF(AND(BL4&gt;=$B826,BK4&lt;$B826),BK826,0)</f>
      </c>
      <c r="BM857" s="757">
        <f>IF(AND(BM4&gt;=B813,BL4&lt;B813),BL826,0)</f>
      </c>
      <c r="BN857" s="962">
        <f>BI826-BN826</f>
      </c>
      <c r="BO857" s="459">
        <f>BN826-BO826</f>
      </c>
      <c r="BP857" s="459">
        <f>BO826-BP826</f>
      </c>
      <c r="BQ857" s="757">
        <f>IF(AND(BQ4&gt;=$B826,BP4&lt;$B826),BP826,0)</f>
      </c>
      <c r="BR857" s="757">
        <f>IF(AND(BR4&gt;=G813,BQ4&lt;G813),BQ826,0)</f>
      </c>
      <c r="BS857" s="962">
        <f>BN826-BS826</f>
      </c>
      <c r="BT857" s="795">
        <f>BS826-BT826</f>
      </c>
      <c r="BU857" s="757">
        <f>IF(AND(BU4&gt;=$B826,BT4&lt;$B826),BT826,0)</f>
      </c>
      <c r="BV857" s="757">
        <f>IF(AND(BV4&gt;=$B826,BU4&lt;$B826),BU826,0)</f>
      </c>
      <c r="BW857" s="757">
        <f>IF(AND(BW4&gt;=$B826,BV4&lt;$B826),BV826,0)</f>
      </c>
      <c r="BX857" s="962">
        <f>SUM(BT857,BU857,BV857,BW857)</f>
      </c>
      <c r="BY857" s="757">
        <f>IF(AND(BY4&gt;=$B826,BX4&lt;$B826),BX826,0)</f>
      </c>
      <c r="BZ857" s="757">
        <f>IF(AND(BZ4&gt;=$B826,BY4&lt;$B826),BY826,0)</f>
      </c>
      <c r="CA857" s="757">
        <f>IF(AND(CA4&gt;=$B826,BZ4&lt;$B826),BZ826,0)</f>
      </c>
      <c r="CB857" s="757">
        <f>IF(AND(CB4&gt;=$B826,CA4&lt;$B826),CA826,0)</f>
      </c>
      <c r="CC857" s="962">
        <f>SUM(BY857,BZ857,CA857,CB857)</f>
      </c>
      <c r="CD857" s="962">
        <f>IF(AND(CD4&gt;=$B826,CC4&lt;$B826),CC826,0)</f>
      </c>
      <c r="CE857" s="962">
        <f>IF(AND(CE4&gt;=$B826,CD4&lt;$B826),CD826,0)</f>
      </c>
      <c r="CF857" s="962">
        <f>IF(AND(CF4&gt;=$B826,CE4&lt;$B826),CE826,0)</f>
      </c>
      <c r="CG857" s="273"/>
    </row>
    <row r="858" spans="1:85" hidden="1" outlineLevel="1" collapsed="1" x14ac:dyDescent="0.3">
      <c r="A858" s="424" t="s">
        <v>865</v>
      </c>
      <c r="B858" s="442"/>
      <c r="C858" s="962"/>
      <c r="D858" s="962"/>
      <c r="E858" s="962"/>
      <c r="F858" s="962"/>
      <c r="G858" s="757"/>
      <c r="H858" s="757"/>
      <c r="I858" s="757"/>
      <c r="J858" s="757"/>
      <c r="K858" s="962"/>
      <c r="L858" s="757"/>
      <c r="M858" s="757"/>
      <c r="N858" s="757"/>
      <c r="O858" s="757"/>
      <c r="P858" s="962"/>
      <c r="Q858" s="757"/>
      <c r="R858" s="757"/>
      <c r="S858" s="757"/>
      <c r="T858" s="757"/>
      <c r="U858" s="962"/>
      <c r="V858" s="757"/>
      <c r="W858" s="757"/>
      <c r="X858" s="757"/>
      <c r="Y858" s="757"/>
      <c r="Z858" s="962"/>
      <c r="AA858" s="757"/>
      <c r="AB858" s="757"/>
      <c r="AC858" s="757"/>
      <c r="AD858" s="757"/>
      <c r="AE858" s="962"/>
      <c r="AF858" s="757"/>
      <c r="AG858" s="757"/>
      <c r="AH858" s="757"/>
      <c r="AI858" s="757"/>
      <c r="AJ858" s="962"/>
      <c r="AK858" s="757"/>
      <c r="AL858" s="757"/>
      <c r="AM858" s="757"/>
      <c r="AN858" s="757"/>
      <c r="AO858" s="962"/>
      <c r="AP858" s="757">
        <f t="shared" ref="AP858" si="1685">+AP857/AP$775</f>
      </c>
      <c r="AQ858" s="757">
        <f t="shared" ref="AQ858" si="1686">+AQ857/AQ$775</f>
      </c>
      <c r="AR858" s="757">
        <f t="shared" ref="AR858" si="1687">+AR857/AR$775</f>
      </c>
      <c r="AS858" s="757">
        <f t="shared" ref="AS858" si="1688">+AS857/AS$775</f>
      </c>
      <c r="AT858" s="962">
        <f t="shared" ref="AT858" si="1689">+AT857/AT$775</f>
      </c>
      <c r="AU858" s="757">
        <f t="shared" ref="AU858" si="1690">+AU857/AU$775</f>
      </c>
      <c r="AV858" s="757">
        <f t="shared" ref="AV858" si="1691">+AV857/AV$775</f>
      </c>
      <c r="AW858" s="757">
        <f t="shared" ref="AW858" si="1692">+AW857/AW$775</f>
      </c>
      <c r="AX858" s="757">
        <f t="shared" ref="AX858" si="1693">+AX857/AX$775</f>
      </c>
      <c r="AY858" s="962">
        <f t="shared" ref="AY858" si="1694">+AY857/AY$775</f>
      </c>
      <c r="AZ858" s="757">
        <f t="shared" ref="AZ858" si="1695">+AZ857/AZ$775</f>
      </c>
      <c r="BA858" s="757">
        <f t="shared" ref="BA858" si="1696">+BA857/BA$775</f>
      </c>
      <c r="BB858" s="757">
        <f>+BB857/BB$775</f>
      </c>
      <c r="BC858" s="757">
        <f t="shared" ref="BC858:BF858" si="1697">+BC857/BC$775</f>
      </c>
      <c r="BD858" s="962">
        <f t="shared" si="1697"/>
      </c>
      <c r="BE858" s="757">
        <f t="shared" si="1697"/>
      </c>
      <c r="BF858" s="757">
        <f t="shared" si="1697"/>
      </c>
      <c r="BG858" s="757">
        <f t="shared" ref="BG858:BJ858" si="1698">+BG857/BG$775</f>
      </c>
      <c r="BH858" s="757">
        <f t="shared" si="1698"/>
      </c>
      <c r="BI858" s="962">
        <f t="shared" si="1698"/>
      </c>
      <c r="BJ858" s="459">
        <f t="shared" si="1698"/>
      </c>
      <c r="BK858" s="459">
        <f t="shared" ref="BK858:BL858" si="1699">+BK857/BK$775</f>
      </c>
      <c r="BL858" s="757">
        <f t="shared" si="1699"/>
      </c>
      <c r="BM858" s="757">
        <f t="shared" ref="BM858:BN858" si="1700">+BM857/BM$775</f>
      </c>
      <c r="BN858" s="962">
        <f t="shared" si="1700"/>
      </c>
      <c r="BO858" s="459">
        <f>+BO857/BO$775</f>
      </c>
      <c r="BP858" s="459">
        <f>+BP857/BP$775</f>
      </c>
      <c r="BQ858" s="757">
        <f t="shared" ref="BQ858:BS858" si="1701">+BQ857/BQ$775</f>
      </c>
      <c r="BR858" s="757">
        <f t="shared" si="1701"/>
      </c>
      <c r="BS858" s="962">
        <f t="shared" si="1701"/>
      </c>
      <c r="BT858" s="795">
        <f>+BT857/BT$775</f>
      </c>
      <c r="BU858" s="757">
        <f t="shared" ref="BU858:CF858" si="1702">+BU857/BU$775</f>
      </c>
      <c r="BV858" s="757">
        <f t="shared" si="1702"/>
      </c>
      <c r="BW858" s="757">
        <f t="shared" si="1702"/>
      </c>
      <c r="BX858" s="962">
        <f t="shared" si="1702"/>
      </c>
      <c r="BY858" s="757">
        <f t="shared" si="1702"/>
      </c>
      <c r="BZ858" s="757">
        <f t="shared" si="1702"/>
      </c>
      <c r="CA858" s="757">
        <f t="shared" si="1702"/>
      </c>
      <c r="CB858" s="757">
        <f t="shared" si="1702"/>
      </c>
      <c r="CC858" s="962">
        <f t="shared" si="1702"/>
      </c>
      <c r="CD858" s="962">
        <f t="shared" si="1702"/>
      </c>
      <c r="CE858" s="962">
        <f t="shared" si="1702"/>
      </c>
      <c r="CF858" s="962">
        <f t="shared" si="1702"/>
      </c>
      <c r="CG858" s="273"/>
    </row>
    <row r="859" spans="1:85" hidden="1" outlineLevel="1" x14ac:dyDescent="0.3">
      <c r="A859" s="424" t="s">
        <v>833</v>
      </c>
      <c r="B859" s="442"/>
      <c r="C859" s="962"/>
      <c r="D859" s="962"/>
      <c r="E859" s="962"/>
      <c r="F859" s="962"/>
      <c r="G859" s="757"/>
      <c r="H859" s="757"/>
      <c r="I859" s="757"/>
      <c r="J859" s="757"/>
      <c r="K859" s="962"/>
      <c r="L859" s="757"/>
      <c r="M859" s="757"/>
      <c r="N859" s="757"/>
      <c r="O859" s="757"/>
      <c r="P859" s="962"/>
      <c r="Q859" s="757"/>
      <c r="R859" s="757"/>
      <c r="S859" s="757"/>
      <c r="T859" s="757"/>
      <c r="U859" s="962"/>
      <c r="V859" s="757"/>
      <c r="W859" s="757"/>
      <c r="X859" s="757"/>
      <c r="Y859" s="757"/>
      <c r="Z859" s="962"/>
      <c r="AA859" s="757"/>
      <c r="AB859" s="757"/>
      <c r="AC859" s="757"/>
      <c r="AD859" s="757"/>
      <c r="AE859" s="962"/>
      <c r="AF859" s="757"/>
      <c r="AG859" s="757"/>
      <c r="AH859" s="757"/>
      <c r="AI859" s="757"/>
      <c r="AJ859" s="962"/>
      <c r="AK859" s="757"/>
      <c r="AL859" s="757"/>
      <c r="AM859" s="757"/>
      <c r="AN859" s="757"/>
      <c r="AO859" s="962"/>
      <c r="AP859" s="757">
        <f t="shared" ref="AP859:AS860" si="1703">AO828-AP828</f>
      </c>
      <c r="AQ859" s="757">
        <f t="shared" si="1703"/>
      </c>
      <c r="AR859" s="757">
        <f t="shared" si="1703"/>
      </c>
      <c r="AS859" s="757">
        <f t="shared" si="1703"/>
      </c>
      <c r="AT859" s="962">
        <f>AO828-AT828</f>
      </c>
      <c r="AU859" s="757">
        <f t="shared" ref="AU859:AX860" si="1704">AT828-AU828</f>
      </c>
      <c r="AV859" s="757">
        <f t="shared" si="1704"/>
      </c>
      <c r="AW859" s="757">
        <f t="shared" si="1704"/>
      </c>
      <c r="AX859" s="757">
        <f t="shared" si="1704"/>
      </c>
      <c r="AY859" s="962">
        <f>AT828-AY828</f>
      </c>
      <c r="AZ859" s="757">
        <f t="shared" ref="AZ859:BA860" si="1705">AY828-AZ828</f>
      </c>
      <c r="BA859" s="757">
        <f t="shared" si="1705"/>
      </c>
      <c r="BB859" s="757">
        <f>BA828-BB828</f>
      </c>
      <c r="BC859" s="757">
        <f>BB828-BC828</f>
      </c>
      <c r="BD859" s="962">
        <f>AY828-BD828</f>
      </c>
      <c r="BE859" s="757">
        <f t="shared" ref="BE859:BF860" si="1706">BD828-BE828</f>
      </c>
      <c r="BF859" s="757">
        <f t="shared" si="1706"/>
      </c>
      <c r="BG859" s="757">
        <f>BF828-BG828</f>
      </c>
      <c r="BH859" s="757">
        <f>BG828-BH828</f>
      </c>
      <c r="BI859" s="962">
        <f>BD828-BI828</f>
      </c>
      <c r="BJ859" s="459">
        <f t="shared" ref="BJ859:BK860" si="1707">BI828-BJ828</f>
      </c>
      <c r="BK859" s="459">
        <f t="shared" si="1707"/>
      </c>
      <c r="BL859" s="757">
        <f>IF(AND(BL4&gt;=$B828,BK4&lt;$B828),BK828,0)</f>
      </c>
      <c r="BM859" s="757">
        <f>IF(AND(BM4&gt;=B813,BL4&lt;B813),BL828,0)</f>
      </c>
      <c r="BN859" s="962">
        <f>BI828-BN828</f>
      </c>
      <c r="BO859" s="459">
        <f>BN828-BO828</f>
      </c>
      <c r="BP859" s="459">
        <f>BO828-BP828</f>
      </c>
      <c r="BQ859" s="757">
        <f>IF(AND(BQ4&gt;=$B828,BP4&lt;$B828),BP828,0)</f>
      </c>
      <c r="BR859" s="757">
        <f>IF(AND(BR4&gt;=G813,BQ4&lt;G813),BQ828,0)</f>
      </c>
      <c r="BS859" s="962">
        <f>BN828-BS828</f>
      </c>
      <c r="BT859" s="795">
        <f>BS828-BT828</f>
      </c>
      <c r="BU859" s="757">
        <f>IF(AND(BU4&gt;=$B828,BT4&lt;$B828),BT828,0)</f>
      </c>
      <c r="BV859" s="757">
        <f>IF(AND(BV4&gt;=$B828,BU4&lt;$B828),BU828,0)</f>
      </c>
      <c r="BW859" s="757">
        <f>IF(AND(BW4&gt;=$B828,BV4&lt;$B828),BV828,0)</f>
      </c>
      <c r="BX859" s="962">
        <f>SUM(BT859,BU859,BV859,BW859)</f>
      </c>
      <c r="BY859" s="757">
        <f>IF(AND(BY4&gt;=$B828,BX4&lt;$B828),BX828,0)</f>
      </c>
      <c r="BZ859" s="757">
        <f>IF(AND(BZ4&gt;=$B828,BY4&lt;$B828),BY828,0)</f>
      </c>
      <c r="CA859" s="757">
        <f>IF(AND(CA4&gt;=$B828,BZ4&lt;$B828),BZ828,0)</f>
      </c>
      <c r="CB859" s="757">
        <f>IF(AND(CB4&gt;=$B828,CA4&lt;$B828),CA828,0)</f>
      </c>
      <c r="CC859" s="962">
        <f>SUM(BY859,BZ859,CA859,CB859)</f>
      </c>
      <c r="CD859" s="962">
        <f>IF(AND(CD4&gt;=$B828,CC4&lt;$B828),CC828,0)</f>
      </c>
      <c r="CE859" s="962">
        <f>IF(AND(CE4&gt;=$B828,CD4&lt;$B828),CD828,0)</f>
      </c>
      <c r="CF859" s="962">
        <f>IF(AND(CF4&gt;=$B828,CE4&lt;$B828),CE828,0)</f>
      </c>
      <c r="CG859" s="273"/>
    </row>
    <row r="860" spans="1:85" hidden="1" outlineLevel="2" x14ac:dyDescent="0.3">
      <c r="A860" s="413" t="s">
        <v>886</v>
      </c>
      <c r="B860" s="442"/>
      <c r="C860" s="962"/>
      <c r="D860" s="962"/>
      <c r="E860" s="962"/>
      <c r="F860" s="962"/>
      <c r="G860" s="757"/>
      <c r="H860" s="757"/>
      <c r="I860" s="757"/>
      <c r="J860" s="757"/>
      <c r="K860" s="962"/>
      <c r="L860" s="757"/>
      <c r="M860" s="757"/>
      <c r="N860" s="757"/>
      <c r="O860" s="757"/>
      <c r="P860" s="962"/>
      <c r="Q860" s="757"/>
      <c r="R860" s="757"/>
      <c r="S860" s="757"/>
      <c r="T860" s="757"/>
      <c r="U860" s="962"/>
      <c r="V860" s="757"/>
      <c r="W860" s="757"/>
      <c r="X860" s="757"/>
      <c r="Y860" s="757"/>
      <c r="Z860" s="962"/>
      <c r="AA860" s="757"/>
      <c r="AB860" s="757"/>
      <c r="AC860" s="757"/>
      <c r="AD860" s="757"/>
      <c r="AE860" s="962"/>
      <c r="AF860" s="757"/>
      <c r="AG860" s="757"/>
      <c r="AH860" s="757"/>
      <c r="AI860" s="757"/>
      <c r="AJ860" s="962"/>
      <c r="AK860" s="757"/>
      <c r="AL860" s="757"/>
      <c r="AM860" s="757"/>
      <c r="AN860" s="757"/>
      <c r="AO860" s="962"/>
      <c r="AP860" s="757">
        <f t="shared" si="1703"/>
      </c>
      <c r="AQ860" s="757">
        <f t="shared" si="1703"/>
      </c>
      <c r="AR860" s="757">
        <f t="shared" si="1703"/>
      </c>
      <c r="AS860" s="757">
        <f t="shared" si="1703"/>
      </c>
      <c r="AT860" s="962">
        <f>AO829-AT829</f>
      </c>
      <c r="AU860" s="757">
        <f t="shared" si="1704"/>
      </c>
      <c r="AV860" s="757">
        <f t="shared" si="1704"/>
      </c>
      <c r="AW860" s="757">
        <f t="shared" si="1704"/>
      </c>
      <c r="AX860" s="757">
        <f t="shared" si="1704"/>
      </c>
      <c r="AY860" s="962">
        <f>AT829-AY829</f>
      </c>
      <c r="AZ860" s="757">
        <f t="shared" si="1705"/>
      </c>
      <c r="BA860" s="757">
        <f t="shared" si="1705"/>
      </c>
      <c r="BB860" s="757">
        <f>BA829-BB829</f>
      </c>
      <c r="BC860" s="757">
        <f>BB829-BC829</f>
      </c>
      <c r="BD860" s="962">
        <f>AY829-BD829</f>
      </c>
      <c r="BE860" s="757">
        <f t="shared" si="1706"/>
      </c>
      <c r="BF860" s="757">
        <f t="shared" si="1706"/>
      </c>
      <c r="BG860" s="757">
        <f>BF829-BG829</f>
      </c>
      <c r="BH860" s="757">
        <f>BG829-BH829</f>
      </c>
      <c r="BI860" s="962">
        <f>BD829-BI829</f>
      </c>
      <c r="BJ860" s="459">
        <f t="shared" si="1707"/>
      </c>
      <c r="BK860" s="459">
        <f t="shared" si="1707"/>
      </c>
      <c r="BL860" s="757">
        <f>IF(AND(BL4&gt;=$B829,BK4&lt;$B829),BK829,0)</f>
      </c>
      <c r="BM860" s="757">
        <f>IF(AND(BM4&gt;=B813,BL4&lt;B813),BL829,0)</f>
      </c>
      <c r="BN860" s="962">
        <f>BI829-BN829</f>
      </c>
      <c r="BO860" s="459">
        <f>BN829-BO829</f>
      </c>
      <c r="BP860" s="459">
        <f>BO829-BP829</f>
      </c>
      <c r="BQ860" s="757">
        <f>IF(AND(BQ4&gt;=$B829,BP4&lt;$B829),BP829,0)</f>
      </c>
      <c r="BR860" s="757">
        <f>IF(AND(BR4&gt;=G813,BQ4&lt;G813),BQ829,0)</f>
      </c>
      <c r="BS860" s="962">
        <f>BN829-BS829</f>
      </c>
      <c r="BT860" s="795">
        <f>BS829-BT829</f>
      </c>
      <c r="BU860" s="757">
        <f>IF(AND(BU4&gt;=$B829,BT4&lt;$B829),BT829,0)</f>
      </c>
      <c r="BV860" s="757">
        <f>IF(AND(BV4&gt;=$B829,BU4&lt;$B829),BU829,0)</f>
      </c>
      <c r="BW860" s="757">
        <f>IF(AND(BW4&gt;=$B829,BV4&lt;$B829),BV829,0)</f>
      </c>
      <c r="BX860" s="962">
        <f>SUM(BT860,BU860,BV860,BW860)</f>
      </c>
      <c r="BY860" s="757">
        <f>IF(AND(BY4&gt;=$B829,BX4&lt;$B829),BX829,0)</f>
      </c>
      <c r="BZ860" s="757">
        <f>IF(AND(BZ4&gt;=$B829,BY4&lt;$B829),BY829,0)</f>
      </c>
      <c r="CA860" s="757">
        <f>IF(AND(CA4&gt;=$B829,BZ4&lt;$B829),BZ829,0)</f>
      </c>
      <c r="CB860" s="757">
        <f>IF(AND(CB4&gt;=$B829,CA4&lt;$B829),CA829,0)</f>
      </c>
      <c r="CC860" s="962">
        <f>SUM(BY860,BZ860,CA860,CB860)</f>
      </c>
      <c r="CD860" s="962">
        <f>IF(AND(CD4&gt;=$B829,CC4&lt;$B829),CC829,0)</f>
      </c>
      <c r="CE860" s="962">
        <f>IF(AND(CE4&gt;=$B829,CD4&lt;$B829),CD829,0)</f>
      </c>
      <c r="CF860" s="962">
        <f>IF(AND(CF4&gt;=$B829,CE4&lt;$B829),CE829,0)</f>
      </c>
      <c r="CG860" s="273"/>
    </row>
    <row r="861" spans="1:85" hidden="1" outlineLevel="1" collapsed="1" x14ac:dyDescent="0.3">
      <c r="A861" s="424" t="s">
        <v>863</v>
      </c>
      <c r="B861" s="442"/>
      <c r="C861" s="962"/>
      <c r="D861" s="962"/>
      <c r="E861" s="962"/>
      <c r="F861" s="962"/>
      <c r="G861" s="757"/>
      <c r="H861" s="757"/>
      <c r="I861" s="757"/>
      <c r="J861" s="757"/>
      <c r="K861" s="962"/>
      <c r="L861" s="757"/>
      <c r="M861" s="757"/>
      <c r="N861" s="757"/>
      <c r="O861" s="757"/>
      <c r="P861" s="962"/>
      <c r="Q861" s="757"/>
      <c r="R861" s="757"/>
      <c r="S861" s="757"/>
      <c r="T861" s="757"/>
      <c r="U861" s="962"/>
      <c r="V861" s="757"/>
      <c r="W861" s="757"/>
      <c r="X861" s="757"/>
      <c r="Y861" s="757"/>
      <c r="Z861" s="962"/>
      <c r="AA861" s="757"/>
      <c r="AB861" s="757"/>
      <c r="AC861" s="757"/>
      <c r="AD861" s="757"/>
      <c r="AE861" s="962"/>
      <c r="AF861" s="757"/>
      <c r="AG861" s="757"/>
      <c r="AH861" s="757"/>
      <c r="AI861" s="757"/>
      <c r="AJ861" s="962"/>
      <c r="AK861" s="757"/>
      <c r="AL861" s="757"/>
      <c r="AM861" s="757"/>
      <c r="AN861" s="757"/>
      <c r="AO861" s="962"/>
      <c r="AP861" s="757">
        <f t="shared" ref="AP861" si="1708">+AP860/AP$775</f>
      </c>
      <c r="AQ861" s="757">
        <f t="shared" ref="AQ861" si="1709">+AQ860/AQ$775</f>
      </c>
      <c r="AR861" s="757">
        <f t="shared" ref="AR861" si="1710">+AR860/AR$775</f>
      </c>
      <c r="AS861" s="757">
        <f t="shared" ref="AS861" si="1711">+AS860/AS$775</f>
      </c>
      <c r="AT861" s="962">
        <f t="shared" ref="AT861" si="1712">+AT860/AT$775</f>
      </c>
      <c r="AU861" s="757">
        <f t="shared" ref="AU861" si="1713">+AU860/AU$775</f>
      </c>
      <c r="AV861" s="757">
        <f t="shared" ref="AV861" si="1714">+AV860/AV$775</f>
      </c>
      <c r="AW861" s="757">
        <f t="shared" ref="AW861" si="1715">+AW860/AW$775</f>
      </c>
      <c r="AX861" s="757">
        <f t="shared" ref="AX861" si="1716">+AX860/AX$775</f>
      </c>
      <c r="AY861" s="962">
        <f t="shared" ref="AY861" si="1717">+AY860/AY$775</f>
      </c>
      <c r="AZ861" s="757">
        <f t="shared" ref="AZ861" si="1718">+AZ860/AZ$775</f>
      </c>
      <c r="BA861" s="757">
        <f t="shared" ref="BA861" si="1719">+BA860/BA$775</f>
      </c>
      <c r="BB861" s="757">
        <f>+BB860/BB$775</f>
      </c>
      <c r="BC861" s="757">
        <f t="shared" ref="BC861:BF861" si="1720">+BC860/BC$775</f>
      </c>
      <c r="BD861" s="962">
        <f t="shared" si="1720"/>
      </c>
      <c r="BE861" s="757">
        <f t="shared" si="1720"/>
      </c>
      <c r="BF861" s="757">
        <f t="shared" si="1720"/>
      </c>
      <c r="BG861" s="757">
        <f t="shared" ref="BG861:BJ861" si="1721">+BG860/BG$775</f>
      </c>
      <c r="BH861" s="757">
        <f t="shared" si="1721"/>
      </c>
      <c r="BI861" s="962">
        <f t="shared" si="1721"/>
      </c>
      <c r="BJ861" s="459">
        <f t="shared" si="1721"/>
      </c>
      <c r="BK861" s="459">
        <f t="shared" ref="BK861:BL861" si="1722">+BK860/BK$775</f>
      </c>
      <c r="BL861" s="757">
        <f t="shared" si="1722"/>
      </c>
      <c r="BM861" s="757">
        <f t="shared" ref="BM861:BN861" si="1723">+BM860/BM$775</f>
      </c>
      <c r="BN861" s="962">
        <f t="shared" si="1723"/>
      </c>
      <c r="BO861" s="459">
        <f>+BO860/BO$775</f>
      </c>
      <c r="BP861" s="459">
        <f>+BP860/BP$775</f>
      </c>
      <c r="BQ861" s="757">
        <f t="shared" ref="BQ861:BS861" si="1724">+BQ860/BQ$775</f>
      </c>
      <c r="BR861" s="757">
        <f t="shared" si="1724"/>
      </c>
      <c r="BS861" s="962">
        <f t="shared" si="1724"/>
      </c>
      <c r="BT861" s="795">
        <f>+BT860/BT$775</f>
      </c>
      <c r="BU861" s="757">
        <f t="shared" ref="BU861:CF861" si="1725">+BU860/BU$775</f>
      </c>
      <c r="BV861" s="757">
        <f t="shared" si="1725"/>
      </c>
      <c r="BW861" s="757">
        <f t="shared" si="1725"/>
      </c>
      <c r="BX861" s="962">
        <f t="shared" si="1725"/>
      </c>
      <c r="BY861" s="757">
        <f t="shared" si="1725"/>
      </c>
      <c r="BZ861" s="757">
        <f t="shared" si="1725"/>
      </c>
      <c r="CA861" s="757">
        <f t="shared" si="1725"/>
      </c>
      <c r="CB861" s="757">
        <f t="shared" si="1725"/>
      </c>
      <c r="CC861" s="962">
        <f t="shared" si="1725"/>
      </c>
      <c r="CD861" s="962">
        <f t="shared" si="1725"/>
      </c>
      <c r="CE861" s="962">
        <f t="shared" si="1725"/>
      </c>
      <c r="CF861" s="962">
        <f t="shared" si="1725"/>
      </c>
      <c r="CG861" s="273"/>
    </row>
    <row r="862" spans="1:85" hidden="1" outlineLevel="1" x14ac:dyDescent="0.3">
      <c r="A862" s="424" t="s">
        <v>831</v>
      </c>
      <c r="B862" s="442"/>
      <c r="C862" s="962"/>
      <c r="D862" s="962"/>
      <c r="E862" s="962"/>
      <c r="F862" s="962"/>
      <c r="G862" s="757"/>
      <c r="H862" s="757"/>
      <c r="I862" s="757"/>
      <c r="J862" s="757"/>
      <c r="K862" s="962"/>
      <c r="L862" s="757"/>
      <c r="M862" s="757"/>
      <c r="N862" s="757"/>
      <c r="O862" s="757"/>
      <c r="P862" s="962"/>
      <c r="Q862" s="757"/>
      <c r="R862" s="757"/>
      <c r="S862" s="757"/>
      <c r="T862" s="757"/>
      <c r="U862" s="962"/>
      <c r="V862" s="757"/>
      <c r="W862" s="757"/>
      <c r="X862" s="757"/>
      <c r="Y862" s="757"/>
      <c r="Z862" s="962"/>
      <c r="AA862" s="757"/>
      <c r="AB862" s="757"/>
      <c r="AC862" s="757"/>
      <c r="AD862" s="757"/>
      <c r="AE862" s="962"/>
      <c r="AF862" s="757"/>
      <c r="AG862" s="757"/>
      <c r="AH862" s="757"/>
      <c r="AI862" s="757"/>
      <c r="AJ862" s="962"/>
      <c r="AK862" s="757"/>
      <c r="AL862" s="757"/>
      <c r="AM862" s="757"/>
      <c r="AN862" s="757"/>
      <c r="AO862" s="962"/>
      <c r="AP862" s="757">
        <f t="shared" ref="AP862:AS862" si="1726">AO831-AP831</f>
      </c>
      <c r="AQ862" s="757">
        <f t="shared" si="1726"/>
      </c>
      <c r="AR862" s="757">
        <f t="shared" si="1726"/>
      </c>
      <c r="AS862" s="757">
        <f t="shared" si="1726"/>
      </c>
      <c r="AT862" s="962">
        <f t="shared" ref="AT862" si="1727">AO831-AT831</f>
      </c>
      <c r="AU862" s="757">
        <f t="shared" ref="AU862:AX862" si="1728">AT831-AU831</f>
      </c>
      <c r="AV862" s="757">
        <f t="shared" si="1728"/>
      </c>
      <c r="AW862" s="757">
        <f t="shared" si="1728"/>
      </c>
      <c r="AX862" s="757">
        <f t="shared" si="1728"/>
      </c>
      <c r="AY862" s="962">
        <f t="shared" ref="AY862" si="1729">AT831-AY831</f>
      </c>
      <c r="AZ862" s="757">
        <f t="shared" ref="AZ862:BA862" si="1730">AY831-AZ831</f>
      </c>
      <c r="BA862" s="757">
        <f t="shared" si="1730"/>
      </c>
      <c r="BB862" s="757">
        <f t="shared" ref="BB862:BC864" si="1731">BA831-BB831</f>
      </c>
      <c r="BC862" s="757">
        <f t="shared" si="1731"/>
      </c>
      <c r="BD862" s="962">
        <f>AY831-BD831</f>
      </c>
      <c r="BE862" s="757">
        <f t="shared" ref="BE862:BF862" si="1732">BD831-BE831</f>
      </c>
      <c r="BF862" s="757">
        <f t="shared" si="1732"/>
      </c>
      <c r="BG862" s="757">
        <f t="shared" ref="BG862:BH864" si="1733">BF831-BG831</f>
      </c>
      <c r="BH862" s="757">
        <f t="shared" si="1733"/>
      </c>
      <c r="BI862" s="962">
        <f>BD831-BI831</f>
      </c>
      <c r="BJ862" s="459">
        <f t="shared" ref="BJ862:BK862" si="1734">BI831-BJ831</f>
      </c>
      <c r="BK862" s="459">
        <f t="shared" si="1734"/>
      </c>
      <c r="BL862" s="757">
        <f>IF(AND(BL4&gt;=$B831,BK4&lt;$B831),BK831,0)</f>
      </c>
      <c r="BM862" s="757">
        <f>IF(AND(BM4&gt;=B813,BL4&lt;B813),BL831,0)</f>
      </c>
      <c r="BN862" s="962">
        <f>BI831-BN831</f>
      </c>
      <c r="BO862" s="459">
        <f t="shared" ref="BO862:BQ864" si="1735">BN831-BO831</f>
      </c>
      <c r="BP862" s="459">
        <f t="shared" si="1735"/>
      </c>
      <c r="BQ862" s="757">
        <f>IF(AND(BQ4&gt;=$B831,BP4&lt;$B831),BP831,0)</f>
      </c>
      <c r="BR862" s="757">
        <f>IF(AND(BR4&gt;=G813,BQ4&lt;G813),BQ831,0)</f>
      </c>
      <c r="BS862" s="962">
        <f>BN831-BS831</f>
      </c>
      <c r="BT862" s="795">
        <f>BS831-BT831</f>
      </c>
      <c r="BU862" s="757">
        <f>IF(AND(BU4&gt;=$B831,BT4&lt;$B831),BT831,0)</f>
      </c>
      <c r="BV862" s="757">
        <f>IF(AND(BV4&gt;=$B831,BU4&lt;$B831),BU831,0)</f>
      </c>
      <c r="BW862" s="757">
        <f>IF(AND(BW4&gt;=$B831,BV4&lt;$B831),BV831,0)</f>
      </c>
      <c r="BX862" s="962">
        <f>SUM(BT862,BU862,BV862,BW862)</f>
      </c>
      <c r="BY862" s="757">
        <f>IF(AND(BY4&gt;=$B831,BX4&lt;$B831),BX831,0)</f>
      </c>
      <c r="BZ862" s="757">
        <f>IF(AND(BZ4&gt;=$B831,BY4&lt;$B831),BY831,0)</f>
      </c>
      <c r="CA862" s="757">
        <f>IF(AND(CA4&gt;=$B831,BZ4&lt;$B831),BZ831,0)</f>
      </c>
      <c r="CB862" s="757">
        <f>IF(AND(CB4&gt;=$B831,CA4&lt;$B831),CA831,0)</f>
      </c>
      <c r="CC862" s="962">
        <f>SUM(BY862,BZ862,CA862,CB862)</f>
      </c>
      <c r="CD862" s="962">
        <f>IF(AND(CD4&gt;=$B831,CC4&lt;$B831),CC831,0)</f>
      </c>
      <c r="CE862" s="962">
        <f>IF(AND(CE4&gt;=$B831,CD4&lt;$B831),CD831,0)</f>
      </c>
      <c r="CF862" s="962">
        <f>IF(AND(CF4&gt;=$B831,CE4&lt;$B831),CE831,0)</f>
      </c>
      <c r="CG862" s="273"/>
    </row>
    <row r="863" spans="1:85" hidden="1" outlineLevel="1" x14ac:dyDescent="0.3">
      <c r="A863" s="424" t="s">
        <v>2196</v>
      </c>
      <c r="B863" s="539"/>
      <c r="C863" s="962"/>
      <c r="D863" s="962"/>
      <c r="E863" s="962"/>
      <c r="F863" s="962"/>
      <c r="G863" s="757"/>
      <c r="H863" s="757"/>
      <c r="I863" s="757"/>
      <c r="J863" s="757"/>
      <c r="K863" s="962"/>
      <c r="L863" s="757"/>
      <c r="M863" s="757"/>
      <c r="N863" s="757"/>
      <c r="O863" s="757"/>
      <c r="P863" s="962"/>
      <c r="Q863" s="757"/>
      <c r="R863" s="757"/>
      <c r="S863" s="757"/>
      <c r="T863" s="757"/>
      <c r="U863" s="962"/>
      <c r="V863" s="757"/>
      <c r="W863" s="757"/>
      <c r="X863" s="757"/>
      <c r="Y863" s="757"/>
      <c r="Z863" s="962"/>
      <c r="AA863" s="757"/>
      <c r="AB863" s="757"/>
      <c r="AC863" s="757"/>
      <c r="AD863" s="757"/>
      <c r="AE863" s="962"/>
      <c r="AF863" s="757"/>
      <c r="AG863" s="757"/>
      <c r="AH863" s="757"/>
      <c r="AI863" s="757"/>
      <c r="AJ863" s="962"/>
      <c r="AK863" s="757"/>
      <c r="AL863" s="757"/>
      <c r="AM863" s="757"/>
      <c r="AN863" s="757"/>
      <c r="AO863" s="962"/>
      <c r="AP863" s="757"/>
      <c r="AQ863" s="757"/>
      <c r="AR863" s="757"/>
      <c r="AS863" s="757"/>
      <c r="AT863" s="962"/>
      <c r="AU863" s="757"/>
      <c r="AV863" s="757"/>
      <c r="AW863" s="757"/>
      <c r="AX863" s="757"/>
      <c r="AY863" s="962"/>
      <c r="AZ863" s="757">
        <f>AY832-AZ832</f>
      </c>
      <c r="BA863" s="757">
        <f>AZ832-BA832</f>
      </c>
      <c r="BB863" s="757">
        <f t="shared" si="1731"/>
      </c>
      <c r="BC863" s="757">
        <f t="shared" si="1731"/>
      </c>
      <c r="BD863" s="962">
        <f>AY832-BD832</f>
      </c>
      <c r="BE863" s="757">
        <f>BD832-BE832</f>
      </c>
      <c r="BF863" s="757">
        <f>BE832-BF832</f>
      </c>
      <c r="BG863" s="757">
        <f t="shared" si="1733"/>
      </c>
      <c r="BH863" s="757">
        <f t="shared" si="1733"/>
      </c>
      <c r="BI863" s="962">
        <f>BD832-BI832</f>
      </c>
      <c r="BJ863" s="757">
        <f t="shared" ref="BJ863:BL864" si="1736">BI832-BJ832</f>
      </c>
      <c r="BK863" s="757">
        <f t="shared" si="1736"/>
      </c>
      <c r="BL863" s="757">
        <f t="shared" si="1736"/>
      </c>
      <c r="BM863" s="757">
        <f>IF(AND(BM4&gt;=B813,BL4&lt;B813),BL832,0)</f>
      </c>
      <c r="BN863" s="962">
        <f>BI832-BN832</f>
      </c>
      <c r="BO863" s="757">
        <f t="shared" si="1735"/>
      </c>
      <c r="BP863" s="757">
        <f t="shared" si="1735"/>
      </c>
      <c r="BQ863" s="757">
        <f t="shared" si="1735"/>
      </c>
      <c r="BR863" s="757">
        <f>IF(AND(BR4&gt;=G813,BQ4&lt;G813),BQ832,0)</f>
      </c>
      <c r="BS863" s="962">
        <f>BN832-BS832</f>
      </c>
      <c r="BT863" s="758">
        <f>BS832-BT832</f>
      </c>
      <c r="BU863" s="757">
        <f t="shared" ref="BU863:BW864" si="1737">IF(AND(BU$4&gt;=IF(ISBLANK($B863),$B832,$B863),BT$4&lt;IF(ISBLANK($B863),$B832,$B863)),BT832,0)</f>
      </c>
      <c r="BV863" s="757">
        <f t="shared" si="1737"/>
      </c>
      <c r="BW863" s="757">
        <f t="shared" si="1737"/>
      </c>
      <c r="BX863" s="962">
        <f>SUM(BT863,BU863,BV863,BW863)</f>
      </c>
      <c r="BY863" s="757">
        <f t="shared" ref="BY863:CB864" si="1738">IF(AND(BY$4&gt;=IF(ISBLANK($B863),$B832,$B863),BX$4&lt;IF(ISBLANK($B863),$B832,$B863)),BX832,0)</f>
      </c>
      <c r="BZ863" s="757">
        <f t="shared" si="1738"/>
      </c>
      <c r="CA863" s="757">
        <f t="shared" si="1738"/>
      </c>
      <c r="CB863" s="757">
        <f t="shared" si="1738"/>
      </c>
      <c r="CC863" s="962">
        <f>SUM(BY863,BZ863,CA863,CB863)</f>
      </c>
      <c r="CD863" s="962">
        <f t="shared" ref="CD863:CF864" si="1739">IF(AND(CD$4&gt;=IF(ISBLANK($B863),$B832,$B863),CC$4&lt;IF(ISBLANK($B863),$B832,$B863)),CC832,0)</f>
      </c>
      <c r="CE863" s="962">
        <f t="shared" si="1739"/>
      </c>
      <c r="CF863" s="962">
        <f t="shared" si="1739"/>
      </c>
      <c r="CG863" s="273"/>
    </row>
    <row r="864" spans="1:85" hidden="1" outlineLevel="1" x14ac:dyDescent="0.3">
      <c r="A864" s="424" t="s">
        <v>2198</v>
      </c>
      <c r="B864" s="539"/>
      <c r="C864" s="962"/>
      <c r="D864" s="962"/>
      <c r="E864" s="962"/>
      <c r="F864" s="962"/>
      <c r="G864" s="757"/>
      <c r="H864" s="757"/>
      <c r="I864" s="757"/>
      <c r="J864" s="757"/>
      <c r="K864" s="962"/>
      <c r="L864" s="757"/>
      <c r="M864" s="757"/>
      <c r="N864" s="757"/>
      <c r="O864" s="757"/>
      <c r="P864" s="962"/>
      <c r="Q864" s="757"/>
      <c r="R864" s="757"/>
      <c r="S864" s="757"/>
      <c r="T864" s="757"/>
      <c r="U864" s="962"/>
      <c r="V864" s="757"/>
      <c r="W864" s="757"/>
      <c r="X864" s="757"/>
      <c r="Y864" s="757"/>
      <c r="Z864" s="962"/>
      <c r="AA864" s="757"/>
      <c r="AB864" s="757"/>
      <c r="AC864" s="757"/>
      <c r="AD864" s="757"/>
      <c r="AE864" s="962"/>
      <c r="AF864" s="757"/>
      <c r="AG864" s="757"/>
      <c r="AH864" s="757"/>
      <c r="AI864" s="757"/>
      <c r="AJ864" s="962"/>
      <c r="AK864" s="757"/>
      <c r="AL864" s="757"/>
      <c r="AM864" s="757"/>
      <c r="AN864" s="757"/>
      <c r="AO864" s="962"/>
      <c r="AP864" s="757"/>
      <c r="AQ864" s="757"/>
      <c r="AR864" s="757"/>
      <c r="AS864" s="757"/>
      <c r="AT864" s="962"/>
      <c r="AU864" s="757"/>
      <c r="AV864" s="757"/>
      <c r="AW864" s="757"/>
      <c r="AX864" s="757"/>
      <c r="AY864" s="962"/>
      <c r="AZ864" s="757">
        <f>AY833-AZ833</f>
      </c>
      <c r="BA864" s="757">
        <f>AZ833-BA833</f>
      </c>
      <c r="BB864" s="757">
        <f t="shared" si="1731"/>
      </c>
      <c r="BC864" s="757">
        <f t="shared" si="1731"/>
      </c>
      <c r="BD864" s="962">
        <f>AY833-BD833</f>
      </c>
      <c r="BE864" s="757">
        <f>BD833-BE833</f>
      </c>
      <c r="BF864" s="757">
        <f>BE833-BF833</f>
      </c>
      <c r="BG864" s="757">
        <f t="shared" si="1733"/>
      </c>
      <c r="BH864" s="757">
        <f t="shared" si="1733"/>
      </c>
      <c r="BI864" s="962">
        <f>BD833-BI833</f>
      </c>
      <c r="BJ864" s="757">
        <f t="shared" si="1736"/>
      </c>
      <c r="BK864" s="757">
        <f t="shared" si="1736"/>
      </c>
      <c r="BL864" s="757">
        <f t="shared" si="1736"/>
      </c>
      <c r="BM864" s="757">
        <f>IF(AND(BM4&gt;=B813,BL4&lt;B813),BL833,0)</f>
      </c>
      <c r="BN864" s="962">
        <f>BI833-BN833</f>
      </c>
      <c r="BO864" s="757">
        <f t="shared" si="1735"/>
      </c>
      <c r="BP864" s="757">
        <f t="shared" si="1735"/>
      </c>
      <c r="BQ864" s="757">
        <f t="shared" si="1735"/>
      </c>
      <c r="BR864" s="757">
        <f>IF(AND(BR4&gt;=G813,BQ4&lt;G813),BQ833,0)</f>
      </c>
      <c r="BS864" s="962">
        <f>BN833-BS833</f>
      </c>
      <c r="BT864" s="758">
        <f>BS833-BT833</f>
      </c>
      <c r="BU864" s="757">
        <f t="shared" si="1737"/>
      </c>
      <c r="BV864" s="757">
        <f t="shared" si="1737"/>
      </c>
      <c r="BW864" s="757">
        <f t="shared" si="1737"/>
      </c>
      <c r="BX864" s="962">
        <f>SUM(BT864,BU864,BV864,BW864)</f>
      </c>
      <c r="BY864" s="757">
        <f t="shared" si="1738"/>
      </c>
      <c r="BZ864" s="757">
        <f t="shared" si="1738"/>
      </c>
      <c r="CA864" s="757">
        <f t="shared" si="1738"/>
      </c>
      <c r="CB864" s="757">
        <f t="shared" si="1738"/>
      </c>
      <c r="CC864" s="962">
        <f>SUM(BY864,BZ864,CA864,CB864)</f>
      </c>
      <c r="CD864" s="962">
        <f t="shared" si="1739"/>
      </c>
      <c r="CE864" s="962">
        <f t="shared" si="1739"/>
      </c>
      <c r="CF864" s="962">
        <f t="shared" si="1739"/>
      </c>
      <c r="CG864" s="273"/>
    </row>
    <row r="865" spans="1:85" hidden="1" outlineLevel="1" x14ac:dyDescent="0.3">
      <c r="A865" s="420" t="s">
        <v>749</v>
      </c>
      <c r="B865" s="417"/>
      <c r="C865" s="984"/>
      <c r="D865" s="984"/>
      <c r="E865" s="984"/>
      <c r="F865" s="984"/>
      <c r="G865" s="761"/>
      <c r="H865" s="761"/>
      <c r="I865" s="761"/>
      <c r="J865" s="761"/>
      <c r="K865" s="984"/>
      <c r="L865" s="761"/>
      <c r="M865" s="761"/>
      <c r="N865" s="761"/>
      <c r="O865" s="761"/>
      <c r="P865" s="984"/>
      <c r="Q865" s="761"/>
      <c r="R865" s="761"/>
      <c r="S865" s="761"/>
      <c r="T865" s="761"/>
      <c r="U865" s="984"/>
      <c r="V865" s="761"/>
      <c r="W865" s="761"/>
      <c r="X865" s="761"/>
      <c r="Y865" s="761"/>
      <c r="Z865" s="984"/>
      <c r="AA865" s="761"/>
      <c r="AB865" s="761"/>
      <c r="AC865" s="761"/>
      <c r="AD865" s="761"/>
      <c r="AE865" s="984"/>
      <c r="AF865" s="761"/>
      <c r="AG865" s="761"/>
      <c r="AH865" s="761"/>
      <c r="AI865" s="761"/>
      <c r="AJ865" s="984"/>
      <c r="AK865" s="761"/>
      <c r="AL865" s="761"/>
      <c r="AM865" s="761"/>
      <c r="AN865" s="761"/>
      <c r="AO865" s="984"/>
      <c r="AP865" s="761"/>
      <c r="AQ865" s="761"/>
      <c r="AR865" s="761"/>
      <c r="AS865" s="761"/>
      <c r="AT865" s="984"/>
      <c r="AU865" s="761"/>
      <c r="AV865" s="761"/>
      <c r="AW865" s="761"/>
      <c r="AX865" s="761"/>
      <c r="AY865" s="984"/>
      <c r="AZ865" s="761"/>
      <c r="BA865" s="761"/>
      <c r="BB865" s="761"/>
      <c r="BC865" s="761"/>
      <c r="BD865" s="984"/>
      <c r="BE865" s="761"/>
      <c r="BF865" s="761"/>
      <c r="BG865" s="761"/>
      <c r="BH865" s="761"/>
      <c r="BI865" s="984"/>
      <c r="BJ865" s="761"/>
      <c r="BK865" s="761"/>
      <c r="BL865" s="761"/>
      <c r="BM865" s="761"/>
      <c r="BN865" s="984"/>
      <c r="BO865" s="761"/>
      <c r="BP865" s="761"/>
      <c r="BQ865" s="761"/>
      <c r="BR865" s="761"/>
      <c r="BS865" s="984"/>
      <c r="BT865" s="762"/>
      <c r="BU865" s="863">
        <v>0</v>
      </c>
      <c r="BV865" s="863">
        <v>0</v>
      </c>
      <c r="BW865" s="761">
        <f>-BW849</f>
      </c>
      <c r="BX865" s="984">
        <f>SUM(BT865,BU865,BV865,BW865)</f>
      </c>
      <c r="BY865" s="863">
        <v>0</v>
      </c>
      <c r="BZ865" s="863">
        <v>0</v>
      </c>
      <c r="CA865" s="863">
        <v>0</v>
      </c>
      <c r="CB865" s="761">
        <f>-CB849</f>
      </c>
      <c r="CC865" s="984">
        <f>SUM(BY865,BZ865,CA865,CB865)</f>
      </c>
      <c r="CD865" s="984">
        <f>-CD851</f>
      </c>
      <c r="CE865" s="984">
        <f>-CE852-CE853</f>
      </c>
      <c r="CF865" s="984">
        <f>-CF855-CF856-CF858-CF859</f>
      </c>
      <c r="CG865" s="273"/>
    </row>
    <row r="866" spans="1:85" collapsed="1" x14ac:dyDescent="0.3">
      <c r="A866" s="427" t="s">
        <v>750</v>
      </c>
      <c r="B866" s="250"/>
      <c r="C866" s="969"/>
      <c r="D866" s="969"/>
      <c r="E866" s="969"/>
      <c r="F866" s="969"/>
      <c r="G866" s="759"/>
      <c r="H866" s="759"/>
      <c r="I866" s="759"/>
      <c r="J866" s="759"/>
      <c r="K866" s="969"/>
      <c r="L866" s="759"/>
      <c r="M866" s="759"/>
      <c r="N866" s="759"/>
      <c r="O866" s="759"/>
      <c r="P866" s="969"/>
      <c r="Q866" s="759"/>
      <c r="R866" s="759"/>
      <c r="S866" s="759"/>
      <c r="T866" s="759"/>
      <c r="U866" s="969"/>
      <c r="V866" s="759"/>
      <c r="W866" s="759"/>
      <c r="X866" s="759"/>
      <c r="Y866" s="759"/>
      <c r="Z866" s="969"/>
      <c r="AA866" s="759"/>
      <c r="AB866" s="759"/>
      <c r="AC866" s="759"/>
      <c r="AD866" s="759"/>
      <c r="AE866" s="969"/>
      <c r="AF866" s="759"/>
      <c r="AG866" s="759"/>
      <c r="AH866" s="759"/>
      <c r="AI866" s="759"/>
      <c r="AJ866" s="969"/>
      <c r="AK866" s="759"/>
      <c r="AL866" s="759"/>
      <c r="AM866" s="759"/>
      <c r="AN866" s="759"/>
      <c r="AO866" s="969"/>
      <c r="AP866" s="759">
        <f t="shared" ref="AP866:BL866" si="1740">+AP865+AP862+AP861+AP859+AP858+AP856+AP855+AP853+AP852+AP851+AP849+AP848+AP847+AP845+AP844+AP843+AP842+AP841+AP863+AP864</f>
      </c>
      <c r="AQ866" s="759">
        <f t="shared" si="1740"/>
      </c>
      <c r="AR866" s="759">
        <f t="shared" si="1740"/>
      </c>
      <c r="AS866" s="759">
        <f t="shared" si="1740"/>
      </c>
      <c r="AT866" s="969">
        <f t="shared" si="1740"/>
      </c>
      <c r="AU866" s="759">
        <f t="shared" si="1740"/>
      </c>
      <c r="AV866" s="759">
        <f t="shared" si="1740"/>
      </c>
      <c r="AW866" s="759">
        <f t="shared" si="1740"/>
      </c>
      <c r="AX866" s="759">
        <f t="shared" si="1740"/>
      </c>
      <c r="AY866" s="969">
        <f t="shared" si="1740"/>
      </c>
      <c r="AZ866" s="759">
        <f t="shared" si="1740"/>
      </c>
      <c r="BA866" s="759">
        <f t="shared" si="1740"/>
      </c>
      <c r="BB866" s="759">
        <f t="shared" si="1740"/>
      </c>
      <c r="BC866" s="759">
        <f t="shared" si="1740"/>
      </c>
      <c r="BD866" s="969">
        <f t="shared" si="1740"/>
      </c>
      <c r="BE866" s="759">
        <f t="shared" si="1740"/>
      </c>
      <c r="BF866" s="759">
        <f t="shared" si="1740"/>
      </c>
      <c r="BG866" s="759">
        <f t="shared" si="1740"/>
      </c>
      <c r="BH866" s="759">
        <f t="shared" si="1740"/>
      </c>
      <c r="BI866" s="969">
        <f t="shared" si="1740"/>
      </c>
      <c r="BJ866" s="183">
        <f t="shared" si="1740"/>
      </c>
      <c r="BK866" s="759">
        <f t="shared" si="1740"/>
      </c>
      <c r="BL866" s="759">
        <f t="shared" si="1740"/>
      </c>
      <c r="BM866" s="759">
        <f t="shared" ref="BM866:BN866" si="1741">+BM865+BM862+BM861+BM859+BM858+BM856+BM855+BM853+BM852+BM851+BM849+BM848+BM847+BM845+BM844+BM843+BM842+BM841+BM863+BM864</f>
      </c>
      <c r="BN866" s="969">
        <f t="shared" si="1741"/>
      </c>
      <c r="BO866" s="183">
        <f>+BO865+BO862+BO861+BO859+BO858+BO856+BO855+BO853+BO852+BO851+BO849+BO848+BO847+BO845+BO844+BO843+BO842+BO841+BO863+BO864</f>
      </c>
      <c r="BP866" s="759">
        <f>+BP865+BP862+BP861+BP859+BP858+BP856+BP855+BP853+BP852+BP851+BP849+BP848+BP847+BP845+BP844+BP843+BP842+BP841+BP863+BP864</f>
      </c>
      <c r="BQ866" s="759">
        <f t="shared" ref="BQ866:BS866" si="1742">+BQ865+BQ862+BQ861+BQ859+BQ858+BQ856+BQ855+BQ853+BQ852+BQ851+BQ849+BQ848+BQ847+BQ845+BQ844+BQ843+BQ842+BQ841+BQ863+BQ864</f>
      </c>
      <c r="BR866" s="759">
        <f t="shared" si="1742"/>
      </c>
      <c r="BS866" s="969">
        <f t="shared" si="1742"/>
      </c>
      <c r="BT866" s="794">
        <f>+BT865+BT862+BT861+BT859+BT858+BT856+BT855+BT853+BT852+BT851+BT849+BT848+BT847+BT845+BT844+BT843+BT842+BT841+BT863+BT864</f>
      </c>
      <c r="BU866" s="759">
        <f t="shared" ref="BU866:CF866" si="1743">+BU865+BU862+BU861+BU859+BU858+BU856+BU855+BU853+BU852+BU851+BU849+BU848+BU847+BU845+BU844+BU843+BU842+BU841+BU863+BU864</f>
      </c>
      <c r="BV866" s="759">
        <f t="shared" si="1743"/>
      </c>
      <c r="BW866" s="759">
        <f t="shared" si="1743"/>
      </c>
      <c r="BX866" s="969">
        <f t="shared" si="1743"/>
      </c>
      <c r="BY866" s="759">
        <f t="shared" si="1743"/>
      </c>
      <c r="BZ866" s="759">
        <f t="shared" si="1743"/>
      </c>
      <c r="CA866" s="759">
        <f t="shared" si="1743"/>
      </c>
      <c r="CB866" s="759">
        <f t="shared" si="1743"/>
      </c>
      <c r="CC866" s="969">
        <f t="shared" si="1743"/>
      </c>
      <c r="CD866" s="969">
        <f t="shared" si="1743"/>
      </c>
      <c r="CE866" s="969">
        <f t="shared" si="1743"/>
      </c>
      <c r="CF866" s="969">
        <f t="shared" si="1743"/>
      </c>
      <c r="CG866" s="273"/>
    </row>
    <row r="867" spans="1:85" s="587" customFormat="1" x14ac:dyDescent="0.3">
      <c r="A867" s="445"/>
      <c r="B867" s="428"/>
      <c r="C867" s="940"/>
      <c r="D867" s="940"/>
      <c r="E867" s="940"/>
      <c r="F867" s="940"/>
      <c r="G867" s="778"/>
      <c r="H867" s="778"/>
      <c r="I867" s="778"/>
      <c r="J867" s="778"/>
      <c r="K867" s="940"/>
      <c r="L867" s="778"/>
      <c r="M867" s="778"/>
      <c r="N867" s="778"/>
      <c r="O867" s="778"/>
      <c r="P867" s="940"/>
      <c r="Q867" s="778"/>
      <c r="R867" s="778"/>
      <c r="S867" s="778"/>
      <c r="T867" s="778"/>
      <c r="U867" s="940"/>
      <c r="V867" s="778"/>
      <c r="W867" s="759"/>
      <c r="X867" s="778"/>
      <c r="Y867" s="759"/>
      <c r="Z867" s="940"/>
      <c r="AA867" s="759"/>
      <c r="AB867" s="759"/>
      <c r="AC867" s="778"/>
      <c r="AD867" s="759"/>
      <c r="AE867" s="940"/>
      <c r="AF867" s="759"/>
      <c r="AG867" s="759"/>
      <c r="AH867" s="778"/>
      <c r="AI867" s="759"/>
      <c r="AJ867" s="940"/>
      <c r="AK867" s="759"/>
      <c r="AL867" s="759"/>
      <c r="AM867" s="778"/>
      <c r="AN867" s="759"/>
      <c r="AO867" s="940"/>
      <c r="AP867" s="759"/>
      <c r="AQ867" s="759"/>
      <c r="AR867" s="778"/>
      <c r="AS867" s="759"/>
      <c r="AT867" s="940"/>
      <c r="AU867" s="759"/>
      <c r="AV867" s="759"/>
      <c r="AW867" s="778"/>
      <c r="AX867" s="759"/>
      <c r="AY867" s="940"/>
      <c r="AZ867" s="759"/>
      <c r="BA867" s="759"/>
      <c r="BB867" s="759"/>
      <c r="BC867" s="759"/>
      <c r="BD867" s="940"/>
      <c r="BE867" s="759"/>
      <c r="BF867" s="759"/>
      <c r="BG867" s="759"/>
      <c r="BH867" s="759"/>
      <c r="BI867" s="940"/>
      <c r="BJ867" s="759"/>
      <c r="BK867" s="759"/>
      <c r="BL867" s="759"/>
      <c r="BM867" s="759"/>
      <c r="BN867" s="940"/>
      <c r="BO867" s="759"/>
      <c r="BP867" s="759"/>
      <c r="BQ867" s="759"/>
      <c r="BR867" s="759"/>
      <c r="BS867" s="940"/>
      <c r="BT867" s="760"/>
      <c r="BU867" s="759"/>
      <c r="BV867" s="759"/>
      <c r="BW867" s="759"/>
      <c r="BX867" s="940"/>
      <c r="BY867" s="759"/>
      <c r="BZ867" s="759"/>
      <c r="CA867" s="759"/>
      <c r="CB867" s="759"/>
      <c r="CC867" s="940"/>
      <c r="CD867" s="940"/>
      <c r="CE867" s="940"/>
      <c r="CF867" s="940"/>
      <c r="CG867" s="183"/>
    </row>
    <row r="868" spans="1:85" s="587" customFormat="1" hidden="1" outlineLevel="1" x14ac:dyDescent="0.3">
      <c r="A868" s="455" t="s">
        <v>898</v>
      </c>
      <c r="B868" s="897">
        <v>1E-3</v>
      </c>
      <c r="C868" s="943"/>
      <c r="D868" s="943"/>
      <c r="E868" s="943"/>
      <c r="F868" s="943"/>
      <c r="G868" s="753"/>
      <c r="H868" s="753"/>
      <c r="I868" s="753"/>
      <c r="J868" s="753"/>
      <c r="K868" s="943"/>
      <c r="L868" s="753"/>
      <c r="M868" s="753"/>
      <c r="N868" s="753"/>
      <c r="O868" s="753"/>
      <c r="P868" s="943"/>
      <c r="Q868" s="753"/>
      <c r="R868" s="753"/>
      <c r="S868" s="753"/>
      <c r="T868" s="753"/>
      <c r="U868" s="943"/>
      <c r="V868" s="753"/>
      <c r="W868" s="757"/>
      <c r="X868" s="753"/>
      <c r="Y868" s="757"/>
      <c r="Z868" s="943"/>
      <c r="AA868" s="757"/>
      <c r="AB868" s="757"/>
      <c r="AC868" s="753"/>
      <c r="AD868" s="757"/>
      <c r="AE868" s="943"/>
      <c r="AF868" s="757"/>
      <c r="AG868" s="757"/>
      <c r="AH868" s="753"/>
      <c r="AI868" s="757"/>
      <c r="AJ868" s="943"/>
      <c r="AK868" s="757"/>
      <c r="AL868" s="757"/>
      <c r="AM868" s="753"/>
      <c r="AN868" s="757"/>
      <c r="AO868" s="943"/>
      <c r="AP868" s="757">
        <f>IFERROR(AVERAGE(AP788-AP810,AO788-AO810)*$B868*AP$3/AT$3,0)</f>
      </c>
      <c r="AQ868" s="757">
        <f>IFERROR(AVERAGE(AQ788-AQ810,AP788-AP810)*$B868*AQ$3/AT$3,0)</f>
      </c>
      <c r="AR868" s="753">
        <f>IFERROR(AVERAGE(AR788-AR810,AQ788-AQ810)*$B868*AR$3/AT$3,0)</f>
      </c>
      <c r="AS868" s="757">
        <f>IFERROR(AVERAGE(AS788-AS810,AR788-AR810)*$B868*AS$3/AT$3,0)</f>
      </c>
      <c r="AT868" s="962">
        <f>SUM(AP868,AQ868,AR868,AS868)</f>
      </c>
      <c r="AU868" s="757">
        <f>IFERROR(AVERAGE(AU788-AU810,AT788-AT810)*$B868*AU$3/AY$3,0)</f>
      </c>
      <c r="AV868" s="757">
        <f>IFERROR(AVERAGE(AV788-AV810,AU788-AU810)*$B868*AV$3/AY$3,0)</f>
      </c>
      <c r="AW868" s="753">
        <f>IFERROR(AVERAGE(AW788-AW810,AV788-AV810)*$B868*AW$3/AY$3,0)</f>
      </c>
      <c r="AX868" s="757">
        <f>IFERROR(AVERAGE(AX788-AX810,AW788-AW810)*$B868*AX$3/AY$3,0)</f>
      </c>
      <c r="AY868" s="962">
        <f>SUM(AU868,AV868,AW868,AX868)</f>
      </c>
      <c r="AZ868" s="757">
        <f>IFERROR(AVERAGE(AZ788-AZ810,AY788-AY810)*$B868*AZ$3/BD$3,0)</f>
      </c>
      <c r="BA868" s="757">
        <f>IFERROR(AVERAGE(BA788-BA810,AZ788-AZ810)*$B868*BA$3/BD$3,0)</f>
      </c>
      <c r="BB868" s="757">
        <f>IFERROR(AVERAGE(BB788-BB810,BA788-BA810)*$B868*BB$3/BD$3,0)</f>
      </c>
      <c r="BC868" s="757">
        <f>IFERROR(AVERAGE(BC788-BC810,BB788-BB810)*$B868*BC$3/BD$3,0)</f>
      </c>
      <c r="BD868" s="962">
        <f>SUM(AZ868,BA868,BB868,BC868)</f>
      </c>
      <c r="BE868" s="757">
        <f>IFERROR(AVERAGE(BE788-BE810,BD788-BD810)*$B868*BE$3/BI$3,0)</f>
      </c>
      <c r="BF868" s="757">
        <f>IFERROR(AVERAGE(BF788-BF810,BE788-BE810)*$B868*BF$3/BI$3,0)</f>
      </c>
      <c r="BG868" s="757">
        <f>IFERROR(AVERAGE(BG788-BG810,BF788-BF810)*$B868*BG$3/BI$3,0)</f>
      </c>
      <c r="BH868" s="757">
        <f>IFERROR(AVERAGE(BH788-BH810,BG788-BG810)*$B868*BH$3/BI$3,0)</f>
      </c>
      <c r="BI868" s="962">
        <f>SUM(BE868,BF868,BG868,BH868)</f>
      </c>
      <c r="BJ868" s="757">
        <f>IFERROR(AVERAGE(BJ788-BJ810,BI788-BI810)*$B868*BJ$3/BN$3,0)</f>
      </c>
      <c r="BK868" s="757">
        <f>IFERROR(AVERAGE(BK788-BK810,BJ788-BJ810)*$B868*BK$3/BN$3,0)</f>
      </c>
      <c r="BL868" s="757">
        <f>IFERROR(AVERAGE(BL788-BL810,BK788-BK810)*$B868*BL$3/BN$3,0)</f>
      </c>
      <c r="BM868" s="757">
        <f>IFERROR(AVERAGE(BM788-BM810,BL788-BL810)*$B868*BM$3/BN$3,0)</f>
      </c>
      <c r="BN868" s="962">
        <f>SUM(BJ868,BK868,BL868,BM868)</f>
      </c>
      <c r="BO868" s="757">
        <f>IFERROR(AVERAGE(BO788-BO810,BN788-BN810)*$B868*BO$3/BS$3,0)</f>
      </c>
      <c r="BP868" s="757">
        <f>IFERROR(AVERAGE(BP788-BP810,BO788-BO810)*$B868*BP$3/BS$3,0)</f>
      </c>
      <c r="BQ868" s="757">
        <f>IFERROR(AVERAGE(BQ788-BQ810,BP788-BP810)*$B868*BQ$3/BS$3,0)</f>
      </c>
      <c r="BR868" s="757">
        <f>IFERROR(AVERAGE(BR788-BR810,BQ788-BQ810)*$B868*BR$3/BS$3,0)</f>
      </c>
      <c r="BS868" s="962">
        <f>SUM(BO868,BP868,BQ868,BR868)</f>
      </c>
      <c r="BT868" s="758">
        <f>IFERROR(AVERAGE(BT788-BT810,BS788-BS810)*$B868*BT$3/BX$3,0)</f>
      </c>
      <c r="BU868" s="757">
        <f>IFERROR(AVERAGE(BU788-BU810,BT788-BT810)*$B868*BU$3/BX$3,0)</f>
      </c>
      <c r="BV868" s="757">
        <f>IFERROR(AVERAGE(BV788-BV810,BU788-BU810)*$B868*BV$3/BX$3,0)</f>
      </c>
      <c r="BW868" s="757">
        <f>IFERROR(AVERAGE(BW788-BW810,BV788-BV810)*$B868*BW$3/BX$3,0)</f>
      </c>
      <c r="BX868" s="943">
        <f>SUM(BT868,BU868,BV868,BW868)</f>
      </c>
      <c r="BY868" s="757">
        <f>IFERROR(AVERAGE(BY788-BY810,BX788-BX810)*$B868*BY$3/CC$3,0)</f>
      </c>
      <c r="BZ868" s="757">
        <f>IFERROR(AVERAGE(BZ788-BZ810,BY788-BY810)*$B868*BZ$3/CC$3,0)</f>
      </c>
      <c r="CA868" s="757">
        <f>IFERROR(AVERAGE(CA788-CA810,BZ788-BZ810)*$B868*CA$3/CC$3,0)</f>
      </c>
      <c r="CB868" s="757">
        <f>IFERROR(AVERAGE(CB788-CB810,CA788-CA810)*$B868*CB$3/CC$3,0)</f>
      </c>
      <c r="CC868" s="943">
        <f>SUM(BY868,BZ868,CA868,CB868)</f>
      </c>
      <c r="CD868" s="943">
        <f>IFERROR(AVERAGE(CD788-CD810,CC788-CC810)*$B868,0)</f>
      </c>
      <c r="CE868" s="943">
        <f>IFERROR(AVERAGE(CE788-CE810,CD788-CD810)*$B868,0)</f>
      </c>
      <c r="CF868" s="943">
        <f>IFERROR(AVERAGE(CF788-CF810,CE788-CE810)*$B868,0)</f>
      </c>
      <c r="CG868" s="459"/>
    </row>
    <row r="869" spans="1:85" hidden="1" outlineLevel="1" x14ac:dyDescent="0.3">
      <c r="A869" s="455" t="s">
        <v>851</v>
      </c>
      <c r="B869" s="538"/>
      <c r="C869" s="962"/>
      <c r="D869" s="962"/>
      <c r="E869" s="962"/>
      <c r="F869" s="962"/>
      <c r="G869" s="757"/>
      <c r="H869" s="757"/>
      <c r="I869" s="757"/>
      <c r="J869" s="757"/>
      <c r="K869" s="962"/>
      <c r="L869" s="757"/>
      <c r="M869" s="757"/>
      <c r="N869" s="757"/>
      <c r="O869" s="757"/>
      <c r="P869" s="962"/>
      <c r="Q869" s="757"/>
      <c r="R869" s="757"/>
      <c r="S869" s="757"/>
      <c r="T869" s="757"/>
      <c r="U869" s="962"/>
      <c r="V869" s="757"/>
      <c r="W869" s="757"/>
      <c r="X869" s="757"/>
      <c r="Y869" s="757"/>
      <c r="Z869" s="962"/>
      <c r="AA869" s="757"/>
      <c r="AB869" s="757"/>
      <c r="AC869" s="757"/>
      <c r="AD869" s="757"/>
      <c r="AE869" s="962"/>
      <c r="AF869" s="757"/>
      <c r="AG869" s="757"/>
      <c r="AH869" s="757"/>
      <c r="AI869" s="757"/>
      <c r="AJ869" s="962"/>
      <c r="AK869" s="757"/>
      <c r="AL869" s="757"/>
      <c r="AM869" s="757"/>
      <c r="AN869" s="757"/>
      <c r="AO869" s="962"/>
      <c r="AP869" s="757">
        <f>IFERROR(AVERAGE(AP810,AO810)*AP870*AP$3/AT$3,0)</f>
      </c>
      <c r="AQ869" s="757">
        <f>IFERROR(AVERAGE(AQ810,AP810)*AQ870*AQ$3/AT$3,0)</f>
      </c>
      <c r="AR869" s="757">
        <f>IFERROR(AVERAGE(AR810,AQ810)*AR870*AR$3/AT$3,0)</f>
      </c>
      <c r="AS869" s="757">
        <f>IFERROR(AVERAGE(AS810,AR810)*AS870*AS$3/AT$3,0)</f>
      </c>
      <c r="AT869" s="962">
        <f>IFERROR(SUM(AP869,AQ869,AR869,AS869),0)</f>
      </c>
      <c r="AU869" s="757">
        <f>IFERROR(AVERAGE(AU810,AT810)*AU870*AU$3/AY$3,0)</f>
      </c>
      <c r="AV869" s="757">
        <f>IFERROR(AVERAGE(AV810,AU810)*AV870*AV$3/AY$3,0)</f>
      </c>
      <c r="AW869" s="757">
        <f>IFERROR(AVERAGE(AW810,AV810)*AW870*AW$3/AY$3,0)</f>
      </c>
      <c r="AX869" s="757">
        <f>IFERROR(AVERAGE(AX810,AW810)*AX870*AX$3/AY$3,0)</f>
      </c>
      <c r="AY869" s="962">
        <f>IFERROR(SUM(AU869,AV869,AW869,AX869),0)</f>
      </c>
      <c r="AZ869" s="757">
        <f>IFERROR(AVERAGE(AZ810,AY810)*AZ870*AZ$3/BD$3,0)</f>
      </c>
      <c r="BA869" s="757">
        <f>IFERROR(AVERAGE(BA810,AZ810)*BA870*BA$3/BD$3,0)</f>
      </c>
      <c r="BB869" s="757">
        <f>IFERROR(AVERAGE(BB810,BA810)*BB870*BB$3/BD$3,0)</f>
      </c>
      <c r="BC869" s="757">
        <f>IFERROR(AVERAGE(BC810,BB810)*BC870*BC$3/BD$3,0)</f>
      </c>
      <c r="BD869" s="962">
        <f>IFERROR(SUM(AZ869,BA869,BB869,BC869),0)</f>
      </c>
      <c r="BE869" s="757">
        <f>IFERROR(AVERAGE(BE810,BD810)*BE870*BE$3/BI$3,0)</f>
      </c>
      <c r="BF869" s="757">
        <f>IFERROR(AVERAGE(BF810,BE810)*BF870*BF$3/BI$3,0)</f>
      </c>
      <c r="BG869" s="757">
        <f>IFERROR(AVERAGE(BG810,BF810)*BG870*BG$3/BI$3,0)</f>
      </c>
      <c r="BH869" s="757">
        <f>IFERROR(AVERAGE(BH810,BG810)*BH870*BH$3/BI$3,0)</f>
      </c>
      <c r="BI869" s="962">
        <f>IFERROR(SUM(BE869,BF869,BG869,BH869),0)</f>
      </c>
      <c r="BJ869" s="757">
        <f>IFERROR(AVERAGE(BJ810,BI810)*BJ870*BJ$3/BN$3,0)</f>
      </c>
      <c r="BK869" s="757">
        <f>IFERROR(AVERAGE(BK810,BJ810)*BK870*BK$3/BN$3,0)</f>
      </c>
      <c r="BL869" s="757">
        <f>IFERROR(AVERAGE(BL810,BK810)*BL870*BL$3/BN$3,0)</f>
      </c>
      <c r="BM869" s="757">
        <f>IFERROR(AVERAGE(BM810,BL810)*BM870*BM$3/BN$3,0)</f>
      </c>
      <c r="BN869" s="962">
        <f>IFERROR(SUM(BJ869,BK869,BL869,BM869),0)</f>
      </c>
      <c r="BO869" s="757">
        <f>IFERROR(AVERAGE(BO810,BN810)*BO870*BO$3/BS$3,0)</f>
      </c>
      <c r="BP869" s="757">
        <f>IFERROR(AVERAGE(BP810,BO810)*BP870*BP$3/BS$3,0)</f>
      </c>
      <c r="BQ869" s="757">
        <f>IFERROR(AVERAGE(BQ810,BP810)*BQ870*BQ$3/BS$3,0)</f>
      </c>
      <c r="BR869" s="757">
        <f>IFERROR(AVERAGE(BR810,BQ810)*BR870*BR$3/BS$3,0)</f>
      </c>
      <c r="BS869" s="962">
        <f>IFERROR(SUM(BO869,BP869,BQ869,BR869),0)</f>
      </c>
      <c r="BT869" s="758">
        <f>IFERROR(AVERAGE(BT810,BS810)*BT870*BT$3/BX$3,0)</f>
      </c>
      <c r="BU869" s="757">
        <f>IFERROR(AVERAGE(BU810,BT810)*BU870*BU$3/BX$3,0)</f>
      </c>
      <c r="BV869" s="757">
        <f>IFERROR(AVERAGE(BV810,BU810)*BV870*BV$3/BX$3,0)</f>
      </c>
      <c r="BW869" s="757">
        <f>IFERROR(AVERAGE(BW810,BV810)*BW870*BW$3/BX$3,0)</f>
      </c>
      <c r="BX869" s="962">
        <f>IFERROR(SUM(BT869,BU869,BV869,BW869),0)</f>
      </c>
      <c r="BY869" s="757">
        <f>IFERROR(AVERAGE(BY810,BX810)*BY870*BY$3/CC$3,0)</f>
      </c>
      <c r="BZ869" s="757">
        <f>IFERROR(AVERAGE(BZ810,BY810)*BZ870*BZ$3/CC$3,0)</f>
      </c>
      <c r="CA869" s="757">
        <f>IFERROR(AVERAGE(CA810,BZ810)*CA870*CA$3/CC$3,0)</f>
      </c>
      <c r="CB869" s="757">
        <f>IFERROR(AVERAGE(CB810,CA810)*CB870*CB$3/CC$3,0)</f>
      </c>
      <c r="CC869" s="962">
        <f>IFERROR(SUM(BY869,BZ869,CA869,CB869),0)</f>
      </c>
      <c r="CD869" s="962">
        <f>IFERROR(AVERAGE(CD810,CC810)*CD870,0)</f>
      </c>
      <c r="CE869" s="962">
        <f>IFERROR(AVERAGE(CE810,CD810)*CE870,0)</f>
      </c>
      <c r="CF869" s="962">
        <f>IFERROR(AVERAGE(CF810,CE810)*CF870,0)</f>
      </c>
      <c r="CG869" s="273"/>
    </row>
    <row r="870" spans="1:85" s="600" customFormat="1" hidden="1" outlineLevel="1" x14ac:dyDescent="0.3">
      <c r="A870" s="447" t="s">
        <v>857</v>
      </c>
      <c r="B870" s="448"/>
      <c r="C870" s="1057"/>
      <c r="D870" s="1057"/>
      <c r="E870" s="1057"/>
      <c r="F870" s="1057"/>
      <c r="G870" s="540"/>
      <c r="H870" s="540"/>
      <c r="I870" s="540"/>
      <c r="J870" s="540"/>
      <c r="K870" s="1057"/>
      <c r="L870" s="540"/>
      <c r="M870" s="540"/>
      <c r="N870" s="540"/>
      <c r="O870" s="540"/>
      <c r="P870" s="1057"/>
      <c r="Q870" s="540"/>
      <c r="R870" s="540"/>
      <c r="S870" s="540"/>
      <c r="T870" s="540"/>
      <c r="U870" s="1057"/>
      <c r="V870" s="540"/>
      <c r="W870" s="540"/>
      <c r="X870" s="540"/>
      <c r="Y870" s="540"/>
      <c r="Z870" s="1057"/>
      <c r="AA870" s="540"/>
      <c r="AB870" s="540"/>
      <c r="AC870" s="540"/>
      <c r="AD870" s="540"/>
      <c r="AE870" s="1057"/>
      <c r="AF870" s="540"/>
      <c r="AG870" s="540"/>
      <c r="AH870" s="540"/>
      <c r="AI870" s="540"/>
      <c r="AJ870" s="1057"/>
      <c r="AK870" s="540"/>
      <c r="AL870" s="540"/>
      <c r="AM870" s="540"/>
      <c r="AN870" s="540"/>
      <c r="AO870" s="1057"/>
      <c r="AP870" s="898" t="s">
        <v>879</v>
      </c>
      <c r="AQ870" s="898" t="s">
        <v>879</v>
      </c>
      <c r="AR870" s="898" t="s">
        <v>879</v>
      </c>
      <c r="AS870" s="898" t="s">
        <v>879</v>
      </c>
      <c r="AT870" s="1058" t="s">
        <v>879</v>
      </c>
      <c r="AU870" s="898" t="s">
        <v>879</v>
      </c>
      <c r="AV870" s="898" t="s">
        <v>879</v>
      </c>
      <c r="AW870" s="898" t="s">
        <v>879</v>
      </c>
      <c r="AX870" s="898" t="s">
        <v>879</v>
      </c>
      <c r="AY870" s="1058" t="s">
        <v>879</v>
      </c>
      <c r="AZ870" s="899" t="s">
        <v>879</v>
      </c>
      <c r="BA870" s="899" t="s">
        <v>879</v>
      </c>
      <c r="BB870" s="899" t="s">
        <v>879</v>
      </c>
      <c r="BC870" s="899" t="s">
        <v>879</v>
      </c>
      <c r="BD870" s="1059" t="s">
        <v>879</v>
      </c>
      <c r="BE870" s="899" t="s">
        <v>879</v>
      </c>
      <c r="BF870" s="899" t="s">
        <v>879</v>
      </c>
      <c r="BG870" s="898" t="s">
        <v>879</v>
      </c>
      <c r="BH870" s="899" t="s">
        <v>879</v>
      </c>
      <c r="BI870" s="1059" t="s">
        <v>879</v>
      </c>
      <c r="BJ870" s="899" t="s">
        <v>879</v>
      </c>
      <c r="BK870" s="899" t="s">
        <v>879</v>
      </c>
      <c r="BL870" s="898" t="s">
        <v>879</v>
      </c>
      <c r="BM870" s="899" t="s">
        <v>879</v>
      </c>
      <c r="BN870" s="1059" t="s">
        <v>879</v>
      </c>
      <c r="BO870" s="899" t="s">
        <v>879</v>
      </c>
      <c r="BP870" s="899" t="s">
        <v>879</v>
      </c>
      <c r="BQ870" s="898" t="s">
        <v>879</v>
      </c>
      <c r="BR870" s="899" t="s">
        <v>879</v>
      </c>
      <c r="BS870" s="1059" t="s">
        <v>879</v>
      </c>
      <c r="BT870" s="900" t="s">
        <v>879</v>
      </c>
      <c r="BU870" s="540">
        <f>MIN(BU897+1%,BU898+0.125%)</f>
      </c>
      <c r="BV870" s="540">
        <f>MIN(BV897+1%,BV898+0.125%)</f>
      </c>
      <c r="BW870" s="540">
        <f>MIN(BW897+1%,BW898+0.125%)</f>
      </c>
      <c r="BX870" s="1060">
        <f>IFERROR(AVERAGE(BT870,BU870,BV870,BW870),"n/a")</f>
      </c>
      <c r="BY870" s="540">
        <f>MIN(BY897+1%,BY898+0.125%)</f>
      </c>
      <c r="BZ870" s="540">
        <f>MIN(BZ897+1%,BZ898+0.125%)</f>
      </c>
      <c r="CA870" s="540">
        <f>MIN(CA897+1%,CA898+0.125%)</f>
      </c>
      <c r="CB870" s="540">
        <f>MIN(CB897+1%,CB898+0.125%)</f>
      </c>
      <c r="CC870" s="1060">
        <f>IFERROR(AVERAGE(BY870,BZ870,CA870,CB870),"n/a")</f>
      </c>
      <c r="CD870" s="1060">
        <f>MIN(CD897+1%,CD898+0.125%)</f>
      </c>
      <c r="CE870" s="1060">
        <f>MIN(CE897+1%,CE898+0.125%)</f>
      </c>
      <c r="CF870" s="1060">
        <f>MIN(CF897+1%,CF898+0.125%)</f>
      </c>
      <c r="CG870" s="449"/>
    </row>
    <row r="871" spans="1:85" hidden="1" outlineLevel="2" x14ac:dyDescent="0.3">
      <c r="A871" s="424" t="s">
        <v>841</v>
      </c>
      <c r="B871" s="897">
        <v>5.3749999999999999E-2</v>
      </c>
      <c r="C871" s="962"/>
      <c r="D871" s="962"/>
      <c r="E871" s="962"/>
      <c r="F871" s="962"/>
      <c r="G871" s="757"/>
      <c r="H871" s="757"/>
      <c r="I871" s="757"/>
      <c r="J871" s="757"/>
      <c r="K871" s="962"/>
      <c r="L871" s="757"/>
      <c r="M871" s="757"/>
      <c r="N871" s="757"/>
      <c r="O871" s="757"/>
      <c r="P871" s="962"/>
      <c r="Q871" s="757"/>
      <c r="R871" s="757"/>
      <c r="S871" s="757"/>
      <c r="T871" s="757"/>
      <c r="U871" s="962"/>
      <c r="V871" s="757"/>
      <c r="W871" s="757"/>
      <c r="X871" s="757"/>
      <c r="Y871" s="757"/>
      <c r="Z871" s="962"/>
      <c r="AA871" s="757"/>
      <c r="AB871" s="757"/>
      <c r="AC871" s="757"/>
      <c r="AD871" s="757"/>
      <c r="AE871" s="962"/>
      <c r="AF871" s="757"/>
      <c r="AG871" s="757"/>
      <c r="AH871" s="757"/>
      <c r="AI871" s="757"/>
      <c r="AJ871" s="962"/>
      <c r="AK871" s="757"/>
      <c r="AL871" s="757"/>
      <c r="AM871" s="757"/>
      <c r="AN871" s="757"/>
      <c r="AO871" s="962"/>
      <c r="AP871" s="757">
        <f>IF(AP811&gt;0,AVERAGE(AO811,AP811)*B871*AP$3,AO811*B871*IF(AND(B811&gt;AO$4,B811&lt;=AP$4),B811-AO$4,AP$3/2))/AT$3</f>
      </c>
      <c r="AQ871" s="757">
        <f>IF(AQ811&gt;0,AVERAGE(AP811,AQ811)*B871*AQ3,AP811*B871*IF(AND(B811&gt;AP4,B811&lt;=AQ4),B811-AP4,AQ3/2))/AT3</f>
      </c>
      <c r="AR871" s="757">
        <f>IF(AR811&gt;0,AVERAGE(AQ811,AR811)*B871*AR3,AQ811*B871*IF(AND(B811&gt;AQ4,B811&lt;=AR4),B811-AQ4,AR3/2))/AT3</f>
      </c>
      <c r="AS871" s="757">
        <f>IF(AS811&gt;0,AVERAGE(AR811,AS811)*B871*AS3,AR811*B871*IF(AND(B811&gt;AR4,B811&lt;=AS4),B811-AR4,AS3/2))/AT3</f>
      </c>
      <c r="AT871" s="962">
        <f>SUM(AP871,AQ871,AR871,AS871)</f>
      </c>
      <c r="AU871" s="757">
        <f>IF(AU811&gt;0,AVERAGE(AT811,AU811)*B871*AU3,AT811*B871*IF(AND(B811&gt;AT4,B811&lt;=AU4),B811-AT4,AU3/2))/AY3</f>
      </c>
      <c r="AV871" s="757"/>
      <c r="AW871" s="757"/>
      <c r="AX871" s="757"/>
      <c r="AY871" s="962">
        <f>SUM(AU871,AV871,AW871,AX871)</f>
      </c>
      <c r="AZ871" s="757"/>
      <c r="BA871" s="757"/>
      <c r="BB871" s="757"/>
      <c r="BC871" s="757"/>
      <c r="BD871" s="962">
        <f>SUM(AZ871,BA871,BB871,BC871)</f>
      </c>
      <c r="BE871" s="757"/>
      <c r="BF871" s="757"/>
      <c r="BG871" s="757"/>
      <c r="BH871" s="757"/>
      <c r="BI871" s="962">
        <f>SUM(BE871,BF871,BG871,BH871)</f>
      </c>
      <c r="BJ871" s="757"/>
      <c r="BK871" s="757"/>
      <c r="BL871" s="757"/>
      <c r="BM871" s="757"/>
      <c r="BN871" s="962">
        <f>SUM(BJ871,BK871,BL871,BM871)</f>
      </c>
      <c r="BO871" s="757"/>
      <c r="BP871" s="757"/>
      <c r="BQ871" s="757"/>
      <c r="BR871" s="757"/>
      <c r="BS871" s="962">
        <f>SUM(BO871,BP871,BQ871,BR871)</f>
      </c>
      <c r="BT871" s="758"/>
      <c r="BU871" s="757"/>
      <c r="BV871" s="757"/>
      <c r="BW871" s="757"/>
      <c r="BX871" s="962"/>
      <c r="BY871" s="757"/>
      <c r="BZ871" s="757"/>
      <c r="CA871" s="757"/>
      <c r="CB871" s="757"/>
      <c r="CC871" s="962"/>
      <c r="CD871" s="962"/>
      <c r="CE871" s="962"/>
      <c r="CF871" s="962"/>
      <c r="CG871" s="273"/>
    </row>
    <row r="872" spans="1:85" hidden="1" outlineLevel="2" x14ac:dyDescent="0.3">
      <c r="A872" s="424" t="s">
        <v>834</v>
      </c>
      <c r="B872" s="897">
        <v>5.5E-2</v>
      </c>
      <c r="C872" s="962"/>
      <c r="D872" s="962"/>
      <c r="E872" s="962"/>
      <c r="F872" s="962"/>
      <c r="G872" s="757"/>
      <c r="H872" s="757"/>
      <c r="I872" s="757"/>
      <c r="J872" s="757"/>
      <c r="K872" s="962"/>
      <c r="L872" s="757"/>
      <c r="M872" s="757"/>
      <c r="N872" s="757"/>
      <c r="O872" s="757"/>
      <c r="P872" s="962"/>
      <c r="Q872" s="757"/>
      <c r="R872" s="757"/>
      <c r="S872" s="757"/>
      <c r="T872" s="757"/>
      <c r="U872" s="962"/>
      <c r="V872" s="757"/>
      <c r="W872" s="757"/>
      <c r="X872" s="757"/>
      <c r="Y872" s="757"/>
      <c r="Z872" s="962"/>
      <c r="AA872" s="757"/>
      <c r="AB872" s="757"/>
      <c r="AC872" s="757"/>
      <c r="AD872" s="757"/>
      <c r="AE872" s="962"/>
      <c r="AF872" s="757"/>
      <c r="AG872" s="757"/>
      <c r="AH872" s="757"/>
      <c r="AI872" s="757"/>
      <c r="AJ872" s="962"/>
      <c r="AK872" s="757"/>
      <c r="AL872" s="757"/>
      <c r="AM872" s="757"/>
      <c r="AN872" s="757"/>
      <c r="AO872" s="962"/>
      <c r="AP872" s="757">
        <f>IF(AP812&gt;0,AVERAGE(AO812,AP812)*B872*AP$3,AO812*B872*IF(AND(B812&gt;AO$4,B812&lt;=AP$4),B812-AO$4,AP$3/2))/AT$3</f>
      </c>
      <c r="AQ872" s="757">
        <f>IF(AQ812&gt;0,AVERAGE(AP812,AQ812)*B872*AQ3,AP812*B872*IF(AND(B812&gt;AP4,B812&lt;=AQ4),B812-AP4,AQ3/2))/AT3</f>
      </c>
      <c r="AR872" s="757">
        <f>IF(AR812&gt;0,AVERAGE(AQ812,AR812)*B872*AR3,AQ812*B872*IF(AND(B812&gt;AQ4,B812&lt;=AR4),B812-AQ4,AR3/2))/AT3</f>
      </c>
      <c r="AS872" s="757">
        <f>IF(AS812&gt;0,AVERAGE(AR812,AS812)*B872*AS3,AR812*B872*IF(AND(B812&gt;AR4,B812&lt;=AS4),B812-AR4,AS3/2))/AT3</f>
      </c>
      <c r="AT872" s="962">
        <f t="shared" ref="AT872:AT891" si="1744">SUM(AP872,AQ872,AR872,AS872)</f>
      </c>
      <c r="AU872" s="757">
        <f>IF(AU812&gt;0,AVERAGE(AT812,AU812)*B872*AU3,AT812*B872*IF(AND(B812&gt;AT4,B812&lt;=AU4),B812-AT4,AU3/2))/AY3</f>
      </c>
      <c r="AV872" s="757">
        <f>IF(AV812&gt;0,AVERAGE(AU812,AV812)*B872*AV3,AU812*B872*IF(AND(B812&gt;AU4,B812&lt;=AV4),B812-AU4,AV3/2))/AY3</f>
      </c>
      <c r="AW872" s="757">
        <f>IF(AW812&gt;0,AVERAGE(AV812,AW812)*B872*AW3,AV812*B872*IF(AND(B812&gt;AV4,B812&lt;=AW4),B812-AV4,AW3/2))/AY3</f>
      </c>
      <c r="AX872" s="757">
        <f>IF(AX812&gt;0,AVERAGE(AW812,AX812)*B872*AX3,AW812*B872*IF(AND(B812&gt;AW4,B812&lt;=AX4),B812-AW4,AX3/2))/AY3</f>
      </c>
      <c r="AY872" s="962">
        <f t="shared" ref="AY872:AY891" si="1745">SUM(AU872,AV872,AW872,AX872)</f>
      </c>
      <c r="AZ872" s="757">
        <f>IF(AZ812&gt;0,AVERAGE(AY812,AZ812)*B872*AZ3,AY812*B872*IF(AND(B812&gt;AY4,B812&lt;=AZ4),B812-AY4,AZ3/2))/BD3</f>
      </c>
      <c r="BA872" s="757"/>
      <c r="BB872" s="757"/>
      <c r="BC872" s="757"/>
      <c r="BD872" s="962">
        <f>SUM(AZ872,BA872,BB872,BC872)</f>
      </c>
      <c r="BE872" s="757"/>
      <c r="BF872" s="757"/>
      <c r="BG872" s="757"/>
      <c r="BH872" s="757"/>
      <c r="BI872" s="962">
        <f>SUM(BE872,BF872,BG872,BH872)</f>
      </c>
      <c r="BJ872" s="757"/>
      <c r="BK872" s="757"/>
      <c r="BL872" s="757"/>
      <c r="BM872" s="757"/>
      <c r="BN872" s="962">
        <f>SUM(BJ872,BK872,BL872,BM872)</f>
      </c>
      <c r="BO872" s="757"/>
      <c r="BP872" s="757"/>
      <c r="BQ872" s="757"/>
      <c r="BR872" s="757"/>
      <c r="BS872" s="962">
        <f>SUM(BO872,BP872,BQ872,BR872)</f>
      </c>
      <c r="BT872" s="758"/>
      <c r="BU872" s="757"/>
      <c r="BV872" s="757"/>
      <c r="BW872" s="757"/>
      <c r="BX872" s="962"/>
      <c r="BY872" s="757"/>
      <c r="BZ872" s="757"/>
      <c r="CA872" s="757"/>
      <c r="CB872" s="757"/>
      <c r="CC872" s="962"/>
      <c r="CD872" s="962"/>
      <c r="CE872" s="962"/>
      <c r="CF872" s="962"/>
      <c r="CG872" s="273"/>
    </row>
    <row r="873" spans="1:85" hidden="1" outlineLevel="1" collapsed="1" x14ac:dyDescent="0.3">
      <c r="A873" s="424" t="s">
        <v>835</v>
      </c>
      <c r="B873" s="897">
        <v>5.7500000000000002E-2</v>
      </c>
      <c r="C873" s="962"/>
      <c r="D873" s="962"/>
      <c r="E873" s="962"/>
      <c r="F873" s="962"/>
      <c r="G873" s="757"/>
      <c r="H873" s="757"/>
      <c r="I873" s="757"/>
      <c r="J873" s="757"/>
      <c r="K873" s="962"/>
      <c r="L873" s="757"/>
      <c r="M873" s="757"/>
      <c r="N873" s="757"/>
      <c r="O873" s="757"/>
      <c r="P873" s="962"/>
      <c r="Q873" s="757"/>
      <c r="R873" s="757"/>
      <c r="S873" s="757"/>
      <c r="T873" s="757"/>
      <c r="U873" s="962"/>
      <c r="V873" s="757"/>
      <c r="W873" s="757"/>
      <c r="X873" s="757"/>
      <c r="Y873" s="757"/>
      <c r="Z873" s="962"/>
      <c r="AA873" s="757"/>
      <c r="AB873" s="757"/>
      <c r="AC873" s="757"/>
      <c r="AD873" s="757"/>
      <c r="AE873" s="962"/>
      <c r="AF873" s="757"/>
      <c r="AG873" s="757"/>
      <c r="AH873" s="757"/>
      <c r="AI873" s="757"/>
      <c r="AJ873" s="962"/>
      <c r="AK873" s="757"/>
      <c r="AL873" s="757"/>
      <c r="AM873" s="757"/>
      <c r="AN873" s="757"/>
      <c r="AO873" s="962"/>
      <c r="AP873" s="757">
        <f>IF(AP813&gt;0,AVERAGE(AO813,AP813)*B873*AP$3,AO813*B873*IF(AND(B813&gt;AO$4,B813&lt;=AP$4),B813-AO$4,AP$3/2))/AT$3</f>
      </c>
      <c r="AQ873" s="757">
        <f>IF(AQ813&gt;0,AVERAGE(AP813,AQ813)*B873*AQ3,AP813*B873*IF(AND(B813&gt;AP4,B813&lt;=AQ4),B813-AP4,AQ3/2))/AT3</f>
      </c>
      <c r="AR873" s="757">
        <f>IF(AR813&gt;0,AVERAGE(AQ813,AR813)*B873*AR3,AQ813*B873*IF(AND(B813&gt;AQ4,B813&lt;=AR4),B813-AQ4,AR3/2))/AT3</f>
      </c>
      <c r="AS873" s="757">
        <f>IF(AS813&gt;0,AVERAGE(AR813,AS813)*B873*AS3,AR813*B873*IF(AND(B813&gt;AR4,B813&lt;=AS4),B813-AR4,AS3/2))/AT3</f>
      </c>
      <c r="AT873" s="962">
        <f t="shared" si="1744"/>
      </c>
      <c r="AU873" s="757">
        <f>IF(AU813&gt;0,AVERAGE(AT813,AU813)*B873*AU3,AT813*B873*IF(AND(B813&gt;AT4,B813&lt;=AU4),B813-AT4,AU3/2))/AY3</f>
      </c>
      <c r="AV873" s="757">
        <f>IF(AV813&gt;0,AVERAGE(AU813,AV813)*B873*AV3,AU813*B873*IF(AND(B813&gt;AU4,B813&lt;=AV4),B813-AU4,AV3/2))/AY3</f>
      </c>
      <c r="AW873" s="757">
        <f>IF(AW813&gt;0,AVERAGE(AV813,AW813)*B873*AW3,AV813*B873*IF(AND(B813&gt;AV4,B813&lt;=AW4),B813-AV4,AW3/2))/AY3</f>
      </c>
      <c r="AX873" s="757">
        <f>IF(AX813&gt;0,AVERAGE(AW813,AX813)*B873*AX3,AW813*B873*IF(AND(B813&gt;AW4,B813&lt;=AX4),B813-AW4,AX3/2))/AY3</f>
      </c>
      <c r="AY873" s="962">
        <f t="shared" si="1745"/>
      </c>
      <c r="AZ873" s="757">
        <f>IF(AZ813&gt;0,AVERAGE(AY813,AZ813)*$B873*AZ3,AY813*$B873*IF(AND(B813&gt;AY4,B813&lt;=AZ4),B813-AY4,AZ3/2))/BD3</f>
      </c>
      <c r="BA873" s="757">
        <f>IF(BA813&gt;0,AVERAGE(AZ813,BA813)*$B873*BA3,AZ813*$B873*IF(AND(B813&gt;AZ4,B813&lt;=BA4),B813-AZ4,BA3/2))/BD3</f>
      </c>
      <c r="BB873" s="757">
        <f>IF(BB813&gt;0,AVERAGE(BA813,BB813)*B873*BB3,BA813*B873*IF(AND(B813&gt;BA4,B813&lt;=BB4),B813-BA4,BB3/2))/BD3</f>
      </c>
      <c r="BC873" s="757">
        <f>IF(BC813&gt;0,AVERAGE(BB813,BC813)*B873*BC3,BB813*B873*IF(AND(B813&gt;BB4,B813&lt;=BC4),B813-BB4,BC3/2))/BD3</f>
      </c>
      <c r="BD873" s="962">
        <f>SUM(AZ873,BA873,BB873,BC873)</f>
      </c>
      <c r="BE873" s="757">
        <f>IF(BE813&gt;0,AVERAGE(BD813,BE813)*$B873*BE$3,BD813*$B873*IF(AND($B813&gt;BD$4,$B813&lt;=BE$4),$B813-BD$4,BE$3/2))/BI$3</f>
      </c>
      <c r="BF873" s="757">
        <f>IF(BF813&gt;0,AVERAGE(BE813,BF813)*$B873*BF3,BE813*$B873*IF(AND($B813&gt;BE4,$B813&lt;=BF4),$B813-BE4,BF3/2))/BI3</f>
      </c>
      <c r="BG873" s="757">
        <f>IF(BG813&gt;0,AVERAGE(BF813,BG813)*$B873*BG3,BF813*$B873*IF(AND($B813&gt;BF4,$B813&lt;=BG4),$B813-BF4,BG3/2))/BI3</f>
      </c>
      <c r="BH873" s="757">
        <f>IF(BH813&gt;0,AVERAGE(BG813,BH813)*$B873*BH3,BG813*$B873*IF(AND($B813&gt;BG4,$B813&lt;=BH4),$B813-BG4,BH3/2))/BI3</f>
      </c>
      <c r="BI873" s="962">
        <f>SUM(BE873,BF873,BG873,BH873)</f>
      </c>
      <c r="BJ873" s="757">
        <f>IF(BJ813&gt;0,AVERAGE(BI813,BJ813)*$B873*BJ$3,BI813*$B873*IF(AND($B813&gt;BI$4,$B813&lt;=BJ$4),$B813-BI$4,BJ$3/2))/BN$3</f>
      </c>
      <c r="BK873" s="757">
        <f>IF(BK813&gt;0,AVERAGE(BJ813,BK813)*$B873*BK3,BJ813*$B873*IF(AND($B813&gt;BJ4,$B813&lt;=BK4),$B813-BJ4,BK3/2))/BN3</f>
      </c>
      <c r="BL873" s="757">
        <f>IF(BL813&gt;0,AVERAGE(BK813,BL813)*$B873*BL3,BK813*$B873*IF(AND($B813&gt;BK4,$B813&lt;=BL4),$B813-BK4,BL3/2))/BN3</f>
      </c>
      <c r="BM873" s="757">
        <f>IF(BM813&gt;0,AVERAGE(BL813,BM813)*$B873*BM3,BL813*$B873*IF(AND($B813&gt;BL4,$B813&lt;=BM4),$B813-BL4,BM3/2))/BN3</f>
      </c>
      <c r="BN873" s="962">
        <f>SUM(BJ873,BK873,BL873,BM873)</f>
      </c>
      <c r="BO873" s="757">
        <f>IF(BO813&gt;0,AVERAGE(BN813,BO813)*$B873*BO$3,BN813*$B873*IF(AND($B813&gt;BN$4,$B813&lt;=BO$4),$B813-BN$4,BO$3/2))/BS$3</f>
      </c>
      <c r="BP873" s="757">
        <f>IF(BP813&gt;0,AVERAGE(BO813,BP813)*$B873*BP3,BO813*$B873*IF(AND($B813&gt;BO4,$B813&lt;=BP4),$B813-BO4,BP3/2))/BS3</f>
      </c>
      <c r="BQ873" s="757">
        <f>IF(BQ813&gt;0,AVERAGE(BP813,BQ813)*$B873*BQ3,BP813*$B873*IF(AND($B813&gt;BP4,$B813&lt;=BQ4),$B813-BP4,BQ3/2))/BS3</f>
      </c>
      <c r="BR873" s="757">
        <f>IF(BR813&gt;0,AVERAGE(BQ813,BR813)*$B873*BR3,BQ813*$B873*IF(AND($B813&gt;BQ4,$B813&lt;=BR4),$B813-BQ4,BR3/2))/BS3</f>
      </c>
      <c r="BS873" s="962">
        <f>SUM(BO873,BP873,BQ873,BR873)</f>
      </c>
      <c r="BT873" s="758">
        <f>IF(BT813&gt;0,AVERAGE(BS813,BT813)*$B873*BT$3,BS813*$B873*IF(AND($B813&gt;BS$4,$B813&lt;=BT$4),$B813-BS$4,BT$3/2))/BX$3</f>
      </c>
      <c r="BU873" s="757">
        <f>IF(BU813&gt;0,AVERAGE(BT813,BU813)*$B873*BU3,BT813*$B873*IF(AND($B813&gt;BT4,$B813&lt;=BU4),$B813-BT4,BU3/2))/BX3</f>
      </c>
      <c r="BV873" s="757">
        <f>IF(BV813&gt;0,AVERAGE(BU813,BV813)*$B873*BV3,BU813*$B873*IF(AND($B813&gt;BU4,$B813&lt;=BV4),$B813-BU4,BV3/2))/BX3</f>
      </c>
      <c r="BW873" s="757">
        <f>IF(BW813&gt;0,AVERAGE(BV813,BW813)*$B873*BW3,BV813*$B873*IF(AND($B813&gt;BV4,$B813&lt;=BW4),$B813-BV4,BW3/2))/BX3</f>
      </c>
      <c r="BX873" s="962">
        <f>SUM(BT873,BU873,BV873,BW873)</f>
      </c>
      <c r="BY873" s="757">
        <f>IF(BY813&gt;0,AVERAGE(BX813,BY813)*$B873*BY3,BX813*$B873*IF(AND($B813&gt;BX4,$B813&lt;=BY4),$B813-BX4,BY3/2))/CC3</f>
      </c>
      <c r="BZ873" s="757">
        <f>IF(BZ813&gt;0,AVERAGE(BY813,BZ813)*$B873*BZ3,BY813*$B873*IF(AND($B813&gt;BY4,$B813&lt;=BZ4),$B813-BY4,BZ3/2))/CC3</f>
      </c>
      <c r="CA873" s="757">
        <f>IF(CA813&gt;0,AVERAGE(BZ813,CA813)*$B873*CA3,BZ813*$B873*IF(AND($B813&gt;BZ4,$B813&lt;=CA4),$B813-BZ4,CA3/2))/CC3</f>
      </c>
      <c r="CB873" s="757">
        <f>IF(CB813&gt;0,AVERAGE(CA813,CB813)*$B873*CB3,CA813*$B873*IF(AND($B813&gt;CA4,$B813&lt;=CB4),$B813-CA4,CB3/2))/CC3</f>
      </c>
      <c r="CC873" s="962">
        <f>SUM(BY873,BZ873,CA873,CB873)</f>
      </c>
      <c r="CD873" s="962">
        <f>IF(CD813&gt;0,AVERAGE(CC813,CD813)*$B873,CC813*$B873*IF(AND($B813&gt;CC4,$B813&lt;=CD4),$B813-CC4,CD3/2)/CD3)</f>
      </c>
      <c r="CE873" s="962">
        <f>IF(CE813&gt;0,AVERAGE(CD813,CE813)*$B873,CD813*$B873*IF(AND($B813&gt;CD4,$B813&lt;=CE4),$B813-CD4,CE3/2)/CE3)</f>
      </c>
      <c r="CF873" s="962">
        <f>IF(CF813&gt;0,AVERAGE(CE813,CF813)*$B873,CE813*$B873*IF(AND($B813&gt;CE4,$B813&lt;=CF4),$B813-CE4,CF3/2)/CF3)</f>
      </c>
      <c r="CG873" s="273"/>
    </row>
    <row r="874" spans="1:85" hidden="1" outlineLevel="1" x14ac:dyDescent="0.3">
      <c r="A874" s="424" t="s">
        <v>836</v>
      </c>
      <c r="B874" s="897">
        <v>5.8749999999999997E-2</v>
      </c>
      <c r="C874" s="962"/>
      <c r="D874" s="962"/>
      <c r="E874" s="962"/>
      <c r="F874" s="962"/>
      <c r="G874" s="757"/>
      <c r="H874" s="757"/>
      <c r="I874" s="757"/>
      <c r="J874" s="757"/>
      <c r="K874" s="962"/>
      <c r="L874" s="757"/>
      <c r="M874" s="757"/>
      <c r="N874" s="757"/>
      <c r="O874" s="757"/>
      <c r="P874" s="962"/>
      <c r="Q874" s="757"/>
      <c r="R874" s="757"/>
      <c r="S874" s="757"/>
      <c r="T874" s="757"/>
      <c r="U874" s="962"/>
      <c r="V874" s="757"/>
      <c r="W874" s="757"/>
      <c r="X874" s="757"/>
      <c r="Y874" s="757"/>
      <c r="Z874" s="962"/>
      <c r="AA874" s="757"/>
      <c r="AB874" s="757"/>
      <c r="AC874" s="757"/>
      <c r="AD874" s="757"/>
      <c r="AE874" s="962"/>
      <c r="AF874" s="757"/>
      <c r="AG874" s="757"/>
      <c r="AH874" s="757"/>
      <c r="AI874" s="757"/>
      <c r="AJ874" s="962"/>
      <c r="AK874" s="757"/>
      <c r="AL874" s="757"/>
      <c r="AM874" s="757"/>
      <c r="AN874" s="757"/>
      <c r="AO874" s="962"/>
      <c r="AP874" s="757">
        <f>IF(AP814&gt;0,AVERAGE(AO814,AP814)*B874*AP$3,AO814*B874*IF(AND(B814&gt;AO$4,B814&lt;=AP$4),B814-AO$4,AP$3/2))/AT$3</f>
      </c>
      <c r="AQ874" s="757">
        <f>IF(AQ814&gt;0,AVERAGE(AP814,AQ814)*B874*AQ3,AP814*B874*IF(AND(B814&gt;AP4,B814&lt;=AQ4),B814-AP4,AQ3/2))/AT3</f>
      </c>
      <c r="AR874" s="757">
        <f>IF(AR814&gt;0,AVERAGE(AQ814,AR814)*B874*AR3,AQ814*B874*IF(AND(B814&gt;AQ4,B814&lt;=AR4),B814-AQ4,AR3/2))/AT3</f>
      </c>
      <c r="AS874" s="757">
        <f>IF(AS814&gt;0,AVERAGE(AR814,AS814)*B874*AS3,AR814*B874*IF(AND(B814&gt;AR4,B814&lt;=AS4),B814-AR4,AS3/2))/AT3</f>
      </c>
      <c r="AT874" s="962">
        <f t="shared" si="1744"/>
      </c>
      <c r="AU874" s="757">
        <f>IF(AU814&gt;0,AVERAGE(AT814,AU814)*B874*AU3,AT814*B874*IF(AND(B814&gt;AT4,B814&lt;=AU4),B814-AT4,AU3/2))/AY3</f>
      </c>
      <c r="AV874" s="757">
        <f>IF(AV814&gt;0,AVERAGE(AU814,AV814)*B874*AV3,AU814*B874*IF(AND(B814&gt;AU4,B814&lt;=AV4),B814-AU4,AV3/2))/AY3</f>
      </c>
      <c r="AW874" s="757">
        <f>IF(AW814&gt;0,AVERAGE(AV814,AW814)*B874*AW3,AV814*B874*IF(AND(B814&gt;AV4,B814&lt;=AW4),B814-AV4,AW3/2))/AY3</f>
      </c>
      <c r="AX874" s="757">
        <f>IF(AX814&gt;0,AVERAGE(AW814,AX814)*B874*AX3,AW814*B874*IF(AND(B814&gt;AW4,B814&lt;=AX4),B814-AW4,AX3/2))/AY3</f>
      </c>
      <c r="AY874" s="962">
        <f t="shared" si="1745"/>
      </c>
      <c r="AZ874" s="757">
        <f>IF(AZ814&gt;0,AVERAGE(AY814,AZ814)*B874*AZ3,AY814*B874*IF(AND(B814&gt;AY4,B814&lt;=AZ4),B814-AY4,AZ3/2))/BD3</f>
      </c>
      <c r="BA874" s="757">
        <f>IF(BA814&gt;0,AVERAGE(AZ814,BA814)*$B874*BA3,AZ814*$B874*IF(AND(B814&gt;AZ4,B814&lt;=BA4),B814-AZ4,BA3/2))/BD3</f>
      </c>
      <c r="BB874" s="757">
        <f>IF(BB814&gt;0,AVERAGE(BA814,BB814)*B874*BB3,BA814*B874*IF(AND(B814&gt;BA4,B814&lt;=BB4),B814-BA4,BB3/2))/BD3</f>
      </c>
      <c r="BC874" s="757">
        <f>IF(BC814&gt;0,AVERAGE(BB814,BC814)*B874*BC3,BB814*B874*IF(AND(B814&gt;BB4,B814&lt;=BC4),B814-BB4,BC3/2))/BD3</f>
      </c>
      <c r="BD874" s="962">
        <f>SUM(AZ874,BA874,BB874,BC874)</f>
      </c>
      <c r="BE874" s="757">
        <f>IF(BE814&gt;0,AVERAGE(BD814,BE814)*$B874*BE$3,BD814*$B874*IF(AND($B814&gt;BD$4,$B814&lt;=BE$4),$B814-BD$4,BE$3/2))/BI$3</f>
      </c>
      <c r="BF874" s="757">
        <f>IF(BF814&gt;0,AVERAGE(BE814,BF814)*$B874*BF3,BE814*$B874*IF(AND($B814&gt;BE4,$B814&lt;=BF4),$B814-BE4,BF3/2))/BI3</f>
      </c>
      <c r="BG874" s="757">
        <f>IF(BG814&gt;0,AVERAGE(BF814,BG814)*$B874*BG3,BF814*$B874*IF(AND($B814&gt;BF4,$B814&lt;=BG4),$B814-BF4,BG3/2))/BI3</f>
      </c>
      <c r="BH874" s="757">
        <f>IF(BH814&gt;0,AVERAGE(BG814,BH814)*$B874*BH3,BG814*$B874*IF(AND($B814&gt;BG4,$B814&lt;=BH4),$B814-BG4,BH3/2))/BI3</f>
      </c>
      <c r="BI874" s="962">
        <f>SUM(BE874,BF874,BG874,BH874)</f>
      </c>
      <c r="BJ874" s="757">
        <f>IF(BJ814&gt;0,AVERAGE(BI814,BJ814)*$B874*BJ$3,BI814*$B874*IF(AND($B814&gt;BI$4,$B814&lt;=BJ$4),$B814-BI$4,BJ$3/2))/BN$3</f>
      </c>
      <c r="BK874" s="757">
        <f>IF(BK814&gt;0,AVERAGE(BJ814,BK814)*$B874*BK3,BJ814*$B874*IF(AND($B814&gt;BJ4,$B814&lt;=BK4),$B814-BJ4,BK3/2))/BN3</f>
      </c>
      <c r="BL874" s="757">
        <f>IF(BL814&gt;0,AVERAGE(BK814,BL814)*$B874*BL3,BK814*$B874*IF(AND($B814&gt;BK4,$B814&lt;=BL4),$B814-BK4,BL3/2))/BN3</f>
      </c>
      <c r="BM874" s="757">
        <f>IF(BM814&gt;0,AVERAGE(BL814,BM814)*$B874*BM3,BL814*$B874*IF(AND($B814&gt;BL4,$B814&lt;=BM4),$B814-BL4,BM3/2))/BN3</f>
      </c>
      <c r="BN874" s="962">
        <f>SUM(BJ874,BK874,BL874,BM874)</f>
      </c>
      <c r="BO874" s="757">
        <f>IF(BO814&gt;0,AVERAGE(BN814,BO814)*$B874*BO$3,BN814*$B874*IF(AND($B814&gt;BN$4,$B814&lt;=BO$4),$B814-BN$4,BO$3/2))/BS$3</f>
      </c>
      <c r="BP874" s="757">
        <f>IF(BP814&gt;0,AVERAGE(BO814,BP814)*$B874*BP3,BO814*$B874*IF(AND($B814&gt;BO4,$B814&lt;=BP4),$B814-BO4,BP3/2))/BS3</f>
      </c>
      <c r="BQ874" s="757">
        <f>IF(BQ814&gt;0,AVERAGE(BP814,BQ814)*$B874*BQ3,BP814*$B874*IF(AND($B814&gt;BP4,$B814&lt;=BQ4),$B814-BP4,BQ3/2))/BS3</f>
      </c>
      <c r="BR874" s="757">
        <f>IF(BR814&gt;0,AVERAGE(BQ814,BR814)*$B874*BR3,BQ814*$B874*IF(AND($B814&gt;BQ4,$B814&lt;=BR4),$B814-BQ4,BR3/2))/BS3</f>
      </c>
      <c r="BS874" s="962">
        <f>SUM(BO874,BP874,BQ874,BR874)</f>
      </c>
      <c r="BT874" s="758">
        <f>IF(BT814&gt;0,AVERAGE(BS814,BT814)*$B874*BT$3,BS814*$B874*IF(AND($B814&gt;BS$4,$B814&lt;=BT$4),$B814-BS$4,BT$3/2))/BX$3</f>
      </c>
      <c r="BU874" s="757">
        <f>IF(BU814&gt;0,AVERAGE(BT814,BU814)*$B874*BU3,BT814*$B874*IF(AND($B814&gt;BT4,$B814&lt;=BU4),$B814-BT4,BU3/2))/BX3</f>
      </c>
      <c r="BV874" s="757">
        <f>IF(BV814&gt;0,AVERAGE(BU814,BV814)*$B874*BV3,BU814*$B874*IF(AND($B814&gt;BU4,$B814&lt;=BV4),$B814-BU4,BV3/2))/BX3</f>
      </c>
      <c r="BW874" s="757">
        <f>IF(BW814&gt;0,AVERAGE(BV814,BW814)*$B874*BW3,BV814*$B874*IF(AND($B814&gt;BV4,$B814&lt;=BW4),$B814-BV4,BW3/2))/BX3</f>
      </c>
      <c r="BX874" s="962">
        <f>SUM(BT874,BU874,BV874,BW874)</f>
      </c>
      <c r="BY874" s="757">
        <f>IF(BY814&gt;0,AVERAGE(BX814,BY814)*$B874*BY3,BX814*$B874*IF(AND($B814&gt;BX4,$B814&lt;=BY4),$B814-BX4,BY3/2))/CC3</f>
      </c>
      <c r="BZ874" s="757">
        <f>IF(BZ814&gt;0,AVERAGE(BY814,BZ814)*$B874*BZ3,BY814*$B874*IF(AND($B814&gt;BY4,$B814&lt;=BZ4),$B814-BY4,BZ3/2))/CC3</f>
      </c>
      <c r="CA874" s="757">
        <f>IF(CA814&gt;0,AVERAGE(BZ814,CA814)*$B874*CA3,BZ814*$B874*IF(AND($B814&gt;BZ4,$B814&lt;=CA4),$B814-BZ4,CA3/2))/CC3</f>
      </c>
      <c r="CB874" s="757">
        <f>IF(CB814&gt;0,AVERAGE(CA814,CB814)*$B874*CB3,CA814*$B874*IF(AND($B814&gt;CA4,$B814&lt;=CB4),$B814-CA4,CB3/2))/CC3</f>
      </c>
      <c r="CC874" s="962">
        <f>SUM(BY874,BZ874,CA874,CB874)</f>
      </c>
      <c r="CD874" s="962">
        <f>IF(CD814&gt;0,AVERAGE(CC814,CD814)*$B874,CC814*$B874*IF(AND($B814&gt;CC4,$B814&lt;=CD4),$B814-CC4,CD3/2)/CD3)</f>
      </c>
      <c r="CE874" s="962">
        <f>IF(CE814&gt;0,AVERAGE(CD814,CE814)*$B874,CD814*$B874*IF(AND($B814&gt;CD4,$B814&lt;=CE4),$B814-CD4,CE3/2)/CE3)</f>
      </c>
      <c r="CF874" s="962">
        <f>IF(CF814&gt;0,AVERAGE(CE814,CF814)*$B874,CE814*$B874*IF(AND($B814&gt;CE4,$B814&lt;=CF4),$B814-CE4,CF3/2)/CF3)</f>
      </c>
      <c r="CG874" s="273"/>
    </row>
    <row r="875" spans="1:85" hidden="1" outlineLevel="2" x14ac:dyDescent="0.3">
      <c r="A875" s="413" t="s">
        <v>889</v>
      </c>
      <c r="B875" s="897">
        <v>0.03</v>
      </c>
      <c r="C875" s="962"/>
      <c r="D875" s="962"/>
      <c r="E875" s="962"/>
      <c r="F875" s="962"/>
      <c r="G875" s="757"/>
      <c r="H875" s="757"/>
      <c r="I875" s="757"/>
      <c r="J875" s="757"/>
      <c r="K875" s="962"/>
      <c r="L875" s="757"/>
      <c r="M875" s="757"/>
      <c r="N875" s="757"/>
      <c r="O875" s="757"/>
      <c r="P875" s="962"/>
      <c r="Q875" s="757"/>
      <c r="R875" s="757"/>
      <c r="S875" s="757"/>
      <c r="T875" s="757"/>
      <c r="U875" s="962"/>
      <c r="V875" s="757"/>
      <c r="W875" s="757"/>
      <c r="X875" s="757"/>
      <c r="Y875" s="757"/>
      <c r="Z875" s="962"/>
      <c r="AA875" s="757"/>
      <c r="AB875" s="757"/>
      <c r="AC875" s="757"/>
      <c r="AD875" s="757"/>
      <c r="AE875" s="962"/>
      <c r="AF875" s="757"/>
      <c r="AG875" s="757"/>
      <c r="AH875" s="757"/>
      <c r="AI875" s="757"/>
      <c r="AJ875" s="962"/>
      <c r="AK875" s="757"/>
      <c r="AL875" s="757"/>
      <c r="AM875" s="757"/>
      <c r="AN875" s="757"/>
      <c r="AO875" s="962"/>
      <c r="AP875" s="757">
        <f>IF(AP815&gt;0,AVERAGE(AO815,AP815)*B875*AP$3,AO815*B875*IF(AND(B815&gt;AO$4,B815&lt;=AP$4),B815-AO$4,AP$3/2))/AT$3</f>
      </c>
      <c r="AQ875" s="757">
        <f>AQ815*B875*YEARFRAC("2020-04-28",AQ$4)</f>
      </c>
      <c r="AR875" s="757">
        <f>IF(AR815&gt;0,AVERAGE(AQ815,AR815)*B875*AR3,AQ815*B875*IF(AND(B815&gt;AQ4,B815&lt;=AR4),B815-AQ4,AR3/2))/AT3</f>
      </c>
      <c r="AS875" s="757">
        <f>IF(AS815&gt;0,AVERAGE(AR815,AS815)*B875*AS3,AR815*B875*IF(AND(B815&gt;AR4,B815&lt;=AS4),B815-AR4,AS3/2))/AT3</f>
      </c>
      <c r="AT875" s="962">
        <f t="shared" si="1744"/>
      </c>
      <c r="AU875" s="757">
        <f>IF(AU815&gt;0,AVERAGE(AT815,AU815)*B875*AU3,AT815*B875*IF(AND(B815&gt;AT4,B815&lt;=AU4),B815-AT4,AU3/2))/AY3</f>
      </c>
      <c r="AV875" s="757">
        <f>IF(AV815&gt;0,AVERAGE(AU815,AV815)*B875*AV3,AU815*B875*IF(AND(B815&gt;AU4,B815&lt;=AV4),B815-AU4,AV3/2))/AY3</f>
      </c>
      <c r="AW875" s="757">
        <f>IF(AW815&gt;0,AVERAGE(AV815,AW815)*B875*AW3,AV815*B875*IF(AND(B815&gt;AV4,B815&lt;=AW4),B815-AV4,AW3/2))/AY3</f>
      </c>
      <c r="AX875" s="757">
        <f>IF(AX815&gt;0,AVERAGE(AW815,AX815)*B875*AX3,AW815*B875*IF(AND(B815&gt;AW4,B815&lt;=AX4),B815-AW4,AX3/2))/AY3</f>
      </c>
      <c r="AY875" s="962">
        <f t="shared" si="1745"/>
      </c>
      <c r="AZ875" s="757">
        <f>IF(AZ815&gt;0,AVERAGE(AY815,AZ815)*B875*AZ3,AY815*B875*IF(AND(B815&gt;AY4,B815&lt;=AZ4),B815-AY4,AZ3/2))/BD3</f>
      </c>
      <c r="BA875" s="757">
        <f>IF(BA815&gt;0,AVERAGE(AZ815,BA815)*$B875*BA3,AZ815*$B875*IF(AND(B815&gt;AZ4,B815&lt;=BA4),B815-AZ4,BA3/2))/BD3</f>
      </c>
      <c r="BB875" s="757">
        <f>IF(BB815&gt;0,AVERAGE(BA815,BB815)*B875*BB3,BA815*B875*IF(AND(B815&gt;BA4,B815&lt;=BB4),B815-BA4,BB3/2))/BD3</f>
      </c>
      <c r="BC875" s="757">
        <f>IF(BC815&gt;0,AVERAGE(BB815,BC815)*B875*BC3,BB815*B875*IF(AND(B815&gt;BB4,B815&lt;=BC4),B815-BB4,BC3/2))/BD3</f>
      </c>
      <c r="BD875" s="962">
        <f>SUM(AZ875,BA875,BB875,BC875)</f>
      </c>
      <c r="BE875" s="757">
        <f>IF(BE815&gt;0,AVERAGE(BD815,BE815)*$B875*BE$3,BD815*$B875*IF(AND($B815&gt;BD$4,$B815&lt;=BE$4),$B815-BD$4,BE$3/2))/BI$3</f>
      </c>
      <c r="BF875" s="757">
        <f>IF(BF815&gt;0,AVERAGE(BE815,BF815)*$B875*BF3,BE815*$B875*IF(AND($B815&gt;BE4,$B815&lt;=BF4),$B815-BE4,BF3/2))/BI3</f>
      </c>
      <c r="BG875" s="757">
        <f>IF(BG815&gt;0,AVERAGE(BF815,BG815)*$B875*BG3,BF815*$B875*IF(AND($B815&gt;BF4,$B815&lt;=BG4),$B815-BF4,BG3/2))/BI3</f>
      </c>
      <c r="BH875" s="757">
        <f>IF(BH815&gt;0,AVERAGE(BG815,BH815)*$B875*BH3,BG815*$B875*IF(AND($B815&gt;BG4,$B815&lt;=BH4),$B815-BG4,BH3/2))/BI3</f>
      </c>
      <c r="BI875" s="962">
        <f>SUM(BE875,BF875,BG875,BH875)</f>
      </c>
      <c r="BJ875" s="757">
        <f>IF(BJ815&gt;0,AVERAGE(BI815,BJ815)*$B875*BJ$3,BI815*$B875*IF(AND($B815&gt;BI$4,$B815&lt;=BJ$4),$B815-BI$4,BJ$3/2))/BN$3</f>
      </c>
      <c r="BK875" s="757">
        <f>IF(BK815&gt;0,AVERAGE(BJ815,BK815)*$B875*BK3,BJ815*$B875*IF(AND($B815&gt;BJ4,$B815&lt;=BK4),$B815-BJ4,BK3/2))/BN3</f>
      </c>
      <c r="BL875" s="757">
        <f>IF(BL815&gt;0,AVERAGE(BK815,BL815)*$B875*BL3,BK815*$B875*IF(AND($B815&gt;BK4,$B815&lt;=BL4),$B815-BK4,BL3/2))/BN3</f>
      </c>
      <c r="BM875" s="757">
        <f>IF(BM815&gt;0,AVERAGE(BL815,BM815)*$B875*BM3,BL815*$B875*IF(AND($B815&gt;BL4,$B815&lt;=BM4),$B815-BL4,BM3/2))/BN3</f>
      </c>
      <c r="BN875" s="962">
        <f>SUM(BJ875,BK875,BL875,BM875)</f>
      </c>
      <c r="BO875" s="757">
        <f>IF(BO815&gt;0,AVERAGE(BN815,BO815)*$B875*BO$3,BN815*$B875*IF(AND($B815&gt;BN$4,$B815&lt;=BO$4),$B815-BN$4,BO$3/2))/BS$3</f>
      </c>
      <c r="BP875" s="757">
        <f>IF(BP815&gt;0,AVERAGE(BO815,BP815)*$B875*BP3,BO815*$B875*IF(AND($B815&gt;BO4,$B815&lt;=BP4),$B815-BO4,BP3/2))/BS3</f>
      </c>
      <c r="BQ875" s="757">
        <f>IF(BQ815&gt;0,AVERAGE(BP815,BQ815)*$B875*BQ3,BP815*$B875*IF(AND($B815&gt;BP4,$B815&lt;=BQ4),$B815-BP4,BQ3/2))/BS3</f>
      </c>
      <c r="BR875" s="757">
        <f>IF(BR815&gt;0,AVERAGE(BQ815,BR815)*$B875*BR3,BQ815*$B875*IF(AND($B815&gt;BQ4,$B815&lt;=BR4),$B815-BQ4,BR3/2))/BS3</f>
      </c>
      <c r="BS875" s="962">
        <f>SUM(BO875,BP875,BQ875,BR875)</f>
      </c>
      <c r="BT875" s="758">
        <f>IF(BT815&gt;0,AVERAGE(BS815,BT815)*$B875*BT$3,BS815*$B875*IF(AND($B815&gt;BS$4,$B815&lt;=BT$4),$B815-BS$4,BT$3/2))/BX$3</f>
      </c>
      <c r="BU875" s="757">
        <f>IF(BU815&gt;0,AVERAGE(BT815,BU815)*$B875*BU3,BT815*$B875*IF(AND($B815&gt;BT4,$B815&lt;=BU4),$B815-BT4,BU3/2))/BX3</f>
      </c>
      <c r="BV875" s="757">
        <f>IF(BV815&gt;0,AVERAGE(BU815,BV815)*$B875*BV3,BU815*$B875*IF(AND($B815&gt;BU4,$B815&lt;=BV4),$B815-BU4,BV3/2))/BX3</f>
      </c>
      <c r="BW875" s="757">
        <f>IF(BW815&gt;0,AVERAGE(BV815,BW815)*$B875*BW3,BV815*$B875*IF(AND($B815&gt;BV4,$B815&lt;=BW4),$B815-BV4,BW3/2))/BX3</f>
      </c>
      <c r="BX875" s="962">
        <f>SUM(BT875,BU875,BV875,BW875)</f>
      </c>
      <c r="BY875" s="757">
        <f>IF(BY815&gt;0,AVERAGE(BX815,BY815)*$B875*BY3,BX815*$B875*IF(AND($B815&gt;BX4,$B815&lt;=BY4),$B815-BX4,BY3/2))/CC3</f>
      </c>
      <c r="BZ875" s="757">
        <f>IF(BZ815&gt;0,AVERAGE(BY815,BZ815)*$B875*BZ3,BY815*$B875*IF(AND($B815&gt;BY4,$B815&lt;=BZ4),$B815-BY4,BZ3/2))/CC3</f>
      </c>
      <c r="CA875" s="757">
        <f>IF(CA815&gt;0,AVERAGE(BZ815,CA815)*$B875*CA3,BZ815*$B875*IF(AND($B815&gt;BZ4,$B815&lt;=CA4),$B815-BZ4,CA3/2))/CC3</f>
      </c>
      <c r="CB875" s="757">
        <f>IF(CB815&gt;0,AVERAGE(CA815,CB815)*$B875*CB3,CA815*$B875*IF(AND($B815&gt;CA4,$B815&lt;=CB4),$B815-CA4,CB3/2))/CC3</f>
      </c>
      <c r="CC875" s="962">
        <f>SUM(BY875,BZ875,CA875,CB875)</f>
      </c>
      <c r="CD875" s="962">
        <f>IF(CD815&gt;0,AVERAGE(CC815,CD815)*$B875,CC815*$B875*IF(AND($B815&gt;CC4,$B815&lt;=CD4),$B815-CC4,CD3/2)/CD3)</f>
      </c>
      <c r="CE875" s="962">
        <f>IF(CE815&gt;0,AVERAGE(CD815,CE815)*$B875,CD815*$B875*IF(AND($B815&gt;CD4,$B815&lt;=CE4),$B815-CD4,CE3/2)/CE3)</f>
      </c>
      <c r="CF875" s="962">
        <f>IF(CF815&gt;0,AVERAGE(CE815,CF815)*$B875,CE815*$B875*IF(AND($B815&gt;CE4,$B815&lt;=CF4),$B815-CE4,CF3/2)/CF3)</f>
      </c>
      <c r="CG875" s="273"/>
    </row>
    <row r="876" spans="1:85" hidden="1" outlineLevel="1" collapsed="1" x14ac:dyDescent="0.3">
      <c r="A876" s="424" t="s">
        <v>866</v>
      </c>
      <c r="B876" s="897">
        <v>0.03</v>
      </c>
      <c r="C876" s="962"/>
      <c r="D876" s="962"/>
      <c r="E876" s="962"/>
      <c r="F876" s="962"/>
      <c r="G876" s="757"/>
      <c r="H876" s="757"/>
      <c r="I876" s="757"/>
      <c r="J876" s="757"/>
      <c r="K876" s="962"/>
      <c r="L876" s="757"/>
      <c r="M876" s="757"/>
      <c r="N876" s="757"/>
      <c r="O876" s="757"/>
      <c r="P876" s="962"/>
      <c r="Q876" s="757"/>
      <c r="R876" s="757"/>
      <c r="S876" s="757"/>
      <c r="T876" s="757"/>
      <c r="U876" s="962"/>
      <c r="V876" s="757"/>
      <c r="W876" s="757"/>
      <c r="X876" s="757"/>
      <c r="Y876" s="757"/>
      <c r="Z876" s="962"/>
      <c r="AA876" s="757"/>
      <c r="AB876" s="757"/>
      <c r="AC876" s="757"/>
      <c r="AD876" s="757"/>
      <c r="AE876" s="962"/>
      <c r="AF876" s="757"/>
      <c r="AG876" s="757"/>
      <c r="AH876" s="757"/>
      <c r="AI876" s="757"/>
      <c r="AJ876" s="962"/>
      <c r="AK876" s="757"/>
      <c r="AL876" s="757"/>
      <c r="AM876" s="757"/>
      <c r="AN876" s="757"/>
      <c r="AO876" s="962"/>
      <c r="AP876" s="757">
        <f t="shared" ref="AP876" si="1746">+AP875/AP$775</f>
      </c>
      <c r="AQ876" s="757">
        <f t="shared" ref="AQ876" si="1747">+AQ875/AQ$775</f>
      </c>
      <c r="AR876" s="757">
        <f t="shared" ref="AR876" si="1748">+AR875/AR$775</f>
      </c>
      <c r="AS876" s="757">
        <f t="shared" ref="AS876" si="1749">+AS875/AS$775</f>
      </c>
      <c r="AT876" s="962">
        <f t="shared" ref="AT876" si="1750">+AT875/AT$775</f>
      </c>
      <c r="AU876" s="757">
        <f t="shared" ref="AU876" si="1751">+AU875/AU$775</f>
      </c>
      <c r="AV876" s="757">
        <f t="shared" ref="AV876" si="1752">+AV875/AV$775</f>
      </c>
      <c r="AW876" s="757">
        <f t="shared" ref="AW876" si="1753">+AW875/AW$775</f>
      </c>
      <c r="AX876" s="757">
        <f t="shared" ref="AX876" si="1754">+AX875/AX$775</f>
      </c>
      <c r="AY876" s="962">
        <f t="shared" ref="AY876" si="1755">+AY875/AY$775</f>
      </c>
      <c r="AZ876" s="757">
        <f t="shared" ref="AZ876" si="1756">+AZ875/AZ$775</f>
      </c>
      <c r="BA876" s="757">
        <f t="shared" ref="BA876" si="1757">+BA875/BA$775</f>
      </c>
      <c r="BB876" s="757">
        <f>+BB875/BB$775</f>
      </c>
      <c r="BC876" s="757">
        <f t="shared" ref="BC876" si="1758">+BC875/BC$775</f>
      </c>
      <c r="BD876" s="962">
        <f t="shared" ref="BD876:BN876" si="1759">+BD875/BD$775</f>
      </c>
      <c r="BE876" s="757">
        <f t="shared" si="1759"/>
      </c>
      <c r="BF876" s="757">
        <f t="shared" si="1759"/>
      </c>
      <c r="BG876" s="757">
        <f t="shared" si="1759"/>
      </c>
      <c r="BH876" s="757">
        <f t="shared" si="1759"/>
      </c>
      <c r="BI876" s="962">
        <f t="shared" si="1759"/>
      </c>
      <c r="BJ876" s="757">
        <f t="shared" si="1759"/>
      </c>
      <c r="BK876" s="757">
        <f t="shared" si="1759"/>
      </c>
      <c r="BL876" s="757">
        <f t="shared" si="1759"/>
      </c>
      <c r="BM876" s="757">
        <f t="shared" si="1759"/>
      </c>
      <c r="BN876" s="962">
        <f t="shared" si="1759"/>
      </c>
      <c r="BO876" s="757">
        <f>+BO875/BO$775</f>
      </c>
      <c r="BP876" s="757">
        <f>+BP875/BP$775</f>
      </c>
      <c r="BQ876" s="757">
        <f t="shared" ref="BQ876:BS876" si="1760">+BQ875/BQ$775</f>
      </c>
      <c r="BR876" s="757">
        <f t="shared" si="1760"/>
      </c>
      <c r="BS876" s="962">
        <f t="shared" si="1760"/>
      </c>
      <c r="BT876" s="758">
        <f>+BT875/BT$775</f>
      </c>
      <c r="BU876" s="757">
        <f>+BU875/BU$775</f>
      </c>
      <c r="BV876" s="757">
        <f>+BV875/BV$775</f>
      </c>
      <c r="BW876" s="757">
        <f>+BW875/BW$775</f>
      </c>
      <c r="BX876" s="962">
        <f t="shared" ref="BX876" si="1761">+BX875/BX$775</f>
      </c>
      <c r="BY876" s="757">
        <f t="shared" ref="BY876:CF876" si="1762">+BY875/BY$775</f>
      </c>
      <c r="BZ876" s="757">
        <f t="shared" si="1762"/>
      </c>
      <c r="CA876" s="757">
        <f t="shared" si="1762"/>
      </c>
      <c r="CB876" s="757">
        <f t="shared" si="1762"/>
      </c>
      <c r="CC876" s="962">
        <f t="shared" si="1762"/>
      </c>
      <c r="CD876" s="962">
        <f t="shared" si="1762"/>
      </c>
      <c r="CE876" s="962">
        <f t="shared" si="1762"/>
      </c>
      <c r="CF876" s="962">
        <f t="shared" si="1762"/>
      </c>
      <c r="CG876" s="273"/>
    </row>
    <row r="877" spans="1:85" hidden="1" outlineLevel="1" x14ac:dyDescent="0.3">
      <c r="A877" s="424" t="s">
        <v>837</v>
      </c>
      <c r="B877" s="897">
        <v>3.6249999999999998E-2</v>
      </c>
      <c r="C877" s="962"/>
      <c r="D877" s="962"/>
      <c r="E877" s="962"/>
      <c r="F877" s="962"/>
      <c r="G877" s="757"/>
      <c r="H877" s="757"/>
      <c r="I877" s="757"/>
      <c r="J877" s="757"/>
      <c r="K877" s="962"/>
      <c r="L877" s="757"/>
      <c r="M877" s="757"/>
      <c r="N877" s="757"/>
      <c r="O877" s="757"/>
      <c r="P877" s="962"/>
      <c r="Q877" s="757"/>
      <c r="R877" s="757"/>
      <c r="S877" s="757"/>
      <c r="T877" s="757"/>
      <c r="U877" s="962"/>
      <c r="V877" s="757"/>
      <c r="W877" s="757"/>
      <c r="X877" s="757"/>
      <c r="Y877" s="757"/>
      <c r="Z877" s="962"/>
      <c r="AA877" s="757"/>
      <c r="AB877" s="757"/>
      <c r="AC877" s="757"/>
      <c r="AD877" s="757"/>
      <c r="AE877" s="962"/>
      <c r="AF877" s="757"/>
      <c r="AG877" s="757"/>
      <c r="AH877" s="757"/>
      <c r="AI877" s="757"/>
      <c r="AJ877" s="962"/>
      <c r="AK877" s="757"/>
      <c r="AL877" s="757"/>
      <c r="AM877" s="757"/>
      <c r="AN877" s="757"/>
      <c r="AO877" s="962"/>
      <c r="AP877" s="757">
        <f>IF(AP817&gt;0,AVERAGE(AO817,AP817)*B877*AP$3,AO817*B877*IF(AND(B817&gt;AO$4,B817&lt;=AP$4),B817-AO$4,AP$3/2))/AT$3</f>
      </c>
      <c r="AQ877" s="757">
        <f>AQ817*B877*YEARFRAC("2020-04-28",AQ$4)</f>
      </c>
      <c r="AR877" s="757">
        <f>IF(AR817&gt;0,AVERAGE(AQ817,AR817)*B877*AR3,AQ817*B877*IF(AND(B817&gt;AQ4,B817&lt;=AR4),B817-AQ4,AR3/2))/AT3</f>
      </c>
      <c r="AS877" s="757">
        <f>IF(AS817&gt;0,AVERAGE(AR817,AS817)*B877*AS3,AR817*B877*IF(AND(B817&gt;AR4,B817&lt;=AS4),B817-AR4,AS3/2))/AT3</f>
      </c>
      <c r="AT877" s="962">
        <f t="shared" si="1744"/>
      </c>
      <c r="AU877" s="757">
        <f>IF(AU817&gt;0,AVERAGE(AT817,AU817)*B877*AU3,AT817*B877*IF(AND(B817&gt;AT4,B817&lt;=AU4),B817-AT4,AU3/2))/AY3</f>
      </c>
      <c r="AV877" s="757">
        <f>IF(AV817&gt;0,AVERAGE(AU817,AV817)*B877*AV3,AU817*B877*IF(AND(B817&gt;AU4,B817&lt;=AV4),B817-AU4,AV3/2))/AY3</f>
      </c>
      <c r="AW877" s="757">
        <f>IF(AW817&gt;0,AVERAGE(AV817,AW817)*B877*AW3,AV817*B877*IF(AND(B817&gt;AV4,B817&lt;=AW4),B817-AV4,AW3/2))/AY3</f>
      </c>
      <c r="AX877" s="757">
        <f>IF(AX817&gt;0,AVERAGE(AW817,AX817)*B877*AX3,AW817*B877*IF(AND(B817&gt;AW4,B817&lt;=AX4),B817-AW4,AX3/2))/AY3</f>
      </c>
      <c r="AY877" s="962">
        <f t="shared" si="1745"/>
      </c>
      <c r="AZ877" s="757">
        <f>IF(AZ817&gt;0,AVERAGE(AY817,AZ817)*B877*AZ3,AY817*B877*IF(AND(B817&gt;AY4,B817&lt;=AZ4),B817-AY4,AZ3/2))/BD3</f>
      </c>
      <c r="BA877" s="757">
        <f>IF(BA817&gt;0,AVERAGE(AZ817,BA817)*$B877*BA3,AZ817*$B877*IF(AND(B817&gt;AZ4,B817&lt;=BA4),B817-AZ4,BA3/2))/BD3</f>
      </c>
      <c r="BB877" s="757">
        <f>IF(BB817&gt;0,AVERAGE(BA817,BB817)*B877*BB3,BA817*B877*IF(AND(B817&gt;BA4,B817&lt;=BB4),B817-BA4,BB3/2))/BD3</f>
      </c>
      <c r="BC877" s="757">
        <f>IF(BC817&gt;0,AVERAGE(BB817,BC817)*B877*BC3,BB817*B877*IF(AND(B817&gt;BB4,B817&lt;=BC4),B817-BB4,BC3/2))/BD3</f>
      </c>
      <c r="BD877" s="962">
        <f>SUM(AZ877,BA877,BB877,BC877)</f>
      </c>
      <c r="BE877" s="757">
        <f>IF(BE817&gt;0,AVERAGE(BD817,BE817)*$B877*BE$3,BD817*$B877*IF(AND($B817&gt;BD$4,$B817&lt;=BE$4),$B817-BD$4,BE$3/2))/BI$3</f>
      </c>
      <c r="BF877" s="757">
        <f>IF(BF817&gt;0,AVERAGE(BE817,BF817)*$B877*BF3,BE817*$B877*IF(AND($B817&gt;BE4,$B817&lt;=BF4),$B817-BE4,BF3/2))/BI3</f>
      </c>
      <c r="BG877" s="757">
        <f>IF(BG817&gt;0,AVERAGE(BF817,BG817)*$B877*BG3,BF817*$B877*IF(AND($B817&gt;BF4,$B817&lt;=BG4),$B817-BF4,BG3/2))/BI3</f>
      </c>
      <c r="BH877" s="757">
        <f>IF(BH817&gt;0,AVERAGE(BG817,BH817)*$B877*BH3,BG817*$B877*IF(AND($B817&gt;BG4,$B817&lt;=BH4),$B817-BG4,BH3/2))/BI3</f>
      </c>
      <c r="BI877" s="962">
        <f>SUM(BE877,BF877,BG877,BH877)</f>
      </c>
      <c r="BJ877" s="757">
        <f>IF(BJ817&gt;0,AVERAGE(BI817,BJ817)*$B877*BJ$3,BI817*$B877*IF(AND($B817&gt;BI$4,$B817&lt;=BJ$4),$B817-BI$4,BJ$3/2))/BN$3</f>
      </c>
      <c r="BK877" s="757">
        <f>IF(BK817&gt;0,AVERAGE(BJ817,BK817)*$B877*BK3,BJ817*$B877*IF(AND($B817&gt;BJ4,$B817&lt;=BK4),$B817-BJ4,BK3/2))/BN3</f>
      </c>
      <c r="BL877" s="757">
        <f>IF(BL817&gt;0,AVERAGE(BK817,BL817)*$B877*BL3,BK817*$B877*IF(AND($B817&gt;BK4,$B817&lt;=BL4),$B817-BK4,BL3/2))/BN3</f>
      </c>
      <c r="BM877" s="757">
        <f>IF(BM817&gt;0,AVERAGE(BL817,BM817)*$B877*BM3,BL817*$B877*IF(AND($B817&gt;BL4,$B817&lt;=BM4),$B817-BL4,BM3/2))/BN3</f>
      </c>
      <c r="BN877" s="962">
        <f>SUM(BJ877,BK877,BL877,BM877)</f>
      </c>
      <c r="BO877" s="757">
        <f>IF(BO817&gt;0,AVERAGE(BN817,BO817)*$B877*BO$3,BN817*$B877*IF(AND($B817&gt;BN$4,$B817&lt;=BO$4),$B817-BN$4,BO$3/2))/BS$3</f>
      </c>
      <c r="BP877" s="757">
        <f>IF(BP817&gt;0,AVERAGE(BO817,BP817)*$B877*BP3,BO817*$B877*IF(AND($B817&gt;BO4,$B817&lt;=BP4),$B817-BO4,BP3/2))/BS3</f>
      </c>
      <c r="BQ877" s="757">
        <f>IF(BQ817&gt;0,AVERAGE(BP817,BQ817)*$B877*BQ3,BP817*$B877*IF(AND($B817&gt;BP4,$B817&lt;=BQ4),$B817-BP4,BQ3/2))/BS3</f>
      </c>
      <c r="BR877" s="757">
        <f>IF(BR817&gt;0,AVERAGE(BQ817,BR817)*$B877*BR3,BQ817*$B877*IF(AND($B817&gt;BQ4,$B817&lt;=BR4),$B817-BQ4,BR3/2))/BS3</f>
      </c>
      <c r="BS877" s="962">
        <f>SUM(BO877,BP877,BQ877,BR877)</f>
      </c>
      <c r="BT877" s="758">
        <f>IF(BT817&gt;0,AVERAGE(BS817,BT817)*$B877*BT$3,BS817*$B877*IF(AND($B817&gt;BS$4,$B817&lt;=BT$4),$B817-BS$4,BT$3/2))/BX$3</f>
      </c>
      <c r="BU877" s="757">
        <f>IF(BU817&gt;0,AVERAGE(BT817,BU817)*$B877*BU3,BT817*$B877*IF(AND($B817&gt;BT4,$B817&lt;=BU4),$B817-BT4,BU3/2))/BX3</f>
      </c>
      <c r="BV877" s="757">
        <f>IF(BV817&gt;0,AVERAGE(BU817,BV817)*$B877*BV3,BU817*$B877*IF(AND($B817&gt;BU4,$B817&lt;=BV4),$B817-BU4,BV3/2))/BX3</f>
      </c>
      <c r="BW877" s="757">
        <f>IF(BW817&gt;0,AVERAGE(BV817,BW817)*$B877*BW3,BV817*$B877*IF(AND($B817&gt;BV4,$B817&lt;=BW4),$B817-BV4,BW3/2))/BX3</f>
      </c>
      <c r="BX877" s="962">
        <f>SUM(BT877,BU877,BV877,BW877)</f>
      </c>
      <c r="BY877" s="757">
        <f>IF(BY817&gt;0,AVERAGE(BX817,BY817)*$B877*BY3,BX817*$B877*IF(AND($B817&gt;BX4,$B817&lt;=BY4),$B817-BX4,BY3/2))/CC3</f>
      </c>
      <c r="BZ877" s="757">
        <f>IF(BZ817&gt;0,AVERAGE(BY817,BZ817)*$B877*BZ3,BY817*$B877*IF(AND($B817&gt;BY4,$B817&lt;=BZ4),$B817-BY4,BZ3/2))/CC3</f>
      </c>
      <c r="CA877" s="757">
        <f>IF(CA817&gt;0,AVERAGE(BZ817,CA817)*$B877*CA3,BZ817*$B877*IF(AND($B817&gt;BZ4,$B817&lt;=CA4),$B817-BZ4,CA3/2))/CC3</f>
      </c>
      <c r="CB877" s="757">
        <f>IF(CB817&gt;0,AVERAGE(CA817,CB817)*$B877*CB3,CA817*$B877*IF(AND($B817&gt;CA4,$B817&lt;=CB4),$B817-CA4,CB3/2))/CC3</f>
      </c>
      <c r="CC877" s="962">
        <f>SUM(BY877,BZ877,CA877,CB877)</f>
      </c>
      <c r="CD877" s="962">
        <f>IF(CD817&gt;0,AVERAGE(CC817,CD817)*$B877,CC817*$B877*IF(AND($B817&gt;CC4,$B817&lt;=CD4),$B817-CC4,CD3/2)/CD3)</f>
      </c>
      <c r="CE877" s="962">
        <f>IF(CE817&gt;0,AVERAGE(CD817,CE817)*$B877,CD817*$B877*IF(AND($B817&gt;CD4,$B817&lt;=CE4),$B817-CD4,CE3/2)/CE3)</f>
      </c>
      <c r="CF877" s="962">
        <f>IF(CF817&gt;0,AVERAGE(CE817,CF817)*$B877,CE817*$B877*IF(AND($B817&gt;CE4,$B817&lt;=CF4),$B817-CE4,CF3/2)/CF3)</f>
      </c>
      <c r="CG877" s="273"/>
    </row>
    <row r="878" spans="1:85" hidden="1" outlineLevel="1" x14ac:dyDescent="0.3">
      <c r="A878" s="424" t="s">
        <v>838</v>
      </c>
      <c r="B878" s="897">
        <v>4.3749999999999997E-2</v>
      </c>
      <c r="C878" s="962"/>
      <c r="D878" s="962"/>
      <c r="E878" s="962"/>
      <c r="F878" s="962"/>
      <c r="G878" s="757"/>
      <c r="H878" s="757"/>
      <c r="I878" s="757"/>
      <c r="J878" s="757"/>
      <c r="K878" s="962"/>
      <c r="L878" s="757"/>
      <c r="M878" s="757"/>
      <c r="N878" s="757"/>
      <c r="O878" s="757"/>
      <c r="P878" s="962"/>
      <c r="Q878" s="757"/>
      <c r="R878" s="757"/>
      <c r="S878" s="757"/>
      <c r="T878" s="757"/>
      <c r="U878" s="962"/>
      <c r="V878" s="757"/>
      <c r="W878" s="757"/>
      <c r="X878" s="757"/>
      <c r="Y878" s="757"/>
      <c r="Z878" s="962"/>
      <c r="AA878" s="757"/>
      <c r="AB878" s="757"/>
      <c r="AC878" s="757"/>
      <c r="AD878" s="757"/>
      <c r="AE878" s="962"/>
      <c r="AF878" s="757"/>
      <c r="AG878" s="757"/>
      <c r="AH878" s="757"/>
      <c r="AI878" s="757"/>
      <c r="AJ878" s="962"/>
      <c r="AK878" s="757"/>
      <c r="AL878" s="757"/>
      <c r="AM878" s="757"/>
      <c r="AN878" s="757"/>
      <c r="AO878" s="962"/>
      <c r="AP878" s="757">
        <f>IF(AP818&gt;0,AVERAGE(AO818,AP818)*B878*AP$3,AO818*B878*IF(AND(B818&gt;AO$4,B818&lt;=AP$4),B818-AO$4,AP$3/2))/AT$3</f>
      </c>
      <c r="AQ878" s="757">
        <f>IF(AQ818&gt;0,AVERAGE(AP818,AQ818)*B878*AQ3,AP818*B878*IF(AND(B818&gt;AP4,B818&lt;=AQ4),B818-AP4,AQ3/2))/AT3</f>
      </c>
      <c r="AR878" s="757">
        <f>IF(AR818&gt;0,AVERAGE(AQ818,AR818)*B878*AR3,AQ818*B878*IF(AND(B818&gt;AQ4,B818&lt;=AR4),B818-AQ4,AR3/2))/AT3</f>
      </c>
      <c r="AS878" s="757">
        <f>IF(AS818&gt;0,AVERAGE(AR818,AS818)*B878*AS3,AR818*B878*IF(AND(B818&gt;AR4,B818&lt;=AS4),B818-AR4,AS3/2))/AT3</f>
      </c>
      <c r="AT878" s="962">
        <f t="shared" si="1744"/>
      </c>
      <c r="AU878" s="757">
        <f>IF(AU818&gt;0,AVERAGE(AT818,AU818)*B878*AU3,AT818*B878*IF(AND(B818&gt;AT4,B818&lt;=AU4),B818-AT4,AU3/2))/AY3</f>
      </c>
      <c r="AV878" s="757">
        <f>IF(AV818&gt;0,AVERAGE(AU818,AV818)*B878*AV3,AU818*B878*IF(AND(B818&gt;AU4,B818&lt;=AV4),B818-AU4,AV3/2))/AY3</f>
      </c>
      <c r="AW878" s="757">
        <f>IF(AW818&gt;0,AVERAGE(AV818,AW818)*B878*AW3,AV818*B878*IF(AND(B818&gt;AV4,B818&lt;=AW4),B818-AV4,AW3/2))/AY3</f>
      </c>
      <c r="AX878" s="757">
        <f>IF(AX818&gt;0,AVERAGE(AW818,AX818)*B878*AX3,AW818*B878*IF(AND(B818&gt;AW4,B818&lt;=AX4),B818-AW4,AX3/2))/AY3</f>
      </c>
      <c r="AY878" s="962">
        <f t="shared" si="1745"/>
      </c>
      <c r="AZ878" s="757">
        <f>IF(AZ818&gt;0,AVERAGE(AY818,AZ818)*B878*AZ3,AY818*B878*IF(AND(B818&gt;AY4,B818&lt;=AZ4),B818-AY4,AZ3/2))/BD3</f>
      </c>
      <c r="BA878" s="757">
        <f>IF(BA818&gt;0,AVERAGE(AZ818,BA818)*$B878*BA3,AZ818*$B878*IF(AND(B818&gt;AZ4,B818&lt;=BA4),B818-AZ4,BA3/2))/BD3</f>
      </c>
      <c r="BB878" s="757">
        <f>IF(BB818&gt;0,AVERAGE(BA818,BB818)*B878*BB3,BA818*B878*IF(AND(B818&gt;BA4,B818&lt;=BB4),B818-BA4,BB3/2))/BD3</f>
      </c>
      <c r="BC878" s="757">
        <f>IF(BC818&gt;0,AVERAGE(BB818,BC818)*B878*BC3,BB818*B878*IF(AND(B818&gt;BB4,B818&lt;=BC4),B818-BB4,BC3/2))/BD3</f>
      </c>
      <c r="BD878" s="962">
        <f>SUM(AZ878,BA878,BB878,BC878)</f>
      </c>
      <c r="BE878" s="757">
        <f>IF(BE818&gt;0,AVERAGE(BD818,BE818)*$B878*BE$3,BD818*$B878*IF(AND($B818&gt;BD$4,$B818&lt;=BE$4),$B818-BD$4,BE$3/2))/BI$3</f>
      </c>
      <c r="BF878" s="757">
        <f>IF(BF818&gt;0,AVERAGE(BE818,BF818)*$B878*BF3,BE818*$B878*IF(AND($B818&gt;BE4,$B818&lt;=BF4),$B818-BE4,BF3/2))/BI3</f>
      </c>
      <c r="BG878" s="757">
        <f>IF(BG818&gt;0,AVERAGE(BF818,BG818)*$B878*BG3,BF818*$B878*IF(AND($B818&gt;BF4,$B818&lt;=BG4),$B818-BF4,BG3/2))/BI3</f>
      </c>
      <c r="BH878" s="757">
        <f>IF(BH818&gt;0,AVERAGE(BG818,BH818)*$B878*BH3,BG818*$B878*IF(AND($B818&gt;BG4,$B818&lt;=BH4),$B818-BG4,BH3/2))/BI3</f>
      </c>
      <c r="BI878" s="962">
        <f>SUM(BE878,BF878,BG878,BH878)</f>
      </c>
      <c r="BJ878" s="757">
        <f>IF(BJ818&gt;0,AVERAGE(BI818,BJ818)*$B878*BJ$3,BI818*$B878*IF(AND($B818&gt;BI$4,$B818&lt;=BJ$4),$B818-BI$4,BJ$3/2))/BN$3</f>
      </c>
      <c r="BK878" s="757">
        <f>IF(BK818&gt;0,AVERAGE(BJ818,BK818)*$B878*BK3,BJ818*$B878*IF(AND($B818&gt;BJ4,$B818&lt;=BK4),$B818-BJ4,BK3/2))/BN3</f>
      </c>
      <c r="BL878" s="757">
        <f>IF(BL818&gt;0,AVERAGE(BK818,BL818)*$B878*BL3,BK818*$B878*IF(AND($B818&gt;BK4,$B818&lt;=BL4),$B818-BK4,BL3/2))/BN3</f>
      </c>
      <c r="BM878" s="757">
        <f>IF(BM818&gt;0,AVERAGE(BL818,BM818)*$B878*BM3,BL818*$B878*IF(AND($B818&gt;BL4,$B818&lt;=BM4),$B818-BL4,BM3/2))/BN3</f>
      </c>
      <c r="BN878" s="962">
        <f>SUM(BJ878,BK878,BL878,BM878)</f>
      </c>
      <c r="BO878" s="757">
        <f>IF(BO818&gt;0,AVERAGE(BN818,BO818)*$B878*BO$3,BN818*$B878*IF(AND($B818&gt;BN$4,$B818&lt;=BO$4),$B818-BN$4,BO$3/2))/BS$3</f>
      </c>
      <c r="BP878" s="757">
        <f>IF(BP818&gt;0,AVERAGE(BO818,BP818)*$B878*BP3,BO818*$B878*IF(AND($B818&gt;BO4,$B818&lt;=BP4),$B818-BO4,BP3/2))/BS3</f>
      </c>
      <c r="BQ878" s="757">
        <f>IF(BQ818&gt;0,AVERAGE(BP818,BQ818)*$B878*BQ3,BP818*$B878*IF(AND($B818&gt;BP4,$B818&lt;=BQ4),$B818-BP4,BQ3/2))/BS3</f>
      </c>
      <c r="BR878" s="757">
        <f>IF(BR818&gt;0,AVERAGE(BQ818,BR818)*$B878*BR3,BQ818*$B878*IF(AND($B818&gt;BQ4,$B818&lt;=BR4),$B818-BQ4,BR3/2))/BS3</f>
      </c>
      <c r="BS878" s="962">
        <f>SUM(BO878,BP878,BQ878,BR878)</f>
      </c>
      <c r="BT878" s="758">
        <f>IF(BT818&gt;0,AVERAGE(BS818,BT818)*$B878*BT$3,BS818*$B878*IF(AND($B818&gt;BS$4,$B818&lt;=BT$4),$B818-BS$4,BT$3/2))/BX$3</f>
      </c>
      <c r="BU878" s="757">
        <f>IF(BU818&gt;0,AVERAGE(BT818,BU818)*$B878*BU3,BT818*$B878*IF(AND($B818&gt;BT4,$B818&lt;=BU4),$B818-BT4,BU3/2))/BX3</f>
      </c>
      <c r="BV878" s="757">
        <f>IF(BV818&gt;0,AVERAGE(BU818,BV818)*$B878*BV3,BU818*$B878*IF(AND($B818&gt;BU4,$B818&lt;=BV4),$B818-BU4,BV3/2))/BX3</f>
      </c>
      <c r="BW878" s="757">
        <f>IF(BW818&gt;0,AVERAGE(BV818,BW818)*$B878*BW3,BV818*$B878*IF(AND($B818&gt;BV4,$B818&lt;=BW4),$B818-BV4,BW3/2))/BX3</f>
      </c>
      <c r="BX878" s="962">
        <f>SUM(BT878,BU878,BV878,BW878)</f>
      </c>
      <c r="BY878" s="757">
        <f>IF(BY818&gt;0,AVERAGE(BX818,BY818)*$B878*BY3,BX818*$B878*IF(AND($B818&gt;BX4,$B818&lt;=BY4),$B818-BX4,BY3/2))/CC3</f>
      </c>
      <c r="BZ878" s="757">
        <f>IF(BZ818&gt;0,AVERAGE(BY818,BZ818)*$B878*BZ3,BY818*$B878*IF(AND($B818&gt;BY4,$B818&lt;=BZ4),$B818-BY4,BZ3/2))/CC3</f>
      </c>
      <c r="CA878" s="757">
        <f>IF(CA818&gt;0,AVERAGE(BZ818,CA818)*$B878*CA3,BZ818*$B878*IF(AND($B818&gt;BZ4,$B818&lt;=CA4),$B818-BZ4,CA3/2))/CC3</f>
      </c>
      <c r="CB878" s="757">
        <f>IF(CB818&gt;0,AVERAGE(CA818,CB818)*$B878*CB3,CA818*$B878*IF(AND($B818&gt;CA4,$B818&lt;=CB4),$B818-CA4,CB3/2))/CC3</f>
      </c>
      <c r="CC878" s="962">
        <f>SUM(BY878,BZ878,CA878,CB878)</f>
      </c>
      <c r="CD878" s="962">
        <f>IF(CD818&gt;0,AVERAGE(CC818,CD818)*$B878,CC818*$B878*IF(AND($B818&gt;CC4,$B818&lt;=CD4),$B818-CC4,CD3/2)/CD3)</f>
      </c>
      <c r="CE878" s="962">
        <f>IF(CE818&gt;0,AVERAGE(CD818,CE818)*$B878,CD818*$B878*IF(AND($B818&gt;CD4,$B818&lt;=CE4),$B818-CD4,CE3/2)/CE3)</f>
      </c>
      <c r="CF878" s="962">
        <f>IF(CF818&gt;0,AVERAGE(CE818,CF818)*$B878,CE818*$B878*IF(AND($B818&gt;CE4,$B818&lt;=CF4),$B818-CE4,CF3/2)/CF3)</f>
      </c>
      <c r="CG878" s="273"/>
    </row>
    <row r="879" spans="1:85" hidden="1" outlineLevel="2" x14ac:dyDescent="0.3">
      <c r="A879" s="413" t="s">
        <v>890</v>
      </c>
      <c r="B879" s="897">
        <v>3.6249999999999998E-2</v>
      </c>
      <c r="C879" s="962"/>
      <c r="D879" s="962"/>
      <c r="E879" s="962"/>
      <c r="F879" s="962"/>
      <c r="G879" s="757"/>
      <c r="H879" s="757"/>
      <c r="I879" s="757"/>
      <c r="J879" s="757"/>
      <c r="K879" s="962"/>
      <c r="L879" s="757"/>
      <c r="M879" s="757"/>
      <c r="N879" s="757"/>
      <c r="O879" s="757"/>
      <c r="P879" s="962"/>
      <c r="Q879" s="757"/>
      <c r="R879" s="757"/>
      <c r="S879" s="757"/>
      <c r="T879" s="757"/>
      <c r="U879" s="962"/>
      <c r="V879" s="757"/>
      <c r="W879" s="757"/>
      <c r="X879" s="757"/>
      <c r="Y879" s="757"/>
      <c r="Z879" s="962"/>
      <c r="AA879" s="757"/>
      <c r="AB879" s="757"/>
      <c r="AC879" s="757"/>
      <c r="AD879" s="757"/>
      <c r="AE879" s="962"/>
      <c r="AF879" s="757"/>
      <c r="AG879" s="757"/>
      <c r="AH879" s="757"/>
      <c r="AI879" s="757"/>
      <c r="AJ879" s="962"/>
      <c r="AK879" s="757"/>
      <c r="AL879" s="757"/>
      <c r="AM879" s="757"/>
      <c r="AN879" s="757"/>
      <c r="AO879" s="962"/>
      <c r="AP879" s="757">
        <f>IF(AP819&gt;0,AVERAGE(AO819,AP819)*B879*AP$3,AO819*B879*IF(AND(B819&gt;AO$4,B819&lt;=AP$4),B819-AO$4,AP$3/2))/AT$3</f>
      </c>
      <c r="AQ879" s="757">
        <f>IF(AQ819&gt;0,AVERAGE(AP819,AQ819)*B879*AQ3,AP819*B879*IF(AND(B819&gt;AP4,B819&lt;=AQ4),B819-AP4,AQ3/2))/AT3</f>
      </c>
      <c r="AR879" s="757">
        <f>IF(AR819&gt;0,AVERAGE(AQ819,AR819)*B879*AR3,AQ819*B879*IF(AND(B819&gt;AQ4,B819&lt;=AR4),B819-AQ4,AR3/2))/AT3</f>
      </c>
      <c r="AS879" s="757">
        <f>IF(AS819&gt;0,AVERAGE(AR819,AS819)*B879*AS3,AR819*B879*IF(AND(B819&gt;AR4,B819&lt;=AS4),B819-AR4,AS3/2))/AT3</f>
      </c>
      <c r="AT879" s="962">
        <f t="shared" si="1744"/>
      </c>
      <c r="AU879" s="757">
        <f>IF(AU819&gt;0,AVERAGE(AT819,AU819)*B879*AU3,AT819*B879*IF(AND(B819&gt;AT4,B819&lt;=AU4),B819-AT4,AU3/2))/AY3</f>
      </c>
      <c r="AV879" s="757">
        <f>IF(AV819&gt;0,AVERAGE(AU819,AV819)*B879*AV3,AU819*B879*IF(AND(B819&gt;AU4,B819&lt;=AV4),B819-AU4,AV3/2))/AY3</f>
      </c>
      <c r="AW879" s="757">
        <f>IF(AW819&gt;0,AVERAGE(AV819,AW819)*B879*AW3,AV819*B879*IF(AND(B819&gt;AV4,B819&lt;=AW4),B819-AV4,AW3/2))/AY3</f>
      </c>
      <c r="AX879" s="757">
        <f>IF(AX819&gt;0,AVERAGE(AW819,AX819)*B879*AX3,AW819*B879*IF(AND(B819&gt;AW4,B819&lt;=AX4),B819-AW4,AX3/2))/AY3</f>
      </c>
      <c r="AY879" s="962">
        <f t="shared" si="1745"/>
      </c>
      <c r="AZ879" s="757">
        <f>IF(AZ819&gt;0,AVERAGE(AY819,AZ819)*B879*AZ3,AY819*B879*IF(AND(B819&gt;AY4,B819&lt;=AZ4),B819-AY4,AZ3/2))/BD3</f>
      </c>
      <c r="BA879" s="757">
        <f>IF(BA819&gt;0,AVERAGE(AZ819,BA819)*$B879*BA3,AZ819*$B879*IF(AND(B819&gt;AZ4,B819&lt;=BA4),B819-AZ4,BA3/2))/BD3</f>
      </c>
      <c r="BB879" s="757">
        <f>IF(BB819&gt;0,AVERAGE(BA819,BB819)*B879*BB3,BA819*B879*IF(AND(B819&gt;BA4,B819&lt;=BB4),B819-BA4,BB3/2))/BD3</f>
      </c>
      <c r="BC879" s="757">
        <f>IF(BC819&gt;0,AVERAGE(BB819,BC819)*B879*BC3,BB819*B879*IF(AND(B819&gt;BB4,B819&lt;=BC4),B819-BB4,BC3/2))/BD3</f>
      </c>
      <c r="BD879" s="962">
        <f>SUM(AZ879,BA879,BB879,BC879)</f>
      </c>
      <c r="BE879" s="757">
        <f>IF(BE819&gt;0,AVERAGE(BD819,BE819)*$B879*BE$3,BD819*$B879*IF(AND($B819&gt;BD$4,$B819&lt;=BE$4),$B819-BD$4,BE$3/2))/BI$3</f>
      </c>
      <c r="BF879" s="757">
        <f>IF(BF819&gt;0,AVERAGE(BE819,BF819)*$B879*BF3,BE819*$B879*IF(AND($B819&gt;BE4,$B819&lt;=BF4),$B819-BE4,BF3/2))/BI3</f>
      </c>
      <c r="BG879" s="757">
        <f>IF(BG819&gt;0,AVERAGE(BF819,BG819)*$B879*BG3,BF819*$B879*IF(AND($B819&gt;BF4,$B819&lt;=BG4),$B819-BF4,BG3/2))/BI3</f>
      </c>
      <c r="BH879" s="757">
        <f>IF(BH819&gt;0,AVERAGE(BG819,BH819)*$B879*BH3,BG819*$B879*IF(AND($B819&gt;BG4,$B819&lt;=BH4),$B819-BG4,BH3/2))/BI3</f>
      </c>
      <c r="BI879" s="962">
        <f>SUM(BE879,BF879,BG879,BH879)</f>
      </c>
      <c r="BJ879" s="757">
        <f>IF(BJ819&gt;0,AVERAGE(BI819,BJ819)*$B879*BJ$3,BI819*$B879*IF(AND($B819&gt;BI$4,$B819&lt;=BJ$4),$B819-BI$4,BJ$3/2))/BN$3</f>
      </c>
      <c r="BK879" s="757">
        <f>IF(BK819&gt;0,AVERAGE(BJ819,BK819)*$B879*BK3,BJ819*$B879*IF(AND($B819&gt;BJ4,$B819&lt;=BK4),$B819-BJ4,BK3/2))/BN3</f>
      </c>
      <c r="BL879" s="757">
        <f>IF(BL819&gt;0,AVERAGE(BK819,BL819)*$B879*BL3,BK819*$B879*IF(AND($B819&gt;BK4,$B819&lt;=BL4),$B819-BK4,BL3/2))/BN3</f>
      </c>
      <c r="BM879" s="757">
        <f>IF(BM819&gt;0,AVERAGE(BL819,BM819)*$B879*BM3,BL819*$B879*IF(AND($B819&gt;BL4,$B819&lt;=BM4),$B819-BL4,BM3/2))/BN3</f>
      </c>
      <c r="BN879" s="962">
        <f>SUM(BJ879,BK879,BL879,BM879)</f>
      </c>
      <c r="BO879" s="757">
        <f>IF(BO819&gt;0,AVERAGE(BN819,BO819)*$B879*BO$3,BN819*$B879*IF(AND($B819&gt;BN$4,$B819&lt;=BO$4),$B819-BN$4,BO$3/2))/BS$3</f>
      </c>
      <c r="BP879" s="757">
        <f>IF(BP819&gt;0,AVERAGE(BO819,BP819)*$B879*BP3,BO819*$B879*IF(AND($B819&gt;BO4,$B819&lt;=BP4),$B819-BO4,BP3/2))/BS3</f>
      </c>
      <c r="BQ879" s="757">
        <f>IF(BQ819&gt;0,AVERAGE(BP819,BQ819)*$B879*BQ3,BP819*$B879*IF(AND($B819&gt;BP4,$B819&lt;=BQ4),$B819-BP4,BQ3/2))/BS3</f>
      </c>
      <c r="BR879" s="757">
        <f>IF(BR819&gt;0,AVERAGE(BQ819,BR819)*$B879*BR3,BQ819*$B879*IF(AND($B819&gt;BQ4,$B819&lt;=BR4),$B819-BQ4,BR3/2))/BS3</f>
      </c>
      <c r="BS879" s="962">
        <f>SUM(BO879,BP879,BQ879,BR879)</f>
      </c>
      <c r="BT879" s="758">
        <f>IF(BT819&gt;0,AVERAGE(BS819,BT819)*$B879*BT$3,BS819*$B879*IF(AND($B819&gt;BS$4,$B819&lt;=BT$4),$B819-BS$4,BT$3/2))/BX$3</f>
      </c>
      <c r="BU879" s="757">
        <f>IF(BU819&gt;0,AVERAGE(BT819,BU819)*$B879*BU3,BT819*$B879*IF(AND($B819&gt;BT4,$B819&lt;=BU4),$B819-BT4,BU3/2))/BX3</f>
      </c>
      <c r="BV879" s="757">
        <f>IF(BV819&gt;0,AVERAGE(BU819,BV819)*$B879*BV3,BU819*$B879*IF(AND($B819&gt;BU4,$B819&lt;=BV4),$B819-BU4,BV3/2))/BX3</f>
      </c>
      <c r="BW879" s="757">
        <f>IF(BW819&gt;0,AVERAGE(BV819,BW819)*$B879*BW3,BV819*$B879*IF(AND($B819&gt;BV4,$B819&lt;=BW4),$B819-BV4,BW3/2))/BX3</f>
      </c>
      <c r="BX879" s="962">
        <f>SUM(BT879,BU879,BV879,BW879)</f>
      </c>
      <c r="BY879" s="757">
        <f>IF(BY819&gt;0,AVERAGE(BX819,BY819)*$B879*BY3,BX819*$B879*IF(AND($B819&gt;BX4,$B819&lt;=BY4),$B819-BX4,BY3/2))/CC3</f>
      </c>
      <c r="BZ879" s="757">
        <f>IF(BZ819&gt;0,AVERAGE(BY819,BZ819)*$B879*BZ3,BY819*$B879*IF(AND($B819&gt;BY4,$B819&lt;=BZ4),$B819-BY4,BZ3/2))/CC3</f>
      </c>
      <c r="CA879" s="757">
        <f>IF(CA819&gt;0,AVERAGE(BZ819,CA819)*$B879*CA3,BZ819*$B879*IF(AND($B819&gt;BZ4,$B819&lt;=CA4),$B819-BZ4,CA3/2))/CC3</f>
      </c>
      <c r="CB879" s="757">
        <f>IF(CB819&gt;0,AVERAGE(CA819,CB819)*$B879*CB3,CA819*$B879*IF(AND($B819&gt;CA4,$B819&lt;=CB4),$B819-CA4,CB3/2))/CC3</f>
      </c>
      <c r="CC879" s="962">
        <f>SUM(BY879,BZ879,CA879,CB879)</f>
      </c>
      <c r="CD879" s="962">
        <f>IF(CD819&gt;0,AVERAGE(CC819,CD819)*$B879,CC819*$B879*IF(AND($B819&gt;CC4,$B819&lt;=CD4),$B819-CC4,CD3/2)/CD3)</f>
      </c>
      <c r="CE879" s="962">
        <f>IF(CE819&gt;0,AVERAGE(CD819,CE819)*$B879,CD819*$B879*IF(AND($B819&gt;CD4,$B819&lt;=CE4),$B819-CD4,CE3/2)/CE3)</f>
      </c>
      <c r="CF879" s="962">
        <f>IF(CF819&gt;0,AVERAGE(CE819,CF819)*$B879,CE819*$B879*IF(AND($B819&gt;CE4,$B819&lt;=CF4),$B819-CE4,CF3/2)/CF3)</f>
      </c>
      <c r="CG879" s="273"/>
    </row>
    <row r="880" spans="1:85" hidden="1" outlineLevel="1" collapsed="1" x14ac:dyDescent="0.3">
      <c r="A880" s="424" t="s">
        <v>867</v>
      </c>
      <c r="B880" s="897">
        <v>3.6249999999999998E-2</v>
      </c>
      <c r="C880" s="962"/>
      <c r="D880" s="962"/>
      <c r="E880" s="962"/>
      <c r="F880" s="962"/>
      <c r="G880" s="757"/>
      <c r="H880" s="757"/>
      <c r="I880" s="757"/>
      <c r="J880" s="757"/>
      <c r="K880" s="962"/>
      <c r="L880" s="757"/>
      <c r="M880" s="757"/>
      <c r="N880" s="757"/>
      <c r="O880" s="757"/>
      <c r="P880" s="962"/>
      <c r="Q880" s="757"/>
      <c r="R880" s="757"/>
      <c r="S880" s="757"/>
      <c r="T880" s="757"/>
      <c r="U880" s="962"/>
      <c r="V880" s="757"/>
      <c r="W880" s="757"/>
      <c r="X880" s="757"/>
      <c r="Y880" s="757"/>
      <c r="Z880" s="962"/>
      <c r="AA880" s="757"/>
      <c r="AB880" s="757"/>
      <c r="AC880" s="757"/>
      <c r="AD880" s="757"/>
      <c r="AE880" s="962"/>
      <c r="AF880" s="757"/>
      <c r="AG880" s="757"/>
      <c r="AH880" s="757"/>
      <c r="AI880" s="757"/>
      <c r="AJ880" s="962"/>
      <c r="AK880" s="757"/>
      <c r="AL880" s="757"/>
      <c r="AM880" s="757"/>
      <c r="AN880" s="757"/>
      <c r="AO880" s="962"/>
      <c r="AP880" s="757">
        <f t="shared" ref="AP880" si="1763">+AP879/AP$775</f>
      </c>
      <c r="AQ880" s="757">
        <f t="shared" ref="AQ880" si="1764">+AQ879/AQ$775</f>
      </c>
      <c r="AR880" s="757">
        <f t="shared" ref="AR880" si="1765">+AR879/AR$775</f>
      </c>
      <c r="AS880" s="757">
        <f t="shared" ref="AS880" si="1766">+AS879/AS$775</f>
      </c>
      <c r="AT880" s="962">
        <f t="shared" ref="AT880" si="1767">+AT879/AT$775</f>
      </c>
      <c r="AU880" s="757">
        <f t="shared" ref="AU880" si="1768">+AU879/AU$775</f>
      </c>
      <c r="AV880" s="757">
        <f t="shared" ref="AV880" si="1769">+AV879/AV$775</f>
      </c>
      <c r="AW880" s="757">
        <f t="shared" ref="AW880" si="1770">+AW879/AW$775</f>
      </c>
      <c r="AX880" s="757">
        <f t="shared" ref="AX880" si="1771">+AX879/AX$775</f>
      </c>
      <c r="AY880" s="962">
        <f t="shared" ref="AY880" si="1772">+AY879/AY$775</f>
      </c>
      <c r="AZ880" s="757">
        <f t="shared" ref="AZ880" si="1773">+AZ879/AZ$775</f>
      </c>
      <c r="BA880" s="757">
        <f t="shared" ref="BA880" si="1774">+BA879/BA$775</f>
      </c>
      <c r="BB880" s="757">
        <f>+BB879/BB$775</f>
      </c>
      <c r="BC880" s="757">
        <f t="shared" ref="BC880" si="1775">+BC879/BC$775</f>
      </c>
      <c r="BD880" s="962">
        <f t="shared" ref="BD880:BN880" si="1776">+BD879/BD$775</f>
      </c>
      <c r="BE880" s="757">
        <f t="shared" si="1776"/>
      </c>
      <c r="BF880" s="757">
        <f t="shared" si="1776"/>
      </c>
      <c r="BG880" s="757">
        <f t="shared" si="1776"/>
      </c>
      <c r="BH880" s="757">
        <f t="shared" si="1776"/>
      </c>
      <c r="BI880" s="962">
        <f t="shared" si="1776"/>
      </c>
      <c r="BJ880" s="757">
        <f t="shared" si="1776"/>
      </c>
      <c r="BK880" s="757">
        <f t="shared" si="1776"/>
      </c>
      <c r="BL880" s="757">
        <f t="shared" si="1776"/>
      </c>
      <c r="BM880" s="757">
        <f t="shared" si="1776"/>
      </c>
      <c r="BN880" s="962">
        <f t="shared" si="1776"/>
      </c>
      <c r="BO880" s="757">
        <f>+BO879/BO$775</f>
      </c>
      <c r="BP880" s="757">
        <f>+BP879/BP$775</f>
      </c>
      <c r="BQ880" s="757">
        <f t="shared" ref="BQ880:BS880" si="1777">+BQ879/BQ$775</f>
      </c>
      <c r="BR880" s="757">
        <f t="shared" si="1777"/>
      </c>
      <c r="BS880" s="962">
        <f t="shared" si="1777"/>
      </c>
      <c r="BT880" s="758">
        <f>+BT879/BT$775</f>
      </c>
      <c r="BU880" s="757">
        <f>+BU879/BU$775</f>
      </c>
      <c r="BV880" s="757">
        <f>+BV879/BV$775</f>
      </c>
      <c r="BW880" s="757">
        <f>+BW879/BW$775</f>
      </c>
      <c r="BX880" s="962">
        <f t="shared" ref="BX880" si="1778">+BX879/BX$775</f>
      </c>
      <c r="BY880" s="757">
        <f t="shared" ref="BY880:CF880" si="1779">+BY879/BY$775</f>
      </c>
      <c r="BZ880" s="757">
        <f t="shared" si="1779"/>
      </c>
      <c r="CA880" s="757">
        <f t="shared" si="1779"/>
      </c>
      <c r="CB880" s="757">
        <f t="shared" si="1779"/>
      </c>
      <c r="CC880" s="962">
        <f t="shared" si="1779"/>
      </c>
      <c r="CD880" s="962">
        <f t="shared" si="1779"/>
      </c>
      <c r="CE880" s="962">
        <f t="shared" si="1779"/>
      </c>
      <c r="CF880" s="962">
        <f t="shared" si="1779"/>
      </c>
      <c r="CG880" s="273"/>
    </row>
    <row r="881" spans="1:85" hidden="1" outlineLevel="1" x14ac:dyDescent="0.3">
      <c r="A881" s="424" t="s">
        <v>839</v>
      </c>
      <c r="B881" s="897">
        <v>4.8750000000000002E-2</v>
      </c>
      <c r="C881" s="962"/>
      <c r="D881" s="962"/>
      <c r="E881" s="962"/>
      <c r="F881" s="962"/>
      <c r="G881" s="757"/>
      <c r="H881" s="757"/>
      <c r="I881" s="757"/>
      <c r="J881" s="757"/>
      <c r="K881" s="962"/>
      <c r="L881" s="757"/>
      <c r="M881" s="757"/>
      <c r="N881" s="757"/>
      <c r="O881" s="757"/>
      <c r="P881" s="962"/>
      <c r="Q881" s="757"/>
      <c r="R881" s="757"/>
      <c r="S881" s="757"/>
      <c r="T881" s="757"/>
      <c r="U881" s="962"/>
      <c r="V881" s="757"/>
      <c r="W881" s="757"/>
      <c r="X881" s="757"/>
      <c r="Y881" s="757"/>
      <c r="Z881" s="962"/>
      <c r="AA881" s="757"/>
      <c r="AB881" s="757"/>
      <c r="AC881" s="757"/>
      <c r="AD881" s="757"/>
      <c r="AE881" s="962"/>
      <c r="AF881" s="757"/>
      <c r="AG881" s="757"/>
      <c r="AH881" s="757"/>
      <c r="AI881" s="757"/>
      <c r="AJ881" s="962"/>
      <c r="AK881" s="757"/>
      <c r="AL881" s="757"/>
      <c r="AM881" s="757"/>
      <c r="AN881" s="757"/>
      <c r="AO881" s="962"/>
      <c r="AP881" s="757">
        <f>IF(AP821&gt;0,AVERAGE(AO821,AP821)*B881*AP$3,AO821*B881*IF(AND(B821&gt;AO$4,B821&lt;=AP$4),B821-AO$4,AP$3/2))/AT$3</f>
      </c>
      <c r="AQ881" s="757">
        <f>IF(AQ821&gt;0,AVERAGE(AP821,AQ821)*B881*AQ3,AP821*B881*IF(AND(B821&gt;AP4,B821&lt;=AQ4),B821-AP4,AQ3/2))/AT3</f>
      </c>
      <c r="AR881" s="757">
        <f>IF(AR821&gt;0,AVERAGE(AQ821,AR821)*B881*AR3,AQ821*B881*IF(AND(B821&gt;AQ4,B821&lt;=AR4),B821-AQ4,AR3/2))/AT3</f>
      </c>
      <c r="AS881" s="757">
        <f>IF(AS821&gt;0,AVERAGE(AR821,AS821)*B881*AS3,AR821*B881*IF(AND(B821&gt;AR4,B821&lt;=AS4),B821-AR4,AS3/2))/AT3</f>
      </c>
      <c r="AT881" s="962">
        <f t="shared" si="1744"/>
      </c>
      <c r="AU881" s="757">
        <f>IF(AU821&gt;0,AVERAGE(AT821,AU821)*B881*AU3,AT821*B881*IF(AND(B821&gt;AT4,B821&lt;=AU4),B821-AT4,AU3/2))/AY3</f>
      </c>
      <c r="AV881" s="757">
        <f>IF(AV821&gt;0,AVERAGE(AU821,AV821)*B881*AV3,AU821*B881*IF(AND(B821&gt;AU4,B821&lt;=AV4),B821-AU4,AV3/2))/AY3</f>
      </c>
      <c r="AW881" s="757">
        <f>IF(AW821&gt;0,AVERAGE(AV821,AW821)*B881*AW3,AV821*B881*IF(AND(B821&gt;AV4,B821&lt;=AW4),B821-AV4,AW3/2))/AY3</f>
      </c>
      <c r="AX881" s="757">
        <f>IF(AX821&gt;0,AVERAGE(AW821,AX821)*B881*AX3,AW821*B881*IF(AND(B821&gt;AW4,B821&lt;=AX4),B821-AW4,AX3/2))/AY3</f>
      </c>
      <c r="AY881" s="962">
        <f t="shared" si="1745"/>
      </c>
      <c r="AZ881" s="757">
        <f>IF(AZ821&gt;0,AVERAGE(AY821,AZ821)*B881*AZ3,AY821*B881*IF(AND(B821&gt;AY4,B821&lt;=AZ4),B821-AY4,AZ3/2))/BD3</f>
      </c>
      <c r="BA881" s="757">
        <f>IF(BA821&gt;0,AVERAGE(AZ821,BA821)*$B881*BA3,AZ821*$B881*IF(AND(B821&gt;AZ4,B821&lt;=BA4),B821-AZ4,BA3/2))/BD3</f>
      </c>
      <c r="BB881" s="757">
        <f>IF(BB821&gt;0,AVERAGE(BA821,BB821)*B881*BB3,BA821*B881*IF(AND(B821&gt;BA4,B821&lt;=BB4),B821-BA4,BB3/2))/BD3</f>
      </c>
      <c r="BC881" s="757">
        <f>IF(BC821&gt;0,AVERAGE(BB821,BC821)*B881*BC3,BB821*B881*IF(AND(B821&gt;BB4,B821&lt;=BC4),B821-BB4,BC3/2))/BD3</f>
      </c>
      <c r="BD881" s="962">
        <f>SUM(AZ881,BA881,BB881,BC881)</f>
      </c>
      <c r="BE881" s="757">
        <f>IF(BE821&gt;0,AVERAGE(BD821,BE821)*$B881*BE$3,BD821*$B881*IF(AND($B821&gt;BD$4,$B821&lt;=BE$4),$B821-BD$4,BE$3/2))/BI$3</f>
      </c>
      <c r="BF881" s="757">
        <f>IF(BF821&gt;0,AVERAGE(BE821,BF821)*$B881*BF3,BE821*$B881*IF(AND($B821&gt;BE4,$B821&lt;=BF4),$B821-BE4,BF3/2))/BI3</f>
      </c>
      <c r="BG881" s="757">
        <f>IF(BG821&gt;0,AVERAGE(BF821,BG821)*$B881*BG3,BF821*$B881*IF(AND($B821&gt;BF4,$B821&lt;=BG4),$B821-BF4,BG3/2))/BI3</f>
      </c>
      <c r="BH881" s="757">
        <f>IF(BH821&gt;0,AVERAGE(BG821,BH821)*$B881*BH3,BG821*$B881*IF(AND($B821&gt;BG4,$B821&lt;=BH4),$B821-BG4,BH3/2))/BI3</f>
      </c>
      <c r="BI881" s="962">
        <f>SUM(BE881,BF881,BG881,BH881)</f>
      </c>
      <c r="BJ881" s="757">
        <f>IF(BJ821&gt;0,AVERAGE(BI821,BJ821)*$B881*BJ$3,BI821*$B881*IF(AND($B821&gt;BI$4,$B821&lt;=BJ$4),$B821-BI$4,BJ$3/2))/BN$3</f>
      </c>
      <c r="BK881" s="757">
        <f>IF(BK821&gt;0,AVERAGE(BJ821,BK821)*$B881*BK3,BJ821*$B881*IF(AND($B821&gt;BJ4,$B821&lt;=BK4),$B821-BJ4,BK3/2))/BN3</f>
      </c>
      <c r="BL881" s="757">
        <f>IF(BL821&gt;0,AVERAGE(BK821,BL821)*$B881*BL3,BK821*$B881*IF(AND($B821&gt;BK4,$B821&lt;=BL4),$B821-BK4,BL3/2))/BN3</f>
      </c>
      <c r="BM881" s="757">
        <f>IF(BM821&gt;0,AVERAGE(BL821,BM821)*$B881*BM3,BL821*$B881*IF(AND($B821&gt;BL4,$B821&lt;=BM4),$B821-BL4,BM3/2))/BN3</f>
      </c>
      <c r="BN881" s="962">
        <f>SUM(BJ881,BK881,BL881,BM881)</f>
      </c>
      <c r="BO881" s="757">
        <f>IF(BO821&gt;0,AVERAGE(BN821,BO821)*$B881*BO$3,BN821*$B881*IF(AND($B821&gt;BN$4,$B821&lt;=BO$4),$B821-BN$4,BO$3/2))/BS$3</f>
      </c>
      <c r="BP881" s="757">
        <f>IF(BP821&gt;0,AVERAGE(BO821,BP821)*$B881*BP3,BO821*$B881*IF(AND($B821&gt;BO4,$B821&lt;=BP4),$B821-BO4,BP3/2))/BS3</f>
      </c>
      <c r="BQ881" s="757">
        <f>IF(BQ821&gt;0,AVERAGE(BP821,BQ821)*$B881*BQ3,BP821*$B881*IF(AND($B821&gt;BP4,$B821&lt;=BQ4),$B821-BP4,BQ3/2))/BS3</f>
      </c>
      <c r="BR881" s="757">
        <f>IF(BR821&gt;0,AVERAGE(BQ821,BR821)*$B881*BR3,BQ821*$B881*IF(AND($B821&gt;BQ4,$B821&lt;=BR4),$B821-BQ4,BR3/2))/BS3</f>
      </c>
      <c r="BS881" s="962">
        <f>SUM(BO881,BP881,BQ881,BR881)</f>
      </c>
      <c r="BT881" s="758">
        <f>IF(BT821&gt;0,AVERAGE(BS821,BT821)*$B881*BT$3,BS821*$B881*IF(AND($B821&gt;BS$4,$B821&lt;=BT$4),$B821-BS$4,BT$3/2))/BX$3</f>
      </c>
      <c r="BU881" s="757">
        <f>IF(BU821&gt;0,AVERAGE(BT821,BU821)*$B881*BU3,BT821*$B881*IF(AND($B821&gt;BT4,$B821&lt;=BU4),$B821-BT4,BU3/2))/BX3</f>
      </c>
      <c r="BV881" s="757">
        <f>IF(BV821&gt;0,AVERAGE(BU821,BV821)*$B881*BV3,BU821*$B881*IF(AND($B821&gt;BU4,$B821&lt;=BV4),$B821-BU4,BV3/2))/BX3</f>
      </c>
      <c r="BW881" s="757">
        <f>IF(BW821&gt;0,AVERAGE(BV821,BW821)*$B881*BW3,BV821*$B881*IF(AND($B821&gt;BV4,$B821&lt;=BW4),$B821-BV4,BW3/2))/BX3</f>
      </c>
      <c r="BX881" s="962">
        <f>SUM(BT881,BU881,BV881,BW881)</f>
      </c>
      <c r="BY881" s="757">
        <f>IF(BY821&gt;0,AVERAGE(BX821,BY821)*$B881*BY3,BX821*$B881*IF(AND($B821&gt;BX4,$B821&lt;=BY4),$B821-BX4,BY3/2))/CC3</f>
      </c>
      <c r="BZ881" s="757">
        <f>IF(BZ821&gt;0,AVERAGE(BY821,BZ821)*$B881*BZ3,BY821*$B881*IF(AND($B821&gt;BY4,$B821&lt;=BZ4),$B821-BY4,BZ3/2))/CC3</f>
      </c>
      <c r="CA881" s="757">
        <f>IF(CA821&gt;0,AVERAGE(BZ821,CA821)*$B881*CA3,BZ821*$B881*IF(AND($B821&gt;BZ4,$B821&lt;=CA4),$B821-BZ4,CA3/2))/CC3</f>
      </c>
      <c r="CB881" s="757">
        <f>IF(CB821&gt;0,AVERAGE(CA821,CB821)*$B881*CB3,CA821*$B881*IF(AND($B821&gt;CA4,$B821&lt;=CB4),$B821-CA4,CB3/2))/CC3</f>
      </c>
      <c r="CC881" s="962">
        <f>SUM(BY881,BZ881,CA881,CB881)</f>
      </c>
      <c r="CD881" s="962">
        <f>IF(CD821&gt;0,AVERAGE(CC821,CD821)*$B881,CC821*$B881*IF(AND($B821&gt;CC4,$B821&lt;=CD4),$B821-CC4,CD3/2)/CD3)</f>
      </c>
      <c r="CE881" s="962">
        <f>IF(CE821&gt;0,AVERAGE(CD821,CE821)*$B881,CD821*$B881*IF(AND($B821&gt;CD4,$B821&lt;=CE4),$B821-CD4,CE3/2)/CE3)</f>
      </c>
      <c r="CF881" s="962">
        <f>IF(CF821&gt;0,AVERAGE(CE821,CF821)*$B881,CE821*$B881*IF(AND($B821&gt;CE4,$B821&lt;=CF4),$B821-CE4,CF3/2)/CF3)</f>
      </c>
      <c r="CG881" s="273"/>
    </row>
    <row r="882" spans="1:85" hidden="1" outlineLevel="1" x14ac:dyDescent="0.3">
      <c r="A882" s="424" t="s">
        <v>836</v>
      </c>
      <c r="B882" s="897">
        <v>5.8749999999999997E-2</v>
      </c>
      <c r="C882" s="962"/>
      <c r="D882" s="962"/>
      <c r="E882" s="962"/>
      <c r="F882" s="962"/>
      <c r="G882" s="757"/>
      <c r="H882" s="757"/>
      <c r="I882" s="757"/>
      <c r="J882" s="757"/>
      <c r="K882" s="962"/>
      <c r="L882" s="757"/>
      <c r="M882" s="757"/>
      <c r="N882" s="757"/>
      <c r="O882" s="757"/>
      <c r="P882" s="962"/>
      <c r="Q882" s="757"/>
      <c r="R882" s="757"/>
      <c r="S882" s="757"/>
      <c r="T882" s="757"/>
      <c r="U882" s="962"/>
      <c r="V882" s="757"/>
      <c r="W882" s="757"/>
      <c r="X882" s="757"/>
      <c r="Y882" s="757"/>
      <c r="Z882" s="962"/>
      <c r="AA882" s="757"/>
      <c r="AB882" s="757"/>
      <c r="AC882" s="757"/>
      <c r="AD882" s="757"/>
      <c r="AE882" s="962"/>
      <c r="AF882" s="757"/>
      <c r="AG882" s="757"/>
      <c r="AH882" s="757"/>
      <c r="AI882" s="757"/>
      <c r="AJ882" s="962"/>
      <c r="AK882" s="757"/>
      <c r="AL882" s="757"/>
      <c r="AM882" s="757"/>
      <c r="AN882" s="757"/>
      <c r="AO882" s="962"/>
      <c r="AP882" s="757">
        <f>IF(AP822&gt;0,AVERAGE(AO822,AP822)*B882*AP$3,AO822*B882*IF(AND(B822&gt;AO$4,B822&lt;=AP$4),B822-AO$4,AP$3/2))/AT$3</f>
      </c>
      <c r="AQ882" s="757">
        <f>IF(AQ822&gt;0,AVERAGE(AP822,AQ822)*B882*AQ3,AP822*B882*IF(AND(B822&gt;AP4,B822&lt;=AQ4),B822-AP4,AQ3/2))/AT3</f>
      </c>
      <c r="AR882" s="757">
        <f>IF(AR822&gt;0,AVERAGE(AQ822,AR822)*B882*AR3,AQ822*B882*IF(AND(B822&gt;AQ4,B822&lt;=AR4),B822-AQ4,AR3/2))/AT3</f>
      </c>
      <c r="AS882" s="757">
        <f>IF(AS822&gt;0,AVERAGE(AR822,AS822)*B882*AS3,AR822*B882*IF(AND(B822&gt;AR4,B822&lt;=AS4),B822-AR4,AS3/2))/AT3</f>
      </c>
      <c r="AT882" s="962">
        <f t="shared" si="1744"/>
      </c>
      <c r="AU882" s="757">
        <f>IF(AU822&gt;0,AVERAGE(AT822,AU822)*B882*AU3,AT822*B882*IF(AND(B822&gt;AT4,B822&lt;=AU4),B822-AT4,AU3/2))/AY3</f>
      </c>
      <c r="AV882" s="757">
        <f>IF(AV822&gt;0,AVERAGE(AU822,AV822)*B882*AV3,AU822*B882*IF(AND(B822&gt;AU4,B822&lt;=AV4),B822-AU4,AV3/2))/AY3</f>
      </c>
      <c r="AW882" s="757">
        <f>IF(AW822&gt;0,AVERAGE(AV822,AW822)*B882*AW3,AV822*B882*IF(AND(B822&gt;AV4,B822&lt;=AW4),B822-AV4,AW3/2))/AY3</f>
      </c>
      <c r="AX882" s="757">
        <f>IF(AX822&gt;0,AVERAGE(AW822,AX822)*B882*AX3,AW822*B882*IF(AND(B822&gt;AW4,B822&lt;=AX4),B822-AW4,AX3/2))/AY3</f>
      </c>
      <c r="AY882" s="962">
        <f t="shared" si="1745"/>
      </c>
      <c r="AZ882" s="757">
        <f>IF(AZ822&gt;0,AVERAGE(AY822,AZ822)*B882*AZ3,AY822*B882*IF(AND(B822&gt;AY4,B822&lt;=AZ4),B822-AY4,AZ3/2))/BD3</f>
      </c>
      <c r="BA882" s="757">
        <f>IF(BA822&gt;0,AVERAGE(AZ822,BA822)*$B882*BA3,AZ822*$B882*IF(AND(B822&gt;AZ4,B822&lt;=BA4),B822-AZ4,BA3/2))/BD3</f>
      </c>
      <c r="BB882" s="757">
        <f>IF(BB822&gt;0,AVERAGE(BA822,BB822)*B882*BB3,BA822*B882*IF(AND(B822&gt;BA4,B822&lt;=BB4),B822-BA4,BB3/2))/BD3</f>
      </c>
      <c r="BC882" s="757">
        <f>IF(BC822&gt;0,AVERAGE(BB822,BC822)*B882*BC3,BB822*B882*IF(AND(B822&gt;BB4,B822&lt;=BC4),B822-BB4,BC3/2))/BD3</f>
      </c>
      <c r="BD882" s="962">
        <f>SUM(AZ882,BA882,BB882,BC882)</f>
      </c>
      <c r="BE882" s="757">
        <f>IF(BE822&gt;0,AVERAGE(BD822,BE822)*$B882*BE$3,BD822*$B882*IF(AND($B822&gt;BD$4,$B822&lt;=BE$4),$B822-BD$4,BE$3/2))/BI$3</f>
      </c>
      <c r="BF882" s="757">
        <f>IF(BF822&gt;0,AVERAGE(BE822,BF822)*$B882*BF3,BE822*$B882*IF(AND($B822&gt;BE4,$B822&lt;=BF4),$B822-BE4,BF3/2))/BI3</f>
      </c>
      <c r="BG882" s="757">
        <f>IF(BG822&gt;0,AVERAGE(BF822,BG822)*$B882*BG3,BF822*$B882*IF(AND($B822&gt;BF4,$B822&lt;=BG4),$B822-BF4,BG3/2))/BI3</f>
      </c>
      <c r="BH882" s="757">
        <f>IF(BH822&gt;0,AVERAGE(BG822,BH822)*$B882*BH3,BG822*$B882*IF(AND($B822&gt;BG4,$B822&lt;=BH4),$B822-BG4,BH3/2))/BI3</f>
      </c>
      <c r="BI882" s="962">
        <f>SUM(BE882,BF882,BG882,BH882)</f>
      </c>
      <c r="BJ882" s="757">
        <f>IF(BJ822&gt;0,AVERAGE(BI822,BJ822)*$B882*BJ$3,BI822*$B882*IF(AND($B822&gt;BI$4,$B822&lt;=BJ$4),$B822-BI$4,BJ$3/2))/BN$3</f>
      </c>
      <c r="BK882" s="757">
        <f>IF(BK822&gt;0,AVERAGE(BJ822,BK822)*$B882*BK3,BJ822*$B882*IF(AND($B822&gt;BJ4,$B822&lt;=BK4),$B822-BJ4,BK3/2))/BN3</f>
      </c>
      <c r="BL882" s="757">
        <f>IF(BL822&gt;0,AVERAGE(BK822,BL822)*$B882*BL3,BK822*$B882*IF(AND($B822&gt;BK4,$B822&lt;=BL4),$B822-BK4,BL3/2))/BN3</f>
      </c>
      <c r="BM882" s="757">
        <f>IF(BM822&gt;0,AVERAGE(BL822,BM822)*$B882*BM3,BL822*$B882*IF(AND($B822&gt;BL4,$B822&lt;=BM4),$B822-BL4,BM3/2))/BN3</f>
      </c>
      <c r="BN882" s="962">
        <f>SUM(BJ882,BK882,BL882,BM882)</f>
      </c>
      <c r="BO882" s="757">
        <f>IF(BO822&gt;0,AVERAGE(BN822,BO822)*$B882*BO$3,BN822*$B882*IF(AND($B822&gt;BN$4,$B822&lt;=BO$4),$B822-BN$4,BO$3/2))/BS$3</f>
      </c>
      <c r="BP882" s="757">
        <f>IF(BP822&gt;0,AVERAGE(BO822,BP822)*$B882*BP3,BO822*$B882*IF(AND($B822&gt;BO4,$B822&lt;=BP4),$B822-BO4,BP3/2))/BS3</f>
      </c>
      <c r="BQ882" s="757">
        <f>IF(BQ822&gt;0,AVERAGE(BP822,BQ822)*$B882*BQ3,BP822*$B882*IF(AND($B822&gt;BP4,$B822&lt;=BQ4),$B822-BP4,BQ3/2))/BS3</f>
      </c>
      <c r="BR882" s="757">
        <f>IF(BR822&gt;0,AVERAGE(BQ822,BR822)*$B882*BR3,BQ822*$B882*IF(AND($B822&gt;BQ4,$B822&lt;=BR4),$B822-BQ4,BR3/2))/BS3</f>
      </c>
      <c r="BS882" s="962">
        <f>SUM(BO882,BP882,BQ882,BR882)</f>
      </c>
      <c r="BT882" s="758">
        <f>IF(BT822&gt;0,AVERAGE(BS822,BT822)*$B882*BT$3,BS822*$B882*IF(AND($B822&gt;BS$4,$B822&lt;=BT$4),$B822-BS$4,BT$3/2))/BX$3</f>
      </c>
      <c r="BU882" s="757">
        <f>IF(BU822&gt;0,AVERAGE(BT822,BU822)*$B882*BU3,BT822*$B882*IF(AND($B822&gt;BT4,$B822&lt;=BU4),$B822-BT4,BU3/2))/BX3</f>
      </c>
      <c r="BV882" s="757">
        <f>IF(BV822&gt;0,AVERAGE(BU822,BV822)*$B882*BV3,BU822*$B882*IF(AND($B822&gt;BU4,$B822&lt;=BV4),$B822-BU4,BV3/2))/BX3</f>
      </c>
      <c r="BW882" s="757">
        <f>IF(BW822&gt;0,AVERAGE(BV822,BW822)*$B882*BW3,BV822*$B882*IF(AND($B822&gt;BV4,$B822&lt;=BW4),$B822-BV4,BW3/2))/BX3</f>
      </c>
      <c r="BX882" s="962">
        <f>SUM(BT882,BU882,BV882,BW882)</f>
      </c>
      <c r="BY882" s="757">
        <f>IF(BY822&gt;0,AVERAGE(BX822,BY822)*$B882*BY3,BX822*$B882*IF(AND($B822&gt;BX4,$B822&lt;=BY4),$B822-BX4,BY3/2))/CC3</f>
      </c>
      <c r="BZ882" s="757">
        <f>IF(BZ822&gt;0,AVERAGE(BY822,BZ822)*$B882*BZ3,BY822*$B882*IF(AND($B822&gt;BY4,$B822&lt;=BZ4),$B822-BY4,BZ3/2))/CC3</f>
      </c>
      <c r="CA882" s="757">
        <f>IF(CA822&gt;0,AVERAGE(BZ822,CA822)*$B882*CA3,BZ822*$B882*IF(AND($B822&gt;BZ4,$B822&lt;=CA4),$B822-BZ4,CA3/2))/CC3</f>
      </c>
      <c r="CB882" s="757">
        <f>IF(CB822&gt;0,AVERAGE(CA822,CB822)*$B882*CB3,CA822*$B882*IF(AND($B822&gt;CA4,$B822&lt;=CB4),$B822-CA4,CB3/2))/CC3</f>
      </c>
      <c r="CC882" s="962">
        <f>SUM(BY882,BZ882,CA882,CB882)</f>
      </c>
      <c r="CD882" s="962">
        <f>IF(CD822&gt;0,AVERAGE(CC822,CD822)*$B882,CC822*$B882*IF(AND($B822&gt;CC4,$B822&lt;=CD4),$B822-CC4,CD3/2)/CD3)</f>
      </c>
      <c r="CE882" s="962">
        <f>IF(CE822&gt;0,AVERAGE(CD822,CE822)*$B882,CD822*$B882*IF(AND($B822&gt;CD4,$B822&lt;=CE4),$B822-CD4,CE3/2)/CE3)</f>
      </c>
      <c r="CF882" s="962">
        <f>IF(CF822&gt;0,AVERAGE(CE822,CF822)*$B882,CE822*$B882*IF(AND($B822&gt;CE4,$B822&lt;=CF4),$B822-CE4,CF3/2)/CF3)</f>
      </c>
      <c r="CG882" s="273"/>
    </row>
    <row r="883" spans="1:85" hidden="1" outlineLevel="2" x14ac:dyDescent="0.3">
      <c r="A883" s="413" t="s">
        <v>891</v>
      </c>
      <c r="B883" s="897">
        <v>4.6249999999999999E-2</v>
      </c>
      <c r="C883" s="962"/>
      <c r="D883" s="962"/>
      <c r="E883" s="962"/>
      <c r="F883" s="962"/>
      <c r="G883" s="757"/>
      <c r="H883" s="757"/>
      <c r="I883" s="757"/>
      <c r="J883" s="757"/>
      <c r="K883" s="962"/>
      <c r="L883" s="757"/>
      <c r="M883" s="757"/>
      <c r="N883" s="757"/>
      <c r="O883" s="757"/>
      <c r="P883" s="962"/>
      <c r="Q883" s="757"/>
      <c r="R883" s="757"/>
      <c r="S883" s="757"/>
      <c r="T883" s="757"/>
      <c r="U883" s="962"/>
      <c r="V883" s="757"/>
      <c r="W883" s="757"/>
      <c r="X883" s="757"/>
      <c r="Y883" s="757"/>
      <c r="Z883" s="962"/>
      <c r="AA883" s="757"/>
      <c r="AB883" s="757"/>
      <c r="AC883" s="757"/>
      <c r="AD883" s="757"/>
      <c r="AE883" s="962"/>
      <c r="AF883" s="757"/>
      <c r="AG883" s="757"/>
      <c r="AH883" s="757"/>
      <c r="AI883" s="757"/>
      <c r="AJ883" s="962"/>
      <c r="AK883" s="757"/>
      <c r="AL883" s="757"/>
      <c r="AM883" s="757"/>
      <c r="AN883" s="757"/>
      <c r="AO883" s="962"/>
      <c r="AP883" s="757">
        <f>IF(AP823&gt;0,AVERAGE(AO823,AP823)*B883*AP$3,AO823*B883*IF(AND(B823&gt;AO$4,B823&lt;=AP$4),B823-AO$4,AP$3/2))/AT$3</f>
      </c>
      <c r="AQ883" s="757">
        <f>IF(AQ823&gt;0,AVERAGE(AP823,AQ823)*B883*AQ3,AP823*B883*IF(AND(B823&gt;AP4,B823&lt;=AQ4),B823-AP4,AQ3/2))/AT3</f>
      </c>
      <c r="AR883" s="757">
        <f>IF(AR823&gt;0,AVERAGE(AQ823,AR823)*B883*AR3,AQ823*B883*IF(AND(B823&gt;AQ4,B823&lt;=AR4),B823-AQ4,AR3/2))/AT3</f>
      </c>
      <c r="AS883" s="757">
        <f>IF(AS823&gt;0,AVERAGE(AR823,AS823)*B883*AS3,AR823*B883*IF(AND(B823&gt;AR4,B823&lt;=AS4),B823-AR4,AS3/2))/AT3</f>
      </c>
      <c r="AT883" s="962">
        <f t="shared" si="1744"/>
      </c>
      <c r="AU883" s="757">
        <f>IF(AU823&gt;0,AVERAGE(AT823,AU823)*B883*AU3,AT823*B883*IF(AND(B823&gt;AT4,B823&lt;=AU4),B823-AT4,AU3/2))/AY3</f>
      </c>
      <c r="AV883" s="757">
        <f>IF(AV823&gt;0,AVERAGE(AU823,AV823)*B883*AV3,AU823*B883*IF(AND(B823&gt;AU4,B823&lt;=AV4),B823-AU4,AV3/2))/AY3</f>
      </c>
      <c r="AW883" s="757">
        <f>IF(AW823&gt;0,AVERAGE(AV823,AW823)*B883*AW3,AV823*B883*IF(AND(B823&gt;AV4,B823&lt;=AW4),B823-AV4,AW3/2))/AY3</f>
      </c>
      <c r="AX883" s="757">
        <f>IF(AX823&gt;0,AVERAGE(AW823,AX823)*B883*AX3,AW823*B883*IF(AND(B823&gt;AW4,B823&lt;=AX4),B823-AW4,AX3/2))/AY3</f>
      </c>
      <c r="AY883" s="962">
        <f t="shared" si="1745"/>
      </c>
      <c r="AZ883" s="757">
        <f>IF(AZ823&gt;0,AVERAGE(AY823,AZ823)*B883*AZ3,AY823*B883*IF(AND(B823&gt;AY4,B823&lt;=AZ4),B823-AY4,AZ3/2))/BD3</f>
      </c>
      <c r="BA883" s="757">
        <f>IF(BA823&gt;0,AVERAGE(AZ823,BA823)*$B883*BA3,AZ823*$B883*IF(AND(B823&gt;AZ4,B823&lt;=BA4),B823-AZ4,BA3/2))/BD3</f>
      </c>
      <c r="BB883" s="757">
        <f>IF(BB823&gt;0,AVERAGE(BA823,BB823)*B883*BB3,BA823*B883*IF(AND(B823&gt;BA4,B823&lt;=BB4),B823-BA4,BB3/2))/BD3</f>
      </c>
      <c r="BC883" s="757">
        <f>IF(BC823&gt;0,AVERAGE(BB823,BC823)*B883*BC3,BB823*B883*IF(AND(B823&gt;BB4,B823&lt;=BC4),B823-BB4,BC3/2))/BD3</f>
      </c>
      <c r="BD883" s="962">
        <f>SUM(AZ883,BA883,BB883,BC883)</f>
      </c>
      <c r="BE883" s="757">
        <f>IF(BE823&gt;0,AVERAGE(BD823,BE823)*$B883*BE$3,BD823*$B883*IF(AND($B823&gt;BD$4,$B823&lt;=BE$4),$B823-BD$4,BE$3/2))/BI$3</f>
      </c>
      <c r="BF883" s="757">
        <f>IF(BF823&gt;0,AVERAGE(BE823,BF823)*$B883*BF3,BE823*$B883*IF(AND($B823&gt;BE4,$B823&lt;=BF4),$B823-BE4,BF3/2))/BI3</f>
      </c>
      <c r="BG883" s="757">
        <f>IF(BG823&gt;0,AVERAGE(BF823,BG823)*$B883*BG3,BF823*$B883*IF(AND($B823&gt;BF4,$B823&lt;=BG4),$B823-BF4,BG3/2))/BI3</f>
      </c>
      <c r="BH883" s="757">
        <f>IF(BH823&gt;0,AVERAGE(BG823,BH823)*$B883*BH3,BG823*$B883*IF(AND($B823&gt;BG4,$B823&lt;=BH4),$B823-BG4,BH3/2))/BI3</f>
      </c>
      <c r="BI883" s="962">
        <f>SUM(BE883,BF883,BG883,BH883)</f>
      </c>
      <c r="BJ883" s="757">
        <f>IF(BJ823&gt;0,AVERAGE(BI823,BJ823)*$B883*BJ$3,BI823*$B883*IF(AND($B823&gt;BI$4,$B823&lt;=BJ$4),$B823-BI$4,BJ$3/2))/BN$3</f>
      </c>
      <c r="BK883" s="757">
        <f>IF(BK823&gt;0,AVERAGE(BJ823,BK823)*$B883*BK3,BJ823*$B883*IF(AND($B823&gt;BJ4,$B823&lt;=BK4),$B823-BJ4,BK3/2))/BN3</f>
      </c>
      <c r="BL883" s="757">
        <f>IF(BL823&gt;0,AVERAGE(BK823,BL823)*$B883*BL3,BK823*$B883*IF(AND($B823&gt;BK4,$B823&lt;=BL4),$B823-BK4,BL3/2))/BN3</f>
      </c>
      <c r="BM883" s="757">
        <f>IF(BM823&gt;0,AVERAGE(BL823,BM823)*$B883*BM3,BL823*$B883*IF(AND($B823&gt;BL4,$B823&lt;=BM4),$B823-BL4,BM3/2))/BN3</f>
      </c>
      <c r="BN883" s="962">
        <f>SUM(BJ883,BK883,BL883,BM883)</f>
      </c>
      <c r="BO883" s="757">
        <f>IF(BO823&gt;0,AVERAGE(BN823,BO823)*$B883*BO$3,BN823*$B883*IF(AND($B823&gt;BN$4,$B823&lt;=BO$4),$B823-BN$4,BO$3/2))/BS$3</f>
      </c>
      <c r="BP883" s="757">
        <f>IF(BP823&gt;0,AVERAGE(BO823,BP823)*$B883*BP3,BO823*$B883*IF(AND($B823&gt;BO4,$B823&lt;=BP4),$B823-BO4,BP3/2))/BS3</f>
      </c>
      <c r="BQ883" s="757">
        <f>IF(BQ823&gt;0,AVERAGE(BP823,BQ823)*$B883*BQ3,BP823*$B883*IF(AND($B823&gt;BP4,$B823&lt;=BQ4),$B823-BP4,BQ3/2))/BS3</f>
      </c>
      <c r="BR883" s="757">
        <f>IF(BR823&gt;0,AVERAGE(BQ823,BR823)*$B883*BR3,BQ823*$B883*IF(AND($B823&gt;BQ4,$B823&lt;=BR4),$B823-BQ4,BR3/2))/BS3</f>
      </c>
      <c r="BS883" s="962">
        <f>SUM(BO883,BP883,BQ883,BR883)</f>
      </c>
      <c r="BT883" s="758">
        <f>IF(BT823&gt;0,AVERAGE(BS823,BT823)*$B883*BT$3,BS823*$B883*IF(AND($B823&gt;BS$4,$B823&lt;=BT$4),$B823-BS$4,BT$3/2))/BX$3</f>
      </c>
      <c r="BU883" s="757">
        <f>IF(BU823&gt;0,AVERAGE(BT823,BU823)*$B883*BU3,BT823*$B883*IF(AND($B823&gt;BT4,$B823&lt;=BU4),$B823-BT4,BU3/2))/BX3</f>
      </c>
      <c r="BV883" s="757">
        <f>IF(BV823&gt;0,AVERAGE(BU823,BV823)*$B883*BV3,BU823*$B883*IF(AND($B823&gt;BU4,$B823&lt;=BV4),$B823-BU4,BV3/2))/BX3</f>
      </c>
      <c r="BW883" s="757">
        <f>IF(BW823&gt;0,AVERAGE(BV823,BW823)*$B883*BW3,BV823*$B883*IF(AND($B823&gt;BV4,$B823&lt;=BW4),$B823-BV4,BW3/2))/BX3</f>
      </c>
      <c r="BX883" s="962">
        <f>SUM(BT883,BU883,BV883,BW883)</f>
      </c>
      <c r="BY883" s="757">
        <f>IF(BY823&gt;0,AVERAGE(BX823,BY823)*$B883*BY3,BX823*$B883*IF(AND($B823&gt;BX4,$B823&lt;=BY4),$B823-BX4,BY3/2))/CC3</f>
      </c>
      <c r="BZ883" s="757">
        <f>IF(BZ823&gt;0,AVERAGE(BY823,BZ823)*$B883*BZ3,BY823*$B883*IF(AND($B823&gt;BY4,$B823&lt;=BZ4),$B823-BY4,BZ3/2))/CC3</f>
      </c>
      <c r="CA883" s="757">
        <f>IF(CA823&gt;0,AVERAGE(BZ823,CA823)*$B883*CA3,BZ823*$B883*IF(AND($B823&gt;BZ4,$B823&lt;=CA4),$B823-BZ4,CA3/2))/CC3</f>
      </c>
      <c r="CB883" s="757">
        <f>IF(CB823&gt;0,AVERAGE(CA823,CB823)*$B883*CB3,CA823*$B883*IF(AND($B823&gt;CA4,$B823&lt;=CB4),$B823-CA4,CB3/2))/CC3</f>
      </c>
      <c r="CC883" s="962">
        <f>SUM(BY883,BZ883,CA883,CB883)</f>
      </c>
      <c r="CD883" s="962">
        <f>IF(CD823&gt;0,AVERAGE(CC823,CD823)*$B883,CC823*$B883*IF(AND($B823&gt;CC4,$B823&lt;=CD4),$B823-CC4,CD3/2)/CD3)</f>
      </c>
      <c r="CE883" s="962">
        <f>IF(CE823&gt;0,AVERAGE(CD823,CE823)*$B883,CD823*$B883*IF(AND($B823&gt;CD4,$B823&lt;=CE4),$B823-CD4,CE3/2)/CE3)</f>
      </c>
      <c r="CF883" s="962">
        <f>IF(CF823&gt;0,AVERAGE(CE823,CF823)*$B883,CE823*$B883*IF(AND($B823&gt;CE4,$B823&lt;=CF4),$B823-CE4,CF3/2)/CF3)</f>
      </c>
      <c r="CG883" s="273"/>
    </row>
    <row r="884" spans="1:85" hidden="1" outlineLevel="1" collapsed="1" x14ac:dyDescent="0.3">
      <c r="A884" s="424" t="s">
        <v>868</v>
      </c>
      <c r="B884" s="897">
        <v>4.6249999999999999E-2</v>
      </c>
      <c r="C884" s="962"/>
      <c r="D884" s="962"/>
      <c r="E884" s="962"/>
      <c r="F884" s="962"/>
      <c r="G884" s="757"/>
      <c r="H884" s="757"/>
      <c r="I884" s="757"/>
      <c r="J884" s="757"/>
      <c r="K884" s="962"/>
      <c r="L884" s="757"/>
      <c r="M884" s="757"/>
      <c r="N884" s="757"/>
      <c r="O884" s="757"/>
      <c r="P884" s="962"/>
      <c r="Q884" s="757"/>
      <c r="R884" s="757"/>
      <c r="S884" s="757"/>
      <c r="T884" s="757"/>
      <c r="U884" s="962"/>
      <c r="V884" s="757"/>
      <c r="W884" s="757"/>
      <c r="X884" s="757"/>
      <c r="Y884" s="757"/>
      <c r="Z884" s="962"/>
      <c r="AA884" s="757"/>
      <c r="AB884" s="757"/>
      <c r="AC884" s="757"/>
      <c r="AD884" s="757"/>
      <c r="AE884" s="962"/>
      <c r="AF884" s="757"/>
      <c r="AG884" s="757"/>
      <c r="AH884" s="757"/>
      <c r="AI884" s="757"/>
      <c r="AJ884" s="962"/>
      <c r="AK884" s="757"/>
      <c r="AL884" s="757"/>
      <c r="AM884" s="757"/>
      <c r="AN884" s="757"/>
      <c r="AO884" s="962"/>
      <c r="AP884" s="757">
        <f t="shared" ref="AP884" si="1780">+AP883/AP$775</f>
      </c>
      <c r="AQ884" s="757">
        <f t="shared" ref="AQ884" si="1781">+AQ883/AQ$775</f>
      </c>
      <c r="AR884" s="757">
        <f t="shared" ref="AR884" si="1782">+AR883/AR$775</f>
      </c>
      <c r="AS884" s="757">
        <f t="shared" ref="AS884" si="1783">+AS883/AS$775</f>
      </c>
      <c r="AT884" s="962">
        <f t="shared" ref="AT884" si="1784">+AT883/AT$775</f>
      </c>
      <c r="AU884" s="757">
        <f t="shared" ref="AU884" si="1785">+AU883/AU$775</f>
      </c>
      <c r="AV884" s="757">
        <f t="shared" ref="AV884" si="1786">+AV883/AV$775</f>
      </c>
      <c r="AW884" s="757">
        <f t="shared" ref="AW884" si="1787">+AW883/AW$775</f>
      </c>
      <c r="AX884" s="757">
        <f t="shared" ref="AX884" si="1788">+AX883/AX$775</f>
      </c>
      <c r="AY884" s="962">
        <f t="shared" ref="AY884" si="1789">+AY883/AY$775</f>
      </c>
      <c r="AZ884" s="757">
        <f t="shared" ref="AZ884" si="1790">+AZ883/AZ$775</f>
      </c>
      <c r="BA884" s="757">
        <f t="shared" ref="BA884" si="1791">+BA883/BA$775</f>
      </c>
      <c r="BB884" s="757">
        <f>+BB883/BB$775</f>
      </c>
      <c r="BC884" s="757">
        <f t="shared" ref="BC884" si="1792">+BC883/BC$775</f>
      </c>
      <c r="BD884" s="962">
        <f t="shared" ref="BD884:BN884" si="1793">+BD883/BD$775</f>
      </c>
      <c r="BE884" s="757">
        <f t="shared" si="1793"/>
      </c>
      <c r="BF884" s="757">
        <f t="shared" si="1793"/>
      </c>
      <c r="BG884" s="757">
        <f t="shared" si="1793"/>
      </c>
      <c r="BH884" s="757">
        <f t="shared" si="1793"/>
      </c>
      <c r="BI884" s="962">
        <f t="shared" si="1793"/>
      </c>
      <c r="BJ884" s="757">
        <f t="shared" si="1793"/>
      </c>
      <c r="BK884" s="757">
        <f t="shared" si="1793"/>
      </c>
      <c r="BL884" s="757">
        <f t="shared" si="1793"/>
      </c>
      <c r="BM884" s="757">
        <f t="shared" si="1793"/>
      </c>
      <c r="BN884" s="962">
        <f t="shared" si="1793"/>
      </c>
      <c r="BO884" s="757">
        <f>+BO883/BO$775</f>
      </c>
      <c r="BP884" s="757">
        <f>+BP883/BP$775</f>
      </c>
      <c r="BQ884" s="757">
        <f t="shared" ref="BQ884:BS884" si="1794">+BQ883/BQ$775</f>
      </c>
      <c r="BR884" s="757">
        <f t="shared" si="1794"/>
      </c>
      <c r="BS884" s="962">
        <f t="shared" si="1794"/>
      </c>
      <c r="BT884" s="758">
        <f>+BT883/BT$775</f>
      </c>
      <c r="BU884" s="757">
        <f>+BU883/BU$775</f>
      </c>
      <c r="BV884" s="757">
        <f>+BV883/BV$775</f>
      </c>
      <c r="BW884" s="757">
        <f>+BW883/BW$775</f>
      </c>
      <c r="BX884" s="962">
        <f t="shared" ref="BX884" si="1795">+BX883/BX$775</f>
      </c>
      <c r="BY884" s="757">
        <f t="shared" ref="BY884:CF884" si="1796">+BY883/BY$775</f>
      </c>
      <c r="BZ884" s="757">
        <f t="shared" si="1796"/>
      </c>
      <c r="CA884" s="757">
        <f t="shared" si="1796"/>
      </c>
      <c r="CB884" s="757">
        <f t="shared" si="1796"/>
      </c>
      <c r="CC884" s="962">
        <f t="shared" si="1796"/>
      </c>
      <c r="CD884" s="962">
        <f t="shared" si="1796"/>
      </c>
      <c r="CE884" s="962">
        <f t="shared" si="1796"/>
      </c>
      <c r="CF884" s="962">
        <f t="shared" si="1796"/>
      </c>
      <c r="CG884" s="273"/>
    </row>
    <row r="885" spans="1:85" hidden="1" outlineLevel="1" x14ac:dyDescent="0.3">
      <c r="A885" s="424" t="s">
        <v>840</v>
      </c>
      <c r="B885" s="897">
        <v>6.3750000000000001E-2</v>
      </c>
      <c r="C885" s="962"/>
      <c r="D885" s="962"/>
      <c r="E885" s="962"/>
      <c r="F885" s="962"/>
      <c r="G885" s="757"/>
      <c r="H885" s="757"/>
      <c r="I885" s="757"/>
      <c r="J885" s="757"/>
      <c r="K885" s="962"/>
      <c r="L885" s="757"/>
      <c r="M885" s="757"/>
      <c r="N885" s="757"/>
      <c r="O885" s="757"/>
      <c r="P885" s="962"/>
      <c r="Q885" s="757"/>
      <c r="R885" s="757"/>
      <c r="S885" s="757"/>
      <c r="T885" s="757"/>
      <c r="U885" s="962"/>
      <c r="V885" s="757"/>
      <c r="W885" s="757"/>
      <c r="X885" s="757"/>
      <c r="Y885" s="757"/>
      <c r="Z885" s="962"/>
      <c r="AA885" s="757"/>
      <c r="AB885" s="757"/>
      <c r="AC885" s="757"/>
      <c r="AD885" s="757"/>
      <c r="AE885" s="962"/>
      <c r="AF885" s="757"/>
      <c r="AG885" s="757"/>
      <c r="AH885" s="757"/>
      <c r="AI885" s="757"/>
      <c r="AJ885" s="962"/>
      <c r="AK885" s="757"/>
      <c r="AL885" s="757"/>
      <c r="AM885" s="757"/>
      <c r="AN885" s="757"/>
      <c r="AO885" s="962"/>
      <c r="AP885" s="757">
        <f>IF(AP825&gt;0,AVERAGE(AO825,AP825)*B885*AP$3,AO825*B885*IF(AND(B825&gt;AO$4,B825&lt;=AP$4),B825-AO$4,AP$3/2))/AT$3</f>
      </c>
      <c r="AQ885" s="757">
        <f>IF(AQ825&gt;0,AVERAGE(AP825,AQ825)*B885*AQ3,AP825*B885*IF(AND(B825&gt;AP4,B825&lt;=AQ4),B825-AP4,AQ3/2))/AT3</f>
      </c>
      <c r="AR885" s="757">
        <f>IF(AR825&gt;0,AVERAGE(AQ825,AR825)*B885*AR3,AQ825*B885*IF(AND(B825&gt;AQ4,B825&lt;=AR4),B825-AQ4,AR3/2))/AT3</f>
      </c>
      <c r="AS885" s="757">
        <f>IF(AS825&gt;0,AVERAGE(AR825,AS825)*B885*AS3,AR825*B885*IF(AND(B825&gt;AR4,B825&lt;=AS4),B825-AR4,AS3/2))/AT3</f>
      </c>
      <c r="AT885" s="962">
        <f t="shared" si="1744"/>
      </c>
      <c r="AU885" s="757">
        <f>IF(AU825&gt;0,AVERAGE(AT825,AU825)*B885*AU3,AT825*B885*IF(AND(B825&gt;AT4,B825&lt;=AU4),B825-AT4,AU3/2))/AY3</f>
      </c>
      <c r="AV885" s="757">
        <f>IF(AV825&gt;0,AVERAGE(AU825,AV825)*B885*AV3,AU825*B885*IF(AND(B825&gt;AU4,B825&lt;=AV4),B825-AU4,AV3/2))/AY3</f>
      </c>
      <c r="AW885" s="757">
        <f>IF(AW825&gt;0,AVERAGE(AV825,AW825)*B885*AW3,AV825*B885*IF(AND(B825&gt;AV4,B825&lt;=AW4),B825-AV4,AW3/2))/AY3</f>
      </c>
      <c r="AX885" s="757">
        <f>IF(AX825&gt;0,AVERAGE(AW825,AX825)*B885*AX3,AW825*B885*IF(AND(B825&gt;AW4,B825&lt;=AX4),B825-AW4,AX3/2))/AY3</f>
      </c>
      <c r="AY885" s="962">
        <f t="shared" si="1745"/>
      </c>
      <c r="AZ885" s="757">
        <f>IF(AZ825&gt;0,AVERAGE(AY825,AZ825)*B885*AZ3,AY825*B885*IF(AND(B825&gt;AY4,B825&lt;=AZ4),B825-AY4,AZ3/2))/BD3</f>
      </c>
      <c r="BA885" s="757">
        <f>IF(BA825&gt;0,AVERAGE(AZ825,BA825)*$B885*BA3,AZ825*$B885*IF(AND(B825&gt;AZ4,B825&lt;=BA4),B825-AZ4,BA3/2))/BD3</f>
      </c>
      <c r="BB885" s="757">
        <f>IF(BB825&gt;0,AVERAGE(BA825,BB825)*B885*BB3,BA825*B885*IF(AND(B825&gt;BA4,B825&lt;=BB4),B825-BA4,BB3/2))/BD3</f>
      </c>
      <c r="BC885" s="757">
        <f>IF(BC825&gt;0,AVERAGE(BB825,BC825)*B885*BC3,BB825*B885*IF(AND(B825&gt;BB4,B825&lt;=BC4),B825-BB4,BC3/2))/BD3</f>
      </c>
      <c r="BD885" s="962">
        <f>SUM(AZ885,BA885,BB885,BC885)</f>
      </c>
      <c r="BE885" s="757">
        <f>IF(BE825&gt;0,AVERAGE(BD825,BE825)*$B885*BE$3,BD825*$B885*IF(AND($B825&gt;BD$4,$B825&lt;=BE$4),$B825-BD$4,BE$3/2))/BI$3</f>
      </c>
      <c r="BF885" s="757">
        <f>IF(BF825&gt;0,AVERAGE(BE825,BF825)*$B885*BF3,BE825*$B885*IF(AND($B825&gt;BE4,$B825&lt;=BF4),$B825-BE4,BF3/2))/BI3</f>
      </c>
      <c r="BG885" s="757">
        <f>IF(BG825&gt;0,AVERAGE(BF825,BG825)*$B885*BG3,BF825*$B885*IF(AND($B825&gt;BF4,$B825&lt;=BG4),$B825-BF4,BG3/2))/BI3</f>
      </c>
      <c r="BH885" s="757">
        <f>IF(BH825&gt;0,AVERAGE(BG825,BH825)*$B885*BH3,BG825*$B885*IF(AND($B825&gt;BG4,$B825&lt;=BH4),$B825-BG4,BH3/2))/BI3</f>
      </c>
      <c r="BI885" s="962">
        <f>SUM(BE885,BF885,BG885,BH885)</f>
      </c>
      <c r="BJ885" s="757">
        <f>IF(BJ825&gt;0,AVERAGE(BI825,BJ825)*$B885*BJ$3,BI825*$B885*IF(AND($B825&gt;BI$4,$B825&lt;=BJ$4),$B825-BI$4,BJ$3/2))/BN$3</f>
      </c>
      <c r="BK885" s="757">
        <f>IF(BK825&gt;0,AVERAGE(BJ825,BK825)*$B885*BK3,BJ825*$B885*IF(AND($B825&gt;BJ4,$B825&lt;=BK4),$B825-BJ4,BK3/2))/BN3</f>
      </c>
      <c r="BL885" s="757">
        <f>IF(BL825&gt;0,AVERAGE(BK825,BL825)*$B885*BL3,BK825*$B885*IF(AND($B825&gt;BK4,$B825&lt;=BL4),$B825-BK4,BL3/2))/BN3</f>
      </c>
      <c r="BM885" s="757">
        <f>IF(BM825&gt;0,AVERAGE(BL825,BM825)*$B885*BM3,BL825*$B885*IF(AND($B825&gt;BL4,$B825&lt;=BM4),$B825-BL4,BM3/2))/BN3</f>
      </c>
      <c r="BN885" s="962">
        <f>SUM(BJ885,BK885,BL885,BM885)</f>
      </c>
      <c r="BO885" s="757">
        <f>IF(BO825&gt;0,AVERAGE(BN825,BO825)*$B885*BO$3,BN825*$B885*IF(AND($B825&gt;BN$4,$B825&lt;=BO$4),$B825-BN$4,BO$3/2))/BS$3</f>
      </c>
      <c r="BP885" s="757">
        <f>IF(BP825&gt;0,AVERAGE(BO825,BP825)*$B885*BP3,BO825*$B885*IF(AND($B825&gt;BO4,$B825&lt;=BP4),$B825-BO4,BP3/2))/BS3</f>
      </c>
      <c r="BQ885" s="757">
        <f>IF(BQ825&gt;0,AVERAGE(BP825,BQ825)*$B885*BQ3,BP825*$B885*IF(AND($B825&gt;BP4,$B825&lt;=BQ4),$B825-BP4,BQ3/2))/BS3</f>
      </c>
      <c r="BR885" s="757">
        <f>IF(BR825&gt;0,AVERAGE(BQ825,BR825)*$B885*BR3,BQ825*$B885*IF(AND($B825&gt;BQ4,$B825&lt;=BR4),$B825-BQ4,BR3/2))/BS3</f>
      </c>
      <c r="BS885" s="962">
        <f>SUM(BO885,BP885,BQ885,BR885)</f>
      </c>
      <c r="BT885" s="758">
        <f>IF(BT825&gt;0,AVERAGE(BS825,BT825)*$B885*BT$3,BS825*$B885*IF(AND($B825&gt;BS$4,$B825&lt;=BT$4),$B825-BS$4,BT$3/2))/BX$3</f>
      </c>
      <c r="BU885" s="757">
        <f>IF(BU825&gt;0,AVERAGE(BT825,BU825)*$B885*BU3,BT825*$B885*IF(AND($B825&gt;BT4,$B825&lt;=BU4),$B825-BT4,BU3/2))/BX3</f>
      </c>
      <c r="BV885" s="757">
        <f>IF(BV825&gt;0,AVERAGE(BU825,BV825)*$B885*BV3,BU825*$B885*IF(AND($B825&gt;BU4,$B825&lt;=BV4),$B825-BU4,BV3/2))/BX3</f>
      </c>
      <c r="BW885" s="757">
        <f>IF(BW825&gt;0,AVERAGE(BV825,BW825)*$B885*BW3,BV825*$B885*IF(AND($B825&gt;BV4,$B825&lt;=BW4),$B825-BV4,BW3/2))/BX3</f>
      </c>
      <c r="BX885" s="962">
        <f>SUM(BT885,BU885,BV885,BW885)</f>
      </c>
      <c r="BY885" s="757">
        <f>IF(BY825&gt;0,AVERAGE(BX825,BY825)*$B885*BY3,BX825*$B885*IF(AND($B825&gt;BX4,$B825&lt;=BY4),$B825-BX4,BY3/2))/CC3</f>
      </c>
      <c r="BZ885" s="757">
        <f>IF(BZ825&gt;0,AVERAGE(BY825,BZ825)*$B885*BZ3,BY825*$B885*IF(AND($B825&gt;BY4,$B825&lt;=BZ4),$B825-BY4,BZ3/2))/CC3</f>
      </c>
      <c r="CA885" s="757">
        <f>IF(CA825&gt;0,AVERAGE(BZ825,CA825)*$B885*CA3,BZ825*$B885*IF(AND($B825&gt;BZ4,$B825&lt;=CA4),$B825-BZ4,CA3/2))/CC3</f>
      </c>
      <c r="CB885" s="757">
        <f>IF(CB825&gt;0,AVERAGE(CA825,CB825)*$B885*CB3,CA825*$B885*IF(AND($B825&gt;CA4,$B825&lt;=CB4),$B825-CA4,CB3/2))/CC3</f>
      </c>
      <c r="CC885" s="962">
        <f>SUM(BY885,BZ885,CA885,CB885)</f>
      </c>
      <c r="CD885" s="962">
        <f>IF(CD825&gt;0,AVERAGE(CC825,CD825)*$B885,CC825*$B885*IF(AND($B825&gt;CC4,$B825&lt;=CD4),$B825-CC4,CD3/2)/CD3)</f>
      </c>
      <c r="CE885" s="962">
        <f>IF(CE825&gt;0,AVERAGE(CD825,CE825)*$B885,CD825*$B885*IF(AND($B825&gt;CD4,$B825&lt;=CE4),$B825-CD4,CE3/2)/CE3)</f>
      </c>
      <c r="CF885" s="962">
        <f>IF(CF825&gt;0,AVERAGE(CE825,CF825)*$B885,CE825*$B885*IF(AND($B825&gt;CE4,$B825&lt;=CF4),$B825-CE4,CF3/2)/CF3)</f>
      </c>
      <c r="CG885" s="273"/>
    </row>
    <row r="886" spans="1:85" hidden="1" outlineLevel="2" x14ac:dyDescent="0.3">
      <c r="A886" s="413" t="s">
        <v>892</v>
      </c>
      <c r="B886" s="897">
        <v>3.875E-2</v>
      </c>
      <c r="C886" s="962"/>
      <c r="D886" s="962"/>
      <c r="E886" s="962"/>
      <c r="F886" s="962"/>
      <c r="G886" s="757"/>
      <c r="H886" s="757"/>
      <c r="I886" s="757"/>
      <c r="J886" s="757"/>
      <c r="K886" s="962"/>
      <c r="L886" s="757"/>
      <c r="M886" s="757"/>
      <c r="N886" s="757"/>
      <c r="O886" s="757"/>
      <c r="P886" s="962"/>
      <c r="Q886" s="757"/>
      <c r="R886" s="757"/>
      <c r="S886" s="757"/>
      <c r="T886" s="757"/>
      <c r="U886" s="962"/>
      <c r="V886" s="757"/>
      <c r="W886" s="757"/>
      <c r="X886" s="757"/>
      <c r="Y886" s="757"/>
      <c r="Z886" s="962"/>
      <c r="AA886" s="757"/>
      <c r="AB886" s="757"/>
      <c r="AC886" s="757"/>
      <c r="AD886" s="757"/>
      <c r="AE886" s="962"/>
      <c r="AF886" s="757"/>
      <c r="AG886" s="757"/>
      <c r="AH886" s="757"/>
      <c r="AI886" s="757"/>
      <c r="AJ886" s="962"/>
      <c r="AK886" s="757"/>
      <c r="AL886" s="757"/>
      <c r="AM886" s="757"/>
      <c r="AN886" s="757"/>
      <c r="AO886" s="962"/>
      <c r="AP886" s="757">
        <f>IF(AP826&gt;0,AVERAGE(AO826,AP826)*B886*AP$3,AO826*B886*IF(AND(B826&gt;AO$4,B826&lt;=AP$4),B826-AO$4,AP$3/2))/AT$3</f>
      </c>
      <c r="AQ886" s="757">
        <f>IF(AQ826&gt;0,AVERAGE(AP826,AQ826)*B886*AQ3,AP826*B886*IF(AND(B826&gt;AP4,B826&lt;=AQ4),B826-AP4,AQ3/2))/AT3</f>
      </c>
      <c r="AR886" s="757">
        <f>IF(AR826&gt;0,AVERAGE(AQ826,AR826)*B886*AR3,AQ826*B886*IF(AND(B826&gt;AQ4,B826&lt;=AR4),B826-AQ4,AR3/2))/AT3</f>
      </c>
      <c r="AS886" s="757">
        <f>IF(AS826&gt;0,AVERAGE(AR826,AS826)*B886*AS3,AR826*B886*IF(AND(B826&gt;AR4,B826&lt;=AS4),B826-AR4,AS3/2))/AT3</f>
      </c>
      <c r="AT886" s="962">
        <f t="shared" si="1744"/>
      </c>
      <c r="AU886" s="757">
        <f>IF(AU826&gt;0,AVERAGE(AT826,AU826)*B886*AU3,AT826*B886*IF(AND(B826&gt;AT4,B826&lt;=AU4),B826-AT4,AU3/2))/AY3</f>
      </c>
      <c r="AV886" s="757">
        <f>IF(AV826&gt;0,AVERAGE(AU826,AV826)*B886*AV3,AU826*B886*IF(AND(B826&gt;AU4,B826&lt;=AV4),B826-AU4,AV3/2))/AY3</f>
      </c>
      <c r="AW886" s="757">
        <f>IF(AW826&gt;0,AVERAGE(AV826,AW826)*B886*AW3,AV826*B886*IF(AND(B826&gt;AV4,B826&lt;=AW4),B826-AV4,AW3/2))/AY3</f>
      </c>
      <c r="AX886" s="757">
        <f>IF(AX826&gt;0,AVERAGE(AW826,AX826)*B886*AX3,AW826*B886*IF(AND(B826&gt;AW4,B826&lt;=AX4),B826-AW4,AX3/2))/AY3</f>
      </c>
      <c r="AY886" s="962">
        <f t="shared" si="1745"/>
      </c>
      <c r="AZ886" s="757">
        <f>IF(AZ826&gt;0,AVERAGE(AY826,AZ826)*B886*AZ3,AY826*B886*IF(AND(B826&gt;AY4,B826&lt;=AZ4),B826-AY4,AZ3/2))/BD3</f>
      </c>
      <c r="BA886" s="757">
        <f>IF(BA826&gt;0,AVERAGE(AZ826,BA826)*$B886*BA3,AZ826*$B886*IF(AND(B826&gt;AZ4,B826&lt;=BA4),B826-AZ4,BA3/2))/BD3</f>
      </c>
      <c r="BB886" s="757">
        <f>IF(BB826&gt;0,AVERAGE(BA826,BB826)*B886*BB3,BA826*B886*IF(AND(B826&gt;BA4,B826&lt;=BB4),B826-BA4,BB3/2))/BD3</f>
      </c>
      <c r="BC886" s="757">
        <f>IF(BC826&gt;0,AVERAGE(BB826,BC826)*B886*BC3,BB826*B886*IF(AND(B826&gt;BB4,B826&lt;=BC4),B826-BB4,BC3/2))/BD3</f>
      </c>
      <c r="BD886" s="962">
        <f>SUM(AZ886,BA886,BB886,BC886)</f>
      </c>
      <c r="BE886" s="757">
        <f>IF(BE826&gt;0,AVERAGE(BD826,BE826)*$B886*BE$3,BD826*$B886*IF(AND($B826&gt;BD$4,$B826&lt;=BE$4),$B826-BD$4,BE$3/2))/BI$3</f>
      </c>
      <c r="BF886" s="757">
        <f>IF(BF826&gt;0,AVERAGE(BE826,BF826)*$B886*BF3,BE826*$B886*IF(AND($B826&gt;BE4,$B826&lt;=BF4),$B826-BE4,BF3/2))/BI3</f>
      </c>
      <c r="BG886" s="757">
        <f>IF(BG826&gt;0,AVERAGE(BF826,BG826)*$B886*BG3,BF826*$B886*IF(AND($B826&gt;BF4,$B826&lt;=BG4),$B826-BF4,BG3/2))/BI3</f>
      </c>
      <c r="BH886" s="757">
        <f>IF(BH826&gt;0,AVERAGE(BG826,BH826)*$B886*BH3,BG826*$B886*IF(AND($B826&gt;BG4,$B826&lt;=BH4),$B826-BG4,BH3/2))/BI3</f>
      </c>
      <c r="BI886" s="962">
        <f>SUM(BE886,BF886,BG886,BH886)</f>
      </c>
      <c r="BJ886" s="757">
        <f>IF(BJ826&gt;0,AVERAGE(BI826,BJ826)*$B886*BJ$3,BI826*$B886*IF(AND($B826&gt;BI$4,$B826&lt;=BJ$4),$B826-BI$4,BJ$3/2))/BN$3</f>
      </c>
      <c r="BK886" s="757">
        <f>IF(BK826&gt;0,AVERAGE(BJ826,BK826)*$B886*BK3,BJ826*$B886*IF(AND($B826&gt;BJ4,$B826&lt;=BK4),$B826-BJ4,BK3/2))/BN3</f>
      </c>
      <c r="BL886" s="757">
        <f>IF(BL826&gt;0,AVERAGE(BK826,BL826)*$B886*BL3,BK826*$B886*IF(AND($B826&gt;BK4,$B826&lt;=BL4),$B826-BK4,BL3/2))/BN3</f>
      </c>
      <c r="BM886" s="757">
        <f>IF(BM826&gt;0,AVERAGE(BL826,BM826)*$B886*BM3,BL826*$B886*IF(AND($B826&gt;BL4,$B826&lt;=BM4),$B826-BL4,BM3/2))/BN3</f>
      </c>
      <c r="BN886" s="962">
        <f>SUM(BJ886,BK886,BL886,BM886)</f>
      </c>
      <c r="BO886" s="757">
        <f>IF(BO826&gt;0,AVERAGE(BN826,BO826)*$B886*BO$3,BN826*$B886*IF(AND($B826&gt;BN$4,$B826&lt;=BO$4),$B826-BN$4,BO$3/2))/BS$3</f>
      </c>
      <c r="BP886" s="757">
        <f>IF(BP826&gt;0,AVERAGE(BO826,BP826)*$B886*BP3,BO826*$B886*IF(AND($B826&gt;BO4,$B826&lt;=BP4),$B826-BO4,BP3/2))/BS3</f>
      </c>
      <c r="BQ886" s="757">
        <f>IF(BQ826&gt;0,AVERAGE(BP826,BQ826)*$B886*BQ3,BP826*$B886*IF(AND($B826&gt;BP4,$B826&lt;=BQ4),$B826-BP4,BQ3/2))/BS3</f>
      </c>
      <c r="BR886" s="757">
        <f>IF(BR826&gt;0,AVERAGE(BQ826,BR826)*$B886*BR3,BQ826*$B886*IF(AND($B826&gt;BQ4,$B826&lt;=BR4),$B826-BQ4,BR3/2))/BS3</f>
      </c>
      <c r="BS886" s="962">
        <f>SUM(BO886,BP886,BQ886,BR886)</f>
      </c>
      <c r="BT886" s="758">
        <f>IF(BT826&gt;0,AVERAGE(BS826,BT826)*$B886*BT$3,BS826*$B886*IF(AND($B826&gt;BS$4,$B826&lt;=BT$4),$B826-BS$4,BT$3/2))/BX$3</f>
      </c>
      <c r="BU886" s="757">
        <f>IF(BU826&gt;0,AVERAGE(BT826,BU826)*$B886*BU3,BT826*$B886*IF(AND($B826&gt;BT4,$B826&lt;=BU4),$B826-BT4,BU3/2))/BX3</f>
      </c>
      <c r="BV886" s="757">
        <f>IF(BV826&gt;0,AVERAGE(BU826,BV826)*$B886*BV3,BU826*$B886*IF(AND($B826&gt;BU4,$B826&lt;=BV4),$B826-BU4,BV3/2))/BX3</f>
      </c>
      <c r="BW886" s="757">
        <f>IF(BW826&gt;0,AVERAGE(BV826,BW826)*$B886*BW3,BV826*$B886*IF(AND($B826&gt;BV4,$B826&lt;=BW4),$B826-BV4,BW3/2))/BX3</f>
      </c>
      <c r="BX886" s="962">
        <f>SUM(BT886,BU886,BV886,BW886)</f>
      </c>
      <c r="BY886" s="757">
        <f>IF(BY826&gt;0,AVERAGE(BX826,BY826)*$B886*BY3,BX826*$B886*IF(AND($B826&gt;BX4,$B826&lt;=BY4),$B826-BX4,BY3/2))/CC3</f>
      </c>
      <c r="BZ886" s="757">
        <f>IF(BZ826&gt;0,AVERAGE(BY826,BZ826)*$B886*BZ3,BY826*$B886*IF(AND($B826&gt;BY4,$B826&lt;=BZ4),$B826-BY4,BZ3/2))/CC3</f>
      </c>
      <c r="CA886" s="757">
        <f>IF(CA826&gt;0,AVERAGE(BZ826,CA826)*$B886*CA3,BZ826*$B886*IF(AND($B826&gt;BZ4,$B826&lt;=CA4),$B826-BZ4,CA3/2))/CC3</f>
      </c>
      <c r="CB886" s="757">
        <f>IF(CB826&gt;0,AVERAGE(CA826,CB826)*$B886*CB3,CA826*$B886*IF(AND($B826&gt;CA4,$B826&lt;=CB4),$B826-CA4,CB3/2))/CC3</f>
      </c>
      <c r="CC886" s="962">
        <f>SUM(BY886,BZ886,CA886,CB886)</f>
      </c>
      <c r="CD886" s="962">
        <f>IF(CD826&gt;0,AVERAGE(CC826,CD826)*$B886,CC826*$B886*IF(AND($B826&gt;CC4,$B826&lt;=CD4),$B826-CC4,CD3/2)/CD3)</f>
      </c>
      <c r="CE886" s="962">
        <f>IF(CE826&gt;0,AVERAGE(CD826,CE826)*$B886,CD826*$B886*IF(AND($B826&gt;CD4,$B826&lt;=CE4),$B826-CD4,CE3/2)/CE3)</f>
      </c>
      <c r="CF886" s="962">
        <f>IF(CF826&gt;0,AVERAGE(CE826,CF826)*$B886,CE826*$B886*IF(AND($B826&gt;CE4,$B826&lt;=CF4),$B826-CE4,CF3/2)/CF3)</f>
      </c>
      <c r="CG886" s="273"/>
    </row>
    <row r="887" spans="1:85" hidden="1" outlineLevel="1" collapsed="1" x14ac:dyDescent="0.3">
      <c r="A887" s="424" t="s">
        <v>869</v>
      </c>
      <c r="B887" s="897">
        <v>3.875E-2</v>
      </c>
      <c r="C887" s="962"/>
      <c r="D887" s="962"/>
      <c r="E887" s="962"/>
      <c r="F887" s="962"/>
      <c r="G887" s="757"/>
      <c r="H887" s="757"/>
      <c r="I887" s="757"/>
      <c r="J887" s="757"/>
      <c r="K887" s="962"/>
      <c r="L887" s="757"/>
      <c r="M887" s="757"/>
      <c r="N887" s="757"/>
      <c r="O887" s="757"/>
      <c r="P887" s="962"/>
      <c r="Q887" s="757"/>
      <c r="R887" s="757"/>
      <c r="S887" s="757"/>
      <c r="T887" s="757"/>
      <c r="U887" s="962"/>
      <c r="V887" s="757"/>
      <c r="W887" s="757"/>
      <c r="X887" s="757"/>
      <c r="Y887" s="757"/>
      <c r="Z887" s="962"/>
      <c r="AA887" s="757"/>
      <c r="AB887" s="757"/>
      <c r="AC887" s="757"/>
      <c r="AD887" s="757"/>
      <c r="AE887" s="962"/>
      <c r="AF887" s="757"/>
      <c r="AG887" s="757"/>
      <c r="AH887" s="757"/>
      <c r="AI887" s="757"/>
      <c r="AJ887" s="962"/>
      <c r="AK887" s="757"/>
      <c r="AL887" s="757"/>
      <c r="AM887" s="757"/>
      <c r="AN887" s="757"/>
      <c r="AO887" s="962"/>
      <c r="AP887" s="757">
        <f t="shared" ref="AP887" si="1797">+AP886/AP$775</f>
      </c>
      <c r="AQ887" s="757">
        <f t="shared" ref="AQ887" si="1798">+AQ886/AQ$775</f>
      </c>
      <c r="AR887" s="757">
        <f t="shared" ref="AR887" si="1799">+AR886/AR$775</f>
      </c>
      <c r="AS887" s="757">
        <f t="shared" ref="AS887" si="1800">+AS886/AS$775</f>
      </c>
      <c r="AT887" s="962">
        <f t="shared" ref="AT887" si="1801">+AT886/AT$775</f>
      </c>
      <c r="AU887" s="757">
        <f t="shared" ref="AU887" si="1802">+AU886/AU$775</f>
      </c>
      <c r="AV887" s="757">
        <f t="shared" ref="AV887" si="1803">+AV886/AV$775</f>
      </c>
      <c r="AW887" s="757">
        <f t="shared" ref="AW887" si="1804">+AW886/AW$775</f>
      </c>
      <c r="AX887" s="757">
        <f t="shared" ref="AX887" si="1805">+AX886/AX$775</f>
      </c>
      <c r="AY887" s="962">
        <f t="shared" ref="AY887" si="1806">+AY886/AY$775</f>
      </c>
      <c r="AZ887" s="757">
        <f t="shared" ref="AZ887" si="1807">+AZ886/AZ$775</f>
      </c>
      <c r="BA887" s="757">
        <f t="shared" ref="BA887" si="1808">+BA886/BA$775</f>
      </c>
      <c r="BB887" s="757">
        <f>+BB886/BB$775</f>
      </c>
      <c r="BC887" s="757">
        <f t="shared" ref="BC887" si="1809">+BC886/BC$775</f>
      </c>
      <c r="BD887" s="962">
        <f t="shared" ref="BD887:BN887" si="1810">+BD886/BD$775</f>
      </c>
      <c r="BE887" s="757">
        <f t="shared" si="1810"/>
      </c>
      <c r="BF887" s="757">
        <f t="shared" si="1810"/>
      </c>
      <c r="BG887" s="757">
        <f t="shared" si="1810"/>
      </c>
      <c r="BH887" s="757">
        <f t="shared" si="1810"/>
      </c>
      <c r="BI887" s="962">
        <f t="shared" si="1810"/>
      </c>
      <c r="BJ887" s="757">
        <f t="shared" si="1810"/>
      </c>
      <c r="BK887" s="757">
        <f t="shared" si="1810"/>
      </c>
      <c r="BL887" s="757">
        <f t="shared" si="1810"/>
      </c>
      <c r="BM887" s="757">
        <f t="shared" si="1810"/>
      </c>
      <c r="BN887" s="962">
        <f t="shared" si="1810"/>
      </c>
      <c r="BO887" s="757">
        <f>+BO886/BO$775</f>
      </c>
      <c r="BP887" s="757">
        <f>+BP886/BP$775</f>
      </c>
      <c r="BQ887" s="757">
        <f t="shared" ref="BQ887:BS887" si="1811">+BQ886/BQ$775</f>
      </c>
      <c r="BR887" s="757">
        <f t="shared" si="1811"/>
      </c>
      <c r="BS887" s="962">
        <f t="shared" si="1811"/>
      </c>
      <c r="BT887" s="758">
        <f>+BT886/BT$775</f>
      </c>
      <c r="BU887" s="757">
        <f>+BU886/BU$775</f>
      </c>
      <c r="BV887" s="757">
        <f>+BV886/BV$775</f>
      </c>
      <c r="BW887" s="757">
        <f>+BW886/BW$775</f>
      </c>
      <c r="BX887" s="962">
        <f t="shared" ref="BX887" si="1812">+BX886/BX$775</f>
      </c>
      <c r="BY887" s="757">
        <f t="shared" ref="BY887:CF887" si="1813">+BY886/BY$775</f>
      </c>
      <c r="BZ887" s="757">
        <f t="shared" si="1813"/>
      </c>
      <c r="CA887" s="757">
        <f t="shared" si="1813"/>
      </c>
      <c r="CB887" s="757">
        <f t="shared" si="1813"/>
      </c>
      <c r="CC887" s="962">
        <f t="shared" si="1813"/>
      </c>
      <c r="CD887" s="962">
        <f t="shared" si="1813"/>
      </c>
      <c r="CE887" s="962">
        <f t="shared" si="1813"/>
      </c>
      <c r="CF887" s="962">
        <f t="shared" si="1813"/>
      </c>
      <c r="CG887" s="273"/>
    </row>
    <row r="888" spans="1:85" hidden="1" outlineLevel="1" x14ac:dyDescent="0.3">
      <c r="A888" s="424" t="s">
        <v>841</v>
      </c>
      <c r="B888" s="897">
        <v>5.3749999999999999E-2</v>
      </c>
      <c r="C888" s="962"/>
      <c r="D888" s="962"/>
      <c r="E888" s="962"/>
      <c r="F888" s="962"/>
      <c r="G888" s="757"/>
      <c r="H888" s="757"/>
      <c r="I888" s="757"/>
      <c r="J888" s="757"/>
      <c r="K888" s="962"/>
      <c r="L888" s="757"/>
      <c r="M888" s="757"/>
      <c r="N888" s="757"/>
      <c r="O888" s="757"/>
      <c r="P888" s="962"/>
      <c r="Q888" s="757"/>
      <c r="R888" s="757"/>
      <c r="S888" s="757"/>
      <c r="T888" s="757"/>
      <c r="U888" s="962"/>
      <c r="V888" s="757"/>
      <c r="W888" s="757"/>
      <c r="X888" s="757"/>
      <c r="Y888" s="757"/>
      <c r="Z888" s="962"/>
      <c r="AA888" s="757"/>
      <c r="AB888" s="757"/>
      <c r="AC888" s="757"/>
      <c r="AD888" s="757"/>
      <c r="AE888" s="962"/>
      <c r="AF888" s="757"/>
      <c r="AG888" s="757"/>
      <c r="AH888" s="757"/>
      <c r="AI888" s="757"/>
      <c r="AJ888" s="962"/>
      <c r="AK888" s="757"/>
      <c r="AL888" s="757"/>
      <c r="AM888" s="757"/>
      <c r="AN888" s="757"/>
      <c r="AO888" s="962"/>
      <c r="AP888" s="757">
        <f>IF(AP828&gt;0,AVERAGE(AO828,AP828)*B888*AP$3,AO828*B888*IF(AND(B828&gt;AO$4,B828&lt;=AP$4),B828-AO$4,AP$3/2))/AT$3</f>
      </c>
      <c r="AQ888" s="757">
        <f>IF(AQ828&gt;0,AVERAGE(AP828,AQ828)*B888*AQ3,AP828*B888*IF(AND(B828&gt;AP4,B828&lt;=AQ4),B828-AP4,AQ3/2))/AT3</f>
      </c>
      <c r="AR888" s="757">
        <f>IF(AR828&gt;0,AVERAGE(AQ828,AR828)*B888*AR3,AQ828*B888*IF(AND(B828&gt;AQ4,B828&lt;=AR4),B828-AQ4,AR3/2))/AT3</f>
      </c>
      <c r="AS888" s="757">
        <f>IF(AS828&gt;0,AVERAGE(AR828,AS828)*B888*AS3,AR828*B888*IF(AND(B828&gt;AR4,B828&lt;=AS4),B828-AR4,AS3/2))/AT3</f>
      </c>
      <c r="AT888" s="962">
        <f t="shared" si="1744"/>
      </c>
      <c r="AU888" s="757">
        <f>IF(AU828&gt;0,AVERAGE(AT828,AU828)*B888*AU3,AT828*B888*IF(AND(B828&gt;AT4,B828&lt;=AU4),B828-AT4,AU3/2))/AY3</f>
      </c>
      <c r="AV888" s="757">
        <f>IF(AV828&gt;0,AVERAGE(AU828,AV828)*B888*AV3,AU828*B888*IF(AND(B828&gt;AU4,B828&lt;=AV4),B828-AU4,AV3/2))/AY3</f>
      </c>
      <c r="AW888" s="757">
        <f>IF(AW828&gt;0,AVERAGE(AV828,AW828)*B888*AW3,AV828*B888*IF(AND(B828&gt;AV4,B828&lt;=AW4),B828-AV4,AW3/2))/AY3</f>
      </c>
      <c r="AX888" s="757">
        <f>IF(AX828&gt;0,AVERAGE(AW828,AX828)*B888*AX3,AW828*B888*IF(AND(B828&gt;AW4,B828&lt;=AX4),B828-AW4,AX3/2))/AY3</f>
      </c>
      <c r="AY888" s="962">
        <f t="shared" si="1745"/>
      </c>
      <c r="AZ888" s="757">
        <f>IF(AZ828&gt;0,AVERAGE(AY828,AZ828)*B888*AZ3,AY828*B888*IF(AND(B828&gt;AY4,B828&lt;=AZ4),B828-AY4,AZ3/2))/BD3</f>
      </c>
      <c r="BA888" s="757">
        <f>IF(BA828&gt;0,AVERAGE(AZ828,BA828)*$B888*BA3,AZ828*$B888*IF(AND(B828&gt;AZ4,B828&lt;=BA4),B828-AZ4,BA3/2))/BD3</f>
      </c>
      <c r="BB888" s="757">
        <f>IF(BB828&gt;0,AVERAGE(BA828,BB828)*B888*BB3,BA828*B888*IF(AND(B828&gt;BA4,B828&lt;=BB4),B828-BA4,BB3/2))/BD3</f>
      </c>
      <c r="BC888" s="757">
        <f>IF(BC828&gt;0,AVERAGE(BB828,BC828)*B888*BC3,BB828*B888*IF(AND(B828&gt;BB4,B828&lt;=BC4),B828-BB4,BC3/2))/BD3</f>
      </c>
      <c r="BD888" s="962">
        <f>SUM(AZ888,BA888,BB888,BC888)</f>
      </c>
      <c r="BE888" s="757">
        <f>IF(BE828&gt;0,AVERAGE(BD828,BE828)*$B888*BE$3,BD828*$B888*IF(AND($B828&gt;BD$4,$B828&lt;=BE$4),$B828-BD$4,BE$3/2))/BI$3</f>
      </c>
      <c r="BF888" s="757">
        <f>IF(BF828&gt;0,AVERAGE(BE828,BF828)*$B888*BF3,BE828*$B888*IF(AND($B828&gt;BE4,$B828&lt;=BF4),$B828-BE4,BF3/2))/BI3</f>
      </c>
      <c r="BG888" s="757">
        <f>IF(BG828&gt;0,AVERAGE(BF828,BG828)*$B888*BG3,BF828*$B888*IF(AND($B828&gt;BF4,$B828&lt;=BG4),$B828-BF4,BG3/2))/BI3</f>
      </c>
      <c r="BH888" s="757">
        <f>IF(BH828&gt;0,AVERAGE(BG828,BH828)*$B888*BH3,BG828*$B888*IF(AND($B828&gt;BG4,$B828&lt;=BH4),$B828-BG4,BH3/2))/BI3</f>
      </c>
      <c r="BI888" s="962">
        <f>SUM(BE888,BF888,BG888,BH888)</f>
      </c>
      <c r="BJ888" s="757">
        <f>IF(BJ828&gt;0,AVERAGE(BI828,BJ828)*$B888*BJ$3,BI828*$B888*IF(AND($B828&gt;BI$4,$B828&lt;=BJ$4),$B828-BI$4,BJ$3/2))/BN$3</f>
      </c>
      <c r="BK888" s="757">
        <f>IF(BK828&gt;0,AVERAGE(BJ828,BK828)*$B888*BK3,BJ828*$B888*IF(AND($B828&gt;BJ4,$B828&lt;=BK4),$B828-BJ4,BK3/2))/BN3</f>
      </c>
      <c r="BL888" s="757">
        <f>IF(BL828&gt;0,AVERAGE(BK828,BL828)*$B888*BL3,BK828*$B888*IF(AND($B828&gt;BK4,$B828&lt;=BL4),$B828-BK4,BL3/2))/BN3</f>
      </c>
      <c r="BM888" s="757">
        <f>IF(BM828&gt;0,AVERAGE(BL828,BM828)*$B888*BM3,BL828*$B888*IF(AND($B828&gt;BL4,$B828&lt;=BM4),$B828-BL4,BM3/2))/BN3</f>
      </c>
      <c r="BN888" s="962">
        <f>SUM(BJ888,BK888,BL888,BM888)</f>
      </c>
      <c r="BO888" s="757">
        <f>IF(BO828&gt;0,AVERAGE(BN828,BO828)*$B888*BO$3,BN828*$B888*IF(AND($B828&gt;BN$4,$B828&lt;=BO$4),$B828-BN$4,BO$3/2))/BS$3</f>
      </c>
      <c r="BP888" s="757">
        <f>IF(BP828&gt;0,AVERAGE(BO828,BP828)*$B888*BP3,BO828*$B888*IF(AND($B828&gt;BO4,$B828&lt;=BP4),$B828-BO4,BP3/2))/BS3</f>
      </c>
      <c r="BQ888" s="757">
        <f>IF(BQ828&gt;0,AVERAGE(BP828,BQ828)*$B888*BQ3,BP828*$B888*IF(AND($B828&gt;BP4,$B828&lt;=BQ4),$B828-BP4,BQ3/2))/BS3</f>
      </c>
      <c r="BR888" s="757">
        <f>IF(BR828&gt;0,AVERAGE(BQ828,BR828)*$B888*BR3,BQ828*$B888*IF(AND($B828&gt;BQ4,$B828&lt;=BR4),$B828-BQ4,BR3/2))/BS3</f>
      </c>
      <c r="BS888" s="962">
        <f>SUM(BO888,BP888,BQ888,BR888)</f>
      </c>
      <c r="BT888" s="758">
        <f>IF(BT828&gt;0,AVERAGE(BS828,BT828)*$B888*BT$3,BS828*$B888*IF(AND($B828&gt;BS$4,$B828&lt;=BT$4),$B828-BS$4,BT$3/2))/BX$3</f>
      </c>
      <c r="BU888" s="757">
        <f>IF(BU828&gt;0,AVERAGE(BT828,BU828)*$B888*BU3,BT828*$B888*IF(AND($B828&gt;BT4,$B828&lt;=BU4),$B828-BT4,BU3/2))/BX3</f>
      </c>
      <c r="BV888" s="757">
        <f>IF(BV828&gt;0,AVERAGE(BU828,BV828)*$B888*BV3,BU828*$B888*IF(AND($B828&gt;BU4,$B828&lt;=BV4),$B828-BU4,BV3/2))/BX3</f>
      </c>
      <c r="BW888" s="757">
        <f>IF(BW828&gt;0,AVERAGE(BV828,BW828)*$B888*BW3,BV828*$B888*IF(AND($B828&gt;BV4,$B828&lt;=BW4),$B828-BV4,BW3/2))/BX3</f>
      </c>
      <c r="BX888" s="962">
        <f>SUM(BT888,BU888,BV888,BW888)</f>
      </c>
      <c r="BY888" s="757">
        <f>IF(BY828&gt;0,AVERAGE(BX828,BY828)*$B888*BY3,BX828*$B888*IF(AND($B828&gt;BX4,$B828&lt;=BY4),$B828-BX4,BY3/2))/CC3</f>
      </c>
      <c r="BZ888" s="757">
        <f>IF(BZ828&gt;0,AVERAGE(BY828,BZ828)*$B888*BZ3,BY828*$B888*IF(AND($B828&gt;BY4,$B828&lt;=BZ4),$B828-BY4,BZ3/2))/CC3</f>
      </c>
      <c r="CA888" s="757">
        <f>IF(CA828&gt;0,AVERAGE(BZ828,CA828)*$B888*CA3,BZ828*$B888*IF(AND($B828&gt;BZ4,$B828&lt;=CA4),$B828-BZ4,CA3/2))/CC3</f>
      </c>
      <c r="CB888" s="757">
        <f>IF(CB828&gt;0,AVERAGE(CA828,CB828)*$B888*CB3,CA828*$B888*IF(AND($B828&gt;CA4,$B828&lt;=CB4),$B828-CA4,CB3/2))/CC3</f>
      </c>
      <c r="CC888" s="962">
        <f>SUM(BY888,BZ888,CA888,CB888)</f>
      </c>
      <c r="CD888" s="962">
        <f>IF(CD828&gt;0,AVERAGE(CC828,CD828)*$B888,CC828*$B888*IF(AND($B828&gt;CC4,$B828&lt;=CD4),$B828-CC4,CD3/2)/CD3)</f>
      </c>
      <c r="CE888" s="962">
        <f>IF(CE828&gt;0,AVERAGE(CD828,CE828)*$B888,CD828*$B888*IF(AND($B828&gt;CD4,$B828&lt;=CE4),$B828-CD4,CE3/2)/CE3)</f>
      </c>
      <c r="CF888" s="962">
        <f>IF(CF828&gt;0,AVERAGE(CE828,CF828)*$B888,CE828*$B888*IF(AND($B828&gt;CE4,$B828&lt;=CF4),$B828-CE4,CF3/2)/CF3)</f>
      </c>
      <c r="CG888" s="273"/>
    </row>
    <row r="889" spans="1:85" hidden="1" outlineLevel="2" x14ac:dyDescent="0.3">
      <c r="A889" s="413" t="s">
        <v>890</v>
      </c>
      <c r="B889" s="897">
        <v>3.6249999999999998E-2</v>
      </c>
      <c r="C889" s="962"/>
      <c r="D889" s="962"/>
      <c r="E889" s="962"/>
      <c r="F889" s="962"/>
      <c r="G889" s="757"/>
      <c r="H889" s="757"/>
      <c r="I889" s="757"/>
      <c r="J889" s="757"/>
      <c r="K889" s="962"/>
      <c r="L889" s="757"/>
      <c r="M889" s="757"/>
      <c r="N889" s="757"/>
      <c r="O889" s="757"/>
      <c r="P889" s="962"/>
      <c r="Q889" s="757"/>
      <c r="R889" s="757"/>
      <c r="S889" s="757"/>
      <c r="T889" s="757"/>
      <c r="U889" s="962"/>
      <c r="V889" s="757"/>
      <c r="W889" s="757"/>
      <c r="X889" s="757"/>
      <c r="Y889" s="757"/>
      <c r="Z889" s="962"/>
      <c r="AA889" s="757"/>
      <c r="AB889" s="757"/>
      <c r="AC889" s="757"/>
      <c r="AD889" s="757"/>
      <c r="AE889" s="962"/>
      <c r="AF889" s="757"/>
      <c r="AG889" s="757"/>
      <c r="AH889" s="757"/>
      <c r="AI889" s="757"/>
      <c r="AJ889" s="962"/>
      <c r="AK889" s="757"/>
      <c r="AL889" s="757"/>
      <c r="AM889" s="757"/>
      <c r="AN889" s="757"/>
      <c r="AO889" s="962"/>
      <c r="AP889" s="757">
        <f>IF(AP829&gt;0,AVERAGE(AO829,AP829)*B889*AP$3,AO829*B889*IF(AND(B829&gt;AO$4,B829&lt;=AP$4),B829-AO$4,AP$3/2))/AT$3</f>
      </c>
      <c r="AQ889" s="757">
        <f>IF(AQ829&gt;0,AVERAGE(AP829,AQ829)*B889*AQ3,AP829*B889*IF(AND(B829&gt;AP4,B829&lt;=AQ4),B829-AP4,AQ3/2))/AT3</f>
      </c>
      <c r="AR889" s="757">
        <f>IF(AR829&gt;0,AVERAGE(AQ829,AR829)*B889*AR3,AQ829*B889*IF(AND(B829&gt;AQ4,B829&lt;=AR4),B829-AQ4,AR3/2))/AT3</f>
      </c>
      <c r="AS889" s="757">
        <f>IF(AS829&gt;0,AVERAGE(AR829,AS829)*B889*AS3,AR829*B889*IF(AND(B829&gt;AR4,B829&lt;=AS4),B829-AR4,AS3/2))/AT3</f>
      </c>
      <c r="AT889" s="962">
        <f t="shared" si="1744"/>
      </c>
      <c r="AU889" s="757">
        <f>IF(AU829&gt;0,AVERAGE(AT829,AU829)*B889*AU3,AT829*B889*IF(AND(B829&gt;AT4,B829&lt;=AU4),B829-AT4,AU3/2))/AY3</f>
      </c>
      <c r="AV889" s="757">
        <f>IF(AV829&gt;0,AVERAGE(AU829,AV829)*B889*AV3,AU829*B889*IF(AND(B829&gt;AU4,B829&lt;=AV4),B829-AU4,AV3/2))/AY3</f>
      </c>
      <c r="AW889" s="757">
        <f>IF(AW829&gt;0,AVERAGE(AV829,AW829)*B889*AW3,AV829*B889*IF(AND(B829&gt;AV4,B829&lt;=AW4),B829-AV4,AW3/2))/AY3</f>
      </c>
      <c r="AX889" s="757">
        <f>IF(AX829&gt;0,AVERAGE(AW829,AX829)*B889*AX3,AW829*B889*IF(AND(B829&gt;AW4,B829&lt;=AX4),B829-AW4,AX3/2))/AY3</f>
      </c>
      <c r="AY889" s="962">
        <f t="shared" si="1745"/>
      </c>
      <c r="AZ889" s="757">
        <f>IF(AZ829&gt;0,AVERAGE(AY829,AZ829)*B889*AZ3,AY829*B889*IF(AND(B829&gt;AY4,B829&lt;=AZ4),B829-AY4,AZ3/2))/BD3</f>
      </c>
      <c r="BA889" s="757">
        <f>IF(BA829&gt;0,AVERAGE(AZ829,BA829)*$B889*BA3,AZ829*$B889*IF(AND(B829&gt;AZ4,B829&lt;=BA4),B829-AZ4,BA3/2))/BD3</f>
      </c>
      <c r="BB889" s="757">
        <f>IF(BB829&gt;0,AVERAGE(BA829,BB829)*B889*BB3,BA829*B889*IF(AND(B829&gt;BA4,B829&lt;=BB4),B829-BA4,BB3/2))/BD3</f>
      </c>
      <c r="BC889" s="757">
        <f>IF(BC829&gt;0,AVERAGE(BB829,BC829)*B889*BC3,BB829*B889*IF(AND(B829&gt;BB4,B829&lt;=BC4),B829-BB4,BC3/2))/BD3</f>
      </c>
      <c r="BD889" s="962">
        <f>SUM(AZ889,BA889,BB889,BC889)</f>
      </c>
      <c r="BE889" s="757">
        <f>IF(BE829&gt;0,AVERAGE(BD829,BE829)*$B889*BE$3,BD829*$B889*IF(AND($B829&gt;BD$4,$B829&lt;=BE$4),$B829-BD$4,BE$3/2))/BI$3</f>
      </c>
      <c r="BF889" s="757">
        <f>IF(BF829&gt;0,AVERAGE(BE829,BF829)*$B889*BF3,BE829*$B889*IF(AND($B829&gt;BE4,$B829&lt;=BF4),$B829-BE4,BF3/2))/BI3</f>
      </c>
      <c r="BG889" s="757">
        <f>IF(BG829&gt;0,AVERAGE(BF829,BG829)*$B889*BG3,BF829*$B889*IF(AND($B829&gt;BF4,$B829&lt;=BG4),$B829-BF4,BG3/2))/BI3</f>
      </c>
      <c r="BH889" s="757">
        <f>IF(BH829&gt;0,AVERAGE(BG829,BH829)*$B889*BH3,BG829*$B889*IF(AND($B829&gt;BG4,$B829&lt;=BH4),$B829-BG4,BH3/2))/BI3</f>
      </c>
      <c r="BI889" s="962">
        <f>SUM(BE889,BF889,BG889,BH889)</f>
      </c>
      <c r="BJ889" s="757">
        <f>IF(BJ829&gt;0,AVERAGE(BI829,BJ829)*$B889*BJ$3,BI829*$B889*IF(AND($B829&gt;BI$4,$B829&lt;=BJ$4),$B829-BI$4,BJ$3/2))/BN$3</f>
      </c>
      <c r="BK889" s="757">
        <f>IF(BK829&gt;0,AVERAGE(BJ829,BK829)*$B889*BK3,BJ829*$B889*IF(AND($B829&gt;BJ4,$B829&lt;=BK4),$B829-BJ4,BK3/2))/BN3</f>
      </c>
      <c r="BL889" s="757">
        <f>IF(BL829&gt;0,AVERAGE(BK829,BL829)*$B889*BL3,BK829*$B889*IF(AND($B829&gt;BK4,$B829&lt;=BL4),$B829-BK4,BL3/2))/BN3</f>
      </c>
      <c r="BM889" s="757">
        <f>IF(BM829&gt;0,AVERAGE(BL829,BM829)*$B889*BM3,BL829*$B889*IF(AND($B829&gt;BL4,$B829&lt;=BM4),$B829-BL4,BM3/2))/BN3</f>
      </c>
      <c r="BN889" s="962">
        <f>SUM(BJ889,BK889,BL889,BM889)</f>
      </c>
      <c r="BO889" s="757">
        <f>IF(BO829&gt;0,AVERAGE(BN829,BO829)*$B889*BO$3,BN829*$B889*IF(AND($B829&gt;BN$4,$B829&lt;=BO$4),$B829-BN$4,BO$3/2))/BS$3</f>
      </c>
      <c r="BP889" s="757">
        <f>IF(BP829&gt;0,AVERAGE(BO829,BP829)*$B889*BP3,BO829*$B889*IF(AND($B829&gt;BO4,$B829&lt;=BP4),$B829-BO4,BP3/2))/BS3</f>
      </c>
      <c r="BQ889" s="757">
        <f>IF(BQ829&gt;0,AVERAGE(BP829,BQ829)*$B889*BQ3,BP829*$B889*IF(AND($B829&gt;BP4,$B829&lt;=BQ4),$B829-BP4,BQ3/2))/BS3</f>
      </c>
      <c r="BR889" s="757">
        <f>IF(BR829&gt;0,AVERAGE(BQ829,BR829)*$B889*BR3,BQ829*$B889*IF(AND($B829&gt;BQ4,$B829&lt;=BR4),$B829-BQ4,BR3/2))/BS3</f>
      </c>
      <c r="BS889" s="962">
        <f>SUM(BO889,BP889,BQ889,BR889)</f>
      </c>
      <c r="BT889" s="758">
        <f>IF(BT829&gt;0,AVERAGE(BS829,BT829)*$B889*BT$3,BS829*$B889*IF(AND($B829&gt;BS$4,$B829&lt;=BT$4),$B829-BS$4,BT$3/2))/BX$3</f>
      </c>
      <c r="BU889" s="757">
        <f>IF(BU829&gt;0,AVERAGE(BT829,BU829)*$B889*BU3,BT829*$B889*IF(AND($B829&gt;BT4,$B829&lt;=BU4),$B829-BT4,BU3/2))/BX3</f>
      </c>
      <c r="BV889" s="757">
        <f>IF(BV829&gt;0,AVERAGE(BU829,BV829)*$B889*BV3,BU829*$B889*IF(AND($B829&gt;BU4,$B829&lt;=BV4),$B829-BU4,BV3/2))/BX3</f>
      </c>
      <c r="BW889" s="757">
        <f>IF(BW829&gt;0,AVERAGE(BV829,BW829)*$B889*BW3,BV829*$B889*IF(AND($B829&gt;BV4,$B829&lt;=BW4),$B829-BV4,BW3/2))/BX3</f>
      </c>
      <c r="BX889" s="962">
        <f>SUM(BT889,BU889,BV889,BW889)</f>
      </c>
      <c r="BY889" s="757">
        <f>IF(BY829&gt;0,AVERAGE(BX829,BY829)*$B889*BY3,BX829*$B889*IF(AND($B829&gt;BX4,$B829&lt;=BY4),$B829-BX4,BY3/2))/CC3</f>
      </c>
      <c r="BZ889" s="757">
        <f>IF(BZ829&gt;0,AVERAGE(BY829,BZ829)*$B889*BZ3,BY829*$B889*IF(AND($B829&gt;BY4,$B829&lt;=BZ4),$B829-BY4,BZ3/2))/CC3</f>
      </c>
      <c r="CA889" s="757">
        <f>IF(CA829&gt;0,AVERAGE(BZ829,CA829)*$B889*CA3,BZ829*$B889*IF(AND($B829&gt;BZ4,$B829&lt;=CA4),$B829-BZ4,CA3/2))/CC3</f>
      </c>
      <c r="CB889" s="757">
        <f>IF(CB829&gt;0,AVERAGE(CA829,CB829)*$B889*CB3,CA829*$B889*IF(AND($B829&gt;CA4,$B829&lt;=CB4),$B829-CA4,CB3/2))/CC3</f>
      </c>
      <c r="CC889" s="962">
        <f>SUM(BY889,BZ889,CA889,CB889)</f>
      </c>
      <c r="CD889" s="962">
        <f>IF(CD829&gt;0,AVERAGE(CC829,CD829)*$B889,CC829*$B889*IF(AND($B829&gt;CC4,$B829&lt;=CD4),$B829-CC4,CD3/2)/CD3)</f>
      </c>
      <c r="CE889" s="962">
        <f>IF(CE829&gt;0,AVERAGE(CD829,CE829)*$B889,CD829*$B889*IF(AND($B829&gt;CD4,$B829&lt;=CE4),$B829-CD4,CE3/2)/CE3)</f>
      </c>
      <c r="CF889" s="962">
        <f>IF(CF829&gt;0,AVERAGE(CE829,CF829)*$B889,CE829*$B889*IF(AND($B829&gt;CE4,$B829&lt;=CF4),$B829-CE4,CF3/2)/CF3)</f>
      </c>
      <c r="CG889" s="273"/>
    </row>
    <row r="890" spans="1:85" hidden="1" outlineLevel="1" collapsed="1" x14ac:dyDescent="0.3">
      <c r="A890" s="424" t="s">
        <v>867</v>
      </c>
      <c r="B890" s="897">
        <v>3.6249999999999998E-2</v>
      </c>
      <c r="C890" s="962"/>
      <c r="D890" s="962"/>
      <c r="E890" s="962"/>
      <c r="F890" s="962"/>
      <c r="G890" s="757"/>
      <c r="H890" s="757"/>
      <c r="I890" s="757"/>
      <c r="J890" s="757"/>
      <c r="K890" s="962"/>
      <c r="L890" s="757"/>
      <c r="M890" s="757"/>
      <c r="N890" s="757"/>
      <c r="O890" s="757"/>
      <c r="P890" s="962"/>
      <c r="Q890" s="757"/>
      <c r="R890" s="757"/>
      <c r="S890" s="757"/>
      <c r="T890" s="757"/>
      <c r="U890" s="962"/>
      <c r="V890" s="757"/>
      <c r="W890" s="757"/>
      <c r="X890" s="757"/>
      <c r="Y890" s="757"/>
      <c r="Z890" s="962"/>
      <c r="AA890" s="757"/>
      <c r="AB890" s="757"/>
      <c r="AC890" s="757"/>
      <c r="AD890" s="757"/>
      <c r="AE890" s="962"/>
      <c r="AF890" s="757"/>
      <c r="AG890" s="757"/>
      <c r="AH890" s="757"/>
      <c r="AI890" s="757"/>
      <c r="AJ890" s="962"/>
      <c r="AK890" s="757"/>
      <c r="AL890" s="757"/>
      <c r="AM890" s="757"/>
      <c r="AN890" s="757"/>
      <c r="AO890" s="962"/>
      <c r="AP890" s="757">
        <f t="shared" ref="AP890" si="1814">+AP889/AP$775</f>
      </c>
      <c r="AQ890" s="757">
        <f t="shared" ref="AQ890" si="1815">+AQ889/AQ$775</f>
      </c>
      <c r="AR890" s="757">
        <f t="shared" ref="AR890" si="1816">+AR889/AR$775</f>
      </c>
      <c r="AS890" s="757">
        <f t="shared" ref="AS890" si="1817">+AS889/AS$775</f>
      </c>
      <c r="AT890" s="962">
        <f t="shared" ref="AT890" si="1818">+AT889/AT$775</f>
      </c>
      <c r="AU890" s="757">
        <f t="shared" ref="AU890" si="1819">+AU889/AU$775</f>
      </c>
      <c r="AV890" s="757">
        <f t="shared" ref="AV890" si="1820">+AV889/AV$775</f>
      </c>
      <c r="AW890" s="757">
        <f t="shared" ref="AW890" si="1821">+AW889/AW$775</f>
      </c>
      <c r="AX890" s="757">
        <f t="shared" ref="AX890" si="1822">+AX889/AX$775</f>
      </c>
      <c r="AY890" s="962">
        <f t="shared" ref="AY890" si="1823">+AY889/AY$775</f>
      </c>
      <c r="AZ890" s="757">
        <f t="shared" ref="AZ890" si="1824">+AZ889/AZ$775</f>
      </c>
      <c r="BA890" s="757">
        <f t="shared" ref="BA890" si="1825">+BA889/BA$775</f>
      </c>
      <c r="BB890" s="757">
        <f>+BB889/BB$775</f>
      </c>
      <c r="BC890" s="757">
        <f t="shared" ref="BC890" si="1826">+BC889/BC$775</f>
      </c>
      <c r="BD890" s="962">
        <f t="shared" ref="BD890:BN890" si="1827">+BD889/BD$775</f>
      </c>
      <c r="BE890" s="757">
        <f t="shared" si="1827"/>
      </c>
      <c r="BF890" s="757">
        <f t="shared" si="1827"/>
      </c>
      <c r="BG890" s="757">
        <f t="shared" si="1827"/>
      </c>
      <c r="BH890" s="757">
        <f t="shared" si="1827"/>
      </c>
      <c r="BI890" s="962">
        <f t="shared" si="1827"/>
      </c>
      <c r="BJ890" s="757">
        <f t="shared" si="1827"/>
      </c>
      <c r="BK890" s="757">
        <f t="shared" si="1827"/>
      </c>
      <c r="BL890" s="757">
        <f t="shared" si="1827"/>
      </c>
      <c r="BM890" s="757">
        <f t="shared" si="1827"/>
      </c>
      <c r="BN890" s="962">
        <f t="shared" si="1827"/>
      </c>
      <c r="BO890" s="757">
        <f>+BO889/BO$775</f>
      </c>
      <c r="BP890" s="757">
        <f>+BP889/BP$775</f>
      </c>
      <c r="BQ890" s="757">
        <f t="shared" ref="BQ890:BS890" si="1828">+BQ889/BQ$775</f>
      </c>
      <c r="BR890" s="757">
        <f t="shared" si="1828"/>
      </c>
      <c r="BS890" s="962">
        <f t="shared" si="1828"/>
      </c>
      <c r="BT890" s="758">
        <f>+BT889/BT$775</f>
      </c>
      <c r="BU890" s="757">
        <f>+BU889/BU$775</f>
      </c>
      <c r="BV890" s="757">
        <f>+BV889/BV$775</f>
      </c>
      <c r="BW890" s="757">
        <f>+BW889/BW$775</f>
      </c>
      <c r="BX890" s="962">
        <f t="shared" ref="BX890" si="1829">+BX889/BX$775</f>
      </c>
      <c r="BY890" s="757">
        <f t="shared" ref="BY890:CF890" si="1830">+BY889/BY$775</f>
      </c>
      <c r="BZ890" s="757">
        <f t="shared" si="1830"/>
      </c>
      <c r="CA890" s="757">
        <f t="shared" si="1830"/>
      </c>
      <c r="CB890" s="757">
        <f t="shared" si="1830"/>
      </c>
      <c r="CC890" s="962">
        <f t="shared" si="1830"/>
      </c>
      <c r="CD890" s="962">
        <f t="shared" si="1830"/>
      </c>
      <c r="CE890" s="962">
        <f t="shared" si="1830"/>
      </c>
      <c r="CF890" s="962">
        <f t="shared" si="1830"/>
      </c>
      <c r="CG890" s="273"/>
    </row>
    <row r="891" spans="1:85" hidden="1" outlineLevel="1" x14ac:dyDescent="0.3">
      <c r="A891" s="424" t="s">
        <v>839</v>
      </c>
      <c r="B891" s="897">
        <v>4.8750000000000002E-2</v>
      </c>
      <c r="C891" s="962"/>
      <c r="D891" s="962"/>
      <c r="E891" s="962"/>
      <c r="F891" s="962"/>
      <c r="G891" s="757"/>
      <c r="H891" s="757"/>
      <c r="I891" s="757"/>
      <c r="J891" s="757"/>
      <c r="K891" s="962"/>
      <c r="L891" s="757"/>
      <c r="M891" s="757"/>
      <c r="N891" s="757"/>
      <c r="O891" s="757"/>
      <c r="P891" s="962"/>
      <c r="Q891" s="757"/>
      <c r="R891" s="757"/>
      <c r="S891" s="757"/>
      <c r="T891" s="757"/>
      <c r="U891" s="962"/>
      <c r="V891" s="757"/>
      <c r="W891" s="757"/>
      <c r="X891" s="757"/>
      <c r="Y891" s="757"/>
      <c r="Z891" s="962"/>
      <c r="AA891" s="757"/>
      <c r="AB891" s="757"/>
      <c r="AC891" s="757"/>
      <c r="AD891" s="757"/>
      <c r="AE891" s="962"/>
      <c r="AF891" s="757"/>
      <c r="AG891" s="757"/>
      <c r="AH891" s="757"/>
      <c r="AI891" s="757"/>
      <c r="AJ891" s="962"/>
      <c r="AK891" s="757"/>
      <c r="AL891" s="757"/>
      <c r="AM891" s="757"/>
      <c r="AN891" s="757"/>
      <c r="AO891" s="962"/>
      <c r="AP891" s="757">
        <f>IF(AP831&gt;0,AVERAGE(AO831,AP831)*B891*AP$3,AO831*B891*IF(AND(B831&gt;AO$4,B831&lt;=AP$4),B831-AO$4,AP$3/2))/AT$3</f>
      </c>
      <c r="AQ891" s="757">
        <f>IF(AQ831&gt;0,AVERAGE(AP831,AQ831)*B891*AQ3,AP831*B891*IF(AND(B831&gt;AP4,B831&lt;=AQ4),B831-AP4,AQ3/2))/AT3</f>
      </c>
      <c r="AR891" s="757">
        <f>IF(AR831&gt;0,AVERAGE(AQ831,AR831)*B891*AR3,AQ831*B891*IF(AND(B831&gt;AQ4,B831&lt;=AR4),B831-AQ4,AR3/2))/AT3</f>
      </c>
      <c r="AS891" s="757">
        <f>IF(AS831&gt;0,AVERAGE(AR831,AS831)*B891*AS3,AR831*B891*IF(AND(B831&gt;AR4,B831&lt;=AS4),B831-AR4,AS3/2))/AT3</f>
      </c>
      <c r="AT891" s="962">
        <f t="shared" si="1744"/>
      </c>
      <c r="AU891" s="757">
        <f>IF(AU831&gt;0,AVERAGE(AT831,AU831)*B891*AU3,AT831*B891*IF(AND(B831&gt;AT4,B831&lt;=AU4),B831-AT4,AU3/2))/AY3</f>
      </c>
      <c r="AV891" s="757">
        <f>IF(AV831&gt;0,AVERAGE(AU831,AV831)*B891*AV3,AU831*B891*IF(AND(B831&gt;AU4,B831&lt;=AV4),B831-AU4,AV3/2))/AY3</f>
      </c>
      <c r="AW891" s="757">
        <f>IF(AW831&gt;0,AVERAGE(AV831,AW831)*B891*AW3,AV831*B891*IF(AND(B831&gt;AV4,B831&lt;=AW4),B831-AV4,AW3/2))/AY3</f>
      </c>
      <c r="AX891" s="757">
        <f>IF(AX831&gt;0,AVERAGE(AW831,AX831)*B891*AX3,AW831*B891*IF(AND(B831&gt;AW4,B831&lt;=AX4),B831-AW4,AX3/2))/AY3</f>
      </c>
      <c r="AY891" s="962">
        <f t="shared" si="1745"/>
      </c>
      <c r="AZ891" s="757">
        <f>IF(AZ831&gt;0,AVERAGE(AY831,AZ831)*B891*AZ3,AY831*B891*IF(AND(B831&gt;AY4,B831&lt;=AZ4),B831-AY4,AZ3/2))/BD3</f>
      </c>
      <c r="BA891" s="757">
        <f>IF(BA831&gt;0,AVERAGE(AZ831,BA831)*$B891*BA3,AZ831*$B891*IF(AND(B831&gt;AZ4,B831&lt;=BA4),B831-AZ4,BA3/2))/BD3</f>
      </c>
      <c r="BB891" s="757">
        <f>IF(BB831&gt;0,AVERAGE(BA831,BB831)*B891*BB3,BA831*B891*IF(AND(B831&gt;BA4,B831&lt;=BB4),B831-BA4,BB3/2))/BD3</f>
      </c>
      <c r="BC891" s="757">
        <f>IF(BC831&gt;0,AVERAGE(BB831,BC831)*B891*BC3,BB831*B891*IF(AND(B831&gt;BB4,B831&lt;=BC4),B831-BB4,BC3/2))/BD3</f>
      </c>
      <c r="BD891" s="962">
        <f>SUM(AZ891,BA891,BB891,BC891)</f>
      </c>
      <c r="BE891" s="757">
        <f>IF(BE831&gt;0,AVERAGE(BD831,BE831)*$B891*BE$3,BD831*$B891*IF(AND($B831&gt;BD$4,$B831&lt;=BE$4),$B831-BD$4,BE$3/2))/BI$3</f>
      </c>
      <c r="BF891" s="757">
        <f>IF(BF831&gt;0,AVERAGE(BE831,BF831)*$B891*BF3,BE831*$B891*IF(AND($B831&gt;BE4,$B831&lt;=BF4),$B831-BE4,BF3/2))/BI3</f>
      </c>
      <c r="BG891" s="757">
        <f>IF(BG831&gt;0,AVERAGE(BF831,BG831)*$B891*BG3,BF831*$B891*IF(AND($B831&gt;BF4,$B831&lt;=BG4),$B831-BF4,BG3/2))/BI3</f>
      </c>
      <c r="BH891" s="757">
        <f>IF(BH831&gt;0,AVERAGE(BG831,BH831)*$B891*BH3,BG831*$B891*IF(AND($B831&gt;BG4,$B831&lt;=BH4),$B831-BG4,BH3/2))/BI3</f>
      </c>
      <c r="BI891" s="962">
        <f>SUM(BE891,BF891,BG891,BH891)</f>
      </c>
      <c r="BJ891" s="757">
        <f>IF(BJ831&gt;0,AVERAGE(BI831,BJ831)*$B891*BJ$3,BI831*$B891*IF(AND($B831&gt;BI$4,$B831&lt;=BJ$4),$B831-BI$4,BJ$3/2))/BN$3</f>
      </c>
      <c r="BK891" s="757">
        <f>IF(BK831&gt;0,AVERAGE(BJ831,BK831)*$B891*BK3,BJ831*$B891*IF(AND($B831&gt;BJ4,$B831&lt;=BK4),$B831-BJ4,BK3/2))/BN3</f>
      </c>
      <c r="BL891" s="757">
        <f>IF(BL831&gt;0,AVERAGE(BK831,BL831)*$B891*BL3,BK831*$B891*IF(AND($B831&gt;BK4,$B831&lt;=BL4),$B831-BK4,BL3/2))/BN3</f>
      </c>
      <c r="BM891" s="757">
        <f>IF(BM831&gt;0,AVERAGE(BL831,BM831)*$B891*BM3,BL831*$B891*IF(AND($B831&gt;BL4,$B831&lt;=BM4),$B831-BL4,BM3/2))/BN3</f>
      </c>
      <c r="BN891" s="962">
        <f>SUM(BJ891,BK891,BL891,BM891)</f>
      </c>
      <c r="BO891" s="757">
        <f>IF(BO831&gt;0,AVERAGE(BN831,BO831)*$B891*BO$3,BN831*$B891*IF(AND($B831&gt;BN$4,$B831&lt;=BO$4),$B831-BN$4,BO$3/2))/BS$3</f>
      </c>
      <c r="BP891" s="757">
        <f>IF(BP831&gt;0,AVERAGE(BO831,BP831)*$B891*BP3,BO831*$B891*IF(AND($B831&gt;BO4,$B831&lt;=BP4),$B831-BO4,BP3/2))/BS3</f>
      </c>
      <c r="BQ891" s="757">
        <f>IF(BQ831&gt;0,AVERAGE(BP831,BQ831)*$B891*BQ3,BP831*$B891*IF(AND($B831&gt;BP4,$B831&lt;=BQ4),$B831-BP4,BQ3/2))/BS3</f>
      </c>
      <c r="BR891" s="757">
        <f>IF(BR831&gt;0,AVERAGE(BQ831,BR831)*$B891*BR3,BQ831*$B891*IF(AND($B831&gt;BQ4,$B831&lt;=BR4),$B831-BQ4,BR3/2))/BS3</f>
      </c>
      <c r="BS891" s="962">
        <f>SUM(BO891,BP891,BQ891,BR891)</f>
      </c>
      <c r="BT891" s="758">
        <f>IF(BT831&gt;0,AVERAGE(BS831,BT831)*$B891*BT$3,BS831*$B891*IF(AND($B831&gt;BS$4,$B831&lt;=BT$4),$B831-BS$4,BT$3/2))/BX$3</f>
      </c>
      <c r="BU891" s="757">
        <f>IF(BU831&gt;0,AVERAGE(BT831,BU831)*$B891*BU3,BT831*$B891*IF(AND($B831&gt;BT4,$B831&lt;=BU4),$B831-BT4,BU3/2))/BX3</f>
      </c>
      <c r="BV891" s="757">
        <f>IF(BV831&gt;0,AVERAGE(BU831,BV831)*$B891*BV3,BU831*$B891*IF(AND($B831&gt;BU4,$B831&lt;=BV4),$B831-BU4,BV3/2))/BX3</f>
      </c>
      <c r="BW891" s="757">
        <f>IF(BW831&gt;0,AVERAGE(BV831,BW831)*$B891*BW3,BV831*$B891*IF(AND($B831&gt;BV4,$B831&lt;=BW4),$B831-BV4,BW3/2))/BX3</f>
      </c>
      <c r="BX891" s="962">
        <f>SUM(BT891,BU891,BV891,BW891)</f>
      </c>
      <c r="BY891" s="757">
        <f>IF(BY831&gt;0,AVERAGE(BX831,BY831)*$B891*BY3,BX831*$B891*IF(AND($B831&gt;BX4,$B831&lt;=BY4),$B831-BX4,BY3/2))/CC3</f>
      </c>
      <c r="BZ891" s="757">
        <f>IF(BZ831&gt;0,AVERAGE(BY831,BZ831)*$B891*BZ3,BY831*$B891*IF(AND($B831&gt;BY4,$B831&lt;=BZ4),$B831-BY4,BZ3/2))/CC3</f>
      </c>
      <c r="CA891" s="757">
        <f>IF(CA831&gt;0,AVERAGE(BZ831,CA831)*$B891*CA3,BZ831*$B891*IF(AND($B831&gt;BZ4,$B831&lt;=CA4),$B831-BZ4,CA3/2))/CC3</f>
      </c>
      <c r="CB891" s="757">
        <f>IF(CB831&gt;0,AVERAGE(CA831,CB831)*$B891*CB3,CA831*$B891*IF(AND($B831&gt;CA4,$B831&lt;=CB4),$B831-CA4,CB3/2))/CC3</f>
      </c>
      <c r="CC891" s="962">
        <f>SUM(BY891,BZ891,CA891,CB891)</f>
      </c>
      <c r="CD891" s="962">
        <f>IF(CD831&gt;0,AVERAGE(CC831,CD831)*$B891,CC831*$B891*IF(AND($B831&gt;CC4,$B831&lt;=CD4),$B831-CC4,CD3/2)/CD3)</f>
      </c>
      <c r="CE891" s="962">
        <f>IF(CE831&gt;0,AVERAGE(CD831,CE831)*$B891,CD831*$B891*IF(AND($B831&gt;CD4,$B831&lt;=CE4),$B831-CD4,CE3/2)/CE3)</f>
      </c>
      <c r="CF891" s="962">
        <f>IF(CF831&gt;0,AVERAGE(CE831,CF831)*$B891,CE831*$B891*IF(AND($B831&gt;CE4,$B831&lt;=CF4),$B831-CE4,CF3/2)/CF3)</f>
      </c>
      <c r="CG891" s="273"/>
    </row>
    <row r="892" spans="1:85" hidden="1" outlineLevel="1" x14ac:dyDescent="0.3">
      <c r="A892" s="424" t="s">
        <v>2194</v>
      </c>
      <c r="B892" s="897">
        <v>4.9000000000000002E-2</v>
      </c>
      <c r="C892" s="962"/>
      <c r="D892" s="962"/>
      <c r="E892" s="962"/>
      <c r="F892" s="962"/>
      <c r="G892" s="757"/>
      <c r="H892" s="757"/>
      <c r="I892" s="757"/>
      <c r="J892" s="757"/>
      <c r="K892" s="962"/>
      <c r="L892" s="757"/>
      <c r="M892" s="757"/>
      <c r="N892" s="757"/>
      <c r="O892" s="757"/>
      <c r="P892" s="962"/>
      <c r="Q892" s="757"/>
      <c r="R892" s="757"/>
      <c r="S892" s="757"/>
      <c r="T892" s="757"/>
      <c r="U892" s="962"/>
      <c r="V892" s="757"/>
      <c r="W892" s="757"/>
      <c r="X892" s="757"/>
      <c r="Y892" s="757"/>
      <c r="Z892" s="962"/>
      <c r="AA892" s="757"/>
      <c r="AB892" s="757"/>
      <c r="AC892" s="757"/>
      <c r="AD892" s="757"/>
      <c r="AE892" s="962"/>
      <c r="AF892" s="757"/>
      <c r="AG892" s="757"/>
      <c r="AH892" s="757"/>
      <c r="AI892" s="757"/>
      <c r="AJ892" s="962"/>
      <c r="AK892" s="757"/>
      <c r="AL892" s="757"/>
      <c r="AM892" s="757"/>
      <c r="AN892" s="757"/>
      <c r="AO892" s="962"/>
      <c r="AP892" s="757"/>
      <c r="AQ892" s="757"/>
      <c r="AR892" s="757"/>
      <c r="AS892" s="757"/>
      <c r="AT892" s="962"/>
      <c r="AU892" s="757"/>
      <c r="AV892" s="757"/>
      <c r="AW892" s="757"/>
      <c r="AX892" s="757"/>
      <c r="AY892" s="962"/>
      <c r="AZ892" s="757"/>
      <c r="BA892" s="757"/>
      <c r="BB892" s="757"/>
      <c r="BC892" s="757"/>
      <c r="BD892" s="962"/>
      <c r="BE892" s="757"/>
      <c r="BF892" s="757"/>
      <c r="BG892" s="757"/>
      <c r="BH892" s="757"/>
      <c r="BI892" s="962"/>
      <c r="BJ892" s="757"/>
      <c r="BK892" s="757"/>
      <c r="BL892" s="757">
        <f>IF(AND(IF(ISBLANK($B863),$B832,$B863)&gt;BK$4,IF(ISBLANK($B863),$B832,$B863)&lt;=BL$4),BK832*(IF(ISBLANK($B863),$B832,$B863)-BK$4),IF(AND($B923&gt;BK$4,$B923&lt;=BL$4),BL832*(BL$4-$B923),AVERAGE(BK832,BL832)*BL$3))/BN$3*$B892</f>
      </c>
      <c r="BM892" s="757">
        <f>IF(AND(IF(ISBLANK($B863),$B832,$B863)&gt;BL$4,IF(ISBLANK($B863),$B832,$B863)&lt;=BM$4),BL832*(IF(ISBLANK($B863),$B832,$B863)-BL$4),IF(AND($B923&gt;BL$4,$B923&lt;=BM$4),BM832*(BM$4-$B923),AVERAGE(BL832,BM832)*BM$3))/BN$3*$B892</f>
      </c>
      <c r="BN892" s="962">
        <f t="shared" ref="BN892:BN893" si="1831">SUM(BJ892,BK892,BL892,BM892)</f>
      </c>
      <c r="BO892" s="757">
        <f>IF(AND(IF(ISBLANK($B863),$B832,$B863)&gt;BN$4,IF(ISBLANK($B863),$B832,$B863)&lt;=BO$4),BN832*(IF(ISBLANK($B863),$B832,$B863)-BN$4),IF(AND($B923&gt;BN$4,$B923&lt;=BO$4),BO832*(BO$4-$B923),AVERAGE(BN832,BO832)*BO$3))/BS$3*$B892</f>
      </c>
      <c r="BP892" s="757">
        <f>IF(AND(IF(ISBLANK($B863),$B832,$B863)&gt;BO$4,IF(ISBLANK($B863),$B832,$B863)&lt;=BP$4),BO832*(IF(ISBLANK($B863),$B832,$B863)-BO$4),IF(AND($B923&gt;BO$4,$B923&lt;=BP$4),BP832*(BP$4-$B923),AVERAGE(BO832,BP832)*BP$3))/BS$3*$B892</f>
      </c>
      <c r="BQ892" s="757">
        <f>IF(AND(IF(ISBLANK($B863),$B832,$B863)&gt;BP$4,IF(ISBLANK($B863),$B832,$B863)&lt;=BQ$4),BP832*(IF(ISBLANK($B863),$B832,$B863)-BP$4),IF(AND($B923&gt;BP$4,$B923&lt;=BQ$4),BQ832*(BQ$4-$B923),AVERAGE(BP832,BQ832)*BQ$3))/BS$3*$B892</f>
      </c>
      <c r="BR892" s="757">
        <f>IF(AND(IF(ISBLANK($B863),$B832,$B863)&gt;BQ$4,IF(ISBLANK($B863),$B832,$B863)&lt;=BR$4),BQ832*(IF(ISBLANK($B863),$B832,$B863)-BQ$4),IF(AND($B923&gt;BQ$4,$B923&lt;=BR$4),BR832*(BR$4-$B923),AVERAGE(BQ832,BR832)*BR$3))/BS$3*$B892</f>
      </c>
      <c r="BS892" s="962">
        <f t="shared" ref="BS892:BS893" si="1832">SUM(BO892,BP892,BQ892,BR892)</f>
      </c>
      <c r="BT892" s="758">
        <f>IF(AND(IF(ISBLANK($B863),$B832,$B863)&gt;BS$4,IF(ISBLANK($B863),$B832,$B863)&lt;=BT$4),BS832*(IF(ISBLANK($B863),$B832,$B863)-BS$4),IF(AND($B923&gt;BS$4,$B923&lt;=BT$4),BT832*(BT$4-$B923),AVERAGE(BS832,BT832)*BT$3))/BX$3*$B892</f>
      </c>
      <c r="BU892" s="757">
        <f>IF(AND(IF(ISBLANK($B863),$B832,$B863)&gt;BT$4,IF(ISBLANK($B863),$B832,$B863)&lt;=BU$4),BT832*(IF(ISBLANK($B863),$B832,$B863)-BT$4),IF(AND($B923&gt;BT$4,$B923&lt;=BU$4),BU832*(BU$4-$B923),AVERAGE(BT832,BU832)*BU$3))/BX$3*$B892</f>
      </c>
      <c r="BV892" s="757">
        <f>IF(AND(IF(ISBLANK($B863),$B832,$B863)&gt;BU$4,IF(ISBLANK($B863),$B832,$B863)&lt;=BV$4),BU832*(IF(ISBLANK($B863),$B832,$B863)-BU$4),IF(AND($B923&gt;BU$4,$B923&lt;=BV$4),BV832*(BV$4-$B923),AVERAGE(BU832,BV832)*BV$3))/BX$3*$B892</f>
      </c>
      <c r="BW892" s="757">
        <f>IF(AND(IF(ISBLANK($B863),$B832,$B863)&gt;BV$4,IF(ISBLANK($B863),$B832,$B863)&lt;=BW$4),BV832*(IF(ISBLANK($B863),$B832,$B863)-BV$4),IF(AND($B923&gt;BV$4,$B923&lt;=BW$4),BW832*(BW$4-$B923),AVERAGE(BV832,BW832)*BW$3))/BX$3*$B892</f>
      </c>
      <c r="BX892" s="962">
        <f>SUM(BT892,BU892,BV892,BW892)</f>
      </c>
      <c r="BY892" s="757">
        <f>IF(AND(IF(ISBLANK($B863),$B832,$B863)&gt;BX$4,IF(ISBLANK($B863),$B832,$B863)&lt;=BY$4),BX832*(IF(ISBLANK($B863),$B832,$B863)-BX$4),IF(AND($B923&gt;BX$4,$B923&lt;=BY$4),BY832*(BY$4-$B923),AVERAGE(BX832,BY832)*BY$3))/CC$3*$B892</f>
      </c>
      <c r="BZ892" s="757">
        <f>IF(AND(IF(ISBLANK($B863),$B832,$B863)&gt;BY$4,IF(ISBLANK($B863),$B832,$B863)&lt;=BZ$4),BY832*(IF(ISBLANK($B863),$B832,$B863)-BY$4),IF(AND($B923&gt;BY$4,$B923&lt;=BZ$4),BZ832*(BZ$4-$B923),AVERAGE(BY832,BZ832)*BZ$3))/CC$3*$B892</f>
      </c>
      <c r="CA892" s="757">
        <f>IF(AND(IF(ISBLANK($B863),$B832,$B863)&gt;BZ$4,IF(ISBLANK($B863),$B832,$B863)&lt;=CA$4),BZ832*(IF(ISBLANK($B863),$B832,$B863)-BZ$4),IF(AND($B923&gt;BZ$4,$B923&lt;=CA$4),CA832*(CA$4-$B923),AVERAGE(BZ832,CA832)*CA$3))/CC$3*$B892</f>
      </c>
      <c r="CB892" s="757">
        <f>IF(AND(IF(ISBLANK($B863),$B832,$B863)&gt;CA$4,IF(ISBLANK($B863),$B832,$B863)&lt;=CB$4),CA832*(IF(ISBLANK($B863),$B832,$B863)-CA$4),IF(AND($B923&gt;CA$4,$B923&lt;=CB$4),CB832*(CB$4-$B923),AVERAGE(CA832,CB832)*CB$3))/CC$3*$B892</f>
      </c>
      <c r="CC892" s="962">
        <f>SUM(BY892,BZ892,CA892,CB892)</f>
      </c>
      <c r="CD892" s="962">
        <f t="shared" ref="CD892:CF893" si="1833">IF(AND(IF(ISBLANK($B863),$B832,$B863)&gt;CC$4,IF(ISBLANK($B863),$B832,$B863)&lt;=CD$4),CC832*(IF(ISBLANK($B863),$B832,$B863)-CC$4),IF(AND($B923&gt;CC$4,$B923&lt;=CD$4),CD832*(CD$4-$B923),AVERAGE(CC832,CD832)*CD$3))/CD$3*$B892</f>
      </c>
      <c r="CE892" s="962">
        <f t="shared" si="1833"/>
      </c>
      <c r="CF892" s="962">
        <f t="shared" si="1833"/>
      </c>
      <c r="CG892" s="273"/>
    </row>
    <row r="893" spans="1:85" hidden="1" outlineLevel="1" x14ac:dyDescent="0.3">
      <c r="A893" s="424" t="s">
        <v>2199</v>
      </c>
      <c r="B893" s="897">
        <v>5.3999999999999999E-2</v>
      </c>
      <c r="C893" s="962"/>
      <c r="D893" s="962"/>
      <c r="E893" s="962"/>
      <c r="F893" s="962"/>
      <c r="G893" s="757"/>
      <c r="H893" s="757"/>
      <c r="I893" s="757"/>
      <c r="J893" s="757"/>
      <c r="K893" s="962"/>
      <c r="L893" s="757"/>
      <c r="M893" s="757"/>
      <c r="N893" s="757"/>
      <c r="O893" s="757"/>
      <c r="P893" s="962"/>
      <c r="Q893" s="757"/>
      <c r="R893" s="757"/>
      <c r="S893" s="757"/>
      <c r="T893" s="757"/>
      <c r="U893" s="962"/>
      <c r="V893" s="757"/>
      <c r="W893" s="757"/>
      <c r="X893" s="757"/>
      <c r="Y893" s="757"/>
      <c r="Z893" s="962"/>
      <c r="AA893" s="757"/>
      <c r="AB893" s="757"/>
      <c r="AC893" s="757"/>
      <c r="AD893" s="757"/>
      <c r="AE893" s="962"/>
      <c r="AF893" s="757"/>
      <c r="AG893" s="757"/>
      <c r="AH893" s="757"/>
      <c r="AI893" s="757"/>
      <c r="AJ893" s="962"/>
      <c r="AK893" s="757"/>
      <c r="AL893" s="757"/>
      <c r="AM893" s="757"/>
      <c r="AN893" s="757"/>
      <c r="AO893" s="962"/>
      <c r="AP893" s="757"/>
      <c r="AQ893" s="757"/>
      <c r="AR893" s="757"/>
      <c r="AS893" s="757"/>
      <c r="AT893" s="962"/>
      <c r="AU893" s="757"/>
      <c r="AV893" s="757"/>
      <c r="AW893" s="757"/>
      <c r="AX893" s="757"/>
      <c r="AY893" s="962"/>
      <c r="AZ893" s="757"/>
      <c r="BA893" s="757"/>
      <c r="BB893" s="757"/>
      <c r="BC893" s="757"/>
      <c r="BD893" s="962"/>
      <c r="BE893" s="757"/>
      <c r="BF893" s="757"/>
      <c r="BG893" s="757"/>
      <c r="BH893" s="757"/>
      <c r="BI893" s="962"/>
      <c r="BJ893" s="757"/>
      <c r="BK893" s="757"/>
      <c r="BL893" s="757">
        <f>IF(AND(IF(ISBLANK($B864),$B833,$B864)&gt;BK$4,IF(ISBLANK($B864),$B833,$B864)&lt;=BL$4),BK833*(IF(ISBLANK($B864),$B833,$B864)-BK$4),IF(AND($B924&gt;BK$4,$B924&lt;=BL$4),BL833*(BL$4-$B924),AVERAGE(BK833,BL833)*BL$3))/BN$3*$B893</f>
      </c>
      <c r="BM893" s="757">
        <f>IF(AND(IF(ISBLANK($B864),$B833,$B864)&gt;BL$4,IF(ISBLANK($B864),$B833,$B864)&lt;=BM$4),BL833*(IF(ISBLANK($B864),$B833,$B864)-BL$4),IF(AND($B924&gt;BL$4,$B924&lt;=BM$4),BM833*(BM$4-$B924),AVERAGE(BL833,BM833)*BM$3))/BN$3*$B893</f>
      </c>
      <c r="BN893" s="962">
        <f t="shared" si="1831"/>
      </c>
      <c r="BO893" s="757">
        <f>IF(AND(IF(ISBLANK($B864),$B833,$B864)&gt;BN$4,IF(ISBLANK($B864),$B833,$B864)&lt;=BO$4),BN833*(IF(ISBLANK($B864),$B833,$B864)-BN$4),IF(AND($B924&gt;BN$4,$B924&lt;=BO$4),BO833*(BO$4-$B924),AVERAGE(BN833,BO833)*BO$3))/BS$3*$B893</f>
      </c>
      <c r="BP893" s="757">
        <f>IF(AND(IF(ISBLANK($B864),$B833,$B864)&gt;BO$4,IF(ISBLANK($B864),$B833,$B864)&lt;=BP$4),BO833*(IF(ISBLANK($B864),$B833,$B864)-BO$4),IF(AND($B924&gt;BO$4,$B924&lt;=BP$4),BP833*(BP$4-$B924),AVERAGE(BO833,BP833)*BP$3))/BS$3*$B893</f>
      </c>
      <c r="BQ893" s="757">
        <f>IF(AND(IF(ISBLANK($B864),$B833,$B864)&gt;BP$4,IF(ISBLANK($B864),$B833,$B864)&lt;=BQ$4),BP833*(IF(ISBLANK($B864),$B833,$B864)-BP$4),IF(AND($B924&gt;BP$4,$B924&lt;=BQ$4),BQ833*(BQ$4-$B924),AVERAGE(BP833,BQ833)*BQ$3))/BS$3*$B893</f>
      </c>
      <c r="BR893" s="757">
        <f>IF(AND(IF(ISBLANK($B864),$B833,$B864)&gt;BQ$4,IF(ISBLANK($B864),$B833,$B864)&lt;=BR$4),BQ833*(IF(ISBLANK($B864),$B833,$B864)-BQ$4),IF(AND($B924&gt;BQ$4,$B924&lt;=BR$4),BR833*(BR$4-$B924),AVERAGE(BQ833,BR833)*BR$3))/BS$3*$B893</f>
      </c>
      <c r="BS893" s="962">
        <f t="shared" si="1832"/>
      </c>
      <c r="BT893" s="758">
        <f>IF(AND(IF(ISBLANK($B864),$B833,$B864)&gt;BS$4,IF(ISBLANK($B864),$B833,$B864)&lt;=BT$4),BS833*(IF(ISBLANK($B864),$B833,$B864)-BS$4),IF(AND($B924&gt;BS$4,$B924&lt;=BT$4),BT833*(BT$4-$B924),AVERAGE(BS833,BT833)*BT$3))/BX$3*$B893</f>
      </c>
      <c r="BU893" s="757">
        <f>IF(AND(IF(ISBLANK($B864),$B833,$B864)&gt;BT$4,IF(ISBLANK($B864),$B833,$B864)&lt;=BU$4),BT833*(IF(ISBLANK($B864),$B833,$B864)-BT$4),IF(AND($B924&gt;BT$4,$B924&lt;=BU$4),BU833*(BU$4-$B924),AVERAGE(BT833,BU833)*BU$3))/BX$3*$B893</f>
      </c>
      <c r="BV893" s="757">
        <f>IF(AND(IF(ISBLANK($B864),$B833,$B864)&gt;BU$4,IF(ISBLANK($B864),$B833,$B864)&lt;=BV$4),BU833*(IF(ISBLANK($B864),$B833,$B864)-BU$4),IF(AND($B924&gt;BU$4,$B924&lt;=BV$4),BV833*(BV$4-$B924),AVERAGE(BU833,BV833)*BV$3))/BX$3*$B893</f>
      </c>
      <c r="BW893" s="757">
        <f>IF(AND(IF(ISBLANK($B864),$B833,$B864)&gt;BV$4,IF(ISBLANK($B864),$B833,$B864)&lt;=BW$4),BV833*(IF(ISBLANK($B864),$B833,$B864)-BV$4),IF(AND($B924&gt;BV$4,$B924&lt;=BW$4),BW833*(BW$4-$B924),AVERAGE(BV833,BW833)*BW$3))/BX$3*$B893</f>
      </c>
      <c r="BX893" s="962">
        <f>SUM(BT893,BU893,BV893,BW893)</f>
      </c>
      <c r="BY893" s="757">
        <f>IF(AND(IF(ISBLANK($B864),$B833,$B864)&gt;BX$4,IF(ISBLANK($B864),$B833,$B864)&lt;=BY$4),BX833*(IF(ISBLANK($B864),$B833,$B864)-BX$4),IF(AND($B924&gt;BX$4,$B924&lt;=BY$4),BY833*(BY$4-$B924),AVERAGE(BX833,BY833)*BY$3))/CC$3*$B893</f>
      </c>
      <c r="BZ893" s="757">
        <f>IF(AND(IF(ISBLANK($B864),$B833,$B864)&gt;BY$4,IF(ISBLANK($B864),$B833,$B864)&lt;=BZ$4),BY833*(IF(ISBLANK($B864),$B833,$B864)-BY$4),IF(AND($B924&gt;BY$4,$B924&lt;=BZ$4),BZ833*(BZ$4-$B924),AVERAGE(BY833,BZ833)*BZ$3))/CC$3*$B893</f>
      </c>
      <c r="CA893" s="757">
        <f>IF(AND(IF(ISBLANK($B864),$B833,$B864)&gt;BZ$4,IF(ISBLANK($B864),$B833,$B864)&lt;=CA$4),BZ833*(IF(ISBLANK($B864),$B833,$B864)-BZ$4),IF(AND($B924&gt;BZ$4,$B924&lt;=CA$4),CA833*(CA$4-$B924),AVERAGE(BZ833,CA833)*CA$3))/CC$3*$B893</f>
      </c>
      <c r="CB893" s="757">
        <f>IF(AND(IF(ISBLANK($B864),$B833,$B864)&gt;CA$4,IF(ISBLANK($B864),$B833,$B864)&lt;=CB$4),CA833*(IF(ISBLANK($B864),$B833,$B864)-CA$4),IF(AND($B924&gt;CA$4,$B924&lt;=CB$4),CB833*(CB$4-$B924),AVERAGE(CA833,CB833)*CB$3))/CC$3*$B893</f>
      </c>
      <c r="CC893" s="962">
        <f>SUM(BY893,BZ893,CA893,CB893)</f>
      </c>
      <c r="CD893" s="962">
        <f t="shared" si="1833"/>
      </c>
      <c r="CE893" s="962">
        <f t="shared" si="1833"/>
      </c>
      <c r="CF893" s="962">
        <f t="shared" si="1833"/>
      </c>
      <c r="CG893" s="273"/>
    </row>
    <row r="894" spans="1:85" hidden="1" outlineLevel="1" x14ac:dyDescent="0.3">
      <c r="A894" s="424" t="s">
        <v>751</v>
      </c>
      <c r="B894" s="538"/>
      <c r="C894" s="962"/>
      <c r="D894" s="962"/>
      <c r="E894" s="962"/>
      <c r="F894" s="962"/>
      <c r="G894" s="757"/>
      <c r="H894" s="757"/>
      <c r="I894" s="757"/>
      <c r="J894" s="757"/>
      <c r="K894" s="962"/>
      <c r="L894" s="757"/>
      <c r="M894" s="757"/>
      <c r="N894" s="757"/>
      <c r="O894" s="757"/>
      <c r="P894" s="962"/>
      <c r="Q894" s="757"/>
      <c r="R894" s="757"/>
      <c r="S894" s="757"/>
      <c r="T894" s="757"/>
      <c r="U894" s="962"/>
      <c r="V894" s="757"/>
      <c r="W894" s="757"/>
      <c r="X894" s="757"/>
      <c r="Y894" s="757"/>
      <c r="Z894" s="962"/>
      <c r="AA894" s="757"/>
      <c r="AB894" s="757"/>
      <c r="AC894" s="757"/>
      <c r="AD894" s="757"/>
      <c r="AE894" s="962"/>
      <c r="AF894" s="757"/>
      <c r="AG894" s="757"/>
      <c r="AH894" s="757"/>
      <c r="AI894" s="757"/>
      <c r="AJ894" s="962"/>
      <c r="AK894" s="757"/>
      <c r="AL894" s="757"/>
      <c r="AM894" s="757"/>
      <c r="AN894" s="757"/>
      <c r="AO894" s="962"/>
      <c r="AP894" s="757"/>
      <c r="AQ894" s="757"/>
      <c r="AR894" s="757"/>
      <c r="AS894" s="757"/>
      <c r="AT894" s="962"/>
      <c r="AU894" s="757"/>
      <c r="AV894" s="757"/>
      <c r="AW894" s="757"/>
      <c r="AX894" s="757"/>
      <c r="AY894" s="962"/>
      <c r="AZ894" s="757"/>
      <c r="BA894" s="757"/>
      <c r="BB894" s="757"/>
      <c r="BC894" s="757"/>
      <c r="BD894" s="962"/>
      <c r="BE894" s="757"/>
      <c r="BF894" s="757"/>
      <c r="BG894" s="757"/>
      <c r="BH894" s="757"/>
      <c r="BI894" s="962"/>
      <c r="BJ894" s="757"/>
      <c r="BK894" s="757"/>
      <c r="BL894" s="757"/>
      <c r="BM894" s="757"/>
      <c r="BN894" s="962"/>
      <c r="BO894" s="757"/>
      <c r="BP894" s="757"/>
      <c r="BQ894" s="757"/>
      <c r="BR894" s="757"/>
      <c r="BS894" s="962"/>
      <c r="BT894" s="758"/>
      <c r="BU894" s="757">
        <f>AVERAGE(BU834,BT834)*BU895*BU3/BX3</f>
      </c>
      <c r="BV894" s="757">
        <f>AVERAGE(BV834,BU834)*BV895*BV3/BX3</f>
      </c>
      <c r="BW894" s="757">
        <f>AVERAGE(BW834,BV834)*BW895*BW3/BX3</f>
      </c>
      <c r="BX894" s="962">
        <f>SUM(BT894,BU894,BV894,BW894)</f>
      </c>
      <c r="BY894" s="757">
        <f>AVERAGE(BY834,BX834)*BY895*BY3/CC3</f>
      </c>
      <c r="BZ894" s="757">
        <f>AVERAGE(BZ834,BY834)*BZ895*BZ3/CC3</f>
      </c>
      <c r="CA894" s="757">
        <f>AVERAGE(CA834,BZ834)*CA895*CA3/CC3</f>
      </c>
      <c r="CB894" s="757">
        <f>AVERAGE(CB834,CA834)*CB895*CB3/CC3</f>
      </c>
      <c r="CC894" s="962">
        <f>SUM(BY894,BZ894,CA894,CB894)</f>
      </c>
      <c r="CD894" s="962">
        <f>AVERAGE(CD834,CC834)*CD895</f>
      </c>
      <c r="CE894" s="962">
        <f>AVERAGE(CE834,CD834)*CE895</f>
      </c>
      <c r="CF894" s="962">
        <f>AVERAGE(CF834,CE834)*CF895</f>
      </c>
      <c r="CG894" s="273"/>
    </row>
    <row r="895" spans="1:85" hidden="1" outlineLevel="1" x14ac:dyDescent="0.3">
      <c r="A895" s="434" t="s">
        <v>752</v>
      </c>
      <c r="B895" s="435"/>
      <c r="C895" s="1061"/>
      <c r="D895" s="1061"/>
      <c r="E895" s="1061"/>
      <c r="F895" s="1061"/>
      <c r="G895" s="433"/>
      <c r="H895" s="433"/>
      <c r="I895" s="433"/>
      <c r="J895" s="433"/>
      <c r="K895" s="1061"/>
      <c r="L895" s="433"/>
      <c r="M895" s="433"/>
      <c r="N895" s="433"/>
      <c r="O895" s="433"/>
      <c r="P895" s="1061"/>
      <c r="Q895" s="433"/>
      <c r="R895" s="433"/>
      <c r="S895" s="433"/>
      <c r="T895" s="433"/>
      <c r="U895" s="1061"/>
      <c r="V895" s="433"/>
      <c r="W895" s="433"/>
      <c r="X895" s="433"/>
      <c r="Y895" s="433"/>
      <c r="Z895" s="1061"/>
      <c r="AA895" s="433"/>
      <c r="AB895" s="433"/>
      <c r="AC895" s="433"/>
      <c r="AD895" s="433"/>
      <c r="AE895" s="1061"/>
      <c r="AF895" s="433"/>
      <c r="AG895" s="433"/>
      <c r="AH895" s="433"/>
      <c r="AI895" s="433"/>
      <c r="AJ895" s="1061"/>
      <c r="AK895" s="433"/>
      <c r="AL895" s="433"/>
      <c r="AM895" s="433"/>
      <c r="AN895" s="433"/>
      <c r="AO895" s="1061"/>
      <c r="AP895" s="433"/>
      <c r="AQ895" s="433"/>
      <c r="AR895" s="433"/>
      <c r="AS895" s="433"/>
      <c r="AT895" s="1061"/>
      <c r="AU895" s="433"/>
      <c r="AV895" s="433"/>
      <c r="AW895" s="433"/>
      <c r="AX895" s="433"/>
      <c r="AY895" s="1061"/>
      <c r="AZ895" s="433"/>
      <c r="BA895" s="433"/>
      <c r="BB895" s="433"/>
      <c r="BC895" s="433"/>
      <c r="BD895" s="1061"/>
      <c r="BE895" s="433"/>
      <c r="BF895" s="433"/>
      <c r="BG895" s="433"/>
      <c r="BH895" s="433"/>
      <c r="BI895" s="1061"/>
      <c r="BJ895" s="433"/>
      <c r="BK895" s="433"/>
      <c r="BL895" s="433"/>
      <c r="BM895" s="433"/>
      <c r="BN895" s="1061"/>
      <c r="BO895" s="433"/>
      <c r="BP895" s="433"/>
      <c r="BQ895" s="433"/>
      <c r="BR895" s="433"/>
      <c r="BS895" s="1061"/>
      <c r="BT895" s="752"/>
      <c r="BU895" s="901">
        <v>0.05</v>
      </c>
      <c r="BV895" s="901">
        <v>0.05</v>
      </c>
      <c r="BW895" s="901">
        <v>0.05</v>
      </c>
      <c r="BX895" s="1061">
        <f>IFERROR(AVERAGE(BT895,BU895,BV895,BW895),"n/a")</f>
      </c>
      <c r="BY895" s="901">
        <v>0.05</v>
      </c>
      <c r="BZ895" s="901">
        <v>0.05</v>
      </c>
      <c r="CA895" s="901">
        <v>0.05</v>
      </c>
      <c r="CB895" s="901">
        <v>0.05</v>
      </c>
      <c r="CC895" s="1061">
        <f>IFERROR(AVERAGE(BY895,BZ895,CA895,CB895),"n/a")</f>
      </c>
      <c r="CD895" s="1062">
        <v>0.05</v>
      </c>
      <c r="CE895" s="1062">
        <v>0.05</v>
      </c>
      <c r="CF895" s="1062">
        <v>0.05</v>
      </c>
      <c r="CG895" s="273"/>
    </row>
    <row r="896" spans="1:85" collapsed="1" x14ac:dyDescent="0.3">
      <c r="A896" s="427" t="s">
        <v>753</v>
      </c>
      <c r="B896" s="250"/>
      <c r="C896" s="969"/>
      <c r="D896" s="969"/>
      <c r="E896" s="969"/>
      <c r="F896" s="969"/>
      <c r="G896" s="759"/>
      <c r="H896" s="759"/>
      <c r="I896" s="759"/>
      <c r="J896" s="759"/>
      <c r="K896" s="969"/>
      <c r="L896" s="759"/>
      <c r="M896" s="759"/>
      <c r="N896" s="759"/>
      <c r="O896" s="759"/>
      <c r="P896" s="969"/>
      <c r="Q896" s="759"/>
      <c r="R896" s="759"/>
      <c r="S896" s="759"/>
      <c r="T896" s="759"/>
      <c r="U896" s="969"/>
      <c r="V896" s="759"/>
      <c r="W896" s="759"/>
      <c r="X896" s="759"/>
      <c r="Y896" s="759"/>
      <c r="Z896" s="969"/>
      <c r="AA896" s="759"/>
      <c r="AB896" s="759"/>
      <c r="AC896" s="759"/>
      <c r="AD896" s="759"/>
      <c r="AE896" s="969"/>
      <c r="AF896" s="759"/>
      <c r="AG896" s="759"/>
      <c r="AH896" s="759"/>
      <c r="AI896" s="759"/>
      <c r="AJ896" s="969"/>
      <c r="AK896" s="759"/>
      <c r="AL896" s="759"/>
      <c r="AM896" s="759"/>
      <c r="AN896" s="759"/>
      <c r="AO896" s="969"/>
      <c r="AP896" s="759">
        <f t="shared" ref="AP896:BK896" si="1834">+AP894+AP891+AP890+AP888+AP887+AP885+AP884+AP882+AP881+AP880+AP878+AP877+AP876+AP874+AP873+AP872+AP871+AP869+AP868+AP892+AP893</f>
      </c>
      <c r="AQ896" s="759">
        <f t="shared" si="1834"/>
      </c>
      <c r="AR896" s="759">
        <f t="shared" si="1834"/>
      </c>
      <c r="AS896" s="759">
        <f t="shared" si="1834"/>
      </c>
      <c r="AT896" s="969">
        <f t="shared" si="1834"/>
      </c>
      <c r="AU896" s="759">
        <f t="shared" si="1834"/>
      </c>
      <c r="AV896" s="759">
        <f t="shared" si="1834"/>
      </c>
      <c r="AW896" s="759">
        <f t="shared" si="1834"/>
      </c>
      <c r="AX896" s="759">
        <f t="shared" si="1834"/>
      </c>
      <c r="AY896" s="969">
        <f t="shared" si="1834"/>
      </c>
      <c r="AZ896" s="759">
        <f t="shared" si="1834"/>
      </c>
      <c r="BA896" s="759">
        <f t="shared" si="1834"/>
      </c>
      <c r="BB896" s="759">
        <f t="shared" si="1834"/>
      </c>
      <c r="BC896" s="759">
        <f t="shared" si="1834"/>
      </c>
      <c r="BD896" s="969">
        <f t="shared" si="1834"/>
      </c>
      <c r="BE896" s="759">
        <f t="shared" si="1834"/>
      </c>
      <c r="BF896" s="759">
        <f t="shared" si="1834"/>
      </c>
      <c r="BG896" s="759">
        <f t="shared" si="1834"/>
      </c>
      <c r="BH896" s="759">
        <f t="shared" si="1834"/>
      </c>
      <c r="BI896" s="969">
        <f t="shared" si="1834"/>
      </c>
      <c r="BJ896" s="759">
        <f t="shared" si="1834"/>
      </c>
      <c r="BK896" s="759">
        <f t="shared" si="1834"/>
      </c>
      <c r="BL896" s="759">
        <f t="shared" ref="BL896:BN896" si="1835">+BL894+BL891+BL890+BL888+BL887+BL885+BL884+BL882+BL881+BL880+BL878+BL877+BL876+BL874+BL873+BL872+BL871+BL869+BL868+BL892+BL893</f>
      </c>
      <c r="BM896" s="759">
        <f t="shared" si="1835"/>
      </c>
      <c r="BN896" s="969">
        <f t="shared" si="1835"/>
      </c>
      <c r="BO896" s="759">
        <f>+BO894+BO891+BO890+BO888+BO887+BO885+BO884+BO882+BO881+BO880+BO878+BO877+BO876+BO874+BO873+BO872+BO871+BO869+BO868+BO892+BO893</f>
      </c>
      <c r="BP896" s="759">
        <f>+BP894+BP891+BP890+BP888+BP887+BP885+BP884+BP882+BP881+BP880+BP878+BP877+BP876+BP874+BP873+BP872+BP871+BP869+BP868+BP892+BP893</f>
      </c>
      <c r="BQ896" s="759">
        <f t="shared" ref="BQ896:BS896" si="1836">+BQ894+BQ891+BQ890+BQ888+BQ887+BQ885+BQ884+BQ882+BQ881+BQ880+BQ878+BQ877+BQ876+BQ874+BQ873+BQ872+BQ871+BQ869+BQ868+BQ892+BQ893</f>
      </c>
      <c r="BR896" s="759">
        <f t="shared" si="1836"/>
      </c>
      <c r="BS896" s="969">
        <f t="shared" si="1836"/>
      </c>
      <c r="BT896" s="760">
        <f>+BT894+BT891+BT890+BT888+BT887+BT885+BT884+BT882+BT881+BT880+BT878+BT877+BT876+BT874+BT873+BT872+BT871+BT869+BT868+BT892+BT893</f>
      </c>
      <c r="BU896" s="759">
        <f t="shared" ref="BU896:CF896" si="1837">+BU894+BU891+BU890+BU888+BU887+BU885+BU884+BU882+BU881+BU880+BU878+BU877+BU876+BU874+BU873+BU872+BU871+BU869+BU868+BU892+BU893</f>
      </c>
      <c r="BV896" s="759">
        <f t="shared" si="1837"/>
      </c>
      <c r="BW896" s="759">
        <f t="shared" si="1837"/>
      </c>
      <c r="BX896" s="969">
        <f t="shared" si="1837"/>
      </c>
      <c r="BY896" s="759">
        <f t="shared" si="1837"/>
      </c>
      <c r="BZ896" s="759">
        <f t="shared" si="1837"/>
      </c>
      <c r="CA896" s="759">
        <f t="shared" si="1837"/>
      </c>
      <c r="CB896" s="759">
        <f t="shared" si="1837"/>
      </c>
      <c r="CC896" s="969">
        <f t="shared" si="1837"/>
      </c>
      <c r="CD896" s="969">
        <f t="shared" si="1837"/>
      </c>
      <c r="CE896" s="969">
        <f t="shared" si="1837"/>
      </c>
      <c r="CF896" s="969">
        <f t="shared" si="1837"/>
      </c>
      <c r="CG896" s="273"/>
    </row>
    <row r="897" spans="1:85" s="601" customFormat="1" x14ac:dyDescent="0.3">
      <c r="A897" s="456" t="s">
        <v>997</v>
      </c>
      <c r="B897" s="457"/>
      <c r="C897" s="1063"/>
      <c r="D897" s="1063"/>
      <c r="E897" s="1063"/>
      <c r="F897" s="1063"/>
      <c r="G897" s="458"/>
      <c r="H897" s="458"/>
      <c r="I897" s="458"/>
      <c r="J897" s="458"/>
      <c r="K897" s="1063"/>
      <c r="L897" s="458"/>
      <c r="M897" s="458"/>
      <c r="N897" s="458"/>
      <c r="O897" s="458"/>
      <c r="P897" s="1063"/>
      <c r="Q897" s="458"/>
      <c r="R897" s="458"/>
      <c r="S897" s="458"/>
      <c r="T897" s="458"/>
      <c r="U897" s="1063"/>
      <c r="V897" s="458"/>
      <c r="W897" s="458"/>
      <c r="X897" s="458"/>
      <c r="Y897" s="458"/>
      <c r="Z897" s="1063"/>
      <c r="AA897" s="458"/>
      <c r="AB897" s="458"/>
      <c r="AC897" s="458"/>
      <c r="AD897" s="458"/>
      <c r="AE897" s="1063"/>
      <c r="AF897" s="458"/>
      <c r="AG897" s="458"/>
      <c r="AH897" s="458"/>
      <c r="AI897" s="458"/>
      <c r="AJ897" s="1063"/>
      <c r="AK897" s="458"/>
      <c r="AL897" s="458"/>
      <c r="AM897" s="458"/>
      <c r="AN897" s="458"/>
      <c r="AO897" s="1063"/>
      <c r="AP897" s="458"/>
      <c r="AQ897" s="458"/>
      <c r="AR897" s="458"/>
      <c r="AS897" s="458"/>
      <c r="AT897" s="1063"/>
      <c r="AU897" s="458"/>
      <c r="AV897" s="458"/>
      <c r="AW897" s="458"/>
      <c r="AX897" s="458"/>
      <c r="AY897" s="1063"/>
      <c r="AZ897" s="458"/>
      <c r="BA897" s="458"/>
      <c r="BB897" s="458"/>
      <c r="BC897" s="458"/>
      <c r="BD897" s="1063"/>
      <c r="BE897" s="458"/>
      <c r="BF897" s="458"/>
      <c r="BG897" s="458"/>
      <c r="BH897" s="458"/>
      <c r="BI897" s="1063"/>
      <c r="BJ897" s="458"/>
      <c r="BK897" s="458"/>
      <c r="BL897" s="458"/>
      <c r="BM897" s="458"/>
      <c r="BN897" s="1063"/>
      <c r="BO897" s="458"/>
      <c r="BP897" s="458"/>
      <c r="BQ897" s="458"/>
      <c r="BR897" s="458"/>
      <c r="BS897" s="1063"/>
      <c r="BT897" s="714"/>
      <c r="BU897" s="902">
        <v>4.3400000000000001E-2</v>
      </c>
      <c r="BV897" s="902">
        <v>4.3400000000000001E-2</v>
      </c>
      <c r="BW897" s="902">
        <v>4.3400000000000001E-2</v>
      </c>
      <c r="BX897" s="1064">
        <v>5.0299999999999997E-2</v>
      </c>
      <c r="BY897" s="902">
        <v>4.3400000000000001E-2</v>
      </c>
      <c r="BZ897" s="902">
        <v>4.3400000000000001E-2</v>
      </c>
      <c r="CA897" s="902">
        <v>4.3400000000000001E-2</v>
      </c>
      <c r="CB897" s="902">
        <v>4.3400000000000001E-2</v>
      </c>
      <c r="CC897" s="1064">
        <v>5.0299999999999997E-2</v>
      </c>
      <c r="CD897" s="1064">
        <v>4.3400000000000001E-2</v>
      </c>
      <c r="CE897" s="1064">
        <v>4.3400000000000001E-2</v>
      </c>
      <c r="CF897" s="1064">
        <v>4.3400000000000001E-2</v>
      </c>
      <c r="CG897" s="458"/>
    </row>
    <row r="898" spans="1:85" s="601" customFormat="1" x14ac:dyDescent="0.3">
      <c r="A898" s="456" t="s">
        <v>899</v>
      </c>
      <c r="B898" s="457"/>
      <c r="C898" s="1063"/>
      <c r="D898" s="1063"/>
      <c r="E898" s="1063"/>
      <c r="F898" s="1063"/>
      <c r="G898" s="458"/>
      <c r="H898" s="458"/>
      <c r="I898" s="458"/>
      <c r="J898" s="458"/>
      <c r="K898" s="1063"/>
      <c r="L898" s="458"/>
      <c r="M898" s="458"/>
      <c r="N898" s="458"/>
      <c r="O898" s="458"/>
      <c r="P898" s="1063"/>
      <c r="Q898" s="458"/>
      <c r="R898" s="458"/>
      <c r="S898" s="458"/>
      <c r="T898" s="458"/>
      <c r="U898" s="1063"/>
      <c r="V898" s="458"/>
      <c r="W898" s="458"/>
      <c r="X898" s="458"/>
      <c r="Y898" s="458"/>
      <c r="Z898" s="1063"/>
      <c r="AA898" s="458"/>
      <c r="AB898" s="458"/>
      <c r="AC898" s="458"/>
      <c r="AD898" s="458"/>
      <c r="AE898" s="1063"/>
      <c r="AF898" s="458"/>
      <c r="AG898" s="458"/>
      <c r="AH898" s="458"/>
      <c r="AI898" s="458"/>
      <c r="AJ898" s="1063"/>
      <c r="AK898" s="458"/>
      <c r="AL898" s="458"/>
      <c r="AM898" s="458"/>
      <c r="AN898" s="458"/>
      <c r="AO898" s="1063"/>
      <c r="AP898" s="458"/>
      <c r="AQ898" s="458"/>
      <c r="AR898" s="458"/>
      <c r="AS898" s="458"/>
      <c r="AT898" s="1063"/>
      <c r="AU898" s="458"/>
      <c r="AV898" s="458"/>
      <c r="AW898" s="458"/>
      <c r="AX898" s="458"/>
      <c r="AY898" s="1063"/>
      <c r="AZ898" s="458"/>
      <c r="BA898" s="458"/>
      <c r="BB898" s="458"/>
      <c r="BC898" s="458"/>
      <c r="BD898" s="1063"/>
      <c r="BE898" s="458"/>
      <c r="BF898" s="458"/>
      <c r="BG898" s="458"/>
      <c r="BH898" s="458"/>
      <c r="BI898" s="1063"/>
      <c r="BJ898" s="458"/>
      <c r="BK898" s="458"/>
      <c r="BL898" s="458"/>
      <c r="BM898" s="458"/>
      <c r="BN898" s="1063"/>
      <c r="BO898" s="458"/>
      <c r="BP898" s="458"/>
      <c r="BQ898" s="458"/>
      <c r="BR898" s="458"/>
      <c r="BS898" s="1063"/>
      <c r="BT898" s="714"/>
      <c r="BU898" s="902">
        <v>5.5E-2</v>
      </c>
      <c r="BV898" s="902">
        <v>5.5E-2</v>
      </c>
      <c r="BW898" s="902">
        <v>5.5E-2</v>
      </c>
      <c r="BX898" s="1064">
        <v>0.06</v>
      </c>
      <c r="BY898" s="902">
        <v>5.5E-2</v>
      </c>
      <c r="BZ898" s="902">
        <v>5.5E-2</v>
      </c>
      <c r="CA898" s="902">
        <v>5.5E-2</v>
      </c>
      <c r="CB898" s="902">
        <v>5.5E-2</v>
      </c>
      <c r="CC898" s="1064">
        <v>0.06</v>
      </c>
      <c r="CD898" s="1064">
        <v>5.5E-2</v>
      </c>
      <c r="CE898" s="1064">
        <v>5.5E-2</v>
      </c>
      <c r="CF898" s="1064">
        <v>5.5E-2</v>
      </c>
      <c r="CG898" s="458"/>
    </row>
    <row r="899" spans="1:85" s="587" customFormat="1" x14ac:dyDescent="0.3">
      <c r="A899" s="445"/>
      <c r="B899" s="428"/>
      <c r="C899" s="940"/>
      <c r="D899" s="940"/>
      <c r="E899" s="940"/>
      <c r="F899" s="940"/>
      <c r="G899" s="778"/>
      <c r="H899" s="778"/>
      <c r="I899" s="778"/>
      <c r="J899" s="778"/>
      <c r="K899" s="940"/>
      <c r="L899" s="778"/>
      <c r="M899" s="778"/>
      <c r="N899" s="778"/>
      <c r="O899" s="778"/>
      <c r="P899" s="940"/>
      <c r="Q899" s="778"/>
      <c r="R899" s="778"/>
      <c r="S899" s="778"/>
      <c r="T899" s="778"/>
      <c r="U899" s="940"/>
      <c r="V899" s="778"/>
      <c r="W899" s="759"/>
      <c r="X899" s="778"/>
      <c r="Y899" s="759"/>
      <c r="Z899" s="940"/>
      <c r="AA899" s="759"/>
      <c r="AB899" s="759"/>
      <c r="AC899" s="778"/>
      <c r="AD899" s="759"/>
      <c r="AE899" s="940"/>
      <c r="AF899" s="759"/>
      <c r="AG899" s="759"/>
      <c r="AH899" s="778"/>
      <c r="AI899" s="759"/>
      <c r="AJ899" s="940"/>
      <c r="AK899" s="759"/>
      <c r="AL899" s="759"/>
      <c r="AM899" s="778"/>
      <c r="AN899" s="759"/>
      <c r="AO899" s="940"/>
      <c r="AP899" s="759"/>
      <c r="AQ899" s="759"/>
      <c r="AR899" s="778"/>
      <c r="AS899" s="759"/>
      <c r="AT899" s="940"/>
      <c r="AU899" s="759"/>
      <c r="AV899" s="759"/>
      <c r="AW899" s="778"/>
      <c r="AX899" s="759"/>
      <c r="AY899" s="940"/>
      <c r="AZ899" s="759"/>
      <c r="BA899" s="759"/>
      <c r="BB899" s="759"/>
      <c r="BC899" s="759"/>
      <c r="BD899" s="940"/>
      <c r="BE899" s="759"/>
      <c r="BF899" s="759"/>
      <c r="BG899" s="759"/>
      <c r="BH899" s="759"/>
      <c r="BI899" s="940"/>
      <c r="BJ899" s="759"/>
      <c r="BK899" s="759"/>
      <c r="BL899" s="759"/>
      <c r="BM899" s="759"/>
      <c r="BN899" s="940"/>
      <c r="BO899" s="759"/>
      <c r="BP899" s="759"/>
      <c r="BQ899" s="759"/>
      <c r="BR899" s="759"/>
      <c r="BS899" s="940"/>
      <c r="BT899" s="760"/>
      <c r="BU899" s="759"/>
      <c r="BV899" s="759"/>
      <c r="BW899" s="759"/>
      <c r="BX899" s="940"/>
      <c r="BY899" s="759"/>
      <c r="BZ899" s="759"/>
      <c r="CA899" s="759"/>
      <c r="CB899" s="759"/>
      <c r="CC899" s="940"/>
      <c r="CD899" s="940"/>
      <c r="CE899" s="940"/>
      <c r="CF899" s="940"/>
      <c r="CG899" s="183"/>
    </row>
    <row r="900" spans="1:85" hidden="1" outlineLevel="1" x14ac:dyDescent="0.3">
      <c r="A900" s="455" t="s">
        <v>897</v>
      </c>
      <c r="B900" s="442"/>
      <c r="C900" s="962"/>
      <c r="D900" s="962"/>
      <c r="E900" s="962"/>
      <c r="F900" s="962"/>
      <c r="G900" s="757"/>
      <c r="H900" s="757"/>
      <c r="I900" s="757"/>
      <c r="J900" s="757"/>
      <c r="K900" s="962"/>
      <c r="L900" s="757"/>
      <c r="M900" s="757"/>
      <c r="N900" s="757"/>
      <c r="O900" s="757"/>
      <c r="P900" s="962"/>
      <c r="Q900" s="757"/>
      <c r="R900" s="757"/>
      <c r="S900" s="757"/>
      <c r="T900" s="757"/>
      <c r="U900" s="962"/>
      <c r="V900" s="757"/>
      <c r="W900" s="757"/>
      <c r="X900" s="757"/>
      <c r="Y900" s="757"/>
      <c r="Z900" s="962"/>
      <c r="AA900" s="757"/>
      <c r="AB900" s="757"/>
      <c r="AC900" s="757"/>
      <c r="AD900" s="757"/>
      <c r="AE900" s="962"/>
      <c r="AF900" s="757"/>
      <c r="AG900" s="757"/>
      <c r="AH900" s="757"/>
      <c r="AI900" s="757"/>
      <c r="AJ900" s="962"/>
      <c r="AK900" s="757"/>
      <c r="AL900" s="757"/>
      <c r="AM900" s="757"/>
      <c r="AN900" s="757"/>
      <c r="AO900" s="962"/>
      <c r="AP900" s="757">
        <f t="shared" ref="AP900:AZ900" si="1838">+AP868</f>
      </c>
      <c r="AQ900" s="757">
        <f t="shared" si="1838"/>
      </c>
      <c r="AR900" s="757">
        <f t="shared" si="1838"/>
      </c>
      <c r="AS900" s="757">
        <f t="shared" si="1838"/>
      </c>
      <c r="AT900" s="962">
        <f t="shared" si="1838"/>
      </c>
      <c r="AU900" s="757">
        <f t="shared" si="1838"/>
      </c>
      <c r="AV900" s="757">
        <f t="shared" si="1838"/>
      </c>
      <c r="AW900" s="757">
        <f t="shared" si="1838"/>
      </c>
      <c r="AX900" s="757">
        <f t="shared" si="1838"/>
      </c>
      <c r="AY900" s="962">
        <f t="shared" si="1838"/>
      </c>
      <c r="AZ900" s="757">
        <f t="shared" si="1838"/>
      </c>
      <c r="BA900" s="757">
        <f>+BA868</f>
      </c>
      <c r="BB900" s="757">
        <f t="shared" ref="BB900" si="1839">+BB868</f>
      </c>
      <c r="BC900" s="757">
        <f t="shared" ref="BC900:BD900" si="1840">+BC868</f>
      </c>
      <c r="BD900" s="962">
        <f t="shared" si="1840"/>
      </c>
      <c r="BE900" s="757">
        <f t="shared" ref="BE900:BG901" si="1841">+BE868</f>
      </c>
      <c r="BF900" s="757">
        <f t="shared" si="1841"/>
      </c>
      <c r="BG900" s="757">
        <f t="shared" si="1841"/>
      </c>
      <c r="BH900" s="757">
        <f t="shared" ref="BH900:BI900" si="1842">+BH868</f>
      </c>
      <c r="BI900" s="962">
        <f t="shared" si="1842"/>
      </c>
      <c r="BJ900" s="757">
        <f t="shared" ref="BJ900:BL901" si="1843">+BJ868</f>
      </c>
      <c r="BK900" s="757">
        <f t="shared" si="1843"/>
      </c>
      <c r="BL900" s="757">
        <f t="shared" si="1843"/>
      </c>
      <c r="BM900" s="757">
        <f t="shared" ref="BM900:BN901" si="1844">+BM868</f>
      </c>
      <c r="BN900" s="962">
        <f t="shared" si="1844"/>
      </c>
      <c r="BO900" s="757">
        <f t="shared" ref="BO900:BS901" si="1845">+BO868</f>
      </c>
      <c r="BP900" s="757">
        <f t="shared" si="1845"/>
      </c>
      <c r="BQ900" s="757">
        <f t="shared" si="1845"/>
      </c>
      <c r="BR900" s="757">
        <f t="shared" si="1845"/>
      </c>
      <c r="BS900" s="962">
        <f t="shared" si="1845"/>
      </c>
      <c r="BT900" s="758">
        <f>+BT868</f>
      </c>
      <c r="BU900" s="757">
        <f t="shared" ref="BU900:CF900" si="1846">+BU868</f>
      </c>
      <c r="BV900" s="757">
        <f t="shared" si="1846"/>
      </c>
      <c r="BW900" s="757">
        <f t="shared" si="1846"/>
      </c>
      <c r="BX900" s="962">
        <f t="shared" si="1846"/>
      </c>
      <c r="BY900" s="757">
        <f t="shared" si="1846"/>
      </c>
      <c r="BZ900" s="757">
        <f t="shared" si="1846"/>
      </c>
      <c r="CA900" s="757">
        <f t="shared" si="1846"/>
      </c>
      <c r="CB900" s="757">
        <f t="shared" si="1846"/>
      </c>
      <c r="CC900" s="962">
        <f t="shared" si="1846"/>
      </c>
      <c r="CD900" s="962">
        <f t="shared" si="1846"/>
      </c>
      <c r="CE900" s="962">
        <f t="shared" si="1846"/>
      </c>
      <c r="CF900" s="962">
        <f t="shared" si="1846"/>
      </c>
      <c r="CG900" s="273"/>
    </row>
    <row r="901" spans="1:85" hidden="1" outlineLevel="1" x14ac:dyDescent="0.3">
      <c r="A901" s="455" t="s">
        <v>852</v>
      </c>
      <c r="B901" s="442"/>
      <c r="C901" s="962"/>
      <c r="D901" s="962"/>
      <c r="E901" s="962"/>
      <c r="F901" s="962"/>
      <c r="G901" s="757"/>
      <c r="H901" s="757"/>
      <c r="I901" s="757"/>
      <c r="J901" s="757"/>
      <c r="K901" s="962"/>
      <c r="L901" s="757"/>
      <c r="M901" s="757"/>
      <c r="N901" s="757"/>
      <c r="O901" s="757"/>
      <c r="P901" s="962"/>
      <c r="Q901" s="757"/>
      <c r="R901" s="757"/>
      <c r="S901" s="757"/>
      <c r="T901" s="757"/>
      <c r="U901" s="962"/>
      <c r="V901" s="757"/>
      <c r="W901" s="757"/>
      <c r="X901" s="757"/>
      <c r="Y901" s="757"/>
      <c r="Z901" s="962"/>
      <c r="AA901" s="757"/>
      <c r="AB901" s="757"/>
      <c r="AC901" s="757"/>
      <c r="AD901" s="757"/>
      <c r="AE901" s="962"/>
      <c r="AF901" s="757"/>
      <c r="AG901" s="757"/>
      <c r="AH901" s="757"/>
      <c r="AI901" s="757"/>
      <c r="AJ901" s="962"/>
      <c r="AK901" s="757"/>
      <c r="AL901" s="757"/>
      <c r="AM901" s="757"/>
      <c r="AN901" s="757"/>
      <c r="AO901" s="962"/>
      <c r="AP901" s="757">
        <f t="shared" ref="AP901:AZ901" si="1847">+AP869</f>
      </c>
      <c r="AQ901" s="757">
        <f t="shared" si="1847"/>
      </c>
      <c r="AR901" s="757">
        <f t="shared" si="1847"/>
      </c>
      <c r="AS901" s="757">
        <f t="shared" si="1847"/>
      </c>
      <c r="AT901" s="962">
        <f t="shared" si="1847"/>
      </c>
      <c r="AU901" s="757">
        <f t="shared" si="1847"/>
      </c>
      <c r="AV901" s="757">
        <f t="shared" si="1847"/>
      </c>
      <c r="AW901" s="757">
        <f t="shared" si="1847"/>
      </c>
      <c r="AX901" s="757">
        <f t="shared" si="1847"/>
      </c>
      <c r="AY901" s="962">
        <f t="shared" si="1847"/>
      </c>
      <c r="AZ901" s="757">
        <f t="shared" si="1847"/>
      </c>
      <c r="BA901" s="757">
        <f>+BA869</f>
      </c>
      <c r="BB901" s="757">
        <f>+BB841</f>
      </c>
      <c r="BC901" s="757">
        <f>+BC869</f>
      </c>
      <c r="BD901" s="962">
        <f>+BD869</f>
      </c>
      <c r="BE901" s="757">
        <f t="shared" si="1841"/>
      </c>
      <c r="BF901" s="757">
        <f t="shared" si="1841"/>
      </c>
      <c r="BG901" s="757">
        <f t="shared" si="1841"/>
      </c>
      <c r="BH901" s="757">
        <f>+BH869</f>
      </c>
      <c r="BI901" s="962">
        <f>+BI869</f>
      </c>
      <c r="BJ901" s="757">
        <f t="shared" si="1843"/>
      </c>
      <c r="BK901" s="757">
        <f t="shared" si="1843"/>
      </c>
      <c r="BL901" s="757">
        <f t="shared" si="1843"/>
      </c>
      <c r="BM901" s="757">
        <f t="shared" si="1844"/>
      </c>
      <c r="BN901" s="962">
        <f t="shared" si="1844"/>
      </c>
      <c r="BO901" s="757">
        <f t="shared" si="1845"/>
      </c>
      <c r="BP901" s="757">
        <f t="shared" si="1845"/>
      </c>
      <c r="BQ901" s="757">
        <f t="shared" si="1845"/>
      </c>
      <c r="BR901" s="757">
        <f t="shared" si="1845"/>
      </c>
      <c r="BS901" s="962">
        <f t="shared" si="1845"/>
      </c>
      <c r="BT901" s="758">
        <f>+BT869</f>
      </c>
      <c r="BU901" s="757">
        <f>+BU869</f>
      </c>
      <c r="BV901" s="757">
        <f>+BV869</f>
      </c>
      <c r="BW901" s="757">
        <f>+BW869</f>
      </c>
      <c r="BX901" s="962">
        <f>SUM(BT901,BU901,BV901,BW901)</f>
      </c>
      <c r="BY901" s="757">
        <f>+BY869</f>
      </c>
      <c r="BZ901" s="757">
        <f>+BZ869</f>
      </c>
      <c r="CA901" s="757">
        <f>+CA869</f>
      </c>
      <c r="CB901" s="757">
        <f>+CB869</f>
      </c>
      <c r="CC901" s="962">
        <f>SUM(BY901,BZ901,CA901,CB901)</f>
      </c>
      <c r="CD901" s="962">
        <f>+CD869</f>
      </c>
      <c r="CE901" s="962">
        <f>+CE869</f>
      </c>
      <c r="CF901" s="962">
        <f>+CF869</f>
      </c>
      <c r="CG901" s="273"/>
    </row>
    <row r="902" spans="1:85" hidden="1" outlineLevel="2" x14ac:dyDescent="0.3">
      <c r="A902" s="424" t="s">
        <v>849</v>
      </c>
      <c r="B902" s="442"/>
      <c r="C902" s="962"/>
      <c r="D902" s="962"/>
      <c r="E902" s="962"/>
      <c r="F902" s="962"/>
      <c r="G902" s="757"/>
      <c r="H902" s="757"/>
      <c r="I902" s="757"/>
      <c r="J902" s="757"/>
      <c r="K902" s="962"/>
      <c r="L902" s="757"/>
      <c r="M902" s="757"/>
      <c r="N902" s="757"/>
      <c r="O902" s="757"/>
      <c r="P902" s="962"/>
      <c r="Q902" s="757"/>
      <c r="R902" s="757"/>
      <c r="S902" s="757"/>
      <c r="T902" s="757"/>
      <c r="U902" s="962"/>
      <c r="V902" s="757"/>
      <c r="W902" s="757"/>
      <c r="X902" s="757"/>
      <c r="Y902" s="757"/>
      <c r="Z902" s="962"/>
      <c r="AA902" s="757"/>
      <c r="AB902" s="757"/>
      <c r="AC902" s="757"/>
      <c r="AD902" s="757"/>
      <c r="AE902" s="962"/>
      <c r="AF902" s="757"/>
      <c r="AG902" s="757"/>
      <c r="AH902" s="757"/>
      <c r="AI902" s="757"/>
      <c r="AJ902" s="962"/>
      <c r="AK902" s="757"/>
      <c r="AL902" s="757"/>
      <c r="AM902" s="757"/>
      <c r="AN902" s="757"/>
      <c r="AO902" s="962"/>
      <c r="AP902" s="757">
        <f>IFERROR(IF(COUPNCD(AO$4,B811,2,0)-AP$4&lt;=0,AO811*B871/2,0),0)</f>
      </c>
      <c r="AQ902" s="757">
        <f>IFERROR(IF(COUPNCD(AP4,B811,2,0)-AQ4&lt;=0,AP811*B871/2,0),0)</f>
      </c>
      <c r="AR902" s="757">
        <f>IFERROR(IF(COUPNCD(AQ4,B811,2,0)-AR4&lt;=0,AQ811*B871/2,0),0)</f>
      </c>
      <c r="AS902" s="757">
        <f>IFERROR(IF(COUPNCD(AR4,B811,2,0)-AS4&lt;=0,AR811*B871/2,0),0)</f>
      </c>
      <c r="AT902" s="962">
        <f>SUM(AP902,AQ902,AR902,AS902)</f>
      </c>
      <c r="AU902" s="757">
        <f>IFERROR(IF(COUPNCD(AT4,B811,2,0)-AU4&lt;=0,AT811*B871/2,0),0)</f>
      </c>
      <c r="AV902" s="757"/>
      <c r="AW902" s="757"/>
      <c r="AX902" s="757"/>
      <c r="AY902" s="962">
        <f>SUM(AU902,AV902,AW902,AX902)</f>
      </c>
      <c r="AZ902" s="757"/>
      <c r="BA902" s="757"/>
      <c r="BB902" s="757"/>
      <c r="BC902" s="757"/>
      <c r="BD902" s="962">
        <f>SUM(AZ902,BA902,BB902,BC902)</f>
      </c>
      <c r="BE902" s="757"/>
      <c r="BF902" s="757"/>
      <c r="BG902" s="757"/>
      <c r="BH902" s="757"/>
      <c r="BI902" s="962">
        <f>SUM(BE902,BF902,BG902,BH902)</f>
      </c>
      <c r="BJ902" s="757"/>
      <c r="BK902" s="757"/>
      <c r="BL902" s="757"/>
      <c r="BM902" s="757"/>
      <c r="BN902" s="962">
        <f>SUM(BJ902,BK902,BL902,BM902)</f>
      </c>
      <c r="BO902" s="757"/>
      <c r="BP902" s="757"/>
      <c r="BQ902" s="757"/>
      <c r="BR902" s="757"/>
      <c r="BS902" s="962">
        <f>SUM(BO902,BP902,BQ902,BR902)</f>
      </c>
      <c r="BT902" s="758"/>
      <c r="BU902" s="757"/>
      <c r="BV902" s="757"/>
      <c r="BW902" s="757"/>
      <c r="BX902" s="962"/>
      <c r="BY902" s="757"/>
      <c r="BZ902" s="757"/>
      <c r="CA902" s="757"/>
      <c r="CB902" s="757"/>
      <c r="CC902" s="962"/>
      <c r="CD902" s="962"/>
      <c r="CE902" s="962"/>
      <c r="CF902" s="962"/>
      <c r="CG902" s="273"/>
    </row>
    <row r="903" spans="1:85" hidden="1" outlineLevel="2" x14ac:dyDescent="0.3">
      <c r="A903" s="424" t="s">
        <v>842</v>
      </c>
      <c r="B903" s="442"/>
      <c r="C903" s="962"/>
      <c r="D903" s="962"/>
      <c r="E903" s="962"/>
      <c r="F903" s="962"/>
      <c r="G903" s="757"/>
      <c r="H903" s="757"/>
      <c r="I903" s="757"/>
      <c r="J903" s="757"/>
      <c r="K903" s="962"/>
      <c r="L903" s="757"/>
      <c r="M903" s="757"/>
      <c r="N903" s="757"/>
      <c r="O903" s="757"/>
      <c r="P903" s="962"/>
      <c r="Q903" s="757"/>
      <c r="R903" s="757"/>
      <c r="S903" s="757"/>
      <c r="T903" s="757"/>
      <c r="U903" s="962"/>
      <c r="V903" s="757"/>
      <c r="W903" s="757"/>
      <c r="X903" s="757"/>
      <c r="Y903" s="757"/>
      <c r="Z903" s="962"/>
      <c r="AA903" s="757"/>
      <c r="AB903" s="757"/>
      <c r="AC903" s="757"/>
      <c r="AD903" s="757"/>
      <c r="AE903" s="962"/>
      <c r="AF903" s="757"/>
      <c r="AG903" s="757"/>
      <c r="AH903" s="757"/>
      <c r="AI903" s="757"/>
      <c r="AJ903" s="962"/>
      <c r="AK903" s="757"/>
      <c r="AL903" s="757"/>
      <c r="AM903" s="757"/>
      <c r="AN903" s="757"/>
      <c r="AO903" s="962"/>
      <c r="AP903" s="757">
        <f>IFERROR(IF(COUPNCD(AO$4,B812,2,0)-AP$4&lt;=0,AO812*B872/2,0),0)</f>
      </c>
      <c r="AQ903" s="757">
        <f>IFERROR(IF(COUPNCD(AP4,B812,2,0)-AQ4&lt;=0,AP812*B872/2,0),0)</f>
      </c>
      <c r="AR903" s="757">
        <f>IFERROR(IF(COUPNCD(AQ4,B812,2,0)-AR4&lt;=0,AQ812*B872/2,0),0)</f>
      </c>
      <c r="AS903" s="757">
        <f>IFERROR(IF(COUPNCD(AR4,B812,2,0)-AS4&lt;=0,AR812*B872/2,0),0)</f>
      </c>
      <c r="AT903" s="962">
        <f t="shared" ref="AT903:AT922" si="1848">SUM(AP903,AQ903,AR903,AS903)</f>
      </c>
      <c r="AU903" s="757">
        <f>IFERROR(IF(COUPNCD(AT4,B812,2,0)-AU4&lt;=0,AT812*B872/2,0),0)</f>
      </c>
      <c r="AV903" s="757">
        <f>IFERROR(IF(COUPNCD(AU4,B812,2,0)-AV4&lt;=0,AU812*B872/2,0),0)</f>
      </c>
      <c r="AW903" s="757">
        <f>IFERROR(IF(COUPNCD(AV4,B812,2,0)-AW4&lt;=0,AV812*B872/2,0),0)</f>
      </c>
      <c r="AX903" s="757">
        <f>IFERROR(IF(COUPNCD(AW4,B812,2,0)-AX4&lt;=0,AW812*B872/2,0),0)</f>
      </c>
      <c r="AY903" s="962">
        <f t="shared" ref="AY903:AY922" si="1849">SUM(AU903,AV903,AW903,AX903)</f>
      </c>
      <c r="AZ903" s="757">
        <f>IFERROR(IF(COUPNCD(AY4,B812,2,0)-AZ4&lt;=0,AY812*B872/2,0),0)</f>
      </c>
      <c r="BA903" s="757"/>
      <c r="BB903" s="757"/>
      <c r="BC903" s="757"/>
      <c r="BD903" s="962">
        <f>SUM(AZ903,BA903,BB903,BC903)</f>
      </c>
      <c r="BE903" s="757"/>
      <c r="BF903" s="757"/>
      <c r="BG903" s="757"/>
      <c r="BH903" s="757"/>
      <c r="BI903" s="962">
        <f>SUM(BE903,BF903,BG903,BH903)</f>
      </c>
      <c r="BJ903" s="757"/>
      <c r="BK903" s="757"/>
      <c r="BL903" s="757"/>
      <c r="BM903" s="757"/>
      <c r="BN903" s="962">
        <f>SUM(BJ903,BK903,BL903,BM903)</f>
      </c>
      <c r="BO903" s="757"/>
      <c r="BP903" s="757"/>
      <c r="BQ903" s="757"/>
      <c r="BR903" s="757"/>
      <c r="BS903" s="962">
        <f>SUM(BO903,BP903,BQ903,BR903)</f>
      </c>
      <c r="BT903" s="758"/>
      <c r="BU903" s="757"/>
      <c r="BV903" s="757"/>
      <c r="BW903" s="757"/>
      <c r="BX903" s="962"/>
      <c r="BY903" s="757"/>
      <c r="BZ903" s="757"/>
      <c r="CA903" s="757"/>
      <c r="CB903" s="757"/>
      <c r="CC903" s="962"/>
      <c r="CD903" s="962"/>
      <c r="CE903" s="962"/>
      <c r="CF903" s="962"/>
      <c r="CG903" s="273"/>
    </row>
    <row r="904" spans="1:85" hidden="1" outlineLevel="1" collapsed="1" x14ac:dyDescent="0.3">
      <c r="A904" s="424" t="s">
        <v>843</v>
      </c>
      <c r="B904" s="442"/>
      <c r="C904" s="962"/>
      <c r="D904" s="962"/>
      <c r="E904" s="962"/>
      <c r="F904" s="962"/>
      <c r="G904" s="757"/>
      <c r="H904" s="757"/>
      <c r="I904" s="757"/>
      <c r="J904" s="757"/>
      <c r="K904" s="962"/>
      <c r="L904" s="757"/>
      <c r="M904" s="757"/>
      <c r="N904" s="757"/>
      <c r="O904" s="757"/>
      <c r="P904" s="962"/>
      <c r="Q904" s="757"/>
      <c r="R904" s="757"/>
      <c r="S904" s="757"/>
      <c r="T904" s="757"/>
      <c r="U904" s="962"/>
      <c r="V904" s="757"/>
      <c r="W904" s="757"/>
      <c r="X904" s="757"/>
      <c r="Y904" s="757"/>
      <c r="Z904" s="962"/>
      <c r="AA904" s="757"/>
      <c r="AB904" s="757"/>
      <c r="AC904" s="757"/>
      <c r="AD904" s="757"/>
      <c r="AE904" s="962"/>
      <c r="AF904" s="757"/>
      <c r="AG904" s="757"/>
      <c r="AH904" s="757"/>
      <c r="AI904" s="757"/>
      <c r="AJ904" s="962"/>
      <c r="AK904" s="757"/>
      <c r="AL904" s="757"/>
      <c r="AM904" s="757"/>
      <c r="AN904" s="757"/>
      <c r="AO904" s="962"/>
      <c r="AP904" s="757">
        <f>IFERROR(IF(COUPNCD(AO$4,B813,2,0)-AP$4&lt;=0,AO813*B873/2,0),0)</f>
      </c>
      <c r="AQ904" s="757">
        <f>IFERROR(IF(COUPNCD(AP4,B813,2,0)-AQ4&lt;=0,AP813*B873/2,0),0)</f>
      </c>
      <c r="AR904" s="757">
        <f>IFERROR(IF(COUPNCD(AQ4,B813,2,0)-AR4&lt;=0,AQ813*B873/2,0),0)</f>
      </c>
      <c r="AS904" s="757">
        <f>IFERROR(IF(COUPNCD(AR4,B813,2,0)-AS4&lt;=0,AR813*B873/2,0),0)</f>
      </c>
      <c r="AT904" s="962">
        <f t="shared" si="1848"/>
      </c>
      <c r="AU904" s="757">
        <f>IFERROR(IF(COUPNCD(AT4,B813,2,0)-AU4&lt;=0,AT813*B873/2,0),0)</f>
      </c>
      <c r="AV904" s="757">
        <f>IFERROR(IF(COUPNCD(AU4,B813,2,0)-AV4&lt;=0,AU813*B873/2,0),0)</f>
      </c>
      <c r="AW904" s="757">
        <f>IFERROR(IF(COUPNCD(AV4,B813,2,0)-AW4&lt;=0,AV813*B873/2,0),0)</f>
      </c>
      <c r="AX904" s="757">
        <f>IFERROR(IF(COUPNCD(AW4,B813,2,0)-AX4&lt;=0,AW813*B873/2,0),0)</f>
      </c>
      <c r="AY904" s="962">
        <f t="shared" si="1849"/>
      </c>
      <c r="AZ904" s="757">
        <f>IFERROR(IF(COUPNCD(AY4,$B813,2,0)-AZ4&lt;=0,AY813*$B873/2,0),0)</f>
      </c>
      <c r="BA904" s="757">
        <f>IFERROR(IF(COUPNCD(AZ4,$B813,2,0)-BA4&lt;=0,AZ813*$B873/2,0),0)</f>
      </c>
      <c r="BB904" s="757">
        <f>IFERROR(IF(COUPNCD(BA4,B813,2,0)-BB4&lt;=0,BA813*B873/2,0),0)</f>
      </c>
      <c r="BC904" s="757">
        <f>IFERROR(IF(COUPNCD(BB4,B813,2,0)-BC4&lt;=0,BB813*B873/2,0),0)</f>
      </c>
      <c r="BD904" s="962">
        <f>SUM(AZ904,BA904,BB904,BC904)</f>
      </c>
      <c r="BE904" s="757">
        <f>IFERROR(IF(COUPNCD(BD$4,$B813,2,0)-BE$4&lt;=0,BD813*$B873/2,0),0)</f>
      </c>
      <c r="BF904" s="757">
        <f>IFERROR(IF(COUPNCD(BE4,$B813,2,0)-BF4&lt;=0,BE813*$B873/2,0),0)</f>
      </c>
      <c r="BG904" s="757">
        <f>IFERROR(IF(COUPNCD(BF4,$B813,2,0)-BG4&lt;=0,BF813*$B873/2,0),0)</f>
      </c>
      <c r="BH904" s="757">
        <f>IFERROR(IF(COUPNCD(BG4,B813,2,0)-BH4&lt;=0,BG813*B873/2,0),0)</f>
      </c>
      <c r="BI904" s="962">
        <f>SUM(BE904,BF904,BG904,BH904)</f>
      </c>
      <c r="BJ904" s="757">
        <f>IFERROR(IF(COUPNCD(BI$4,$B813,2,0)-BJ$4&lt;=0,BI813*$B873/2,0),0)</f>
      </c>
      <c r="BK904" s="757">
        <f>IFERROR(IF(COUPNCD(BJ4,$B813,2,0)-BK4&lt;=0,BJ813*$B873/2,0),0)</f>
      </c>
      <c r="BL904" s="757">
        <f>IFERROR(IF(COUPNCD(BK4,$B813,2,0)-BL4&lt;=0,BK813*$B873/2,0),0)</f>
      </c>
      <c r="BM904" s="757">
        <f>IFERROR(IF(COUPNCD(BL4,$B813,2,0)-BM4&lt;=0,BL813*$B873/2,0),0)</f>
      </c>
      <c r="BN904" s="962">
        <f>SUM(BJ904,BK904,BL904,BM904)</f>
      </c>
      <c r="BO904" s="757">
        <f>IFERROR(IF(COUPNCD(BN$4,$B813,2,0)-BO$4&lt;=0,BN813*$B873/2,0),0)</f>
      </c>
      <c r="BP904" s="757">
        <f>IFERROR(IF(COUPNCD(BO4,$B813,2,0)-BP4&lt;=0,BO813*$B873/2,0),0)</f>
      </c>
      <c r="BQ904" s="757">
        <f>IFERROR(IF(COUPNCD(BP4,$B813,2,0)-BQ4&lt;=0,BP813*$B873/2,0),0)</f>
      </c>
      <c r="BR904" s="757">
        <f>IFERROR(IF(COUPNCD(BQ4,$B813,2,0)-BR4&lt;=0,BQ813*$B873/2,0),0)</f>
      </c>
      <c r="BS904" s="962">
        <f>SUM(BO904,BP904,BQ904,BR904)</f>
      </c>
      <c r="BT904" s="758">
        <f>IFERROR(IF(COUPNCD(BS$4,$B813,2,0)-BT$4&lt;=0,BS813*$B873/2,0),0)</f>
      </c>
      <c r="BU904" s="757">
        <f>IFERROR(IF(COUPNCD(BT4,$B813,2,0)-BU4&lt;=0,BT813*$B873/2,0),0)</f>
      </c>
      <c r="BV904" s="757">
        <f>IFERROR(IF(COUPNCD(BU4,$B813,2,0)-BV4&lt;=0,BU813*$B873/2,0),0)</f>
      </c>
      <c r="BW904" s="757">
        <f>IFERROR(IF(COUPNCD(BV4,$B813,2,0)-BW4&lt;=0,BV813*$B873/2,0),0)</f>
      </c>
      <c r="BX904" s="962">
        <f>SUM(BT904,BU904,BV904,BW904)</f>
      </c>
      <c r="BY904" s="757">
        <f>IFERROR(IF(COUPNCD(BX4,$B813,2,0)-BY4&lt;=0,BX813*$B873/2,0),0)</f>
      </c>
      <c r="BZ904" s="757">
        <f>IFERROR(IF(COUPNCD(BY4,$B813,2,0)-BZ4&lt;=0,BY813*$B873/2,0),0)</f>
      </c>
      <c r="CA904" s="757">
        <f>IFERROR(IF(COUPNCD(BZ4,$B813,2,0)-CA4&lt;=0,BZ813*$B873/2,0),0)</f>
      </c>
      <c r="CB904" s="757">
        <f>IFERROR(IF(COUPNCD(CA4,$B813,2,0)-CB4&lt;=0,CA813*$B873/2,0),0)</f>
      </c>
      <c r="CC904" s="962">
        <f>SUM(BY904,BZ904,CA904,CB904)</f>
      </c>
      <c r="CD904" s="962">
        <f>CC813*$B873/IF(AND(CD813=0,CC813&gt;0,(CD4-$B813)&gt;CD3/2),2,1)</f>
      </c>
      <c r="CE904" s="962">
        <f>CD813*$B873/IF(AND(CE813=0,CD813&gt;0,(CE4-$B813)&gt;CE3/2),2,1)</f>
      </c>
      <c r="CF904" s="962">
        <f>CE813*$B873/IF(AND(CF813=0,CE813&gt;0,(CF4-$B813)&gt;CF3/2),2,1)</f>
      </c>
      <c r="CG904" s="273"/>
    </row>
    <row r="905" spans="1:85" hidden="1" outlineLevel="1" x14ac:dyDescent="0.3">
      <c r="A905" s="424" t="s">
        <v>844</v>
      </c>
      <c r="B905" s="442"/>
      <c r="C905" s="962"/>
      <c r="D905" s="962"/>
      <c r="E905" s="962"/>
      <c r="F905" s="962"/>
      <c r="G905" s="757"/>
      <c r="H905" s="757"/>
      <c r="I905" s="757"/>
      <c r="J905" s="757"/>
      <c r="K905" s="962"/>
      <c r="L905" s="757"/>
      <c r="M905" s="757"/>
      <c r="N905" s="757"/>
      <c r="O905" s="757"/>
      <c r="P905" s="962"/>
      <c r="Q905" s="757"/>
      <c r="R905" s="757"/>
      <c r="S905" s="757"/>
      <c r="T905" s="757"/>
      <c r="U905" s="962"/>
      <c r="V905" s="757"/>
      <c r="W905" s="757"/>
      <c r="X905" s="757"/>
      <c r="Y905" s="757"/>
      <c r="Z905" s="962"/>
      <c r="AA905" s="757"/>
      <c r="AB905" s="757"/>
      <c r="AC905" s="757"/>
      <c r="AD905" s="757"/>
      <c r="AE905" s="962"/>
      <c r="AF905" s="757"/>
      <c r="AG905" s="757"/>
      <c r="AH905" s="757"/>
      <c r="AI905" s="757"/>
      <c r="AJ905" s="962"/>
      <c r="AK905" s="757"/>
      <c r="AL905" s="757"/>
      <c r="AM905" s="757"/>
      <c r="AN905" s="757"/>
      <c r="AO905" s="962"/>
      <c r="AP905" s="757">
        <f>IFERROR(IF(COUPNCD(AO$4,B814,2,0)-AP$4&lt;=0,AO814*B874/2,0),0)</f>
      </c>
      <c r="AQ905" s="757">
        <f>IFERROR(IF(COUPNCD(AP4,B814,2,0)-AQ4&lt;=0,AP814*B874/2,0),0)</f>
      </c>
      <c r="AR905" s="757">
        <f>IFERROR(IF(COUPNCD(AQ4,B814,2,0)-AR4&lt;=0,AQ814*B874/2,0),0)</f>
      </c>
      <c r="AS905" s="757">
        <f>IFERROR(IF(COUPNCD(AR4,B814,2,0)-AS4&lt;=0,AR814*B874/2,0),0)</f>
      </c>
      <c r="AT905" s="962">
        <f t="shared" si="1848"/>
      </c>
      <c r="AU905" s="757">
        <f>IFERROR(IF(COUPNCD(AT4,B814,2,0)-AU4&lt;=0,AT814*B874/2,0),0)</f>
      </c>
      <c r="AV905" s="757">
        <f>IFERROR(IF(COUPNCD(AU4,B814,2,0)-AV4&lt;=0,AU814*B874/2,0),0)</f>
      </c>
      <c r="AW905" s="757">
        <f>IFERROR(IF(COUPNCD(AV4,B814,2,0)-AW4&lt;=0,AV814*B874/2,0),0)</f>
      </c>
      <c r="AX905" s="757">
        <f>IFERROR(IF(COUPNCD(AW4,B814,2,0)-AX4&lt;=0,AW814*B874/2,0),0)</f>
      </c>
      <c r="AY905" s="962">
        <f t="shared" si="1849"/>
      </c>
      <c r="AZ905" s="757">
        <f>IFERROR(IF(COUPNCD(AY4,B814,2,0)-AZ4&lt;=0,AY814*B874/2,0),0)</f>
      </c>
      <c r="BA905" s="757">
        <f>IFERROR(IF(COUPNCD(AZ4,$B814,2,0)-BA4&lt;=0,AZ814*$B874/2,0),0)</f>
      </c>
      <c r="BB905" s="757">
        <f>IFERROR(IF(COUPNCD(BA4,B814,2,0)-BB4&lt;=0,BA814*B874/2,0),0)</f>
      </c>
      <c r="BC905" s="757">
        <f>IFERROR(IF(COUPNCD(BB4,B814,2,0)-BC4&lt;=0,BB814*B874/2,0),0)</f>
      </c>
      <c r="BD905" s="962">
        <f>SUM(AZ905,BA905,BB905,BC905)</f>
      </c>
      <c r="BE905" s="757">
        <f t="shared" ref="BE905:BE906" si="1850">IFERROR(IF(COUPNCD(BD$4,$B814,2,0)-BE$4&lt;=0,BD814*$B874/2,0),0)</f>
      </c>
      <c r="BF905" s="757">
        <f>IFERROR(IF(COUPNCD(BE4,$B814,2,0)-BF4&lt;=0,BE814*$B874/2,0),0)</f>
      </c>
      <c r="BG905" s="757">
        <f>IFERROR(IF(COUPNCD(BF4,$B814,2,0)-BG4&lt;=0,BF814*$B874/2,0),0)</f>
      </c>
      <c r="BH905" s="757">
        <f>IFERROR(IF(COUPNCD(BG4,B814,2,0)-BH4&lt;=0,BG814*B874/2,0),0)</f>
      </c>
      <c r="BI905" s="962">
        <f>SUM(BE905,BF905,BG905,BH905)</f>
      </c>
      <c r="BJ905" s="757">
        <f>IFERROR(IF(COUPNCD(BI$4,$B814,2,0)-BJ$4&lt;=0,BI814*$B874/2,0),0)</f>
      </c>
      <c r="BK905" s="757">
        <f>IFERROR(IF(COUPNCD(BJ4,$B814,2,0)-BK4&lt;=0,BJ814*$B874/2,0),0)</f>
      </c>
      <c r="BL905" s="757">
        <f>IFERROR(IF(COUPNCD(BK4,$B814,2,0)-BL4&lt;=0,BK814*$B874/2,0),0)</f>
      </c>
      <c r="BM905" s="757">
        <f>IFERROR(IF(COUPNCD(BL4,$B814,2,0)-BM4&lt;=0,BL814*$B874/2,0),0)</f>
      </c>
      <c r="BN905" s="962">
        <f>SUM(BJ905,BK905,BL905,BM905)</f>
      </c>
      <c r="BO905" s="757">
        <f>IFERROR(IF(COUPNCD(BN$4,$B814,2,0)-BO$4&lt;=0,BN814*$B874/2,0),0)</f>
      </c>
      <c r="BP905" s="757">
        <f>IFERROR(IF(COUPNCD(BO4,$B814,2,0)-BP4&lt;=0,BO814*$B874/2,0),0)</f>
      </c>
      <c r="BQ905" s="757">
        <f>IFERROR(IF(COUPNCD(BP4,$B814,2,0)-BQ4&lt;=0,BP814*$B874/2,0),0)</f>
      </c>
      <c r="BR905" s="757">
        <f>IFERROR(IF(COUPNCD(BQ4,$B814,2,0)-BR4&lt;=0,BQ814*$B874/2,0),0)</f>
      </c>
      <c r="BS905" s="962">
        <f>SUM(BO905,BP905,BQ905,BR905)</f>
      </c>
      <c r="BT905" s="758">
        <f>IFERROR(IF(COUPNCD(BS$4,$B814,2,0)-BT$4&lt;=0,BS814*$B874/2,0),0)</f>
      </c>
      <c r="BU905" s="757">
        <f>IFERROR(IF(COUPNCD(BT4,$B814,2,0)-BU4&lt;=0,BT814*$B874/2,0),0)</f>
      </c>
      <c r="BV905" s="757">
        <f>IFERROR(IF(COUPNCD(BU4,$B814,2,0)-BV4&lt;=0,BU814*$B874/2,0),0)</f>
      </c>
      <c r="BW905" s="757">
        <f>IFERROR(IF(COUPNCD(BV4,$B814,2,0)-BW4&lt;=0,BV814*$B874/2,0),0)</f>
      </c>
      <c r="BX905" s="962">
        <f>SUM(BT905,BU905,BV905,BW905)</f>
      </c>
      <c r="BY905" s="757">
        <f>IFERROR(IF(COUPNCD(BX4,$B814,2,0)-BY4&lt;=0,BX814*$B874/2,0),0)</f>
      </c>
      <c r="BZ905" s="757">
        <f>IFERROR(IF(COUPNCD(BY4,$B814,2,0)-BZ4&lt;=0,BY814*$B874/2,0),0)</f>
      </c>
      <c r="CA905" s="757">
        <f>IFERROR(IF(COUPNCD(BZ4,$B814,2,0)-CA4&lt;=0,BZ814*$B874/2,0),0)</f>
      </c>
      <c r="CB905" s="757">
        <f>IFERROR(IF(COUPNCD(CA4,$B814,2,0)-CB4&lt;=0,CA814*$B874/2,0),0)</f>
      </c>
      <c r="CC905" s="962">
        <f>SUM(BY905,BZ905,CA905,CB905)</f>
      </c>
      <c r="CD905" s="962">
        <f>CC814*$B874/IF(AND(CD814=0,CC814&gt;0,(CD4-$B814)&gt;CD3/2),2,1)</f>
      </c>
      <c r="CE905" s="962">
        <f>CD814*$B874/IF(AND(CE814=0,CD814&gt;0,(CE4-$B814)&gt;CE3/2),2,1)</f>
      </c>
      <c r="CF905" s="962">
        <f>CE814*$B874/IF(AND(CF814=0,CE814&gt;0,(CF4-$B814)&gt;CF3/2),2,1)</f>
      </c>
      <c r="CG905" s="273"/>
    </row>
    <row r="906" spans="1:85" hidden="1" outlineLevel="2" x14ac:dyDescent="0.3">
      <c r="A906" s="413" t="s">
        <v>893</v>
      </c>
      <c r="B906" s="442"/>
      <c r="C906" s="962"/>
      <c r="D906" s="962"/>
      <c r="E906" s="962"/>
      <c r="F906" s="962"/>
      <c r="G906" s="757"/>
      <c r="H906" s="757"/>
      <c r="I906" s="757"/>
      <c r="J906" s="757"/>
      <c r="K906" s="962"/>
      <c r="L906" s="757"/>
      <c r="M906" s="757"/>
      <c r="N906" s="757"/>
      <c r="O906" s="757"/>
      <c r="P906" s="962"/>
      <c r="Q906" s="757"/>
      <c r="R906" s="757"/>
      <c r="S906" s="757"/>
      <c r="T906" s="757"/>
      <c r="U906" s="962"/>
      <c r="V906" s="757"/>
      <c r="W906" s="757"/>
      <c r="X906" s="757"/>
      <c r="Y906" s="757"/>
      <c r="Z906" s="962"/>
      <c r="AA906" s="757"/>
      <c r="AB906" s="757"/>
      <c r="AC906" s="757"/>
      <c r="AD906" s="757"/>
      <c r="AE906" s="962"/>
      <c r="AF906" s="757"/>
      <c r="AG906" s="757"/>
      <c r="AH906" s="757"/>
      <c r="AI906" s="757"/>
      <c r="AJ906" s="962"/>
      <c r="AK906" s="757"/>
      <c r="AL906" s="757"/>
      <c r="AM906" s="757"/>
      <c r="AN906" s="757"/>
      <c r="AO906" s="962"/>
      <c r="AP906" s="757"/>
      <c r="AQ906" s="757">
        <f>IFERROR(IF(COUPNCD(AP4,B815,2,0)-AQ4&lt;=0,AP815*B875/2,0),0)</f>
      </c>
      <c r="AR906" s="757">
        <f>IFERROR(IF(COUPNCD(AQ4,B815,2,0)-AR4&lt;=0,AQ815*B875/2,0),0)</f>
      </c>
      <c r="AS906" s="757">
        <f>IFERROR(IF(COUPNCD(AR4,B815,2,0)-AS4&lt;=0,AR815*B875/2,0),0)+AQ815*B875*YEARFRAC("2020-4-28","2020-6-15")</f>
      </c>
      <c r="AT906" s="962">
        <f t="shared" si="1848"/>
      </c>
      <c r="AU906" s="757">
        <f>IFERROR(IF(COUPNCD(AT4,B815,2,0)-AU4&lt;=0,AT815*B875/2,0),0)</f>
      </c>
      <c r="AV906" s="757">
        <f>IFERROR(IF(COUPNCD(AU4,B815,2,0)-AV4&lt;=0,AU815*B875/2,0),0)</f>
      </c>
      <c r="AW906" s="757">
        <f>IFERROR(IF(COUPNCD(AV4,B815,2,0)-AW4&lt;=0,AV815*B875/2,0),0)</f>
      </c>
      <c r="AX906" s="757">
        <f>IFERROR(IF(COUPNCD(AW4,B815,2,0)-AX4&lt;=0,AW815*B875/2,0),0)</f>
      </c>
      <c r="AY906" s="962">
        <f t="shared" si="1849"/>
      </c>
      <c r="AZ906" s="757">
        <f>IFERROR(IF(COUPNCD(AY4,B815,2,0)-AZ4&lt;=0,AY815*B875/2,0),0)</f>
      </c>
      <c r="BA906" s="757">
        <f>IFERROR(IF(COUPNCD(AZ4,$B815,2,0)-BA4&lt;=0,AZ815*$B875/2,0),0)</f>
      </c>
      <c r="BB906" s="757">
        <f>IFERROR(IF(COUPNCD(BA4,B815,2,0)-BB4&lt;=0,BA815*B875/2,0),0)</f>
      </c>
      <c r="BC906" s="757">
        <f>IFERROR(IF(COUPNCD(BB4,B815,2,0)-BC4&lt;=0,BB815*B875/2,0),0)</f>
      </c>
      <c r="BD906" s="962">
        <f>SUM(AZ906,BA906,BB906,BC906)</f>
      </c>
      <c r="BE906" s="757">
        <f t="shared" si="1850"/>
      </c>
      <c r="BF906" s="757">
        <f>IFERROR(IF(COUPNCD(BE4,$B815,2,0)-BF4&lt;=0,BE815*$B875/2,0),0)</f>
      </c>
      <c r="BG906" s="757">
        <f>IFERROR(IF(COUPNCD(BF4,$B815,2,0)-BG4&lt;=0,BF815*$B875/2,0),0)</f>
      </c>
      <c r="BH906" s="757">
        <f>IFERROR(IF(COUPNCD(BG4,B815,2,0)-BH4&lt;=0,BG815*B875/2,0),0)</f>
      </c>
      <c r="BI906" s="962">
        <f>SUM(BE906,BF906,BG906,BH906)</f>
      </c>
      <c r="BJ906" s="757">
        <f>IFERROR(IF(COUPNCD(BI$4,$B815,2,0)-BJ$4&lt;=0,BI815*$B875/2,0),0)</f>
      </c>
      <c r="BK906" s="757">
        <f>IFERROR(IF(COUPNCD(BJ4,$B815,2,0)-BK4&lt;=0,BJ815*$B875/2,0),0)</f>
      </c>
      <c r="BL906" s="757">
        <f>IFERROR(IF(COUPNCD(BK4,$B815,2,0)-BL4&lt;=0,BK815*$B875/2,0),0)</f>
      </c>
      <c r="BM906" s="757">
        <f>IFERROR(IF(COUPNCD(BL4,$B815,2,0)-BM4&lt;=0,BL815*$B875/2,0),0)</f>
      </c>
      <c r="BN906" s="962">
        <f>SUM(BJ906,BK906,BL906,BM906)</f>
      </c>
      <c r="BO906" s="757">
        <f>IFERROR(IF(COUPNCD(BN$4,$B815,2,0)-BO$4&lt;=0,BN815*$B875/2,0),0)</f>
      </c>
      <c r="BP906" s="757">
        <f>IFERROR(IF(COUPNCD(BO4,$B815,2,0)-BP4&lt;=0,BO815*$B875/2,0),0)</f>
      </c>
      <c r="BQ906" s="757">
        <f>IFERROR(IF(COUPNCD(BP4,$B815,2,0)-BQ4&lt;=0,BP815*$B875/2,0),0)</f>
      </c>
      <c r="BR906" s="757">
        <f>IFERROR(IF(COUPNCD(BQ4,$B815,2,0)-BR4&lt;=0,BQ815*$B875/2,0),0)</f>
      </c>
      <c r="BS906" s="962">
        <f>SUM(BO906,BP906,BQ906,BR906)</f>
      </c>
      <c r="BT906" s="758">
        <f>IFERROR(IF(COUPNCD(BS$4,$B815,2,0)-BT$4&lt;=0,BS815*$B875/2,0),0)</f>
      </c>
      <c r="BU906" s="757">
        <f>IFERROR(IF(COUPNCD(BT4,$B815,2,0)-BU4&lt;=0,BT815*$B875/2,0),0)</f>
      </c>
      <c r="BV906" s="757">
        <f>IFERROR(IF(COUPNCD(BU4,$B815,2,0)-BV4&lt;=0,BU815*$B875/2,0),0)</f>
      </c>
      <c r="BW906" s="757">
        <f>IFERROR(IF(COUPNCD(BV4,$B815,2,0)-BW4&lt;=0,BV815*$B875/2,0),0)</f>
      </c>
      <c r="BX906" s="962">
        <f>SUM(BT906,BU906,BV906,BW906)</f>
      </c>
      <c r="BY906" s="757">
        <f>IFERROR(IF(COUPNCD(BX4,$B815,2,0)-BY4&lt;=0,BX815*$B875/2,0),0)</f>
      </c>
      <c r="BZ906" s="757">
        <f>IFERROR(IF(COUPNCD(BY4,$B815,2,0)-BZ4&lt;=0,BY815*$B875/2,0),0)</f>
      </c>
      <c r="CA906" s="757">
        <f>IFERROR(IF(COUPNCD(BZ4,$B815,2,0)-CA4&lt;=0,BZ815*$B875/2,0),0)</f>
      </c>
      <c r="CB906" s="757">
        <f>IFERROR(IF(COUPNCD(CA4,$B815,2,0)-CB4&lt;=0,CA815*$B875/2,0),0)</f>
      </c>
      <c r="CC906" s="962">
        <f>SUM(BY906,BZ906,CA906,CB906)</f>
      </c>
      <c r="CD906" s="962">
        <f>CC815*$B875/IF(AND(CD815=0,CC815&gt;0,(CD4-$B815)&gt;CD3/2),2,1)</f>
      </c>
      <c r="CE906" s="962">
        <f>CD815*$B875/IF(AND(CE815=0,CD815&gt;0,(CE4-$B815)&gt;CE3/2),2,1)</f>
      </c>
      <c r="CF906" s="962">
        <f>CE815*$B875/IF(AND(CF815=0,CE815&gt;0,(CF4-$B815)&gt;CF3/2),2,1)</f>
      </c>
      <c r="CG906" s="273"/>
    </row>
    <row r="907" spans="1:85" hidden="1" outlineLevel="1" collapsed="1" x14ac:dyDescent="0.3">
      <c r="A907" s="424" t="s">
        <v>870</v>
      </c>
      <c r="B907" s="442"/>
      <c r="C907" s="962"/>
      <c r="D907" s="962"/>
      <c r="E907" s="962"/>
      <c r="F907" s="962"/>
      <c r="G907" s="757"/>
      <c r="H907" s="757"/>
      <c r="I907" s="757"/>
      <c r="J907" s="757"/>
      <c r="K907" s="962"/>
      <c r="L907" s="757"/>
      <c r="M907" s="757"/>
      <c r="N907" s="757"/>
      <c r="O907" s="757"/>
      <c r="P907" s="962"/>
      <c r="Q907" s="757"/>
      <c r="R907" s="757"/>
      <c r="S907" s="757"/>
      <c r="T907" s="757"/>
      <c r="U907" s="962"/>
      <c r="V907" s="757"/>
      <c r="W907" s="757"/>
      <c r="X907" s="757"/>
      <c r="Y907" s="757"/>
      <c r="Z907" s="962"/>
      <c r="AA907" s="757"/>
      <c r="AB907" s="757"/>
      <c r="AC907" s="757"/>
      <c r="AD907" s="757"/>
      <c r="AE907" s="962"/>
      <c r="AF907" s="757"/>
      <c r="AG907" s="757"/>
      <c r="AH907" s="757"/>
      <c r="AI907" s="757"/>
      <c r="AJ907" s="962"/>
      <c r="AK907" s="757"/>
      <c r="AL907" s="757"/>
      <c r="AM907" s="757"/>
      <c r="AN907" s="757"/>
      <c r="AO907" s="962"/>
      <c r="AP907" s="757"/>
      <c r="AQ907" s="757">
        <f t="shared" ref="AQ907" si="1851">+AQ906/AQ$775</f>
      </c>
      <c r="AR907" s="757">
        <f t="shared" ref="AR907" si="1852">+AR906/AR$775</f>
      </c>
      <c r="AS907" s="757">
        <f t="shared" ref="AS907" si="1853">+AS906/AS$775</f>
      </c>
      <c r="AT907" s="962">
        <f t="shared" ref="AT907" si="1854">+AT906/AT$775</f>
      </c>
      <c r="AU907" s="757">
        <f t="shared" ref="AU907" si="1855">+AU906/AU$775</f>
      </c>
      <c r="AV907" s="757">
        <f t="shared" ref="AV907" si="1856">+AV906/AV$775</f>
      </c>
      <c r="AW907" s="757">
        <f t="shared" ref="AW907" si="1857">+AW906/AW$775</f>
      </c>
      <c r="AX907" s="757">
        <f t="shared" ref="AX907" si="1858">+AX906/AX$775</f>
      </c>
      <c r="AY907" s="962">
        <f t="shared" ref="AY907" si="1859">+AY906/AY$775</f>
      </c>
      <c r="AZ907" s="757">
        <f t="shared" ref="AZ907" si="1860">+AZ906/AZ$775</f>
      </c>
      <c r="BA907" s="757">
        <f t="shared" ref="BA907" si="1861">+BA906/BA$775</f>
      </c>
      <c r="BB907" s="757">
        <f>+BB906/BB$775</f>
      </c>
      <c r="BC907" s="757">
        <f t="shared" ref="BC907:BD907" si="1862">+BC906/BC$775</f>
      </c>
      <c r="BD907" s="962">
        <f t="shared" si="1862"/>
      </c>
      <c r="BE907" s="757">
        <f>+BE906/BE$775</f>
      </c>
      <c r="BF907" s="757">
        <f t="shared" ref="BF907:BG907" si="1863">+BF906/BF$775</f>
      </c>
      <c r="BG907" s="757">
        <f t="shared" si="1863"/>
      </c>
      <c r="BH907" s="757">
        <f t="shared" ref="BH907:BI907" si="1864">+BH906/BH$775</f>
      </c>
      <c r="BI907" s="962">
        <f t="shared" si="1864"/>
      </c>
      <c r="BJ907" s="757">
        <f t="shared" ref="BJ907:BN907" si="1865">+BJ906/BJ$775</f>
      </c>
      <c r="BK907" s="757">
        <f t="shared" si="1865"/>
      </c>
      <c r="BL907" s="757">
        <f t="shared" si="1865"/>
      </c>
      <c r="BM907" s="757">
        <f t="shared" ref="BM907" si="1866">+BM906/BM$775</f>
      </c>
      <c r="BN907" s="962">
        <f t="shared" si="1865"/>
      </c>
      <c r="BO907" s="757">
        <f>+BO906/BO$775</f>
      </c>
      <c r="BP907" s="757">
        <f>+BP906/BP$775</f>
      </c>
      <c r="BQ907" s="757">
        <f t="shared" ref="BQ907:BS907" si="1867">+BQ906/BQ$775</f>
      </c>
      <c r="BR907" s="757">
        <f t="shared" si="1867"/>
      </c>
      <c r="BS907" s="962">
        <f t="shared" si="1867"/>
      </c>
      <c r="BT907" s="758">
        <f>+BT906/BT$775</f>
      </c>
      <c r="BU907" s="757">
        <f>+BU906/BU$775</f>
      </c>
      <c r="BV907" s="757">
        <f>+BV906/BV$775</f>
      </c>
      <c r="BW907" s="757">
        <f>+BW906/BW$775</f>
      </c>
      <c r="BX907" s="962">
        <f t="shared" ref="BX907" si="1868">+BX906/BX$775</f>
      </c>
      <c r="BY907" s="757">
        <f t="shared" ref="BY907:CF907" si="1869">+BY906/BY$775</f>
      </c>
      <c r="BZ907" s="757">
        <f t="shared" si="1869"/>
      </c>
      <c r="CA907" s="757">
        <f t="shared" si="1869"/>
      </c>
      <c r="CB907" s="757">
        <f t="shared" si="1869"/>
      </c>
      <c r="CC907" s="962">
        <f t="shared" si="1869"/>
      </c>
      <c r="CD907" s="962">
        <f t="shared" si="1869"/>
      </c>
      <c r="CE907" s="962">
        <f t="shared" si="1869"/>
      </c>
      <c r="CF907" s="962">
        <f t="shared" si="1869"/>
      </c>
      <c r="CG907" s="273"/>
    </row>
    <row r="908" spans="1:85" hidden="1" outlineLevel="1" x14ac:dyDescent="0.3">
      <c r="A908" s="424" t="s">
        <v>845</v>
      </c>
      <c r="B908" s="442"/>
      <c r="C908" s="962"/>
      <c r="D908" s="962"/>
      <c r="E908" s="962"/>
      <c r="F908" s="962"/>
      <c r="G908" s="757"/>
      <c r="H908" s="757"/>
      <c r="I908" s="757"/>
      <c r="J908" s="757"/>
      <c r="K908" s="962"/>
      <c r="L908" s="757"/>
      <c r="M908" s="757"/>
      <c r="N908" s="757"/>
      <c r="O908" s="757"/>
      <c r="P908" s="962"/>
      <c r="Q908" s="757"/>
      <c r="R908" s="757"/>
      <c r="S908" s="757"/>
      <c r="T908" s="757"/>
      <c r="U908" s="962"/>
      <c r="V908" s="757"/>
      <c r="W908" s="757"/>
      <c r="X908" s="757"/>
      <c r="Y908" s="757"/>
      <c r="Z908" s="962"/>
      <c r="AA908" s="757"/>
      <c r="AB908" s="757"/>
      <c r="AC908" s="757"/>
      <c r="AD908" s="757"/>
      <c r="AE908" s="962"/>
      <c r="AF908" s="757"/>
      <c r="AG908" s="757"/>
      <c r="AH908" s="757"/>
      <c r="AI908" s="757"/>
      <c r="AJ908" s="962"/>
      <c r="AK908" s="757"/>
      <c r="AL908" s="757"/>
      <c r="AM908" s="757"/>
      <c r="AN908" s="757"/>
      <c r="AO908" s="962"/>
      <c r="AP908" s="757"/>
      <c r="AQ908" s="757">
        <f>IFERROR(IF(COUPNCD(AP4,B817,2,0)-AQ4&lt;=0,AP817*B877/2,0),0)</f>
      </c>
      <c r="AR908" s="757">
        <f>IFERROR(IF(COUPNCD(AQ4,B817,2,0)-AR4&lt;=0,AQ817*B877/2,0),0)</f>
      </c>
      <c r="AS908" s="757">
        <f>IFERROR(IF(COUPNCD(AR4,B817,2,0)-AS4&lt;=0,AR817*B877/2,0),0)+AQ817*B877*YEARFRAC("2020-4-28","2020-6-15")</f>
      </c>
      <c r="AT908" s="962">
        <f t="shared" si="1848"/>
      </c>
      <c r="AU908" s="757">
        <f>IFERROR(IF(COUPNCD(AT4,B817,2,0)-AU4&lt;=0,AT817*B877/2,0),0)</f>
      </c>
      <c r="AV908" s="757">
        <f>IFERROR(IF(COUPNCD(AU4,B817,2,0)-AV4&lt;=0,AU817*B877/2,0),0)</f>
      </c>
      <c r="AW908" s="757">
        <f>IFERROR(IF(COUPNCD(AV4,B817,2,0)-AW4&lt;=0,AV817*B877/2,0),0)</f>
      </c>
      <c r="AX908" s="757">
        <f>IFERROR(IF(COUPNCD(AW4,B817,2,0)-AX4&lt;=0,AW817*B877/2,0),0)</f>
      </c>
      <c r="AY908" s="962">
        <f t="shared" si="1849"/>
      </c>
      <c r="AZ908" s="757">
        <f>IFERROR(IF(COUPNCD(AY4,B817,2,0)-AZ4&lt;=0,AY817*B877/2,0),0)</f>
      </c>
      <c r="BA908" s="757">
        <f>IFERROR(IF(COUPNCD(AZ4,$B817,2,0)-BA4&lt;=0,AZ817*$B877/2,0),0)</f>
      </c>
      <c r="BB908" s="757">
        <f>IFERROR(IF(COUPNCD(BA4,B817,2,0)-BB4&lt;=0,BA817*B877/2,0),0)</f>
      </c>
      <c r="BC908" s="757">
        <f>IFERROR(IF(COUPNCD(BB4,B817,2,0)-BC4&lt;=0,BB817*B877/2,0),0)</f>
      </c>
      <c r="BD908" s="962">
        <f>SUM(AZ908,BA908,BB908,BC908)</f>
      </c>
      <c r="BE908" s="757">
        <f t="shared" ref="BE908:BE910" si="1870">IFERROR(IF(COUPNCD(BD$4,$B817,2,0)-BE$4&lt;=0,BD817*$B877/2,0),0)</f>
      </c>
      <c r="BF908" s="757">
        <f>IFERROR(IF(COUPNCD(BE4,$B817,2,0)-BF4&lt;=0,BE817*$B877/2,0),0)</f>
      </c>
      <c r="BG908" s="757">
        <f>IFERROR(IF(COUPNCD(BF4,$B817,2,0)-BG4&lt;=0,BF817*$B877/2,0),0)</f>
      </c>
      <c r="BH908" s="757">
        <f>IFERROR(IF(COUPNCD(BG4,B817,2,0)-BH4&lt;=0,BG817*B877/2,0),0)</f>
      </c>
      <c r="BI908" s="962">
        <f>SUM(BE908,BF908,BG908,BH908)</f>
      </c>
      <c r="BJ908" s="757">
        <f>IFERROR(IF(COUPNCD(BI$4,$B817,2,0)-BJ$4&lt;=0,BI817*$B877/2,0),0)</f>
      </c>
      <c r="BK908" s="757">
        <f>IFERROR(IF(COUPNCD(BJ4,$B817,2,0)-BK4&lt;=0,BJ817*$B877/2,0),0)</f>
      </c>
      <c r="BL908" s="757">
        <f>IFERROR(IF(COUPNCD(BK4,$B817,2,0)-BL4&lt;=0,BK817*$B877/2,0),0)</f>
      </c>
      <c r="BM908" s="757">
        <f>IFERROR(IF(COUPNCD(BL4,$B817,2,0)-BM4&lt;=0,BL817*$B877/2,0),0)</f>
      </c>
      <c r="BN908" s="962">
        <f>SUM(BJ908,BK908,BL908,BM908)</f>
      </c>
      <c r="BO908" s="757">
        <f>IFERROR(IF(COUPNCD(BN$4,$B817,2,0)-BO$4&lt;=0,BN817*$B877/2,0),0)</f>
      </c>
      <c r="BP908" s="757">
        <f>IFERROR(IF(COUPNCD(BO4,$B817,2,0)-BP4&lt;=0,BO817*$B877/2,0),0)</f>
      </c>
      <c r="BQ908" s="757">
        <f>IFERROR(IF(COUPNCD(BP4,$B817,2,0)-BQ4&lt;=0,BP817*$B877/2,0),0)</f>
      </c>
      <c r="BR908" s="757">
        <f>IFERROR(IF(COUPNCD(BQ4,$B817,2,0)-BR4&lt;=0,BQ817*$B877/2,0),0)</f>
      </c>
      <c r="BS908" s="962">
        <f>SUM(BO908,BP908,BQ908,BR908)</f>
      </c>
      <c r="BT908" s="758">
        <f>IFERROR(IF(COUPNCD(BS$4,$B817,2,0)-BT$4&lt;=0,BS817*$B877/2,0),0)</f>
      </c>
      <c r="BU908" s="757">
        <f>IFERROR(IF(COUPNCD(BT4,$B817,2,0)-BU4&lt;=0,BT817*$B877/2,0),0)</f>
      </c>
      <c r="BV908" s="757">
        <f>IFERROR(IF(COUPNCD(BU4,$B817,2,0)-BV4&lt;=0,BU817*$B877/2,0),0)</f>
      </c>
      <c r="BW908" s="757">
        <f>IFERROR(IF(COUPNCD(BV4,$B817,2,0)-BW4&lt;=0,BV817*$B877/2,0),0)</f>
      </c>
      <c r="BX908" s="962">
        <f>SUM(BT908,BU908,BV908,BW908)</f>
      </c>
      <c r="BY908" s="757">
        <f>IFERROR(IF(COUPNCD(BX4,$B817,2,0)-BY4&lt;=0,BX817*$B877/2,0),0)</f>
      </c>
      <c r="BZ908" s="757">
        <f>IFERROR(IF(COUPNCD(BY4,$B817,2,0)-BZ4&lt;=0,BY817*$B877/2,0),0)</f>
      </c>
      <c r="CA908" s="757">
        <f>IFERROR(IF(COUPNCD(BZ4,$B817,2,0)-CA4&lt;=0,BZ817*$B877/2,0),0)</f>
      </c>
      <c r="CB908" s="757">
        <f>IFERROR(IF(COUPNCD(CA4,$B817,2,0)-CB4&lt;=0,CA817*$B877/2,0),0)</f>
      </c>
      <c r="CC908" s="962">
        <f>SUM(BY908,BZ908,CA908,CB908)</f>
      </c>
      <c r="CD908" s="962">
        <f>CC817*$B877/IF(AND(CD817=0,CC817&gt;0,(CD4-$B817)&gt;CD3/2),2,1)</f>
      </c>
      <c r="CE908" s="962">
        <f>CD817*$B877/IF(AND(CE817=0,CD817&gt;0,(CE4-$B817)&gt;CE3/2),2,1)</f>
      </c>
      <c r="CF908" s="962">
        <f>CE817*$B877/IF(AND(CF817=0,CE817&gt;0,(CF4-$B817)&gt;CF3/2),2,1)</f>
      </c>
      <c r="CG908" s="273"/>
    </row>
    <row r="909" spans="1:85" hidden="1" outlineLevel="1" x14ac:dyDescent="0.3">
      <c r="A909" s="424" t="s">
        <v>846</v>
      </c>
      <c r="B909" s="442"/>
      <c r="C909" s="962"/>
      <c r="D909" s="962"/>
      <c r="E909" s="962"/>
      <c r="F909" s="962"/>
      <c r="G909" s="757"/>
      <c r="H909" s="757"/>
      <c r="I909" s="757"/>
      <c r="J909" s="757"/>
      <c r="K909" s="962"/>
      <c r="L909" s="757"/>
      <c r="M909" s="757"/>
      <c r="N909" s="757"/>
      <c r="O909" s="757"/>
      <c r="P909" s="962"/>
      <c r="Q909" s="757"/>
      <c r="R909" s="757"/>
      <c r="S909" s="757"/>
      <c r="T909" s="757"/>
      <c r="U909" s="962"/>
      <c r="V909" s="757"/>
      <c r="W909" s="757"/>
      <c r="X909" s="757"/>
      <c r="Y909" s="757"/>
      <c r="Z909" s="962"/>
      <c r="AA909" s="757"/>
      <c r="AB909" s="757"/>
      <c r="AC909" s="757"/>
      <c r="AD909" s="757"/>
      <c r="AE909" s="962"/>
      <c r="AF909" s="757"/>
      <c r="AG909" s="757"/>
      <c r="AH909" s="757"/>
      <c r="AI909" s="757"/>
      <c r="AJ909" s="962"/>
      <c r="AK909" s="757"/>
      <c r="AL909" s="757"/>
      <c r="AM909" s="757"/>
      <c r="AN909" s="757"/>
      <c r="AO909" s="962"/>
      <c r="AP909" s="757">
        <f>IFERROR(IF(COUPNCD(AO$4,B818,2,0)-AP$4&lt;=0,AO818*B878/2,0),0)</f>
      </c>
      <c r="AQ909" s="757">
        <f>IFERROR(IF(COUPNCD(AP4,B818,2,0)-AQ4&lt;=0,AP818*B878/2,0),0)</f>
      </c>
      <c r="AR909" s="757">
        <f>IFERROR(IF(COUPNCD(AQ4,B818,2,0)-AR4&lt;=0,AQ818*B878/2,0),0)</f>
      </c>
      <c r="AS909" s="757">
        <f>IFERROR(IF(COUPNCD(AR4,B818,2,0)-AS4&lt;=0,AR818*B878/2,0),0)</f>
      </c>
      <c r="AT909" s="962">
        <f t="shared" si="1848"/>
      </c>
      <c r="AU909" s="757">
        <f>IFERROR(IF(COUPNCD(AT4,B818,2,0)-AU4&lt;=0,AT818*B878/2,0),0)</f>
      </c>
      <c r="AV909" s="757">
        <f>IFERROR(IF(COUPNCD(AU4,B818,2,0)-AV4&lt;=0,AU818*B878/2,0),0)</f>
      </c>
      <c r="AW909" s="757">
        <f>IFERROR(IF(COUPNCD(AV4,B818,2,0)-AW4&lt;=0,AV818*B878/2,0),0)</f>
      </c>
      <c r="AX909" s="757">
        <f>IFERROR(IF(COUPNCD(AW4,B818,2,0)-AX4&lt;=0,AW818*B878/2,0),0)</f>
      </c>
      <c r="AY909" s="962">
        <f t="shared" si="1849"/>
      </c>
      <c r="AZ909" s="757">
        <f>IFERROR(IF(COUPNCD(AY4,B818,2,0)-AZ4&lt;=0,AY818*B878/2,0),0)</f>
      </c>
      <c r="BA909" s="757">
        <f>IFERROR(IF(COUPNCD(AZ4,$B818,2,0)-BA4&lt;=0,AZ818*$B878/2,0),0)</f>
      </c>
      <c r="BB909" s="757">
        <f>IFERROR(IF(COUPNCD(BA4,B818,2,0)-BB4&lt;=0,BA818*B878/2,0),0)</f>
      </c>
      <c r="BC909" s="757">
        <f>IFERROR(IF(COUPNCD(BB4,B818,2,0)-BC4&lt;=0,BB818*B878/2,0),0)</f>
      </c>
      <c r="BD909" s="962">
        <f>SUM(AZ909,BA909,BB909,BC909)</f>
      </c>
      <c r="BE909" s="757">
        <f t="shared" si="1870"/>
      </c>
      <c r="BF909" s="757">
        <f>IFERROR(IF(COUPNCD(BE4,$B818,2,0)-BF4&lt;=0,BE818*$B878/2,0),0)</f>
      </c>
      <c r="BG909" s="757">
        <f>IFERROR(IF(COUPNCD(BF4,$B818,2,0)-BG4&lt;=0,BF818*$B878/2,0),0)</f>
      </c>
      <c r="BH909" s="757">
        <f>IFERROR(IF(COUPNCD(BG4,B818,2,0)-BH4&lt;=0,BG818*B878/2,0),0)</f>
      </c>
      <c r="BI909" s="962">
        <f>SUM(BE909,BF909,BG909,BH909)</f>
      </c>
      <c r="BJ909" s="757">
        <f>IFERROR(IF(COUPNCD(BI$4,$B818,2,0)-BJ$4&lt;=0,BI818*$B878/2,0),0)</f>
      </c>
      <c r="BK909" s="757">
        <f>IFERROR(IF(COUPNCD(BJ4,$B818,2,0)-BK4&lt;=0,BJ818*$B878/2,0),0)</f>
      </c>
      <c r="BL909" s="757">
        <f>IFERROR(IF(COUPNCD(BK4,$B818,2,0)-BL4&lt;=0,BK818*$B878/2,0),0)</f>
      </c>
      <c r="BM909" s="757">
        <f>IFERROR(IF(COUPNCD(BL4,$B818,2,0)-BM4&lt;=0,BL818*$B878/2,0),0)</f>
      </c>
      <c r="BN909" s="962">
        <f>SUM(BJ909,BK909,BL909,BM909)</f>
      </c>
      <c r="BO909" s="757">
        <f>IFERROR(IF(COUPNCD(BN$4,$B818,2,0)-BO$4&lt;=0,BN818*$B878/2,0),0)</f>
      </c>
      <c r="BP909" s="757">
        <f>IFERROR(IF(COUPNCD(BO4,$B818,2,0)-BP4&lt;=0,BO818*$B878/2,0),0)</f>
      </c>
      <c r="BQ909" s="757">
        <f>IFERROR(IF(COUPNCD(BP4,$B818,2,0)-BQ4&lt;=0,BP818*$B878/2,0),0)</f>
      </c>
      <c r="BR909" s="757">
        <f>IFERROR(IF(COUPNCD(BQ4,$B818,2,0)-BR4&lt;=0,BQ818*$B878/2,0),0)</f>
      </c>
      <c r="BS909" s="962">
        <f>SUM(BO909,BP909,BQ909,BR909)</f>
      </c>
      <c r="BT909" s="758">
        <f>IFERROR(IF(COUPNCD(BS$4,$B818,2,0)-BT$4&lt;=0,BS818*$B878/2,0),0)</f>
      </c>
      <c r="BU909" s="757">
        <f>IFERROR(IF(COUPNCD(BT4,$B818,2,0)-BU4&lt;=0,BT818*$B878/2,0),0)</f>
      </c>
      <c r="BV909" s="757">
        <f>IFERROR(IF(COUPNCD(BU4,$B818,2,0)-BV4&lt;=0,BU818*$B878/2,0),0)</f>
      </c>
      <c r="BW909" s="757">
        <f>IFERROR(IF(COUPNCD(BV4,$B818,2,0)-BW4&lt;=0,BV818*$B878/2,0),0)</f>
      </c>
      <c r="BX909" s="962">
        <f>SUM(BT909,BU909,BV909,BW909)</f>
      </c>
      <c r="BY909" s="757">
        <f>IFERROR(IF(COUPNCD(BX4,$B818,2,0)-BY4&lt;=0,BX818*$B878/2,0),0)</f>
      </c>
      <c r="BZ909" s="757">
        <f>IFERROR(IF(COUPNCD(BY4,$B818,2,0)-BZ4&lt;=0,BY818*$B878/2,0),0)</f>
      </c>
      <c r="CA909" s="757">
        <f>IFERROR(IF(COUPNCD(BZ4,$B818,2,0)-CA4&lt;=0,BZ818*$B878/2,0),0)</f>
      </c>
      <c r="CB909" s="757">
        <f>IFERROR(IF(COUPNCD(CA4,$B818,2,0)-CB4&lt;=0,CA818*$B878/2,0),0)</f>
      </c>
      <c r="CC909" s="962">
        <f>SUM(BY909,BZ909,CA909,CB909)</f>
      </c>
      <c r="CD909" s="962">
        <f>CC818*$B878/IF(AND(CD818=0,CC818&gt;0,(CD4-$B818)&gt;CD3/2),2,1)</f>
      </c>
      <c r="CE909" s="962">
        <f>CD818*$B878/IF(AND(CE818=0,CD818&gt;0,(CE4-$B818)&gt;CE3/2),2,1)</f>
      </c>
      <c r="CF909" s="962">
        <f>CE818*$B878/IF(AND(CF818=0,CE818&gt;0,(CF4-$B818)&gt;CF3/2),2,1)</f>
      </c>
      <c r="CG909" s="273"/>
    </row>
    <row r="910" spans="1:85" hidden="1" outlineLevel="2" x14ac:dyDescent="0.3">
      <c r="A910" s="413" t="s">
        <v>894</v>
      </c>
      <c r="B910" s="442"/>
      <c r="C910" s="962"/>
      <c r="D910" s="962"/>
      <c r="E910" s="962"/>
      <c r="F910" s="962"/>
      <c r="G910" s="757"/>
      <c r="H910" s="757"/>
      <c r="I910" s="757"/>
      <c r="J910" s="757"/>
      <c r="K910" s="962"/>
      <c r="L910" s="757"/>
      <c r="M910" s="757"/>
      <c r="N910" s="757"/>
      <c r="O910" s="757"/>
      <c r="P910" s="962"/>
      <c r="Q910" s="757"/>
      <c r="R910" s="757"/>
      <c r="S910" s="757"/>
      <c r="T910" s="757"/>
      <c r="U910" s="962"/>
      <c r="V910" s="757"/>
      <c r="W910" s="757"/>
      <c r="X910" s="757"/>
      <c r="Y910" s="757"/>
      <c r="Z910" s="962"/>
      <c r="AA910" s="757"/>
      <c r="AB910" s="757"/>
      <c r="AC910" s="757"/>
      <c r="AD910" s="757"/>
      <c r="AE910" s="962"/>
      <c r="AF910" s="757"/>
      <c r="AG910" s="757"/>
      <c r="AH910" s="757"/>
      <c r="AI910" s="757"/>
      <c r="AJ910" s="962"/>
      <c r="AK910" s="757"/>
      <c r="AL910" s="757"/>
      <c r="AM910" s="757"/>
      <c r="AN910" s="757"/>
      <c r="AO910" s="962"/>
      <c r="AP910" s="757">
        <f>IFERROR(IF(COUPNCD(AO$4,B819,2,0)-AP$4&lt;=0,AO819*B879/2,0),0)</f>
      </c>
      <c r="AQ910" s="757">
        <f>IFERROR(IF(COUPNCD(AP4,B819,2,0)-AQ4&lt;=0,AP819*B879/2,0),0)</f>
      </c>
      <c r="AR910" s="757">
        <f>IFERROR(IF(COUPNCD(AQ4,B819,2,0)-AR4&lt;=0,AQ819*B879/2,0),0)</f>
      </c>
      <c r="AS910" s="757">
        <f>IFERROR(IF(COUPNCD(AR4,B819,2,0)-AS4&lt;=0,AR819*B879/2,0),0)</f>
      </c>
      <c r="AT910" s="962">
        <f t="shared" si="1848"/>
      </c>
      <c r="AU910" s="757">
        <f>IFERROR(IF(COUPNCD(AT4,B819,2,0)-AU4&lt;=0,AT819*B879/2,0),0)</f>
      </c>
      <c r="AV910" s="757">
        <f>IFERROR(IF(COUPNCD(AU4,B819,2,0)-AV4&lt;=0,AU819*B879/2,0),0)</f>
      </c>
      <c r="AW910" s="757">
        <f>IFERROR(IF(COUPNCD(AV4,B819,2,0)-AW4&lt;=0,AV819*B879/2,0),0)</f>
      </c>
      <c r="AX910" s="757">
        <f>IFERROR(IF(COUPNCD(AW4,B819,2,0)-AX4&lt;=0,AW819*B879/2,0),0)</f>
      </c>
      <c r="AY910" s="962">
        <f t="shared" si="1849"/>
      </c>
      <c r="AZ910" s="757">
        <f>IFERROR(IF(COUPNCD(AY4,B819,2,0)-AZ4&lt;=0,AY819*B879/2,0),0)</f>
      </c>
      <c r="BA910" s="757">
        <f>IFERROR(IF(COUPNCD(AZ4,$B819,2,0)-BA4&lt;=0,AZ819*$B879/2,0),0)</f>
      </c>
      <c r="BB910" s="757">
        <f>IFERROR(IF(COUPNCD(BA4,B819,2,0)-BB4&lt;=0,BA819*B879/2,0),0)</f>
      </c>
      <c r="BC910" s="757">
        <f>IFERROR(IF(COUPNCD(BB4,B819,2,0)-BC4&lt;=0,BB819*B879/2,0),0)</f>
      </c>
      <c r="BD910" s="962">
        <f>SUM(AZ910,BA910,BB910,BC910)</f>
      </c>
      <c r="BE910" s="757">
        <f t="shared" si="1870"/>
      </c>
      <c r="BF910" s="757">
        <f>IFERROR(IF(COUPNCD(BE4,$B819,2,0)-BF4&lt;=0,BE819*$B879/2,0),0)</f>
      </c>
      <c r="BG910" s="757">
        <f>IFERROR(IF(COUPNCD(BF4,$B819,2,0)-BG4&lt;=0,BF819*$B879/2,0),0)</f>
      </c>
      <c r="BH910" s="757">
        <f>IFERROR(IF(COUPNCD(BG4,B819,2,0)-BH4&lt;=0,BG819*B879/2,0),0)</f>
      </c>
      <c r="BI910" s="962">
        <f>SUM(BE910,BF910,BG910,BH910)</f>
      </c>
      <c r="BJ910" s="757">
        <f>IFERROR(IF(COUPNCD(BI$4,$B819,2,0)-BJ$4&lt;=0,BI819*$B879/2,0),0)</f>
      </c>
      <c r="BK910" s="757">
        <f>IFERROR(IF(COUPNCD(BJ4,$B819,2,0)-BK4&lt;=0,BJ819*$B879/2,0),0)</f>
      </c>
      <c r="BL910" s="757">
        <f>IFERROR(IF(COUPNCD(BK4,$B819,2,0)-BL4&lt;=0,BK819*$B879/2,0),0)</f>
      </c>
      <c r="BM910" s="757">
        <f>IFERROR(IF(COUPNCD(BL4,$B819,2,0)-BM4&lt;=0,BL819*$B879/2,0),0)</f>
      </c>
      <c r="BN910" s="962">
        <f>SUM(BJ910,BK910,BL910,BM910)</f>
      </c>
      <c r="BO910" s="757">
        <f>IFERROR(IF(COUPNCD(BN$4,$B819,2,0)-BO$4&lt;=0,BN819*$B879/2,0),0)</f>
      </c>
      <c r="BP910" s="757">
        <f>IFERROR(IF(COUPNCD(BO4,$B819,2,0)-BP4&lt;=0,BO819*$B879/2,0),0)</f>
      </c>
      <c r="BQ910" s="757">
        <f>IFERROR(IF(COUPNCD(BP4,$B819,2,0)-BQ4&lt;=0,BP819*$B879/2,0),0)</f>
      </c>
      <c r="BR910" s="757">
        <f>IFERROR(IF(COUPNCD(BQ4,$B819,2,0)-BR4&lt;=0,BQ819*$B879/2,0),0)</f>
      </c>
      <c r="BS910" s="962">
        <f>SUM(BO910,BP910,BQ910,BR910)</f>
      </c>
      <c r="BT910" s="758">
        <f>IFERROR(IF(COUPNCD(BS$4,$B819,2,0)-BT$4&lt;=0,BS819*$B879/2,0),0)</f>
      </c>
      <c r="BU910" s="757">
        <f>IFERROR(IF(COUPNCD(BT4,$B819,2,0)-BU4&lt;=0,BT819*$B879/2,0),0)</f>
      </c>
      <c r="BV910" s="757">
        <f>IFERROR(IF(COUPNCD(BU4,$B819,2,0)-BV4&lt;=0,BU819*$B879/2,0),0)</f>
      </c>
      <c r="BW910" s="757">
        <f>IFERROR(IF(COUPNCD(BV4,$B819,2,0)-BW4&lt;=0,BV819*$B879/2,0),0)</f>
      </c>
      <c r="BX910" s="962">
        <f>SUM(BT910,BU910,BV910,BW910)</f>
      </c>
      <c r="BY910" s="757">
        <f>IFERROR(IF(COUPNCD(BX4,$B819,2,0)-BY4&lt;=0,BX819*$B879/2,0),0)</f>
      </c>
      <c r="BZ910" s="757">
        <f>IFERROR(IF(COUPNCD(BY4,$B819,2,0)-BZ4&lt;=0,BY819*$B879/2,0),0)</f>
      </c>
      <c r="CA910" s="757">
        <f>IFERROR(IF(COUPNCD(BZ4,$B819,2,0)-CA4&lt;=0,BZ819*$B879/2,0),0)</f>
      </c>
      <c r="CB910" s="757">
        <f>IFERROR(IF(COUPNCD(CA4,$B819,2,0)-CB4&lt;=0,CA819*$B879/2,0),0)</f>
      </c>
      <c r="CC910" s="962">
        <f>SUM(BY910,BZ910,CA910,CB910)</f>
      </c>
      <c r="CD910" s="962">
        <f>CC819*$B879/IF(AND(CD819=0,CC819&gt;0,(CD4-$B819)&gt;CD3/2),2,1)</f>
      </c>
      <c r="CE910" s="962">
        <f>CD819*$B879/IF(AND(CE819=0,CD819&gt;0,(CE4-$B819)&gt;CE3/2),2,1)</f>
      </c>
      <c r="CF910" s="962">
        <f>CE819*$B879/IF(AND(CF819=0,CE819&gt;0,(CF4-$B819)&gt;CF3/2),2,1)</f>
      </c>
      <c r="CG910" s="273"/>
    </row>
    <row r="911" spans="1:85" hidden="1" outlineLevel="1" collapsed="1" x14ac:dyDescent="0.3">
      <c r="A911" s="424" t="s">
        <v>871</v>
      </c>
      <c r="B911" s="442"/>
      <c r="C911" s="962"/>
      <c r="D911" s="962"/>
      <c r="E911" s="962"/>
      <c r="F911" s="962"/>
      <c r="G911" s="757"/>
      <c r="H911" s="757"/>
      <c r="I911" s="757"/>
      <c r="J911" s="757"/>
      <c r="K911" s="962"/>
      <c r="L911" s="757"/>
      <c r="M911" s="757"/>
      <c r="N911" s="757"/>
      <c r="O911" s="757"/>
      <c r="P911" s="962"/>
      <c r="Q911" s="757"/>
      <c r="R911" s="757"/>
      <c r="S911" s="757"/>
      <c r="T911" s="757"/>
      <c r="U911" s="962"/>
      <c r="V911" s="757"/>
      <c r="W911" s="757"/>
      <c r="X911" s="757"/>
      <c r="Y911" s="757"/>
      <c r="Z911" s="962"/>
      <c r="AA911" s="757"/>
      <c r="AB911" s="757"/>
      <c r="AC911" s="757"/>
      <c r="AD911" s="757"/>
      <c r="AE911" s="962"/>
      <c r="AF911" s="757"/>
      <c r="AG911" s="757"/>
      <c r="AH911" s="757"/>
      <c r="AI911" s="757"/>
      <c r="AJ911" s="962"/>
      <c r="AK911" s="757"/>
      <c r="AL911" s="757"/>
      <c r="AM911" s="757"/>
      <c r="AN911" s="757"/>
      <c r="AO911" s="962"/>
      <c r="AP911" s="757">
        <f t="shared" ref="AP911" si="1871">+AP910/AP$775</f>
      </c>
      <c r="AQ911" s="757">
        <f t="shared" ref="AQ911" si="1872">+AQ910/AQ$775</f>
      </c>
      <c r="AR911" s="757">
        <f t="shared" ref="AR911" si="1873">+AR910/AR$775</f>
      </c>
      <c r="AS911" s="757">
        <f t="shared" ref="AS911" si="1874">+AS910/AS$775</f>
      </c>
      <c r="AT911" s="962">
        <f t="shared" ref="AT911" si="1875">+AT910/AT$775</f>
      </c>
      <c r="AU911" s="757">
        <f t="shared" ref="AU911" si="1876">+AU910/AU$775</f>
      </c>
      <c r="AV911" s="757">
        <f t="shared" ref="AV911" si="1877">+AV910/AV$775</f>
      </c>
      <c r="AW911" s="757">
        <f t="shared" ref="AW911" si="1878">+AW910/AW$775</f>
      </c>
      <c r="AX911" s="757">
        <f t="shared" ref="AX911" si="1879">+AX910/AX$775</f>
      </c>
      <c r="AY911" s="962">
        <f t="shared" ref="AY911" si="1880">+AY910/AY$775</f>
      </c>
      <c r="AZ911" s="757">
        <f t="shared" ref="AZ911" si="1881">+AZ910/AZ$775</f>
      </c>
      <c r="BA911" s="757">
        <f t="shared" ref="BA911" si="1882">+BA910/BA$775</f>
      </c>
      <c r="BB911" s="757">
        <f>+BB910/BB$775</f>
      </c>
      <c r="BC911" s="757">
        <f t="shared" ref="BC911:BD911" si="1883">+BC910/BC$775</f>
      </c>
      <c r="BD911" s="962">
        <f t="shared" si="1883"/>
      </c>
      <c r="BE911" s="757">
        <f>+BE910/BE$775</f>
      </c>
      <c r="BF911" s="757">
        <f t="shared" ref="BF911:BG911" si="1884">+BF910/BF$775</f>
      </c>
      <c r="BG911" s="757">
        <f t="shared" si="1884"/>
      </c>
      <c r="BH911" s="757">
        <f t="shared" ref="BH911:BI911" si="1885">+BH910/BH$775</f>
      </c>
      <c r="BI911" s="962">
        <f t="shared" si="1885"/>
      </c>
      <c r="BJ911" s="757">
        <f t="shared" ref="BJ911:BN911" si="1886">+BJ910/BJ$775</f>
      </c>
      <c r="BK911" s="757">
        <f t="shared" si="1886"/>
      </c>
      <c r="BL911" s="757">
        <f t="shared" si="1886"/>
      </c>
      <c r="BM911" s="757">
        <f t="shared" ref="BM911" si="1887">+BM910/BM$775</f>
      </c>
      <c r="BN911" s="962">
        <f t="shared" si="1886"/>
      </c>
      <c r="BO911" s="757">
        <f>+BO910/BO$775</f>
      </c>
      <c r="BP911" s="757">
        <f>+BP910/BP$775</f>
      </c>
      <c r="BQ911" s="757">
        <f t="shared" ref="BQ911:BS911" si="1888">+BQ910/BQ$775</f>
      </c>
      <c r="BR911" s="757">
        <f t="shared" si="1888"/>
      </c>
      <c r="BS911" s="962">
        <f t="shared" si="1888"/>
      </c>
      <c r="BT911" s="758">
        <f>+BT910/BT$775</f>
      </c>
      <c r="BU911" s="757">
        <f>+BU910/BU$775</f>
      </c>
      <c r="BV911" s="757">
        <f>+BV910/BV$775</f>
      </c>
      <c r="BW911" s="757">
        <f>+BW910/BW$775</f>
      </c>
      <c r="BX911" s="962">
        <f t="shared" ref="BX911" si="1889">+BX910/BX$775</f>
      </c>
      <c r="BY911" s="757">
        <f t="shared" ref="BY911:CF911" si="1890">+BY910/BY$775</f>
      </c>
      <c r="BZ911" s="757">
        <f t="shared" si="1890"/>
      </c>
      <c r="CA911" s="757">
        <f t="shared" si="1890"/>
      </c>
      <c r="CB911" s="757">
        <f t="shared" si="1890"/>
      </c>
      <c r="CC911" s="962">
        <f t="shared" si="1890"/>
      </c>
      <c r="CD911" s="962">
        <f t="shared" si="1890"/>
      </c>
      <c r="CE911" s="962">
        <f t="shared" si="1890"/>
      </c>
      <c r="CF911" s="962">
        <f t="shared" si="1890"/>
      </c>
      <c r="CG911" s="273"/>
    </row>
    <row r="912" spans="1:85" hidden="1" outlineLevel="1" x14ac:dyDescent="0.3">
      <c r="A912" s="424" t="s">
        <v>847</v>
      </c>
      <c r="B912" s="442"/>
      <c r="C912" s="962"/>
      <c r="D912" s="962"/>
      <c r="E912" s="962"/>
      <c r="F912" s="962"/>
      <c r="G912" s="757"/>
      <c r="H912" s="757"/>
      <c r="I912" s="757"/>
      <c r="J912" s="757"/>
      <c r="K912" s="962"/>
      <c r="L912" s="757"/>
      <c r="M912" s="757"/>
      <c r="N912" s="757"/>
      <c r="O912" s="757"/>
      <c r="P912" s="962"/>
      <c r="Q912" s="757"/>
      <c r="R912" s="757"/>
      <c r="S912" s="757"/>
      <c r="T912" s="757"/>
      <c r="U912" s="962"/>
      <c r="V912" s="757"/>
      <c r="W912" s="757"/>
      <c r="X912" s="757"/>
      <c r="Y912" s="757"/>
      <c r="Z912" s="962"/>
      <c r="AA912" s="757"/>
      <c r="AB912" s="757"/>
      <c r="AC912" s="757"/>
      <c r="AD912" s="757"/>
      <c r="AE912" s="962"/>
      <c r="AF912" s="757"/>
      <c r="AG912" s="757"/>
      <c r="AH912" s="757"/>
      <c r="AI912" s="757"/>
      <c r="AJ912" s="962"/>
      <c r="AK912" s="757"/>
      <c r="AL912" s="757"/>
      <c r="AM912" s="757"/>
      <c r="AN912" s="757"/>
      <c r="AO912" s="962"/>
      <c r="AP912" s="757">
        <f>IFERROR(IF(COUPNCD(AO$4,B821,2,0)-AP$4&lt;=0,AO821*B881/2,0),0)</f>
      </c>
      <c r="AQ912" s="757">
        <f>IFERROR(IF(COUPNCD(AP4,B821,2,0)-AQ4&lt;=0,AP821*B881/2,0),0)</f>
      </c>
      <c r="AR912" s="757">
        <f>IFERROR(IF(COUPNCD(AQ4,B821,2,0)-AR4&lt;=0,AQ821*B881/2,0),0)</f>
      </c>
      <c r="AS912" s="757">
        <f>IFERROR(IF(COUPNCD(AR4,B821,2,0)-AS4&lt;=0,AR821*B881/2,0),0)</f>
      </c>
      <c r="AT912" s="962">
        <f t="shared" si="1848"/>
      </c>
      <c r="AU912" s="757">
        <f>IFERROR(IF(COUPNCD(AT4,B821,2,0)-AU4&lt;=0,AT821*B881/2,0),0)</f>
      </c>
      <c r="AV912" s="757">
        <f>IFERROR(IF(COUPNCD(AU4,B821,2,0)-AV4&lt;=0,AU821*B881/2,0),0)</f>
      </c>
      <c r="AW912" s="757">
        <f>IFERROR(IF(COUPNCD(AV4,B821,2,0)-AW4&lt;=0,AV821*B881/2,0),0)</f>
      </c>
      <c r="AX912" s="757">
        <f>IFERROR(IF(COUPNCD(AW4,B821,2,0)-AX4&lt;=0,AW821*B881/2,0),0)</f>
      </c>
      <c r="AY912" s="962">
        <f t="shared" si="1849"/>
      </c>
      <c r="AZ912" s="757">
        <f>IFERROR(IF(COUPNCD(AY4,B821,2,0)-AZ4&lt;=0,AY821*B881/2,0),0)</f>
      </c>
      <c r="BA912" s="757">
        <f>IFERROR(IF(COUPNCD(AZ4,$B821,2,0)-BA4&lt;=0,AZ821*$B881/2,0),0)</f>
      </c>
      <c r="BB912" s="757">
        <f>IFERROR(IF(COUPNCD(BA4,B821,2,0)-BB4&lt;=0,BA821*B881/2,0),0)</f>
      </c>
      <c r="BC912" s="757">
        <f>IFERROR(IF(COUPNCD(BB4,B821,2,0)-BC4&lt;=0,BB821*B881/2,0),0)</f>
      </c>
      <c r="BD912" s="962">
        <f>SUM(AZ912,BA912,BB912,BC912)</f>
      </c>
      <c r="BE912" s="757">
        <f t="shared" ref="BE912:BE914" si="1891">IFERROR(IF(COUPNCD(BD$4,$B821,2,0)-BE$4&lt;=0,BD821*$B881/2,0),0)</f>
      </c>
      <c r="BF912" s="757">
        <f>IFERROR(IF(COUPNCD(BE4,$B821,2,0)-BF4&lt;=0,BE821*$B881/2,0),0)</f>
      </c>
      <c r="BG912" s="757">
        <f>IFERROR(IF(COUPNCD(BF4,$B821,2,0)-BG4&lt;=0,BF821*$B881/2,0),0)</f>
      </c>
      <c r="BH912" s="757">
        <f>IFERROR(IF(COUPNCD(BG4,B821,2,0)-BH4&lt;=0,BG821*B881/2,0),0)</f>
      </c>
      <c r="BI912" s="962">
        <f>SUM(BE912,BF912,BG912,BH912)</f>
      </c>
      <c r="BJ912" s="757">
        <f>IFERROR(IF(COUPNCD(BI$4,$B821,2,0)-BJ$4&lt;=0,BI821*$B881/2,0),0)</f>
      </c>
      <c r="BK912" s="757">
        <f>IFERROR(IF(COUPNCD(BJ4,$B821,2,0)-BK4&lt;=0,BJ821*$B881/2,0),0)</f>
      </c>
      <c r="BL912" s="757">
        <f>IFERROR(IF(COUPNCD(BK4,$B821,2,0)-BL4&lt;=0,BK821*$B881/2,0),0)</f>
      </c>
      <c r="BM912" s="757">
        <f>IFERROR(IF(COUPNCD(BL4,$B821,2,0)-BM4&lt;=0,BL821*$B881/2,0),0)</f>
      </c>
      <c r="BN912" s="962">
        <f>SUM(BJ912,BK912,BL912,BM912)</f>
      </c>
      <c r="BO912" s="757">
        <f>IFERROR(IF(COUPNCD(BN$4,$B821,2,0)-BO$4&lt;=0,BN821*$B881/2,0),0)</f>
      </c>
      <c r="BP912" s="757">
        <f>IFERROR(IF(COUPNCD(BO4,$B821,2,0)-BP4&lt;=0,BO821*$B881/2,0),0)</f>
      </c>
      <c r="BQ912" s="757">
        <f>IFERROR(IF(COUPNCD(BP4,$B821,2,0)-BQ4&lt;=0,BP821*$B881/2,0),0)</f>
      </c>
      <c r="BR912" s="757">
        <f>IFERROR(IF(COUPNCD(BQ4,$B821,2,0)-BR4&lt;=0,BQ821*$B881/2,0),0)</f>
      </c>
      <c r="BS912" s="962">
        <f>SUM(BO912,BP912,BQ912,BR912)</f>
      </c>
      <c r="BT912" s="758">
        <f>IFERROR(IF(COUPNCD(BS$4,$B821,2,0)-BT$4&lt;=0,BS821*$B881/2,0),0)</f>
      </c>
      <c r="BU912" s="757">
        <f>IFERROR(IF(COUPNCD(BT4,$B821,2,0)-BU4&lt;=0,BT821*$B881/2,0),0)</f>
      </c>
      <c r="BV912" s="757">
        <f>IFERROR(IF(COUPNCD(BU4,$B821,2,0)-BV4&lt;=0,BU821*$B881/2,0),0)</f>
      </c>
      <c r="BW912" s="757">
        <f>IFERROR(IF(COUPNCD(BV4,$B821,2,0)-BW4&lt;=0,BV821*$B881/2,0),0)</f>
      </c>
      <c r="BX912" s="962">
        <f>SUM(BT912,BU912,BV912,BW912)</f>
      </c>
      <c r="BY912" s="757">
        <f>IFERROR(IF(COUPNCD(BX4,$B821,2,0)-BY4&lt;=0,BX821*$B881/2,0),0)</f>
      </c>
      <c r="BZ912" s="757">
        <f>IFERROR(IF(COUPNCD(BY4,$B821,2,0)-BZ4&lt;=0,BY821*$B881/2,0),0)</f>
      </c>
      <c r="CA912" s="757">
        <f>IFERROR(IF(COUPNCD(BZ4,$B821,2,0)-CA4&lt;=0,BZ821*$B881/2,0),0)</f>
      </c>
      <c r="CB912" s="757">
        <f>IFERROR(IF(COUPNCD(CA4,$B821,2,0)-CB4&lt;=0,CA821*$B881/2,0),0)</f>
      </c>
      <c r="CC912" s="962">
        <f>SUM(BY912,BZ912,CA912,CB912)</f>
      </c>
      <c r="CD912" s="962">
        <f>CC821*$B881/IF(AND(CD821=0,CC821&gt;0,(CD4-$B821)&gt;CD3/2),2,1)</f>
      </c>
      <c r="CE912" s="962">
        <f>CD821*$B881/IF(AND(CE821=0,CD821&gt;0,(CE4-$B821)&gt;CE3/2),2,1)</f>
      </c>
      <c r="CF912" s="962">
        <f>CE821*$B881/IF(AND(CF821=0,CE821&gt;0,(CF4-$B821)&gt;CF3/2),2,1)</f>
      </c>
      <c r="CG912" s="273"/>
    </row>
    <row r="913" spans="1:85" hidden="1" outlineLevel="1" x14ac:dyDescent="0.3">
      <c r="A913" s="424" t="s">
        <v>844</v>
      </c>
      <c r="B913" s="442"/>
      <c r="C913" s="962"/>
      <c r="D913" s="962"/>
      <c r="E913" s="962"/>
      <c r="F913" s="962"/>
      <c r="G913" s="757"/>
      <c r="H913" s="757"/>
      <c r="I913" s="757"/>
      <c r="J913" s="757"/>
      <c r="K913" s="962"/>
      <c r="L913" s="757"/>
      <c r="M913" s="757"/>
      <c r="N913" s="757"/>
      <c r="O913" s="757"/>
      <c r="P913" s="962"/>
      <c r="Q913" s="757"/>
      <c r="R913" s="757"/>
      <c r="S913" s="757"/>
      <c r="T913" s="757"/>
      <c r="U913" s="962"/>
      <c r="V913" s="757"/>
      <c r="W913" s="757"/>
      <c r="X913" s="757"/>
      <c r="Y913" s="757"/>
      <c r="Z913" s="962"/>
      <c r="AA913" s="757"/>
      <c r="AB913" s="757"/>
      <c r="AC913" s="757"/>
      <c r="AD913" s="757"/>
      <c r="AE913" s="962"/>
      <c r="AF913" s="757"/>
      <c r="AG913" s="757"/>
      <c r="AH913" s="757"/>
      <c r="AI913" s="757"/>
      <c r="AJ913" s="962"/>
      <c r="AK913" s="757"/>
      <c r="AL913" s="757"/>
      <c r="AM913" s="757"/>
      <c r="AN913" s="757"/>
      <c r="AO913" s="962"/>
      <c r="AP913" s="757">
        <f>IFERROR(IF(COUPNCD(AO$4,B822,2,0)-AP$4&lt;=0,AO822*B882/2,0),0)</f>
      </c>
      <c r="AQ913" s="757">
        <f>IFERROR(IF(COUPNCD(AP4,B822,2,0)-AQ4&lt;=0,AP822*B882/2,0),0)</f>
      </c>
      <c r="AR913" s="757">
        <f>IFERROR(IF(COUPNCD(AQ4,B822,2,0)-AR4&lt;=0,AQ822*B882/2,0),0)</f>
      </c>
      <c r="AS913" s="757">
        <f>IFERROR(IF(COUPNCD(AR4,B822,2,0)-AS4&lt;=0,AR822*B882/2,0),0)</f>
      </c>
      <c r="AT913" s="962">
        <f t="shared" si="1848"/>
      </c>
      <c r="AU913" s="757">
        <f>IFERROR(IF(COUPNCD(AT4,B822,2,0)-AU4&lt;=0,AT822*B882/2,0),0)</f>
      </c>
      <c r="AV913" s="757">
        <f>IFERROR(IF(COUPNCD(AU4,B822,2,0)-AV4&lt;=0,AU822*B882/2,0),0)</f>
      </c>
      <c r="AW913" s="757">
        <f>IFERROR(IF(COUPNCD(AV4,B822,2,0)-AW4&lt;=0,AV822*B882/2,0),0)</f>
      </c>
      <c r="AX913" s="757">
        <f>IFERROR(IF(COUPNCD(AW4,B822,2,0)-AX4&lt;=0,AW822*B882/2,0),0)</f>
      </c>
      <c r="AY913" s="962">
        <f t="shared" si="1849"/>
      </c>
      <c r="AZ913" s="757">
        <f>IFERROR(IF(COUPNCD(AY4,B822,2,0)-AZ4&lt;=0,AY822*B882/2,0),0)</f>
      </c>
      <c r="BA913" s="757">
        <f>IFERROR(IF(COUPNCD(AZ4,$B822,2,0)-BA4&lt;=0,AZ822*$B882/2,0),0)</f>
      </c>
      <c r="BB913" s="757">
        <f>IFERROR(IF(COUPNCD(BA4,B822,2,0)-BB4&lt;=0,BA822*B882/2,0),0)</f>
      </c>
      <c r="BC913" s="757">
        <f>IFERROR(IF(COUPNCD(BB4,B822,2,0)-BC4&lt;=0,BB822*B882/2,0),0)</f>
      </c>
      <c r="BD913" s="962">
        <f>SUM(AZ913,BA913,BB913,BC913)</f>
      </c>
      <c r="BE913" s="757">
        <f t="shared" si="1891"/>
      </c>
      <c r="BF913" s="757">
        <f>IFERROR(IF(COUPNCD(BE4,$B822,2,0)-BF4&lt;=0,BE822*$B882/2,0),0)</f>
      </c>
      <c r="BG913" s="757">
        <f>IFERROR(IF(COUPNCD(BF4,$B822,2,0)-BG4&lt;=0,BF822*$B882/2,0),0)</f>
      </c>
      <c r="BH913" s="757">
        <f>IFERROR(IF(COUPNCD(BG4,B822,2,0)-BH4&lt;=0,BG822*B882/2,0),0)</f>
      </c>
      <c r="BI913" s="962">
        <f>SUM(BE913,BF913,BG913,BH913)</f>
      </c>
      <c r="BJ913" s="757">
        <f>IFERROR(IF(COUPNCD(BI$4,$B822,2,0)-BJ$4&lt;=0,BI822*$B882/2,0),0)</f>
      </c>
      <c r="BK913" s="757">
        <f>IFERROR(IF(COUPNCD(BJ4,$B822,2,0)-BK4&lt;=0,BJ822*$B882/2,0),0)</f>
      </c>
      <c r="BL913" s="757">
        <f>IFERROR(IF(COUPNCD(BK4,$B822,2,0)-BL4&lt;=0,BK822*$B882/2,0),0)</f>
      </c>
      <c r="BM913" s="757">
        <f>IFERROR(IF(COUPNCD(BL4,$B822,2,0)-BM4&lt;=0,BL822*$B882/2,0),0)</f>
      </c>
      <c r="BN913" s="962">
        <f>SUM(BJ913,BK913,BL913,BM913)</f>
      </c>
      <c r="BO913" s="757">
        <f>IFERROR(IF(COUPNCD(BN$4,$B822,2,0)-BO$4&lt;=0,BN822*$B882/2,0),0)</f>
      </c>
      <c r="BP913" s="757">
        <f>IFERROR(IF(COUPNCD(BO4,$B822,2,0)-BP4&lt;=0,BO822*$B882/2,0),0)</f>
      </c>
      <c r="BQ913" s="757">
        <f>IFERROR(IF(COUPNCD(BP4,$B822,2,0)-BQ4&lt;=0,BP822*$B882/2,0),0)</f>
      </c>
      <c r="BR913" s="757">
        <f>IFERROR(IF(COUPNCD(BQ4,$B822,2,0)-BR4&lt;=0,BQ822*$B882/2,0),0)</f>
      </c>
      <c r="BS913" s="962">
        <f>SUM(BO913,BP913,BQ913,BR913)</f>
      </c>
      <c r="BT913" s="758">
        <f>IFERROR(IF(COUPNCD(BS$4,$B822,2,0)-BT$4&lt;=0,BS822*$B882/2,0),0)</f>
      </c>
      <c r="BU913" s="757">
        <f>IFERROR(IF(COUPNCD(BT4,$B822,2,0)-BU4&lt;=0,BT822*$B882/2,0),0)</f>
      </c>
      <c r="BV913" s="757">
        <f>IFERROR(IF(COUPNCD(BU4,$B822,2,0)-BV4&lt;=0,BU822*$B882/2,0),0)</f>
      </c>
      <c r="BW913" s="757">
        <f>IFERROR(IF(COUPNCD(BV4,$B822,2,0)-BW4&lt;=0,BV822*$B882/2,0),0)</f>
      </c>
      <c r="BX913" s="962">
        <f>SUM(BT913,BU913,BV913,BW913)</f>
      </c>
      <c r="BY913" s="757">
        <f>IFERROR(IF(COUPNCD(BX4,$B822,2,0)-BY4&lt;=0,BX822*$B882/2,0),0)</f>
      </c>
      <c r="BZ913" s="757">
        <f>IFERROR(IF(COUPNCD(BY4,$B822,2,0)-BZ4&lt;=0,BY822*$B882/2,0),0)</f>
      </c>
      <c r="CA913" s="757">
        <f>IFERROR(IF(COUPNCD(BZ4,$B822,2,0)-CA4&lt;=0,BZ822*$B882/2,0),0)</f>
      </c>
      <c r="CB913" s="757">
        <f>IFERROR(IF(COUPNCD(CA4,$B822,2,0)-CB4&lt;=0,CA822*$B882/2,0),0)</f>
      </c>
      <c r="CC913" s="962">
        <f>SUM(BY913,BZ913,CA913,CB913)</f>
      </c>
      <c r="CD913" s="962">
        <f>CC822*$B882/IF(AND(CD822=0,CC822&gt;0,(CD4-$B822)&gt;CD3/2),2,1)</f>
      </c>
      <c r="CE913" s="962">
        <f>CD822*$B882/IF(AND(CE822=0,CD822&gt;0,(CE4-$B822)&gt;CE3/2),2,1)</f>
      </c>
      <c r="CF913" s="962">
        <f>CE822*$B882/IF(AND(CF822=0,CE822&gt;0,(CF4-$B822)&gt;CF3/2),2,1)</f>
      </c>
      <c r="CG913" s="273"/>
    </row>
    <row r="914" spans="1:85" hidden="1" outlineLevel="2" x14ac:dyDescent="0.3">
      <c r="A914" s="413" t="s">
        <v>895</v>
      </c>
      <c r="B914" s="442"/>
      <c r="C914" s="962"/>
      <c r="D914" s="962"/>
      <c r="E914" s="962"/>
      <c r="F914" s="962"/>
      <c r="G914" s="757"/>
      <c r="H914" s="757"/>
      <c r="I914" s="757"/>
      <c r="J914" s="757"/>
      <c r="K914" s="962"/>
      <c r="L914" s="757"/>
      <c r="M914" s="757"/>
      <c r="N914" s="757"/>
      <c r="O914" s="757"/>
      <c r="P914" s="962"/>
      <c r="Q914" s="757"/>
      <c r="R914" s="757"/>
      <c r="S914" s="757"/>
      <c r="T914" s="757"/>
      <c r="U914" s="962"/>
      <c r="V914" s="757"/>
      <c r="W914" s="757"/>
      <c r="X914" s="757"/>
      <c r="Y914" s="757"/>
      <c r="Z914" s="962"/>
      <c r="AA914" s="757"/>
      <c r="AB914" s="757"/>
      <c r="AC914" s="757"/>
      <c r="AD914" s="757"/>
      <c r="AE914" s="962"/>
      <c r="AF914" s="757"/>
      <c r="AG914" s="757"/>
      <c r="AH914" s="757"/>
      <c r="AI914" s="757"/>
      <c r="AJ914" s="962"/>
      <c r="AK914" s="757"/>
      <c r="AL914" s="757"/>
      <c r="AM914" s="757"/>
      <c r="AN914" s="757"/>
      <c r="AO914" s="962"/>
      <c r="AP914" s="757">
        <f>IFERROR(IF(COUPNCD(AO$4,B823,2,0)-AP$4&lt;=0,AO823*B883/2,0),0)</f>
      </c>
      <c r="AQ914" s="757">
        <f>IFERROR(IF(COUPNCD(AP4,B823,2,0)-AQ4&lt;=0,AP823*B883/2,0),0)</f>
      </c>
      <c r="AR914" s="757">
        <f>IFERROR(IF(COUPNCD(AQ4,B823,2,0)-AR4&lt;=0,AQ823*B883/2,0),0)</f>
      </c>
      <c r="AS914" s="757">
        <f>IFERROR(IF(COUPNCD(AR4,B823,2,0)-AS4&lt;=0,AR823*B883/2,0),0)</f>
      </c>
      <c r="AT914" s="962">
        <f t="shared" si="1848"/>
      </c>
      <c r="AU914" s="757">
        <f>IFERROR(IF(COUPNCD(AT4,B823,2,0)-AU4&lt;=0,AT823*B883/2,0),0)</f>
      </c>
      <c r="AV914" s="757">
        <f>IFERROR(IF(COUPNCD(AU4,B823,2,0)-AV4&lt;=0,AU823*B883/2,0),0)</f>
      </c>
      <c r="AW914" s="757">
        <f>IFERROR(IF(COUPNCD(AV4,B823,2,0)-AW4&lt;=0,AV823*B883/2,0),0)</f>
      </c>
      <c r="AX914" s="757">
        <f>IFERROR(IF(COUPNCD(AW4,B823,2,0)-AX4&lt;=0,AW823*B883/2,0),0)</f>
      </c>
      <c r="AY914" s="962">
        <f t="shared" si="1849"/>
      </c>
      <c r="AZ914" s="757">
        <f>IFERROR(IF(COUPNCD(AY4,B823,2,0)-AZ4&lt;=0,AY823*B883/2,0),0)</f>
      </c>
      <c r="BA914" s="757">
        <f>IFERROR(IF(COUPNCD(AZ4,$B823,2,0)-BA4&lt;=0,AZ823*$B883/2,0),0)</f>
      </c>
      <c r="BB914" s="757">
        <f>IFERROR(IF(COUPNCD(BA4,B823,2,0)-BB4&lt;=0,BA823*B883/2,0),0)</f>
      </c>
      <c r="BC914" s="757">
        <f>IFERROR(IF(COUPNCD(BB4,B823,2,0)-BC4&lt;=0,BB823*B883/2,0),0)</f>
      </c>
      <c r="BD914" s="962">
        <f>SUM(AZ914,BA914,BB914,BC914)</f>
      </c>
      <c r="BE914" s="757">
        <f t="shared" si="1891"/>
      </c>
      <c r="BF914" s="757">
        <f>IFERROR(IF(COUPNCD(BE4,$B823,2,0)-BF4&lt;=0,BE823*$B883/2,0),0)</f>
      </c>
      <c r="BG914" s="757">
        <f>IFERROR(IF(COUPNCD(BF4,$B823,2,0)-BG4&lt;=0,BF823*$B883/2,0),0)</f>
      </c>
      <c r="BH914" s="757">
        <f>IFERROR(IF(COUPNCD(BG4,B823,2,0)-BH4&lt;=0,BG823*B883/2,0),0)</f>
      </c>
      <c r="BI914" s="962">
        <f>SUM(BE914,BF914,BG914,BH914)</f>
      </c>
      <c r="BJ914" s="757">
        <f>IFERROR(IF(COUPNCD(BI$4,$B823,2,0)-BJ$4&lt;=0,BI823*$B883/2,0),0)</f>
      </c>
      <c r="BK914" s="757">
        <f>IFERROR(IF(COUPNCD(BJ4,$B823,2,0)-BK4&lt;=0,BJ823*$B883/2,0),0)</f>
      </c>
      <c r="BL914" s="757">
        <f>IFERROR(IF(COUPNCD(BK4,$B823,2,0)-BL4&lt;=0,BK823*$B883/2,0),0)</f>
      </c>
      <c r="BM914" s="757">
        <f>IFERROR(IF(COUPNCD(BL4,$B823,2,0)-BM4&lt;=0,BL823*$B883/2,0),0)</f>
      </c>
      <c r="BN914" s="962">
        <f>SUM(BJ914,BK914,BL914,BM914)</f>
      </c>
      <c r="BO914" s="757">
        <f>IFERROR(IF(COUPNCD(BN$4,$B823,2,0)-BO$4&lt;=0,BN823*$B883/2,0),0)</f>
      </c>
      <c r="BP914" s="757">
        <f>IFERROR(IF(COUPNCD(BO4,$B823,2,0)-BP4&lt;=0,BO823*$B883/2,0),0)</f>
      </c>
      <c r="BQ914" s="757">
        <f>IFERROR(IF(COUPNCD(BP4,$B823,2,0)-BQ4&lt;=0,BP823*$B883/2,0),0)</f>
      </c>
      <c r="BR914" s="757">
        <f>IFERROR(IF(COUPNCD(BQ4,$B823,2,0)-BR4&lt;=0,BQ823*$B883/2,0),0)</f>
      </c>
      <c r="BS914" s="962">
        <f>SUM(BO914,BP914,BQ914,BR914)</f>
      </c>
      <c r="BT914" s="758">
        <f>IFERROR(IF(COUPNCD(BS$4,$B823,2,0)-BT$4&lt;=0,BS823*$B883/2,0),0)</f>
      </c>
      <c r="BU914" s="757">
        <f>IFERROR(IF(COUPNCD(BT4,$B823,2,0)-BU4&lt;=0,BT823*$B883/2,0),0)</f>
      </c>
      <c r="BV914" s="757">
        <f>IFERROR(IF(COUPNCD(BU4,$B823,2,0)-BV4&lt;=0,BU823*$B883/2,0),0)</f>
      </c>
      <c r="BW914" s="757">
        <f>IFERROR(IF(COUPNCD(BV4,$B823,2,0)-BW4&lt;=0,BV823*$B883/2,0),0)</f>
      </c>
      <c r="BX914" s="962">
        <f>SUM(BT914,BU914,BV914,BW914)</f>
      </c>
      <c r="BY914" s="757">
        <f>IFERROR(IF(COUPNCD(BX4,$B823,2,0)-BY4&lt;=0,BX823*$B883/2,0),0)</f>
      </c>
      <c r="BZ914" s="757">
        <f>IFERROR(IF(COUPNCD(BY4,$B823,2,0)-BZ4&lt;=0,BY823*$B883/2,0),0)</f>
      </c>
      <c r="CA914" s="757">
        <f>IFERROR(IF(COUPNCD(BZ4,$B823,2,0)-CA4&lt;=0,BZ823*$B883/2,0),0)</f>
      </c>
      <c r="CB914" s="757">
        <f>IFERROR(IF(COUPNCD(CA4,$B823,2,0)-CB4&lt;=0,CA823*$B883/2,0),0)</f>
      </c>
      <c r="CC914" s="962">
        <f>SUM(BY914,BZ914,CA914,CB914)</f>
      </c>
      <c r="CD914" s="962">
        <f>CC823*$B883/IF(AND(CD823=0,CC823&gt;0,(CD4-$B823)&gt;CD3/2),2,1)</f>
      </c>
      <c r="CE914" s="962">
        <f>CD823*$B883/IF(AND(CE823=0,CD823&gt;0,(CE4-$B823)&gt;CE3/2),2,1)</f>
      </c>
      <c r="CF914" s="962">
        <f>CE823*$B883/IF(AND(CF823=0,CE823&gt;0,(CF4-$B823)&gt;CF3/2),2,1)</f>
      </c>
      <c r="CG914" s="273"/>
    </row>
    <row r="915" spans="1:85" hidden="1" outlineLevel="1" collapsed="1" x14ac:dyDescent="0.3">
      <c r="A915" s="424" t="s">
        <v>872</v>
      </c>
      <c r="B915" s="442"/>
      <c r="C915" s="962"/>
      <c r="D915" s="962"/>
      <c r="E915" s="962"/>
      <c r="F915" s="962"/>
      <c r="G915" s="757"/>
      <c r="H915" s="757"/>
      <c r="I915" s="757"/>
      <c r="J915" s="757"/>
      <c r="K915" s="962"/>
      <c r="L915" s="757"/>
      <c r="M915" s="757"/>
      <c r="N915" s="757"/>
      <c r="O915" s="757"/>
      <c r="P915" s="962"/>
      <c r="Q915" s="757"/>
      <c r="R915" s="757"/>
      <c r="S915" s="757"/>
      <c r="T915" s="757"/>
      <c r="U915" s="962"/>
      <c r="V915" s="757"/>
      <c r="W915" s="757"/>
      <c r="X915" s="757"/>
      <c r="Y915" s="757"/>
      <c r="Z915" s="962"/>
      <c r="AA915" s="757"/>
      <c r="AB915" s="757"/>
      <c r="AC915" s="757"/>
      <c r="AD915" s="757"/>
      <c r="AE915" s="962"/>
      <c r="AF915" s="757"/>
      <c r="AG915" s="757"/>
      <c r="AH915" s="757"/>
      <c r="AI915" s="757"/>
      <c r="AJ915" s="962"/>
      <c r="AK915" s="757"/>
      <c r="AL915" s="757"/>
      <c r="AM915" s="757"/>
      <c r="AN915" s="757"/>
      <c r="AO915" s="962"/>
      <c r="AP915" s="757">
        <f t="shared" ref="AP915" si="1892">+AP914/AP$775</f>
      </c>
      <c r="AQ915" s="757">
        <f t="shared" ref="AQ915" si="1893">+AQ914/AQ$775</f>
      </c>
      <c r="AR915" s="757">
        <f t="shared" ref="AR915" si="1894">+AR914/AR$775</f>
      </c>
      <c r="AS915" s="757">
        <f t="shared" ref="AS915" si="1895">+AS914/AS$775</f>
      </c>
      <c r="AT915" s="962">
        <f t="shared" ref="AT915" si="1896">+AT914/AT$775</f>
      </c>
      <c r="AU915" s="757">
        <f t="shared" ref="AU915" si="1897">+AU914/AU$775</f>
      </c>
      <c r="AV915" s="757">
        <f t="shared" ref="AV915" si="1898">+AV914/AV$775</f>
      </c>
      <c r="AW915" s="757">
        <f t="shared" ref="AW915" si="1899">+AW914/AW$775</f>
      </c>
      <c r="AX915" s="757">
        <f t="shared" ref="AX915" si="1900">+AX914/AX$775</f>
      </c>
      <c r="AY915" s="962">
        <f t="shared" ref="AY915" si="1901">+AY914/AY$775</f>
      </c>
      <c r="AZ915" s="757">
        <f t="shared" ref="AZ915" si="1902">+AZ914/AZ$775</f>
      </c>
      <c r="BA915" s="757">
        <f t="shared" ref="BA915" si="1903">+BA914/BA$775</f>
      </c>
      <c r="BB915" s="757">
        <f>+BB914/BB$775</f>
      </c>
      <c r="BC915" s="757">
        <f t="shared" ref="BC915:BD915" si="1904">+BC914/BC$775</f>
      </c>
      <c r="BD915" s="962">
        <f t="shared" si="1904"/>
      </c>
      <c r="BE915" s="757">
        <f>+BE914/BE$775</f>
      </c>
      <c r="BF915" s="757">
        <f t="shared" ref="BF915:BG915" si="1905">+BF914/BF$775</f>
      </c>
      <c r="BG915" s="757">
        <f t="shared" si="1905"/>
      </c>
      <c r="BH915" s="757">
        <f>+BH914/BH$775</f>
      </c>
      <c r="BI915" s="962">
        <f t="shared" ref="BI915" si="1906">+BI914/BI$775</f>
      </c>
      <c r="BJ915" s="757">
        <f t="shared" ref="BJ915:BN915" si="1907">+BJ914/BJ$775</f>
      </c>
      <c r="BK915" s="757">
        <f t="shared" si="1907"/>
      </c>
      <c r="BL915" s="757">
        <f t="shared" si="1907"/>
      </c>
      <c r="BM915" s="757">
        <f t="shared" ref="BM915" si="1908">+BM914/BM$775</f>
      </c>
      <c r="BN915" s="962">
        <f t="shared" si="1907"/>
      </c>
      <c r="BO915" s="757">
        <f>+BO914/BO$775</f>
      </c>
      <c r="BP915" s="757">
        <f>+BP914/BP$775</f>
      </c>
      <c r="BQ915" s="757">
        <f t="shared" ref="BQ915:BS915" si="1909">+BQ914/BQ$775</f>
      </c>
      <c r="BR915" s="757">
        <f t="shared" si="1909"/>
      </c>
      <c r="BS915" s="962">
        <f t="shared" si="1909"/>
      </c>
      <c r="BT915" s="758">
        <f>+BT914/BT$775</f>
      </c>
      <c r="BU915" s="757">
        <f>+BU914/BU$775</f>
      </c>
      <c r="BV915" s="757">
        <f>+BV914/BV$775</f>
      </c>
      <c r="BW915" s="757">
        <f>+BW914/BW$775</f>
      </c>
      <c r="BX915" s="962">
        <f t="shared" ref="BX915" si="1910">+BX914/BX$775</f>
      </c>
      <c r="BY915" s="757">
        <f t="shared" ref="BY915:CF915" si="1911">+BY914/BY$775</f>
      </c>
      <c r="BZ915" s="757">
        <f t="shared" si="1911"/>
      </c>
      <c r="CA915" s="757">
        <f t="shared" si="1911"/>
      </c>
      <c r="CB915" s="757">
        <f t="shared" si="1911"/>
      </c>
      <c r="CC915" s="962">
        <f t="shared" si="1911"/>
      </c>
      <c r="CD915" s="962">
        <f t="shared" si="1911"/>
      </c>
      <c r="CE915" s="962">
        <f t="shared" si="1911"/>
      </c>
      <c r="CF915" s="962">
        <f t="shared" si="1911"/>
      </c>
      <c r="CG915" s="273"/>
    </row>
    <row r="916" spans="1:85" hidden="1" outlineLevel="1" x14ac:dyDescent="0.3">
      <c r="A916" s="424" t="s">
        <v>848</v>
      </c>
      <c r="B916" s="442"/>
      <c r="C916" s="962"/>
      <c r="D916" s="962"/>
      <c r="E916" s="962"/>
      <c r="F916" s="962"/>
      <c r="G916" s="757"/>
      <c r="H916" s="757"/>
      <c r="I916" s="757"/>
      <c r="J916" s="757"/>
      <c r="K916" s="962"/>
      <c r="L916" s="757"/>
      <c r="M916" s="757"/>
      <c r="N916" s="757"/>
      <c r="O916" s="757"/>
      <c r="P916" s="962"/>
      <c r="Q916" s="757"/>
      <c r="R916" s="757"/>
      <c r="S916" s="757"/>
      <c r="T916" s="757"/>
      <c r="U916" s="962"/>
      <c r="V916" s="757"/>
      <c r="W916" s="757"/>
      <c r="X916" s="757"/>
      <c r="Y916" s="757"/>
      <c r="Z916" s="962"/>
      <c r="AA916" s="757"/>
      <c r="AB916" s="757"/>
      <c r="AC916" s="757"/>
      <c r="AD916" s="757"/>
      <c r="AE916" s="962"/>
      <c r="AF916" s="757"/>
      <c r="AG916" s="757"/>
      <c r="AH916" s="757"/>
      <c r="AI916" s="757"/>
      <c r="AJ916" s="962"/>
      <c r="AK916" s="757"/>
      <c r="AL916" s="757"/>
      <c r="AM916" s="757"/>
      <c r="AN916" s="757"/>
      <c r="AO916" s="962"/>
      <c r="AP916" s="757">
        <f>IFERROR(IF(COUPNCD(AO$4,B825,2,0)-AP$4&lt;=0,AO825*B885/2,0),0)</f>
      </c>
      <c r="AQ916" s="757">
        <f>IFERROR(IF(COUPNCD(AP4,B825,2,0)-AQ4&lt;=0,AP825*B885/2,0),0)</f>
      </c>
      <c r="AR916" s="757">
        <f>IFERROR(IF(COUPNCD(AQ4,B825,2,0)-AR4&lt;=0,AQ825*B885/2,0),0)</f>
      </c>
      <c r="AS916" s="757">
        <f>IFERROR(IF(COUPNCD(AR4,B825,2,0)-AS4&lt;=0,AR825*B885/2,0),0)</f>
      </c>
      <c r="AT916" s="962">
        <f t="shared" si="1848"/>
      </c>
      <c r="AU916" s="757">
        <f>IFERROR(IF(COUPNCD(AT4,B825,2,0)-AU4&lt;=0,AT825*B885/2,0),0)</f>
      </c>
      <c r="AV916" s="757">
        <f>IFERROR(IF(COUPNCD(AU4,B825,2,0)-AV4&lt;=0,AU825*B885/2,0),0)</f>
      </c>
      <c r="AW916" s="757">
        <f>IFERROR(IF(COUPNCD(AV4,B825,2,0)-AW4&lt;=0,AV825*B885/2,0),0)</f>
      </c>
      <c r="AX916" s="757">
        <f>IFERROR(IF(COUPNCD(AW4,B825,2,0)-AX4&lt;=0,AW825*B885/2,0),0)</f>
      </c>
      <c r="AY916" s="962">
        <f t="shared" si="1849"/>
      </c>
      <c r="AZ916" s="757">
        <f>IFERROR(IF(COUPNCD(AY4,B825,2,0)-AZ4&lt;=0,AY825*B885/2,0),0)</f>
      </c>
      <c r="BA916" s="757">
        <f>IFERROR(IF(COUPNCD(AZ4,$B825,2,0)-BA4&lt;=0,AZ825*$B885/2,0),0)</f>
      </c>
      <c r="BB916" s="757">
        <f>IFERROR(IF(COUPNCD(BA4,B825,2,0)-BB4&lt;=0,BA825*B885/2,0),0)</f>
      </c>
      <c r="BC916" s="757">
        <f>IFERROR(IF(COUPNCD(BB4,B825,2,0)-BC4&lt;=0,BB825*B885/2,0),0)</f>
      </c>
      <c r="BD916" s="962">
        <f>SUM(AZ916,BA916,BB916,BC916)</f>
      </c>
      <c r="BE916" s="757">
        <f t="shared" ref="BE916:BE917" si="1912">IFERROR(IF(COUPNCD(BD$4,$B825,2,0)-BE$4&lt;=0,BD825*$B885/2,0),0)</f>
      </c>
      <c r="BF916" s="757">
        <f>IFERROR(IF(COUPNCD(BE4,$B825,2,0)-BF4&lt;=0,BE825*$B885/2,0),0)</f>
      </c>
      <c r="BG916" s="757">
        <f>IFERROR(IF(COUPNCD(BF4,$B825,2,0)-BG4&lt;=0,BF825*$B885/2,0),0)</f>
      </c>
      <c r="BH916" s="757">
        <f>IFERROR(IF(COUPNCD(BG4,B825,2,0)-BH4&lt;=0,BG825*B885/2,0),0)</f>
      </c>
      <c r="BI916" s="962">
        <f>SUM(BE916,BF916,BG916,BH916)</f>
      </c>
      <c r="BJ916" s="757">
        <f>IFERROR(IF(COUPNCD(BI$4,$B825,2,0)-BJ$4&lt;=0,BI825*$B885/2,0),0)</f>
      </c>
      <c r="BK916" s="757">
        <f>IFERROR(IF(COUPNCD(BJ4,$B825,2,0)-BK4&lt;=0,BJ825*$B885/2,0),0)</f>
      </c>
      <c r="BL916" s="757">
        <f>IFERROR(IF(COUPNCD(BK4,$B825,2,0)-BL4&lt;=0,BK825*$B885/2,0),0)</f>
      </c>
      <c r="BM916" s="757">
        <f>IFERROR(IF(COUPNCD(BL4,$B825,2,0)-BM4&lt;=0,BL825*$B885/2,0),0)</f>
      </c>
      <c r="BN916" s="962">
        <f>SUM(BJ916,BK916,BL916,BM916)</f>
      </c>
      <c r="BO916" s="757">
        <f>IFERROR(IF(COUPNCD(BN$4,$B825,2,0)-BO$4&lt;=0,BN825*$B885/2,0),0)</f>
      </c>
      <c r="BP916" s="757">
        <f>IFERROR(IF(COUPNCD(BO4,$B825,2,0)-BP4&lt;=0,BO825*$B885/2,0),0)</f>
      </c>
      <c r="BQ916" s="757">
        <f>IFERROR(IF(COUPNCD(BP4,$B825,2,0)-BQ4&lt;=0,BP825*$B885/2,0),0)</f>
      </c>
      <c r="BR916" s="757">
        <f>IFERROR(IF(COUPNCD(BQ4,$B825,2,0)-BR4&lt;=0,BQ825*$B885/2,0),0)</f>
      </c>
      <c r="BS916" s="962">
        <f>SUM(BO916,BP916,BQ916,BR916)</f>
      </c>
      <c r="BT916" s="758">
        <f>IFERROR(IF(COUPNCD(BS$4,$B825,2,0)-BT$4&lt;=0,BS825*$B885/2,0),0)</f>
      </c>
      <c r="BU916" s="757">
        <f>IFERROR(IF(COUPNCD(BT4,$B825,2,0)-BU4&lt;=0,BT825*$B885/2,0),0)</f>
      </c>
      <c r="BV916" s="757">
        <f>IFERROR(IF(COUPNCD(BU4,$B825,2,0)-BV4&lt;=0,BU825*$B885/2,0),0)</f>
      </c>
      <c r="BW916" s="757">
        <f>IFERROR(IF(COUPNCD(BV4,$B825,2,0)-BW4&lt;=0,BV825*$B885/2,0),0)</f>
      </c>
      <c r="BX916" s="962">
        <f>SUM(BT916,BU916,BV916,BW916)</f>
      </c>
      <c r="BY916" s="757">
        <f>IFERROR(IF(COUPNCD(BX4,$B825,2,0)-BY4&lt;=0,BX825*$B885/2,0),0)</f>
      </c>
      <c r="BZ916" s="757">
        <f>IFERROR(IF(COUPNCD(BY4,$B825,2,0)-BZ4&lt;=0,BY825*$B885/2,0),0)</f>
      </c>
      <c r="CA916" s="757">
        <f>IFERROR(IF(COUPNCD(BZ4,$B825,2,0)-CA4&lt;=0,BZ825*$B885/2,0),0)</f>
      </c>
      <c r="CB916" s="757">
        <f>IFERROR(IF(COUPNCD(CA4,$B825,2,0)-CB4&lt;=0,CA825*$B885/2,0),0)</f>
      </c>
      <c r="CC916" s="962">
        <f>SUM(BY916,BZ916,CA916,CB916)</f>
      </c>
      <c r="CD916" s="962">
        <f>CC825*$B885/IF(AND(CD825=0,CC825&gt;0,(CD4-$B825)&gt;CD3/2),2,1)</f>
      </c>
      <c r="CE916" s="962">
        <f>CD825*$B885/IF(AND(CE825=0,CD825&gt;0,(CE4-$B825)&gt;CE3/2),2,1)</f>
      </c>
      <c r="CF916" s="962">
        <f>CE825*$B885/IF(AND(CF825=0,CE825&gt;0,(CF4-$B825)&gt;CF3/2),2,1)</f>
      </c>
      <c r="CG916" s="273"/>
    </row>
    <row r="917" spans="1:85" hidden="1" outlineLevel="2" x14ac:dyDescent="0.3">
      <c r="A917" s="413" t="s">
        <v>896</v>
      </c>
      <c r="B917" s="442"/>
      <c r="C917" s="962"/>
      <c r="D917" s="962"/>
      <c r="E917" s="962"/>
      <c r="F917" s="962"/>
      <c r="G917" s="757"/>
      <c r="H917" s="757"/>
      <c r="I917" s="757"/>
      <c r="J917" s="757"/>
      <c r="K917" s="962"/>
      <c r="L917" s="757"/>
      <c r="M917" s="757"/>
      <c r="N917" s="757"/>
      <c r="O917" s="757"/>
      <c r="P917" s="962"/>
      <c r="Q917" s="757"/>
      <c r="R917" s="757"/>
      <c r="S917" s="757"/>
      <c r="T917" s="757"/>
      <c r="U917" s="962"/>
      <c r="V917" s="757"/>
      <c r="W917" s="757"/>
      <c r="X917" s="757"/>
      <c r="Y917" s="757"/>
      <c r="Z917" s="962"/>
      <c r="AA917" s="757"/>
      <c r="AB917" s="757"/>
      <c r="AC917" s="757"/>
      <c r="AD917" s="757"/>
      <c r="AE917" s="962"/>
      <c r="AF917" s="757"/>
      <c r="AG917" s="757"/>
      <c r="AH917" s="757"/>
      <c r="AI917" s="757"/>
      <c r="AJ917" s="962"/>
      <c r="AK917" s="757"/>
      <c r="AL917" s="757"/>
      <c r="AM917" s="757"/>
      <c r="AN917" s="757"/>
      <c r="AO917" s="962"/>
      <c r="AP917" s="757">
        <f>IFERROR(IF(COUPNCD(AO$4,B826,2,0)-AP$4&lt;=0,AO826*B886/2,0),0)</f>
      </c>
      <c r="AQ917" s="757">
        <f>IFERROR(IF(COUPNCD(AP4,B826,2,0)-AQ4&lt;=0,AP826*B886/2,0),0)</f>
      </c>
      <c r="AR917" s="757">
        <f>IFERROR(IF(COUPNCD(AQ4,B826,2,0)-AR4&lt;=0,AQ826*B886/2,0),0)</f>
      </c>
      <c r="AS917" s="757">
        <f>IFERROR(IF(COUPNCD(AR4,B826,2,0)-AS4&lt;=0,AR826*B886/2,0),0)</f>
      </c>
      <c r="AT917" s="962">
        <f t="shared" si="1848"/>
      </c>
      <c r="AU917" s="757">
        <f>IFERROR(IF(COUPNCD(AT4,B826,2,0)-AU4&lt;=0,AT826*B886/2,0),0)</f>
      </c>
      <c r="AV917" s="757">
        <f>IFERROR(IF(COUPNCD(AU4,B826,2,0)-AV4&lt;=0,AU826*B886/2,0),0)</f>
      </c>
      <c r="AW917" s="757">
        <f>IFERROR(IF(COUPNCD(AV4,B826,2,0)-AW4&lt;=0,AV826*B886/2,0),0)</f>
      </c>
      <c r="AX917" s="757">
        <f>IFERROR(IF(COUPNCD(AW4,B826,2,0)-AX4&lt;=0,AW826*B886/2,0),0)</f>
      </c>
      <c r="AY917" s="962">
        <f t="shared" si="1849"/>
      </c>
      <c r="AZ917" s="757">
        <f>IFERROR(IF(COUPNCD(AY4,B826,2,0)-AZ4&lt;=0,AY826*B886/2,0),0)</f>
      </c>
      <c r="BA917" s="757">
        <f>IFERROR(IF(COUPNCD(AZ4,$B826,2,0)-BA4&lt;=0,AZ826*$B886/2,0),0)</f>
      </c>
      <c r="BB917" s="757">
        <f>IFERROR(IF(COUPNCD(BA4,B826,2,0)-BB4&lt;=0,BA826*B886/2,0),0)</f>
      </c>
      <c r="BC917" s="757">
        <f>IFERROR(IF(COUPNCD(BB4,B826,2,0)-BC4&lt;=0,BB826*B886/2,0),0)</f>
      </c>
      <c r="BD917" s="962">
        <f>SUM(AZ917,BA917,BB917,BC917)</f>
      </c>
      <c r="BE917" s="757">
        <f t="shared" si="1912"/>
      </c>
      <c r="BF917" s="757">
        <f>IFERROR(IF(COUPNCD(BE4,$B826,2,0)-BF4&lt;=0,BE826*$B886/2,0),0)</f>
      </c>
      <c r="BG917" s="757">
        <f>IFERROR(IF(COUPNCD(BF4,$B826,2,0)-BG4&lt;=0,BF826*$B886/2,0),0)</f>
      </c>
      <c r="BH917" s="757">
        <f>IFERROR(IF(COUPNCD(BG4,B826,2,0)-BH4&lt;=0,BG826*B886/2,0),0)</f>
      </c>
      <c r="BI917" s="962">
        <f>SUM(BE917,BF917,BG917,BH917)</f>
      </c>
      <c r="BJ917" s="757">
        <f>IFERROR(IF(COUPNCD(BI$4,$B826,2,0)-BJ$4&lt;=0,BI826*$B886/2,0),0)</f>
      </c>
      <c r="BK917" s="757">
        <f>IFERROR(IF(COUPNCD(BJ4,$B826,2,0)-BK4&lt;=0,BJ826*$B886/2,0),0)</f>
      </c>
      <c r="BL917" s="757">
        <f>IFERROR(IF(COUPNCD(BK4,$B826,2,0)-BL4&lt;=0,BK826*$B886/2,0),0)</f>
      </c>
      <c r="BM917" s="757">
        <f>IFERROR(IF(COUPNCD(BL4,$B826,2,0)-BM4&lt;=0,BL826*$B886/2,0),0)</f>
      </c>
      <c r="BN917" s="962">
        <f>SUM(BJ917,BK917,BL917,BM917)</f>
      </c>
      <c r="BO917" s="757">
        <f>IFERROR(IF(COUPNCD(BN$4,$B826,2,0)-BO$4&lt;=0,BN826*$B886/2,0),0)</f>
      </c>
      <c r="BP917" s="757">
        <f>IFERROR(IF(COUPNCD(BO4,$B826,2,0)-BP4&lt;=0,BO826*$B886/2,0),0)</f>
      </c>
      <c r="BQ917" s="757">
        <f>IFERROR(IF(COUPNCD(BP4,$B826,2,0)-BQ4&lt;=0,BP826*$B886/2,0),0)</f>
      </c>
      <c r="BR917" s="757">
        <f>IFERROR(IF(COUPNCD(BQ4,$B826,2,0)-BR4&lt;=0,BQ826*$B886/2,0),0)</f>
      </c>
      <c r="BS917" s="962">
        <f>SUM(BO917,BP917,BQ917,BR917)</f>
      </c>
      <c r="BT917" s="758">
        <f>IFERROR(IF(COUPNCD(BS$4,$B826,2,0)-BT$4&lt;=0,BS826*$B886/2,0),0)</f>
      </c>
      <c r="BU917" s="757">
        <f>IFERROR(IF(COUPNCD(BT4,$B826,2,0)-BU4&lt;=0,BT826*$B886/2,0),0)</f>
      </c>
      <c r="BV917" s="757">
        <f>IFERROR(IF(COUPNCD(BU4,$B826,2,0)-BV4&lt;=0,BU826*$B886/2,0),0)</f>
      </c>
      <c r="BW917" s="757">
        <f>IFERROR(IF(COUPNCD(BV4,$B826,2,0)-BW4&lt;=0,BV826*$B886/2,0),0)</f>
      </c>
      <c r="BX917" s="962">
        <f>SUM(BT917,BU917,BV917,BW917)</f>
      </c>
      <c r="BY917" s="757">
        <f>IFERROR(IF(COUPNCD(BX4,$B826,2,0)-BY4&lt;=0,BX826*$B886/2,0),0)</f>
      </c>
      <c r="BZ917" s="757">
        <f>IFERROR(IF(COUPNCD(BY4,$B826,2,0)-BZ4&lt;=0,BY826*$B886/2,0),0)</f>
      </c>
      <c r="CA917" s="757">
        <f>IFERROR(IF(COUPNCD(BZ4,$B826,2,0)-CA4&lt;=0,BZ826*$B886/2,0),0)</f>
      </c>
      <c r="CB917" s="757">
        <f>IFERROR(IF(COUPNCD(CA4,$B826,2,0)-CB4&lt;=0,CA826*$B886/2,0),0)</f>
      </c>
      <c r="CC917" s="962">
        <f>SUM(BY917,BZ917,CA917,CB917)</f>
      </c>
      <c r="CD917" s="962">
        <f>CC826*$B886/IF(AND(CD826=0,CC826&gt;0,(CD4-$B826)&gt;CD3/2),2,1)</f>
      </c>
      <c r="CE917" s="962">
        <f>CD826*$B886/IF(AND(CE826=0,CD826&gt;0,(CE4-$B826)&gt;CE3/2),2,1)</f>
      </c>
      <c r="CF917" s="962">
        <f>CE826*$B886/IF(AND(CF826=0,CE826&gt;0,(CF4-$B826)&gt;CF3/2),2,1)</f>
      </c>
      <c r="CG917" s="273"/>
    </row>
    <row r="918" spans="1:85" hidden="1" outlineLevel="1" collapsed="1" x14ac:dyDescent="0.3">
      <c r="A918" s="424" t="s">
        <v>873</v>
      </c>
      <c r="B918" s="442"/>
      <c r="C918" s="962"/>
      <c r="D918" s="962"/>
      <c r="E918" s="962"/>
      <c r="F918" s="962"/>
      <c r="G918" s="757"/>
      <c r="H918" s="757"/>
      <c r="I918" s="757"/>
      <c r="J918" s="757"/>
      <c r="K918" s="962"/>
      <c r="L918" s="757"/>
      <c r="M918" s="757"/>
      <c r="N918" s="757"/>
      <c r="O918" s="757"/>
      <c r="P918" s="962"/>
      <c r="Q918" s="757"/>
      <c r="R918" s="757"/>
      <c r="S918" s="757"/>
      <c r="T918" s="757"/>
      <c r="U918" s="962"/>
      <c r="V918" s="757"/>
      <c r="W918" s="757"/>
      <c r="X918" s="757"/>
      <c r="Y918" s="757"/>
      <c r="Z918" s="962"/>
      <c r="AA918" s="757"/>
      <c r="AB918" s="757"/>
      <c r="AC918" s="757"/>
      <c r="AD918" s="757"/>
      <c r="AE918" s="962"/>
      <c r="AF918" s="757"/>
      <c r="AG918" s="757"/>
      <c r="AH918" s="757"/>
      <c r="AI918" s="757"/>
      <c r="AJ918" s="962"/>
      <c r="AK918" s="757"/>
      <c r="AL918" s="757"/>
      <c r="AM918" s="757"/>
      <c r="AN918" s="757"/>
      <c r="AO918" s="962"/>
      <c r="AP918" s="757">
        <f t="shared" ref="AP918" si="1913">+AP917/AP$775</f>
      </c>
      <c r="AQ918" s="757">
        <f t="shared" ref="AQ918" si="1914">+AQ917/AQ$775</f>
      </c>
      <c r="AR918" s="757">
        <f t="shared" ref="AR918" si="1915">+AR917/AR$775</f>
      </c>
      <c r="AS918" s="757">
        <f t="shared" ref="AS918" si="1916">+AS917/AS$775</f>
      </c>
      <c r="AT918" s="962">
        <f t="shared" ref="AT918" si="1917">+AT917/AT$775</f>
      </c>
      <c r="AU918" s="757">
        <f t="shared" ref="AU918" si="1918">+AU917/AU$775</f>
      </c>
      <c r="AV918" s="757">
        <f t="shared" ref="AV918" si="1919">+AV917/AV$775</f>
      </c>
      <c r="AW918" s="757">
        <f t="shared" ref="AW918" si="1920">+AW917/AW$775</f>
      </c>
      <c r="AX918" s="757">
        <f t="shared" ref="AX918" si="1921">+AX917/AX$775</f>
      </c>
      <c r="AY918" s="962">
        <f t="shared" ref="AY918" si="1922">+AY917/AY$775</f>
      </c>
      <c r="AZ918" s="757">
        <f t="shared" ref="AZ918" si="1923">+AZ917/AZ$775</f>
      </c>
      <c r="BA918" s="757">
        <f t="shared" ref="BA918" si="1924">+BA917/BA$775</f>
      </c>
      <c r="BB918" s="757">
        <f>+BB917/BB$775</f>
      </c>
      <c r="BC918" s="757">
        <f t="shared" ref="BC918:BD918" si="1925">+BC917/BC$775</f>
      </c>
      <c r="BD918" s="962">
        <f t="shared" si="1925"/>
      </c>
      <c r="BE918" s="757">
        <f>+BE917/BE$775</f>
      </c>
      <c r="BF918" s="757">
        <f t="shared" ref="BF918:BG918" si="1926">+BF917/BF$775</f>
      </c>
      <c r="BG918" s="757">
        <f t="shared" si="1926"/>
      </c>
      <c r="BH918" s="757">
        <f t="shared" ref="BH918:BI918" si="1927">+BH917/BH$775</f>
      </c>
      <c r="BI918" s="962">
        <f t="shared" si="1927"/>
      </c>
      <c r="BJ918" s="757">
        <f t="shared" ref="BJ918:BN918" si="1928">+BJ917/BJ$775</f>
      </c>
      <c r="BK918" s="757">
        <f t="shared" si="1928"/>
      </c>
      <c r="BL918" s="757">
        <f t="shared" si="1928"/>
      </c>
      <c r="BM918" s="757">
        <f t="shared" ref="BM918" si="1929">+BM917/BM$775</f>
      </c>
      <c r="BN918" s="962">
        <f t="shared" si="1928"/>
      </c>
      <c r="BO918" s="757">
        <f>+BO917/BO$775</f>
      </c>
      <c r="BP918" s="757">
        <f>+BP917/BP$775</f>
      </c>
      <c r="BQ918" s="757">
        <f t="shared" ref="BQ918:BS918" si="1930">+BQ917/BQ$775</f>
      </c>
      <c r="BR918" s="757">
        <f t="shared" si="1930"/>
      </c>
      <c r="BS918" s="962">
        <f t="shared" si="1930"/>
      </c>
      <c r="BT918" s="758">
        <f>+BT917/BT$775</f>
      </c>
      <c r="BU918" s="757">
        <f>+BU917/BU$775</f>
      </c>
      <c r="BV918" s="757">
        <f>+BV917/BV$775</f>
      </c>
      <c r="BW918" s="757">
        <f>+BW917/BW$775</f>
      </c>
      <c r="BX918" s="962">
        <f t="shared" ref="BX918" si="1931">+BX917/BX$775</f>
      </c>
      <c r="BY918" s="757">
        <f t="shared" ref="BY918:CF918" si="1932">+BY917/BY$775</f>
      </c>
      <c r="BZ918" s="757">
        <f t="shared" si="1932"/>
      </c>
      <c r="CA918" s="757">
        <f t="shared" si="1932"/>
      </c>
      <c r="CB918" s="757">
        <f t="shared" si="1932"/>
      </c>
      <c r="CC918" s="962">
        <f t="shared" si="1932"/>
      </c>
      <c r="CD918" s="962">
        <f t="shared" si="1932"/>
      </c>
      <c r="CE918" s="962">
        <f t="shared" si="1932"/>
      </c>
      <c r="CF918" s="962">
        <f t="shared" si="1932"/>
      </c>
      <c r="CG918" s="273"/>
    </row>
    <row r="919" spans="1:85" hidden="1" outlineLevel="1" x14ac:dyDescent="0.3">
      <c r="A919" s="424" t="s">
        <v>849</v>
      </c>
      <c r="B919" s="442"/>
      <c r="C919" s="962"/>
      <c r="D919" s="962"/>
      <c r="E919" s="962"/>
      <c r="F919" s="962"/>
      <c r="G919" s="757"/>
      <c r="H919" s="757"/>
      <c r="I919" s="757"/>
      <c r="J919" s="757"/>
      <c r="K919" s="962"/>
      <c r="L919" s="757"/>
      <c r="M919" s="757"/>
      <c r="N919" s="757"/>
      <c r="O919" s="757"/>
      <c r="P919" s="962"/>
      <c r="Q919" s="757"/>
      <c r="R919" s="757"/>
      <c r="S919" s="757"/>
      <c r="T919" s="757"/>
      <c r="U919" s="962"/>
      <c r="V919" s="757"/>
      <c r="W919" s="757"/>
      <c r="X919" s="757"/>
      <c r="Y919" s="757"/>
      <c r="Z919" s="962"/>
      <c r="AA919" s="757"/>
      <c r="AB919" s="757"/>
      <c r="AC919" s="757"/>
      <c r="AD919" s="757"/>
      <c r="AE919" s="962"/>
      <c r="AF919" s="757"/>
      <c r="AG919" s="757"/>
      <c r="AH919" s="757"/>
      <c r="AI919" s="757"/>
      <c r="AJ919" s="962"/>
      <c r="AK919" s="757"/>
      <c r="AL919" s="757"/>
      <c r="AM919" s="757"/>
      <c r="AN919" s="757"/>
      <c r="AO919" s="962"/>
      <c r="AP919" s="757">
        <f>IFERROR(IF(COUPNCD(AO$4,B828,2,0)-AP$4&lt;=0,AO828*B888/2,0),0)</f>
      </c>
      <c r="AQ919" s="757">
        <f>IFERROR(IF(COUPNCD(AP4,B828,2,0)-AQ4&lt;=0,AP828*B888/2,0),0)</f>
      </c>
      <c r="AR919" s="757">
        <f>IFERROR(IF(COUPNCD(AQ4,B828,2,0)-AR4&lt;=0,AQ828*B888/2,0),0)</f>
      </c>
      <c r="AS919" s="757">
        <f>IFERROR(IF(COUPNCD(AR4,B828,2,0)-AS4&lt;=0,AR828*B888/2,0),0)</f>
      </c>
      <c r="AT919" s="962">
        <f t="shared" si="1848"/>
      </c>
      <c r="AU919" s="757">
        <f>IFERROR(IF(COUPNCD(AT4,B828,2,0)-AU4&lt;=0,AT828*B888/2,0),0)</f>
      </c>
      <c r="AV919" s="757">
        <f>IFERROR(IF(COUPNCD(AU4,B828,2,0)-AV4&lt;=0,AU828*B888/2,0),0)</f>
      </c>
      <c r="AW919" s="757">
        <f>IFERROR(IF(COUPNCD(AV4,B828,2,0)-AW4&lt;=0,AV828*B888/2,0),0)</f>
      </c>
      <c r="AX919" s="757">
        <f>IFERROR(IF(COUPNCD(AW4,B828,2,0)-AX4&lt;=0,AW828*B888/2,0),0)</f>
      </c>
      <c r="AY919" s="962">
        <f t="shared" si="1849"/>
      </c>
      <c r="AZ919" s="757">
        <f>IFERROR(IF(COUPNCD(AY4,B828,2,0)-AZ4&lt;=0,AY828*B888/2,0),0)</f>
      </c>
      <c r="BA919" s="757">
        <f>IFERROR(IF(COUPNCD(AZ4,$B828,2,0)-BA4&lt;=0,AZ828*$B888/2,0),0)</f>
      </c>
      <c r="BB919" s="757">
        <f>IFERROR(IF(COUPNCD(BA4,B828,2,0)-BB4&lt;=0,BA828*B888/2,0),0)</f>
      </c>
      <c r="BC919" s="757">
        <f>IFERROR(IF(COUPNCD(BB4,B828,2,0)-BC4&lt;=0,BB828*B888/2,0),0)</f>
      </c>
      <c r="BD919" s="962">
        <f>SUM(AZ919,BA919,BB919,BC919)</f>
      </c>
      <c r="BE919" s="757">
        <f t="shared" ref="BE919:BE920" si="1933">IFERROR(IF(COUPNCD(BD$4,$B828,2,0)-BE$4&lt;=0,BD828*$B888/2,0),0)</f>
      </c>
      <c r="BF919" s="757">
        <f>IFERROR(IF(COUPNCD(BE4,$B828,2,0)-BF4&lt;=0,BE828*$B888/2,0),0)</f>
      </c>
      <c r="BG919" s="757">
        <f>IFERROR(IF(COUPNCD(BF4,$B828,2,0)-BG4&lt;=0,BF828*$B888/2,0),0)</f>
      </c>
      <c r="BH919" s="757">
        <f>IFERROR(IF(COUPNCD(BG4,B828,2,0)-BH4&lt;=0,BG828*B888/2,0),0)</f>
      </c>
      <c r="BI919" s="962">
        <f>SUM(BE919,BF919,BG919,BH919)</f>
      </c>
      <c r="BJ919" s="757">
        <f>IFERROR(IF(COUPNCD(BI$4,$B828,2,0)-BJ$4&lt;=0,BI828*$B888/2,0),0)</f>
      </c>
      <c r="BK919" s="757">
        <f>IFERROR(IF(COUPNCD(BJ4,$B828,2,0)-BK4&lt;=0,BJ828*$B888/2,0),0)</f>
      </c>
      <c r="BL919" s="757">
        <f>IFERROR(IF(COUPNCD(BK4,$B828,2,0)-BL4&lt;=0,BK828*$B888/2,0),0)</f>
      </c>
      <c r="BM919" s="757">
        <f>IFERROR(IF(COUPNCD(BL4,$B828,2,0)-BM4&lt;=0,BL828*$B888/2,0),0)</f>
      </c>
      <c r="BN919" s="962">
        <f>SUM(BJ919,BK919,BL919,BM919)</f>
      </c>
      <c r="BO919" s="757">
        <f>IFERROR(IF(COUPNCD(BN$4,$B828,2,0)-BO$4&lt;=0,BN828*$B888/2,0),0)</f>
      </c>
      <c r="BP919" s="757">
        <f>IFERROR(IF(COUPNCD(BO4,$B828,2,0)-BP4&lt;=0,BO828*$B888/2,0),0)</f>
      </c>
      <c r="BQ919" s="757">
        <f>IFERROR(IF(COUPNCD(BP4,$B828,2,0)-BQ4&lt;=0,BP828*$B888/2,0),0)</f>
      </c>
      <c r="BR919" s="757">
        <f>IFERROR(IF(COUPNCD(BQ4,$B828,2,0)-BR4&lt;=0,BQ828*$B888/2,0),0)</f>
      </c>
      <c r="BS919" s="962">
        <f>SUM(BO919,BP919,BQ919,BR919)</f>
      </c>
      <c r="BT919" s="758">
        <f>IFERROR(IF(COUPNCD(BS$4,$B828,2,0)-BT$4&lt;=0,BS828*$B888/2,0),0)</f>
      </c>
      <c r="BU919" s="757">
        <f>IFERROR(IF(COUPNCD(BT4,$B828,2,0)-BU4&lt;=0,BT828*$B888/2,0),0)</f>
      </c>
      <c r="BV919" s="757">
        <f>IFERROR(IF(COUPNCD(BU4,$B828,2,0)-BV4&lt;=0,BU828*$B888/2,0),0)</f>
      </c>
      <c r="BW919" s="757">
        <f>IFERROR(IF(COUPNCD(BV4,$B828,2,0)-BW4&lt;=0,BV828*$B888/2,0),0)</f>
      </c>
      <c r="BX919" s="962">
        <f>SUM(BT919,BU919,BV919,BW919)</f>
      </c>
      <c r="BY919" s="757">
        <f>IFERROR(IF(COUPNCD(BX4,$B828,2,0)-BY4&lt;=0,BX828*$B888/2,0),0)</f>
      </c>
      <c r="BZ919" s="757">
        <f>IFERROR(IF(COUPNCD(BY4,$B828,2,0)-BZ4&lt;=0,BY828*$B888/2,0),0)</f>
      </c>
      <c r="CA919" s="757">
        <f>IFERROR(IF(COUPNCD(BZ4,$B828,2,0)-CA4&lt;=0,BZ828*$B888/2,0),0)</f>
      </c>
      <c r="CB919" s="757">
        <f>IFERROR(IF(COUPNCD(CA4,$B828,2,0)-CB4&lt;=0,CA828*$B888/2,0),0)</f>
      </c>
      <c r="CC919" s="962">
        <f>SUM(BY919,BZ919,CA919,CB919)</f>
      </c>
      <c r="CD919" s="962">
        <f>CC828*$B888/IF(AND(CD828=0,CC828&gt;0,(CD4-$B828)&gt;CD3/2),2,1)</f>
      </c>
      <c r="CE919" s="962">
        <f>CD828*$B888/IF(AND(CE828=0,CD828&gt;0,(CE4-$B828)&gt;CE3/2),2,1)</f>
      </c>
      <c r="CF919" s="962">
        <f>CE828*$B888/IF(AND(CF828=0,CE828&gt;0,(CF4-$B828)&gt;CF3/2),2,1)</f>
      </c>
      <c r="CG919" s="273"/>
    </row>
    <row r="920" spans="1:85" hidden="1" outlineLevel="2" x14ac:dyDescent="0.3">
      <c r="A920" s="413" t="s">
        <v>894</v>
      </c>
      <c r="B920" s="442"/>
      <c r="C920" s="962"/>
      <c r="D920" s="962"/>
      <c r="E920" s="962"/>
      <c r="F920" s="962"/>
      <c r="G920" s="757"/>
      <c r="H920" s="757"/>
      <c r="I920" s="757"/>
      <c r="J920" s="757"/>
      <c r="K920" s="962"/>
      <c r="L920" s="757"/>
      <c r="M920" s="757"/>
      <c r="N920" s="757"/>
      <c r="O920" s="757"/>
      <c r="P920" s="962"/>
      <c r="Q920" s="757"/>
      <c r="R920" s="757"/>
      <c r="S920" s="757"/>
      <c r="T920" s="757"/>
      <c r="U920" s="962"/>
      <c r="V920" s="757"/>
      <c r="W920" s="757"/>
      <c r="X920" s="757"/>
      <c r="Y920" s="757"/>
      <c r="Z920" s="962"/>
      <c r="AA920" s="757"/>
      <c r="AB920" s="757"/>
      <c r="AC920" s="757"/>
      <c r="AD920" s="757"/>
      <c r="AE920" s="962"/>
      <c r="AF920" s="757"/>
      <c r="AG920" s="757"/>
      <c r="AH920" s="757"/>
      <c r="AI920" s="757"/>
      <c r="AJ920" s="962"/>
      <c r="AK920" s="757"/>
      <c r="AL920" s="757"/>
      <c r="AM920" s="757"/>
      <c r="AN920" s="757"/>
      <c r="AO920" s="962"/>
      <c r="AP920" s="757">
        <f>IFERROR(IF(COUPNCD(AO$4,B829,2,0)-AP$4&lt;=0,AO829*B889/2,0),0)</f>
      </c>
      <c r="AQ920" s="757">
        <f>IFERROR(IF(COUPNCD(AP4,B829,2,0)-AQ4&lt;=0,AP829*B889/2,0),0)</f>
      </c>
      <c r="AR920" s="757">
        <f>IFERROR(IF(COUPNCD(AQ4,B829,2,0)-AR4&lt;=0,AQ829*B889/2,0),0)</f>
      </c>
      <c r="AS920" s="757">
        <f>IFERROR(IF(COUPNCD(AR4,B829,2,0)-AS4&lt;=0,AR829*B889/2,0),0)</f>
      </c>
      <c r="AT920" s="962">
        <f t="shared" si="1848"/>
      </c>
      <c r="AU920" s="757">
        <f>IFERROR(IF(COUPNCD(AT4,B829,2,0)-AU4&lt;=0,AT829*B889/2,0),0)</f>
      </c>
      <c r="AV920" s="757">
        <f>IFERROR(IF(COUPNCD(AU4,B829,2,0)-AV4&lt;=0,AU829*B889/2,0),0)</f>
      </c>
      <c r="AW920" s="757">
        <f>IFERROR(IF(COUPNCD(AV4,B829,2,0)-AW4&lt;=0,AV829*B889/2,0),0)</f>
      </c>
      <c r="AX920" s="757">
        <f>IFERROR(IF(COUPNCD(AW4,B829,2,0)-AX4&lt;=0,AW829*B889/2,0),0)</f>
      </c>
      <c r="AY920" s="962">
        <f t="shared" si="1849"/>
      </c>
      <c r="AZ920" s="757">
        <f>IFERROR(IF(COUPNCD(AY4,B829,2,0)-AZ4&lt;=0,AY829*B889/2,0),0)</f>
      </c>
      <c r="BA920" s="757">
        <f>IFERROR(IF(COUPNCD(AZ4,$B829,2,0)-BA4&lt;=0,AZ829*$B889/2,0),0)</f>
      </c>
      <c r="BB920" s="757">
        <f>IFERROR(IF(COUPNCD(BA4,B829,2,0)-BB4&lt;=0,BA829*B889/2,0),0)</f>
      </c>
      <c r="BC920" s="757">
        <f>IFERROR(IF(COUPNCD(BB4,B829,2,0)-BC4&lt;=0,BB829*B889/2,0),0)</f>
      </c>
      <c r="BD920" s="962">
        <f>SUM(AZ920,BA920,BB920,BC920)</f>
      </c>
      <c r="BE920" s="757">
        <f t="shared" si="1933"/>
      </c>
      <c r="BF920" s="757">
        <f>IFERROR(IF(COUPNCD(BE4,$B829,2,0)-BF4&lt;=0,BE829*$B889/2,0),0)</f>
      </c>
      <c r="BG920" s="757">
        <f>IFERROR(IF(COUPNCD(BF4,$B829,2,0)-BG4&lt;=0,BF829*$B889/2,0),0)</f>
      </c>
      <c r="BH920" s="757">
        <f>IFERROR(IF(COUPNCD(BG4,B829,2,0)-BH4&lt;=0,BG829*B889/2,0),0)</f>
      </c>
      <c r="BI920" s="962">
        <f>SUM(BE920,BF920,BG920,BH920)</f>
      </c>
      <c r="BJ920" s="757">
        <f>IFERROR(IF(COUPNCD(BI$4,$B829,2,0)-BJ$4&lt;=0,BI829*$B889/2,0),0)</f>
      </c>
      <c r="BK920" s="757">
        <f>IFERROR(IF(COUPNCD(BJ4,$B829,2,0)-BK4&lt;=0,BJ829*$B889/2,0),0)</f>
      </c>
      <c r="BL920" s="757">
        <f>IFERROR(IF(COUPNCD(BK4,$B829,2,0)-BL4&lt;=0,BK829*$B889/2,0),0)</f>
      </c>
      <c r="BM920" s="757">
        <f>IFERROR(IF(COUPNCD(BL4,$B829,2,0)-BM4&lt;=0,BL829*$B889/2,0),0)</f>
      </c>
      <c r="BN920" s="962">
        <f>SUM(BJ920,BK920,BL920,BM920)</f>
      </c>
      <c r="BO920" s="757">
        <f>IFERROR(IF(COUPNCD(BN$4,$B829,2,0)-BO$4&lt;=0,BN829*$B889/2,0),0)</f>
      </c>
      <c r="BP920" s="757">
        <f>IFERROR(IF(COUPNCD(BO4,$B829,2,0)-BP4&lt;=0,BO829*$B889/2,0),0)</f>
      </c>
      <c r="BQ920" s="757">
        <f>IFERROR(IF(COUPNCD(BP4,$B829,2,0)-BQ4&lt;=0,BP829*$B889/2,0),0)</f>
      </c>
      <c r="BR920" s="757">
        <f>IFERROR(IF(COUPNCD(BQ4,$B829,2,0)-BR4&lt;=0,BQ829*$B889/2,0),0)</f>
      </c>
      <c r="BS920" s="962">
        <f>SUM(BO920,BP920,BQ920,BR920)</f>
      </c>
      <c r="BT920" s="758">
        <f>IFERROR(IF(COUPNCD(BS$4,$B829,2,0)-BT$4&lt;=0,BS829*$B889/2,0),0)</f>
      </c>
      <c r="BU920" s="757">
        <f>IFERROR(IF(COUPNCD(BT4,$B829,2,0)-BU4&lt;=0,BT829*$B889/2,0),0)</f>
      </c>
      <c r="BV920" s="757">
        <f>IFERROR(IF(COUPNCD(BU4,$B829,2,0)-BV4&lt;=0,BU829*$B889/2,0),0)</f>
      </c>
      <c r="BW920" s="757">
        <f>IFERROR(IF(COUPNCD(BV4,$B829,2,0)-BW4&lt;=0,BV829*$B889/2,0),0)</f>
      </c>
      <c r="BX920" s="962">
        <f>SUM(BT920,BU920,BV920,BW920)</f>
      </c>
      <c r="BY920" s="757">
        <f>IFERROR(IF(COUPNCD(BX4,$B829,2,0)-BY4&lt;=0,BX829*$B889/2,0),0)</f>
      </c>
      <c r="BZ920" s="757">
        <f>IFERROR(IF(COUPNCD(BY4,$B829,2,0)-BZ4&lt;=0,BY829*$B889/2,0),0)</f>
      </c>
      <c r="CA920" s="757">
        <f>IFERROR(IF(COUPNCD(BZ4,$B829,2,0)-CA4&lt;=0,BZ829*$B889/2,0),0)</f>
      </c>
      <c r="CB920" s="757">
        <f>IFERROR(IF(COUPNCD(CA4,$B829,2,0)-CB4&lt;=0,CA829*$B889/2,0),0)</f>
      </c>
      <c r="CC920" s="962">
        <f>SUM(BY920,BZ920,CA920,CB920)</f>
      </c>
      <c r="CD920" s="962">
        <f>CC829*$B889/IF(AND(CD829=0,CC829&gt;0,(CD4-$B829)&gt;CD3/2),2,1)</f>
      </c>
      <c r="CE920" s="962">
        <f>CD829*$B889/IF(AND(CE829=0,CD829&gt;0,(CE4-$B829)&gt;CE3/2),2,1)</f>
      </c>
      <c r="CF920" s="962">
        <f>CE829*$B889/IF(AND(CF829=0,CE829&gt;0,(CF4-$B829)&gt;CF3/2),2,1)</f>
      </c>
      <c r="CG920" s="273"/>
    </row>
    <row r="921" spans="1:85" hidden="1" outlineLevel="1" collapsed="1" x14ac:dyDescent="0.3">
      <c r="A921" s="424" t="s">
        <v>871</v>
      </c>
      <c r="B921" s="442"/>
      <c r="C921" s="962"/>
      <c r="D921" s="962"/>
      <c r="E921" s="962"/>
      <c r="F921" s="962"/>
      <c r="G921" s="757"/>
      <c r="H921" s="757"/>
      <c r="I921" s="757"/>
      <c r="J921" s="757"/>
      <c r="K921" s="962"/>
      <c r="L921" s="757"/>
      <c r="M921" s="757"/>
      <c r="N921" s="757"/>
      <c r="O921" s="757"/>
      <c r="P921" s="962"/>
      <c r="Q921" s="757"/>
      <c r="R921" s="757"/>
      <c r="S921" s="757"/>
      <c r="T921" s="757"/>
      <c r="U921" s="962"/>
      <c r="V921" s="757"/>
      <c r="W921" s="757"/>
      <c r="X921" s="757"/>
      <c r="Y921" s="757"/>
      <c r="Z921" s="962"/>
      <c r="AA921" s="757"/>
      <c r="AB921" s="757"/>
      <c r="AC921" s="757"/>
      <c r="AD921" s="757"/>
      <c r="AE921" s="962"/>
      <c r="AF921" s="757"/>
      <c r="AG921" s="757"/>
      <c r="AH921" s="757"/>
      <c r="AI921" s="757"/>
      <c r="AJ921" s="962"/>
      <c r="AK921" s="757"/>
      <c r="AL921" s="757"/>
      <c r="AM921" s="757"/>
      <c r="AN921" s="757"/>
      <c r="AO921" s="962"/>
      <c r="AP921" s="757">
        <f t="shared" ref="AP921" si="1934">+AP920/AP$775</f>
      </c>
      <c r="AQ921" s="757">
        <f t="shared" ref="AQ921" si="1935">+AQ920/AQ$775</f>
      </c>
      <c r="AR921" s="757">
        <f t="shared" ref="AR921" si="1936">+AR920/AR$775</f>
      </c>
      <c r="AS921" s="757">
        <f t="shared" ref="AS921" si="1937">+AS920/AS$775</f>
      </c>
      <c r="AT921" s="962">
        <f t="shared" ref="AT921" si="1938">+AT920/AT$775</f>
      </c>
      <c r="AU921" s="757">
        <f t="shared" ref="AU921" si="1939">+AU920/AU$775</f>
      </c>
      <c r="AV921" s="757">
        <f t="shared" ref="AV921" si="1940">+AV920/AV$775</f>
      </c>
      <c r="AW921" s="757">
        <f t="shared" ref="AW921" si="1941">+AW920/AW$775</f>
      </c>
      <c r="AX921" s="757">
        <f t="shared" ref="AX921" si="1942">+AX920/AX$775</f>
      </c>
      <c r="AY921" s="962">
        <f t="shared" ref="AY921" si="1943">+AY920/AY$775</f>
      </c>
      <c r="AZ921" s="757">
        <f t="shared" ref="AZ921" si="1944">+AZ920/AZ$775</f>
      </c>
      <c r="BA921" s="757">
        <f t="shared" ref="BA921" si="1945">+BA920/BA$775</f>
      </c>
      <c r="BB921" s="757">
        <f>+BB920/BB$775</f>
      </c>
      <c r="BC921" s="757">
        <f t="shared" ref="BC921:BD921" si="1946">+BC920/BC$775</f>
      </c>
      <c r="BD921" s="962">
        <f t="shared" si="1946"/>
      </c>
      <c r="BE921" s="757">
        <f>+BE920/BE$775</f>
      </c>
      <c r="BF921" s="757">
        <f t="shared" ref="BF921:BG921" si="1947">+BF920/BF$775</f>
      </c>
      <c r="BG921" s="757">
        <f t="shared" si="1947"/>
      </c>
      <c r="BH921" s="757">
        <f t="shared" ref="BH921:BI921" si="1948">+BH920/BH$775</f>
      </c>
      <c r="BI921" s="962">
        <f t="shared" si="1948"/>
      </c>
      <c r="BJ921" s="757">
        <f t="shared" ref="BJ921:BN921" si="1949">+BJ920/BJ$775</f>
      </c>
      <c r="BK921" s="757">
        <f t="shared" si="1949"/>
      </c>
      <c r="BL921" s="757">
        <f t="shared" si="1949"/>
      </c>
      <c r="BM921" s="757">
        <f t="shared" ref="BM921" si="1950">+BM920/BM$775</f>
      </c>
      <c r="BN921" s="962">
        <f t="shared" si="1949"/>
      </c>
      <c r="BO921" s="757">
        <f>+BO920/BO$775</f>
      </c>
      <c r="BP921" s="757">
        <f>+BP920/BP$775</f>
      </c>
      <c r="BQ921" s="757">
        <f t="shared" ref="BQ921:BS921" si="1951">+BQ920/BQ$775</f>
      </c>
      <c r="BR921" s="757">
        <f t="shared" si="1951"/>
      </c>
      <c r="BS921" s="962">
        <f t="shared" si="1951"/>
      </c>
      <c r="BT921" s="758">
        <f>+BT920/BT$775</f>
      </c>
      <c r="BU921" s="757">
        <f>+BU920/BU$775</f>
      </c>
      <c r="BV921" s="757">
        <f>+BV920/BV$775</f>
      </c>
      <c r="BW921" s="757">
        <f>+BW920/BW$775</f>
      </c>
      <c r="BX921" s="962">
        <f t="shared" ref="BX921" si="1952">+BX920/BX$775</f>
      </c>
      <c r="BY921" s="757">
        <f t="shared" ref="BY921:CF921" si="1953">+BY920/BY$775</f>
      </c>
      <c r="BZ921" s="757">
        <f t="shared" si="1953"/>
      </c>
      <c r="CA921" s="757">
        <f t="shared" si="1953"/>
      </c>
      <c r="CB921" s="757">
        <f t="shared" si="1953"/>
      </c>
      <c r="CC921" s="962">
        <f t="shared" si="1953"/>
      </c>
      <c r="CD921" s="962">
        <f t="shared" si="1953"/>
      </c>
      <c r="CE921" s="962">
        <f t="shared" si="1953"/>
      </c>
      <c r="CF921" s="962">
        <f t="shared" si="1953"/>
      </c>
      <c r="CG921" s="273"/>
    </row>
    <row r="922" spans="1:85" hidden="1" outlineLevel="1" x14ac:dyDescent="0.3">
      <c r="A922" s="424" t="s">
        <v>847</v>
      </c>
      <c r="B922" s="442"/>
      <c r="C922" s="962"/>
      <c r="D922" s="962"/>
      <c r="E922" s="962"/>
      <c r="F922" s="962"/>
      <c r="G922" s="757"/>
      <c r="H922" s="757"/>
      <c r="I922" s="757"/>
      <c r="J922" s="757"/>
      <c r="K922" s="962"/>
      <c r="L922" s="757"/>
      <c r="M922" s="757"/>
      <c r="N922" s="757"/>
      <c r="O922" s="757"/>
      <c r="P922" s="962"/>
      <c r="Q922" s="757"/>
      <c r="R922" s="757"/>
      <c r="S922" s="757"/>
      <c r="T922" s="757"/>
      <c r="U922" s="962"/>
      <c r="V922" s="757"/>
      <c r="W922" s="757"/>
      <c r="X922" s="757"/>
      <c r="Y922" s="757"/>
      <c r="Z922" s="962"/>
      <c r="AA922" s="757"/>
      <c r="AB922" s="757"/>
      <c r="AC922" s="757"/>
      <c r="AD922" s="757"/>
      <c r="AE922" s="962"/>
      <c r="AF922" s="757"/>
      <c r="AG922" s="757"/>
      <c r="AH922" s="757"/>
      <c r="AI922" s="757"/>
      <c r="AJ922" s="962"/>
      <c r="AK922" s="757"/>
      <c r="AL922" s="757"/>
      <c r="AM922" s="757"/>
      <c r="AN922" s="757"/>
      <c r="AO922" s="962"/>
      <c r="AP922" s="757">
        <f>IFERROR(IF(COUPNCD(AO$4,B831,2,0)-AP$4&lt;=0,AO831*B891/2,0),0)</f>
      </c>
      <c r="AQ922" s="757">
        <f>IFERROR(IF(COUPNCD(AP4,B831,2,0)-AQ4&lt;=0,AP831*B891/2,0),0)</f>
      </c>
      <c r="AR922" s="757">
        <f>IFERROR(IF(COUPNCD(AQ4,B831,2,0)-AR4&lt;=0,AQ831*B891/2,0),0)</f>
      </c>
      <c r="AS922" s="757">
        <f>IFERROR(IF(COUPNCD(AR4,B831,2,0)-AS4&lt;=0,AR831*B891/2,0),0)</f>
      </c>
      <c r="AT922" s="962">
        <f t="shared" si="1848"/>
      </c>
      <c r="AU922" s="757">
        <f>IFERROR(IF(COUPNCD(AT4,B831,2,0)-AU4&lt;=0,AT831*B891/2,0),0)</f>
      </c>
      <c r="AV922" s="757">
        <f>IFERROR(IF(COUPNCD(AU4,B831,2,0)-AV4&lt;=0,AU831*B891/2,0),0)</f>
      </c>
      <c r="AW922" s="757">
        <f>IFERROR(IF(COUPNCD(AV4,B831,2,0)-AW4&lt;=0,AV831*B891/2,0),0)</f>
      </c>
      <c r="AX922" s="757">
        <f>IFERROR(IF(COUPNCD(AW4,B831,2,0)-AX4&lt;=0,AW831*B891/2,0),0)</f>
      </c>
      <c r="AY922" s="962">
        <f t="shared" si="1849"/>
      </c>
      <c r="AZ922" s="757">
        <f>IFERROR(IF(COUPNCD(AY4,B831,2,0)-AZ4&lt;=0,AY831*B891/2,0),0)</f>
      </c>
      <c r="BA922" s="757">
        <f>IFERROR(IF(COUPNCD(AZ4,$B831,2,0)-BA4&lt;=0,AZ831*$B891/2,0),0)</f>
      </c>
      <c r="BB922" s="757">
        <f>IFERROR(IF(COUPNCD(BA4,B831,2,0)-BB4&lt;=0,BA831*B891/2,0),0)</f>
      </c>
      <c r="BC922" s="757">
        <f>IFERROR(IF(COUPNCD(BB4,B831,2,0)-BC4&lt;=0,BB831*B891/2,0),0)</f>
      </c>
      <c r="BD922" s="962">
        <f>SUM(AZ922,BA922,BB922,BC922)</f>
      </c>
      <c r="BE922" s="757">
        <f>IFERROR(IF(COUPNCD(BD$4,$B831,2,0)-BE$4&lt;=0,BD831*$B891/2,0),0)</f>
      </c>
      <c r="BF922" s="757">
        <f>IFERROR(IF(COUPNCD(BE4,$B831,2,0)-BF4&lt;=0,BE831*$B891/2,0),0)</f>
      </c>
      <c r="BG922" s="757">
        <f>IFERROR(IF(COUPNCD(BF4,$B831,2,0)-BG4&lt;=0,BF831*$B891/2,0),0)</f>
      </c>
      <c r="BH922" s="757">
        <f>IFERROR(IF(COUPNCD(BG4,B831,2,0)-BH4&lt;=0,BG831*B891/2,0),0)</f>
      </c>
      <c r="BI922" s="962">
        <f>SUM(BE922,BF922,BG922,BH922)</f>
      </c>
      <c r="BJ922" s="757">
        <f>IFERROR(IF(COUPNCD(BI$4,$B831,2,0)-BJ$4&lt;=0,BI831*$B891/2,0),0)</f>
      </c>
      <c r="BK922" s="757">
        <f>IFERROR(IF(COUPNCD(BJ4,$B831,2,0)-BK4&lt;=0,BJ831*$B891/2,0),0)</f>
      </c>
      <c r="BL922" s="757">
        <f>IFERROR(IF(COUPNCD(BK4,$B831,2,0)-BL4&lt;=0,BK831*$B891/2,0),0)</f>
      </c>
      <c r="BM922" s="757">
        <f>IFERROR(IF(COUPNCD(BL4,$B831,2,0)-BM4&lt;=0,BL831*$B891/2,0),0)</f>
      </c>
      <c r="BN922" s="962">
        <f>SUM(BJ922,BK922,BL922,BM922)</f>
      </c>
      <c r="BO922" s="757">
        <f>IFERROR(IF(COUPNCD(BN$4,$B831,2,0)-BO$4&lt;=0,BN831*$B891/2,0),0)</f>
      </c>
      <c r="BP922" s="757">
        <f>IFERROR(IF(COUPNCD(BO4,$B831,2,0)-BP4&lt;=0,BO831*$B891/2,0),0)</f>
      </c>
      <c r="BQ922" s="757">
        <f>IFERROR(IF(COUPNCD(BP4,$B831,2,0)-BQ4&lt;=0,BP831*$B891/2,0),0)</f>
      </c>
      <c r="BR922" s="757">
        <f>IFERROR(IF(COUPNCD(BQ4,$B831,2,0)-BR4&lt;=0,BQ831*$B891/2,0),0)</f>
      </c>
      <c r="BS922" s="962">
        <f>SUM(BO922,BP922,BQ922,BR922)</f>
      </c>
      <c r="BT922" s="758">
        <f>IFERROR(IF(COUPNCD(BS$4,$B831,2,0)-BT$4&lt;=0,BS831*$B891/2,0),0)</f>
      </c>
      <c r="BU922" s="757">
        <f>IFERROR(IF(COUPNCD(BT4,$B831,2,0)-BU4&lt;=0,BT831*$B891/2,0),0)</f>
      </c>
      <c r="BV922" s="757">
        <f>IFERROR(IF(COUPNCD(BU4,$B831,2,0)-BV4&lt;=0,BU831*$B891/2,0),0)</f>
      </c>
      <c r="BW922" s="757">
        <f>IFERROR(IF(COUPNCD(BV4,$B831,2,0)-BW4&lt;=0,BV831*$B891/2,0),0)</f>
      </c>
      <c r="BX922" s="962">
        <f>SUM(BT922,BU922,BV922,BW922)</f>
      </c>
      <c r="BY922" s="757">
        <f>IFERROR(IF(COUPNCD(BX4,$B831,2,0)-BY4&lt;=0,BX831*$B891/2,0),0)</f>
      </c>
      <c r="BZ922" s="757">
        <f>IFERROR(IF(COUPNCD(BY4,$B831,2,0)-BZ4&lt;=0,BY831*$B891/2,0),0)</f>
      </c>
      <c r="CA922" s="757">
        <f>IFERROR(IF(COUPNCD(BZ4,$B831,2,0)-CA4&lt;=0,BZ831*$B891/2,0),0)</f>
      </c>
      <c r="CB922" s="757">
        <f>IFERROR(IF(COUPNCD(CA4,$B831,2,0)-CB4&lt;=0,CA831*$B891/2,0),0)</f>
      </c>
      <c r="CC922" s="962">
        <f>SUM(BY922,BZ922,CA922,CB922)</f>
      </c>
      <c r="CD922" s="962">
        <f>CC831*$B891/IF(AND(CD831=0,CC831&gt;0,(CD4-$B831)&gt;CD3/2),2,1)</f>
      </c>
      <c r="CE922" s="962">
        <f>CD831*$B891/IF(AND(CE831=0,CD831&gt;0,(CE4-$B831)&gt;CE3/2),2,1)</f>
      </c>
      <c r="CF922" s="962">
        <f>CE831*$B891/IF(AND(CF831=0,CE831&gt;0,(CF4-$B831)&gt;CF3/2),2,1)</f>
      </c>
      <c r="CG922" s="273"/>
    </row>
    <row r="923" spans="1:85" hidden="1" outlineLevel="1" x14ac:dyDescent="0.3">
      <c r="A923" s="424" t="s">
        <v>2195</v>
      </c>
      <c r="B923" s="539"/>
      <c r="C923" s="962"/>
      <c r="D923" s="962"/>
      <c r="E923" s="962"/>
      <c r="F923" s="962"/>
      <c r="G923" s="757"/>
      <c r="H923" s="757"/>
      <c r="I923" s="757"/>
      <c r="J923" s="757"/>
      <c r="K923" s="962"/>
      <c r="L923" s="757"/>
      <c r="M923" s="757"/>
      <c r="N923" s="757"/>
      <c r="O923" s="757"/>
      <c r="P923" s="962"/>
      <c r="Q923" s="757"/>
      <c r="R923" s="757"/>
      <c r="S923" s="757"/>
      <c r="T923" s="757"/>
      <c r="U923" s="962"/>
      <c r="V923" s="757"/>
      <c r="W923" s="757"/>
      <c r="X923" s="757"/>
      <c r="Y923" s="757"/>
      <c r="Z923" s="962"/>
      <c r="AA923" s="757"/>
      <c r="AB923" s="757"/>
      <c r="AC923" s="757"/>
      <c r="AD923" s="757"/>
      <c r="AE923" s="962"/>
      <c r="AF923" s="757"/>
      <c r="AG923" s="757"/>
      <c r="AH923" s="757"/>
      <c r="AI923" s="757"/>
      <c r="AJ923" s="962"/>
      <c r="AK923" s="757"/>
      <c r="AL923" s="757"/>
      <c r="AM923" s="757"/>
      <c r="AN923" s="757"/>
      <c r="AO923" s="962"/>
      <c r="AP923" s="757"/>
      <c r="AQ923" s="757"/>
      <c r="AR923" s="757"/>
      <c r="AS923" s="757"/>
      <c r="AT923" s="962"/>
      <c r="AU923" s="757"/>
      <c r="AV923" s="757"/>
      <c r="AW923" s="757"/>
      <c r="AX923" s="757"/>
      <c r="AY923" s="962"/>
      <c r="AZ923" s="757"/>
      <c r="BA923" s="757"/>
      <c r="BB923" s="757"/>
      <c r="BC923" s="757"/>
      <c r="BD923" s="962"/>
      <c r="BE923" s="757"/>
      <c r="BF923" s="757"/>
      <c r="BG923" s="757"/>
      <c r="BH923" s="757"/>
      <c r="BI923" s="962"/>
      <c r="BJ923" s="757"/>
      <c r="BK923" s="757"/>
      <c r="BL923" s="757">
        <f>IFERROR(IF(COUPNCD(BK$4,$B832,2,0)-BL$4&lt;=0,BK832*$B892/2,0),0)</f>
      </c>
      <c r="BM923" s="757">
        <f>IFERROR(IF(COUPNCD(BL$4,$B832,2,0)-BM$4&lt;=0,BL832*$B892/2,0),0)</f>
      </c>
      <c r="BN923" s="962">
        <f>SUM(BJ923,BK923,BL923,BM923)</f>
      </c>
      <c r="BO923" s="757">
        <f>IFERROR(IF(COUPNCD(BN4,$B832,2,0)-BO4&lt;=0,BN832*$B892/2,0),0)</f>
      </c>
      <c r="BP923" s="757">
        <f>IFERROR(IF(COUPNCD(BO4,$B832,2,0)-BP4&lt;=0,BO832*$B892/2,0),0)</f>
      </c>
      <c r="BQ923" s="757">
        <f>IFERROR(IF(COUPNCD(BP$4,$B832,2,0)-BQ$4&lt;=0,BP832*$B892/2,0),0)</f>
      </c>
      <c r="BR923" s="757">
        <f>IFERROR(IF(COUPNCD(BQ$4,$B832,2,0)-BR$4&lt;=0,BQ832*$B892/2,0),0)</f>
      </c>
      <c r="BS923" s="962">
        <f>SUM(BO923,BP923,BQ923,BR923)</f>
      </c>
      <c r="BT923" s="758">
        <f>IFERROR(IF(COUPNCD(BS4,$B832,2,0)-BT4&lt;=0,BS832*$B892/2,0),0)</f>
      </c>
      <c r="BU923" s="757">
        <f>IFERROR(IF(COUPNCD(BT4,$B832,2,0)-BU4&lt;=0,BT832*$B892/2,0),0)</f>
      </c>
      <c r="BV923" s="757">
        <f>IFERROR(IF(COUPNCD(BU$4,$B832,2,0)-BV$4&lt;=0,BU832*$B892/2,0),0)</f>
      </c>
      <c r="BW923" s="757">
        <f>IFERROR(IF(COUPNCD(BV$4,$B832,2,0)-BW$4&lt;=0,BV832*$B892/2,0),0)</f>
      </c>
      <c r="BX923" s="962">
        <f>SUM(BT923,BU923,BV923,BW923)</f>
      </c>
      <c r="BY923" s="757">
        <f>IFERROR(IF(COUPNCD(BX4,$B832,2,0)-BY4&lt;=0,BX832*$B892/2,0),0)</f>
      </c>
      <c r="BZ923" s="757">
        <f>IFERROR(IF(COUPNCD(BY4,$B832,2,0)-BZ4&lt;=0,BY832*$B892/2,0),0)</f>
      </c>
      <c r="CA923" s="757">
        <f>IFERROR(IF(COUPNCD(BZ$4,$B832,2,0)-CA$4&lt;=0,BZ832*$B892/2,0),0)</f>
      </c>
      <c r="CB923" s="757">
        <f>IFERROR(IF(COUPNCD(CA$4,$B832,2,0)-CB$4&lt;=0,CA832*$B892/2,0),0)</f>
      </c>
      <c r="CC923" s="962">
        <f>SUM(BY923,BZ923,CA923,CB923)</f>
      </c>
      <c r="CD923" s="962">
        <f t="shared" ref="CD923:CF924" si="1954">CC832*$B892/IF(AND($BX832=0,CC832&gt;0,(CD$4-$B832)&gt;CD$3/2),2,1)</f>
      </c>
      <c r="CE923" s="962">
        <f t="shared" si="1954"/>
      </c>
      <c r="CF923" s="962">
        <f t="shared" si="1954"/>
      </c>
      <c r="CG923" s="273"/>
    </row>
    <row r="924" spans="1:85" hidden="1" outlineLevel="1" x14ac:dyDescent="0.3">
      <c r="A924" s="424" t="s">
        <v>2200</v>
      </c>
      <c r="B924" s="539"/>
      <c r="C924" s="962"/>
      <c r="D924" s="962"/>
      <c r="E924" s="962"/>
      <c r="F924" s="962"/>
      <c r="G924" s="757"/>
      <c r="H924" s="757"/>
      <c r="I924" s="757"/>
      <c r="J924" s="757"/>
      <c r="K924" s="962"/>
      <c r="L924" s="757"/>
      <c r="M924" s="757"/>
      <c r="N924" s="757"/>
      <c r="O924" s="757"/>
      <c r="P924" s="962"/>
      <c r="Q924" s="757"/>
      <c r="R924" s="757"/>
      <c r="S924" s="757"/>
      <c r="T924" s="757"/>
      <c r="U924" s="962"/>
      <c r="V924" s="757"/>
      <c r="W924" s="757"/>
      <c r="X924" s="757"/>
      <c r="Y924" s="757"/>
      <c r="Z924" s="962"/>
      <c r="AA924" s="757"/>
      <c r="AB924" s="757"/>
      <c r="AC924" s="757"/>
      <c r="AD924" s="757"/>
      <c r="AE924" s="962"/>
      <c r="AF924" s="757"/>
      <c r="AG924" s="757"/>
      <c r="AH924" s="757"/>
      <c r="AI924" s="757"/>
      <c r="AJ924" s="962"/>
      <c r="AK924" s="757"/>
      <c r="AL924" s="757"/>
      <c r="AM924" s="757"/>
      <c r="AN924" s="757"/>
      <c r="AO924" s="962"/>
      <c r="AP924" s="757"/>
      <c r="AQ924" s="757"/>
      <c r="AR924" s="757"/>
      <c r="AS924" s="757"/>
      <c r="AT924" s="962"/>
      <c r="AU924" s="757"/>
      <c r="AV924" s="757"/>
      <c r="AW924" s="757"/>
      <c r="AX924" s="757"/>
      <c r="AY924" s="962"/>
      <c r="AZ924" s="757"/>
      <c r="BA924" s="757"/>
      <c r="BB924" s="757"/>
      <c r="BC924" s="757"/>
      <c r="BD924" s="962"/>
      <c r="BE924" s="757"/>
      <c r="BF924" s="757"/>
      <c r="BG924" s="757"/>
      <c r="BH924" s="757"/>
      <c r="BI924" s="962"/>
      <c r="BJ924" s="757"/>
      <c r="BK924" s="757"/>
      <c r="BL924" s="757">
        <f>IFERROR(IF(COUPNCD(BK$4,$B833,2,0)-BL$4&lt;=0,BK833*$B893/2,0),0)</f>
      </c>
      <c r="BM924" s="757">
        <f>IFERROR(IF(COUPNCD(BL$4,$B833,2,0)-BM$4&lt;=0,BL833*$B893/2,0),0)</f>
      </c>
      <c r="BN924" s="962">
        <f>SUM(BJ924,BK924,BL924,BM924)</f>
      </c>
      <c r="BO924" s="757">
        <f>IFERROR(IF(COUPNCD(BN4,$B833,2,0)-BO4&lt;=0,BN833*$B893/2,0),0)</f>
      </c>
      <c r="BP924" s="757">
        <f>IFERROR(IF(COUPNCD(BO4,$B833,2,0)-BP4&lt;=0,BO833*$B893/2,0),0)</f>
      </c>
      <c r="BQ924" s="757">
        <f>IFERROR(IF(COUPNCD(BP$4,$B833,2,0)-BQ$4&lt;=0,BP833*$B893/2,0),0)</f>
      </c>
      <c r="BR924" s="757">
        <f>IFERROR(IF(COUPNCD(BQ$4,$B833,2,0)-BR$4&lt;=0,BQ833*$B893/2,0),0)</f>
      </c>
      <c r="BS924" s="962">
        <f>SUM(BO924,BP924,BQ924,BR924)</f>
      </c>
      <c r="BT924" s="758">
        <f>IFERROR(IF(COUPNCD(BS4,$B833,2,0)-BT4&lt;=0,BS833*$B893/2,0),0)</f>
      </c>
      <c r="BU924" s="757">
        <f>IFERROR(IF(COUPNCD(BT4,$B833,2,0)-BU4&lt;=0,BT833*$B893/2,0),0)</f>
      </c>
      <c r="BV924" s="757">
        <f>IFERROR(IF(COUPNCD(BU$4,$B833,2,0)-BV$4&lt;=0,BU833*$B893/2,0),0)</f>
      </c>
      <c r="BW924" s="757">
        <f>IFERROR(IF(COUPNCD(BV$4,$B833,2,0)-BW$4&lt;=0,BV833*$B893/2,0),0)</f>
      </c>
      <c r="BX924" s="962">
        <f>SUM(BT924,BU924,BV924,BW924)</f>
      </c>
      <c r="BY924" s="757">
        <f>IFERROR(IF(COUPNCD(BX4,$B833,2,0)-BY4&lt;=0,BX833*$B893/2,0),0)</f>
      </c>
      <c r="BZ924" s="757">
        <f>IFERROR(IF(COUPNCD(BY4,$B833,2,0)-BZ4&lt;=0,BY833*$B893/2,0),0)</f>
      </c>
      <c r="CA924" s="757">
        <f>IFERROR(IF(COUPNCD(BZ$4,$B833,2,0)-CA$4&lt;=0,BZ833*$B893/2,0),0)</f>
      </c>
      <c r="CB924" s="757">
        <f>IFERROR(IF(COUPNCD(CA$4,$B833,2,0)-CB$4&lt;=0,CA833*$B893/2,0),0)</f>
      </c>
      <c r="CC924" s="962">
        <f>SUM(BY924,BZ924,CA924,CB924)</f>
      </c>
      <c r="CD924" s="962">
        <f t="shared" si="1954"/>
      </c>
      <c r="CE924" s="962">
        <f t="shared" si="1954"/>
      </c>
      <c r="CF924" s="962">
        <f t="shared" si="1954"/>
      </c>
      <c r="CG924" s="273"/>
    </row>
    <row r="925" spans="1:85" hidden="1" outlineLevel="1" x14ac:dyDescent="0.3">
      <c r="A925" s="420" t="s">
        <v>754</v>
      </c>
      <c r="B925" s="417"/>
      <c r="C925" s="984"/>
      <c r="D925" s="984"/>
      <c r="E925" s="984"/>
      <c r="F925" s="984"/>
      <c r="G925" s="761"/>
      <c r="H925" s="761"/>
      <c r="I925" s="761"/>
      <c r="J925" s="761"/>
      <c r="K925" s="984"/>
      <c r="L925" s="761"/>
      <c r="M925" s="761"/>
      <c r="N925" s="761"/>
      <c r="O925" s="761"/>
      <c r="P925" s="984"/>
      <c r="Q925" s="761"/>
      <c r="R925" s="761"/>
      <c r="S925" s="761"/>
      <c r="T925" s="761"/>
      <c r="U925" s="984"/>
      <c r="V925" s="761"/>
      <c r="W925" s="761"/>
      <c r="X925" s="761"/>
      <c r="Y925" s="761"/>
      <c r="Z925" s="984"/>
      <c r="AA925" s="761"/>
      <c r="AB925" s="761"/>
      <c r="AC925" s="761"/>
      <c r="AD925" s="761"/>
      <c r="AE925" s="984"/>
      <c r="AF925" s="761"/>
      <c r="AG925" s="761"/>
      <c r="AH925" s="761"/>
      <c r="AI925" s="761"/>
      <c r="AJ925" s="984"/>
      <c r="AK925" s="761"/>
      <c r="AL925" s="761"/>
      <c r="AM925" s="761"/>
      <c r="AN925" s="761"/>
      <c r="AO925" s="984"/>
      <c r="AP925" s="761"/>
      <c r="AQ925" s="761"/>
      <c r="AR925" s="761"/>
      <c r="AS925" s="761"/>
      <c r="AT925" s="984"/>
      <c r="AU925" s="761"/>
      <c r="AV925" s="761"/>
      <c r="AW925" s="761"/>
      <c r="AX925" s="761"/>
      <c r="AY925" s="984"/>
      <c r="AZ925" s="761"/>
      <c r="BA925" s="761"/>
      <c r="BB925" s="761"/>
      <c r="BC925" s="761"/>
      <c r="BD925" s="984"/>
      <c r="BE925" s="761"/>
      <c r="BF925" s="761"/>
      <c r="BG925" s="761"/>
      <c r="BH925" s="761"/>
      <c r="BI925" s="984"/>
      <c r="BJ925" s="761"/>
      <c r="BK925" s="761"/>
      <c r="BL925" s="761"/>
      <c r="BM925" s="761"/>
      <c r="BN925" s="984"/>
      <c r="BO925" s="761"/>
      <c r="BP925" s="761"/>
      <c r="BQ925" s="761"/>
      <c r="BR925" s="761">
        <f>BR894</f>
      </c>
      <c r="BS925" s="984">
        <f>SUM(BO925,BP925,BQ925,BR925)</f>
      </c>
      <c r="BT925" s="762"/>
      <c r="BU925" s="761">
        <f>BU894</f>
      </c>
      <c r="BV925" s="761">
        <f>BV894</f>
      </c>
      <c r="BW925" s="761">
        <f>BW894</f>
      </c>
      <c r="BX925" s="984">
        <f>SUM(BT925,BU925,BV925,BW925)</f>
      </c>
      <c r="BY925" s="761">
        <f>BY894</f>
      </c>
      <c r="BZ925" s="761">
        <f>BZ894</f>
      </c>
      <c r="CA925" s="761">
        <f>CA894</f>
      </c>
      <c r="CB925" s="761">
        <f>CB894</f>
      </c>
      <c r="CC925" s="984">
        <f>SUM(BY925,BZ925,CA925,CB925)</f>
      </c>
      <c r="CD925" s="984">
        <f>CD894</f>
      </c>
      <c r="CE925" s="984">
        <f>CE894</f>
      </c>
      <c r="CF925" s="984">
        <f>CF894</f>
      </c>
      <c r="CG925" s="273"/>
    </row>
    <row r="926" spans="1:85" collapsed="1" x14ac:dyDescent="0.3">
      <c r="A926" s="427" t="s">
        <v>755</v>
      </c>
      <c r="B926" s="250"/>
      <c r="C926" s="969"/>
      <c r="D926" s="969"/>
      <c r="E926" s="969"/>
      <c r="F926" s="969"/>
      <c r="G926" s="759"/>
      <c r="H926" s="759"/>
      <c r="I926" s="759"/>
      <c r="J926" s="759"/>
      <c r="K926" s="969"/>
      <c r="L926" s="759"/>
      <c r="M926" s="759"/>
      <c r="N926" s="759"/>
      <c r="O926" s="759"/>
      <c r="P926" s="969"/>
      <c r="Q926" s="759"/>
      <c r="R926" s="759"/>
      <c r="S926" s="759"/>
      <c r="T926" s="759"/>
      <c r="U926" s="969"/>
      <c r="V926" s="759"/>
      <c r="W926" s="759"/>
      <c r="X926" s="759"/>
      <c r="Y926" s="759"/>
      <c r="Z926" s="969"/>
      <c r="AA926" s="759"/>
      <c r="AB926" s="759"/>
      <c r="AC926" s="759"/>
      <c r="AD926" s="759"/>
      <c r="AE926" s="969"/>
      <c r="AF926" s="759"/>
      <c r="AG926" s="759"/>
      <c r="AH926" s="759"/>
      <c r="AI926" s="759"/>
      <c r="AJ926" s="969"/>
      <c r="AK926" s="759"/>
      <c r="AL926" s="759"/>
      <c r="AM926" s="759"/>
      <c r="AN926" s="759"/>
      <c r="AO926" s="969"/>
      <c r="AP926" s="759">
        <f t="shared" ref="AP926:BK926" si="1955">+AP925+AP922+AP921+AP919+AP918+AP916+AP915+AP913+AP912+AP911+AP909+AP908+AP907+AP905+AP904+AP903+AP902+AP901+AP900+AP923+AP924</f>
      </c>
      <c r="AQ926" s="759">
        <f t="shared" si="1955"/>
      </c>
      <c r="AR926" s="759">
        <f t="shared" si="1955"/>
      </c>
      <c r="AS926" s="759">
        <f t="shared" si="1955"/>
      </c>
      <c r="AT926" s="969">
        <f t="shared" si="1955"/>
      </c>
      <c r="AU926" s="759">
        <f t="shared" si="1955"/>
      </c>
      <c r="AV926" s="759">
        <f t="shared" si="1955"/>
      </c>
      <c r="AW926" s="759">
        <f t="shared" si="1955"/>
      </c>
      <c r="AX926" s="759">
        <f t="shared" si="1955"/>
      </c>
      <c r="AY926" s="969">
        <f t="shared" si="1955"/>
      </c>
      <c r="AZ926" s="759">
        <f t="shared" si="1955"/>
      </c>
      <c r="BA926" s="759">
        <f t="shared" si="1955"/>
      </c>
      <c r="BB926" s="759">
        <f t="shared" si="1955"/>
      </c>
      <c r="BC926" s="759">
        <f t="shared" si="1955"/>
      </c>
      <c r="BD926" s="969">
        <f t="shared" si="1955"/>
      </c>
      <c r="BE926" s="759">
        <f t="shared" si="1955"/>
      </c>
      <c r="BF926" s="759">
        <f t="shared" si="1955"/>
      </c>
      <c r="BG926" s="759">
        <f t="shared" si="1955"/>
      </c>
      <c r="BH926" s="759">
        <f t="shared" si="1955"/>
      </c>
      <c r="BI926" s="969">
        <f t="shared" si="1955"/>
      </c>
      <c r="BJ926" s="759">
        <f t="shared" si="1955"/>
      </c>
      <c r="BK926" s="759">
        <f t="shared" si="1955"/>
      </c>
      <c r="BL926" s="759">
        <f t="shared" ref="BL926:BN926" si="1956">+BL925+BL922+BL921+BL919+BL918+BL916+BL915+BL913+BL912+BL911+BL909+BL908+BL907+BL905+BL904+BL903+BL902+BL901+BL900+BL923+BL924</f>
      </c>
      <c r="BM926" s="759">
        <f t="shared" si="1956"/>
      </c>
      <c r="BN926" s="969">
        <f t="shared" si="1956"/>
      </c>
      <c r="BO926" s="759">
        <f>+BO925+BO922+BO921+BO919+BO918+BO916+BO915+BO913+BO912+BO911+BO909+BO908+BO907+BO905+BO904+BO903+BO902+BO901+BO900+BO923+BO924</f>
      </c>
      <c r="BP926" s="759">
        <f>+BP925+BP922+BP921+BP919+BP918+BP916+BP915+BP913+BP912+BP911+BP909+BP908+BP907+BP905+BP904+BP903+BP902+BP901+BP900+BP923+BP924</f>
      </c>
      <c r="BQ926" s="759">
        <f t="shared" ref="BQ926" si="1957">+BQ925+BQ922+BQ921+BQ919+BQ918+BQ916+BQ915+BQ913+BQ912+BQ911+BQ909+BQ908+BQ907+BQ905+BQ904+BQ903+BQ902+BQ901+BQ900+BQ923+BQ924</f>
      </c>
      <c r="BR926" s="759">
        <f t="shared" ref="BR926:CF926" si="1958">+BR925+BR922+BR921+BR919+BR918+BR916+BR915+BR913+BR912+BR911+BR909+BR908+BR907+BR905+BR904+BR903+BR902+BR901+BR900+BR923+BR924</f>
      </c>
      <c r="BS926" s="969">
        <f t="shared" si="1958"/>
      </c>
      <c r="BT926" s="760">
        <f>+BT925+BT922+BT921+BT919+BT918+BT916+BT915+BT913+BT912+BT911+BT909+BT908+BT907+BT905+BT904+BT903+BT902+BT901+BT900+BT923+BT924</f>
      </c>
      <c r="BU926" s="759">
        <f t="shared" si="1958"/>
      </c>
      <c r="BV926" s="759">
        <f t="shared" si="1958"/>
      </c>
      <c r="BW926" s="759">
        <f t="shared" si="1958"/>
      </c>
      <c r="BX926" s="969">
        <f t="shared" si="1958"/>
      </c>
      <c r="BY926" s="759">
        <f t="shared" si="1958"/>
      </c>
      <c r="BZ926" s="759">
        <f t="shared" si="1958"/>
      </c>
      <c r="CA926" s="759">
        <f t="shared" si="1958"/>
      </c>
      <c r="CB926" s="759">
        <f t="shared" si="1958"/>
      </c>
      <c r="CC926" s="969">
        <f t="shared" si="1958"/>
      </c>
      <c r="CD926" s="969">
        <f t="shared" si="1958"/>
      </c>
      <c r="CE926" s="969">
        <f t="shared" si="1958"/>
      </c>
      <c r="CF926" s="969">
        <f t="shared" si="1958"/>
      </c>
      <c r="CG926" s="273"/>
    </row>
    <row r="927" spans="1:85" x14ac:dyDescent="0.3">
      <c r="A927" s="420" t="s">
        <v>756</v>
      </c>
      <c r="B927" s="425"/>
      <c r="C927" s="984"/>
      <c r="D927" s="984"/>
      <c r="E927" s="984"/>
      <c r="F927" s="984"/>
      <c r="G927" s="761"/>
      <c r="H927" s="761"/>
      <c r="I927" s="761"/>
      <c r="J927" s="761"/>
      <c r="K927" s="984"/>
      <c r="L927" s="761"/>
      <c r="M927" s="761"/>
      <c r="N927" s="761"/>
      <c r="O927" s="761"/>
      <c r="P927" s="984"/>
      <c r="Q927" s="761"/>
      <c r="R927" s="761"/>
      <c r="S927" s="761"/>
      <c r="T927" s="761"/>
      <c r="U927" s="984"/>
      <c r="V927" s="761"/>
      <c r="W927" s="761"/>
      <c r="X927" s="761"/>
      <c r="Y927" s="761"/>
      <c r="Z927" s="984"/>
      <c r="AA927" s="761"/>
      <c r="AB927" s="761"/>
      <c r="AC927" s="761"/>
      <c r="AD927" s="761"/>
      <c r="AE927" s="984"/>
      <c r="AF927" s="761"/>
      <c r="AG927" s="761"/>
      <c r="AH927" s="761"/>
      <c r="AI927" s="761"/>
      <c r="AJ927" s="984"/>
      <c r="AK927" s="761"/>
      <c r="AL927" s="761"/>
      <c r="AM927" s="761"/>
      <c r="AN927" s="761"/>
      <c r="AO927" s="984"/>
      <c r="AP927" s="761">
        <f>AT927/4</f>
      </c>
      <c r="AQ927" s="761">
        <f>AT927/4</f>
      </c>
      <c r="AR927" s="761">
        <f>AT927/4</f>
      </c>
      <c r="AS927" s="761">
        <f>AT927-AP927-AQ927-AR927</f>
      </c>
      <c r="AT927" s="984">
        <f>AT928-AT926</f>
      </c>
      <c r="AU927" s="761">
        <f>AY927/4</f>
      </c>
      <c r="AV927" s="761">
        <f>AY927/4</f>
      </c>
      <c r="AW927" s="761">
        <f>AY927/4</f>
      </c>
      <c r="AX927" s="761">
        <f>AY927-AU927-AV927-AW927</f>
      </c>
      <c r="AY927" s="984">
        <f>AY928-AY926</f>
      </c>
      <c r="AZ927" s="863">
        <v>-0.13</v>
      </c>
      <c r="BA927" s="863">
        <v>-0.12</v>
      </c>
      <c r="BB927" s="863">
        <v>-0.12</v>
      </c>
      <c r="BC927" s="761">
        <f>BD927-AZ927-BA927-BB927</f>
      </c>
      <c r="BD927" s="945">
        <f>BD928-BD926</f>
      </c>
      <c r="BE927" s="863">
        <v>-0.13</v>
      </c>
      <c r="BF927" s="863">
        <v>-0.13</v>
      </c>
      <c r="BG927" s="863">
        <v>-0.1</v>
      </c>
      <c r="BH927" s="761">
        <f>BI927-BE927-BF927-BG927</f>
      </c>
      <c r="BI927" s="945">
        <f>BI928-BI926</f>
      </c>
      <c r="BJ927" s="863">
        <v>-0.1</v>
      </c>
      <c r="BK927" s="863">
        <v>-0.1</v>
      </c>
      <c r="BL927" s="863">
        <v>-0.1</v>
      </c>
      <c r="BM927" s="761">
        <f>BN927-BJ927-BK927-BL927</f>
      </c>
      <c r="BN927" s="945">
        <f>BN928-BN926</f>
      </c>
      <c r="BO927" s="863">
        <v>-2</v>
      </c>
      <c r="BP927" s="863">
        <v>-3</v>
      </c>
      <c r="BQ927" s="863">
        <v>-3</v>
      </c>
      <c r="BR927" s="761">
        <f>BS927-BO927-BP927-BQ927</f>
      </c>
      <c r="BS927" s="943">
        <f>BS928-BS926</f>
      </c>
      <c r="BT927" s="873">
        <v>-2</v>
      </c>
      <c r="BU927" s="863">
        <v>0</v>
      </c>
      <c r="BV927" s="863">
        <v>0</v>
      </c>
      <c r="BW927" s="863">
        <v>0</v>
      </c>
      <c r="BX927" s="984">
        <f>SUM(BT927,BU927,BV927,BW927)</f>
      </c>
      <c r="BY927" s="863">
        <v>0</v>
      </c>
      <c r="BZ927" s="863">
        <v>0</v>
      </c>
      <c r="CA927" s="863">
        <v>0</v>
      </c>
      <c r="CB927" s="863">
        <v>0</v>
      </c>
      <c r="CC927" s="984">
        <f>SUM(BY927,BZ927,CA927,CB927)</f>
      </c>
      <c r="CD927" s="989">
        <v>0</v>
      </c>
      <c r="CE927" s="989">
        <v>0</v>
      </c>
      <c r="CF927" s="989">
        <v>0</v>
      </c>
      <c r="CG927" s="273"/>
    </row>
    <row r="928" spans="1:85" x14ac:dyDescent="0.3">
      <c r="A928" s="421" t="s">
        <v>757</v>
      </c>
      <c r="B928" s="426"/>
      <c r="C928" s="965"/>
      <c r="D928" s="965"/>
      <c r="E928" s="965"/>
      <c r="F928" s="965"/>
      <c r="G928" s="791"/>
      <c r="H928" s="791"/>
      <c r="I928" s="791"/>
      <c r="J928" s="791"/>
      <c r="K928" s="965"/>
      <c r="L928" s="791"/>
      <c r="M928" s="791"/>
      <c r="N928" s="791"/>
      <c r="O928" s="791"/>
      <c r="P928" s="965"/>
      <c r="Q928" s="791"/>
      <c r="R928" s="791"/>
      <c r="S928" s="791"/>
      <c r="T928" s="791"/>
      <c r="U928" s="965"/>
      <c r="V928" s="791"/>
      <c r="W928" s="791"/>
      <c r="X928" s="791"/>
      <c r="Y928" s="791"/>
      <c r="Z928" s="965"/>
      <c r="AA928" s="791"/>
      <c r="AB928" s="791"/>
      <c r="AC928" s="791"/>
      <c r="AD928" s="791"/>
      <c r="AE928" s="965"/>
      <c r="AF928" s="791"/>
      <c r="AG928" s="791"/>
      <c r="AH928" s="791"/>
      <c r="AI928" s="791"/>
      <c r="AJ928" s="965"/>
      <c r="AK928" s="791"/>
      <c r="AL928" s="791"/>
      <c r="AM928" s="791"/>
      <c r="AN928" s="791"/>
      <c r="AO928" s="965"/>
      <c r="AP928" s="791">
        <f>AP926+AP927</f>
      </c>
      <c r="AQ928" s="791">
        <f t="shared" ref="AQ928:AS928" si="1959">AQ926+AQ927</f>
      </c>
      <c r="AR928" s="791">
        <f t="shared" si="1959"/>
      </c>
      <c r="AS928" s="791">
        <f t="shared" si="1959"/>
      </c>
      <c r="AT928" s="965">
        <f>-AT802</f>
      </c>
      <c r="AU928" s="791">
        <f>AU926+AU927</f>
      </c>
      <c r="AV928" s="791">
        <f t="shared" ref="AV928:AX928" si="1960">AV926+AV927</f>
      </c>
      <c r="AW928" s="791">
        <f t="shared" si="1960"/>
      </c>
      <c r="AX928" s="791">
        <f t="shared" si="1960"/>
      </c>
      <c r="AY928" s="965">
        <f>-AY802</f>
      </c>
      <c r="AZ928" s="791">
        <f>AZ926+AZ927</f>
      </c>
      <c r="BA928" s="791">
        <f>BA926+BA927</f>
      </c>
      <c r="BB928" s="791">
        <f t="shared" ref="BB928" si="1961">BB926+BB927</f>
      </c>
      <c r="BC928" s="791">
        <f t="shared" ref="BC928" si="1962">BC926+BC927</f>
      </c>
      <c r="BD928" s="965">
        <f>-BD802</f>
      </c>
      <c r="BE928" s="791">
        <f>BE926+BE927</f>
      </c>
      <c r="BF928" s="791">
        <f>BF926+BF927</f>
      </c>
      <c r="BG928" s="791">
        <f t="shared" ref="BG928:BH928" si="1963">BG926+BG927</f>
      </c>
      <c r="BH928" s="791">
        <f t="shared" si="1963"/>
      </c>
      <c r="BI928" s="965">
        <f>-BI802</f>
      </c>
      <c r="BJ928" s="791">
        <f t="shared" ref="BJ928:BM928" si="1964">BJ926+BJ927</f>
      </c>
      <c r="BK928" s="791">
        <f t="shared" si="1964"/>
      </c>
      <c r="BL928" s="791">
        <f t="shared" si="1964"/>
      </c>
      <c r="BM928" s="791">
        <f t="shared" si="1964"/>
      </c>
      <c r="BN928" s="986">
        <f>-BN802</f>
      </c>
      <c r="BO928" s="791">
        <f>BO926+BO927</f>
      </c>
      <c r="BP928" s="791">
        <f>BP926+BP927</f>
      </c>
      <c r="BQ928" s="791">
        <f t="shared" ref="BQ928" si="1965">BQ926+BQ927</f>
      </c>
      <c r="BR928" s="791">
        <f t="shared" ref="BR928:CF928" si="1966">BR926+BR927</f>
      </c>
      <c r="BS928" s="986">
        <f>-BS802</f>
      </c>
      <c r="BT928" s="797">
        <f>BT926+BT927</f>
      </c>
      <c r="BU928" s="791">
        <f t="shared" si="1966"/>
      </c>
      <c r="BV928" s="791">
        <f t="shared" si="1966"/>
      </c>
      <c r="BW928" s="791">
        <f t="shared" si="1966"/>
      </c>
      <c r="BX928" s="965">
        <f t="shared" si="1966"/>
      </c>
      <c r="BY928" s="791">
        <f t="shared" si="1966"/>
      </c>
      <c r="BZ928" s="791">
        <f t="shared" si="1966"/>
      </c>
      <c r="CA928" s="791">
        <f t="shared" si="1966"/>
      </c>
      <c r="CB928" s="791">
        <f t="shared" si="1966"/>
      </c>
      <c r="CC928" s="965">
        <f t="shared" si="1966"/>
      </c>
      <c r="CD928" s="965">
        <f t="shared" si="1966"/>
      </c>
      <c r="CE928" s="965">
        <f t="shared" si="1966"/>
      </c>
      <c r="CF928" s="965">
        <f t="shared" si="1966"/>
      </c>
      <c r="CG928" s="273"/>
    </row>
    <row r="929" spans="1:85" x14ac:dyDescent="0.3">
      <c r="A929" s="274"/>
      <c r="B929" s="274"/>
      <c r="C929" s="1065"/>
      <c r="D929" s="1065"/>
      <c r="E929" s="1065"/>
      <c r="F929" s="1065"/>
      <c r="G929" s="237"/>
      <c r="H929" s="237"/>
      <c r="I929" s="237"/>
      <c r="J929" s="237"/>
      <c r="K929" s="1065"/>
      <c r="L929" s="237"/>
      <c r="M929" s="237"/>
      <c r="N929" s="237"/>
      <c r="O929" s="237"/>
      <c r="P929" s="1065"/>
      <c r="Q929" s="237"/>
      <c r="R929" s="237"/>
      <c r="S929" s="237"/>
      <c r="T929" s="237"/>
      <c r="U929" s="1065"/>
      <c r="V929" s="237"/>
      <c r="W929" s="237"/>
      <c r="X929" s="237"/>
      <c r="Y929" s="237"/>
      <c r="Z929" s="1065"/>
      <c r="AA929" s="237"/>
      <c r="AB929" s="237"/>
      <c r="AC929" s="237"/>
      <c r="AD929" s="237"/>
      <c r="AE929" s="1065"/>
      <c r="AF929" s="237"/>
      <c r="AG929" s="237"/>
      <c r="AH929" s="237"/>
      <c r="AI929" s="237"/>
      <c r="AJ929" s="1065"/>
      <c r="AK929" s="237"/>
      <c r="AL929" s="237"/>
      <c r="AM929" s="237"/>
      <c r="AN929" s="237"/>
      <c r="AO929" s="1065"/>
      <c r="AP929" s="237"/>
      <c r="AQ929" s="237"/>
      <c r="AR929" s="237"/>
      <c r="AS929" s="237"/>
      <c r="AT929" s="1065"/>
      <c r="AU929" s="237"/>
      <c r="AV929" s="237"/>
      <c r="AW929" s="237"/>
      <c r="AX929" s="237"/>
      <c r="AY929" s="1065"/>
      <c r="AZ929" s="237"/>
      <c r="BA929" s="237"/>
      <c r="BB929" s="237"/>
      <c r="BC929" s="237"/>
      <c r="BD929" s="1065"/>
      <c r="BE929" s="237"/>
      <c r="BF929" s="237"/>
      <c r="BG929" s="237"/>
      <c r="BH929" s="237"/>
      <c r="BI929" s="1065"/>
      <c r="BJ929" s="237"/>
      <c r="BK929" s="237"/>
      <c r="BL929" s="237"/>
      <c r="BM929" s="237"/>
      <c r="BN929" s="1065"/>
      <c r="BO929" s="237"/>
      <c r="BP929" s="237"/>
      <c r="BQ929" s="237"/>
      <c r="BR929" s="237"/>
      <c r="BS929" s="1065"/>
      <c r="BT929" s="296"/>
      <c r="BU929" s="237"/>
      <c r="BV929" s="237"/>
      <c r="BW929" s="237"/>
      <c r="BX929" s="1065"/>
      <c r="BY929" s="237"/>
      <c r="BZ929" s="237"/>
      <c r="CA929" s="237"/>
      <c r="CB929" s="237"/>
      <c r="CC929" s="1065"/>
      <c r="CD929" s="1065"/>
      <c r="CE929" s="1065"/>
      <c r="CF929" s="1065"/>
      <c r="CG929" s="129"/>
    </row>
    <row r="930" spans="1:85" x14ac:dyDescent="0.3">
      <c r="A930" s="412" t="s">
        <v>758</v>
      </c>
      <c r="B930" s="412"/>
      <c r="C930" s="754"/>
      <c r="D930" s="754"/>
      <c r="E930" s="754"/>
      <c r="F930" s="754"/>
      <c r="G930" s="754"/>
      <c r="H930" s="754"/>
      <c r="I930" s="754"/>
      <c r="J930" s="754"/>
      <c r="K930" s="754"/>
      <c r="L930" s="754"/>
      <c r="M930" s="754"/>
      <c r="N930" s="754"/>
      <c r="O930" s="754"/>
      <c r="P930" s="754"/>
      <c r="Q930" s="754"/>
      <c r="R930" s="754"/>
      <c r="S930" s="754"/>
      <c r="T930" s="754"/>
      <c r="U930" s="754"/>
      <c r="V930" s="754"/>
      <c r="W930" s="754"/>
      <c r="X930" s="754"/>
      <c r="Y930" s="754"/>
      <c r="Z930" s="754"/>
      <c r="AA930" s="754"/>
      <c r="AB930" s="754"/>
      <c r="AC930" s="754"/>
      <c r="AD930" s="754"/>
      <c r="AE930" s="754"/>
      <c r="AF930" s="754"/>
      <c r="AG930" s="754"/>
      <c r="AH930" s="754"/>
      <c r="AI930" s="754"/>
      <c r="AJ930" s="754"/>
      <c r="AK930" s="754"/>
      <c r="AL930" s="754"/>
      <c r="AM930" s="754"/>
      <c r="AN930" s="754"/>
      <c r="AO930" s="754"/>
      <c r="AP930" s="754"/>
      <c r="AQ930" s="754"/>
      <c r="AR930" s="754"/>
      <c r="AS930" s="754"/>
      <c r="AT930" s="754"/>
      <c r="AU930" s="754"/>
      <c r="AV930" s="754"/>
      <c r="AW930" s="754"/>
      <c r="AX930" s="754"/>
      <c r="AY930" s="754"/>
      <c r="AZ930" s="754"/>
      <c r="BA930" s="754"/>
      <c r="BB930" s="754"/>
      <c r="BC930" s="754"/>
      <c r="BD930" s="754"/>
      <c r="BE930" s="754"/>
      <c r="BF930" s="754"/>
      <c r="BG930" s="754"/>
      <c r="BH930" s="754"/>
      <c r="BI930" s="754"/>
      <c r="BJ930" s="754"/>
      <c r="BK930" s="754"/>
      <c r="BL930" s="754"/>
      <c r="BM930" s="754"/>
      <c r="BN930" s="754"/>
      <c r="BO930" s="754"/>
      <c r="BP930" s="754"/>
      <c r="BQ930" s="754"/>
      <c r="BR930" s="754"/>
      <c r="BS930" s="754"/>
      <c r="BT930" s="755"/>
      <c r="BU930" s="754"/>
      <c r="BV930" s="754"/>
      <c r="BW930" s="754"/>
      <c r="BX930" s="754"/>
      <c r="BY930" s="754"/>
      <c r="BZ930" s="754"/>
      <c r="CA930" s="754"/>
      <c r="CB930" s="754"/>
      <c r="CC930" s="754"/>
      <c r="CD930" s="754"/>
      <c r="CE930" s="754"/>
      <c r="CF930" s="754"/>
      <c r="CG930" s="129"/>
    </row>
    <row r="931" spans="1:85" s="587" customFormat="1" hidden="1" outlineLevel="1" x14ac:dyDescent="0.3">
      <c r="A931" s="429" t="s">
        <v>759</v>
      </c>
      <c r="B931" s="428"/>
      <c r="C931" s="940"/>
      <c r="D931" s="940"/>
      <c r="E931" s="940"/>
      <c r="F931" s="940"/>
      <c r="G931" s="778"/>
      <c r="H931" s="778"/>
      <c r="I931" s="778"/>
      <c r="J931" s="778"/>
      <c r="K931" s="940"/>
      <c r="L931" s="778"/>
      <c r="M931" s="778"/>
      <c r="N931" s="778"/>
      <c r="O931" s="778"/>
      <c r="P931" s="940"/>
      <c r="Q931" s="778"/>
      <c r="R931" s="778"/>
      <c r="S931" s="778"/>
      <c r="T931" s="778"/>
      <c r="U931" s="940"/>
      <c r="V931" s="778"/>
      <c r="W931" s="778"/>
      <c r="X931" s="778"/>
      <c r="Y931" s="778"/>
      <c r="Z931" s="940"/>
      <c r="AA931" s="778"/>
      <c r="AB931" s="778"/>
      <c r="AC931" s="778"/>
      <c r="AD931" s="778"/>
      <c r="AE931" s="940"/>
      <c r="AF931" s="778"/>
      <c r="AG931" s="778"/>
      <c r="AH931" s="778"/>
      <c r="AI931" s="778"/>
      <c r="AJ931" s="940"/>
      <c r="AK931" s="778"/>
      <c r="AL931" s="778"/>
      <c r="AM931" s="778"/>
      <c r="AN931" s="778"/>
      <c r="AO931" s="940"/>
      <c r="AP931" s="778">
        <f>AO935</f>
      </c>
      <c r="AQ931" s="778">
        <f>AP935</f>
      </c>
      <c r="AR931" s="778">
        <f>AQ935</f>
      </c>
      <c r="AS931" s="778">
        <f>AR935</f>
      </c>
      <c r="AT931" s="940">
        <f>AO935</f>
      </c>
      <c r="AU931" s="778">
        <f>AT935</f>
      </c>
      <c r="AV931" s="778">
        <f>AU935</f>
      </c>
      <c r="AW931" s="778">
        <f>AV935</f>
      </c>
      <c r="AX931" s="778">
        <f>AW935</f>
      </c>
      <c r="AY931" s="940">
        <f>AT935</f>
      </c>
      <c r="AZ931" s="778">
        <f>AY935</f>
      </c>
      <c r="BA931" s="778">
        <f>AZ935</f>
      </c>
      <c r="BB931" s="778">
        <f>BA935</f>
      </c>
      <c r="BC931" s="778">
        <f>BB935</f>
      </c>
      <c r="BD931" s="940">
        <f>AY935</f>
      </c>
      <c r="BE931" s="778">
        <f>BD935</f>
      </c>
      <c r="BF931" s="778">
        <f>BE935</f>
      </c>
      <c r="BG931" s="778">
        <f>BF935</f>
      </c>
      <c r="BH931" s="778">
        <f>BG935</f>
      </c>
      <c r="BI931" s="940">
        <f>BD935</f>
      </c>
      <c r="BJ931" s="778">
        <f>BI935</f>
      </c>
      <c r="BK931" s="778">
        <f>BJ935</f>
      </c>
      <c r="BL931" s="778">
        <f>BK935</f>
      </c>
      <c r="BM931" s="778">
        <f>BL935</f>
      </c>
      <c r="BN931" s="940">
        <f>BI935</f>
      </c>
      <c r="BO931" s="778">
        <f>BN935</f>
      </c>
      <c r="BP931" s="778">
        <f>BO935</f>
      </c>
      <c r="BQ931" s="778">
        <f>BP935</f>
      </c>
      <c r="BR931" s="778">
        <f>BQ935</f>
      </c>
      <c r="BS931" s="940">
        <f>BN935</f>
      </c>
      <c r="BT931" s="779">
        <f>BS935</f>
      </c>
      <c r="BU931" s="778">
        <f>BT935</f>
      </c>
      <c r="BV931" s="778">
        <f>BU935</f>
      </c>
      <c r="BW931" s="778">
        <f>BV935</f>
      </c>
      <c r="BX931" s="940">
        <f>BS935</f>
      </c>
      <c r="BY931" s="778">
        <f>BX935</f>
      </c>
      <c r="BZ931" s="778">
        <f>BY935</f>
      </c>
      <c r="CA931" s="778">
        <f>BZ935</f>
      </c>
      <c r="CB931" s="778">
        <f>CA935</f>
      </c>
      <c r="CC931" s="940">
        <f>BX935</f>
      </c>
      <c r="CD931" s="940">
        <f>CC935</f>
      </c>
      <c r="CE931" s="940">
        <f>CD935</f>
      </c>
      <c r="CF931" s="940">
        <f>CE935</f>
      </c>
      <c r="CG931" s="757"/>
    </row>
    <row r="932" spans="1:85" s="587" customFormat="1" hidden="1" outlineLevel="1" x14ac:dyDescent="0.3">
      <c r="A932" s="436" t="s">
        <v>760</v>
      </c>
      <c r="B932" s="414"/>
      <c r="C932" s="943"/>
      <c r="D932" s="943"/>
      <c r="E932" s="943"/>
      <c r="F932" s="943"/>
      <c r="G932" s="753"/>
      <c r="H932" s="753"/>
      <c r="I932" s="753"/>
      <c r="J932" s="753"/>
      <c r="K932" s="943"/>
      <c r="L932" s="753"/>
      <c r="M932" s="753"/>
      <c r="N932" s="753"/>
      <c r="O932" s="753"/>
      <c r="P932" s="943"/>
      <c r="Q932" s="753"/>
      <c r="R932" s="753"/>
      <c r="S932" s="753"/>
      <c r="T932" s="753"/>
      <c r="U932" s="943"/>
      <c r="V932" s="753"/>
      <c r="W932" s="753"/>
      <c r="X932" s="753"/>
      <c r="Y932" s="753"/>
      <c r="Z932" s="943"/>
      <c r="AA932" s="753"/>
      <c r="AB932" s="753"/>
      <c r="AC932" s="753"/>
      <c r="AD932" s="753"/>
      <c r="AE932" s="943"/>
      <c r="AF932" s="753"/>
      <c r="AG932" s="753"/>
      <c r="AH932" s="753"/>
      <c r="AI932" s="753"/>
      <c r="AJ932" s="943"/>
      <c r="AK932" s="753"/>
      <c r="AL932" s="753"/>
      <c r="AM932" s="753"/>
      <c r="AN932" s="753"/>
      <c r="AO932" s="943"/>
      <c r="AP932" s="753">
        <f t="shared" ref="AP932:AS932" si="1967">-AP958</f>
      </c>
      <c r="AQ932" s="753">
        <f t="shared" si="1967"/>
      </c>
      <c r="AR932" s="753">
        <f t="shared" si="1967"/>
      </c>
      <c r="AS932" s="753">
        <f t="shared" si="1967"/>
      </c>
      <c r="AT932" s="943">
        <f t="shared" ref="AT932:BE932" si="1968">-AT958</f>
      </c>
      <c r="AU932" s="753">
        <f t="shared" si="1968"/>
      </c>
      <c r="AV932" s="753">
        <f t="shared" si="1968"/>
      </c>
      <c r="AW932" s="753">
        <f t="shared" si="1968"/>
      </c>
      <c r="AX932" s="753">
        <f t="shared" si="1968"/>
      </c>
      <c r="AY932" s="943">
        <f t="shared" si="1968"/>
      </c>
      <c r="AZ932" s="753">
        <f t="shared" si="1968"/>
      </c>
      <c r="BA932" s="753">
        <f t="shared" si="1968"/>
      </c>
      <c r="BB932" s="753">
        <f t="shared" si="1968"/>
      </c>
      <c r="BC932" s="753">
        <f t="shared" si="1968"/>
      </c>
      <c r="BD932" s="943">
        <f t="shared" ref="BD932" si="1969">-BD958</f>
      </c>
      <c r="BE932" s="753">
        <f t="shared" si="1968"/>
      </c>
      <c r="BF932" s="753">
        <f>-BF958</f>
      </c>
      <c r="BG932" s="753">
        <f t="shared" ref="BG932:BJ932" si="1970">-BG958</f>
      </c>
      <c r="BH932" s="753">
        <f t="shared" si="1970"/>
      </c>
      <c r="BI932" s="943">
        <f t="shared" si="1970"/>
      </c>
      <c r="BJ932" s="753">
        <f t="shared" si="1970"/>
      </c>
      <c r="BK932" s="753">
        <f>-BK958</f>
      </c>
      <c r="BL932" s="753">
        <f>-BL958</f>
      </c>
      <c r="BM932" s="753">
        <f t="shared" ref="BM932:BN932" si="1971">-BM958</f>
      </c>
      <c r="BN932" s="943">
        <f t="shared" si="1971"/>
      </c>
      <c r="BO932" s="753">
        <f>-BO958</f>
      </c>
      <c r="BP932" s="753">
        <f>-BP958</f>
      </c>
      <c r="BQ932" s="753">
        <f>-BQ958</f>
      </c>
      <c r="BR932" s="753">
        <f t="shared" ref="BR932:BS932" si="1972">-BR958</f>
      </c>
      <c r="BS932" s="943">
        <f t="shared" si="1972"/>
      </c>
      <c r="BT932" s="756">
        <f>-BT958</f>
      </c>
      <c r="BU932" s="753">
        <f>-BU937*BU931/BX3*BU3</f>
      </c>
      <c r="BV932" s="753">
        <f>-BV937*BV931/BX3*BV3</f>
      </c>
      <c r="BW932" s="753">
        <f>-BW937*BW931/BX3*BW3</f>
      </c>
      <c r="BX932" s="943">
        <f>IF(ISBLANK(BT1008),"n/a",SUM(BT932,BU932,BV932,BW932))</f>
      </c>
      <c r="BY932" s="753">
        <f>-BY937*BY931/CC3*BY3</f>
      </c>
      <c r="BZ932" s="753">
        <f>-BZ937*BZ931/CC3*BZ3</f>
      </c>
      <c r="CA932" s="753">
        <f>-CA937*CA931/CC3*CA3</f>
      </c>
      <c r="CB932" s="753">
        <f>-CB937*CB931/CC3*CB3</f>
      </c>
      <c r="CC932" s="943">
        <f>IF(ISBLANK(BY1008),"n/a",SUM(BY932,BZ932,CA932,CB932))</f>
      </c>
      <c r="CD932" s="943">
        <f>-CD937*CD931</f>
      </c>
      <c r="CE932" s="943">
        <f>-CE937*CE931</f>
      </c>
      <c r="CF932" s="943">
        <f>-CF937*CF931</f>
      </c>
      <c r="CG932" s="757"/>
    </row>
    <row r="933" spans="1:85" s="587" customFormat="1" hidden="1" outlineLevel="1" x14ac:dyDescent="0.3">
      <c r="A933" s="436" t="s">
        <v>761</v>
      </c>
      <c r="B933" s="414"/>
      <c r="C933" s="943"/>
      <c r="D933" s="943"/>
      <c r="E933" s="943"/>
      <c r="F933" s="943"/>
      <c r="G933" s="753"/>
      <c r="H933" s="753"/>
      <c r="I933" s="753"/>
      <c r="J933" s="753"/>
      <c r="K933" s="943"/>
      <c r="L933" s="753"/>
      <c r="M933" s="753"/>
      <c r="N933" s="753"/>
      <c r="O933" s="753"/>
      <c r="P933" s="943"/>
      <c r="Q933" s="753"/>
      <c r="R933" s="753"/>
      <c r="S933" s="753"/>
      <c r="T933" s="753"/>
      <c r="U933" s="943"/>
      <c r="V933" s="753"/>
      <c r="W933" s="753"/>
      <c r="X933" s="753"/>
      <c r="Y933" s="753"/>
      <c r="Z933" s="943"/>
      <c r="AA933" s="753"/>
      <c r="AB933" s="753"/>
      <c r="AC933" s="753"/>
      <c r="AD933" s="753"/>
      <c r="AE933" s="943"/>
      <c r="AF933" s="753"/>
      <c r="AG933" s="753"/>
      <c r="AH933" s="753"/>
      <c r="AI933" s="753"/>
      <c r="AJ933" s="943"/>
      <c r="AK933" s="753"/>
      <c r="AL933" s="753"/>
      <c r="AM933" s="753"/>
      <c r="AN933" s="753"/>
      <c r="AO933" s="944">
        <v>1672.462</v>
      </c>
      <c r="AP933" s="849">
        <v>51.823999999999998</v>
      </c>
      <c r="AQ933" s="849">
        <v>364.60599999999999</v>
      </c>
      <c r="AR933" s="849">
        <v>175.90100000000001</v>
      </c>
      <c r="AS933" s="753">
        <f>AT933-SUM(AP933,AQ933,AR933)</f>
      </c>
      <c r="AT933" s="944">
        <v>729.94200000000001</v>
      </c>
      <c r="AU933" s="849">
        <v>49.445</v>
      </c>
      <c r="AV933" s="849">
        <v>183.351</v>
      </c>
      <c r="AW933" s="849">
        <v>252.37700000000001</v>
      </c>
      <c r="AX933" s="753">
        <f>AY933-SUM(AU933,AV933,AW933)</f>
      </c>
      <c r="AY933" s="944">
        <v>764.14200000000005</v>
      </c>
      <c r="AZ933" s="849">
        <v>141.298</v>
      </c>
      <c r="BA933" s="849">
        <v>39.304000000000002</v>
      </c>
      <c r="BB933" s="849">
        <v>2.9380000000000002</v>
      </c>
      <c r="BC933" s="753">
        <f>BD933-SUM(AZ933,BA933,BB933)</f>
      </c>
      <c r="BD933" s="944">
        <v>252.393</v>
      </c>
      <c r="BE933" s="849">
        <v>20.893999999999998</v>
      </c>
      <c r="BF933" s="849">
        <v>91.572000000000003</v>
      </c>
      <c r="BG933" s="849">
        <v>49.238</v>
      </c>
      <c r="BH933" s="753">
        <f>BI933-SUM(BE933,BF933,BG933)</f>
      </c>
      <c r="BI933" s="944">
        <v>196.63900000000001</v>
      </c>
      <c r="BJ933" s="849">
        <v>183.96199999999999</v>
      </c>
      <c r="BK933" s="849">
        <v>160.81200000000001</v>
      </c>
      <c r="BL933" s="849">
        <v>51.587000000000003</v>
      </c>
      <c r="BM933" s="753">
        <f>BN933-SUM(BJ933,BK933,BL933)</f>
      </c>
      <c r="BN933" s="944">
        <v>442.39100000000002</v>
      </c>
      <c r="BO933" s="849">
        <v>72.992999999999995</v>
      </c>
      <c r="BP933" s="849">
        <v>138.53399999999999</v>
      </c>
      <c r="BQ933" s="849">
        <v>235.51300000000001</v>
      </c>
      <c r="BR933" s="753">
        <f>BS933-SUM(BO933,BP933,BQ933)</f>
      </c>
      <c r="BS933" s="944">
        <v>465.42</v>
      </c>
      <c r="BT933" s="903">
        <v>11.237</v>
      </c>
      <c r="BU933" s="849">
        <v>50</v>
      </c>
      <c r="BV933" s="849">
        <v>50</v>
      </c>
      <c r="BW933" s="849">
        <v>50</v>
      </c>
      <c r="BX933" s="943">
        <f>IF(ISBLANK(BT1009),"n/a",SUM(BT933,BU933,BV933,BW933))</f>
      </c>
      <c r="BY933" s="849">
        <v>50</v>
      </c>
      <c r="BZ933" s="849">
        <v>50</v>
      </c>
      <c r="CA933" s="849">
        <v>50</v>
      </c>
      <c r="CB933" s="849">
        <v>50</v>
      </c>
      <c r="CC933" s="943">
        <f>IF(ISBLANK(BY1009),"n/a",SUM(BY933,BZ933,CA933,CB933))</f>
      </c>
      <c r="CD933" s="944">
        <v>200</v>
      </c>
      <c r="CE933" s="944">
        <v>200</v>
      </c>
      <c r="CF933" s="944">
        <v>200</v>
      </c>
      <c r="CG933" s="757"/>
    </row>
    <row r="934" spans="1:85" s="587" customFormat="1" hidden="1" outlineLevel="1" x14ac:dyDescent="0.3">
      <c r="A934" s="554" t="s">
        <v>762</v>
      </c>
      <c r="B934" s="416"/>
      <c r="C934" s="946"/>
      <c r="D934" s="946"/>
      <c r="E934" s="946"/>
      <c r="F934" s="946"/>
      <c r="G934" s="784"/>
      <c r="H934" s="784"/>
      <c r="I934" s="784"/>
      <c r="J934" s="784"/>
      <c r="K934" s="946"/>
      <c r="L934" s="784"/>
      <c r="M934" s="784"/>
      <c r="N934" s="784"/>
      <c r="O934" s="784"/>
      <c r="P934" s="946"/>
      <c r="Q934" s="784"/>
      <c r="R934" s="784"/>
      <c r="S934" s="784"/>
      <c r="T934" s="784"/>
      <c r="U934" s="946"/>
      <c r="V934" s="784"/>
      <c r="W934" s="784"/>
      <c r="X934" s="784"/>
      <c r="Y934" s="784"/>
      <c r="Z934" s="946"/>
      <c r="AA934" s="784"/>
      <c r="AB934" s="784"/>
      <c r="AC934" s="784"/>
      <c r="AD934" s="784"/>
      <c r="AE934" s="946"/>
      <c r="AF934" s="784"/>
      <c r="AG934" s="784"/>
      <c r="AH934" s="784"/>
      <c r="AI934" s="784"/>
      <c r="AJ934" s="946"/>
      <c r="AK934" s="784"/>
      <c r="AL934" s="784"/>
      <c r="AM934" s="784"/>
      <c r="AN934" s="784"/>
      <c r="AO934" s="946"/>
      <c r="AP934" s="784">
        <f t="shared" ref="AP934:AS934" si="1973">ROUND(AP935-AP931-AP932-AP933,6)</f>
      </c>
      <c r="AQ934" s="784">
        <f t="shared" si="1973"/>
      </c>
      <c r="AR934" s="784">
        <f t="shared" si="1973"/>
      </c>
      <c r="AS934" s="784">
        <f t="shared" si="1973"/>
      </c>
      <c r="AT934" s="946">
        <f t="shared" ref="AT934:BB934" si="1974">ROUND(AT935-AT931-AT932-AT933,6)</f>
      </c>
      <c r="AU934" s="784">
        <f t="shared" si="1974"/>
      </c>
      <c r="AV934" s="784">
        <f t="shared" si="1974"/>
      </c>
      <c r="AW934" s="784">
        <f t="shared" si="1974"/>
      </c>
      <c r="AX934" s="784">
        <f t="shared" si="1974"/>
      </c>
      <c r="AY934" s="946">
        <f t="shared" si="1974"/>
      </c>
      <c r="AZ934" s="784">
        <f t="shared" si="1974"/>
      </c>
      <c r="BA934" s="784">
        <f t="shared" si="1974"/>
      </c>
      <c r="BB934" s="785">
        <f t="shared" si="1974"/>
      </c>
      <c r="BC934" s="784">
        <f>ROUND(BC935-BC931-BC932-BC933,6)</f>
      </c>
      <c r="BD934" s="946">
        <f>ROUND(BD935-BD931-BD932-BD933,6)</f>
      </c>
      <c r="BE934" s="784">
        <f t="shared" ref="BE934" si="1975">ROUND(BE935-BE931-BE932-BE933,6)</f>
      </c>
      <c r="BF934" s="784">
        <f>ROUND(BF935-BF931-BF932-BF933,6)</f>
      </c>
      <c r="BG934" s="785">
        <f t="shared" ref="BG934" si="1976">ROUND(BG935-BG931-BG932-BG933,6)</f>
      </c>
      <c r="BH934" s="784">
        <f t="shared" ref="BH934:BN934" si="1977">ROUND(BH935-BH931-BH932-BH933,6)</f>
      </c>
      <c r="BI934" s="946">
        <f t="shared" si="1977"/>
      </c>
      <c r="BJ934" s="784">
        <f t="shared" si="1977"/>
      </c>
      <c r="BK934" s="784">
        <f t="shared" si="1977"/>
      </c>
      <c r="BL934" s="785">
        <f t="shared" si="1977"/>
      </c>
      <c r="BM934" s="784">
        <f t="shared" si="1977"/>
      </c>
      <c r="BN934" s="946">
        <f t="shared" si="1977"/>
      </c>
      <c r="BO934" s="784">
        <f>ROUND(BO935-BO931-BO932-BO933,6)</f>
      </c>
      <c r="BP934" s="784">
        <f>ROUND(BP935-BP931-BP932-BP933,6)</f>
      </c>
      <c r="BQ934" s="785">
        <f t="shared" ref="BQ934" si="1978">ROUND(BQ935-BQ931-BQ932-BQ933,6)</f>
      </c>
      <c r="BR934" s="784">
        <f>ROUND(BR935-BR931-BR932-BR933,6)</f>
      </c>
      <c r="BS934" s="946">
        <f>ROUND(BS935-BS931-BS932-BS933,6)</f>
      </c>
      <c r="BT934" s="817">
        <f>ROUND(BT935-BT931-BT932-BT933,6)</f>
      </c>
      <c r="BU934" s="891">
        <v>0</v>
      </c>
      <c r="BV934" s="891">
        <v>0</v>
      </c>
      <c r="BW934" s="891">
        <v>0</v>
      </c>
      <c r="BX934" s="946">
        <f>IFERROR(ROUND(BX935-BX931-BX932-BX933,6),"n/a")</f>
      </c>
      <c r="BY934" s="891">
        <v>0</v>
      </c>
      <c r="BZ934" s="891">
        <v>0</v>
      </c>
      <c r="CA934" s="891">
        <v>0</v>
      </c>
      <c r="CB934" s="891">
        <v>0</v>
      </c>
      <c r="CC934" s="946">
        <f>IFERROR(ROUND(CC935-CC931-CC932-CC933,6),"n/a")</f>
      </c>
      <c r="CD934" s="1051">
        <v>0</v>
      </c>
      <c r="CE934" s="1051">
        <v>0</v>
      </c>
      <c r="CF934" s="1051">
        <v>0</v>
      </c>
      <c r="CG934" s="757"/>
    </row>
    <row r="935" spans="1:85" s="587" customFormat="1" hidden="1" outlineLevel="1" x14ac:dyDescent="0.3">
      <c r="A935" s="423" t="s">
        <v>763</v>
      </c>
      <c r="B935" s="422"/>
      <c r="C935" s="948"/>
      <c r="D935" s="948"/>
      <c r="E935" s="948"/>
      <c r="F935" s="948"/>
      <c r="G935" s="787"/>
      <c r="H935" s="787"/>
      <c r="I935" s="787"/>
      <c r="J935" s="787"/>
      <c r="K935" s="948"/>
      <c r="L935" s="787"/>
      <c r="M935" s="787"/>
      <c r="N935" s="787"/>
      <c r="O935" s="787"/>
      <c r="P935" s="948"/>
      <c r="Q935" s="787"/>
      <c r="R935" s="787"/>
      <c r="S935" s="787"/>
      <c r="T935" s="787"/>
      <c r="U935" s="948"/>
      <c r="V935" s="787"/>
      <c r="W935" s="787"/>
      <c r="X935" s="787"/>
      <c r="Y935" s="787"/>
      <c r="Z935" s="948"/>
      <c r="AA935" s="787"/>
      <c r="AB935" s="787"/>
      <c r="AC935" s="787"/>
      <c r="AD935" s="787"/>
      <c r="AE935" s="948"/>
      <c r="AF935" s="787"/>
      <c r="AG935" s="787"/>
      <c r="AH935" s="787"/>
      <c r="AI935" s="787"/>
      <c r="AJ935" s="948"/>
      <c r="AK935" s="787"/>
      <c r="AL935" s="787"/>
      <c r="AM935" s="787"/>
      <c r="AN935" s="787"/>
      <c r="AO935" s="1066">
        <v>1532.2850000000001</v>
      </c>
      <c r="AP935" s="904">
        <v>2179.9789999999998</v>
      </c>
      <c r="AQ935" s="904">
        <v>2317.107</v>
      </c>
      <c r="AR935" s="904">
        <v>2513.444</v>
      </c>
      <c r="AS935" s="787">
        <f t="shared" ref="AS935" si="1979">AS1220</f>
      </c>
      <c r="AT935" s="948">
        <f t="shared" ref="AT935:BB935" si="1980">AT1220</f>
      </c>
      <c r="AU935" s="787">
        <f t="shared" si="1980"/>
      </c>
      <c r="AV935" s="787">
        <f t="shared" si="1980"/>
      </c>
      <c r="AW935" s="787">
        <f t="shared" si="1980"/>
      </c>
      <c r="AX935" s="787">
        <f t="shared" si="1980"/>
      </c>
      <c r="AY935" s="948">
        <f t="shared" si="1980"/>
      </c>
      <c r="AZ935" s="787">
        <f t="shared" si="1980"/>
      </c>
      <c r="BA935" s="787">
        <f t="shared" si="1980"/>
      </c>
      <c r="BB935" s="787">
        <f t="shared" si="1980"/>
      </c>
      <c r="BC935" s="787">
        <f>BC1220</f>
      </c>
      <c r="BD935" s="948">
        <f>BD1220</f>
      </c>
      <c r="BE935" s="787">
        <f>BE1220</f>
      </c>
      <c r="BF935" s="787">
        <f>BF1220</f>
      </c>
      <c r="BG935" s="787">
        <f t="shared" ref="BG935" si="1981">BG1220</f>
      </c>
      <c r="BH935" s="787">
        <f t="shared" ref="BH935:BN935" si="1982">BH1220</f>
      </c>
      <c r="BI935" s="948">
        <f t="shared" si="1982"/>
      </c>
      <c r="BJ935" s="787">
        <f t="shared" si="1982"/>
      </c>
      <c r="BK935" s="787">
        <f t="shared" si="1982"/>
      </c>
      <c r="BL935" s="787">
        <f t="shared" si="1982"/>
      </c>
      <c r="BM935" s="787">
        <f t="shared" si="1982"/>
      </c>
      <c r="BN935" s="948">
        <f t="shared" si="1982"/>
      </c>
      <c r="BO935" s="787">
        <f>BO1220</f>
      </c>
      <c r="BP935" s="787">
        <f>BP1220</f>
      </c>
      <c r="BQ935" s="787">
        <f t="shared" ref="BQ935" si="1983">BQ1220</f>
      </c>
      <c r="BR935" s="787">
        <f>BR1220</f>
      </c>
      <c r="BS935" s="948">
        <f>BS1220</f>
      </c>
      <c r="BT935" s="788">
        <f>BT1220</f>
      </c>
      <c r="BU935" s="787">
        <f>SUM(BU931:BU934)</f>
      </c>
      <c r="BV935" s="787">
        <f>SUM(BV931:BV934)</f>
      </c>
      <c r="BW935" s="787">
        <f>SUM(BW931:BW934)</f>
      </c>
      <c r="BX935" s="948">
        <f>BX1220</f>
      </c>
      <c r="BY935" s="787">
        <f>SUM(BY931:BY934)</f>
      </c>
      <c r="BZ935" s="787">
        <f>SUM(BZ931:BZ934)</f>
      </c>
      <c r="CA935" s="787">
        <f>SUM(CA931:CA934)</f>
      </c>
      <c r="CB935" s="787">
        <f>SUM(CB931:CB934)</f>
      </c>
      <c r="CC935" s="948">
        <f>CC1220</f>
      </c>
      <c r="CD935" s="948">
        <f>SUM(CD931:CD934)</f>
      </c>
      <c r="CE935" s="948">
        <f>SUM(CE931:CE934)</f>
      </c>
      <c r="CF935" s="948">
        <f>SUM(CF931:CF934)</f>
      </c>
      <c r="CG935" s="757"/>
    </row>
    <row r="936" spans="1:85" hidden="1" outlineLevel="1" x14ac:dyDescent="0.3">
      <c r="A936" s="274"/>
      <c r="B936" s="274"/>
      <c r="C936" s="1065"/>
      <c r="D936" s="1065"/>
      <c r="E936" s="1065"/>
      <c r="F936" s="1065"/>
      <c r="G936" s="237"/>
      <c r="H936" s="237"/>
      <c r="I936" s="237"/>
      <c r="J936" s="237"/>
      <c r="K936" s="1065"/>
      <c r="L936" s="237"/>
      <c r="M936" s="237"/>
      <c r="N936" s="237"/>
      <c r="O936" s="237"/>
      <c r="P936" s="1065"/>
      <c r="Q936" s="237"/>
      <c r="R936" s="237"/>
      <c r="S936" s="237"/>
      <c r="T936" s="237"/>
      <c r="U936" s="1065"/>
      <c r="V936" s="237"/>
      <c r="W936" s="237"/>
      <c r="X936" s="237"/>
      <c r="Y936" s="237"/>
      <c r="Z936" s="1065"/>
      <c r="AA936" s="237"/>
      <c r="AB936" s="237"/>
      <c r="AC936" s="237"/>
      <c r="AD936" s="237"/>
      <c r="AE936" s="1065"/>
      <c r="AF936" s="237"/>
      <c r="AG936" s="237"/>
      <c r="AH936" s="237"/>
      <c r="AI936" s="237"/>
      <c r="AJ936" s="1065"/>
      <c r="AK936" s="237"/>
      <c r="AL936" s="237"/>
      <c r="AM936" s="237"/>
      <c r="AN936" s="237"/>
      <c r="AO936" s="1065"/>
      <c r="AP936" s="237"/>
      <c r="AQ936" s="237"/>
      <c r="AR936" s="237"/>
      <c r="AS936" s="237"/>
      <c r="AT936" s="1065"/>
      <c r="AU936" s="237"/>
      <c r="AV936" s="237"/>
      <c r="AW936" s="237"/>
      <c r="AX936" s="237"/>
      <c r="AY936" s="1065"/>
      <c r="AZ936" s="237"/>
      <c r="BA936" s="237"/>
      <c r="BB936" s="237"/>
      <c r="BC936" s="237"/>
      <c r="BD936" s="1065"/>
      <c r="BE936" s="237"/>
      <c r="BF936" s="237"/>
      <c r="BG936" s="237"/>
      <c r="BH936" s="237"/>
      <c r="BI936" s="1065"/>
      <c r="BJ936" s="237"/>
      <c r="BK936" s="237"/>
      <c r="BL936" s="237"/>
      <c r="BM936" s="237"/>
      <c r="BN936" s="1065"/>
      <c r="BO936" s="237"/>
      <c r="BP936" s="237"/>
      <c r="BQ936" s="237"/>
      <c r="BR936" s="237"/>
      <c r="BS936" s="1065"/>
      <c r="BT936" s="296"/>
      <c r="BU936" s="237"/>
      <c r="BV936" s="237"/>
      <c r="BW936" s="237"/>
      <c r="BX936" s="1065"/>
      <c r="BY936" s="237"/>
      <c r="BZ936" s="237"/>
      <c r="CA936" s="237"/>
      <c r="CB936" s="237"/>
      <c r="CC936" s="1065"/>
      <c r="CD936" s="1065"/>
      <c r="CE936" s="1065"/>
      <c r="CF936" s="1065"/>
      <c r="CG936" s="129"/>
    </row>
    <row r="937" spans="1:85" hidden="1" outlineLevel="1" x14ac:dyDescent="0.3">
      <c r="A937" s="323" t="s">
        <v>764</v>
      </c>
      <c r="B937" s="66"/>
      <c r="C937" s="936"/>
      <c r="D937" s="936"/>
      <c r="E937" s="936"/>
      <c r="F937" s="936"/>
      <c r="G937" s="446"/>
      <c r="H937" s="446"/>
      <c r="I937" s="446"/>
      <c r="J937" s="446"/>
      <c r="K937" s="936"/>
      <c r="L937" s="446"/>
      <c r="M937" s="446"/>
      <c r="N937" s="446"/>
      <c r="O937" s="446"/>
      <c r="P937" s="936"/>
      <c r="Q937" s="446"/>
      <c r="R937" s="446"/>
      <c r="S937" s="446"/>
      <c r="T937" s="446"/>
      <c r="U937" s="936"/>
      <c r="V937" s="446"/>
      <c r="W937" s="446"/>
      <c r="X937" s="446"/>
      <c r="Y937" s="446"/>
      <c r="Z937" s="936"/>
      <c r="AA937" s="446"/>
      <c r="AB937" s="446"/>
      <c r="AC937" s="446"/>
      <c r="AD937" s="446"/>
      <c r="AE937" s="936"/>
      <c r="AF937" s="446"/>
      <c r="AG937" s="446"/>
      <c r="AH937" s="446"/>
      <c r="AI937" s="446"/>
      <c r="AJ937" s="936"/>
      <c r="AK937" s="446"/>
      <c r="AL937" s="446"/>
      <c r="AM937" s="446"/>
      <c r="AN937" s="446"/>
      <c r="AO937" s="936"/>
      <c r="AP937" s="446">
        <f>-AP932/AP931*AT3/AP3</f>
      </c>
      <c r="AQ937" s="446">
        <f>-AQ932/AQ931*AT3/AQ3</f>
      </c>
      <c r="AR937" s="446">
        <f>-AR932/AR931*AT3/AR3</f>
      </c>
      <c r="AS937" s="446">
        <f>-AS932/AS931*AT3/AS3</f>
      </c>
      <c r="AT937" s="936">
        <f>-AT932/AVERAGE(AP931,AQ931,AR931,AS931)</f>
      </c>
      <c r="AU937" s="446">
        <f>-AU932/AU931*AY3/AU3</f>
      </c>
      <c r="AV937" s="446">
        <f>-AV932/AV931*AY3/AV3</f>
      </c>
      <c r="AW937" s="446">
        <f>-AW932/AW931*AY3/AW3</f>
      </c>
      <c r="AX937" s="446">
        <f>-AX932/AX931*AY3/AX3</f>
      </c>
      <c r="AY937" s="936">
        <f>-AY932/AVERAGE(AU931,AV931,AW931,AX931)</f>
      </c>
      <c r="AZ937" s="619">
        <f>-AZ932/AZ931*BD3/AZ3</f>
      </c>
      <c r="BA937" s="619">
        <f>-BA932/BA931*BD3/BA3</f>
      </c>
      <c r="BB937" s="619">
        <f>-BB932/BB931*BD3/BB3</f>
      </c>
      <c r="BC937" s="619">
        <f>-BC932/BC931*BD3/BC3</f>
      </c>
      <c r="BD937" s="936">
        <f>-BD932/AVERAGE(AZ931,BA931,BB931,BC931)</f>
      </c>
      <c r="BE937" s="619">
        <f>-BE932/BE931*BI3/BE3</f>
      </c>
      <c r="BF937" s="619">
        <f>-BF932/BF931*BI3/BF3</f>
      </c>
      <c r="BG937" s="619">
        <f>-BG932/BG931*BI3/BG3</f>
      </c>
      <c r="BH937" s="619">
        <f>-BH932/BH931*BI3/BH3</f>
      </c>
      <c r="BI937" s="936">
        <f>-BI932/AVERAGE(BE931,BF931,BG931,BH931)</f>
      </c>
      <c r="BJ937" s="619">
        <f>-BJ932/BJ931*BN3/BJ3</f>
      </c>
      <c r="BK937" s="619">
        <f>-BK932/BK931*BN3/BK3</f>
      </c>
      <c r="BL937" s="619">
        <f>-BL932/BL931*BN3/BL3</f>
      </c>
      <c r="BM937" s="619">
        <f>-BM932/BM931*BN3/BM3</f>
      </c>
      <c r="BN937" s="936">
        <f>-BN932/AVERAGE(BJ931,BK931,BL931,BM931)</f>
      </c>
      <c r="BO937" s="619">
        <f>-BO932/BO931*BS3/BO3</f>
      </c>
      <c r="BP937" s="619">
        <f>-BP932/BP931*BS3/BP3</f>
      </c>
      <c r="BQ937" s="619">
        <f>-BQ932/BQ931*BS3/BQ3</f>
      </c>
      <c r="BR937" s="619">
        <f>-BR932/BR931*BS3/BR3</f>
      </c>
      <c r="BS937" s="936">
        <f>-BS932/AVERAGE(BO931,BP931,BQ931,BR931)</f>
      </c>
      <c r="BT937" s="664">
        <f>-BT932/BT931*BX3/BT3</f>
      </c>
      <c r="BU937" s="848">
        <v>0.22</v>
      </c>
      <c r="BV937" s="848">
        <v>0.22</v>
      </c>
      <c r="BW937" s="848">
        <v>0.22</v>
      </c>
      <c r="BX937" s="936">
        <f>-BX932/AVERAGE(BT931,BU931,BV931,BW931)</f>
      </c>
      <c r="BY937" s="848">
        <v>0.22</v>
      </c>
      <c r="BZ937" s="848">
        <v>0.22</v>
      </c>
      <c r="CA937" s="848">
        <v>0.22</v>
      </c>
      <c r="CB937" s="848">
        <v>0.22</v>
      </c>
      <c r="CC937" s="936">
        <f>-CC932/AVERAGE(BY931,BZ931,CA931,CB931)</f>
      </c>
      <c r="CD937" s="955">
        <v>0.22</v>
      </c>
      <c r="CE937" s="955">
        <v>0.22</v>
      </c>
      <c r="CF937" s="955">
        <v>0.22</v>
      </c>
      <c r="CG937" s="237"/>
    </row>
    <row r="938" spans="1:85" hidden="1" outlineLevel="1" x14ac:dyDescent="0.3">
      <c r="A938" s="429" t="s">
        <v>765</v>
      </c>
      <c r="B938" s="428"/>
      <c r="C938" s="940"/>
      <c r="D938" s="940"/>
      <c r="E938" s="940"/>
      <c r="F938" s="940"/>
      <c r="G938" s="778"/>
      <c r="H938" s="778"/>
      <c r="I938" s="778"/>
      <c r="J938" s="778"/>
      <c r="K938" s="940"/>
      <c r="L938" s="778"/>
      <c r="M938" s="778"/>
      <c r="N938" s="778"/>
      <c r="O938" s="778"/>
      <c r="P938" s="940"/>
      <c r="Q938" s="778"/>
      <c r="R938" s="778"/>
      <c r="S938" s="778"/>
      <c r="T938" s="778"/>
      <c r="U938" s="940"/>
      <c r="V938" s="778"/>
      <c r="W938" s="778"/>
      <c r="X938" s="778"/>
      <c r="Y938" s="778"/>
      <c r="Z938" s="940"/>
      <c r="AA938" s="778"/>
      <c r="AB938" s="778"/>
      <c r="AC938" s="778"/>
      <c r="AD938" s="778"/>
      <c r="AE938" s="940"/>
      <c r="AF938" s="778"/>
      <c r="AG938" s="778"/>
      <c r="AH938" s="778"/>
      <c r="AI938" s="778"/>
      <c r="AJ938" s="940"/>
      <c r="AK938" s="778"/>
      <c r="AL938" s="778"/>
      <c r="AM938" s="778"/>
      <c r="AN938" s="778"/>
      <c r="AO938" s="940"/>
      <c r="AP938" s="778">
        <f>-AP931/AP932*AP3/AT3</f>
      </c>
      <c r="AQ938" s="778">
        <f>-AQ931/AQ932*AQ3/AT3</f>
      </c>
      <c r="AR938" s="778">
        <f>-AR931/AR932*AR3/AT3</f>
      </c>
      <c r="AS938" s="778">
        <f>-AS931/AS932*AS3/AT3</f>
      </c>
      <c r="AT938" s="940">
        <f>-AVERAGE(AP931,AQ931,AR931,AS931)/AT932</f>
      </c>
      <c r="AU938" s="778">
        <f>-AU931/AU932*AU3/AY3</f>
      </c>
      <c r="AV938" s="778">
        <f>-AV931/AV932*AV3/AY3</f>
      </c>
      <c r="AW938" s="778">
        <f>-AW931/AW932*AW3/AY3</f>
      </c>
      <c r="AX938" s="778">
        <f>-AX931/AX932*AX3/AY3</f>
      </c>
      <c r="AY938" s="940">
        <f>-AVERAGE(AU931,AV931,AW931,AX931)/AY932</f>
      </c>
      <c r="AZ938" s="778">
        <f>-AZ931/AZ932*AZ3/BD3</f>
      </c>
      <c r="BA938" s="778">
        <f>-BA931/BA932*BA3/BD3</f>
      </c>
      <c r="BB938" s="778">
        <f>-BB931/BB932*BB3/BD3</f>
      </c>
      <c r="BC938" s="778">
        <f>-BC931/BC932*BC3/BD3</f>
      </c>
      <c r="BD938" s="940">
        <f>-AVERAGE(AZ931,BA931,BB931,BC931)/BD932</f>
      </c>
      <c r="BE938" s="778">
        <f>-BE931/BE932*BE3/BI3</f>
      </c>
      <c r="BF938" s="778">
        <f>-BF931/BF932*BF3/BI3</f>
      </c>
      <c r="BG938" s="778">
        <f>-BG931/BG932*BG3/BI3</f>
      </c>
      <c r="BH938" s="778">
        <f>-BH931/BH932*BH3/BI3</f>
      </c>
      <c r="BI938" s="940">
        <f>-AVERAGE(BE931,BF931,BG931,BH931)/BI932</f>
      </c>
      <c r="BJ938" s="778">
        <f>-BJ931/BJ932*BJ3/BN3</f>
      </c>
      <c r="BK938" s="823">
        <f>-BK931/BK932*BK3/BN3</f>
      </c>
      <c r="BL938" s="778">
        <f>-BL931/BL932*BL3/BN3</f>
      </c>
      <c r="BM938" s="778">
        <f>-BM931/BM932*BM3/BN3</f>
      </c>
      <c r="BN938" s="940">
        <f>-AVERAGE(BJ931,BK931,BL931,BM931)/BN932</f>
      </c>
      <c r="BO938" s="778">
        <f>-BO931/BO932*BO3/BS3</f>
      </c>
      <c r="BP938" s="823">
        <f>-BP931/BP932*BP3/BS3</f>
      </c>
      <c r="BQ938" s="778">
        <f>-BQ931/BQ932*BQ3/BS3</f>
      </c>
      <c r="BR938" s="778">
        <f>-BR931/BR932*BR3/BS3</f>
      </c>
      <c r="BS938" s="940">
        <f>-AVERAGE(BO931,BP931,BQ931,BR931)/BS932</f>
      </c>
      <c r="BT938" s="779">
        <f>-BT931/BT932*BT3/BX3</f>
      </c>
      <c r="BU938" s="778">
        <f>-BU931/BU932*BU3/BX3</f>
      </c>
      <c r="BV938" s="778">
        <f>-BV931/BV932*BV3/BX3</f>
      </c>
      <c r="BW938" s="778">
        <f>-BW931/BW932*BW3/BX3</f>
      </c>
      <c r="BX938" s="940">
        <f>-AVERAGE(BT931,BU931,BV931,BW931)/BX932</f>
      </c>
      <c r="BY938" s="778">
        <f>-BY931/BY932*BY3/CC3</f>
      </c>
      <c r="BZ938" s="778">
        <f>-BZ931/BZ932*BZ3/CC3</f>
      </c>
      <c r="CA938" s="778">
        <f>-CA931/CA932*CA3/CC3</f>
      </c>
      <c r="CB938" s="778">
        <f>-CB931/CB932*CB3/CC3</f>
      </c>
      <c r="CC938" s="940">
        <f>-AVERAGE(BY931,BZ931,CA931,CB931)/CC932</f>
      </c>
      <c r="CD938" s="940">
        <f>-CD931/CD932</f>
      </c>
      <c r="CE938" s="940">
        <f>-CE931/CE932</f>
      </c>
      <c r="CF938" s="940">
        <f>-CF931/CF932</f>
      </c>
      <c r="CG938" s="237"/>
    </row>
    <row r="939" spans="1:85" hidden="1" outlineLevel="1" x14ac:dyDescent="0.3">
      <c r="A939" s="274"/>
      <c r="B939" s="274"/>
      <c r="C939" s="1065"/>
      <c r="D939" s="1065"/>
      <c r="E939" s="1065"/>
      <c r="F939" s="1065"/>
      <c r="G939" s="237"/>
      <c r="H939" s="237"/>
      <c r="I939" s="237"/>
      <c r="J939" s="237"/>
      <c r="K939" s="1065"/>
      <c r="L939" s="237"/>
      <c r="M939" s="237"/>
      <c r="N939" s="237"/>
      <c r="O939" s="237"/>
      <c r="P939" s="1065"/>
      <c r="Q939" s="237"/>
      <c r="R939" s="237"/>
      <c r="S939" s="237"/>
      <c r="T939" s="237"/>
      <c r="U939" s="1065"/>
      <c r="V939" s="237"/>
      <c r="W939" s="237"/>
      <c r="X939" s="237"/>
      <c r="Y939" s="237"/>
      <c r="Z939" s="1065"/>
      <c r="AA939" s="237"/>
      <c r="AB939" s="237"/>
      <c r="AC939" s="237"/>
      <c r="AD939" s="237"/>
      <c r="AE939" s="1065"/>
      <c r="AF939" s="237"/>
      <c r="AG939" s="237"/>
      <c r="AH939" s="237"/>
      <c r="AI939" s="237"/>
      <c r="AJ939" s="1065"/>
      <c r="AK939" s="237"/>
      <c r="AL939" s="237"/>
      <c r="AM939" s="237"/>
      <c r="AN939" s="237"/>
      <c r="AO939" s="1065"/>
      <c r="AP939" s="237"/>
      <c r="AQ939" s="237"/>
      <c r="AR939" s="237"/>
      <c r="AS939" s="237"/>
      <c r="AT939" s="1065"/>
      <c r="AU939" s="237"/>
      <c r="AV939" s="237"/>
      <c r="AW939" s="237"/>
      <c r="AX939" s="237"/>
      <c r="AY939" s="1065"/>
      <c r="AZ939" s="237"/>
      <c r="BA939" s="237"/>
      <c r="BB939" s="237"/>
      <c r="BC939" s="237"/>
      <c r="BD939" s="1065"/>
      <c r="BE939" s="237"/>
      <c r="BF939" s="237"/>
      <c r="BG939" s="237"/>
      <c r="BH939" s="237"/>
      <c r="BI939" s="1065"/>
      <c r="BJ939" s="237"/>
      <c r="BK939" s="237"/>
      <c r="BL939" s="237"/>
      <c r="BM939" s="237"/>
      <c r="BN939" s="1065"/>
      <c r="BO939" s="237"/>
      <c r="BP939" s="237"/>
      <c r="BQ939" s="237"/>
      <c r="BR939" s="237"/>
      <c r="BS939" s="1065"/>
      <c r="BT939" s="296"/>
      <c r="BU939" s="237"/>
      <c r="BV939" s="237"/>
      <c r="BW939" s="237"/>
      <c r="BX939" s="1065"/>
      <c r="BY939" s="237"/>
      <c r="BZ939" s="237"/>
      <c r="CA939" s="237"/>
      <c r="CB939" s="237"/>
      <c r="CC939" s="1065"/>
      <c r="CD939" s="1065"/>
      <c r="CE939" s="1065"/>
      <c r="CF939" s="1065"/>
      <c r="CG939" s="129"/>
    </row>
    <row r="940" spans="1:85" hidden="1" outlineLevel="1" x14ac:dyDescent="0.3">
      <c r="A940" s="429" t="s">
        <v>766</v>
      </c>
      <c r="B940" s="428"/>
      <c r="C940" s="940"/>
      <c r="D940" s="940"/>
      <c r="E940" s="940"/>
      <c r="F940" s="940"/>
      <c r="G940" s="778"/>
      <c r="H940" s="778"/>
      <c r="I940" s="778"/>
      <c r="J940" s="778"/>
      <c r="K940" s="940"/>
      <c r="L940" s="778"/>
      <c r="M940" s="778"/>
      <c r="N940" s="778"/>
      <c r="O940" s="778"/>
      <c r="P940" s="940"/>
      <c r="Q940" s="778"/>
      <c r="R940" s="778"/>
      <c r="S940" s="778"/>
      <c r="T940" s="778"/>
      <c r="U940" s="940"/>
      <c r="V940" s="778"/>
      <c r="W940" s="778"/>
      <c r="X940" s="778"/>
      <c r="Y940" s="778"/>
      <c r="Z940" s="940"/>
      <c r="AA940" s="778"/>
      <c r="AB940" s="778"/>
      <c r="AC940" s="778"/>
      <c r="AD940" s="778"/>
      <c r="AE940" s="940"/>
      <c r="AF940" s="778"/>
      <c r="AG940" s="778"/>
      <c r="AH940" s="778"/>
      <c r="AI940" s="778"/>
      <c r="AJ940" s="940"/>
      <c r="AK940" s="778"/>
      <c r="AL940" s="778"/>
      <c r="AM940" s="778"/>
      <c r="AN940" s="778"/>
      <c r="AO940" s="940"/>
      <c r="AP940" s="778">
        <f>AO944</f>
      </c>
      <c r="AQ940" s="778">
        <f>AP944</f>
      </c>
      <c r="AR940" s="778">
        <f>AQ944</f>
      </c>
      <c r="AS940" s="778">
        <f>AR944</f>
      </c>
      <c r="AT940" s="940">
        <f>AO944</f>
      </c>
      <c r="AU940" s="778">
        <f>AT944</f>
      </c>
      <c r="AV940" s="778">
        <f>AU944</f>
      </c>
      <c r="AW940" s="778">
        <f>AV944</f>
      </c>
      <c r="AX940" s="778">
        <f>AW944</f>
      </c>
      <c r="AY940" s="940">
        <f>AT944</f>
      </c>
      <c r="AZ940" s="778">
        <f>AY944</f>
      </c>
      <c r="BA940" s="778">
        <f>AZ944</f>
      </c>
      <c r="BB940" s="778">
        <f>BA944</f>
      </c>
      <c r="BC940" s="778">
        <f>BB944</f>
      </c>
      <c r="BD940" s="940">
        <f>AY944</f>
      </c>
      <c r="BE940" s="778">
        <f>BD944</f>
      </c>
      <c r="BF940" s="778">
        <f>BE944</f>
      </c>
      <c r="BG940" s="778">
        <f>BF944</f>
      </c>
      <c r="BH940" s="778">
        <f>BG944</f>
      </c>
      <c r="BI940" s="940">
        <f>BD944</f>
      </c>
      <c r="BJ940" s="778">
        <f>BI944</f>
      </c>
      <c r="BK940" s="778">
        <f>BJ944</f>
      </c>
      <c r="BL940" s="778">
        <f>BK944</f>
      </c>
      <c r="BM940" s="778">
        <f>BL944</f>
      </c>
      <c r="BN940" s="940">
        <f>BI944</f>
      </c>
      <c r="BO940" s="778">
        <f>BN944</f>
      </c>
      <c r="BP940" s="778">
        <f>BO944</f>
      </c>
      <c r="BQ940" s="778">
        <f>BP944</f>
      </c>
      <c r="BR940" s="778">
        <f>BQ944</f>
      </c>
      <c r="BS940" s="940">
        <f>BN944</f>
      </c>
      <c r="BT940" s="779">
        <f>BS944</f>
      </c>
      <c r="BU940" s="778">
        <f>BT944</f>
      </c>
      <c r="BV940" s="778">
        <f>BU944</f>
      </c>
      <c r="BW940" s="778">
        <f>BV944</f>
      </c>
      <c r="BX940" s="940">
        <f>BS944</f>
      </c>
      <c r="BY940" s="778">
        <f>BX944</f>
      </c>
      <c r="BZ940" s="778">
        <f>BY944</f>
      </c>
      <c r="CA940" s="778">
        <f>BZ944</f>
      </c>
      <c r="CB940" s="778">
        <f>CA944</f>
      </c>
      <c r="CC940" s="940">
        <f>BX944</f>
      </c>
      <c r="CD940" s="940">
        <f>CC944</f>
      </c>
      <c r="CE940" s="940">
        <f>CD944</f>
      </c>
      <c r="CF940" s="940">
        <f>CE944</f>
      </c>
      <c r="CG940" s="237"/>
    </row>
    <row r="941" spans="1:85" hidden="1" outlineLevel="1" x14ac:dyDescent="0.3">
      <c r="A941" s="436" t="s">
        <v>767</v>
      </c>
      <c r="B941" s="414"/>
      <c r="C941" s="943"/>
      <c r="D941" s="943"/>
      <c r="E941" s="943"/>
      <c r="F941" s="943"/>
      <c r="G941" s="753"/>
      <c r="H941" s="753"/>
      <c r="I941" s="753"/>
      <c r="J941" s="753"/>
      <c r="K941" s="943"/>
      <c r="L941" s="753"/>
      <c r="M941" s="753"/>
      <c r="N941" s="753"/>
      <c r="O941" s="753"/>
      <c r="P941" s="943"/>
      <c r="Q941" s="753"/>
      <c r="R941" s="753"/>
      <c r="S941" s="753"/>
      <c r="T941" s="753"/>
      <c r="U941" s="943"/>
      <c r="V941" s="753"/>
      <c r="W941" s="753"/>
      <c r="X941" s="753"/>
      <c r="Y941" s="753"/>
      <c r="Z941" s="943"/>
      <c r="AA941" s="753"/>
      <c r="AB941" s="753"/>
      <c r="AC941" s="753"/>
      <c r="AD941" s="753"/>
      <c r="AE941" s="943"/>
      <c r="AF941" s="753"/>
      <c r="AG941" s="753"/>
      <c r="AH941" s="753"/>
      <c r="AI941" s="753"/>
      <c r="AJ941" s="943"/>
      <c r="AK941" s="753"/>
      <c r="AL941" s="753"/>
      <c r="AM941" s="753"/>
      <c r="AN941" s="753"/>
      <c r="AO941" s="943">
        <f t="shared" ref="AO941:AP941" si="1984">AO933</f>
      </c>
      <c r="AP941" s="753">
        <f t="shared" si="1984"/>
      </c>
      <c r="AQ941" s="753">
        <f t="shared" ref="AQ941:BB941" si="1985">AQ933</f>
      </c>
      <c r="AR941" s="753">
        <f t="shared" si="1985"/>
      </c>
      <c r="AS941" s="753">
        <f t="shared" si="1985"/>
      </c>
      <c r="AT941" s="943">
        <f t="shared" si="1985"/>
      </c>
      <c r="AU941" s="753">
        <f t="shared" si="1985"/>
      </c>
      <c r="AV941" s="753">
        <f t="shared" si="1985"/>
      </c>
      <c r="AW941" s="753">
        <f t="shared" si="1985"/>
      </c>
      <c r="AX941" s="753">
        <f t="shared" si="1985"/>
      </c>
      <c r="AY941" s="943">
        <f t="shared" si="1985"/>
      </c>
      <c r="AZ941" s="753">
        <f t="shared" si="1985"/>
      </c>
      <c r="BA941" s="753">
        <f t="shared" si="1985"/>
      </c>
      <c r="BB941" s="753">
        <f t="shared" si="1985"/>
      </c>
      <c r="BC941" s="753">
        <f t="shared" ref="BC941:BD941" si="1986">BC933</f>
      </c>
      <c r="BD941" s="943">
        <f t="shared" si="1986"/>
      </c>
      <c r="BE941" s="753">
        <f t="shared" ref="BE941:BI941" si="1987">BE933</f>
      </c>
      <c r="BF941" s="753">
        <f t="shared" si="1987"/>
      </c>
      <c r="BG941" s="753">
        <f t="shared" si="1987"/>
      </c>
      <c r="BH941" s="753">
        <f t="shared" si="1987"/>
      </c>
      <c r="BI941" s="943">
        <f t="shared" si="1987"/>
      </c>
      <c r="BJ941" s="753">
        <f>BJ933</f>
      </c>
      <c r="BK941" s="753">
        <f t="shared" ref="BK941" si="1988">BK933</f>
      </c>
      <c r="BL941" s="753">
        <f t="shared" ref="BL941:BN941" si="1989">BL933</f>
      </c>
      <c r="BM941" s="753">
        <f t="shared" si="1989"/>
      </c>
      <c r="BN941" s="943">
        <f t="shared" si="1989"/>
      </c>
      <c r="BO941" s="753">
        <f>BO933</f>
      </c>
      <c r="BP941" s="753">
        <f>BP933</f>
      </c>
      <c r="BQ941" s="753">
        <f t="shared" ref="BQ941" si="1990">BQ933</f>
      </c>
      <c r="BR941" s="753">
        <f t="shared" ref="BR941:BW941" si="1991">BR933</f>
      </c>
      <c r="BS941" s="943">
        <f t="shared" si="1991"/>
      </c>
      <c r="BT941" s="756">
        <f>BT933</f>
      </c>
      <c r="BU941" s="753">
        <f t="shared" si="1991"/>
      </c>
      <c r="BV941" s="753">
        <f t="shared" si="1991"/>
      </c>
      <c r="BW941" s="753">
        <f t="shared" si="1991"/>
      </c>
      <c r="BX941" s="943">
        <f>IF(ISBLANK(BT1017),"n/a",SUM(BT941,BU941,BV941,BW941))</f>
      </c>
      <c r="BY941" s="753">
        <f>BY933</f>
      </c>
      <c r="BZ941" s="753">
        <f>BZ933</f>
      </c>
      <c r="CA941" s="753">
        <f>CA933</f>
      </c>
      <c r="CB941" s="753">
        <f>CB933</f>
      </c>
      <c r="CC941" s="943">
        <f>IF(ISBLANK(BY1017),"n/a",SUM(BY941,BZ941,CA941,CB941))</f>
      </c>
      <c r="CD941" s="943">
        <f>CD933</f>
      </c>
      <c r="CE941" s="943">
        <f>CE933</f>
      </c>
      <c r="CF941" s="943">
        <f>CF933</f>
      </c>
      <c r="CG941" s="237"/>
    </row>
    <row r="942" spans="1:85" hidden="1" outlineLevel="1" x14ac:dyDescent="0.3">
      <c r="A942" s="436" t="s">
        <v>768</v>
      </c>
      <c r="B942" s="414"/>
      <c r="C942" s="943"/>
      <c r="D942" s="943"/>
      <c r="E942" s="943"/>
      <c r="F942" s="943"/>
      <c r="G942" s="753"/>
      <c r="H942" s="753"/>
      <c r="I942" s="753"/>
      <c r="J942" s="753"/>
      <c r="K942" s="943"/>
      <c r="L942" s="753"/>
      <c r="M942" s="753"/>
      <c r="N942" s="753"/>
      <c r="O942" s="753"/>
      <c r="P942" s="943"/>
      <c r="Q942" s="753"/>
      <c r="R942" s="753"/>
      <c r="S942" s="753"/>
      <c r="T942" s="753"/>
      <c r="U942" s="943"/>
      <c r="V942" s="753"/>
      <c r="W942" s="753"/>
      <c r="X942" s="753"/>
      <c r="Y942" s="753"/>
      <c r="Z942" s="943"/>
      <c r="AA942" s="753"/>
      <c r="AB942" s="753"/>
      <c r="AC942" s="753"/>
      <c r="AD942" s="753"/>
      <c r="AE942" s="943"/>
      <c r="AF942" s="753"/>
      <c r="AG942" s="753"/>
      <c r="AH942" s="753"/>
      <c r="AI942" s="753"/>
      <c r="AJ942" s="943"/>
      <c r="AK942" s="753"/>
      <c r="AL942" s="753"/>
      <c r="AM942" s="753"/>
      <c r="AN942" s="753"/>
      <c r="AO942" s="943">
        <f t="shared" ref="AO942:AP942" si="1992">-AO950</f>
      </c>
      <c r="AP942" s="753">
        <f t="shared" si="1992"/>
      </c>
      <c r="AQ942" s="753">
        <f t="shared" ref="AQ942:BA942" si="1993">-AQ950</f>
      </c>
      <c r="AR942" s="753">
        <f t="shared" si="1993"/>
      </c>
      <c r="AS942" s="753">
        <f t="shared" si="1993"/>
      </c>
      <c r="AT942" s="943">
        <f t="shared" si="1993"/>
      </c>
      <c r="AU942" s="753">
        <f t="shared" si="1993"/>
      </c>
      <c r="AV942" s="753">
        <f t="shared" si="1993"/>
      </c>
      <c r="AW942" s="753">
        <f t="shared" si="1993"/>
      </c>
      <c r="AX942" s="753">
        <f t="shared" si="1993"/>
      </c>
      <c r="AY942" s="943">
        <f t="shared" si="1993"/>
      </c>
      <c r="AZ942" s="753">
        <f t="shared" si="1993"/>
      </c>
      <c r="BA942" s="753">
        <f t="shared" si="1993"/>
      </c>
      <c r="BB942" s="753">
        <f t="shared" ref="BB942:BD942" si="1994">-BB950</f>
      </c>
      <c r="BC942" s="753">
        <f t="shared" si="1994"/>
      </c>
      <c r="BD942" s="943">
        <f t="shared" si="1994"/>
      </c>
      <c r="BE942" s="753">
        <f t="shared" ref="BE942:BI942" si="1995">-BE950</f>
      </c>
      <c r="BF942" s="753">
        <f t="shared" si="1995"/>
      </c>
      <c r="BG942" s="753">
        <f t="shared" si="1995"/>
      </c>
      <c r="BH942" s="753">
        <f t="shared" si="1995"/>
      </c>
      <c r="BI942" s="943">
        <f t="shared" si="1995"/>
      </c>
      <c r="BJ942" s="753">
        <f>-BJ950</f>
      </c>
      <c r="BK942" s="753">
        <f t="shared" ref="BK942" si="1996">-BK950</f>
      </c>
      <c r="BL942" s="753">
        <f t="shared" ref="BL942:BN942" si="1997">-BL950</f>
      </c>
      <c r="BM942" s="753">
        <f t="shared" si="1997"/>
      </c>
      <c r="BN942" s="943">
        <f t="shared" si="1997"/>
      </c>
      <c r="BO942" s="753">
        <f>-BO950</f>
      </c>
      <c r="BP942" s="753">
        <f>-BP950</f>
      </c>
      <c r="BQ942" s="753">
        <f t="shared" ref="BQ942" si="1998">-BQ950</f>
      </c>
      <c r="BR942" s="753">
        <f t="shared" ref="BR942:BW942" si="1999">-BR950</f>
      </c>
      <c r="BS942" s="943">
        <f t="shared" si="1999"/>
      </c>
      <c r="BT942" s="756">
        <f>-BT950</f>
      </c>
      <c r="BU942" s="753">
        <f t="shared" si="1999"/>
      </c>
      <c r="BV942" s="753">
        <f t="shared" si="1999"/>
      </c>
      <c r="BW942" s="753">
        <f t="shared" si="1999"/>
      </c>
      <c r="BX942" s="943">
        <f>IF(ISBLANK(BT1018),"n/a",SUM(BT942,BU942,BV942,BW942))</f>
      </c>
      <c r="BY942" s="753">
        <f>-BY950</f>
      </c>
      <c r="BZ942" s="753">
        <f>-BZ950</f>
      </c>
      <c r="CA942" s="753">
        <f>-CA950</f>
      </c>
      <c r="CB942" s="753">
        <f>-CB950</f>
      </c>
      <c r="CC942" s="943">
        <f>IF(ISBLANK(BY1018),"n/a",SUM(BY942,BZ942,CA942,CB942))</f>
      </c>
      <c r="CD942" s="943">
        <f>-CD950</f>
      </c>
      <c r="CE942" s="943">
        <f>-CE950</f>
      </c>
      <c r="CF942" s="943">
        <f>-CF950</f>
      </c>
      <c r="CG942" s="237"/>
    </row>
    <row r="943" spans="1:85" hidden="1" outlineLevel="1" x14ac:dyDescent="0.3">
      <c r="A943" s="554" t="s">
        <v>769</v>
      </c>
      <c r="B943" s="416"/>
      <c r="C943" s="946"/>
      <c r="D943" s="946"/>
      <c r="E943" s="946"/>
      <c r="F943" s="946"/>
      <c r="G943" s="784"/>
      <c r="H943" s="784"/>
      <c r="I943" s="784"/>
      <c r="J943" s="784"/>
      <c r="K943" s="946"/>
      <c r="L943" s="784"/>
      <c r="M943" s="784"/>
      <c r="N943" s="784"/>
      <c r="O943" s="784"/>
      <c r="P943" s="946"/>
      <c r="Q943" s="784"/>
      <c r="R943" s="784"/>
      <c r="S943" s="784"/>
      <c r="T943" s="784"/>
      <c r="U943" s="946"/>
      <c r="V943" s="784"/>
      <c r="W943" s="784"/>
      <c r="X943" s="784"/>
      <c r="Y943" s="784"/>
      <c r="Z943" s="946"/>
      <c r="AA943" s="784"/>
      <c r="AB943" s="784"/>
      <c r="AC943" s="784"/>
      <c r="AD943" s="784"/>
      <c r="AE943" s="946"/>
      <c r="AF943" s="784"/>
      <c r="AG943" s="784"/>
      <c r="AH943" s="784"/>
      <c r="AI943" s="784"/>
      <c r="AJ943" s="946"/>
      <c r="AK943" s="784"/>
      <c r="AL943" s="784"/>
      <c r="AM943" s="784"/>
      <c r="AN943" s="784"/>
      <c r="AO943" s="946">
        <f t="shared" ref="AO943:AP943" si="2000">ROUND(AO944-AO940-AO941-AO942,6)</f>
      </c>
      <c r="AP943" s="784">
        <f t="shared" si="2000"/>
      </c>
      <c r="AQ943" s="784">
        <f t="shared" ref="AQ943:BB943" si="2001">ROUND(AQ944-AQ940-AQ941-AQ942,6)</f>
      </c>
      <c r="AR943" s="784">
        <f t="shared" si="2001"/>
      </c>
      <c r="AS943" s="784">
        <f t="shared" si="2001"/>
      </c>
      <c r="AT943" s="946">
        <f t="shared" si="2001"/>
      </c>
      <c r="AU943" s="784">
        <f t="shared" si="2001"/>
      </c>
      <c r="AV943" s="784">
        <f t="shared" si="2001"/>
      </c>
      <c r="AW943" s="784">
        <f t="shared" si="2001"/>
      </c>
      <c r="AX943" s="784">
        <f t="shared" si="2001"/>
      </c>
      <c r="AY943" s="946">
        <f t="shared" si="2001"/>
      </c>
      <c r="AZ943" s="784">
        <f t="shared" si="2001"/>
      </c>
      <c r="BA943" s="784">
        <f t="shared" si="2001"/>
      </c>
      <c r="BB943" s="785">
        <f t="shared" si="2001"/>
      </c>
      <c r="BC943" s="784">
        <f>ROUND(BC944-BC940-BC941-BC942,6)</f>
      </c>
      <c r="BD943" s="946">
        <f>ROUND(BD944-BD940-BD941-BD942,6)</f>
      </c>
      <c r="BE943" s="784">
        <f t="shared" ref="BE943" si="2002">ROUND(BE944-BE940-BE941-BE942,6)</f>
      </c>
      <c r="BF943" s="784">
        <f t="shared" ref="BF943:BJ943" si="2003">ROUND(BF944-BF940-BF941-BF942,6)</f>
      </c>
      <c r="BG943" s="785">
        <f t="shared" si="2003"/>
      </c>
      <c r="BH943" s="784">
        <f t="shared" si="2003"/>
      </c>
      <c r="BI943" s="946">
        <f t="shared" si="2003"/>
      </c>
      <c r="BJ943" s="784">
        <f t="shared" si="2003"/>
      </c>
      <c r="BK943" s="784">
        <f t="shared" ref="BK943" si="2004">ROUND(BK944-BK940-BK941-BK942,6)</f>
      </c>
      <c r="BL943" s="785">
        <f t="shared" ref="BL943:BP943" si="2005">ROUND(BL944-BL940-BL941-BL942,6)</f>
      </c>
      <c r="BM943" s="784">
        <f t="shared" si="2005"/>
      </c>
      <c r="BN943" s="946">
        <f t="shared" si="2005"/>
      </c>
      <c r="BO943" s="784">
        <f t="shared" si="2005"/>
      </c>
      <c r="BP943" s="784">
        <f t="shared" si="2005"/>
      </c>
      <c r="BQ943" s="785">
        <f t="shared" ref="BQ943" si="2006">ROUND(BQ944-BQ940-BQ941-BQ942,6)</f>
      </c>
      <c r="BR943" s="784">
        <f>ROUND(BR944-BR940-BR941-BR942,6)</f>
      </c>
      <c r="BS943" s="946">
        <f>ROUND(BS944-BS940-BS941-BS942,6)</f>
      </c>
      <c r="BT943" s="817">
        <f>ROUND(BT944-BT940-BT941-BT942,6)</f>
      </c>
      <c r="BU943" s="891">
        <v>0</v>
      </c>
      <c r="BV943" s="891">
        <v>0</v>
      </c>
      <c r="BW943" s="891">
        <v>0</v>
      </c>
      <c r="BX943" s="946">
        <f>IFERROR(ROUND(BX944-BX940-BX941-BX942,6),"n/a")</f>
      </c>
      <c r="BY943" s="891">
        <v>0</v>
      </c>
      <c r="BZ943" s="891">
        <v>0</v>
      </c>
      <c r="CA943" s="891">
        <v>0</v>
      </c>
      <c r="CB943" s="891">
        <v>0</v>
      </c>
      <c r="CC943" s="946">
        <f>IFERROR(ROUND(CC944-CC940-CC941-CC942,6),"n/a")</f>
      </c>
      <c r="CD943" s="1051">
        <v>0</v>
      </c>
      <c r="CE943" s="1051">
        <v>0</v>
      </c>
      <c r="CF943" s="1051">
        <v>0</v>
      </c>
      <c r="CG943" s="237"/>
    </row>
    <row r="944" spans="1:85" hidden="1" outlineLevel="1" x14ac:dyDescent="0.3">
      <c r="A944" s="423" t="s">
        <v>770</v>
      </c>
      <c r="B944" s="422"/>
      <c r="C944" s="948"/>
      <c r="D944" s="948"/>
      <c r="E944" s="948"/>
      <c r="F944" s="948"/>
      <c r="G944" s="787"/>
      <c r="H944" s="787"/>
      <c r="I944" s="787"/>
      <c r="J944" s="787"/>
      <c r="K944" s="948"/>
      <c r="L944" s="787"/>
      <c r="M944" s="787"/>
      <c r="N944" s="787"/>
      <c r="O944" s="787"/>
      <c r="P944" s="948"/>
      <c r="Q944" s="787"/>
      <c r="R944" s="787"/>
      <c r="S944" s="787"/>
      <c r="T944" s="787"/>
      <c r="U944" s="948"/>
      <c r="V944" s="787"/>
      <c r="W944" s="787"/>
      <c r="X944" s="787"/>
      <c r="Y944" s="787"/>
      <c r="Z944" s="948"/>
      <c r="AA944" s="787"/>
      <c r="AB944" s="787"/>
      <c r="AC944" s="787"/>
      <c r="AD944" s="787"/>
      <c r="AE944" s="948"/>
      <c r="AF944" s="787"/>
      <c r="AG944" s="787"/>
      <c r="AH944" s="787"/>
      <c r="AI944" s="787"/>
      <c r="AJ944" s="948"/>
      <c r="AK944" s="787"/>
      <c r="AL944" s="787"/>
      <c r="AM944" s="787"/>
      <c r="AN944" s="787"/>
      <c r="AO944" s="948">
        <f t="shared" ref="AO944:BB944" si="2007">(AO1240+AO1228)</f>
      </c>
      <c r="AP944" s="787">
        <f t="shared" ref="AP944" si="2008">(AP1240+AP1228)</f>
      </c>
      <c r="AQ944" s="787">
        <f t="shared" si="2007"/>
      </c>
      <c r="AR944" s="787">
        <f t="shared" si="2007"/>
      </c>
      <c r="AS944" s="787">
        <f t="shared" si="2007"/>
      </c>
      <c r="AT944" s="948">
        <f t="shared" si="2007"/>
      </c>
      <c r="AU944" s="787">
        <f t="shared" si="2007"/>
      </c>
      <c r="AV944" s="787">
        <f t="shared" si="2007"/>
      </c>
      <c r="AW944" s="787">
        <f t="shared" si="2007"/>
      </c>
      <c r="AX944" s="787">
        <f t="shared" si="2007"/>
      </c>
      <c r="AY944" s="948">
        <f t="shared" si="2007"/>
      </c>
      <c r="AZ944" s="787">
        <f t="shared" si="2007"/>
      </c>
      <c r="BA944" s="787">
        <f t="shared" si="2007"/>
      </c>
      <c r="BB944" s="787">
        <f t="shared" si="2007"/>
      </c>
      <c r="BC944" s="787">
        <f>(BC1240+BC1228)</f>
      </c>
      <c r="BD944" s="948">
        <f>(BD1240+BD1228)</f>
      </c>
      <c r="BE944" s="787">
        <f t="shared" ref="BE944" si="2009">(BE1240+BE1228)</f>
      </c>
      <c r="BF944" s="787">
        <f t="shared" ref="BF944:BJ944" si="2010">(BF1240+BF1228)</f>
      </c>
      <c r="BG944" s="787">
        <f t="shared" si="2010"/>
      </c>
      <c r="BH944" s="787">
        <f t="shared" si="2010"/>
      </c>
      <c r="BI944" s="948">
        <f t="shared" si="2010"/>
      </c>
      <c r="BJ944" s="787">
        <f t="shared" si="2010"/>
      </c>
      <c r="BK944" s="787">
        <f t="shared" ref="BK944" si="2011">(BK1240+BK1228)</f>
      </c>
      <c r="BL944" s="787">
        <f t="shared" ref="BL944:BP944" si="2012">(BL1240+BL1228)</f>
      </c>
      <c r="BM944" s="787">
        <f t="shared" si="2012"/>
      </c>
      <c r="BN944" s="948">
        <f t="shared" si="2012"/>
      </c>
      <c r="BO944" s="787">
        <f t="shared" si="2012"/>
      </c>
      <c r="BP944" s="787">
        <f t="shared" si="2012"/>
      </c>
      <c r="BQ944" s="787">
        <f t="shared" ref="BQ944" si="2013">(BQ1240+BQ1228)</f>
      </c>
      <c r="BR944" s="787">
        <f>(BR1240+BR1228)</f>
      </c>
      <c r="BS944" s="948">
        <f>(BS1240+BS1228)</f>
      </c>
      <c r="BT944" s="788">
        <f>(BT1240+BT1228)</f>
      </c>
      <c r="BU944" s="787">
        <f>SUM(BU940:BU943)</f>
      </c>
      <c r="BV944" s="787">
        <f>SUM(BV940:BV943)</f>
      </c>
      <c r="BW944" s="787">
        <f>SUM(BW940:BW943)</f>
      </c>
      <c r="BX944" s="948">
        <f>(BX1240+BX1228)</f>
      </c>
      <c r="BY944" s="787">
        <f>SUM(BY940:BY943)</f>
      </c>
      <c r="BZ944" s="787">
        <f>SUM(BZ940:BZ943)</f>
      </c>
      <c r="CA944" s="787">
        <f>SUM(CA940:CA943)</f>
      </c>
      <c r="CB944" s="787">
        <f>SUM(CB940:CB943)</f>
      </c>
      <c r="CC944" s="948">
        <f>(CC1240+CC1228)</f>
      </c>
      <c r="CD944" s="948">
        <f>SUM(CD940:CD943)</f>
      </c>
      <c r="CE944" s="948">
        <f>SUM(CE940:CE943)</f>
      </c>
      <c r="CF944" s="948">
        <f>SUM(CF940:CF943)</f>
      </c>
      <c r="CG944" s="237"/>
    </row>
    <row r="945" spans="1:85" hidden="1" outlineLevel="1" x14ac:dyDescent="0.3">
      <c r="A945" s="323" t="s">
        <v>771</v>
      </c>
      <c r="B945" s="66"/>
      <c r="C945" s="936"/>
      <c r="D945" s="936"/>
      <c r="E945" s="936"/>
      <c r="F945" s="936"/>
      <c r="G945" s="446"/>
      <c r="H945" s="446"/>
      <c r="I945" s="446"/>
      <c r="J945" s="446"/>
      <c r="K945" s="936"/>
      <c r="L945" s="446"/>
      <c r="M945" s="446"/>
      <c r="N945" s="446"/>
      <c r="O945" s="446"/>
      <c r="P945" s="936"/>
      <c r="Q945" s="446"/>
      <c r="R945" s="446"/>
      <c r="S945" s="446"/>
      <c r="T945" s="446"/>
      <c r="U945" s="936"/>
      <c r="V945" s="446"/>
      <c r="W945" s="446"/>
      <c r="X945" s="446"/>
      <c r="Y945" s="446"/>
      <c r="Z945" s="936"/>
      <c r="AA945" s="446"/>
      <c r="AB945" s="446"/>
      <c r="AC945" s="446"/>
      <c r="AD945" s="446"/>
      <c r="AE945" s="936"/>
      <c r="AF945" s="446"/>
      <c r="AG945" s="446"/>
      <c r="AH945" s="446"/>
      <c r="AI945" s="446"/>
      <c r="AJ945" s="936"/>
      <c r="AK945" s="446"/>
      <c r="AL945" s="446"/>
      <c r="AM945" s="446"/>
      <c r="AN945" s="446"/>
      <c r="AO945" s="936"/>
      <c r="AP945" s="446">
        <f t="shared" ref="AP945:BG945" si="2014">AP1228/AP944</f>
      </c>
      <c r="AQ945" s="446">
        <f t="shared" si="2014"/>
      </c>
      <c r="AR945" s="446">
        <f t="shared" si="2014"/>
      </c>
      <c r="AS945" s="446">
        <f t="shared" si="2014"/>
      </c>
      <c r="AT945" s="936">
        <f t="shared" si="2014"/>
      </c>
      <c r="AU945" s="446">
        <f t="shared" si="2014"/>
      </c>
      <c r="AV945" s="446">
        <f t="shared" si="2014"/>
      </c>
      <c r="AW945" s="446">
        <f t="shared" si="2014"/>
      </c>
      <c r="AX945" s="446">
        <f t="shared" si="2014"/>
      </c>
      <c r="AY945" s="936">
        <f t="shared" si="2014"/>
      </c>
      <c r="AZ945" s="446">
        <f t="shared" si="2014"/>
      </c>
      <c r="BA945" s="446">
        <f t="shared" si="2014"/>
      </c>
      <c r="BB945" s="619">
        <f t="shared" si="2014"/>
      </c>
      <c r="BC945" s="446">
        <f t="shared" si="2014"/>
      </c>
      <c r="BD945" s="936">
        <f t="shared" si="2014"/>
      </c>
      <c r="BE945" s="619">
        <f t="shared" si="2014"/>
      </c>
      <c r="BF945" s="446">
        <f t="shared" si="2014"/>
      </c>
      <c r="BG945" s="619">
        <f t="shared" si="2014"/>
      </c>
      <c r="BH945" s="446">
        <f t="shared" ref="BH945:BI945" si="2015">BH1228/BH944</f>
      </c>
      <c r="BI945" s="936">
        <f t="shared" si="2015"/>
      </c>
      <c r="BJ945" s="619">
        <f>BJ1228/BJ944</f>
      </c>
      <c r="BK945" s="446">
        <f t="shared" ref="BK945" si="2016">BK1228/BK944</f>
      </c>
      <c r="BL945" s="619">
        <f t="shared" ref="BL945:BP945" si="2017">BL1228/BL944</f>
      </c>
      <c r="BM945" s="446">
        <f t="shared" si="2017"/>
      </c>
      <c r="BN945" s="936">
        <f t="shared" si="2017"/>
      </c>
      <c r="BO945" s="619">
        <f t="shared" si="2017"/>
      </c>
      <c r="BP945" s="446">
        <f t="shared" si="2017"/>
      </c>
      <c r="BQ945" s="619">
        <f t="shared" ref="BQ945" si="2018">BQ1228/BQ944</f>
      </c>
      <c r="BR945" s="446">
        <f>BR1228/BR944</f>
      </c>
      <c r="BS945" s="936">
        <f>BS1228/BS944</f>
      </c>
      <c r="BT945" s="664">
        <f>BT1228/BT944</f>
      </c>
      <c r="BU945" s="848">
        <v>0.12</v>
      </c>
      <c r="BV945" s="848">
        <v>0.12</v>
      </c>
      <c r="BW945" s="848">
        <v>0.12</v>
      </c>
      <c r="BX945" s="936">
        <f>BX1228/BX944</f>
      </c>
      <c r="BY945" s="848">
        <v>0.12</v>
      </c>
      <c r="BZ945" s="848">
        <v>0.12</v>
      </c>
      <c r="CA945" s="848">
        <v>0.12</v>
      </c>
      <c r="CB945" s="848">
        <v>0.12</v>
      </c>
      <c r="CC945" s="936">
        <f>CC1228/CC944</f>
      </c>
      <c r="CD945" s="955">
        <v>0.12</v>
      </c>
      <c r="CE945" s="955">
        <v>0.12</v>
      </c>
      <c r="CF945" s="955">
        <v>0.12</v>
      </c>
      <c r="CG945" s="237"/>
    </row>
    <row r="946" spans="1:85" hidden="1" outlineLevel="1" x14ac:dyDescent="0.3">
      <c r="A946" s="274"/>
      <c r="B946" s="274"/>
      <c r="C946" s="1065"/>
      <c r="D946" s="1065"/>
      <c r="E946" s="1065"/>
      <c r="F946" s="1065"/>
      <c r="G946" s="237"/>
      <c r="H946" s="237"/>
      <c r="I946" s="237"/>
      <c r="J946" s="237"/>
      <c r="K946" s="1065"/>
      <c r="L946" s="237"/>
      <c r="M946" s="237"/>
      <c r="N946" s="237"/>
      <c r="O946" s="237"/>
      <c r="P946" s="1065"/>
      <c r="Q946" s="237"/>
      <c r="R946" s="237"/>
      <c r="S946" s="237"/>
      <c r="T946" s="237"/>
      <c r="U946" s="1065"/>
      <c r="V946" s="237"/>
      <c r="W946" s="237"/>
      <c r="X946" s="237"/>
      <c r="Y946" s="237"/>
      <c r="Z946" s="1065"/>
      <c r="AA946" s="237"/>
      <c r="AB946" s="237"/>
      <c r="AC946" s="237"/>
      <c r="AD946" s="237"/>
      <c r="AE946" s="1065"/>
      <c r="AF946" s="237"/>
      <c r="AG946" s="237"/>
      <c r="AH946" s="237"/>
      <c r="AI946" s="237"/>
      <c r="AJ946" s="1065"/>
      <c r="AK946" s="237"/>
      <c r="AL946" s="237"/>
      <c r="AM946" s="237"/>
      <c r="AN946" s="237"/>
      <c r="AO946" s="1065"/>
      <c r="AP946" s="237"/>
      <c r="AQ946" s="237"/>
      <c r="AR946" s="237"/>
      <c r="AS946" s="237"/>
      <c r="AT946" s="1065"/>
      <c r="AU946" s="237"/>
      <c r="AV946" s="237"/>
      <c r="AW946" s="237"/>
      <c r="AX946" s="237"/>
      <c r="AY946" s="1065"/>
      <c r="AZ946" s="237"/>
      <c r="BA946" s="237"/>
      <c r="BB946" s="237"/>
      <c r="BC946" s="237"/>
      <c r="BD946" s="1065"/>
      <c r="BE946" s="237"/>
      <c r="BF946" s="237"/>
      <c r="BG946" s="237"/>
      <c r="BH946" s="237"/>
      <c r="BI946" s="1065"/>
      <c r="BJ946" s="237"/>
      <c r="BK946" s="237"/>
      <c r="BL946" s="237"/>
      <c r="BM946" s="237"/>
      <c r="BN946" s="1065"/>
      <c r="BO946" s="237"/>
      <c r="BP946" s="237"/>
      <c r="BQ946" s="237"/>
      <c r="BR946" s="237"/>
      <c r="BS946" s="1065"/>
      <c r="BT946" s="296"/>
      <c r="BU946" s="237"/>
      <c r="BV946" s="237"/>
      <c r="BW946" s="237"/>
      <c r="BX946" s="1065"/>
      <c r="BY946" s="237"/>
      <c r="BZ946" s="237"/>
      <c r="CA946" s="237"/>
      <c r="CB946" s="237"/>
      <c r="CC946" s="1065"/>
      <c r="CD946" s="1065"/>
      <c r="CE946" s="1065"/>
      <c r="CF946" s="1065"/>
      <c r="CG946" s="129"/>
    </row>
    <row r="947" spans="1:85" hidden="1" outlineLevel="1" x14ac:dyDescent="0.3">
      <c r="A947" s="69" t="s">
        <v>772</v>
      </c>
      <c r="B947" s="66"/>
      <c r="C947" s="936"/>
      <c r="D947" s="936"/>
      <c r="E947" s="936"/>
      <c r="F947" s="936"/>
      <c r="G947" s="446"/>
      <c r="H947" s="446"/>
      <c r="I947" s="446"/>
      <c r="J947" s="446"/>
      <c r="K947" s="936"/>
      <c r="L947" s="446"/>
      <c r="M947" s="446"/>
      <c r="N947" s="446"/>
      <c r="O947" s="446"/>
      <c r="P947" s="936"/>
      <c r="Q947" s="446"/>
      <c r="R947" s="446"/>
      <c r="S947" s="446"/>
      <c r="T947" s="446"/>
      <c r="U947" s="936"/>
      <c r="V947" s="446"/>
      <c r="W947" s="446"/>
      <c r="X947" s="446"/>
      <c r="Y947" s="446"/>
      <c r="Z947" s="936"/>
      <c r="AA947" s="446"/>
      <c r="AB947" s="446"/>
      <c r="AC947" s="446"/>
      <c r="AD947" s="446"/>
      <c r="AE947" s="936"/>
      <c r="AF947" s="446"/>
      <c r="AG947" s="446"/>
      <c r="AH947" s="446"/>
      <c r="AI947" s="446"/>
      <c r="AJ947" s="936"/>
      <c r="AK947" s="446"/>
      <c r="AL947" s="446"/>
      <c r="AM947" s="446"/>
      <c r="AN947" s="446"/>
      <c r="AO947" s="955">
        <v>0.05</v>
      </c>
      <c r="AP947" s="446">
        <f>+AT947</f>
      </c>
      <c r="AQ947" s="446">
        <f>+AT947</f>
      </c>
      <c r="AR947" s="446">
        <f>+AT947</f>
      </c>
      <c r="AS947" s="446">
        <f>AS949/AS940*AT3/AS3</f>
      </c>
      <c r="AT947" s="955">
        <v>3.5999999999999997E-2</v>
      </c>
      <c r="AU947" s="446">
        <f>+AY947</f>
      </c>
      <c r="AV947" s="446">
        <f>+AY947</f>
      </c>
      <c r="AW947" s="446">
        <f>+AY947</f>
      </c>
      <c r="AX947" s="446">
        <f>AX949/AX940*AY3/AX3</f>
      </c>
      <c r="AY947" s="955">
        <v>3.1E-2</v>
      </c>
      <c r="AZ947" s="848">
        <v>3.1E-2</v>
      </c>
      <c r="BA947" s="848">
        <v>3.1E-2</v>
      </c>
      <c r="BB947" s="848">
        <v>3.1E-2</v>
      </c>
      <c r="BC947" s="619">
        <f>BC949/BC940*BD3/BC3</f>
      </c>
      <c r="BD947" s="955">
        <v>3.2000000000000001E-2</v>
      </c>
      <c r="BE947" s="848">
        <v>0.03</v>
      </c>
      <c r="BF947" s="848">
        <v>3.1E-2</v>
      </c>
      <c r="BG947" s="848">
        <v>3.1E-2</v>
      </c>
      <c r="BH947" s="619">
        <f>BH949/BH940*BI3/BH3</f>
      </c>
      <c r="BI947" s="955">
        <v>3.3000000000000002E-2</v>
      </c>
      <c r="BJ947" s="848">
        <v>3.5000000000000003E-2</v>
      </c>
      <c r="BK947" s="848">
        <v>3.5000000000000003E-2</v>
      </c>
      <c r="BL947" s="848">
        <v>3.5000000000000003E-2</v>
      </c>
      <c r="BM947" s="619">
        <f>BM949/BM940*BN3/BM3</f>
      </c>
      <c r="BN947" s="955">
        <v>3.5000000000000003E-2</v>
      </c>
      <c r="BO947" s="848">
        <v>3.7999999999999999E-2</v>
      </c>
      <c r="BP947" s="848">
        <v>3.7999999999999999E-2</v>
      </c>
      <c r="BQ947" s="848">
        <v>3.7999999999999999E-2</v>
      </c>
      <c r="BR947" s="619">
        <f>BR949/BR940*BS3/BR3</f>
      </c>
      <c r="BS947" s="955">
        <v>3.7999999999999999E-2</v>
      </c>
      <c r="BT947" s="894">
        <v>3.7999999999999999E-2</v>
      </c>
      <c r="BU947" s="848">
        <v>0.03</v>
      </c>
      <c r="BV947" s="848">
        <v>0.03</v>
      </c>
      <c r="BW947" s="848">
        <v>0.03</v>
      </c>
      <c r="BX947" s="936">
        <f>BX949/AVERAGE(BT940,BU940,BV940,BW940)</f>
      </c>
      <c r="BY947" s="848">
        <v>0.03</v>
      </c>
      <c r="BZ947" s="848">
        <v>0.03</v>
      </c>
      <c r="CA947" s="848">
        <v>0.03</v>
      </c>
      <c r="CB947" s="848">
        <v>0.03</v>
      </c>
      <c r="CC947" s="936">
        <f>CC949/AVERAGE(BY940,BZ940,CA940,CB940)</f>
      </c>
      <c r="CD947" s="955">
        <v>0.03</v>
      </c>
      <c r="CE947" s="955">
        <v>0.03</v>
      </c>
      <c r="CF947" s="955">
        <v>0.03</v>
      </c>
      <c r="CG947" s="237"/>
    </row>
    <row r="948" spans="1:85" ht="7.5" hidden="1" customHeight="1" outlineLevel="1" x14ac:dyDescent="0.3">
      <c r="A948" s="274"/>
      <c r="B948" s="274"/>
      <c r="C948" s="1065"/>
      <c r="D948" s="1065"/>
      <c r="E948" s="1065"/>
      <c r="F948" s="1065"/>
      <c r="G948" s="237"/>
      <c r="H948" s="237"/>
      <c r="I948" s="237"/>
      <c r="J948" s="237"/>
      <c r="K948" s="1065"/>
      <c r="L948" s="237"/>
      <c r="M948" s="237"/>
      <c r="N948" s="237"/>
      <c r="O948" s="237"/>
      <c r="P948" s="1065"/>
      <c r="Q948" s="237"/>
      <c r="R948" s="237"/>
      <c r="S948" s="237"/>
      <c r="T948" s="237"/>
      <c r="U948" s="1065"/>
      <c r="V948" s="237"/>
      <c r="W948" s="237"/>
      <c r="X948" s="237"/>
      <c r="Y948" s="237"/>
      <c r="Z948" s="1065"/>
      <c r="AA948" s="237"/>
      <c r="AB948" s="237"/>
      <c r="AC948" s="237"/>
      <c r="AD948" s="237"/>
      <c r="AE948" s="1065"/>
      <c r="AF948" s="237"/>
      <c r="AG948" s="237"/>
      <c r="AH948" s="237"/>
      <c r="AI948" s="237"/>
      <c r="AJ948" s="1065"/>
      <c r="AK948" s="237"/>
      <c r="AL948" s="237"/>
      <c r="AM948" s="237"/>
      <c r="AN948" s="237"/>
      <c r="AO948" s="1065"/>
      <c r="AP948" s="237"/>
      <c r="AQ948" s="237"/>
      <c r="AR948" s="237"/>
      <c r="AS948" s="237"/>
      <c r="AT948" s="1065"/>
      <c r="AU948" s="237"/>
      <c r="AV948" s="237"/>
      <c r="AW948" s="237"/>
      <c r="AX948" s="237"/>
      <c r="AY948" s="1065"/>
      <c r="AZ948" s="237"/>
      <c r="BA948" s="237"/>
      <c r="BB948" s="237"/>
      <c r="BC948" s="237"/>
      <c r="BD948" s="1065"/>
      <c r="BE948" s="237"/>
      <c r="BF948" s="237"/>
      <c r="BG948" s="237"/>
      <c r="BH948" s="237"/>
      <c r="BI948" s="1065"/>
      <c r="BJ948" s="237"/>
      <c r="BK948" s="237"/>
      <c r="BL948" s="237"/>
      <c r="BM948" s="237"/>
      <c r="BN948" s="1065"/>
      <c r="BO948" s="237"/>
      <c r="BP948" s="237"/>
      <c r="BQ948" s="237"/>
      <c r="BR948" s="237"/>
      <c r="BS948" s="1065"/>
      <c r="BT948" s="296"/>
      <c r="BU948" s="237"/>
      <c r="BV948" s="237"/>
      <c r="BW948" s="237"/>
      <c r="BX948" s="1065"/>
      <c r="BY948" s="237"/>
      <c r="BZ948" s="237"/>
      <c r="CA948" s="237"/>
      <c r="CB948" s="237"/>
      <c r="CC948" s="1065"/>
      <c r="CD948" s="1065"/>
      <c r="CE948" s="1065"/>
      <c r="CF948" s="1065"/>
      <c r="CG948" s="129"/>
    </row>
    <row r="949" spans="1:85" s="587" customFormat="1" hidden="1" outlineLevel="1" x14ac:dyDescent="0.3">
      <c r="A949" s="436" t="s">
        <v>773</v>
      </c>
      <c r="B949" s="414"/>
      <c r="C949" s="943"/>
      <c r="D949" s="943"/>
      <c r="E949" s="943"/>
      <c r="F949" s="943"/>
      <c r="G949" s="753"/>
      <c r="H949" s="753"/>
      <c r="I949" s="753"/>
      <c r="J949" s="753"/>
      <c r="K949" s="943"/>
      <c r="L949" s="753"/>
      <c r="M949" s="753"/>
      <c r="N949" s="753"/>
      <c r="O949" s="753"/>
      <c r="P949" s="943"/>
      <c r="Q949" s="753"/>
      <c r="R949" s="753"/>
      <c r="S949" s="753"/>
      <c r="T949" s="753"/>
      <c r="U949" s="943"/>
      <c r="V949" s="753"/>
      <c r="W949" s="753"/>
      <c r="X949" s="753"/>
      <c r="Y949" s="753"/>
      <c r="Z949" s="943"/>
      <c r="AA949" s="753"/>
      <c r="AB949" s="753"/>
      <c r="AC949" s="753"/>
      <c r="AD949" s="753"/>
      <c r="AE949" s="943"/>
      <c r="AF949" s="753"/>
      <c r="AG949" s="753"/>
      <c r="AH949" s="753"/>
      <c r="AI949" s="753"/>
      <c r="AJ949" s="943"/>
      <c r="AK949" s="753"/>
      <c r="AL949" s="753"/>
      <c r="AM949" s="753"/>
      <c r="AN949" s="753"/>
      <c r="AO949" s="943">
        <f t="shared" ref="AO949" si="2019">AO957</f>
      </c>
      <c r="AP949" s="753">
        <f>AP940*AP947*AP3/AT3</f>
      </c>
      <c r="AQ949" s="753">
        <f>AQ940*AQ947*AQ3/AT3</f>
      </c>
      <c r="AR949" s="753">
        <f>AR940*AR947*AR3/AT3</f>
      </c>
      <c r="AS949" s="753">
        <f>AT949-SUM(AP949,AQ949,AR949)</f>
      </c>
      <c r="AT949" s="943">
        <f t="shared" ref="AT949:AY949" si="2020">AT957</f>
      </c>
      <c r="AU949" s="753">
        <f>AU940*AU947*AU3/AY3</f>
      </c>
      <c r="AV949" s="753">
        <f>AV940*AV947*AV3/AY3</f>
      </c>
      <c r="AW949" s="753">
        <f>AW940*AW947*AW3/AY3</f>
      </c>
      <c r="AX949" s="753">
        <f>AY949-SUM(AU949,AV949,AW949)</f>
      </c>
      <c r="AY949" s="943">
        <f t="shared" si="2020"/>
      </c>
      <c r="AZ949" s="753">
        <f>AZ940*AZ947*AZ3/BD3</f>
      </c>
      <c r="BA949" s="753">
        <f>BA940*BA947*BA3/BD3</f>
      </c>
      <c r="BB949" s="753">
        <f>BB940*BB947*BB3/BD3</f>
      </c>
      <c r="BC949" s="753">
        <f>BD949-SUM(AZ949,BA949,BB949)</f>
      </c>
      <c r="BD949" s="943">
        <f>BD957</f>
      </c>
      <c r="BE949" s="753">
        <f>BE940*BE947*BE3/BI3</f>
      </c>
      <c r="BF949" s="753">
        <f>BF940*BF947*BF3/BI3</f>
      </c>
      <c r="BG949" s="753">
        <f>BG940*BG947*BG3/BI3</f>
      </c>
      <c r="BH949" s="753">
        <f>BI949-SUM(BE949,BF949,BG949)</f>
      </c>
      <c r="BI949" s="943">
        <f>BI957</f>
      </c>
      <c r="BJ949" s="753">
        <f>BJ940*BJ947*BJ3/BN3</f>
      </c>
      <c r="BK949" s="753">
        <f>BK940*BK947*BK3/BN3</f>
      </c>
      <c r="BL949" s="753">
        <f>BL940*BL947*BL3/BN3</f>
      </c>
      <c r="BM949" s="753">
        <f>BN949-SUM(BJ949,BK949,BL949)</f>
      </c>
      <c r="BN949" s="943">
        <f>BN957</f>
      </c>
      <c r="BO949" s="753">
        <f>BO940*BO947*BO3/BS3</f>
      </c>
      <c r="BP949" s="753">
        <f>BP940*BP947*BP3/BS3</f>
      </c>
      <c r="BQ949" s="753">
        <f>BQ940*BQ947*BQ3/BS3</f>
      </c>
      <c r="BR949" s="753">
        <f>BS949-SUM(BO949,BP949,BQ949)</f>
      </c>
      <c r="BS949" s="943">
        <f>BS957</f>
      </c>
      <c r="BT949" s="756">
        <f>BT940*BT947*BT3/BX3</f>
      </c>
      <c r="BU949" s="753">
        <f>BU940*BU947*BU3/BX3</f>
      </c>
      <c r="BV949" s="753">
        <f>BV940*BV947*BV3/BX3</f>
      </c>
      <c r="BW949" s="753">
        <f>BW940*BW947*BW3/BX3</f>
      </c>
      <c r="BX949" s="943">
        <f>SUM(BT949,BU949,BV949,BW949)</f>
      </c>
      <c r="BY949" s="753">
        <f>BY940*BY947*BY3/CC3</f>
      </c>
      <c r="BZ949" s="753">
        <f>BZ940*BZ947*BZ3/CC3</f>
      </c>
      <c r="CA949" s="753">
        <f>CA940*CA947*CA3/CC3</f>
      </c>
      <c r="CB949" s="753">
        <f>CB940*CB947*CB3/CC3</f>
      </c>
      <c r="CC949" s="943">
        <f>SUM(BY949,BZ949,CA949,CB949)</f>
      </c>
      <c r="CD949" s="943">
        <f>CD940*CD947</f>
      </c>
      <c r="CE949" s="943">
        <f>CE940*CE947</f>
      </c>
      <c r="CF949" s="943">
        <f>CF940*CF947</f>
      </c>
      <c r="CG949" s="757"/>
    </row>
    <row r="950" spans="1:85" s="587" customFormat="1" hidden="1" outlineLevel="1" x14ac:dyDescent="0.3">
      <c r="A950" s="554" t="s">
        <v>774</v>
      </c>
      <c r="B950" s="416"/>
      <c r="C950" s="946"/>
      <c r="D950" s="946"/>
      <c r="E950" s="946"/>
      <c r="F950" s="946"/>
      <c r="G950" s="784"/>
      <c r="H950" s="784"/>
      <c r="I950" s="784"/>
      <c r="J950" s="784"/>
      <c r="K950" s="946"/>
      <c r="L950" s="784"/>
      <c r="M950" s="784"/>
      <c r="N950" s="784"/>
      <c r="O950" s="784"/>
      <c r="P950" s="946"/>
      <c r="Q950" s="784"/>
      <c r="R950" s="784"/>
      <c r="S950" s="784"/>
      <c r="T950" s="784"/>
      <c r="U950" s="946"/>
      <c r="V950" s="784"/>
      <c r="W950" s="784"/>
      <c r="X950" s="784"/>
      <c r="Y950" s="784"/>
      <c r="Z950" s="946"/>
      <c r="AA950" s="784"/>
      <c r="AB950" s="784"/>
      <c r="AC950" s="784"/>
      <c r="AD950" s="784"/>
      <c r="AE950" s="946"/>
      <c r="AF950" s="784"/>
      <c r="AG950" s="784"/>
      <c r="AH950" s="784"/>
      <c r="AI950" s="784"/>
      <c r="AJ950" s="946"/>
      <c r="AK950" s="784"/>
      <c r="AL950" s="784"/>
      <c r="AM950" s="784"/>
      <c r="AN950" s="784"/>
      <c r="AO950" s="946">
        <f t="shared" ref="AO950:AP950" si="2021">AO951-AO949</f>
      </c>
      <c r="AP950" s="784">
        <f t="shared" si="2021"/>
      </c>
      <c r="AQ950" s="784">
        <f t="shared" ref="AQ950:BB950" si="2022">AQ951-AQ949</f>
      </c>
      <c r="AR950" s="784">
        <f t="shared" si="2022"/>
      </c>
      <c r="AS950" s="784">
        <f t="shared" si="2022"/>
      </c>
      <c r="AT950" s="946">
        <f t="shared" si="2022"/>
      </c>
      <c r="AU950" s="784">
        <f t="shared" si="2022"/>
      </c>
      <c r="AV950" s="784">
        <f t="shared" si="2022"/>
      </c>
      <c r="AW950" s="784">
        <f t="shared" si="2022"/>
      </c>
      <c r="AX950" s="784">
        <f t="shared" si="2022"/>
      </c>
      <c r="AY950" s="946">
        <f t="shared" si="2022"/>
      </c>
      <c r="AZ950" s="784">
        <f t="shared" si="2022"/>
      </c>
      <c r="BA950" s="784">
        <f t="shared" si="2022"/>
      </c>
      <c r="BB950" s="784">
        <f t="shared" si="2022"/>
      </c>
      <c r="BC950" s="784">
        <f t="shared" ref="BC950:BD950" si="2023">BC951-BC949</f>
      </c>
      <c r="BD950" s="946">
        <f t="shared" si="2023"/>
      </c>
      <c r="BE950" s="784">
        <f t="shared" ref="BE950:BI950" si="2024">BE951-BE949</f>
      </c>
      <c r="BF950" s="784">
        <f t="shared" si="2024"/>
      </c>
      <c r="BG950" s="784">
        <f t="shared" si="2024"/>
      </c>
      <c r="BH950" s="784">
        <f t="shared" si="2024"/>
      </c>
      <c r="BI950" s="946">
        <f t="shared" si="2024"/>
      </c>
      <c r="BJ950" s="784">
        <f t="shared" ref="BJ950:BN950" si="2025">BJ951-BJ949</f>
      </c>
      <c r="BK950" s="784">
        <f t="shared" si="2025"/>
      </c>
      <c r="BL950" s="784">
        <f t="shared" si="2025"/>
      </c>
      <c r="BM950" s="784">
        <f t="shared" si="2025"/>
      </c>
      <c r="BN950" s="946">
        <f t="shared" si="2025"/>
      </c>
      <c r="BO950" s="784">
        <f>BO951-BO949</f>
      </c>
      <c r="BP950" s="784">
        <f>BP951-BP949</f>
      </c>
      <c r="BQ950" s="784">
        <f t="shared" ref="BQ950:BS950" si="2026">BQ951-BQ949</f>
      </c>
      <c r="BR950" s="784">
        <f t="shared" si="2026"/>
      </c>
      <c r="BS950" s="946">
        <f t="shared" si="2026"/>
      </c>
      <c r="BT950" s="817">
        <f>BT951-BT949</f>
      </c>
      <c r="BU950" s="784">
        <f>BU951-BU949</f>
      </c>
      <c r="BV950" s="784">
        <f>BV951-BV949</f>
      </c>
      <c r="BW950" s="784">
        <f>BW951-BW949</f>
      </c>
      <c r="BX950" s="946">
        <f>SUM(BT950,BU950,BV950,BW950)</f>
      </c>
      <c r="BY950" s="784">
        <f>BY951-BY949</f>
      </c>
      <c r="BZ950" s="784">
        <f>BZ951-BZ949</f>
      </c>
      <c r="CA950" s="784">
        <f>CA951-CA949</f>
      </c>
      <c r="CB950" s="784">
        <f>CB951-CB949</f>
      </c>
      <c r="CC950" s="946">
        <f>SUM(BY950,BZ950,CA950,CB950)</f>
      </c>
      <c r="CD950" s="946">
        <f>CD951-CD949</f>
      </c>
      <c r="CE950" s="946">
        <f>CE951-CE949</f>
      </c>
      <c r="CF950" s="946">
        <f>CF951-CF949</f>
      </c>
      <c r="CG950" s="757"/>
    </row>
    <row r="951" spans="1:85" s="585" customFormat="1" hidden="1" outlineLevel="1" x14ac:dyDescent="0.3">
      <c r="A951" s="423" t="s">
        <v>876</v>
      </c>
      <c r="B951" s="422"/>
      <c r="C951" s="948"/>
      <c r="D951" s="948"/>
      <c r="E951" s="948"/>
      <c r="F951" s="948"/>
      <c r="G951" s="787"/>
      <c r="H951" s="787"/>
      <c r="I951" s="787"/>
      <c r="J951" s="787"/>
      <c r="K951" s="948"/>
      <c r="L951" s="787"/>
      <c r="M951" s="787"/>
      <c r="N951" s="787"/>
      <c r="O951" s="787"/>
      <c r="P951" s="948"/>
      <c r="Q951" s="787"/>
      <c r="R951" s="787"/>
      <c r="S951" s="787"/>
      <c r="T951" s="787"/>
      <c r="U951" s="948"/>
      <c r="V951" s="787"/>
      <c r="W951" s="787"/>
      <c r="X951" s="787"/>
      <c r="Y951" s="787"/>
      <c r="Z951" s="948"/>
      <c r="AA951" s="787"/>
      <c r="AB951" s="787"/>
      <c r="AC951" s="787"/>
      <c r="AD951" s="787"/>
      <c r="AE951" s="948"/>
      <c r="AF951" s="787"/>
      <c r="AG951" s="787"/>
      <c r="AH951" s="787"/>
      <c r="AI951" s="787"/>
      <c r="AJ951" s="948"/>
      <c r="AK951" s="787"/>
      <c r="AL951" s="787"/>
      <c r="AM951" s="787"/>
      <c r="AN951" s="787"/>
      <c r="AO951" s="1066">
        <v>192.084</v>
      </c>
      <c r="AP951" s="905">
        <v>57.49</v>
      </c>
      <c r="AQ951" s="905">
        <v>59.472999999999999</v>
      </c>
      <c r="AR951" s="905">
        <v>70.917000000000002</v>
      </c>
      <c r="AS951" s="778">
        <f>AT951-SUM(AP951,AQ951,AR951)</f>
      </c>
      <c r="AT951" s="1067">
        <v>259.55900000000003</v>
      </c>
      <c r="AU951" s="905">
        <v>82.438999999999993</v>
      </c>
      <c r="AV951" s="905">
        <v>79.471999999999994</v>
      </c>
      <c r="AW951" s="905">
        <v>89.915999999999997</v>
      </c>
      <c r="AX951" s="778">
        <f>AY951-SUM(AU951,AV951,AW951)</f>
      </c>
      <c r="AY951" s="1067">
        <v>349.58600000000001</v>
      </c>
      <c r="AZ951" s="905">
        <v>103.14100000000001</v>
      </c>
      <c r="BA951" s="905">
        <v>99.757999999999996</v>
      </c>
      <c r="BB951" s="904">
        <v>105.848</v>
      </c>
      <c r="BC951" s="778">
        <f>BD951-SUM(AZ951,BA951,BB951)</f>
      </c>
      <c r="BD951" s="1067">
        <v>413.03399999999999</v>
      </c>
      <c r="BE951" s="905">
        <v>113.407</v>
      </c>
      <c r="BF951" s="905">
        <v>114.76</v>
      </c>
      <c r="BG951" s="904">
        <v>110.959</v>
      </c>
      <c r="BH951" s="778">
        <f>BI951-SUM(BE951,BF951,BG951)</f>
      </c>
      <c r="BI951" s="1067">
        <v>451.52499999999998</v>
      </c>
      <c r="BJ951" s="905">
        <v>125.306</v>
      </c>
      <c r="BK951" s="905">
        <v>130.10400000000001</v>
      </c>
      <c r="BL951" s="904">
        <v>128.917</v>
      </c>
      <c r="BM951" s="778">
        <f>BN951-SUM(BJ951,BK951,BL951)</f>
      </c>
      <c r="BN951" s="1067">
        <v>509.29599999999999</v>
      </c>
      <c r="BO951" s="905">
        <v>118.34699999999999</v>
      </c>
      <c r="BP951" s="905">
        <v>129.57400000000001</v>
      </c>
      <c r="BQ951" s="904">
        <v>108.78700000000001</v>
      </c>
      <c r="BR951" s="778">
        <f>BS951-SUM(BO951,BP951,BQ951)</f>
      </c>
      <c r="BS951" s="1067">
        <v>506.62400000000002</v>
      </c>
      <c r="BT951" s="906">
        <v>148.34100000000001</v>
      </c>
      <c r="BU951" s="787">
        <f>BU953*12*BU3/BX3</f>
      </c>
      <c r="BV951" s="787">
        <f>BV953*12*BV3/BX3</f>
      </c>
      <c r="BW951" s="787">
        <f>BW953*12*BW3/BX3</f>
      </c>
      <c r="BX951" s="948">
        <f>BX949+BX950</f>
      </c>
      <c r="BY951" s="787">
        <f>BY953*12*BY3/CC3</f>
      </c>
      <c r="BZ951" s="787">
        <f>BZ953*12*BZ3/CC3</f>
      </c>
      <c r="CA951" s="787">
        <f>CA953*12*CA3/CC3</f>
      </c>
      <c r="CB951" s="787">
        <f>CB953*12*CB3/CC3</f>
      </c>
      <c r="CC951" s="948">
        <f>CC949+CC950</f>
      </c>
      <c r="CD951" s="948">
        <f>CD953*12</f>
      </c>
      <c r="CE951" s="948">
        <f>CE953*12</f>
      </c>
      <c r="CF951" s="948">
        <f>CF953*12</f>
      </c>
      <c r="CG951" s="757"/>
    </row>
    <row r="952" spans="1:85" ht="7.5" hidden="1" customHeight="1" outlineLevel="1" x14ac:dyDescent="0.3">
      <c r="A952" s="274"/>
      <c r="B952" s="274"/>
      <c r="C952" s="1065"/>
      <c r="D952" s="1065"/>
      <c r="E952" s="1065"/>
      <c r="F952" s="1065"/>
      <c r="G952" s="237"/>
      <c r="H952" s="237"/>
      <c r="I952" s="237"/>
      <c r="J952" s="237"/>
      <c r="K952" s="1065"/>
      <c r="L952" s="237"/>
      <c r="M952" s="237"/>
      <c r="N952" s="237"/>
      <c r="O952" s="237"/>
      <c r="P952" s="1065"/>
      <c r="Q952" s="237"/>
      <c r="R952" s="237"/>
      <c r="S952" s="237"/>
      <c r="T952" s="237"/>
      <c r="U952" s="1065"/>
      <c r="V952" s="237"/>
      <c r="W952" s="237"/>
      <c r="X952" s="237"/>
      <c r="Y952" s="237"/>
      <c r="Z952" s="1065"/>
      <c r="AA952" s="237"/>
      <c r="AB952" s="237"/>
      <c r="AC952" s="237"/>
      <c r="AD952" s="237"/>
      <c r="AE952" s="1065"/>
      <c r="AF952" s="237"/>
      <c r="AG952" s="237"/>
      <c r="AH952" s="237"/>
      <c r="AI952" s="237"/>
      <c r="AJ952" s="1065"/>
      <c r="AK952" s="237"/>
      <c r="AL952" s="237"/>
      <c r="AM952" s="237"/>
      <c r="AN952" s="237"/>
      <c r="AO952" s="1065"/>
      <c r="AP952" s="237"/>
      <c r="AQ952" s="237"/>
      <c r="AR952" s="237"/>
      <c r="AS952" s="237"/>
      <c r="AT952" s="1065"/>
      <c r="AU952" s="237"/>
      <c r="AV952" s="237"/>
      <c r="AW952" s="237"/>
      <c r="AX952" s="237"/>
      <c r="AY952" s="1065"/>
      <c r="AZ952" s="237"/>
      <c r="BA952" s="237"/>
      <c r="BB952" s="237"/>
      <c r="BC952" s="237"/>
      <c r="BD952" s="1065"/>
      <c r="BE952" s="237"/>
      <c r="BF952" s="237"/>
      <c r="BG952" s="237"/>
      <c r="BH952" s="237"/>
      <c r="BI952" s="1065"/>
      <c r="BJ952" s="237"/>
      <c r="BK952" s="237"/>
      <c r="BL952" s="237"/>
      <c r="BM952" s="237"/>
      <c r="BN952" s="1065"/>
      <c r="BO952" s="237"/>
      <c r="BP952" s="237"/>
      <c r="BQ952" s="237"/>
      <c r="BR952" s="237"/>
      <c r="BS952" s="1065"/>
      <c r="BT952" s="296"/>
      <c r="BU952" s="237"/>
      <c r="BV952" s="237"/>
      <c r="BW952" s="237"/>
      <c r="BX952" s="1065"/>
      <c r="BY952" s="237"/>
      <c r="BZ952" s="237"/>
      <c r="CA952" s="237"/>
      <c r="CB952" s="237"/>
      <c r="CC952" s="1065"/>
      <c r="CD952" s="1065"/>
      <c r="CE952" s="1065"/>
      <c r="CF952" s="1065"/>
      <c r="CG952" s="129"/>
    </row>
    <row r="953" spans="1:85" hidden="1" outlineLevel="1" x14ac:dyDescent="0.3">
      <c r="A953" s="442" t="s">
        <v>775</v>
      </c>
      <c r="B953" s="414"/>
      <c r="C953" s="943"/>
      <c r="D953" s="943"/>
      <c r="E953" s="943"/>
      <c r="F953" s="943"/>
      <c r="G953" s="753"/>
      <c r="H953" s="753"/>
      <c r="I953" s="753"/>
      <c r="J953" s="753"/>
      <c r="K953" s="943"/>
      <c r="L953" s="753"/>
      <c r="M953" s="753"/>
      <c r="N953" s="753"/>
      <c r="O953" s="753"/>
      <c r="P953" s="943"/>
      <c r="Q953" s="753"/>
      <c r="R953" s="753"/>
      <c r="S953" s="753"/>
      <c r="T953" s="753"/>
      <c r="U953" s="943"/>
      <c r="V953" s="753"/>
      <c r="W953" s="753"/>
      <c r="X953" s="753"/>
      <c r="Y953" s="753"/>
      <c r="Z953" s="943"/>
      <c r="AA953" s="753"/>
      <c r="AB953" s="753"/>
      <c r="AC953" s="753"/>
      <c r="AD953" s="753"/>
      <c r="AE953" s="943"/>
      <c r="AF953" s="753"/>
      <c r="AG953" s="753"/>
      <c r="AH953" s="753"/>
      <c r="AI953" s="753"/>
      <c r="AJ953" s="943"/>
      <c r="AK953" s="753"/>
      <c r="AL953" s="753"/>
      <c r="AM953" s="753"/>
      <c r="AN953" s="753"/>
      <c r="AO953" s="943">
        <f>AO951/12</f>
      </c>
      <c r="AP953" s="753">
        <f>AP951*AT3/AP3/12</f>
      </c>
      <c r="AQ953" s="753">
        <f>AQ951*AT3/AQ3/12</f>
      </c>
      <c r="AR953" s="753">
        <f>AR951*AT3/AR3/12</f>
      </c>
      <c r="AS953" s="753">
        <f>AS951*AT3/AS3/12</f>
      </c>
      <c r="AT953" s="943">
        <f>AT951/12</f>
      </c>
      <c r="AU953" s="753">
        <f>AU951*AY3/AU3/12</f>
      </c>
      <c r="AV953" s="753">
        <f>AV951*AY3/AV3/12</f>
      </c>
      <c r="AW953" s="753">
        <f>AW951*AY3/AW3/12</f>
      </c>
      <c r="AX953" s="753">
        <f>AX951*AY3/AX3/12</f>
      </c>
      <c r="AY953" s="943">
        <f>AY951/12</f>
      </c>
      <c r="AZ953" s="753">
        <f>AZ951*BD3/AZ3/12</f>
      </c>
      <c r="BA953" s="753">
        <f>BA951*BD3/BA3/12</f>
      </c>
      <c r="BB953" s="753">
        <f>BB951*BD3/BB3/12</f>
      </c>
      <c r="BC953" s="753">
        <f>BC951*BD3/BC3/12</f>
      </c>
      <c r="BD953" s="943">
        <f>BD951/12</f>
      </c>
      <c r="BE953" s="753">
        <f>BE951*BI3/BE3/12</f>
      </c>
      <c r="BF953" s="753">
        <f>BF951*BI3/BF3/12</f>
      </c>
      <c r="BG953" s="753">
        <f>BG951*BI3/BG3/12</f>
      </c>
      <c r="BH953" s="753">
        <f>BH951*BI3/BH3/12</f>
      </c>
      <c r="BI953" s="943">
        <f>BI951/12</f>
      </c>
      <c r="BJ953" s="753">
        <f>BJ951*BN3/BJ3/12</f>
      </c>
      <c r="BK953" s="782">
        <f>BK951*BN3/BK3/12</f>
      </c>
      <c r="BL953" s="753">
        <f>BL951*BN3/BL3/12</f>
      </c>
      <c r="BM953" s="753">
        <f>BM951*BN3/BM3/12</f>
      </c>
      <c r="BN953" s="943">
        <f>BN951/12</f>
      </c>
      <c r="BO953" s="753">
        <f>BO951*BS3/BO3/12</f>
      </c>
      <c r="BP953" s="782">
        <f>BP951*BS3/BP3/12</f>
      </c>
      <c r="BQ953" s="753">
        <f>BQ951*BS3/BQ3/12</f>
      </c>
      <c r="BR953" s="782">
        <f>BR951*BS3/BR3/12</f>
      </c>
      <c r="BS953" s="945">
        <f>BS951/12</f>
      </c>
      <c r="BT953" s="756">
        <f>BT951*BX3/BT3/12</f>
      </c>
      <c r="BU953" s="753">
        <f>BT953*(1+BU954)</f>
      </c>
      <c r="BV953" s="753">
        <f>BU953*(1+BV954)</f>
      </c>
      <c r="BW953" s="753">
        <f>BV953*(1+BW954)</f>
      </c>
      <c r="BX953" s="943">
        <f>BX951/12</f>
      </c>
      <c r="BY953" s="753">
        <f>BW953*(1+BY954)</f>
      </c>
      <c r="BZ953" s="753">
        <f>BY953*(1+BZ954)</f>
      </c>
      <c r="CA953" s="753">
        <f>BZ953*(1+CA954)</f>
      </c>
      <c r="CB953" s="753">
        <f>CA953*(1+CB954)</f>
      </c>
      <c r="CC953" s="943">
        <f>CC951/12</f>
      </c>
      <c r="CD953" s="943">
        <f>CC953*(1+CD955)</f>
      </c>
      <c r="CE953" s="943">
        <f>CD953*(1+CE955)</f>
      </c>
      <c r="CF953" s="943">
        <f>CE953*(1+CF955)</f>
      </c>
      <c r="CG953" s="237"/>
    </row>
    <row r="954" spans="1:85" hidden="1" outlineLevel="1" x14ac:dyDescent="0.3">
      <c r="A954" s="358" t="s">
        <v>776</v>
      </c>
      <c r="B954" s="437"/>
      <c r="C954" s="936"/>
      <c r="D954" s="936"/>
      <c r="E954" s="936"/>
      <c r="F954" s="936"/>
      <c r="G954" s="446"/>
      <c r="H954" s="446"/>
      <c r="I954" s="446"/>
      <c r="J954" s="446"/>
      <c r="K954" s="936"/>
      <c r="L954" s="446"/>
      <c r="M954" s="446"/>
      <c r="N954" s="446"/>
      <c r="O954" s="446"/>
      <c r="P954" s="936"/>
      <c r="Q954" s="446"/>
      <c r="R954" s="446"/>
      <c r="S954" s="446"/>
      <c r="T954" s="446"/>
      <c r="U954" s="936"/>
      <c r="V954" s="446"/>
      <c r="W954" s="446"/>
      <c r="X954" s="446"/>
      <c r="Y954" s="446"/>
      <c r="Z954" s="936"/>
      <c r="AA954" s="446"/>
      <c r="AB954" s="446"/>
      <c r="AC954" s="446"/>
      <c r="AD954" s="446"/>
      <c r="AE954" s="936"/>
      <c r="AF954" s="446"/>
      <c r="AG954" s="446"/>
      <c r="AH954" s="446"/>
      <c r="AI954" s="446"/>
      <c r="AJ954" s="936"/>
      <c r="AK954" s="446"/>
      <c r="AL954" s="446"/>
      <c r="AM954" s="446"/>
      <c r="AN954" s="446"/>
      <c r="AO954" s="936"/>
      <c r="AP954" s="446" t="str">
        <f>IFERROR(AP953/AN953-1,"n/a")</f>
      </c>
      <c r="AQ954" s="446">
        <f>AQ953/AP953-1</f>
      </c>
      <c r="AR954" s="446">
        <f>AR953/AQ953-1</f>
      </c>
      <c r="AS954" s="446">
        <f>AS953/AR953-1</f>
      </c>
      <c r="AT954" s="936"/>
      <c r="AU954" s="446">
        <f>AU953/AS953-1</f>
      </c>
      <c r="AV954" s="446">
        <f>AV953/AU953-1</f>
      </c>
      <c r="AW954" s="446">
        <f>AW953/AV953-1</f>
      </c>
      <c r="AX954" s="446">
        <f>AX953/AW953-1</f>
      </c>
      <c r="AY954" s="936"/>
      <c r="AZ954" s="446">
        <f>AZ953/AX953-1</f>
      </c>
      <c r="BA954" s="446">
        <f>BA953/AZ953-1</f>
      </c>
      <c r="BB954" s="619">
        <f>BB953/BA953-1</f>
      </c>
      <c r="BC954" s="446">
        <f>BC953/BB953-1</f>
      </c>
      <c r="BD954" s="936"/>
      <c r="BE954" s="446">
        <f>BE953/BC953-1</f>
      </c>
      <c r="BF954" s="446">
        <f>BF953/BE953-1</f>
      </c>
      <c r="BG954" s="619">
        <f>BG953/BF953-1</f>
      </c>
      <c r="BH954" s="446">
        <f>BH953/BG953-1</f>
      </c>
      <c r="BI954" s="936"/>
      <c r="BJ954" s="619">
        <f>BJ953/BH953-1</f>
      </c>
      <c r="BK954" s="619">
        <f>BK953/BJ953-1</f>
      </c>
      <c r="BL954" s="619">
        <f>BL953/BK953-1</f>
      </c>
      <c r="BM954" s="446">
        <f>BM953/BL953-1</f>
      </c>
      <c r="BN954" s="936"/>
      <c r="BO954" s="619">
        <f>BO953/BM953-1</f>
      </c>
      <c r="BP954" s="619">
        <f>BP953/BO953-1</f>
      </c>
      <c r="BQ954" s="619">
        <f>BQ953/BP953-1</f>
      </c>
      <c r="BR954" s="619">
        <f>BR953/BQ953-1</f>
      </c>
      <c r="BS954" s="936"/>
      <c r="BT954" s="664">
        <f>BT953/BR953-1</f>
      </c>
      <c r="BU954" s="848">
        <v>0.01</v>
      </c>
      <c r="BV954" s="848">
        <v>0.01</v>
      </c>
      <c r="BW954" s="848">
        <v>0.01</v>
      </c>
      <c r="BX954" s="936"/>
      <c r="BY954" s="848">
        <v>5.0000000000000001E-3</v>
      </c>
      <c r="BZ954" s="848">
        <v>5.0000000000000001E-3</v>
      </c>
      <c r="CA954" s="848">
        <v>5.0000000000000001E-3</v>
      </c>
      <c r="CB954" s="848">
        <v>5.0000000000000001E-3</v>
      </c>
      <c r="CC954" s="936"/>
      <c r="CD954" s="936"/>
      <c r="CE954" s="936"/>
      <c r="CF954" s="936"/>
      <c r="CG954" s="237"/>
    </row>
    <row r="955" spans="1:85" hidden="1" outlineLevel="1" x14ac:dyDescent="0.3">
      <c r="A955" s="358" t="s">
        <v>777</v>
      </c>
      <c r="B955" s="66"/>
      <c r="C955" s="936"/>
      <c r="D955" s="936"/>
      <c r="E955" s="936"/>
      <c r="F955" s="936"/>
      <c r="G955" s="446"/>
      <c r="H955" s="446"/>
      <c r="I955" s="446"/>
      <c r="J955" s="446"/>
      <c r="K955" s="936"/>
      <c r="L955" s="446"/>
      <c r="M955" s="446"/>
      <c r="N955" s="446"/>
      <c r="O955" s="446"/>
      <c r="P955" s="936"/>
      <c r="Q955" s="446"/>
      <c r="R955" s="446"/>
      <c r="S955" s="446"/>
      <c r="T955" s="446"/>
      <c r="U955" s="936"/>
      <c r="V955" s="446"/>
      <c r="W955" s="446"/>
      <c r="X955" s="446"/>
      <c r="Y955" s="446"/>
      <c r="Z955" s="936"/>
      <c r="AA955" s="446"/>
      <c r="AB955" s="446"/>
      <c r="AC955" s="446"/>
      <c r="AD955" s="446"/>
      <c r="AE955" s="936"/>
      <c r="AF955" s="446"/>
      <c r="AG955" s="446"/>
      <c r="AH955" s="446"/>
      <c r="AI955" s="446"/>
      <c r="AJ955" s="936"/>
      <c r="AK955" s="446"/>
      <c r="AL955" s="446"/>
      <c r="AM955" s="446"/>
      <c r="AN955" s="446"/>
      <c r="AO955" s="936"/>
      <c r="AP955" s="446"/>
      <c r="AQ955" s="446"/>
      <c r="AR955" s="446"/>
      <c r="AS955" s="446"/>
      <c r="AT955" s="936">
        <f t="shared" ref="AT955:BQ955" si="2027">AT953/AO953-1</f>
      </c>
      <c r="AU955" s="446">
        <f t="shared" si="2027"/>
      </c>
      <c r="AV955" s="446">
        <f t="shared" si="2027"/>
      </c>
      <c r="AW955" s="446">
        <f t="shared" si="2027"/>
      </c>
      <c r="AX955" s="446">
        <f t="shared" si="2027"/>
      </c>
      <c r="AY955" s="936">
        <f t="shared" si="2027"/>
      </c>
      <c r="AZ955" s="446">
        <f t="shared" si="2027"/>
      </c>
      <c r="BA955" s="446">
        <f t="shared" si="2027"/>
      </c>
      <c r="BB955" s="446">
        <f t="shared" si="2027"/>
      </c>
      <c r="BC955" s="446">
        <f t="shared" si="2027"/>
      </c>
      <c r="BD955" s="937">
        <f t="shared" si="2027"/>
      </c>
      <c r="BE955" s="446">
        <f t="shared" si="2027"/>
      </c>
      <c r="BF955" s="446">
        <f t="shared" si="2027"/>
      </c>
      <c r="BG955" s="446">
        <f t="shared" si="2027"/>
      </c>
      <c r="BH955" s="446">
        <f t="shared" si="2027"/>
      </c>
      <c r="BI955" s="937">
        <f t="shared" si="2027"/>
      </c>
      <c r="BJ955" s="446">
        <f t="shared" si="2027"/>
      </c>
      <c r="BK955" s="619">
        <f t="shared" si="2027"/>
      </c>
      <c r="BL955" s="446">
        <f t="shared" si="2027"/>
      </c>
      <c r="BM955" s="619">
        <f t="shared" si="2027"/>
      </c>
      <c r="BN955" s="937">
        <f t="shared" si="2027"/>
      </c>
      <c r="BO955" s="446">
        <f t="shared" si="2027"/>
      </c>
      <c r="BP955" s="619">
        <f t="shared" si="2027"/>
      </c>
      <c r="BQ955" s="446">
        <f t="shared" si="2027"/>
      </c>
      <c r="BR955" s="619">
        <f t="shared" ref="BR955" si="2028">BR953/BM953-1</f>
      </c>
      <c r="BS955" s="937">
        <f t="shared" ref="BS955" si="2029">BS953/BN953-1</f>
      </c>
      <c r="BT955" s="665">
        <f>BT953/BO953-1</f>
      </c>
      <c r="BU955" s="446">
        <f t="shared" ref="BU955:CC955" si="2030">BU953/BP953-1</f>
      </c>
      <c r="BV955" s="446">
        <f t="shared" si="2030"/>
      </c>
      <c r="BW955" s="446">
        <f t="shared" si="2030"/>
      </c>
      <c r="BX955" s="936">
        <f t="shared" si="2030"/>
      </c>
      <c r="BY955" s="446">
        <f t="shared" si="2030"/>
      </c>
      <c r="BZ955" s="446">
        <f t="shared" si="2030"/>
      </c>
      <c r="CA955" s="446">
        <f t="shared" si="2030"/>
      </c>
      <c r="CB955" s="446">
        <f t="shared" si="2030"/>
      </c>
      <c r="CC955" s="936">
        <f t="shared" si="2030"/>
      </c>
      <c r="CD955" s="955">
        <v>0.02</v>
      </c>
      <c r="CE955" s="955">
        <v>0.02</v>
      </c>
      <c r="CF955" s="955">
        <v>0.02</v>
      </c>
      <c r="CG955" s="237"/>
    </row>
    <row r="956" spans="1:85" hidden="1" outlineLevel="1" x14ac:dyDescent="0.3">
      <c r="A956" s="274"/>
      <c r="B956" s="274"/>
      <c r="C956" s="1065"/>
      <c r="D956" s="1065"/>
      <c r="E956" s="1065"/>
      <c r="F956" s="1065"/>
      <c r="G956" s="237"/>
      <c r="H956" s="237"/>
      <c r="I956" s="237"/>
      <c r="J956" s="237"/>
      <c r="K956" s="1065"/>
      <c r="L956" s="237"/>
      <c r="M956" s="237"/>
      <c r="N956" s="237"/>
      <c r="O956" s="237"/>
      <c r="P956" s="1065"/>
      <c r="Q956" s="237"/>
      <c r="R956" s="237"/>
      <c r="S956" s="237"/>
      <c r="T956" s="237"/>
      <c r="U956" s="1065"/>
      <c r="V956" s="237"/>
      <c r="W956" s="237"/>
      <c r="X956" s="237"/>
      <c r="Y956" s="237"/>
      <c r="Z956" s="1065"/>
      <c r="AA956" s="237"/>
      <c r="AB956" s="237"/>
      <c r="AC956" s="237"/>
      <c r="AD956" s="237"/>
      <c r="AE956" s="1065"/>
      <c r="AF956" s="237"/>
      <c r="AG956" s="237"/>
      <c r="AH956" s="237"/>
      <c r="AI956" s="237"/>
      <c r="AJ956" s="1065"/>
      <c r="AK956" s="237"/>
      <c r="AL956" s="237"/>
      <c r="AM956" s="237"/>
      <c r="AN956" s="237"/>
      <c r="AO956" s="1065"/>
      <c r="AP956" s="237"/>
      <c r="AQ956" s="237"/>
      <c r="AR956" s="237"/>
      <c r="AS956" s="237"/>
      <c r="AT956" s="1065"/>
      <c r="AU956" s="237"/>
      <c r="AV956" s="237"/>
      <c r="AW956" s="237"/>
      <c r="AX956" s="237"/>
      <c r="AY956" s="1065"/>
      <c r="AZ956" s="237"/>
      <c r="BA956" s="237"/>
      <c r="BB956" s="237"/>
      <c r="BC956" s="237"/>
      <c r="BD956" s="1065"/>
      <c r="BE956" s="237"/>
      <c r="BF956" s="237"/>
      <c r="BG956" s="237"/>
      <c r="BH956" s="237"/>
      <c r="BI956" s="1065"/>
      <c r="BJ956" s="237"/>
      <c r="BK956" s="237"/>
      <c r="BL956" s="237"/>
      <c r="BM956" s="237"/>
      <c r="BN956" s="1065"/>
      <c r="BO956" s="237"/>
      <c r="BP956" s="237"/>
      <c r="BQ956" s="237"/>
      <c r="BR956" s="237"/>
      <c r="BS956" s="1065"/>
      <c r="BT956" s="296"/>
      <c r="BU956" s="237"/>
      <c r="BV956" s="237"/>
      <c r="BW956" s="237"/>
      <c r="BX956" s="1065"/>
      <c r="BY956" s="237"/>
      <c r="BZ956" s="237"/>
      <c r="CA956" s="237"/>
      <c r="CB956" s="237"/>
      <c r="CC956" s="1065"/>
      <c r="CD956" s="1065"/>
      <c r="CE956" s="1065"/>
      <c r="CF956" s="1065"/>
      <c r="CG956" s="129"/>
    </row>
    <row r="957" spans="1:85" hidden="1" outlineLevel="1" x14ac:dyDescent="0.3">
      <c r="A957" s="436" t="s">
        <v>773</v>
      </c>
      <c r="B957" s="414"/>
      <c r="C957" s="943"/>
      <c r="D957" s="943"/>
      <c r="E957" s="943"/>
      <c r="F957" s="943"/>
      <c r="G957" s="753"/>
      <c r="H957" s="753"/>
      <c r="I957" s="753"/>
      <c r="J957" s="753"/>
      <c r="K957" s="943"/>
      <c r="L957" s="753"/>
      <c r="M957" s="753"/>
      <c r="N957" s="753"/>
      <c r="O957" s="753"/>
      <c r="P957" s="943"/>
      <c r="Q957" s="753"/>
      <c r="R957" s="753"/>
      <c r="S957" s="753"/>
      <c r="T957" s="753"/>
      <c r="U957" s="943"/>
      <c r="V957" s="753"/>
      <c r="W957" s="753"/>
      <c r="X957" s="753"/>
      <c r="Y957" s="753"/>
      <c r="Z957" s="943"/>
      <c r="AA957" s="753"/>
      <c r="AB957" s="753"/>
      <c r="AC957" s="753"/>
      <c r="AD957" s="753"/>
      <c r="AE957" s="943"/>
      <c r="AF957" s="753"/>
      <c r="AG957" s="753"/>
      <c r="AH957" s="753"/>
      <c r="AI957" s="753"/>
      <c r="AJ957" s="943"/>
      <c r="AK957" s="753"/>
      <c r="AL957" s="753"/>
      <c r="AM957" s="753"/>
      <c r="AN957" s="753"/>
      <c r="AO957" s="943">
        <f>AVERAGE(AO940,AO944)*AO947</f>
      </c>
      <c r="AP957" s="753">
        <f t="shared" ref="AP957:AS957" si="2031">+AP949</f>
      </c>
      <c r="AQ957" s="753">
        <f t="shared" si="2031"/>
      </c>
      <c r="AR957" s="753">
        <f t="shared" si="2031"/>
      </c>
      <c r="AS957" s="753">
        <f t="shared" si="2031"/>
      </c>
      <c r="AT957" s="943">
        <f>AVERAGE(AT940,AT944)*AT947</f>
      </c>
      <c r="AU957" s="753">
        <f t="shared" ref="AU957:AX957" si="2032">+AU949</f>
      </c>
      <c r="AV957" s="753">
        <f t="shared" si="2032"/>
      </c>
      <c r="AW957" s="753">
        <f t="shared" si="2032"/>
      </c>
      <c r="AX957" s="753">
        <f t="shared" si="2032"/>
      </c>
      <c r="AY957" s="943">
        <f>AVERAGE(AY940,AY944)*AY947</f>
      </c>
      <c r="AZ957" s="753">
        <f>+AZ949</f>
      </c>
      <c r="BA957" s="753">
        <f>+BA949</f>
      </c>
      <c r="BB957" s="753">
        <f>BB949</f>
      </c>
      <c r="BC957" s="753">
        <f>+BC949</f>
      </c>
      <c r="BD957" s="943">
        <f>AVERAGE(BD940,BD944)*BD947</f>
      </c>
      <c r="BE957" s="753">
        <f>+BE949</f>
      </c>
      <c r="BF957" s="753">
        <f>+BF949</f>
      </c>
      <c r="BG957" s="753">
        <f>BG949</f>
      </c>
      <c r="BH957" s="753">
        <f>+BH949</f>
      </c>
      <c r="BI957" s="943">
        <f>AVERAGE(BI940,BI944)*BI947</f>
      </c>
      <c r="BJ957" s="753">
        <f>+BJ949</f>
      </c>
      <c r="BK957" s="753">
        <f>+BK949</f>
      </c>
      <c r="BL957" s="753">
        <f>+BL949</f>
      </c>
      <c r="BM957" s="753">
        <f>+BM949</f>
      </c>
      <c r="BN957" s="943">
        <f>AVERAGE(BN940,BN944)*BN947</f>
      </c>
      <c r="BO957" s="753">
        <f>+BO949</f>
      </c>
      <c r="BP957" s="753">
        <f>+BP949</f>
      </c>
      <c r="BQ957" s="753">
        <f>+BQ949</f>
      </c>
      <c r="BR957" s="753">
        <f>+BR949</f>
      </c>
      <c r="BS957" s="943">
        <f>AVERAGE(BS940,BS944)*BS947</f>
      </c>
      <c r="BT957" s="756">
        <f>+BT949</f>
      </c>
      <c r="BU957" s="753">
        <f>BU949</f>
      </c>
      <c r="BV957" s="753">
        <f>BV949</f>
      </c>
      <c r="BW957" s="753">
        <f>BW949</f>
      </c>
      <c r="BX957" s="943">
        <f>SUM(BT957,BU957,BV957,BW957)</f>
      </c>
      <c r="BY957" s="753">
        <f>BY949</f>
      </c>
      <c r="BZ957" s="753">
        <f>BZ949</f>
      </c>
      <c r="CA957" s="753">
        <f>CA949</f>
      </c>
      <c r="CB957" s="753">
        <f>CB949</f>
      </c>
      <c r="CC957" s="943">
        <f>SUM(BY957,BZ957,CA957,CB957)</f>
      </c>
      <c r="CD957" s="943">
        <f>CD949</f>
      </c>
      <c r="CE957" s="943">
        <f>CE949</f>
      </c>
      <c r="CF957" s="943">
        <f>CF949</f>
      </c>
      <c r="CG957" s="237"/>
    </row>
    <row r="958" spans="1:85" hidden="1" outlineLevel="1" x14ac:dyDescent="0.3">
      <c r="A958" s="554" t="s">
        <v>778</v>
      </c>
      <c r="B958" s="416"/>
      <c r="C958" s="946"/>
      <c r="D958" s="946"/>
      <c r="E958" s="946"/>
      <c r="F958" s="946"/>
      <c r="G958" s="784"/>
      <c r="H958" s="784"/>
      <c r="I958" s="784"/>
      <c r="J958" s="784"/>
      <c r="K958" s="946"/>
      <c r="L958" s="784"/>
      <c r="M958" s="784"/>
      <c r="N958" s="784"/>
      <c r="O958" s="784"/>
      <c r="P958" s="946"/>
      <c r="Q958" s="784"/>
      <c r="R958" s="784"/>
      <c r="S958" s="784"/>
      <c r="T958" s="784"/>
      <c r="U958" s="946"/>
      <c r="V958" s="784"/>
      <c r="W958" s="784"/>
      <c r="X958" s="784"/>
      <c r="Y958" s="784"/>
      <c r="Z958" s="946"/>
      <c r="AA958" s="784"/>
      <c r="AB958" s="784"/>
      <c r="AC958" s="784"/>
      <c r="AD958" s="784"/>
      <c r="AE958" s="946"/>
      <c r="AF958" s="784"/>
      <c r="AG958" s="784"/>
      <c r="AH958" s="784"/>
      <c r="AI958" s="784"/>
      <c r="AJ958" s="946"/>
      <c r="AK958" s="784"/>
      <c r="AL958" s="784"/>
      <c r="AM958" s="784"/>
      <c r="AN958" s="784"/>
      <c r="AO958" s="946">
        <f>+AO959-AO957</f>
      </c>
      <c r="AP958" s="784">
        <f t="shared" ref="AP958:BC958" si="2033">+AP959-AP957</f>
      </c>
      <c r="AQ958" s="784">
        <f t="shared" si="2033"/>
      </c>
      <c r="AR958" s="784">
        <f t="shared" si="2033"/>
      </c>
      <c r="AS958" s="784">
        <f t="shared" si="2033"/>
      </c>
      <c r="AT958" s="946">
        <f t="shared" si="2033"/>
      </c>
      <c r="AU958" s="784">
        <f t="shared" si="2033"/>
      </c>
      <c r="AV958" s="784">
        <f t="shared" si="2033"/>
      </c>
      <c r="AW958" s="784">
        <f t="shared" si="2033"/>
      </c>
      <c r="AX958" s="784">
        <f t="shared" si="2033"/>
      </c>
      <c r="AY958" s="946">
        <f>+AY959-AY957</f>
      </c>
      <c r="AZ958" s="784">
        <f t="shared" si="2033"/>
      </c>
      <c r="BA958" s="784">
        <f t="shared" si="2033"/>
      </c>
      <c r="BB958" s="784">
        <f t="shared" si="2033"/>
      </c>
      <c r="BC958" s="784">
        <f t="shared" si="2033"/>
      </c>
      <c r="BD958" s="946">
        <f>+BD959-BD957</f>
      </c>
      <c r="BE958" s="784">
        <f>+BE959-BE957</f>
      </c>
      <c r="BF958" s="784">
        <f>+BF959-BF957</f>
      </c>
      <c r="BG958" s="784">
        <f>+BG959-BG957</f>
      </c>
      <c r="BH958" s="784">
        <f t="shared" ref="BH958" si="2034">+BH959-BH957</f>
      </c>
      <c r="BI958" s="946">
        <f>+BI959-BI957</f>
      </c>
      <c r="BJ958" s="784">
        <f>+BJ959-BJ957</f>
      </c>
      <c r="BK958" s="784">
        <f>+BK959-BK957</f>
      </c>
      <c r="BL958" s="784">
        <f>+BL959-BL957</f>
      </c>
      <c r="BM958" s="784">
        <f t="shared" ref="BM958" si="2035">+BM959-BM957</f>
      </c>
      <c r="BN958" s="946">
        <f>+BN959-BN957</f>
      </c>
      <c r="BO958" s="784">
        <f>+BO959-BO957</f>
      </c>
      <c r="BP958" s="784">
        <f>+BP959-BP957</f>
      </c>
      <c r="BQ958" s="784">
        <f>+BQ959-BQ957</f>
      </c>
      <c r="BR958" s="784">
        <f t="shared" ref="BR958" si="2036">+BR959-BR957</f>
      </c>
      <c r="BS958" s="946">
        <f>+BS959-BS957</f>
      </c>
      <c r="BT958" s="817">
        <f>+BT959-BT957</f>
      </c>
      <c r="BU958" s="784">
        <f>-BU932</f>
      </c>
      <c r="BV958" s="784">
        <f>-BV932</f>
      </c>
      <c r="BW958" s="784">
        <f>-BW932</f>
      </c>
      <c r="BX958" s="946">
        <f>SUM(BT958,BU958,BV958,BW958)</f>
      </c>
      <c r="BY958" s="784">
        <f>-BY932</f>
      </c>
      <c r="BZ958" s="784">
        <f>-BZ932</f>
      </c>
      <c r="CA958" s="784">
        <f>-CA932</f>
      </c>
      <c r="CB958" s="784">
        <f>-CB932</f>
      </c>
      <c r="CC958" s="946">
        <f>SUM(BY958,BZ958,CA958,CB958)</f>
      </c>
      <c r="CD958" s="946">
        <f>-CD932</f>
      </c>
      <c r="CE958" s="946">
        <f>-CE932</f>
      </c>
      <c r="CF958" s="946">
        <f>-CF932</f>
      </c>
      <c r="CG958" s="237"/>
    </row>
    <row r="959" spans="1:85" s="589" customFormat="1" hidden="1" outlineLevel="1" x14ac:dyDescent="0.3">
      <c r="A959" s="429" t="s">
        <v>779</v>
      </c>
      <c r="B959" s="428"/>
      <c r="C959" s="940"/>
      <c r="D959" s="940"/>
      <c r="E959" s="940"/>
      <c r="F959" s="940"/>
      <c r="G959" s="778"/>
      <c r="H959" s="778"/>
      <c r="I959" s="778"/>
      <c r="J959" s="778"/>
      <c r="K959" s="940"/>
      <c r="L959" s="778"/>
      <c r="M959" s="778"/>
      <c r="N959" s="778"/>
      <c r="O959" s="778"/>
      <c r="P959" s="940"/>
      <c r="Q959" s="778"/>
      <c r="R959" s="778"/>
      <c r="S959" s="778"/>
      <c r="T959" s="778"/>
      <c r="U959" s="940"/>
      <c r="V959" s="778"/>
      <c r="W959" s="778"/>
      <c r="X959" s="778"/>
      <c r="Y959" s="778"/>
      <c r="Z959" s="940"/>
      <c r="AA959" s="778"/>
      <c r="AB959" s="778"/>
      <c r="AC959" s="778"/>
      <c r="AD959" s="778"/>
      <c r="AE959" s="940"/>
      <c r="AF959" s="778"/>
      <c r="AG959" s="778"/>
      <c r="AH959" s="778"/>
      <c r="AI959" s="778"/>
      <c r="AJ959" s="940"/>
      <c r="AK959" s="778"/>
      <c r="AL959" s="778"/>
      <c r="AM959" s="778"/>
      <c r="AN959" s="778"/>
      <c r="AO959" s="1067">
        <v>447.88900000000001</v>
      </c>
      <c r="AP959" s="778">
        <f>+AT959/4</f>
      </c>
      <c r="AQ959" s="778">
        <f>+AT959/4</f>
      </c>
      <c r="AR959" s="778">
        <f>+AT959/4</f>
      </c>
      <c r="AS959" s="778">
        <f>+AT959/4</f>
      </c>
      <c r="AT959" s="1067">
        <v>440.51100000000002</v>
      </c>
      <c r="AU959" s="778">
        <f>+AY959/4</f>
      </c>
      <c r="AV959" s="778">
        <f>+AY959/4</f>
      </c>
      <c r="AW959" s="778">
        <f>+AY959/4</f>
      </c>
      <c r="AX959" s="778">
        <f>+AY959/4</f>
      </c>
      <c r="AY959" s="1067">
        <v>542.57000000000005</v>
      </c>
      <c r="AZ959" s="778">
        <f>+BD959/4</f>
      </c>
      <c r="BA959" s="778">
        <f>+BD959/4</f>
      </c>
      <c r="BB959" s="778">
        <f>+BD959/4</f>
      </c>
      <c r="BC959" s="778">
        <f>+BD959/4</f>
      </c>
      <c r="BD959" s="1067">
        <v>608.428</v>
      </c>
      <c r="BE959" s="778">
        <f>+BI959/4</f>
      </c>
      <c r="BF959" s="778">
        <f>+BI959/4</f>
      </c>
      <c r="BG959" s="778">
        <f>+BI959/4</f>
      </c>
      <c r="BH959" s="778">
        <f>+BI959/4</f>
      </c>
      <c r="BI959" s="1067">
        <v>638.678</v>
      </c>
      <c r="BJ959" s="778">
        <f>+BN959/4</f>
      </c>
      <c r="BK959" s="778">
        <f>+BN959/4</f>
      </c>
      <c r="BL959" s="778">
        <f>+BN959/4</f>
      </c>
      <c r="BM959" s="778">
        <f>+BN959/4</f>
      </c>
      <c r="BN959" s="1067">
        <v>665.97299999999996</v>
      </c>
      <c r="BO959" s="778">
        <f>+BS959/4</f>
      </c>
      <c r="BP959" s="778">
        <f>+BS959/4</f>
      </c>
      <c r="BQ959" s="778">
        <f>+BS959/4</f>
      </c>
      <c r="BR959" s="778">
        <f>+BS959/4</f>
      </c>
      <c r="BS959" s="1067">
        <v>710.96100000000001</v>
      </c>
      <c r="BT959" s="906">
        <v>150</v>
      </c>
      <c r="BU959" s="778">
        <f t="shared" ref="BU959:CF959" si="2037">BU957+BU958</f>
      </c>
      <c r="BV959" s="778">
        <f t="shared" si="2037"/>
      </c>
      <c r="BW959" s="778">
        <f t="shared" si="2037"/>
      </c>
      <c r="BX959" s="940">
        <f t="shared" si="2037"/>
      </c>
      <c r="BY959" s="778">
        <f t="shared" si="2037"/>
      </c>
      <c r="BZ959" s="778">
        <f t="shared" si="2037"/>
      </c>
      <c r="CA959" s="778">
        <f t="shared" si="2037"/>
      </c>
      <c r="CB959" s="778">
        <f t="shared" si="2037"/>
      </c>
      <c r="CC959" s="940">
        <f t="shared" si="2037"/>
      </c>
      <c r="CD959" s="940">
        <f t="shared" si="2037"/>
      </c>
      <c r="CE959" s="940">
        <f t="shared" si="2037"/>
      </c>
      <c r="CF959" s="940">
        <f t="shared" si="2037"/>
      </c>
      <c r="CG959" s="237"/>
    </row>
    <row r="960" spans="1:85" collapsed="1" x14ac:dyDescent="0.3">
      <c r="A960" s="274"/>
      <c r="B960" s="274"/>
      <c r="C960" s="1065"/>
      <c r="D960" s="1065"/>
      <c r="E960" s="1065"/>
      <c r="F960" s="1065"/>
      <c r="G960" s="237"/>
      <c r="H960" s="237"/>
      <c r="I960" s="237"/>
      <c r="J960" s="237"/>
      <c r="K960" s="1065"/>
      <c r="L960" s="237"/>
      <c r="M960" s="237"/>
      <c r="N960" s="237"/>
      <c r="O960" s="237"/>
      <c r="P960" s="1065"/>
      <c r="Q960" s="237"/>
      <c r="R960" s="237"/>
      <c r="S960" s="237"/>
      <c r="T960" s="237"/>
      <c r="U960" s="1065"/>
      <c r="V960" s="237"/>
      <c r="W960" s="237"/>
      <c r="X960" s="237"/>
      <c r="Y960" s="237"/>
      <c r="Z960" s="1065"/>
      <c r="AA960" s="237"/>
      <c r="AB960" s="237"/>
      <c r="AC960" s="237"/>
      <c r="AD960" s="237"/>
      <c r="AE960" s="1065"/>
      <c r="AF960" s="237"/>
      <c r="AG960" s="237"/>
      <c r="AH960" s="237"/>
      <c r="AI960" s="237"/>
      <c r="AJ960" s="1065"/>
      <c r="AK960" s="237"/>
      <c r="AL960" s="237"/>
      <c r="AM960" s="237"/>
      <c r="AN960" s="237"/>
      <c r="AO960" s="1065"/>
      <c r="AP960" s="237"/>
      <c r="AQ960" s="237"/>
      <c r="AR960" s="237"/>
      <c r="AS960" s="237"/>
      <c r="AT960" s="1065"/>
      <c r="AU960" s="237"/>
      <c r="AV960" s="237"/>
      <c r="AW960" s="237"/>
      <c r="AX960" s="237"/>
      <c r="AY960" s="1065"/>
      <c r="AZ960" s="237"/>
      <c r="BA960" s="237"/>
      <c r="BB960" s="237"/>
      <c r="BC960" s="237"/>
      <c r="BD960" s="1065"/>
      <c r="BE960" s="237"/>
      <c r="BF960" s="237"/>
      <c r="BG960" s="237"/>
      <c r="BH960" s="237"/>
      <c r="BI960" s="1065"/>
      <c r="BJ960" s="237"/>
      <c r="BK960" s="237"/>
      <c r="BL960" s="237"/>
      <c r="BM960" s="237"/>
      <c r="BN960" s="1065"/>
      <c r="BO960" s="237"/>
      <c r="BP960" s="237"/>
      <c r="BQ960" s="237"/>
      <c r="BR960" s="237"/>
      <c r="BS960" s="1065"/>
      <c r="BT960" s="296"/>
      <c r="BU960" s="237"/>
      <c r="BV960" s="237"/>
      <c r="BW960" s="237"/>
      <c r="BX960" s="1065"/>
      <c r="BY960" s="237"/>
      <c r="BZ960" s="237"/>
      <c r="CA960" s="237"/>
      <c r="CB960" s="237"/>
      <c r="CC960" s="1065"/>
      <c r="CD960" s="1065"/>
      <c r="CE960" s="1065"/>
      <c r="CF960" s="1065"/>
      <c r="CG960" s="129"/>
    </row>
    <row r="961" spans="1:85" x14ac:dyDescent="0.3">
      <c r="A961" s="412" t="s">
        <v>781</v>
      </c>
      <c r="B961" s="412"/>
      <c r="C961" s="754"/>
      <c r="D961" s="754"/>
      <c r="E961" s="754"/>
      <c r="F961" s="754"/>
      <c r="G961" s="754"/>
      <c r="H961" s="754"/>
      <c r="I961" s="754"/>
      <c r="J961" s="754"/>
      <c r="K961" s="754"/>
      <c r="L961" s="754"/>
      <c r="M961" s="754"/>
      <c r="N961" s="754"/>
      <c r="O961" s="754"/>
      <c r="P961" s="754"/>
      <c r="Q961" s="754"/>
      <c r="R961" s="754"/>
      <c r="S961" s="754"/>
      <c r="T961" s="754"/>
      <c r="U961" s="754"/>
      <c r="V961" s="754"/>
      <c r="W961" s="754"/>
      <c r="X961" s="754"/>
      <c r="Y961" s="754"/>
      <c r="Z961" s="754"/>
      <c r="AA961" s="754"/>
      <c r="AB961" s="754"/>
      <c r="AC961" s="754"/>
      <c r="AD961" s="754"/>
      <c r="AE961" s="754"/>
      <c r="AF961" s="754"/>
      <c r="AG961" s="754"/>
      <c r="AH961" s="754"/>
      <c r="AI961" s="754"/>
      <c r="AJ961" s="754"/>
      <c r="AK961" s="754"/>
      <c r="AL961" s="754"/>
      <c r="AM961" s="754"/>
      <c r="AN961" s="754"/>
      <c r="AO961" s="754"/>
      <c r="AP961" s="754"/>
      <c r="AQ961" s="754"/>
      <c r="AR961" s="754"/>
      <c r="AS961" s="754"/>
      <c r="AT961" s="754"/>
      <c r="AU961" s="754"/>
      <c r="AV961" s="754"/>
      <c r="AW961" s="754"/>
      <c r="AX961" s="754"/>
      <c r="AY961" s="754"/>
      <c r="AZ961" s="754"/>
      <c r="BA961" s="754"/>
      <c r="BB961" s="754"/>
      <c r="BC961" s="754"/>
      <c r="BD961" s="754"/>
      <c r="BE961" s="754"/>
      <c r="BF961" s="754"/>
      <c r="BG961" s="754"/>
      <c r="BH961" s="754"/>
      <c r="BI961" s="754"/>
      <c r="BJ961" s="754"/>
      <c r="BK961" s="754"/>
      <c r="BL961" s="754"/>
      <c r="BM961" s="754"/>
      <c r="BN961" s="754"/>
      <c r="BO961" s="754"/>
      <c r="BP961" s="754"/>
      <c r="BQ961" s="754"/>
      <c r="BR961" s="754"/>
      <c r="BS961" s="754"/>
      <c r="BT961" s="755"/>
      <c r="BU961" s="754"/>
      <c r="BV961" s="754"/>
      <c r="BW961" s="754"/>
      <c r="BX961" s="754"/>
      <c r="BY961" s="754"/>
      <c r="BZ961" s="754"/>
      <c r="CA961" s="754"/>
      <c r="CB961" s="754"/>
      <c r="CC961" s="754"/>
      <c r="CD961" s="754"/>
      <c r="CE961" s="754"/>
      <c r="CF961" s="754"/>
      <c r="CG961" s="129"/>
    </row>
    <row r="962" spans="1:85" hidden="1" outlineLevel="1" x14ac:dyDescent="0.3">
      <c r="A962" s="439" t="s">
        <v>782</v>
      </c>
      <c r="B962" s="439"/>
      <c r="C962" s="1068">
        <f t="shared" ref="C962:AH962" si="2038">C986/C989</f>
      </c>
      <c r="D962" s="1068">
        <f t="shared" si="2038"/>
      </c>
      <c r="E962" s="1068">
        <f t="shared" si="2038"/>
      </c>
      <c r="F962" s="1068">
        <f t="shared" si="2038"/>
      </c>
      <c r="G962" s="277"/>
      <c r="H962" s="277"/>
      <c r="I962" s="277"/>
      <c r="J962" s="277">
        <f t="shared" si="2038"/>
      </c>
      <c r="K962" s="1068">
        <f t="shared" si="2038"/>
      </c>
      <c r="L962" s="277">
        <f t="shared" si="2038"/>
      </c>
      <c r="M962" s="277">
        <f t="shared" si="2038"/>
      </c>
      <c r="N962" s="277">
        <f t="shared" si="2038"/>
      </c>
      <c r="O962" s="277">
        <f t="shared" si="2038"/>
      </c>
      <c r="P962" s="1068">
        <f t="shared" si="2038"/>
      </c>
      <c r="Q962" s="277">
        <f t="shared" si="2038"/>
      </c>
      <c r="R962" s="277">
        <f t="shared" si="2038"/>
      </c>
      <c r="S962" s="277">
        <f t="shared" si="2038"/>
      </c>
      <c r="T962" s="277">
        <f t="shared" si="2038"/>
      </c>
      <c r="U962" s="1068">
        <f t="shared" si="2038"/>
      </c>
      <c r="V962" s="277">
        <f t="shared" si="2038"/>
      </c>
      <c r="W962" s="277">
        <f t="shared" si="2038"/>
      </c>
      <c r="X962" s="277">
        <f t="shared" si="2038"/>
      </c>
      <c r="Y962" s="277">
        <f t="shared" si="2038"/>
      </c>
      <c r="Z962" s="1068">
        <f t="shared" si="2038"/>
      </c>
      <c r="AA962" s="277">
        <f t="shared" si="2038"/>
      </c>
      <c r="AB962" s="277">
        <f t="shared" si="2038"/>
      </c>
      <c r="AC962" s="277">
        <f t="shared" si="2038"/>
      </c>
      <c r="AD962" s="277">
        <f t="shared" si="2038"/>
      </c>
      <c r="AE962" s="1068">
        <f t="shared" si="2038"/>
      </c>
      <c r="AF962" s="277">
        <f t="shared" si="2038"/>
      </c>
      <c r="AG962" s="277">
        <f t="shared" si="2038"/>
      </c>
      <c r="AH962" s="277">
        <f t="shared" si="2038"/>
      </c>
      <c r="AI962" s="277">
        <f t="shared" ref="AI962:BB962" si="2039">AI986/AI989</f>
      </c>
      <c r="AJ962" s="1068">
        <f t="shared" si="2039"/>
      </c>
      <c r="AK962" s="277">
        <f t="shared" si="2039"/>
      </c>
      <c r="AL962" s="277">
        <f t="shared" si="2039"/>
      </c>
      <c r="AM962" s="277">
        <f t="shared" si="2039"/>
      </c>
      <c r="AN962" s="277">
        <f t="shared" si="2039"/>
      </c>
      <c r="AO962" s="1068">
        <f t="shared" si="2039"/>
      </c>
      <c r="AP962" s="277">
        <f t="shared" si="2039"/>
      </c>
      <c r="AQ962" s="277">
        <f t="shared" si="2039"/>
      </c>
      <c r="AR962" s="277">
        <f t="shared" si="2039"/>
      </c>
      <c r="AS962" s="277">
        <f t="shared" si="2039"/>
      </c>
      <c r="AT962" s="1068">
        <f t="shared" si="2039"/>
      </c>
      <c r="AU962" s="277">
        <f t="shared" si="2039"/>
      </c>
      <c r="AV962" s="277">
        <f t="shared" si="2039"/>
      </c>
      <c r="AW962" s="277">
        <f t="shared" si="2039"/>
      </c>
      <c r="AX962" s="277">
        <f t="shared" si="2039"/>
      </c>
      <c r="AY962" s="1068">
        <f t="shared" si="2039"/>
      </c>
      <c r="AZ962" s="277">
        <f t="shared" si="2039"/>
      </c>
      <c r="BA962" s="277">
        <f t="shared" si="2039"/>
      </c>
      <c r="BB962" s="277">
        <f t="shared" si="2039"/>
      </c>
      <c r="BC962" s="277">
        <f t="shared" ref="BC962:BD962" si="2040">BC986/BC989</f>
      </c>
      <c r="BD962" s="1068">
        <f t="shared" si="2040"/>
      </c>
      <c r="BE962" s="277">
        <f t="shared" ref="BE962:BI962" si="2041">BE986/BE989</f>
      </c>
      <c r="BF962" s="277">
        <f t="shared" si="2041"/>
      </c>
      <c r="BG962" s="277">
        <f t="shared" si="2041"/>
      </c>
      <c r="BH962" s="277">
        <f t="shared" si="2041"/>
      </c>
      <c r="BI962" s="1068">
        <f t="shared" si="2041"/>
      </c>
      <c r="BJ962" s="277">
        <f t="shared" ref="BJ962:BN962" si="2042">BJ986/BJ989</f>
      </c>
      <c r="BK962" s="277">
        <f t="shared" si="2042"/>
      </c>
      <c r="BL962" s="277">
        <f t="shared" si="2042"/>
      </c>
      <c r="BM962" s="277">
        <f t="shared" si="2042"/>
      </c>
      <c r="BN962" s="1068">
        <f t="shared" si="2042"/>
      </c>
      <c r="BO962" s="277">
        <f t="shared" ref="BO962:CF962" si="2043">BO986/BO989</f>
      </c>
      <c r="BP962" s="277">
        <f t="shared" si="2043"/>
      </c>
      <c r="BQ962" s="277">
        <f t="shared" si="2043"/>
      </c>
      <c r="BR962" s="277">
        <f t="shared" si="2043"/>
      </c>
      <c r="BS962" s="1068">
        <f t="shared" si="2043"/>
      </c>
      <c r="BT962" s="715">
        <f>BT986/BT989</f>
      </c>
      <c r="BU962" s="277">
        <f t="shared" si="2043"/>
      </c>
      <c r="BV962" s="277">
        <f t="shared" si="2043"/>
      </c>
      <c r="BW962" s="277">
        <f t="shared" si="2043"/>
      </c>
      <c r="BX962" s="1068">
        <f t="shared" si="2043"/>
      </c>
      <c r="BY962" s="277">
        <f t="shared" si="2043"/>
      </c>
      <c r="BZ962" s="277">
        <f t="shared" si="2043"/>
      </c>
      <c r="CA962" s="277">
        <f t="shared" si="2043"/>
      </c>
      <c r="CB962" s="277">
        <f t="shared" si="2043"/>
      </c>
      <c r="CC962" s="1068">
        <f t="shared" si="2043"/>
      </c>
      <c r="CD962" s="1068">
        <f t="shared" si="2043"/>
      </c>
      <c r="CE962" s="1068">
        <f t="shared" si="2043"/>
      </c>
      <c r="CF962" s="1068">
        <f t="shared" si="2043"/>
      </c>
      <c r="CG962" s="237"/>
    </row>
    <row r="963" spans="1:85" hidden="1" outlineLevel="1" x14ac:dyDescent="0.3">
      <c r="A963" s="439" t="s">
        <v>783</v>
      </c>
      <c r="B963" s="439"/>
      <c r="C963" s="1068">
        <f t="shared" ref="C963:AH963" si="2044">C986/C995</f>
      </c>
      <c r="D963" s="1068">
        <f t="shared" si="2044"/>
      </c>
      <c r="E963" s="1068">
        <f t="shared" si="2044"/>
      </c>
      <c r="F963" s="1068">
        <f t="shared" si="2044"/>
      </c>
      <c r="G963" s="277"/>
      <c r="H963" s="277"/>
      <c r="I963" s="277"/>
      <c r="J963" s="277">
        <f t="shared" si="2044"/>
      </c>
      <c r="K963" s="1068">
        <f t="shared" si="2044"/>
      </c>
      <c r="L963" s="277">
        <f t="shared" si="2044"/>
      </c>
      <c r="M963" s="277">
        <f t="shared" si="2044"/>
      </c>
      <c r="N963" s="277">
        <f t="shared" si="2044"/>
      </c>
      <c r="O963" s="277">
        <f t="shared" si="2044"/>
      </c>
      <c r="P963" s="1068">
        <f t="shared" si="2044"/>
      </c>
      <c r="Q963" s="277">
        <f t="shared" si="2044"/>
      </c>
      <c r="R963" s="277">
        <f t="shared" si="2044"/>
      </c>
      <c r="S963" s="277">
        <f t="shared" si="2044"/>
      </c>
      <c r="T963" s="277">
        <f t="shared" si="2044"/>
      </c>
      <c r="U963" s="1068">
        <f t="shared" si="2044"/>
      </c>
      <c r="V963" s="277">
        <f t="shared" si="2044"/>
      </c>
      <c r="W963" s="277">
        <f t="shared" si="2044"/>
      </c>
      <c r="X963" s="277">
        <f t="shared" si="2044"/>
      </c>
      <c r="Y963" s="277">
        <f t="shared" si="2044"/>
      </c>
      <c r="Z963" s="1068">
        <f t="shared" si="2044"/>
      </c>
      <c r="AA963" s="277">
        <f t="shared" si="2044"/>
      </c>
      <c r="AB963" s="277">
        <f t="shared" si="2044"/>
      </c>
      <c r="AC963" s="277">
        <f t="shared" si="2044"/>
      </c>
      <c r="AD963" s="277">
        <f t="shared" si="2044"/>
      </c>
      <c r="AE963" s="1068">
        <f t="shared" si="2044"/>
      </c>
      <c r="AF963" s="277">
        <f t="shared" si="2044"/>
      </c>
      <c r="AG963" s="277">
        <f t="shared" si="2044"/>
      </c>
      <c r="AH963" s="277">
        <f t="shared" si="2044"/>
      </c>
      <c r="AI963" s="277">
        <f t="shared" ref="AI963:BB963" si="2045">AI986/AI995</f>
      </c>
      <c r="AJ963" s="1068">
        <f t="shared" si="2045"/>
      </c>
      <c r="AK963" s="277">
        <f t="shared" si="2045"/>
      </c>
      <c r="AL963" s="277">
        <f t="shared" si="2045"/>
      </c>
      <c r="AM963" s="277">
        <f t="shared" si="2045"/>
      </c>
      <c r="AN963" s="277">
        <f t="shared" si="2045"/>
      </c>
      <c r="AO963" s="1068">
        <f t="shared" si="2045"/>
      </c>
      <c r="AP963" s="277">
        <f t="shared" si="2045"/>
      </c>
      <c r="AQ963" s="277">
        <f t="shared" si="2045"/>
      </c>
      <c r="AR963" s="277">
        <f t="shared" si="2045"/>
      </c>
      <c r="AS963" s="277">
        <f t="shared" si="2045"/>
      </c>
      <c r="AT963" s="1068">
        <f t="shared" si="2045"/>
      </c>
      <c r="AU963" s="277">
        <f t="shared" si="2045"/>
      </c>
      <c r="AV963" s="277">
        <f t="shared" si="2045"/>
      </c>
      <c r="AW963" s="277">
        <f t="shared" si="2045"/>
      </c>
      <c r="AX963" s="277">
        <f t="shared" si="2045"/>
      </c>
      <c r="AY963" s="1068">
        <f t="shared" si="2045"/>
      </c>
      <c r="AZ963" s="277">
        <f t="shared" si="2045"/>
      </c>
      <c r="BA963" s="277">
        <f t="shared" si="2045"/>
      </c>
      <c r="BB963" s="277">
        <f t="shared" si="2045"/>
      </c>
      <c r="BC963" s="277">
        <f t="shared" ref="BC963:BD963" si="2046">BC986/BC995</f>
      </c>
      <c r="BD963" s="1068">
        <f t="shared" si="2046"/>
      </c>
      <c r="BE963" s="277">
        <f t="shared" ref="BE963:BI963" si="2047">BE986/BE995</f>
      </c>
      <c r="BF963" s="277">
        <f t="shared" si="2047"/>
      </c>
      <c r="BG963" s="277">
        <f t="shared" si="2047"/>
      </c>
      <c r="BH963" s="277">
        <f t="shared" si="2047"/>
      </c>
      <c r="BI963" s="1068">
        <f t="shared" si="2047"/>
      </c>
      <c r="BJ963" s="277">
        <f t="shared" ref="BJ963:BN963" si="2048">BJ986/BJ995</f>
      </c>
      <c r="BK963" s="277">
        <f t="shared" si="2048"/>
      </c>
      <c r="BL963" s="277">
        <f t="shared" si="2048"/>
      </c>
      <c r="BM963" s="277">
        <f t="shared" si="2048"/>
      </c>
      <c r="BN963" s="1068">
        <f t="shared" si="2048"/>
      </c>
      <c r="BO963" s="277">
        <f t="shared" ref="BO963:CF963" si="2049">BO986/BO995</f>
      </c>
      <c r="BP963" s="277">
        <f t="shared" si="2049"/>
      </c>
      <c r="BQ963" s="277">
        <f t="shared" si="2049"/>
      </c>
      <c r="BR963" s="277">
        <f t="shared" si="2049"/>
      </c>
      <c r="BS963" s="1068">
        <f t="shared" si="2049"/>
      </c>
      <c r="BT963" s="715">
        <f>BT986/BT995</f>
      </c>
      <c r="BU963" s="277">
        <f t="shared" si="2049"/>
      </c>
      <c r="BV963" s="277">
        <f t="shared" si="2049"/>
      </c>
      <c r="BW963" s="277">
        <f t="shared" si="2049"/>
      </c>
      <c r="BX963" s="1068">
        <f t="shared" si="2049"/>
      </c>
      <c r="BY963" s="277">
        <f t="shared" si="2049"/>
      </c>
      <c r="BZ963" s="277">
        <f t="shared" si="2049"/>
      </c>
      <c r="CA963" s="277">
        <f t="shared" si="2049"/>
      </c>
      <c r="CB963" s="277">
        <f t="shared" si="2049"/>
      </c>
      <c r="CC963" s="1068">
        <f t="shared" si="2049"/>
      </c>
      <c r="CD963" s="1068">
        <f t="shared" si="2049"/>
      </c>
      <c r="CE963" s="1068">
        <f t="shared" si="2049"/>
      </c>
      <c r="CF963" s="1068">
        <f t="shared" si="2049"/>
      </c>
      <c r="CG963" s="237"/>
    </row>
    <row r="964" spans="1:85" hidden="1" outlineLevel="1" x14ac:dyDescent="0.3">
      <c r="A964" s="439" t="s">
        <v>784</v>
      </c>
      <c r="B964" s="439"/>
      <c r="C964" s="1068">
        <f t="shared" ref="C964:AE964" si="2050">C986/C997</f>
      </c>
      <c r="D964" s="1068">
        <f t="shared" si="2050"/>
      </c>
      <c r="E964" s="1068">
        <f t="shared" si="2050"/>
      </c>
      <c r="F964" s="1068">
        <f t="shared" si="2050"/>
      </c>
      <c r="G964" s="277"/>
      <c r="H964" s="277"/>
      <c r="I964" s="277"/>
      <c r="J964" s="277"/>
      <c r="K964" s="1068">
        <f t="shared" si="2050"/>
      </c>
      <c r="L964" s="277"/>
      <c r="M964" s="277"/>
      <c r="N964" s="277"/>
      <c r="O964" s="277"/>
      <c r="P964" s="1068">
        <f t="shared" si="2050"/>
      </c>
      <c r="Q964" s="277"/>
      <c r="R964" s="277"/>
      <c r="S964" s="277"/>
      <c r="T964" s="277"/>
      <c r="U964" s="1068">
        <f t="shared" si="2050"/>
      </c>
      <c r="V964" s="277"/>
      <c r="W964" s="277"/>
      <c r="X964" s="277"/>
      <c r="Y964" s="277"/>
      <c r="Z964" s="1068">
        <f t="shared" si="2050"/>
      </c>
      <c r="AA964" s="277"/>
      <c r="AB964" s="277"/>
      <c r="AC964" s="277"/>
      <c r="AD964" s="277"/>
      <c r="AE964" s="1068">
        <f t="shared" si="2050"/>
      </c>
      <c r="AF964" s="277"/>
      <c r="AG964" s="277"/>
      <c r="AH964" s="277"/>
      <c r="AI964" s="277"/>
      <c r="AJ964" s="1068">
        <f t="shared" ref="AJ964:BB964" si="2051">AJ986/AJ997</f>
      </c>
      <c r="AK964" s="277"/>
      <c r="AL964" s="277"/>
      <c r="AM964" s="277"/>
      <c r="AN964" s="277"/>
      <c r="AO964" s="1068">
        <f t="shared" si="2051"/>
      </c>
      <c r="AP964" s="277"/>
      <c r="AQ964" s="277"/>
      <c r="AR964" s="277"/>
      <c r="AS964" s="277">
        <f t="shared" si="2051"/>
      </c>
      <c r="AT964" s="1068">
        <f t="shared" si="2051"/>
      </c>
      <c r="AU964" s="277">
        <f t="shared" si="2051"/>
      </c>
      <c r="AV964" s="277">
        <f t="shared" si="2051"/>
      </c>
      <c r="AW964" s="277">
        <f t="shared" si="2051"/>
      </c>
      <c r="AX964" s="277">
        <f t="shared" si="2051"/>
      </c>
      <c r="AY964" s="1068">
        <f t="shared" si="2051"/>
      </c>
      <c r="AZ964" s="277">
        <f t="shared" si="2051"/>
      </c>
      <c r="BA964" s="277">
        <f t="shared" si="2051"/>
      </c>
      <c r="BB964" s="277">
        <f t="shared" si="2051"/>
      </c>
      <c r="BC964" s="277">
        <f t="shared" ref="BC964:BD964" si="2052">BC986/BC997</f>
      </c>
      <c r="BD964" s="1068">
        <f t="shared" si="2052"/>
      </c>
      <c r="BE964" s="277">
        <f t="shared" ref="BE964:BI964" si="2053">BE986/BE997</f>
      </c>
      <c r="BF964" s="277">
        <f t="shared" si="2053"/>
      </c>
      <c r="BG964" s="277">
        <f t="shared" si="2053"/>
      </c>
      <c r="BH964" s="277">
        <f t="shared" si="2053"/>
      </c>
      <c r="BI964" s="1068">
        <f t="shared" si="2053"/>
      </c>
      <c r="BJ964" s="277">
        <f t="shared" ref="BJ964:BN964" si="2054">BJ986/BJ997</f>
      </c>
      <c r="BK964" s="277">
        <f t="shared" si="2054"/>
      </c>
      <c r="BL964" s="277">
        <f t="shared" si="2054"/>
      </c>
      <c r="BM964" s="277">
        <f t="shared" si="2054"/>
      </c>
      <c r="BN964" s="1068">
        <f t="shared" si="2054"/>
      </c>
      <c r="BO964" s="277">
        <f t="shared" ref="BO964:CF964" si="2055">BO986/BO997</f>
      </c>
      <c r="BP964" s="277">
        <f t="shared" si="2055"/>
      </c>
      <c r="BQ964" s="277">
        <f t="shared" si="2055"/>
      </c>
      <c r="BR964" s="277">
        <f t="shared" si="2055"/>
      </c>
      <c r="BS964" s="1068">
        <f t="shared" si="2055"/>
      </c>
      <c r="BT964" s="715">
        <f>BT986/BT997</f>
      </c>
      <c r="BU964" s="277">
        <f t="shared" si="2055"/>
      </c>
      <c r="BV964" s="277">
        <f t="shared" si="2055"/>
      </c>
      <c r="BW964" s="277">
        <f t="shared" si="2055"/>
      </c>
      <c r="BX964" s="1068">
        <f t="shared" si="2055"/>
      </c>
      <c r="BY964" s="277">
        <f t="shared" si="2055"/>
      </c>
      <c r="BZ964" s="277">
        <f t="shared" si="2055"/>
      </c>
      <c r="CA964" s="277">
        <f t="shared" si="2055"/>
      </c>
      <c r="CB964" s="277">
        <f t="shared" si="2055"/>
      </c>
      <c r="CC964" s="1068">
        <f t="shared" si="2055"/>
      </c>
      <c r="CD964" s="1068">
        <f t="shared" si="2055"/>
      </c>
      <c r="CE964" s="1068">
        <f t="shared" si="2055"/>
      </c>
      <c r="CF964" s="1068">
        <f t="shared" si="2055"/>
      </c>
      <c r="CG964" s="237"/>
    </row>
    <row r="965" spans="1:85" hidden="1" outlineLevel="1" x14ac:dyDescent="0.3">
      <c r="A965" s="439" t="s">
        <v>785</v>
      </c>
      <c r="B965" s="439"/>
      <c r="C965" s="1068">
        <f t="shared" ref="C965:AH965" si="2056">C986/(C989+C993)</f>
      </c>
      <c r="D965" s="1068">
        <f t="shared" si="2056"/>
      </c>
      <c r="E965" s="1068">
        <f t="shared" si="2056"/>
      </c>
      <c r="F965" s="1068">
        <f t="shared" si="2056"/>
      </c>
      <c r="G965" s="277"/>
      <c r="H965" s="277"/>
      <c r="I965" s="277"/>
      <c r="J965" s="277">
        <f t="shared" si="2056"/>
      </c>
      <c r="K965" s="1068">
        <f t="shared" si="2056"/>
      </c>
      <c r="L965" s="277">
        <f t="shared" si="2056"/>
      </c>
      <c r="M965" s="277">
        <f t="shared" si="2056"/>
      </c>
      <c r="N965" s="277">
        <f t="shared" si="2056"/>
      </c>
      <c r="O965" s="277">
        <f t="shared" si="2056"/>
      </c>
      <c r="P965" s="1068">
        <f t="shared" si="2056"/>
      </c>
      <c r="Q965" s="277">
        <f t="shared" si="2056"/>
      </c>
      <c r="R965" s="277">
        <f t="shared" si="2056"/>
      </c>
      <c r="S965" s="277">
        <f t="shared" si="2056"/>
      </c>
      <c r="T965" s="277">
        <f t="shared" si="2056"/>
      </c>
      <c r="U965" s="1068">
        <f t="shared" si="2056"/>
      </c>
      <c r="V965" s="277">
        <f t="shared" si="2056"/>
      </c>
      <c r="W965" s="277">
        <f t="shared" si="2056"/>
      </c>
      <c r="X965" s="277">
        <f t="shared" si="2056"/>
      </c>
      <c r="Y965" s="277">
        <f t="shared" si="2056"/>
      </c>
      <c r="Z965" s="1068">
        <f t="shared" si="2056"/>
      </c>
      <c r="AA965" s="277">
        <f t="shared" si="2056"/>
      </c>
      <c r="AB965" s="277">
        <f t="shared" si="2056"/>
      </c>
      <c r="AC965" s="277">
        <f t="shared" si="2056"/>
      </c>
      <c r="AD965" s="277">
        <f t="shared" si="2056"/>
      </c>
      <c r="AE965" s="1068">
        <f t="shared" si="2056"/>
      </c>
      <c r="AF965" s="277">
        <f t="shared" si="2056"/>
      </c>
      <c r="AG965" s="277">
        <f t="shared" si="2056"/>
      </c>
      <c r="AH965" s="277">
        <f t="shared" si="2056"/>
      </c>
      <c r="AI965" s="277">
        <f t="shared" ref="AI965:BB965" si="2057">AI986/(AI989+AI993)</f>
      </c>
      <c r="AJ965" s="1068">
        <f t="shared" si="2057"/>
      </c>
      <c r="AK965" s="277">
        <f t="shared" si="2057"/>
      </c>
      <c r="AL965" s="277">
        <f t="shared" si="2057"/>
      </c>
      <c r="AM965" s="277">
        <f t="shared" si="2057"/>
      </c>
      <c r="AN965" s="277">
        <f t="shared" si="2057"/>
      </c>
      <c r="AO965" s="1068">
        <f t="shared" si="2057"/>
      </c>
      <c r="AP965" s="277">
        <f t="shared" si="2057"/>
      </c>
      <c r="AQ965" s="277">
        <f t="shared" si="2057"/>
      </c>
      <c r="AR965" s="277">
        <f t="shared" si="2057"/>
      </c>
      <c r="AS965" s="277">
        <f t="shared" si="2057"/>
      </c>
      <c r="AT965" s="1068">
        <f t="shared" si="2057"/>
      </c>
      <c r="AU965" s="277">
        <f t="shared" si="2057"/>
      </c>
      <c r="AV965" s="277">
        <f t="shared" si="2057"/>
      </c>
      <c r="AW965" s="277">
        <f t="shared" si="2057"/>
      </c>
      <c r="AX965" s="277">
        <f t="shared" si="2057"/>
      </c>
      <c r="AY965" s="1068">
        <f t="shared" si="2057"/>
      </c>
      <c r="AZ965" s="277">
        <f t="shared" si="2057"/>
      </c>
      <c r="BA965" s="277">
        <f t="shared" si="2057"/>
      </c>
      <c r="BB965" s="277">
        <f t="shared" si="2057"/>
      </c>
      <c r="BC965" s="277">
        <f t="shared" ref="BC965:BD965" si="2058">BC986/(BC989+BC993)</f>
      </c>
      <c r="BD965" s="1068">
        <f t="shared" si="2058"/>
      </c>
      <c r="BE965" s="277">
        <f t="shared" ref="BE965:BI965" si="2059">BE986/(BE989+BE993)</f>
      </c>
      <c r="BF965" s="277">
        <f t="shared" si="2059"/>
      </c>
      <c r="BG965" s="277">
        <f t="shared" si="2059"/>
      </c>
      <c r="BH965" s="277">
        <f t="shared" si="2059"/>
      </c>
      <c r="BI965" s="1068">
        <f t="shared" si="2059"/>
      </c>
      <c r="BJ965" s="277">
        <f t="shared" ref="BJ965:BN965" si="2060">BJ986/(BJ989+BJ993)</f>
      </c>
      <c r="BK965" s="277">
        <f t="shared" si="2060"/>
      </c>
      <c r="BL965" s="277">
        <f t="shared" si="2060"/>
      </c>
      <c r="BM965" s="277">
        <f t="shared" si="2060"/>
      </c>
      <c r="BN965" s="1068">
        <f t="shared" si="2060"/>
      </c>
      <c r="BO965" s="277">
        <f t="shared" ref="BO965:CF965" si="2061">BO986/(BO989+BO993)</f>
      </c>
      <c r="BP965" s="277">
        <f t="shared" si="2061"/>
      </c>
      <c r="BQ965" s="277">
        <f t="shared" si="2061"/>
      </c>
      <c r="BR965" s="277">
        <f t="shared" si="2061"/>
      </c>
      <c r="BS965" s="1068">
        <f t="shared" si="2061"/>
      </c>
      <c r="BT965" s="715">
        <f>BT986/(BT989+BT993)</f>
      </c>
      <c r="BU965" s="277">
        <f t="shared" si="2061"/>
      </c>
      <c r="BV965" s="277">
        <f t="shared" si="2061"/>
      </c>
      <c r="BW965" s="277">
        <f t="shared" si="2061"/>
      </c>
      <c r="BX965" s="1068">
        <f t="shared" si="2061"/>
      </c>
      <c r="BY965" s="277">
        <f t="shared" si="2061"/>
      </c>
      <c r="BZ965" s="277">
        <f t="shared" si="2061"/>
      </c>
      <c r="CA965" s="277">
        <f t="shared" si="2061"/>
      </c>
      <c r="CB965" s="277">
        <f t="shared" si="2061"/>
      </c>
      <c r="CC965" s="1068">
        <f t="shared" si="2061"/>
      </c>
      <c r="CD965" s="1068">
        <f t="shared" si="2061"/>
      </c>
      <c r="CE965" s="1068">
        <f t="shared" si="2061"/>
      </c>
      <c r="CF965" s="1068">
        <f t="shared" si="2061"/>
      </c>
      <c r="CG965" s="237"/>
    </row>
    <row r="966" spans="1:85" hidden="1" outlineLevel="1" x14ac:dyDescent="0.3">
      <c r="A966" s="439" t="s">
        <v>786</v>
      </c>
      <c r="B966" s="439"/>
      <c r="C966" s="1068"/>
      <c r="D966" s="1068"/>
      <c r="E966" s="1068"/>
      <c r="F966" s="1068"/>
      <c r="G966" s="277"/>
      <c r="H966" s="277"/>
      <c r="I966" s="277"/>
      <c r="J966" s="277">
        <f t="shared" ref="J966:AL966" si="2062">J987/J989</f>
      </c>
      <c r="K966" s="1068">
        <f t="shared" si="2062"/>
      </c>
      <c r="L966" s="277">
        <f t="shared" si="2062"/>
      </c>
      <c r="M966" s="277">
        <f t="shared" si="2062"/>
      </c>
      <c r="N966" s="277">
        <f t="shared" si="2062"/>
      </c>
      <c r="O966" s="277">
        <f t="shared" si="2062"/>
      </c>
      <c r="P966" s="1068">
        <f t="shared" si="2062"/>
      </c>
      <c r="Q966" s="277">
        <f t="shared" si="2062"/>
      </c>
      <c r="R966" s="277">
        <f t="shared" si="2062"/>
      </c>
      <c r="S966" s="277">
        <f t="shared" si="2062"/>
      </c>
      <c r="T966" s="277">
        <f t="shared" si="2062"/>
      </c>
      <c r="U966" s="1068">
        <f t="shared" si="2062"/>
      </c>
      <c r="V966" s="277">
        <f t="shared" si="2062"/>
      </c>
      <c r="W966" s="277">
        <f t="shared" si="2062"/>
      </c>
      <c r="X966" s="277">
        <f t="shared" si="2062"/>
      </c>
      <c r="Y966" s="277">
        <f t="shared" si="2062"/>
      </c>
      <c r="Z966" s="1068">
        <f t="shared" si="2062"/>
      </c>
      <c r="AA966" s="277">
        <f t="shared" si="2062"/>
      </c>
      <c r="AB966" s="277">
        <f t="shared" si="2062"/>
      </c>
      <c r="AC966" s="277">
        <f t="shared" si="2062"/>
      </c>
      <c r="AD966" s="277">
        <f t="shared" si="2062"/>
      </c>
      <c r="AE966" s="1068">
        <f t="shared" si="2062"/>
      </c>
      <c r="AF966" s="277">
        <f t="shared" si="2062"/>
      </c>
      <c r="AG966" s="277">
        <f t="shared" si="2062"/>
      </c>
      <c r="AH966" s="277">
        <f t="shared" si="2062"/>
      </c>
      <c r="AI966" s="277">
        <f t="shared" si="2062"/>
      </c>
      <c r="AJ966" s="1068">
        <f t="shared" si="2062"/>
      </c>
      <c r="AK966" s="277">
        <f t="shared" si="2062"/>
      </c>
      <c r="AL966" s="277">
        <f t="shared" si="2062"/>
      </c>
      <c r="AM966" s="277">
        <f t="shared" ref="AM966:BB966" si="2063">AM987/AM989</f>
      </c>
      <c r="AN966" s="277">
        <f t="shared" si="2063"/>
      </c>
      <c r="AO966" s="1068">
        <f t="shared" si="2063"/>
      </c>
      <c r="AP966" s="277">
        <f t="shared" si="2063"/>
      </c>
      <c r="AQ966" s="277">
        <f t="shared" si="2063"/>
      </c>
      <c r="AR966" s="277">
        <f t="shared" si="2063"/>
      </c>
      <c r="AS966" s="277">
        <f t="shared" si="2063"/>
      </c>
      <c r="AT966" s="1068">
        <f t="shared" si="2063"/>
      </c>
      <c r="AU966" s="277">
        <f t="shared" si="2063"/>
      </c>
      <c r="AV966" s="277">
        <f t="shared" si="2063"/>
      </c>
      <c r="AW966" s="277">
        <f t="shared" si="2063"/>
      </c>
      <c r="AX966" s="277">
        <f t="shared" si="2063"/>
      </c>
      <c r="AY966" s="1068">
        <f t="shared" si="2063"/>
      </c>
      <c r="AZ966" s="277">
        <f t="shared" si="2063"/>
      </c>
      <c r="BA966" s="277">
        <f t="shared" si="2063"/>
      </c>
      <c r="BB966" s="277">
        <f t="shared" si="2063"/>
      </c>
      <c r="BC966" s="277">
        <f t="shared" ref="BC966:BD966" si="2064">BC987/BC989</f>
      </c>
      <c r="BD966" s="1068">
        <f t="shared" si="2064"/>
      </c>
      <c r="BE966" s="277">
        <f t="shared" ref="BE966:BI966" si="2065">BE987/BE989</f>
      </c>
      <c r="BF966" s="277">
        <f t="shared" si="2065"/>
      </c>
      <c r="BG966" s="277">
        <f t="shared" si="2065"/>
      </c>
      <c r="BH966" s="277">
        <f t="shared" si="2065"/>
      </c>
      <c r="BI966" s="1068">
        <f t="shared" si="2065"/>
      </c>
      <c r="BJ966" s="277">
        <f t="shared" ref="BJ966:BN966" si="2066">BJ987/BJ989</f>
      </c>
      <c r="BK966" s="277">
        <f t="shared" si="2066"/>
      </c>
      <c r="BL966" s="277">
        <f t="shared" si="2066"/>
      </c>
      <c r="BM966" s="277">
        <f t="shared" si="2066"/>
      </c>
      <c r="BN966" s="1068">
        <f t="shared" si="2066"/>
      </c>
      <c r="BO966" s="277">
        <f t="shared" ref="BO966:CF966" si="2067">BO987/BO989</f>
      </c>
      <c r="BP966" s="277">
        <f t="shared" si="2067"/>
      </c>
      <c r="BQ966" s="277">
        <f t="shared" si="2067"/>
      </c>
      <c r="BR966" s="277">
        <f t="shared" si="2067"/>
      </c>
      <c r="BS966" s="1068">
        <f t="shared" si="2067"/>
      </c>
      <c r="BT966" s="715">
        <f>BT987/BT989</f>
      </c>
      <c r="BU966" s="277">
        <f t="shared" si="2067"/>
      </c>
      <c r="BV966" s="277">
        <f t="shared" si="2067"/>
      </c>
      <c r="BW966" s="277">
        <f t="shared" si="2067"/>
      </c>
      <c r="BX966" s="1068">
        <f t="shared" si="2067"/>
      </c>
      <c r="BY966" s="277">
        <f t="shared" si="2067"/>
      </c>
      <c r="BZ966" s="277">
        <f t="shared" si="2067"/>
      </c>
      <c r="CA966" s="277">
        <f t="shared" si="2067"/>
      </c>
      <c r="CB966" s="277">
        <f t="shared" si="2067"/>
      </c>
      <c r="CC966" s="1068">
        <f t="shared" si="2067"/>
      </c>
      <c r="CD966" s="1068">
        <f t="shared" si="2067"/>
      </c>
      <c r="CE966" s="1068">
        <f t="shared" si="2067"/>
      </c>
      <c r="CF966" s="1068">
        <f t="shared" si="2067"/>
      </c>
      <c r="CG966" s="237"/>
    </row>
    <row r="967" spans="1:85" hidden="1" outlineLevel="1" x14ac:dyDescent="0.3">
      <c r="A967" s="439" t="s">
        <v>787</v>
      </c>
      <c r="B967" s="439"/>
      <c r="C967" s="1068">
        <f t="shared" ref="C967:AH967" si="2068">C983/C989</f>
      </c>
      <c r="D967" s="1068">
        <f t="shared" si="2068"/>
      </c>
      <c r="E967" s="1068">
        <f t="shared" si="2068"/>
      </c>
      <c r="F967" s="1068">
        <f t="shared" si="2068"/>
      </c>
      <c r="G967" s="277"/>
      <c r="H967" s="277"/>
      <c r="I967" s="277"/>
      <c r="J967" s="277">
        <f t="shared" si="2068"/>
      </c>
      <c r="K967" s="1068">
        <f t="shared" si="2068"/>
      </c>
      <c r="L967" s="277">
        <f t="shared" si="2068"/>
      </c>
      <c r="M967" s="277">
        <f t="shared" si="2068"/>
      </c>
      <c r="N967" s="277">
        <f t="shared" si="2068"/>
      </c>
      <c r="O967" s="277">
        <f t="shared" si="2068"/>
      </c>
      <c r="P967" s="1068">
        <f t="shared" si="2068"/>
      </c>
      <c r="Q967" s="277">
        <f t="shared" si="2068"/>
      </c>
      <c r="R967" s="277">
        <f t="shared" si="2068"/>
      </c>
      <c r="S967" s="277">
        <f t="shared" si="2068"/>
      </c>
      <c r="T967" s="277">
        <f t="shared" si="2068"/>
      </c>
      <c r="U967" s="1068">
        <f t="shared" si="2068"/>
      </c>
      <c r="V967" s="277">
        <f t="shared" si="2068"/>
      </c>
      <c r="W967" s="277">
        <f t="shared" si="2068"/>
      </c>
      <c r="X967" s="277">
        <f t="shared" si="2068"/>
      </c>
      <c r="Y967" s="277">
        <f t="shared" si="2068"/>
      </c>
      <c r="Z967" s="1068">
        <f t="shared" si="2068"/>
      </c>
      <c r="AA967" s="277">
        <f t="shared" si="2068"/>
      </c>
      <c r="AB967" s="277">
        <f t="shared" si="2068"/>
      </c>
      <c r="AC967" s="277">
        <f t="shared" si="2068"/>
      </c>
      <c r="AD967" s="277">
        <f t="shared" si="2068"/>
      </c>
      <c r="AE967" s="1068">
        <f t="shared" si="2068"/>
      </c>
      <c r="AF967" s="277">
        <f t="shared" si="2068"/>
      </c>
      <c r="AG967" s="277">
        <f t="shared" si="2068"/>
      </c>
      <c r="AH967" s="277">
        <f t="shared" si="2068"/>
      </c>
      <c r="AI967" s="277">
        <f t="shared" ref="AI967:BB967" si="2069">AI983/AI989</f>
      </c>
      <c r="AJ967" s="1068">
        <f t="shared" si="2069"/>
      </c>
      <c r="AK967" s="277">
        <f t="shared" si="2069"/>
      </c>
      <c r="AL967" s="277">
        <f t="shared" si="2069"/>
      </c>
      <c r="AM967" s="277">
        <f t="shared" si="2069"/>
      </c>
      <c r="AN967" s="277">
        <f t="shared" si="2069"/>
      </c>
      <c r="AO967" s="1068">
        <f t="shared" si="2069"/>
      </c>
      <c r="AP967" s="277">
        <f t="shared" si="2069"/>
      </c>
      <c r="AQ967" s="277">
        <f t="shared" si="2069"/>
      </c>
      <c r="AR967" s="277">
        <f t="shared" si="2069"/>
      </c>
      <c r="AS967" s="277">
        <f t="shared" si="2069"/>
      </c>
      <c r="AT967" s="1068">
        <f t="shared" si="2069"/>
      </c>
      <c r="AU967" s="277">
        <f t="shared" si="2069"/>
      </c>
      <c r="AV967" s="277">
        <f t="shared" si="2069"/>
      </c>
      <c r="AW967" s="277">
        <f t="shared" si="2069"/>
      </c>
      <c r="AX967" s="277">
        <f t="shared" si="2069"/>
      </c>
      <c r="AY967" s="1068">
        <f t="shared" si="2069"/>
      </c>
      <c r="AZ967" s="277">
        <f t="shared" si="2069"/>
      </c>
      <c r="BA967" s="277">
        <f t="shared" si="2069"/>
      </c>
      <c r="BB967" s="277">
        <f t="shared" si="2069"/>
      </c>
      <c r="BC967" s="277">
        <f t="shared" ref="BC967:BD967" si="2070">BC983/BC989</f>
      </c>
      <c r="BD967" s="1068">
        <f t="shared" si="2070"/>
      </c>
      <c r="BE967" s="277">
        <f t="shared" ref="BE967:BI967" si="2071">BE983/BE989</f>
      </c>
      <c r="BF967" s="277">
        <f t="shared" si="2071"/>
      </c>
      <c r="BG967" s="277">
        <f t="shared" si="2071"/>
      </c>
      <c r="BH967" s="277">
        <f t="shared" si="2071"/>
      </c>
      <c r="BI967" s="1068">
        <f t="shared" si="2071"/>
      </c>
      <c r="BJ967" s="277">
        <f t="shared" ref="BJ967:BN967" si="2072">BJ983/BJ989</f>
      </c>
      <c r="BK967" s="277">
        <f t="shared" si="2072"/>
      </c>
      <c r="BL967" s="277">
        <f t="shared" si="2072"/>
      </c>
      <c r="BM967" s="277">
        <f t="shared" si="2072"/>
      </c>
      <c r="BN967" s="1068">
        <f t="shared" si="2072"/>
      </c>
      <c r="BO967" s="277">
        <f t="shared" ref="BO967:CF967" si="2073">BO983/BO989</f>
      </c>
      <c r="BP967" s="277">
        <f t="shared" si="2073"/>
      </c>
      <c r="BQ967" s="277">
        <f t="shared" si="2073"/>
      </c>
      <c r="BR967" s="277">
        <f t="shared" si="2073"/>
      </c>
      <c r="BS967" s="1068">
        <f t="shared" si="2073"/>
      </c>
      <c r="BT967" s="715">
        <f>BT983/BT989</f>
      </c>
      <c r="BU967" s="277">
        <f t="shared" si="2073"/>
      </c>
      <c r="BV967" s="277">
        <f t="shared" si="2073"/>
      </c>
      <c r="BW967" s="277">
        <f t="shared" si="2073"/>
      </c>
      <c r="BX967" s="1068">
        <f t="shared" si="2073"/>
      </c>
      <c r="BY967" s="277">
        <f t="shared" si="2073"/>
      </c>
      <c r="BZ967" s="277">
        <f t="shared" si="2073"/>
      </c>
      <c r="CA967" s="277">
        <f t="shared" si="2073"/>
      </c>
      <c r="CB967" s="277">
        <f t="shared" si="2073"/>
      </c>
      <c r="CC967" s="1068">
        <f t="shared" si="2073"/>
      </c>
      <c r="CD967" s="1068">
        <f t="shared" si="2073"/>
      </c>
      <c r="CE967" s="1068">
        <f t="shared" si="2073"/>
      </c>
      <c r="CF967" s="1068">
        <f t="shared" si="2073"/>
      </c>
      <c r="CG967" s="237"/>
    </row>
    <row r="968" spans="1:85" hidden="1" outlineLevel="1" x14ac:dyDescent="0.3">
      <c r="A968" s="439" t="s">
        <v>788</v>
      </c>
      <c r="B968" s="439"/>
      <c r="C968" s="1068">
        <f t="shared" ref="C968:AE968" si="2074">C983/C997</f>
      </c>
      <c r="D968" s="1068">
        <f t="shared" si="2074"/>
      </c>
      <c r="E968" s="1068">
        <f t="shared" si="2074"/>
      </c>
      <c r="F968" s="1068">
        <f t="shared" si="2074"/>
      </c>
      <c r="G968" s="277"/>
      <c r="H968" s="277"/>
      <c r="I968" s="277"/>
      <c r="J968" s="277"/>
      <c r="K968" s="1068">
        <f t="shared" si="2074"/>
      </c>
      <c r="L968" s="277"/>
      <c r="M968" s="277"/>
      <c r="N968" s="277"/>
      <c r="O968" s="277"/>
      <c r="P968" s="1068">
        <f t="shared" si="2074"/>
      </c>
      <c r="Q968" s="277"/>
      <c r="R968" s="277"/>
      <c r="S968" s="277"/>
      <c r="T968" s="277"/>
      <c r="U968" s="1068">
        <f t="shared" si="2074"/>
      </c>
      <c r="V968" s="277"/>
      <c r="W968" s="277"/>
      <c r="X968" s="277"/>
      <c r="Y968" s="277"/>
      <c r="Z968" s="1068">
        <f t="shared" si="2074"/>
      </c>
      <c r="AA968" s="277"/>
      <c r="AB968" s="277"/>
      <c r="AC968" s="277"/>
      <c r="AD968" s="277"/>
      <c r="AE968" s="1068">
        <f t="shared" si="2074"/>
      </c>
      <c r="AF968" s="277"/>
      <c r="AG968" s="277"/>
      <c r="AH968" s="277"/>
      <c r="AI968" s="277"/>
      <c r="AJ968" s="1068">
        <f t="shared" ref="AJ968:BB968" si="2075">AJ983/AJ997</f>
      </c>
      <c r="AK968" s="277"/>
      <c r="AL968" s="277"/>
      <c r="AM968" s="277"/>
      <c r="AN968" s="277"/>
      <c r="AO968" s="1068">
        <f t="shared" si="2075"/>
      </c>
      <c r="AP968" s="277"/>
      <c r="AQ968" s="277"/>
      <c r="AR968" s="277"/>
      <c r="AS968" s="277">
        <f t="shared" si="2075"/>
      </c>
      <c r="AT968" s="1068">
        <f t="shared" si="2075"/>
      </c>
      <c r="AU968" s="277">
        <f t="shared" si="2075"/>
      </c>
      <c r="AV968" s="277">
        <f t="shared" si="2075"/>
      </c>
      <c r="AW968" s="277">
        <f t="shared" si="2075"/>
      </c>
      <c r="AX968" s="277">
        <f t="shared" si="2075"/>
      </c>
      <c r="AY968" s="1068">
        <f t="shared" si="2075"/>
      </c>
      <c r="AZ968" s="277">
        <f t="shared" si="2075"/>
      </c>
      <c r="BA968" s="277">
        <f t="shared" si="2075"/>
      </c>
      <c r="BB968" s="277">
        <f t="shared" si="2075"/>
      </c>
      <c r="BC968" s="277">
        <f t="shared" ref="BC968:BD968" si="2076">BC983/BC997</f>
      </c>
      <c r="BD968" s="1068">
        <f t="shared" si="2076"/>
      </c>
      <c r="BE968" s="277">
        <f t="shared" ref="BE968:BI968" si="2077">BE983/BE997</f>
      </c>
      <c r="BF968" s="277">
        <f t="shared" si="2077"/>
      </c>
      <c r="BG968" s="277">
        <f t="shared" si="2077"/>
      </c>
      <c r="BH968" s="277">
        <f t="shared" si="2077"/>
      </c>
      <c r="BI968" s="1068">
        <f t="shared" si="2077"/>
      </c>
      <c r="BJ968" s="277">
        <f t="shared" ref="BJ968:BN968" si="2078">BJ983/BJ997</f>
      </c>
      <c r="BK968" s="277">
        <f t="shared" si="2078"/>
      </c>
      <c r="BL968" s="277">
        <f t="shared" si="2078"/>
      </c>
      <c r="BM968" s="277">
        <f t="shared" si="2078"/>
      </c>
      <c r="BN968" s="1068">
        <f t="shared" si="2078"/>
      </c>
      <c r="BO968" s="277">
        <f t="shared" ref="BO968:CF968" si="2079">BO983/BO997</f>
      </c>
      <c r="BP968" s="277">
        <f t="shared" si="2079"/>
      </c>
      <c r="BQ968" s="277">
        <f t="shared" si="2079"/>
      </c>
      <c r="BR968" s="277">
        <f t="shared" si="2079"/>
      </c>
      <c r="BS968" s="1068">
        <f t="shared" si="2079"/>
      </c>
      <c r="BT968" s="715">
        <f>BT983/BT997</f>
      </c>
      <c r="BU968" s="277">
        <f t="shared" si="2079"/>
      </c>
      <c r="BV968" s="277">
        <f t="shared" si="2079"/>
      </c>
      <c r="BW968" s="277">
        <f t="shared" si="2079"/>
      </c>
      <c r="BX968" s="1068">
        <f t="shared" si="2079"/>
      </c>
      <c r="BY968" s="277">
        <f t="shared" si="2079"/>
      </c>
      <c r="BZ968" s="277">
        <f t="shared" si="2079"/>
      </c>
      <c r="CA968" s="277">
        <f t="shared" si="2079"/>
      </c>
      <c r="CB968" s="277">
        <f t="shared" si="2079"/>
      </c>
      <c r="CC968" s="1068">
        <f t="shared" si="2079"/>
      </c>
      <c r="CD968" s="1068">
        <f t="shared" si="2079"/>
      </c>
      <c r="CE968" s="1068">
        <f t="shared" si="2079"/>
      </c>
      <c r="CF968" s="1068">
        <f t="shared" si="2079"/>
      </c>
      <c r="CG968" s="237"/>
    </row>
    <row r="969" spans="1:85" hidden="1" outlineLevel="1" x14ac:dyDescent="0.3">
      <c r="A969" s="439" t="s">
        <v>789</v>
      </c>
      <c r="B969" s="439"/>
      <c r="C969" s="1068">
        <f t="shared" ref="C969:AH969" si="2080">C984/C989</f>
      </c>
      <c r="D969" s="1068">
        <f t="shared" si="2080"/>
      </c>
      <c r="E969" s="1068">
        <f t="shared" si="2080"/>
      </c>
      <c r="F969" s="1068">
        <f t="shared" si="2080"/>
      </c>
      <c r="G969" s="277"/>
      <c r="H969" s="277"/>
      <c r="I969" s="277"/>
      <c r="J969" s="277">
        <f t="shared" si="2080"/>
      </c>
      <c r="K969" s="1068">
        <f t="shared" si="2080"/>
      </c>
      <c r="L969" s="277">
        <f t="shared" si="2080"/>
      </c>
      <c r="M969" s="277">
        <f t="shared" si="2080"/>
      </c>
      <c r="N969" s="277">
        <f t="shared" si="2080"/>
      </c>
      <c r="O969" s="277">
        <f t="shared" si="2080"/>
      </c>
      <c r="P969" s="1068">
        <f t="shared" si="2080"/>
      </c>
      <c r="Q969" s="277">
        <f t="shared" si="2080"/>
      </c>
      <c r="R969" s="277">
        <f t="shared" si="2080"/>
      </c>
      <c r="S969" s="277">
        <f t="shared" si="2080"/>
      </c>
      <c r="T969" s="277">
        <f t="shared" si="2080"/>
      </c>
      <c r="U969" s="1068">
        <f t="shared" si="2080"/>
      </c>
      <c r="V969" s="277">
        <f t="shared" si="2080"/>
      </c>
      <c r="W969" s="277">
        <f t="shared" si="2080"/>
      </c>
      <c r="X969" s="277">
        <f t="shared" si="2080"/>
      </c>
      <c r="Y969" s="277">
        <f t="shared" si="2080"/>
      </c>
      <c r="Z969" s="1068">
        <f t="shared" si="2080"/>
      </c>
      <c r="AA969" s="277">
        <f t="shared" si="2080"/>
      </c>
      <c r="AB969" s="277">
        <f t="shared" si="2080"/>
      </c>
      <c r="AC969" s="277">
        <f t="shared" si="2080"/>
      </c>
      <c r="AD969" s="277">
        <f t="shared" si="2080"/>
      </c>
      <c r="AE969" s="1068">
        <f t="shared" si="2080"/>
      </c>
      <c r="AF969" s="277">
        <f t="shared" si="2080"/>
      </c>
      <c r="AG969" s="277">
        <f t="shared" si="2080"/>
      </c>
      <c r="AH969" s="277">
        <f t="shared" si="2080"/>
      </c>
      <c r="AI969" s="277">
        <f t="shared" ref="AI969:BB969" si="2081">AI984/AI989</f>
      </c>
      <c r="AJ969" s="1068">
        <f t="shared" si="2081"/>
      </c>
      <c r="AK969" s="277">
        <f t="shared" si="2081"/>
      </c>
      <c r="AL969" s="277">
        <f t="shared" si="2081"/>
      </c>
      <c r="AM969" s="277">
        <f t="shared" si="2081"/>
      </c>
      <c r="AN969" s="277">
        <f t="shared" si="2081"/>
      </c>
      <c r="AO969" s="1068">
        <f t="shared" si="2081"/>
      </c>
      <c r="AP969" s="277">
        <f t="shared" si="2081"/>
      </c>
      <c r="AQ969" s="277">
        <f t="shared" si="2081"/>
      </c>
      <c r="AR969" s="277">
        <f t="shared" si="2081"/>
      </c>
      <c r="AS969" s="277">
        <f t="shared" si="2081"/>
      </c>
      <c r="AT969" s="1068">
        <f t="shared" si="2081"/>
      </c>
      <c r="AU969" s="277">
        <f t="shared" si="2081"/>
      </c>
      <c r="AV969" s="277">
        <f t="shared" si="2081"/>
      </c>
      <c r="AW969" s="277">
        <f t="shared" si="2081"/>
      </c>
      <c r="AX969" s="277">
        <f t="shared" si="2081"/>
      </c>
      <c r="AY969" s="1068">
        <f t="shared" si="2081"/>
      </c>
      <c r="AZ969" s="277">
        <f t="shared" si="2081"/>
      </c>
      <c r="BA969" s="277">
        <f t="shared" si="2081"/>
      </c>
      <c r="BB969" s="277">
        <f t="shared" si="2081"/>
      </c>
      <c r="BC969" s="277">
        <f t="shared" ref="BC969:BD969" si="2082">BC984/BC989</f>
      </c>
      <c r="BD969" s="1068">
        <f t="shared" si="2082"/>
      </c>
      <c r="BE969" s="277">
        <f t="shared" ref="BE969:BI969" si="2083">BE984/BE989</f>
      </c>
      <c r="BF969" s="277">
        <f t="shared" si="2083"/>
      </c>
      <c r="BG969" s="277">
        <f t="shared" si="2083"/>
      </c>
      <c r="BH969" s="277">
        <f t="shared" si="2083"/>
      </c>
      <c r="BI969" s="1068">
        <f t="shared" si="2083"/>
      </c>
      <c r="BJ969" s="277">
        <f t="shared" ref="BJ969:BN969" si="2084">BJ984/BJ989</f>
      </c>
      <c r="BK969" s="277">
        <f t="shared" si="2084"/>
      </c>
      <c r="BL969" s="277">
        <f t="shared" si="2084"/>
      </c>
      <c r="BM969" s="277">
        <f t="shared" si="2084"/>
      </c>
      <c r="BN969" s="1068">
        <f t="shared" si="2084"/>
      </c>
      <c r="BO969" s="277">
        <f t="shared" ref="BO969:CF969" si="2085">BO984/BO989</f>
      </c>
      <c r="BP969" s="277">
        <f t="shared" si="2085"/>
      </c>
      <c r="BQ969" s="277">
        <f t="shared" si="2085"/>
      </c>
      <c r="BR969" s="277">
        <f t="shared" si="2085"/>
      </c>
      <c r="BS969" s="1068">
        <f t="shared" si="2085"/>
      </c>
      <c r="BT969" s="715">
        <f>BT984/BT989</f>
      </c>
      <c r="BU969" s="277">
        <f t="shared" si="2085"/>
      </c>
      <c r="BV969" s="277">
        <f t="shared" si="2085"/>
      </c>
      <c r="BW969" s="277">
        <f t="shared" si="2085"/>
      </c>
      <c r="BX969" s="1068">
        <f t="shared" si="2085"/>
      </c>
      <c r="BY969" s="277">
        <f t="shared" si="2085"/>
      </c>
      <c r="BZ969" s="277">
        <f t="shared" si="2085"/>
      </c>
      <c r="CA969" s="277">
        <f t="shared" si="2085"/>
      </c>
      <c r="CB969" s="277">
        <f t="shared" si="2085"/>
      </c>
      <c r="CC969" s="1068">
        <f t="shared" si="2085"/>
      </c>
      <c r="CD969" s="1068">
        <f t="shared" si="2085"/>
      </c>
      <c r="CE969" s="1068">
        <f t="shared" si="2085"/>
      </c>
      <c r="CF969" s="1068">
        <f t="shared" si="2085"/>
      </c>
      <c r="CG969" s="237"/>
    </row>
    <row r="970" spans="1:85" hidden="1" outlineLevel="1" x14ac:dyDescent="0.3">
      <c r="A970" s="439" t="s">
        <v>790</v>
      </c>
      <c r="B970" s="439"/>
      <c r="C970" s="1068">
        <f>C989/C991</f>
      </c>
      <c r="D970" s="1068">
        <f>D989/D991</f>
      </c>
      <c r="E970" s="1068">
        <f>E989/E991</f>
      </c>
      <c r="F970" s="1068">
        <f>F989/F991</f>
      </c>
      <c r="G970" s="277"/>
      <c r="H970" s="277"/>
      <c r="I970" s="277"/>
      <c r="J970" s="277">
        <f t="shared" ref="J970:AO970" si="2086">J989/J991</f>
      </c>
      <c r="K970" s="1068">
        <f t="shared" si="2086"/>
      </c>
      <c r="L970" s="277">
        <f t="shared" si="2086"/>
      </c>
      <c r="M970" s="277">
        <f t="shared" si="2086"/>
      </c>
      <c r="N970" s="277">
        <f t="shared" si="2086"/>
      </c>
      <c r="O970" s="277">
        <f t="shared" si="2086"/>
      </c>
      <c r="P970" s="1068">
        <f t="shared" si="2086"/>
      </c>
      <c r="Q970" s="277">
        <f t="shared" si="2086"/>
      </c>
      <c r="R970" s="277">
        <f t="shared" si="2086"/>
      </c>
      <c r="S970" s="277">
        <f t="shared" si="2086"/>
      </c>
      <c r="T970" s="277">
        <f t="shared" si="2086"/>
      </c>
      <c r="U970" s="1068">
        <f t="shared" si="2086"/>
      </c>
      <c r="V970" s="277">
        <f t="shared" si="2086"/>
      </c>
      <c r="W970" s="277">
        <f t="shared" si="2086"/>
      </c>
      <c r="X970" s="277">
        <f t="shared" si="2086"/>
      </c>
      <c r="Y970" s="277">
        <f t="shared" si="2086"/>
      </c>
      <c r="Z970" s="1068">
        <f t="shared" si="2086"/>
      </c>
      <c r="AA970" s="277">
        <f t="shared" si="2086"/>
      </c>
      <c r="AB970" s="277">
        <f t="shared" si="2086"/>
      </c>
      <c r="AC970" s="277">
        <f t="shared" si="2086"/>
      </c>
      <c r="AD970" s="277">
        <f t="shared" si="2086"/>
      </c>
      <c r="AE970" s="1068">
        <f t="shared" si="2086"/>
      </c>
      <c r="AF970" s="277">
        <f t="shared" si="2086"/>
      </c>
      <c r="AG970" s="277">
        <f t="shared" si="2086"/>
      </c>
      <c r="AH970" s="277">
        <f t="shared" si="2086"/>
      </c>
      <c r="AI970" s="277">
        <f t="shared" si="2086"/>
      </c>
      <c r="AJ970" s="1068">
        <f t="shared" si="2086"/>
      </c>
      <c r="AK970" s="277">
        <f t="shared" si="2086"/>
      </c>
      <c r="AL970" s="277">
        <f t="shared" si="2086"/>
      </c>
      <c r="AM970" s="277">
        <f t="shared" si="2086"/>
      </c>
      <c r="AN970" s="277">
        <f t="shared" si="2086"/>
      </c>
      <c r="AO970" s="1068">
        <f t="shared" si="2086"/>
      </c>
      <c r="AP970" s="277">
        <f t="shared" ref="AP970:BB970" si="2087">AP989/AP991</f>
      </c>
      <c r="AQ970" s="277">
        <f t="shared" si="2087"/>
      </c>
      <c r="AR970" s="277">
        <f t="shared" si="2087"/>
      </c>
      <c r="AS970" s="277">
        <f t="shared" si="2087"/>
      </c>
      <c r="AT970" s="1068">
        <f t="shared" si="2087"/>
      </c>
      <c r="AU970" s="277">
        <f t="shared" si="2087"/>
      </c>
      <c r="AV970" s="277">
        <f t="shared" si="2087"/>
      </c>
      <c r="AW970" s="277">
        <f t="shared" si="2087"/>
      </c>
      <c r="AX970" s="277">
        <f t="shared" si="2087"/>
      </c>
      <c r="AY970" s="1068">
        <f t="shared" si="2087"/>
      </c>
      <c r="AZ970" s="277">
        <f t="shared" si="2087"/>
      </c>
      <c r="BA970" s="277">
        <f t="shared" si="2087"/>
      </c>
      <c r="BB970" s="277">
        <f t="shared" si="2087"/>
      </c>
      <c r="BC970" s="277">
        <f t="shared" ref="BC970:BD970" si="2088">BC989/BC991</f>
      </c>
      <c r="BD970" s="1068">
        <f t="shared" si="2088"/>
      </c>
      <c r="BE970" s="277">
        <f t="shared" ref="BE970:BI970" si="2089">BE989/BE991</f>
      </c>
      <c r="BF970" s="277">
        <f t="shared" si="2089"/>
      </c>
      <c r="BG970" s="277">
        <f t="shared" si="2089"/>
      </c>
      <c r="BH970" s="277">
        <f t="shared" si="2089"/>
      </c>
      <c r="BI970" s="1068">
        <f t="shared" si="2089"/>
      </c>
      <c r="BJ970" s="277">
        <f t="shared" ref="BJ970:BN970" si="2090">BJ989/BJ991</f>
      </c>
      <c r="BK970" s="277">
        <f t="shared" si="2090"/>
      </c>
      <c r="BL970" s="277">
        <f t="shared" si="2090"/>
      </c>
      <c r="BM970" s="277">
        <f t="shared" si="2090"/>
      </c>
      <c r="BN970" s="1068">
        <f t="shared" si="2090"/>
      </c>
      <c r="BO970" s="277">
        <f t="shared" ref="BO970:CF970" si="2091">BO989/BO991</f>
      </c>
      <c r="BP970" s="277">
        <f t="shared" si="2091"/>
      </c>
      <c r="BQ970" s="277">
        <f t="shared" si="2091"/>
      </c>
      <c r="BR970" s="277">
        <f t="shared" si="2091"/>
      </c>
      <c r="BS970" s="1068">
        <f t="shared" si="2091"/>
      </c>
      <c r="BT970" s="715">
        <f>BT989/BT991</f>
      </c>
      <c r="BU970" s="277">
        <f t="shared" si="2091"/>
      </c>
      <c r="BV970" s="277">
        <f t="shared" si="2091"/>
      </c>
      <c r="BW970" s="277">
        <f t="shared" si="2091"/>
      </c>
      <c r="BX970" s="1068">
        <f t="shared" si="2091"/>
      </c>
      <c r="BY970" s="277">
        <f t="shared" si="2091"/>
      </c>
      <c r="BZ970" s="277">
        <f t="shared" si="2091"/>
      </c>
      <c r="CA970" s="277">
        <f t="shared" si="2091"/>
      </c>
      <c r="CB970" s="277">
        <f t="shared" si="2091"/>
      </c>
      <c r="CC970" s="1068">
        <f t="shared" si="2091"/>
      </c>
      <c r="CD970" s="1068">
        <f t="shared" si="2091"/>
      </c>
      <c r="CE970" s="1068">
        <f t="shared" si="2091"/>
      </c>
      <c r="CF970" s="1068">
        <f t="shared" si="2091"/>
      </c>
      <c r="CG970" s="237"/>
    </row>
    <row r="971" spans="1:85" hidden="1" outlineLevel="1" x14ac:dyDescent="0.3">
      <c r="A971" s="439" t="s">
        <v>813</v>
      </c>
      <c r="B971" s="439"/>
      <c r="C971" s="1068">
        <f>C995/C991</f>
      </c>
      <c r="D971" s="1068">
        <f>D995/D991</f>
      </c>
      <c r="E971" s="1068">
        <f>E995/E991</f>
      </c>
      <c r="F971" s="1068">
        <f>F995/F991</f>
      </c>
      <c r="G971" s="277"/>
      <c r="H971" s="277"/>
      <c r="I971" s="277"/>
      <c r="J971" s="277">
        <f t="shared" ref="J971:AO971" si="2092">J995/J991</f>
      </c>
      <c r="K971" s="1068">
        <f t="shared" si="2092"/>
      </c>
      <c r="L971" s="277">
        <f t="shared" si="2092"/>
      </c>
      <c r="M971" s="277">
        <f t="shared" si="2092"/>
      </c>
      <c r="N971" s="277">
        <f t="shared" si="2092"/>
      </c>
      <c r="O971" s="277">
        <f t="shared" si="2092"/>
      </c>
      <c r="P971" s="1068">
        <f t="shared" si="2092"/>
      </c>
      <c r="Q971" s="277">
        <f t="shared" si="2092"/>
      </c>
      <c r="R971" s="277">
        <f t="shared" si="2092"/>
      </c>
      <c r="S971" s="277">
        <f t="shared" si="2092"/>
      </c>
      <c r="T971" s="277">
        <f t="shared" si="2092"/>
      </c>
      <c r="U971" s="1068">
        <f t="shared" si="2092"/>
      </c>
      <c r="V971" s="277">
        <f t="shared" si="2092"/>
      </c>
      <c r="W971" s="277">
        <f t="shared" si="2092"/>
      </c>
      <c r="X971" s="277">
        <f t="shared" si="2092"/>
      </c>
      <c r="Y971" s="277">
        <f t="shared" si="2092"/>
      </c>
      <c r="Z971" s="1068">
        <f t="shared" si="2092"/>
      </c>
      <c r="AA971" s="277">
        <f t="shared" si="2092"/>
      </c>
      <c r="AB971" s="277">
        <f t="shared" si="2092"/>
      </c>
      <c r="AC971" s="277">
        <f t="shared" si="2092"/>
      </c>
      <c r="AD971" s="277">
        <f t="shared" si="2092"/>
      </c>
      <c r="AE971" s="1068">
        <f t="shared" si="2092"/>
      </c>
      <c r="AF971" s="277">
        <f t="shared" si="2092"/>
      </c>
      <c r="AG971" s="277">
        <f t="shared" si="2092"/>
      </c>
      <c r="AH971" s="277">
        <f t="shared" si="2092"/>
      </c>
      <c r="AI971" s="277">
        <f t="shared" si="2092"/>
      </c>
      <c r="AJ971" s="1068">
        <f t="shared" si="2092"/>
      </c>
      <c r="AK971" s="277">
        <f t="shared" si="2092"/>
      </c>
      <c r="AL971" s="277">
        <f t="shared" si="2092"/>
      </c>
      <c r="AM971" s="277">
        <f t="shared" si="2092"/>
      </c>
      <c r="AN971" s="277">
        <f t="shared" si="2092"/>
      </c>
      <c r="AO971" s="1068">
        <f t="shared" si="2092"/>
      </c>
      <c r="AP971" s="277">
        <f t="shared" ref="AP971:BB971" si="2093">AP995/AP991</f>
      </c>
      <c r="AQ971" s="277">
        <f t="shared" si="2093"/>
      </c>
      <c r="AR971" s="277">
        <f t="shared" si="2093"/>
      </c>
      <c r="AS971" s="277">
        <f t="shared" si="2093"/>
      </c>
      <c r="AT971" s="1068">
        <f t="shared" si="2093"/>
      </c>
      <c r="AU971" s="277">
        <f t="shared" si="2093"/>
      </c>
      <c r="AV971" s="277">
        <f t="shared" si="2093"/>
      </c>
      <c r="AW971" s="277">
        <f t="shared" si="2093"/>
      </c>
      <c r="AX971" s="277">
        <f t="shared" si="2093"/>
      </c>
      <c r="AY971" s="1068">
        <f t="shared" si="2093"/>
      </c>
      <c r="AZ971" s="277">
        <f t="shared" si="2093"/>
      </c>
      <c r="BA971" s="277">
        <f t="shared" si="2093"/>
      </c>
      <c r="BB971" s="277">
        <f t="shared" si="2093"/>
      </c>
      <c r="BC971" s="277">
        <f t="shared" ref="BC971:BD971" si="2094">BC995/BC991</f>
      </c>
      <c r="BD971" s="1068">
        <f t="shared" si="2094"/>
      </c>
      <c r="BE971" s="277">
        <f t="shared" ref="BE971:BI971" si="2095">BE995/BE991</f>
      </c>
      <c r="BF971" s="277">
        <f t="shared" si="2095"/>
      </c>
      <c r="BG971" s="277">
        <f t="shared" si="2095"/>
      </c>
      <c r="BH971" s="277">
        <f t="shared" si="2095"/>
      </c>
      <c r="BI971" s="1068">
        <f t="shared" si="2095"/>
      </c>
      <c r="BJ971" s="277">
        <f t="shared" ref="BJ971:BN971" si="2096">BJ995/BJ991</f>
      </c>
      <c r="BK971" s="277">
        <f t="shared" si="2096"/>
      </c>
      <c r="BL971" s="277">
        <f t="shared" si="2096"/>
      </c>
      <c r="BM971" s="277">
        <f t="shared" si="2096"/>
      </c>
      <c r="BN971" s="1068">
        <f t="shared" si="2096"/>
      </c>
      <c r="BO971" s="277">
        <f t="shared" ref="BO971:CF971" si="2097">BO995/BO991</f>
      </c>
      <c r="BP971" s="277">
        <f t="shared" si="2097"/>
      </c>
      <c r="BQ971" s="277">
        <f t="shared" si="2097"/>
      </c>
      <c r="BR971" s="277">
        <f t="shared" si="2097"/>
      </c>
      <c r="BS971" s="1068">
        <f t="shared" si="2097"/>
      </c>
      <c r="BT971" s="715">
        <f>BT995/BT991</f>
      </c>
      <c r="BU971" s="277">
        <f t="shared" si="2097"/>
      </c>
      <c r="BV971" s="277">
        <f t="shared" si="2097"/>
      </c>
      <c r="BW971" s="277">
        <f t="shared" si="2097"/>
      </c>
      <c r="BX971" s="1068">
        <f t="shared" si="2097"/>
      </c>
      <c r="BY971" s="277">
        <f t="shared" si="2097"/>
      </c>
      <c r="BZ971" s="277">
        <f t="shared" si="2097"/>
      </c>
      <c r="CA971" s="277">
        <f t="shared" si="2097"/>
      </c>
      <c r="CB971" s="277">
        <f t="shared" si="2097"/>
      </c>
      <c r="CC971" s="1068">
        <f t="shared" si="2097"/>
      </c>
      <c r="CD971" s="1068">
        <f t="shared" si="2097"/>
      </c>
      <c r="CE971" s="1068">
        <f t="shared" si="2097"/>
      </c>
      <c r="CF971" s="1068">
        <f t="shared" si="2097"/>
      </c>
      <c r="CG971" s="237"/>
    </row>
    <row r="972" spans="1:85" hidden="1" outlineLevel="1" x14ac:dyDescent="0.3">
      <c r="A972" s="439" t="s">
        <v>791</v>
      </c>
      <c r="B972" s="439"/>
      <c r="C972" s="1068">
        <f t="shared" ref="C972:AH972" si="2098">C983/C998</f>
      </c>
      <c r="D972" s="1068">
        <f t="shared" si="2098"/>
      </c>
      <c r="E972" s="1068">
        <f t="shared" si="2098"/>
      </c>
      <c r="F972" s="1068">
        <f t="shared" si="2098"/>
      </c>
      <c r="G972" s="277">
        <f t="shared" si="2098"/>
      </c>
      <c r="H972" s="277">
        <f t="shared" si="2098"/>
      </c>
      <c r="I972" s="277">
        <f t="shared" si="2098"/>
      </c>
      <c r="J972" s="277">
        <f t="shared" si="2098"/>
      </c>
      <c r="K972" s="1068">
        <f t="shared" si="2098"/>
      </c>
      <c r="L972" s="277">
        <f t="shared" si="2098"/>
      </c>
      <c r="M972" s="277">
        <f t="shared" si="2098"/>
      </c>
      <c r="N972" s="277">
        <f t="shared" si="2098"/>
      </c>
      <c r="O972" s="277">
        <f t="shared" si="2098"/>
      </c>
      <c r="P972" s="1068">
        <f t="shared" si="2098"/>
      </c>
      <c r="Q972" s="277">
        <f t="shared" si="2098"/>
      </c>
      <c r="R972" s="277">
        <f t="shared" si="2098"/>
      </c>
      <c r="S972" s="277">
        <f t="shared" si="2098"/>
      </c>
      <c r="T972" s="277">
        <f t="shared" si="2098"/>
      </c>
      <c r="U972" s="1068">
        <f t="shared" si="2098"/>
      </c>
      <c r="V972" s="277">
        <f t="shared" si="2098"/>
      </c>
      <c r="W972" s="277">
        <f t="shared" si="2098"/>
      </c>
      <c r="X972" s="277">
        <f t="shared" si="2098"/>
      </c>
      <c r="Y972" s="277">
        <f t="shared" si="2098"/>
      </c>
      <c r="Z972" s="1068">
        <f t="shared" si="2098"/>
      </c>
      <c r="AA972" s="277">
        <f t="shared" si="2098"/>
      </c>
      <c r="AB972" s="277">
        <f t="shared" si="2098"/>
      </c>
      <c r="AC972" s="277">
        <f t="shared" si="2098"/>
      </c>
      <c r="AD972" s="277">
        <f t="shared" si="2098"/>
      </c>
      <c r="AE972" s="1068">
        <f t="shared" si="2098"/>
      </c>
      <c r="AF972" s="277">
        <f t="shared" si="2098"/>
      </c>
      <c r="AG972" s="277">
        <f t="shared" si="2098"/>
      </c>
      <c r="AH972" s="277">
        <f t="shared" si="2098"/>
      </c>
      <c r="AI972" s="277">
        <f t="shared" ref="AI972:BB972" si="2099">AI983/AI998</f>
      </c>
      <c r="AJ972" s="1068">
        <f t="shared" si="2099"/>
      </c>
      <c r="AK972" s="277">
        <f t="shared" si="2099"/>
      </c>
      <c r="AL972" s="277">
        <f t="shared" si="2099"/>
      </c>
      <c r="AM972" s="277">
        <f t="shared" si="2099"/>
      </c>
      <c r="AN972" s="277">
        <f t="shared" si="2099"/>
      </c>
      <c r="AO972" s="1068">
        <f t="shared" si="2099"/>
      </c>
      <c r="AP972" s="277">
        <f t="shared" si="2099"/>
      </c>
      <c r="AQ972" s="277">
        <f t="shared" si="2099"/>
      </c>
      <c r="AR972" s="277">
        <f t="shared" si="2099"/>
      </c>
      <c r="AS972" s="277">
        <f t="shared" si="2099"/>
      </c>
      <c r="AT972" s="1068">
        <f t="shared" si="2099"/>
      </c>
      <c r="AU972" s="277">
        <f t="shared" si="2099"/>
      </c>
      <c r="AV972" s="277">
        <f t="shared" si="2099"/>
      </c>
      <c r="AW972" s="277">
        <f t="shared" si="2099"/>
      </c>
      <c r="AX972" s="277">
        <f t="shared" si="2099"/>
      </c>
      <c r="AY972" s="1068">
        <f t="shared" si="2099"/>
      </c>
      <c r="AZ972" s="277">
        <f t="shared" si="2099"/>
      </c>
      <c r="BA972" s="277">
        <f t="shared" si="2099"/>
      </c>
      <c r="BB972" s="277">
        <f t="shared" si="2099"/>
      </c>
      <c r="BC972" s="277">
        <f t="shared" ref="BC972:BD972" si="2100">BC983/BC998</f>
      </c>
      <c r="BD972" s="1068">
        <f t="shared" si="2100"/>
      </c>
      <c r="BE972" s="277">
        <f t="shared" ref="BE972:BI972" si="2101">BE983/BE998</f>
      </c>
      <c r="BF972" s="277">
        <f t="shared" si="2101"/>
      </c>
      <c r="BG972" s="277">
        <f t="shared" si="2101"/>
      </c>
      <c r="BH972" s="277">
        <f t="shared" si="2101"/>
      </c>
      <c r="BI972" s="1068">
        <f t="shared" si="2101"/>
      </c>
      <c r="BJ972" s="277">
        <f t="shared" ref="BJ972:BN972" si="2102">BJ983/BJ998</f>
      </c>
      <c r="BK972" s="277">
        <f t="shared" si="2102"/>
      </c>
      <c r="BL972" s="277">
        <f t="shared" si="2102"/>
      </c>
      <c r="BM972" s="277">
        <f t="shared" si="2102"/>
      </c>
      <c r="BN972" s="1068">
        <f t="shared" si="2102"/>
      </c>
      <c r="BO972" s="277">
        <f t="shared" ref="BO972:CF972" si="2103">BO983/BO998</f>
      </c>
      <c r="BP972" s="277">
        <f t="shared" si="2103"/>
      </c>
      <c r="BQ972" s="277">
        <f t="shared" si="2103"/>
      </c>
      <c r="BR972" s="277">
        <f t="shared" si="2103"/>
      </c>
      <c r="BS972" s="1068">
        <f t="shared" si="2103"/>
      </c>
      <c r="BT972" s="715">
        <f>BT983/BT998</f>
      </c>
      <c r="BU972" s="277">
        <f t="shared" si="2103"/>
      </c>
      <c r="BV972" s="277">
        <f t="shared" si="2103"/>
      </c>
      <c r="BW972" s="277">
        <f t="shared" si="2103"/>
      </c>
      <c r="BX972" s="1068">
        <f t="shared" si="2103"/>
      </c>
      <c r="BY972" s="277">
        <f t="shared" si="2103"/>
      </c>
      <c r="BZ972" s="277">
        <f t="shared" si="2103"/>
      </c>
      <c r="CA972" s="277">
        <f t="shared" si="2103"/>
      </c>
      <c r="CB972" s="277">
        <f t="shared" si="2103"/>
      </c>
      <c r="CC972" s="1068">
        <f t="shared" si="2103"/>
      </c>
      <c r="CD972" s="1068">
        <f t="shared" si="2103"/>
      </c>
      <c r="CE972" s="1068">
        <f t="shared" si="2103"/>
      </c>
      <c r="CF972" s="1068">
        <f t="shared" si="2103"/>
      </c>
      <c r="CG972" s="237"/>
    </row>
    <row r="973" spans="1:85" hidden="1" outlineLevel="1" x14ac:dyDescent="0.3">
      <c r="A973" s="439" t="s">
        <v>792</v>
      </c>
      <c r="B973" s="439"/>
      <c r="C973" s="1068">
        <f t="shared" ref="C973:AH973" si="2104">C983/C999</f>
      </c>
      <c r="D973" s="1068">
        <f t="shared" si="2104"/>
      </c>
      <c r="E973" s="1068">
        <f t="shared" si="2104"/>
      </c>
      <c r="F973" s="1068">
        <f t="shared" si="2104"/>
      </c>
      <c r="G973" s="277">
        <f t="shared" si="2104"/>
      </c>
      <c r="H973" s="277">
        <f t="shared" si="2104"/>
      </c>
      <c r="I973" s="277">
        <f t="shared" si="2104"/>
      </c>
      <c r="J973" s="277">
        <f t="shared" si="2104"/>
      </c>
      <c r="K973" s="1068">
        <f t="shared" si="2104"/>
      </c>
      <c r="L973" s="277">
        <f t="shared" si="2104"/>
      </c>
      <c r="M973" s="277">
        <f t="shared" si="2104"/>
      </c>
      <c r="N973" s="277">
        <f t="shared" si="2104"/>
      </c>
      <c r="O973" s="277">
        <f t="shared" si="2104"/>
      </c>
      <c r="P973" s="1068">
        <f t="shared" si="2104"/>
      </c>
      <c r="Q973" s="277">
        <f t="shared" si="2104"/>
      </c>
      <c r="R973" s="277">
        <f t="shared" si="2104"/>
      </c>
      <c r="S973" s="277">
        <f t="shared" si="2104"/>
      </c>
      <c r="T973" s="277">
        <f t="shared" si="2104"/>
      </c>
      <c r="U973" s="1068">
        <f t="shared" si="2104"/>
      </c>
      <c r="V973" s="277">
        <f t="shared" si="2104"/>
      </c>
      <c r="W973" s="277">
        <f t="shared" si="2104"/>
      </c>
      <c r="X973" s="277">
        <f t="shared" si="2104"/>
      </c>
      <c r="Y973" s="277">
        <f t="shared" si="2104"/>
      </c>
      <c r="Z973" s="1068">
        <f t="shared" si="2104"/>
      </c>
      <c r="AA973" s="277">
        <f t="shared" si="2104"/>
      </c>
      <c r="AB973" s="277">
        <f t="shared" si="2104"/>
      </c>
      <c r="AC973" s="277">
        <f t="shared" si="2104"/>
      </c>
      <c r="AD973" s="277">
        <f t="shared" si="2104"/>
      </c>
      <c r="AE973" s="1068">
        <f t="shared" si="2104"/>
      </c>
      <c r="AF973" s="277">
        <f t="shared" si="2104"/>
      </c>
      <c r="AG973" s="277">
        <f t="shared" si="2104"/>
      </c>
      <c r="AH973" s="277">
        <f t="shared" si="2104"/>
      </c>
      <c r="AI973" s="277">
        <f t="shared" ref="AI973:BB973" si="2105">AI983/AI999</f>
      </c>
      <c r="AJ973" s="1068">
        <f t="shared" si="2105"/>
      </c>
      <c r="AK973" s="277">
        <f t="shared" si="2105"/>
      </c>
      <c r="AL973" s="277">
        <f t="shared" si="2105"/>
      </c>
      <c r="AM973" s="277">
        <f t="shared" si="2105"/>
      </c>
      <c r="AN973" s="277">
        <f t="shared" si="2105"/>
      </c>
      <c r="AO973" s="1068">
        <f t="shared" si="2105"/>
      </c>
      <c r="AP973" s="277">
        <f t="shared" si="2105"/>
      </c>
      <c r="AQ973" s="277">
        <f t="shared" si="2105"/>
      </c>
      <c r="AR973" s="277">
        <f t="shared" si="2105"/>
      </c>
      <c r="AS973" s="277">
        <f t="shared" si="2105"/>
      </c>
      <c r="AT973" s="1068">
        <f t="shared" si="2105"/>
      </c>
      <c r="AU973" s="277">
        <f t="shared" si="2105"/>
      </c>
      <c r="AV973" s="277">
        <f t="shared" si="2105"/>
      </c>
      <c r="AW973" s="277">
        <f t="shared" si="2105"/>
      </c>
      <c r="AX973" s="277">
        <f t="shared" si="2105"/>
      </c>
      <c r="AY973" s="1068">
        <f t="shared" si="2105"/>
      </c>
      <c r="AZ973" s="277">
        <f t="shared" si="2105"/>
      </c>
      <c r="BA973" s="277">
        <f t="shared" si="2105"/>
      </c>
      <c r="BB973" s="277">
        <f t="shared" si="2105"/>
      </c>
      <c r="BC973" s="277">
        <f t="shared" ref="BC973:BD973" si="2106">BC983/BC999</f>
      </c>
      <c r="BD973" s="1068">
        <f t="shared" si="2106"/>
      </c>
      <c r="BE973" s="277">
        <f t="shared" ref="BE973:BI973" si="2107">BE983/BE999</f>
      </c>
      <c r="BF973" s="277">
        <f t="shared" si="2107"/>
      </c>
      <c r="BG973" s="277">
        <f t="shared" si="2107"/>
      </c>
      <c r="BH973" s="277">
        <f t="shared" si="2107"/>
      </c>
      <c r="BI973" s="1068">
        <f t="shared" si="2107"/>
      </c>
      <c r="BJ973" s="277">
        <f t="shared" ref="BJ973:BN973" si="2108">BJ983/BJ999</f>
      </c>
      <c r="BK973" s="277">
        <f t="shared" si="2108"/>
      </c>
      <c r="BL973" s="277">
        <f t="shared" si="2108"/>
      </c>
      <c r="BM973" s="277">
        <f t="shared" si="2108"/>
      </c>
      <c r="BN973" s="1068">
        <f t="shared" si="2108"/>
      </c>
      <c r="BO973" s="277">
        <f t="shared" ref="BO973:CF973" si="2109">BO983/BO999</f>
      </c>
      <c r="BP973" s="277">
        <f t="shared" si="2109"/>
      </c>
      <c r="BQ973" s="277">
        <f t="shared" si="2109"/>
      </c>
      <c r="BR973" s="277">
        <f t="shared" si="2109"/>
      </c>
      <c r="BS973" s="1068">
        <f t="shared" si="2109"/>
      </c>
      <c r="BT973" s="715">
        <f>BT983/BT999</f>
      </c>
      <c r="BU973" s="277">
        <f t="shared" si="2109"/>
      </c>
      <c r="BV973" s="277">
        <f t="shared" si="2109"/>
      </c>
      <c r="BW973" s="277">
        <f t="shared" si="2109"/>
      </c>
      <c r="BX973" s="1068">
        <f t="shared" si="2109"/>
      </c>
      <c r="BY973" s="277">
        <f t="shared" si="2109"/>
      </c>
      <c r="BZ973" s="277">
        <f t="shared" si="2109"/>
      </c>
      <c r="CA973" s="277">
        <f t="shared" si="2109"/>
      </c>
      <c r="CB973" s="277">
        <f t="shared" si="2109"/>
      </c>
      <c r="CC973" s="1068">
        <f t="shared" si="2109"/>
      </c>
      <c r="CD973" s="1068">
        <f t="shared" si="2109"/>
      </c>
      <c r="CE973" s="1068">
        <f t="shared" si="2109"/>
      </c>
      <c r="CF973" s="1068">
        <f t="shared" si="2109"/>
      </c>
      <c r="CG973" s="237"/>
    </row>
    <row r="974" spans="1:85" hidden="1" outlineLevel="1" x14ac:dyDescent="0.3">
      <c r="A974" s="439" t="s">
        <v>793</v>
      </c>
      <c r="B974" s="439"/>
      <c r="C974" s="1068">
        <f t="shared" ref="C974:AH974" si="2110">C983/(C983+C998)</f>
      </c>
      <c r="D974" s="1068">
        <f t="shared" si="2110"/>
      </c>
      <c r="E974" s="1068">
        <f t="shared" si="2110"/>
      </c>
      <c r="F974" s="1068">
        <f t="shared" si="2110"/>
      </c>
      <c r="G974" s="277">
        <f t="shared" si="2110"/>
      </c>
      <c r="H974" s="277">
        <f t="shared" si="2110"/>
      </c>
      <c r="I974" s="277">
        <f t="shared" si="2110"/>
      </c>
      <c r="J974" s="277">
        <f t="shared" si="2110"/>
      </c>
      <c r="K974" s="1068">
        <f t="shared" si="2110"/>
      </c>
      <c r="L974" s="277">
        <f t="shared" si="2110"/>
      </c>
      <c r="M974" s="277">
        <f t="shared" si="2110"/>
      </c>
      <c r="N974" s="277">
        <f t="shared" si="2110"/>
      </c>
      <c r="O974" s="277">
        <f t="shared" si="2110"/>
      </c>
      <c r="P974" s="1068">
        <f t="shared" si="2110"/>
      </c>
      <c r="Q974" s="277">
        <f t="shared" si="2110"/>
      </c>
      <c r="R974" s="277">
        <f t="shared" si="2110"/>
      </c>
      <c r="S974" s="277">
        <f t="shared" si="2110"/>
      </c>
      <c r="T974" s="277">
        <f t="shared" si="2110"/>
      </c>
      <c r="U974" s="1068">
        <f t="shared" si="2110"/>
      </c>
      <c r="V974" s="277">
        <f t="shared" si="2110"/>
      </c>
      <c r="W974" s="277">
        <f t="shared" si="2110"/>
      </c>
      <c r="X974" s="277">
        <f t="shared" si="2110"/>
      </c>
      <c r="Y974" s="277">
        <f t="shared" si="2110"/>
      </c>
      <c r="Z974" s="1068">
        <f t="shared" si="2110"/>
      </c>
      <c r="AA974" s="277">
        <f t="shared" si="2110"/>
      </c>
      <c r="AB974" s="277">
        <f t="shared" si="2110"/>
      </c>
      <c r="AC974" s="277">
        <f t="shared" si="2110"/>
      </c>
      <c r="AD974" s="277">
        <f t="shared" si="2110"/>
      </c>
      <c r="AE974" s="1068">
        <f t="shared" si="2110"/>
      </c>
      <c r="AF974" s="277">
        <f t="shared" si="2110"/>
      </c>
      <c r="AG974" s="277">
        <f t="shared" si="2110"/>
      </c>
      <c r="AH974" s="277">
        <f t="shared" si="2110"/>
      </c>
      <c r="AI974" s="277">
        <f t="shared" ref="AI974:BB974" si="2111">AI983/(AI983+AI998)</f>
      </c>
      <c r="AJ974" s="1068">
        <f t="shared" si="2111"/>
      </c>
      <c r="AK974" s="277">
        <f t="shared" si="2111"/>
      </c>
      <c r="AL974" s="277">
        <f t="shared" si="2111"/>
      </c>
      <c r="AM974" s="277">
        <f t="shared" si="2111"/>
      </c>
      <c r="AN974" s="277">
        <f t="shared" si="2111"/>
      </c>
      <c r="AO974" s="1068">
        <f t="shared" si="2111"/>
      </c>
      <c r="AP974" s="277">
        <f t="shared" si="2111"/>
      </c>
      <c r="AQ974" s="277">
        <f t="shared" si="2111"/>
      </c>
      <c r="AR974" s="277">
        <f t="shared" si="2111"/>
      </c>
      <c r="AS974" s="277">
        <f t="shared" si="2111"/>
      </c>
      <c r="AT974" s="1068">
        <f t="shared" si="2111"/>
      </c>
      <c r="AU974" s="277">
        <f t="shared" si="2111"/>
      </c>
      <c r="AV974" s="277">
        <f t="shared" si="2111"/>
      </c>
      <c r="AW974" s="277">
        <f t="shared" si="2111"/>
      </c>
      <c r="AX974" s="277">
        <f t="shared" si="2111"/>
      </c>
      <c r="AY974" s="1068">
        <f t="shared" si="2111"/>
      </c>
      <c r="AZ974" s="277">
        <f t="shared" si="2111"/>
      </c>
      <c r="BA974" s="277">
        <f t="shared" si="2111"/>
      </c>
      <c r="BB974" s="277">
        <f t="shared" si="2111"/>
      </c>
      <c r="BC974" s="277">
        <f t="shared" ref="BC974:BD974" si="2112">BC983/(BC983+BC998)</f>
      </c>
      <c r="BD974" s="1068">
        <f t="shared" si="2112"/>
      </c>
      <c r="BE974" s="277">
        <f t="shared" ref="BE974:BI974" si="2113">BE983/(BE983+BE998)</f>
      </c>
      <c r="BF974" s="277">
        <f t="shared" si="2113"/>
      </c>
      <c r="BG974" s="277">
        <f t="shared" si="2113"/>
      </c>
      <c r="BH974" s="277">
        <f t="shared" si="2113"/>
      </c>
      <c r="BI974" s="1068">
        <f t="shared" si="2113"/>
      </c>
      <c r="BJ974" s="277">
        <f t="shared" ref="BJ974:BN974" si="2114">BJ983/(BJ983+BJ998)</f>
      </c>
      <c r="BK974" s="277">
        <f t="shared" si="2114"/>
      </c>
      <c r="BL974" s="277">
        <f t="shared" si="2114"/>
      </c>
      <c r="BM974" s="277">
        <f t="shared" si="2114"/>
      </c>
      <c r="BN974" s="1068">
        <f t="shared" si="2114"/>
      </c>
      <c r="BO974" s="277">
        <f t="shared" ref="BO974:CF974" si="2115">BO983/(BO983+BO998)</f>
      </c>
      <c r="BP974" s="277">
        <f t="shared" si="2115"/>
      </c>
      <c r="BQ974" s="277">
        <f t="shared" si="2115"/>
      </c>
      <c r="BR974" s="277">
        <f t="shared" si="2115"/>
      </c>
      <c r="BS974" s="1068">
        <f t="shared" si="2115"/>
      </c>
      <c r="BT974" s="715">
        <f>BT983/(BT983+BT998)</f>
      </c>
      <c r="BU974" s="277">
        <f t="shared" si="2115"/>
      </c>
      <c r="BV974" s="277">
        <f t="shared" si="2115"/>
      </c>
      <c r="BW974" s="277">
        <f t="shared" si="2115"/>
      </c>
      <c r="BX974" s="1068">
        <f t="shared" si="2115"/>
      </c>
      <c r="BY974" s="277">
        <f t="shared" si="2115"/>
      </c>
      <c r="BZ974" s="277">
        <f t="shared" si="2115"/>
      </c>
      <c r="CA974" s="277">
        <f t="shared" si="2115"/>
      </c>
      <c r="CB974" s="277">
        <f t="shared" si="2115"/>
      </c>
      <c r="CC974" s="1068">
        <f t="shared" si="2115"/>
      </c>
      <c r="CD974" s="1068">
        <f t="shared" si="2115"/>
      </c>
      <c r="CE974" s="1068">
        <f t="shared" si="2115"/>
      </c>
      <c r="CF974" s="1068">
        <f t="shared" si="2115"/>
      </c>
      <c r="CG974" s="237"/>
    </row>
    <row r="975" spans="1:85" hidden="1" outlineLevel="1" x14ac:dyDescent="0.3">
      <c r="A975" s="439" t="s">
        <v>794</v>
      </c>
      <c r="B975" s="439"/>
      <c r="C975" s="1068">
        <f t="shared" ref="C975:AH975" si="2116">C983/(C983+C999)</f>
      </c>
      <c r="D975" s="1068">
        <f t="shared" si="2116"/>
      </c>
      <c r="E975" s="1068">
        <f t="shared" si="2116"/>
      </c>
      <c r="F975" s="1068">
        <f t="shared" si="2116"/>
      </c>
      <c r="G975" s="277">
        <f t="shared" si="2116"/>
      </c>
      <c r="H975" s="277">
        <f t="shared" si="2116"/>
      </c>
      <c r="I975" s="277">
        <f t="shared" si="2116"/>
      </c>
      <c r="J975" s="277">
        <f t="shared" si="2116"/>
      </c>
      <c r="K975" s="1068">
        <f t="shared" si="2116"/>
      </c>
      <c r="L975" s="277">
        <f t="shared" si="2116"/>
      </c>
      <c r="M975" s="277">
        <f t="shared" si="2116"/>
      </c>
      <c r="N975" s="277">
        <f t="shared" si="2116"/>
      </c>
      <c r="O975" s="277">
        <f t="shared" si="2116"/>
      </c>
      <c r="P975" s="1068">
        <f t="shared" si="2116"/>
      </c>
      <c r="Q975" s="277">
        <f t="shared" si="2116"/>
      </c>
      <c r="R975" s="277">
        <f t="shared" si="2116"/>
      </c>
      <c r="S975" s="277">
        <f t="shared" si="2116"/>
      </c>
      <c r="T975" s="277">
        <f t="shared" si="2116"/>
      </c>
      <c r="U975" s="1068">
        <f t="shared" si="2116"/>
      </c>
      <c r="V975" s="277">
        <f t="shared" si="2116"/>
      </c>
      <c r="W975" s="277">
        <f t="shared" si="2116"/>
      </c>
      <c r="X975" s="277">
        <f t="shared" si="2116"/>
      </c>
      <c r="Y975" s="277">
        <f t="shared" si="2116"/>
      </c>
      <c r="Z975" s="1068">
        <f t="shared" si="2116"/>
      </c>
      <c r="AA975" s="277">
        <f t="shared" si="2116"/>
      </c>
      <c r="AB975" s="277">
        <f t="shared" si="2116"/>
      </c>
      <c r="AC975" s="277">
        <f t="shared" si="2116"/>
      </c>
      <c r="AD975" s="277">
        <f t="shared" si="2116"/>
      </c>
      <c r="AE975" s="1068">
        <f t="shared" si="2116"/>
      </c>
      <c r="AF975" s="277">
        <f t="shared" si="2116"/>
      </c>
      <c r="AG975" s="277">
        <f t="shared" si="2116"/>
      </c>
      <c r="AH975" s="277">
        <f t="shared" si="2116"/>
      </c>
      <c r="AI975" s="277">
        <f t="shared" ref="AI975:BB975" si="2117">AI983/(AI983+AI999)</f>
      </c>
      <c r="AJ975" s="1068">
        <f t="shared" si="2117"/>
      </c>
      <c r="AK975" s="277">
        <f t="shared" si="2117"/>
      </c>
      <c r="AL975" s="277">
        <f t="shared" si="2117"/>
      </c>
      <c r="AM975" s="277">
        <f t="shared" si="2117"/>
      </c>
      <c r="AN975" s="277">
        <f t="shared" si="2117"/>
      </c>
      <c r="AO975" s="1068">
        <f t="shared" si="2117"/>
      </c>
      <c r="AP975" s="277">
        <f t="shared" si="2117"/>
      </c>
      <c r="AQ975" s="277">
        <f t="shared" si="2117"/>
      </c>
      <c r="AR975" s="277">
        <f t="shared" si="2117"/>
      </c>
      <c r="AS975" s="277">
        <f t="shared" si="2117"/>
      </c>
      <c r="AT975" s="1068">
        <f t="shared" si="2117"/>
      </c>
      <c r="AU975" s="277">
        <f t="shared" si="2117"/>
      </c>
      <c r="AV975" s="277">
        <f t="shared" si="2117"/>
      </c>
      <c r="AW975" s="277">
        <f t="shared" si="2117"/>
      </c>
      <c r="AX975" s="277">
        <f t="shared" si="2117"/>
      </c>
      <c r="AY975" s="1068">
        <f t="shared" si="2117"/>
      </c>
      <c r="AZ975" s="277">
        <f t="shared" si="2117"/>
      </c>
      <c r="BA975" s="277">
        <f t="shared" si="2117"/>
      </c>
      <c r="BB975" s="277">
        <f t="shared" si="2117"/>
      </c>
      <c r="BC975" s="277">
        <f t="shared" ref="BC975:BD975" si="2118">BC983/(BC983+BC999)</f>
      </c>
      <c r="BD975" s="1068">
        <f t="shared" si="2118"/>
      </c>
      <c r="BE975" s="277">
        <f t="shared" ref="BE975:BI975" si="2119">BE983/(BE983+BE999)</f>
      </c>
      <c r="BF975" s="277">
        <f t="shared" si="2119"/>
      </c>
      <c r="BG975" s="277">
        <f t="shared" si="2119"/>
      </c>
      <c r="BH975" s="277">
        <f t="shared" si="2119"/>
      </c>
      <c r="BI975" s="1068">
        <f t="shared" si="2119"/>
      </c>
      <c r="BJ975" s="277">
        <f t="shared" ref="BJ975:BN975" si="2120">BJ983/(BJ983+BJ999)</f>
      </c>
      <c r="BK975" s="277">
        <f t="shared" si="2120"/>
      </c>
      <c r="BL975" s="277">
        <f t="shared" si="2120"/>
      </c>
      <c r="BM975" s="277">
        <f t="shared" si="2120"/>
      </c>
      <c r="BN975" s="1068">
        <f t="shared" si="2120"/>
      </c>
      <c r="BO975" s="277">
        <f t="shared" ref="BO975:CF975" si="2121">BO983/(BO983+BO999)</f>
      </c>
      <c r="BP975" s="277">
        <f t="shared" si="2121"/>
      </c>
      <c r="BQ975" s="277">
        <f t="shared" si="2121"/>
      </c>
      <c r="BR975" s="277">
        <f t="shared" si="2121"/>
      </c>
      <c r="BS975" s="1068">
        <f t="shared" si="2121"/>
      </c>
      <c r="BT975" s="715">
        <f>BT983/(BT983+BT999)</f>
      </c>
      <c r="BU975" s="277">
        <f t="shared" si="2121"/>
      </c>
      <c r="BV975" s="277">
        <f t="shared" si="2121"/>
      </c>
      <c r="BW975" s="277">
        <f t="shared" si="2121"/>
      </c>
      <c r="BX975" s="1068">
        <f t="shared" si="2121"/>
      </c>
      <c r="BY975" s="277">
        <f t="shared" si="2121"/>
      </c>
      <c r="BZ975" s="277">
        <f t="shared" si="2121"/>
      </c>
      <c r="CA975" s="277">
        <f t="shared" si="2121"/>
      </c>
      <c r="CB975" s="277">
        <f t="shared" si="2121"/>
      </c>
      <c r="CC975" s="1068">
        <f t="shared" si="2121"/>
      </c>
      <c r="CD975" s="1068">
        <f t="shared" si="2121"/>
      </c>
      <c r="CE975" s="1068">
        <f t="shared" si="2121"/>
      </c>
      <c r="CF975" s="1068">
        <f t="shared" si="2121"/>
      </c>
      <c r="CG975" s="237"/>
    </row>
    <row r="976" spans="1:85" hidden="1" outlineLevel="1" x14ac:dyDescent="0.3">
      <c r="A976" s="439" t="s">
        <v>795</v>
      </c>
      <c r="B976" s="439"/>
      <c r="C976" s="1068">
        <f t="shared" ref="C976:AH976" si="2122">C983/C1000</f>
      </c>
      <c r="D976" s="1068">
        <f t="shared" si="2122"/>
      </c>
      <c r="E976" s="1068">
        <f t="shared" si="2122"/>
      </c>
      <c r="F976" s="1068">
        <f t="shared" si="2122"/>
      </c>
      <c r="G976" s="277">
        <f t="shared" si="2122"/>
      </c>
      <c r="H976" s="277">
        <f t="shared" si="2122"/>
      </c>
      <c r="I976" s="277">
        <f t="shared" si="2122"/>
      </c>
      <c r="J976" s="277">
        <f t="shared" si="2122"/>
      </c>
      <c r="K976" s="1068">
        <f t="shared" si="2122"/>
      </c>
      <c r="L976" s="277">
        <f t="shared" si="2122"/>
      </c>
      <c r="M976" s="277">
        <f t="shared" si="2122"/>
      </c>
      <c r="N976" s="277">
        <f t="shared" si="2122"/>
      </c>
      <c r="O976" s="277">
        <f t="shared" si="2122"/>
      </c>
      <c r="P976" s="1068">
        <f t="shared" si="2122"/>
      </c>
      <c r="Q976" s="277">
        <f t="shared" si="2122"/>
      </c>
      <c r="R976" s="277">
        <f t="shared" si="2122"/>
      </c>
      <c r="S976" s="277">
        <f t="shared" si="2122"/>
      </c>
      <c r="T976" s="277">
        <f t="shared" si="2122"/>
      </c>
      <c r="U976" s="1068">
        <f t="shared" si="2122"/>
      </c>
      <c r="V976" s="277">
        <f t="shared" si="2122"/>
      </c>
      <c r="W976" s="277">
        <f t="shared" si="2122"/>
      </c>
      <c r="X976" s="277">
        <f t="shared" si="2122"/>
      </c>
      <c r="Y976" s="277">
        <f t="shared" si="2122"/>
      </c>
      <c r="Z976" s="1068">
        <f t="shared" si="2122"/>
      </c>
      <c r="AA976" s="277">
        <f t="shared" si="2122"/>
      </c>
      <c r="AB976" s="277">
        <f t="shared" si="2122"/>
      </c>
      <c r="AC976" s="277">
        <f t="shared" si="2122"/>
      </c>
      <c r="AD976" s="277">
        <f t="shared" si="2122"/>
      </c>
      <c r="AE976" s="1068">
        <f t="shared" si="2122"/>
      </c>
      <c r="AF976" s="277">
        <f t="shared" si="2122"/>
      </c>
      <c r="AG976" s="277">
        <f t="shared" si="2122"/>
      </c>
      <c r="AH976" s="277">
        <f t="shared" si="2122"/>
      </c>
      <c r="AI976" s="277">
        <f t="shared" ref="AI976:BB976" si="2123">AI983/AI1000</f>
      </c>
      <c r="AJ976" s="1068">
        <f t="shared" si="2123"/>
      </c>
      <c r="AK976" s="277">
        <f t="shared" si="2123"/>
      </c>
      <c r="AL976" s="277">
        <f t="shared" si="2123"/>
      </c>
      <c r="AM976" s="277">
        <f t="shared" si="2123"/>
      </c>
      <c r="AN976" s="277">
        <f t="shared" si="2123"/>
      </c>
      <c r="AO976" s="1068">
        <f t="shared" si="2123"/>
      </c>
      <c r="AP976" s="277">
        <f t="shared" si="2123"/>
      </c>
      <c r="AQ976" s="277">
        <f t="shared" si="2123"/>
      </c>
      <c r="AR976" s="277">
        <f t="shared" si="2123"/>
      </c>
      <c r="AS976" s="277">
        <f t="shared" si="2123"/>
      </c>
      <c r="AT976" s="1068">
        <f t="shared" si="2123"/>
      </c>
      <c r="AU976" s="277">
        <f t="shared" si="2123"/>
      </c>
      <c r="AV976" s="277">
        <f t="shared" si="2123"/>
      </c>
      <c r="AW976" s="277">
        <f t="shared" si="2123"/>
      </c>
      <c r="AX976" s="277">
        <f t="shared" si="2123"/>
      </c>
      <c r="AY976" s="1068">
        <f t="shared" si="2123"/>
      </c>
      <c r="AZ976" s="277">
        <f t="shared" si="2123"/>
      </c>
      <c r="BA976" s="277">
        <f t="shared" si="2123"/>
      </c>
      <c r="BB976" s="277">
        <f t="shared" si="2123"/>
      </c>
      <c r="BC976" s="277">
        <f t="shared" ref="BC976:BD976" si="2124">BC983/BC1000</f>
      </c>
      <c r="BD976" s="1068">
        <f t="shared" si="2124"/>
      </c>
      <c r="BE976" s="277">
        <f t="shared" ref="BE976:BI976" si="2125">BE983/BE1000</f>
      </c>
      <c r="BF976" s="277">
        <f t="shared" si="2125"/>
      </c>
      <c r="BG976" s="277">
        <f t="shared" si="2125"/>
      </c>
      <c r="BH976" s="277">
        <f t="shared" si="2125"/>
      </c>
      <c r="BI976" s="1068">
        <f t="shared" si="2125"/>
      </c>
      <c r="BJ976" s="277">
        <f t="shared" ref="BJ976:BN976" si="2126">BJ983/BJ1000</f>
      </c>
      <c r="BK976" s="277">
        <f t="shared" si="2126"/>
      </c>
      <c r="BL976" s="277">
        <f t="shared" si="2126"/>
      </c>
      <c r="BM976" s="277">
        <f t="shared" si="2126"/>
      </c>
      <c r="BN976" s="1068">
        <f t="shared" si="2126"/>
      </c>
      <c r="BO976" s="277">
        <f t="shared" ref="BO976:CF976" si="2127">BO983/BO1000</f>
      </c>
      <c r="BP976" s="277">
        <f t="shared" si="2127"/>
      </c>
      <c r="BQ976" s="277">
        <f t="shared" si="2127"/>
      </c>
      <c r="BR976" s="277">
        <f t="shared" si="2127"/>
      </c>
      <c r="BS976" s="1068">
        <f t="shared" si="2127"/>
      </c>
      <c r="BT976" s="715">
        <f>BT983/BT1000</f>
      </c>
      <c r="BU976" s="277">
        <f t="shared" si="2127"/>
      </c>
      <c r="BV976" s="277">
        <f t="shared" si="2127"/>
      </c>
      <c r="BW976" s="277">
        <f t="shared" si="2127"/>
      </c>
      <c r="BX976" s="1068">
        <f t="shared" si="2127"/>
      </c>
      <c r="BY976" s="277">
        <f t="shared" si="2127"/>
      </c>
      <c r="BZ976" s="277">
        <f t="shared" si="2127"/>
      </c>
      <c r="CA976" s="277">
        <f t="shared" si="2127"/>
      </c>
      <c r="CB976" s="277">
        <f t="shared" si="2127"/>
      </c>
      <c r="CC976" s="1068">
        <f t="shared" si="2127"/>
      </c>
      <c r="CD976" s="1068">
        <f t="shared" si="2127"/>
      </c>
      <c r="CE976" s="1068">
        <f t="shared" si="2127"/>
      </c>
      <c r="CF976" s="1068">
        <f t="shared" si="2127"/>
      </c>
      <c r="CG976" s="237"/>
    </row>
    <row r="977" spans="1:85" hidden="1" outlineLevel="1" x14ac:dyDescent="0.3">
      <c r="A977" s="439" t="s">
        <v>796</v>
      </c>
      <c r="B977" s="439"/>
      <c r="C977" s="1068">
        <f t="shared" ref="C977:AH977" si="2128">C983/C1001</f>
      </c>
      <c r="D977" s="1068">
        <f t="shared" si="2128"/>
      </c>
      <c r="E977" s="1068">
        <f t="shared" si="2128"/>
      </c>
      <c r="F977" s="1068">
        <f t="shared" si="2128"/>
      </c>
      <c r="G977" s="277">
        <f t="shared" si="2128"/>
      </c>
      <c r="H977" s="277">
        <f t="shared" si="2128"/>
      </c>
      <c r="I977" s="277">
        <f t="shared" si="2128"/>
      </c>
      <c r="J977" s="277">
        <f t="shared" si="2128"/>
      </c>
      <c r="K977" s="1068">
        <f t="shared" si="2128"/>
      </c>
      <c r="L977" s="277">
        <f t="shared" si="2128"/>
      </c>
      <c r="M977" s="277">
        <f t="shared" si="2128"/>
      </c>
      <c r="N977" s="277">
        <f t="shared" si="2128"/>
      </c>
      <c r="O977" s="277">
        <f t="shared" si="2128"/>
      </c>
      <c r="P977" s="1068">
        <f t="shared" si="2128"/>
      </c>
      <c r="Q977" s="277">
        <f t="shared" si="2128"/>
      </c>
      <c r="R977" s="277">
        <f t="shared" si="2128"/>
      </c>
      <c r="S977" s="277">
        <f t="shared" si="2128"/>
      </c>
      <c r="T977" s="277">
        <f t="shared" si="2128"/>
      </c>
      <c r="U977" s="1068">
        <f t="shared" si="2128"/>
      </c>
      <c r="V977" s="277">
        <f t="shared" si="2128"/>
      </c>
      <c r="W977" s="277">
        <f t="shared" si="2128"/>
      </c>
      <c r="X977" s="277">
        <f t="shared" si="2128"/>
      </c>
      <c r="Y977" s="277">
        <f t="shared" si="2128"/>
      </c>
      <c r="Z977" s="1068">
        <f t="shared" si="2128"/>
      </c>
      <c r="AA977" s="277">
        <f t="shared" si="2128"/>
      </c>
      <c r="AB977" s="277">
        <f t="shared" si="2128"/>
      </c>
      <c r="AC977" s="277">
        <f t="shared" si="2128"/>
      </c>
      <c r="AD977" s="277">
        <f t="shared" si="2128"/>
      </c>
      <c r="AE977" s="1068">
        <f t="shared" si="2128"/>
      </c>
      <c r="AF977" s="277">
        <f t="shared" si="2128"/>
      </c>
      <c r="AG977" s="277">
        <f t="shared" si="2128"/>
      </c>
      <c r="AH977" s="277">
        <f t="shared" si="2128"/>
      </c>
      <c r="AI977" s="277">
        <f t="shared" ref="AI977:BB977" si="2129">AI983/AI1001</f>
      </c>
      <c r="AJ977" s="1068">
        <f t="shared" si="2129"/>
      </c>
      <c r="AK977" s="277">
        <f t="shared" si="2129"/>
      </c>
      <c r="AL977" s="277">
        <f t="shared" si="2129"/>
      </c>
      <c r="AM977" s="277">
        <f t="shared" si="2129"/>
      </c>
      <c r="AN977" s="277">
        <f t="shared" si="2129"/>
      </c>
      <c r="AO977" s="1068">
        <f t="shared" si="2129"/>
      </c>
      <c r="AP977" s="277">
        <f t="shared" si="2129"/>
      </c>
      <c r="AQ977" s="277">
        <f t="shared" si="2129"/>
      </c>
      <c r="AR977" s="277">
        <f t="shared" si="2129"/>
      </c>
      <c r="AS977" s="277">
        <f t="shared" si="2129"/>
      </c>
      <c r="AT977" s="1068">
        <f t="shared" si="2129"/>
      </c>
      <c r="AU977" s="277">
        <f t="shared" si="2129"/>
      </c>
      <c r="AV977" s="277">
        <f t="shared" si="2129"/>
      </c>
      <c r="AW977" s="277">
        <f t="shared" si="2129"/>
      </c>
      <c r="AX977" s="277">
        <f t="shared" si="2129"/>
      </c>
      <c r="AY977" s="1068">
        <f t="shared" si="2129"/>
      </c>
      <c r="AZ977" s="277">
        <f t="shared" si="2129"/>
      </c>
      <c r="BA977" s="277">
        <f t="shared" si="2129"/>
      </c>
      <c r="BB977" s="277">
        <f t="shared" si="2129"/>
      </c>
      <c r="BC977" s="277">
        <f t="shared" ref="BC977:BD977" si="2130">BC983/BC1001</f>
      </c>
      <c r="BD977" s="1068">
        <f t="shared" si="2130"/>
      </c>
      <c r="BE977" s="277">
        <f t="shared" ref="BE977:BI977" si="2131">BE983/BE1001</f>
      </c>
      <c r="BF977" s="277">
        <f t="shared" si="2131"/>
      </c>
      <c r="BG977" s="277">
        <f t="shared" si="2131"/>
      </c>
      <c r="BH977" s="277">
        <f t="shared" si="2131"/>
      </c>
      <c r="BI977" s="1068">
        <f t="shared" si="2131"/>
      </c>
      <c r="BJ977" s="277">
        <f t="shared" ref="BJ977:BN977" si="2132">BJ983/BJ1001</f>
      </c>
      <c r="BK977" s="277">
        <f t="shared" si="2132"/>
      </c>
      <c r="BL977" s="277">
        <f t="shared" si="2132"/>
      </c>
      <c r="BM977" s="277">
        <f t="shared" si="2132"/>
      </c>
      <c r="BN977" s="1068">
        <f t="shared" si="2132"/>
      </c>
      <c r="BO977" s="277">
        <f t="shared" ref="BO977:CF977" si="2133">BO983/BO1001</f>
      </c>
      <c r="BP977" s="277">
        <f t="shared" si="2133"/>
      </c>
      <c r="BQ977" s="277">
        <f t="shared" si="2133"/>
      </c>
      <c r="BR977" s="277">
        <f t="shared" si="2133"/>
      </c>
      <c r="BS977" s="1068">
        <f t="shared" si="2133"/>
      </c>
      <c r="BT977" s="715">
        <f>BT983/BT1001</f>
      </c>
      <c r="BU977" s="277">
        <f t="shared" si="2133"/>
      </c>
      <c r="BV977" s="277">
        <f t="shared" si="2133"/>
      </c>
      <c r="BW977" s="277">
        <f t="shared" si="2133"/>
      </c>
      <c r="BX977" s="1068">
        <f t="shared" si="2133"/>
      </c>
      <c r="BY977" s="277">
        <f t="shared" si="2133"/>
      </c>
      <c r="BZ977" s="277">
        <f t="shared" si="2133"/>
      </c>
      <c r="CA977" s="277">
        <f t="shared" si="2133"/>
      </c>
      <c r="CB977" s="277">
        <f t="shared" si="2133"/>
      </c>
      <c r="CC977" s="1068">
        <f t="shared" si="2133"/>
      </c>
      <c r="CD977" s="1068">
        <f t="shared" si="2133"/>
      </c>
      <c r="CE977" s="1068">
        <f t="shared" si="2133"/>
      </c>
      <c r="CF977" s="1068">
        <f t="shared" si="2133"/>
      </c>
      <c r="CG977" s="237"/>
    </row>
    <row r="978" spans="1:85" hidden="1" outlineLevel="1" x14ac:dyDescent="0.3">
      <c r="A978" s="439" t="s">
        <v>797</v>
      </c>
      <c r="B978" s="439"/>
      <c r="C978" s="1068">
        <f t="shared" ref="C978:AH978" si="2134">C1003/C1004</f>
      </c>
      <c r="D978" s="1068">
        <f t="shared" si="2134"/>
      </c>
      <c r="E978" s="1068">
        <f t="shared" si="2134"/>
      </c>
      <c r="F978" s="1068">
        <f t="shared" si="2134"/>
      </c>
      <c r="G978" s="277">
        <f t="shared" si="2134"/>
      </c>
      <c r="H978" s="277">
        <f t="shared" si="2134"/>
      </c>
      <c r="I978" s="277">
        <f t="shared" si="2134"/>
      </c>
      <c r="J978" s="277">
        <f t="shared" si="2134"/>
      </c>
      <c r="K978" s="1068">
        <f t="shared" si="2134"/>
      </c>
      <c r="L978" s="277">
        <f t="shared" si="2134"/>
      </c>
      <c r="M978" s="277">
        <f t="shared" si="2134"/>
      </c>
      <c r="N978" s="277">
        <f t="shared" si="2134"/>
      </c>
      <c r="O978" s="277">
        <f t="shared" si="2134"/>
      </c>
      <c r="P978" s="1068">
        <f t="shared" si="2134"/>
      </c>
      <c r="Q978" s="277">
        <f t="shared" si="2134"/>
      </c>
      <c r="R978" s="277">
        <f t="shared" si="2134"/>
      </c>
      <c r="S978" s="277">
        <f t="shared" si="2134"/>
      </c>
      <c r="T978" s="277">
        <f t="shared" si="2134"/>
      </c>
      <c r="U978" s="1068">
        <f t="shared" si="2134"/>
      </c>
      <c r="V978" s="277">
        <f t="shared" si="2134"/>
      </c>
      <c r="W978" s="277">
        <f t="shared" si="2134"/>
      </c>
      <c r="X978" s="277">
        <f t="shared" si="2134"/>
      </c>
      <c r="Y978" s="277">
        <f t="shared" si="2134"/>
      </c>
      <c r="Z978" s="1068">
        <f t="shared" si="2134"/>
      </c>
      <c r="AA978" s="277">
        <f t="shared" si="2134"/>
      </c>
      <c r="AB978" s="277">
        <f t="shared" si="2134"/>
      </c>
      <c r="AC978" s="277">
        <f t="shared" si="2134"/>
      </c>
      <c r="AD978" s="277">
        <f t="shared" si="2134"/>
      </c>
      <c r="AE978" s="1068">
        <f t="shared" si="2134"/>
      </c>
      <c r="AF978" s="277">
        <f t="shared" si="2134"/>
      </c>
      <c r="AG978" s="277">
        <f t="shared" si="2134"/>
      </c>
      <c r="AH978" s="277">
        <f t="shared" si="2134"/>
      </c>
      <c r="AI978" s="277">
        <f t="shared" ref="AI978:BB978" si="2135">AI1003/AI1004</f>
      </c>
      <c r="AJ978" s="1068">
        <f t="shared" si="2135"/>
      </c>
      <c r="AK978" s="277">
        <f t="shared" si="2135"/>
      </c>
      <c r="AL978" s="277">
        <f t="shared" si="2135"/>
      </c>
      <c r="AM978" s="277">
        <f t="shared" si="2135"/>
      </c>
      <c r="AN978" s="277">
        <f t="shared" si="2135"/>
      </c>
      <c r="AO978" s="1068">
        <f t="shared" si="2135"/>
      </c>
      <c r="AP978" s="277">
        <f t="shared" si="2135"/>
      </c>
      <c r="AQ978" s="277">
        <f t="shared" si="2135"/>
      </c>
      <c r="AR978" s="277">
        <f t="shared" si="2135"/>
      </c>
      <c r="AS978" s="277">
        <f t="shared" si="2135"/>
      </c>
      <c r="AT978" s="1068">
        <f t="shared" si="2135"/>
      </c>
      <c r="AU978" s="277">
        <f t="shared" si="2135"/>
      </c>
      <c r="AV978" s="277">
        <f t="shared" si="2135"/>
      </c>
      <c r="AW978" s="277">
        <f t="shared" si="2135"/>
      </c>
      <c r="AX978" s="277">
        <f t="shared" si="2135"/>
      </c>
      <c r="AY978" s="1068">
        <f t="shared" si="2135"/>
      </c>
      <c r="AZ978" s="277">
        <f t="shared" si="2135"/>
      </c>
      <c r="BA978" s="277">
        <f t="shared" si="2135"/>
      </c>
      <c r="BB978" s="277">
        <f t="shared" si="2135"/>
      </c>
      <c r="BC978" s="277">
        <f t="shared" ref="BC978:BD978" si="2136">BC1003/BC1004</f>
      </c>
      <c r="BD978" s="1068">
        <f t="shared" si="2136"/>
      </c>
      <c r="BE978" s="277">
        <f t="shared" ref="BE978:BI978" si="2137">BE1003/BE1004</f>
      </c>
      <c r="BF978" s="277">
        <f t="shared" si="2137"/>
      </c>
      <c r="BG978" s="277">
        <f t="shared" si="2137"/>
      </c>
      <c r="BH978" s="277">
        <f t="shared" si="2137"/>
      </c>
      <c r="BI978" s="1068">
        <f t="shared" si="2137"/>
      </c>
      <c r="BJ978" s="277">
        <f t="shared" ref="BJ978:BN978" si="2138">BJ1003/BJ1004</f>
      </c>
      <c r="BK978" s="277">
        <f t="shared" si="2138"/>
      </c>
      <c r="BL978" s="277">
        <f t="shared" si="2138"/>
      </c>
      <c r="BM978" s="277">
        <f t="shared" si="2138"/>
      </c>
      <c r="BN978" s="1068">
        <f t="shared" si="2138"/>
      </c>
      <c r="BO978" s="277">
        <f t="shared" ref="BO978:CF978" si="2139">BO1003/BO1004</f>
      </c>
      <c r="BP978" s="277">
        <f t="shared" si="2139"/>
      </c>
      <c r="BQ978" s="277">
        <f t="shared" si="2139"/>
      </c>
      <c r="BR978" s="277">
        <f t="shared" si="2139"/>
      </c>
      <c r="BS978" s="1068">
        <f t="shared" si="2139"/>
      </c>
      <c r="BT978" s="715">
        <f>BT1003/BT1004</f>
      </c>
      <c r="BU978" s="277">
        <f t="shared" si="2139"/>
      </c>
      <c r="BV978" s="277">
        <f t="shared" si="2139"/>
      </c>
      <c r="BW978" s="277">
        <f t="shared" si="2139"/>
      </c>
      <c r="BX978" s="1068">
        <f t="shared" si="2139"/>
      </c>
      <c r="BY978" s="277">
        <f t="shared" si="2139"/>
      </c>
      <c r="BZ978" s="277">
        <f t="shared" si="2139"/>
      </c>
      <c r="CA978" s="277">
        <f t="shared" si="2139"/>
      </c>
      <c r="CB978" s="277">
        <f t="shared" si="2139"/>
      </c>
      <c r="CC978" s="1068">
        <f t="shared" si="2139"/>
      </c>
      <c r="CD978" s="1068">
        <f t="shared" si="2139"/>
      </c>
      <c r="CE978" s="1068">
        <f t="shared" si="2139"/>
      </c>
      <c r="CF978" s="1068">
        <f t="shared" si="2139"/>
      </c>
      <c r="CG978" s="237"/>
    </row>
    <row r="979" spans="1:85" hidden="1" outlineLevel="1" x14ac:dyDescent="0.3">
      <c r="A979" s="439" t="s">
        <v>798</v>
      </c>
      <c r="B979" s="439"/>
      <c r="C979" s="1068">
        <f t="shared" ref="C979:AH979" si="2140">C1002/C1004</f>
      </c>
      <c r="D979" s="1068">
        <f t="shared" si="2140"/>
      </c>
      <c r="E979" s="1068">
        <f t="shared" si="2140"/>
      </c>
      <c r="F979" s="1068">
        <f t="shared" si="2140"/>
      </c>
      <c r="G979" s="277">
        <f t="shared" si="2140"/>
      </c>
      <c r="H979" s="277">
        <f t="shared" si="2140"/>
      </c>
      <c r="I979" s="277">
        <f t="shared" si="2140"/>
      </c>
      <c r="J979" s="277">
        <f t="shared" si="2140"/>
      </c>
      <c r="K979" s="1068">
        <f t="shared" si="2140"/>
      </c>
      <c r="L979" s="277">
        <f t="shared" si="2140"/>
      </c>
      <c r="M979" s="277">
        <f t="shared" si="2140"/>
      </c>
      <c r="N979" s="277">
        <f t="shared" si="2140"/>
      </c>
      <c r="O979" s="277">
        <f t="shared" si="2140"/>
      </c>
      <c r="P979" s="1068">
        <f t="shared" si="2140"/>
      </c>
      <c r="Q979" s="277">
        <f t="shared" si="2140"/>
      </c>
      <c r="R979" s="277">
        <f t="shared" si="2140"/>
      </c>
      <c r="S979" s="277">
        <f t="shared" si="2140"/>
      </c>
      <c r="T979" s="277">
        <f t="shared" si="2140"/>
      </c>
      <c r="U979" s="1068">
        <f t="shared" si="2140"/>
      </c>
      <c r="V979" s="277">
        <f t="shared" si="2140"/>
      </c>
      <c r="W979" s="277">
        <f t="shared" si="2140"/>
      </c>
      <c r="X979" s="277">
        <f t="shared" si="2140"/>
      </c>
      <c r="Y979" s="277">
        <f t="shared" si="2140"/>
      </c>
      <c r="Z979" s="1068">
        <f t="shared" si="2140"/>
      </c>
      <c r="AA979" s="277">
        <f t="shared" si="2140"/>
      </c>
      <c r="AB979" s="277">
        <f t="shared" si="2140"/>
      </c>
      <c r="AC979" s="277">
        <f t="shared" si="2140"/>
      </c>
      <c r="AD979" s="277">
        <f t="shared" si="2140"/>
      </c>
      <c r="AE979" s="1068">
        <f t="shared" si="2140"/>
      </c>
      <c r="AF979" s="277">
        <f t="shared" si="2140"/>
      </c>
      <c r="AG979" s="277">
        <f t="shared" si="2140"/>
      </c>
      <c r="AH979" s="277">
        <f t="shared" si="2140"/>
      </c>
      <c r="AI979" s="277">
        <f t="shared" ref="AI979:BB979" si="2141">AI1002/AI1004</f>
      </c>
      <c r="AJ979" s="1068">
        <f t="shared" si="2141"/>
      </c>
      <c r="AK979" s="277">
        <f t="shared" si="2141"/>
      </c>
      <c r="AL979" s="277">
        <f t="shared" si="2141"/>
      </c>
      <c r="AM979" s="277">
        <f t="shared" si="2141"/>
      </c>
      <c r="AN979" s="277">
        <f t="shared" si="2141"/>
      </c>
      <c r="AO979" s="1068">
        <f t="shared" si="2141"/>
      </c>
      <c r="AP979" s="277">
        <f t="shared" si="2141"/>
      </c>
      <c r="AQ979" s="277">
        <f t="shared" si="2141"/>
      </c>
      <c r="AR979" s="277">
        <f t="shared" si="2141"/>
      </c>
      <c r="AS979" s="277">
        <f t="shared" si="2141"/>
      </c>
      <c r="AT979" s="1068">
        <f t="shared" si="2141"/>
      </c>
      <c r="AU979" s="277">
        <f t="shared" si="2141"/>
      </c>
      <c r="AV979" s="277">
        <f t="shared" si="2141"/>
      </c>
      <c r="AW979" s="277">
        <f t="shared" si="2141"/>
      </c>
      <c r="AX979" s="277">
        <f t="shared" si="2141"/>
      </c>
      <c r="AY979" s="1068">
        <f t="shared" si="2141"/>
      </c>
      <c r="AZ979" s="277">
        <f t="shared" si="2141"/>
      </c>
      <c r="BA979" s="277">
        <f t="shared" si="2141"/>
      </c>
      <c r="BB979" s="277">
        <f t="shared" si="2141"/>
      </c>
      <c r="BC979" s="277">
        <f t="shared" ref="BC979:BD979" si="2142">BC1002/BC1004</f>
      </c>
      <c r="BD979" s="1068">
        <f t="shared" si="2142"/>
      </c>
      <c r="BE979" s="277">
        <f t="shared" ref="BE979:BI979" si="2143">BE1002/BE1004</f>
      </c>
      <c r="BF979" s="277">
        <f t="shared" si="2143"/>
      </c>
      <c r="BG979" s="277">
        <f t="shared" si="2143"/>
      </c>
      <c r="BH979" s="277">
        <f t="shared" si="2143"/>
      </c>
      <c r="BI979" s="1068">
        <f t="shared" si="2143"/>
      </c>
      <c r="BJ979" s="277">
        <f t="shared" ref="BJ979:BN979" si="2144">BJ1002/BJ1004</f>
      </c>
      <c r="BK979" s="277">
        <f t="shared" si="2144"/>
      </c>
      <c r="BL979" s="277">
        <f t="shared" si="2144"/>
      </c>
      <c r="BM979" s="277">
        <f t="shared" si="2144"/>
      </c>
      <c r="BN979" s="1068">
        <f t="shared" si="2144"/>
      </c>
      <c r="BO979" s="277">
        <f t="shared" ref="BO979:CF979" si="2145">BO1002/BO1004</f>
      </c>
      <c r="BP979" s="277">
        <f t="shared" si="2145"/>
      </c>
      <c r="BQ979" s="277">
        <f t="shared" si="2145"/>
      </c>
      <c r="BR979" s="277">
        <f t="shared" si="2145"/>
      </c>
      <c r="BS979" s="1068">
        <f t="shared" si="2145"/>
      </c>
      <c r="BT979" s="715">
        <f>BT1002/BT1004</f>
      </c>
      <c r="BU979" s="277">
        <f t="shared" si="2145"/>
      </c>
      <c r="BV979" s="277">
        <f t="shared" si="2145"/>
      </c>
      <c r="BW979" s="277">
        <f t="shared" si="2145"/>
      </c>
      <c r="BX979" s="1068">
        <f t="shared" si="2145"/>
      </c>
      <c r="BY979" s="277">
        <f t="shared" si="2145"/>
      </c>
      <c r="BZ979" s="277">
        <f t="shared" si="2145"/>
      </c>
      <c r="CA979" s="277">
        <f t="shared" si="2145"/>
      </c>
      <c r="CB979" s="277">
        <f t="shared" si="2145"/>
      </c>
      <c r="CC979" s="1068">
        <f t="shared" si="2145"/>
      </c>
      <c r="CD979" s="1068">
        <f t="shared" si="2145"/>
      </c>
      <c r="CE979" s="1068">
        <f t="shared" si="2145"/>
      </c>
      <c r="CF979" s="1068">
        <f t="shared" si="2145"/>
      </c>
      <c r="CG979" s="237"/>
    </row>
    <row r="980" spans="1:85" hidden="1" outlineLevel="1" x14ac:dyDescent="0.3">
      <c r="A980" s="439" t="s">
        <v>799</v>
      </c>
      <c r="B980" s="439"/>
      <c r="C980" s="1068">
        <f t="shared" ref="C980:AH980" si="2146">C985/C1004</f>
      </c>
      <c r="D980" s="1068">
        <f t="shared" si="2146"/>
      </c>
      <c r="E980" s="1068">
        <f t="shared" si="2146"/>
      </c>
      <c r="F980" s="1068">
        <f t="shared" si="2146"/>
      </c>
      <c r="G980" s="277">
        <f t="shared" si="2146"/>
      </c>
      <c r="H980" s="277">
        <f t="shared" si="2146"/>
      </c>
      <c r="I980" s="277">
        <f t="shared" si="2146"/>
      </c>
      <c r="J980" s="277">
        <f t="shared" si="2146"/>
      </c>
      <c r="K980" s="1068">
        <f t="shared" si="2146"/>
      </c>
      <c r="L980" s="277">
        <f t="shared" si="2146"/>
      </c>
      <c r="M980" s="277">
        <f t="shared" si="2146"/>
      </c>
      <c r="N980" s="277">
        <f t="shared" si="2146"/>
      </c>
      <c r="O980" s="277">
        <f t="shared" si="2146"/>
      </c>
      <c r="P980" s="1068">
        <f t="shared" si="2146"/>
      </c>
      <c r="Q980" s="277">
        <f t="shared" si="2146"/>
      </c>
      <c r="R980" s="277">
        <f t="shared" si="2146"/>
      </c>
      <c r="S980" s="277">
        <f t="shared" si="2146"/>
      </c>
      <c r="T980" s="277">
        <f t="shared" si="2146"/>
      </c>
      <c r="U980" s="1068">
        <f t="shared" si="2146"/>
      </c>
      <c r="V980" s="277">
        <f t="shared" si="2146"/>
      </c>
      <c r="W980" s="277">
        <f t="shared" si="2146"/>
      </c>
      <c r="X980" s="277">
        <f t="shared" si="2146"/>
      </c>
      <c r="Y980" s="277">
        <f t="shared" si="2146"/>
      </c>
      <c r="Z980" s="1068">
        <f t="shared" si="2146"/>
      </c>
      <c r="AA980" s="277">
        <f t="shared" si="2146"/>
      </c>
      <c r="AB980" s="277">
        <f t="shared" si="2146"/>
      </c>
      <c r="AC980" s="277">
        <f t="shared" si="2146"/>
      </c>
      <c r="AD980" s="277">
        <f t="shared" si="2146"/>
      </c>
      <c r="AE980" s="1068">
        <f t="shared" si="2146"/>
      </c>
      <c r="AF980" s="277">
        <f t="shared" si="2146"/>
      </c>
      <c r="AG980" s="277">
        <f t="shared" si="2146"/>
      </c>
      <c r="AH980" s="277">
        <f t="shared" si="2146"/>
      </c>
      <c r="AI980" s="277">
        <f t="shared" ref="AI980:BB980" si="2147">AI985/AI1004</f>
      </c>
      <c r="AJ980" s="1068">
        <f t="shared" si="2147"/>
      </c>
      <c r="AK980" s="277">
        <f t="shared" si="2147"/>
      </c>
      <c r="AL980" s="277">
        <f t="shared" si="2147"/>
      </c>
      <c r="AM980" s="277">
        <f t="shared" si="2147"/>
      </c>
      <c r="AN980" s="277">
        <f t="shared" si="2147"/>
      </c>
      <c r="AO980" s="1068">
        <f t="shared" si="2147"/>
      </c>
      <c r="AP980" s="277">
        <f t="shared" si="2147"/>
      </c>
      <c r="AQ980" s="277">
        <f t="shared" si="2147"/>
      </c>
      <c r="AR980" s="277">
        <f t="shared" si="2147"/>
      </c>
      <c r="AS980" s="277">
        <f t="shared" si="2147"/>
      </c>
      <c r="AT980" s="1068">
        <f t="shared" si="2147"/>
      </c>
      <c r="AU980" s="277">
        <f t="shared" si="2147"/>
      </c>
      <c r="AV980" s="277">
        <f t="shared" si="2147"/>
      </c>
      <c r="AW980" s="277">
        <f t="shared" si="2147"/>
      </c>
      <c r="AX980" s="277">
        <f t="shared" si="2147"/>
      </c>
      <c r="AY980" s="1068">
        <f t="shared" si="2147"/>
      </c>
      <c r="AZ980" s="277">
        <f t="shared" si="2147"/>
      </c>
      <c r="BA980" s="277">
        <f t="shared" si="2147"/>
      </c>
      <c r="BB980" s="277">
        <f t="shared" si="2147"/>
      </c>
      <c r="BC980" s="277">
        <f t="shared" ref="BC980:BD980" si="2148">BC985/BC1004</f>
      </c>
      <c r="BD980" s="1068">
        <f t="shared" si="2148"/>
      </c>
      <c r="BE980" s="277">
        <f t="shared" ref="BE980:BI980" si="2149">BE985/BE1004</f>
      </c>
      <c r="BF980" s="277">
        <f t="shared" si="2149"/>
      </c>
      <c r="BG980" s="277">
        <f t="shared" si="2149"/>
      </c>
      <c r="BH980" s="277">
        <f t="shared" si="2149"/>
      </c>
      <c r="BI980" s="1068">
        <f t="shared" si="2149"/>
      </c>
      <c r="BJ980" s="277">
        <f t="shared" ref="BJ980:BN980" si="2150">BJ985/BJ1004</f>
      </c>
      <c r="BK980" s="277">
        <f t="shared" si="2150"/>
      </c>
      <c r="BL980" s="277">
        <f t="shared" si="2150"/>
      </c>
      <c r="BM980" s="277">
        <f t="shared" si="2150"/>
      </c>
      <c r="BN980" s="1068">
        <f t="shared" si="2150"/>
      </c>
      <c r="BO980" s="277">
        <f t="shared" ref="BO980:CF980" si="2151">BO985/BO1004</f>
      </c>
      <c r="BP980" s="277">
        <f t="shared" si="2151"/>
      </c>
      <c r="BQ980" s="277">
        <f t="shared" si="2151"/>
      </c>
      <c r="BR980" s="277">
        <f t="shared" si="2151"/>
      </c>
      <c r="BS980" s="1068">
        <f t="shared" si="2151"/>
      </c>
      <c r="BT980" s="715">
        <f>BT985/BT1004</f>
      </c>
      <c r="BU980" s="277">
        <f t="shared" si="2151"/>
      </c>
      <c r="BV980" s="277">
        <f t="shared" si="2151"/>
      </c>
      <c r="BW980" s="277">
        <f t="shared" si="2151"/>
      </c>
      <c r="BX980" s="1068">
        <f t="shared" si="2151"/>
      </c>
      <c r="BY980" s="277">
        <f t="shared" si="2151"/>
      </c>
      <c r="BZ980" s="277">
        <f t="shared" si="2151"/>
      </c>
      <c r="CA980" s="277">
        <f t="shared" si="2151"/>
      </c>
      <c r="CB980" s="277">
        <f t="shared" si="2151"/>
      </c>
      <c r="CC980" s="1068">
        <f t="shared" si="2151"/>
      </c>
      <c r="CD980" s="1068">
        <f t="shared" si="2151"/>
      </c>
      <c r="CE980" s="1068">
        <f t="shared" si="2151"/>
      </c>
      <c r="CF980" s="1068">
        <f t="shared" si="2151"/>
      </c>
      <c r="CG980" s="237"/>
    </row>
    <row r="981" spans="1:85" hidden="1" outlineLevel="1" x14ac:dyDescent="0.3">
      <c r="A981" s="274"/>
      <c r="B981" s="274"/>
      <c r="C981" s="1065"/>
      <c r="D981" s="1065"/>
      <c r="E981" s="1065"/>
      <c r="F981" s="1065"/>
      <c r="G981" s="237"/>
      <c r="H981" s="237"/>
      <c r="I981" s="237"/>
      <c r="J981" s="237"/>
      <c r="K981" s="1065"/>
      <c r="L981" s="237"/>
      <c r="M981" s="237"/>
      <c r="N981" s="237"/>
      <c r="O981" s="237"/>
      <c r="P981" s="1065"/>
      <c r="Q981" s="237"/>
      <c r="R981" s="237"/>
      <c r="S981" s="237"/>
      <c r="T981" s="237"/>
      <c r="U981" s="1065"/>
      <c r="V981" s="237"/>
      <c r="W981" s="237"/>
      <c r="X981" s="237"/>
      <c r="Y981" s="237"/>
      <c r="Z981" s="1065"/>
      <c r="AA981" s="237"/>
      <c r="AB981" s="237"/>
      <c r="AC981" s="237"/>
      <c r="AD981" s="237"/>
      <c r="AE981" s="1065"/>
      <c r="AF981" s="237"/>
      <c r="AG981" s="237"/>
      <c r="AH981" s="237"/>
      <c r="AI981" s="237"/>
      <c r="AJ981" s="1065"/>
      <c r="AK981" s="237"/>
      <c r="AL981" s="237"/>
      <c r="AM981" s="237"/>
      <c r="AN981" s="237"/>
      <c r="AO981" s="1065"/>
      <c r="AP981" s="237"/>
      <c r="AQ981" s="237"/>
      <c r="AR981" s="237"/>
      <c r="AS981" s="237"/>
      <c r="AT981" s="1065"/>
      <c r="AU981" s="237"/>
      <c r="AV981" s="237"/>
      <c r="AW981" s="237"/>
      <c r="AX981" s="237"/>
      <c r="AY981" s="1065"/>
      <c r="AZ981" s="237"/>
      <c r="BA981" s="237"/>
      <c r="BB981" s="237"/>
      <c r="BC981" s="237"/>
      <c r="BD981" s="1065"/>
      <c r="BE981" s="237"/>
      <c r="BF981" s="237"/>
      <c r="BG981" s="237"/>
      <c r="BH981" s="237"/>
      <c r="BI981" s="1065"/>
      <c r="BJ981" s="237"/>
      <c r="BK981" s="237"/>
      <c r="BL981" s="237"/>
      <c r="BM981" s="237"/>
      <c r="BN981" s="1065"/>
      <c r="BO981" s="237"/>
      <c r="BP981" s="237"/>
      <c r="BQ981" s="237"/>
      <c r="BR981" s="237"/>
      <c r="BS981" s="1065"/>
      <c r="BT981" s="296"/>
      <c r="BU981" s="237"/>
      <c r="BV981" s="237"/>
      <c r="BW981" s="237"/>
      <c r="BX981" s="1065"/>
      <c r="BY981" s="237"/>
      <c r="BZ981" s="237"/>
      <c r="CA981" s="237"/>
      <c r="CB981" s="237"/>
      <c r="CC981" s="1065"/>
      <c r="CD981" s="1065"/>
      <c r="CE981" s="1065"/>
      <c r="CF981" s="1065"/>
      <c r="CG981" s="129"/>
    </row>
    <row r="982" spans="1:85" hidden="1" outlineLevel="1" x14ac:dyDescent="0.3">
      <c r="A982" s="436" t="s">
        <v>466</v>
      </c>
      <c r="B982" s="442"/>
      <c r="C982" s="962">
        <f t="shared" ref="C982:AH982" si="2152">C751</f>
      </c>
      <c r="D982" s="962">
        <f t="shared" si="2152"/>
      </c>
      <c r="E982" s="962">
        <f t="shared" si="2152"/>
      </c>
      <c r="F982" s="962">
        <f t="shared" si="2152"/>
      </c>
      <c r="G982" s="757">
        <f t="shared" si="2152"/>
      </c>
      <c r="H982" s="757">
        <f t="shared" si="2152"/>
      </c>
      <c r="I982" s="757">
        <f t="shared" si="2152"/>
      </c>
      <c r="J982" s="757">
        <f t="shared" si="2152"/>
      </c>
      <c r="K982" s="962">
        <f t="shared" si="2152"/>
      </c>
      <c r="L982" s="757">
        <f t="shared" si="2152"/>
      </c>
      <c r="M982" s="757">
        <f t="shared" si="2152"/>
      </c>
      <c r="N982" s="757">
        <f t="shared" si="2152"/>
      </c>
      <c r="O982" s="757">
        <f t="shared" si="2152"/>
      </c>
      <c r="P982" s="962">
        <f t="shared" si="2152"/>
      </c>
      <c r="Q982" s="757">
        <f t="shared" si="2152"/>
      </c>
      <c r="R982" s="757">
        <f t="shared" si="2152"/>
      </c>
      <c r="S982" s="757">
        <f t="shared" si="2152"/>
      </c>
      <c r="T982" s="757">
        <f t="shared" si="2152"/>
      </c>
      <c r="U982" s="962">
        <f t="shared" si="2152"/>
      </c>
      <c r="V982" s="757">
        <f t="shared" si="2152"/>
      </c>
      <c r="W982" s="757">
        <f t="shared" si="2152"/>
      </c>
      <c r="X982" s="757">
        <f t="shared" si="2152"/>
      </c>
      <c r="Y982" s="757">
        <f t="shared" si="2152"/>
      </c>
      <c r="Z982" s="962">
        <f t="shared" si="2152"/>
      </c>
      <c r="AA982" s="757">
        <f t="shared" si="2152"/>
      </c>
      <c r="AB982" s="757">
        <f t="shared" si="2152"/>
      </c>
      <c r="AC982" s="757">
        <f t="shared" si="2152"/>
      </c>
      <c r="AD982" s="757">
        <f t="shared" si="2152"/>
      </c>
      <c r="AE982" s="962">
        <f t="shared" si="2152"/>
      </c>
      <c r="AF982" s="757">
        <f t="shared" si="2152"/>
      </c>
      <c r="AG982" s="757">
        <f t="shared" si="2152"/>
      </c>
      <c r="AH982" s="757">
        <f t="shared" si="2152"/>
      </c>
      <c r="AI982" s="757">
        <f t="shared" ref="AI982:BB982" si="2153">AI751</f>
      </c>
      <c r="AJ982" s="962">
        <f t="shared" si="2153"/>
      </c>
      <c r="AK982" s="757">
        <f t="shared" si="2153"/>
      </c>
      <c r="AL982" s="757">
        <f t="shared" si="2153"/>
      </c>
      <c r="AM982" s="757">
        <f t="shared" si="2153"/>
      </c>
      <c r="AN982" s="757">
        <f t="shared" si="2153"/>
      </c>
      <c r="AO982" s="962">
        <f t="shared" si="2153"/>
      </c>
      <c r="AP982" s="757">
        <f t="shared" si="2153"/>
      </c>
      <c r="AQ982" s="757">
        <f t="shared" si="2153"/>
      </c>
      <c r="AR982" s="757">
        <f t="shared" si="2153"/>
      </c>
      <c r="AS982" s="757">
        <f t="shared" si="2153"/>
      </c>
      <c r="AT982" s="962">
        <f t="shared" si="2153"/>
      </c>
      <c r="AU982" s="757">
        <f t="shared" si="2153"/>
      </c>
      <c r="AV982" s="757">
        <f t="shared" si="2153"/>
      </c>
      <c r="AW982" s="757">
        <f t="shared" si="2153"/>
      </c>
      <c r="AX982" s="757">
        <f t="shared" si="2153"/>
      </c>
      <c r="AY982" s="962">
        <f t="shared" si="2153"/>
      </c>
      <c r="AZ982" s="757">
        <f t="shared" si="2153"/>
      </c>
      <c r="BA982" s="757">
        <f t="shared" si="2153"/>
      </c>
      <c r="BB982" s="757">
        <f t="shared" si="2153"/>
      </c>
      <c r="BC982" s="757">
        <f t="shared" ref="BC982:BD983" si="2154">BC751</f>
      </c>
      <c r="BD982" s="962">
        <f t="shared" si="2154"/>
      </c>
      <c r="BE982" s="757">
        <f t="shared" ref="BE982:BI983" si="2155">BE751</f>
      </c>
      <c r="BF982" s="757">
        <f t="shared" si="2155"/>
      </c>
      <c r="BG982" s="757">
        <f t="shared" si="2155"/>
      </c>
      <c r="BH982" s="757">
        <f t="shared" si="2155"/>
      </c>
      <c r="BI982" s="962">
        <f t="shared" si="2155"/>
      </c>
      <c r="BJ982" s="757">
        <f t="shared" ref="BJ982:BL983" si="2156">BJ751</f>
      </c>
      <c r="BK982" s="757">
        <f t="shared" si="2156"/>
      </c>
      <c r="BL982" s="757">
        <f t="shared" si="2156"/>
      </c>
      <c r="BM982" s="757">
        <f t="shared" ref="BM982:BN983" si="2157">BM751</f>
      </c>
      <c r="BN982" s="962">
        <f t="shared" si="2157"/>
      </c>
      <c r="BO982" s="757">
        <f t="shared" ref="BO982:BQ983" si="2158">BO751</f>
      </c>
      <c r="BP982" s="757">
        <f t="shared" si="2158"/>
      </c>
      <c r="BQ982" s="757">
        <f t="shared" si="2158"/>
      </c>
      <c r="BR982" s="757">
        <f t="shared" ref="BR982:BW983" si="2159">BR751</f>
      </c>
      <c r="BS982" s="962">
        <f t="shared" si="2159"/>
      </c>
      <c r="BT982" s="758">
        <f>BT751</f>
      </c>
      <c r="BU982" s="757">
        <f t="shared" si="2159"/>
      </c>
      <c r="BV982" s="757">
        <f t="shared" si="2159"/>
      </c>
      <c r="BW982" s="757">
        <f t="shared" si="2159"/>
      </c>
      <c r="BX982" s="962">
        <f t="shared" ref="BX982:BX983" si="2160">BX751</f>
      </c>
      <c r="BY982" s="757">
        <f t="shared" ref="BY982:CF983" si="2161">BY751</f>
      </c>
      <c r="BZ982" s="757">
        <f t="shared" si="2161"/>
      </c>
      <c r="CA982" s="757">
        <f t="shared" si="2161"/>
      </c>
      <c r="CB982" s="757">
        <f t="shared" si="2161"/>
      </c>
      <c r="CC982" s="962">
        <f t="shared" si="2161"/>
      </c>
      <c r="CD982" s="962">
        <f t="shared" si="2161"/>
      </c>
      <c r="CE982" s="962">
        <f t="shared" si="2161"/>
      </c>
      <c r="CF982" s="962">
        <f t="shared" si="2161"/>
      </c>
      <c r="CG982" s="237"/>
    </row>
    <row r="983" spans="1:85" hidden="1" outlineLevel="1" x14ac:dyDescent="0.3">
      <c r="A983" s="554" t="s">
        <v>467</v>
      </c>
      <c r="B983" s="417"/>
      <c r="C983" s="984">
        <f t="shared" ref="C983:AH983" si="2162">C752</f>
      </c>
      <c r="D983" s="984">
        <f t="shared" si="2162"/>
      </c>
      <c r="E983" s="984">
        <f t="shared" si="2162"/>
      </c>
      <c r="F983" s="984">
        <f t="shared" si="2162"/>
      </c>
      <c r="G983" s="761">
        <f t="shared" si="2162"/>
      </c>
      <c r="H983" s="761">
        <f t="shared" si="2162"/>
      </c>
      <c r="I983" s="761">
        <f t="shared" si="2162"/>
      </c>
      <c r="J983" s="761">
        <f t="shared" si="2162"/>
      </c>
      <c r="K983" s="984">
        <f t="shared" si="2162"/>
      </c>
      <c r="L983" s="761">
        <f t="shared" si="2162"/>
      </c>
      <c r="M983" s="761">
        <f t="shared" si="2162"/>
      </c>
      <c r="N983" s="761">
        <f t="shared" si="2162"/>
      </c>
      <c r="O983" s="761">
        <f t="shared" si="2162"/>
      </c>
      <c r="P983" s="984">
        <f t="shared" si="2162"/>
      </c>
      <c r="Q983" s="761">
        <f t="shared" si="2162"/>
      </c>
      <c r="R983" s="761">
        <f t="shared" si="2162"/>
      </c>
      <c r="S983" s="761">
        <f t="shared" si="2162"/>
      </c>
      <c r="T983" s="761">
        <f t="shared" si="2162"/>
      </c>
      <c r="U983" s="984">
        <f t="shared" si="2162"/>
      </c>
      <c r="V983" s="761">
        <f t="shared" si="2162"/>
      </c>
      <c r="W983" s="761">
        <f t="shared" si="2162"/>
      </c>
      <c r="X983" s="761">
        <f t="shared" si="2162"/>
      </c>
      <c r="Y983" s="761">
        <f t="shared" si="2162"/>
      </c>
      <c r="Z983" s="984">
        <f t="shared" si="2162"/>
      </c>
      <c r="AA983" s="761">
        <f t="shared" si="2162"/>
      </c>
      <c r="AB983" s="761">
        <f t="shared" si="2162"/>
      </c>
      <c r="AC983" s="761">
        <f t="shared" si="2162"/>
      </c>
      <c r="AD983" s="761">
        <f t="shared" si="2162"/>
      </c>
      <c r="AE983" s="984">
        <f t="shared" si="2162"/>
      </c>
      <c r="AF983" s="761">
        <f t="shared" si="2162"/>
      </c>
      <c r="AG983" s="761">
        <f t="shared" si="2162"/>
      </c>
      <c r="AH983" s="761">
        <f t="shared" si="2162"/>
      </c>
      <c r="AI983" s="761">
        <f t="shared" ref="AI983:BB983" si="2163">AI752</f>
      </c>
      <c r="AJ983" s="984">
        <f t="shared" si="2163"/>
      </c>
      <c r="AK983" s="761">
        <f t="shared" si="2163"/>
      </c>
      <c r="AL983" s="761">
        <f t="shared" si="2163"/>
      </c>
      <c r="AM983" s="761">
        <f t="shared" si="2163"/>
      </c>
      <c r="AN983" s="761">
        <f t="shared" si="2163"/>
      </c>
      <c r="AO983" s="984">
        <f t="shared" si="2163"/>
      </c>
      <c r="AP983" s="761">
        <f t="shared" si="2163"/>
      </c>
      <c r="AQ983" s="761">
        <f t="shared" si="2163"/>
      </c>
      <c r="AR983" s="761">
        <f t="shared" si="2163"/>
      </c>
      <c r="AS983" s="761">
        <f t="shared" si="2163"/>
      </c>
      <c r="AT983" s="984">
        <f t="shared" si="2163"/>
      </c>
      <c r="AU983" s="761">
        <f t="shared" si="2163"/>
      </c>
      <c r="AV983" s="761">
        <f t="shared" si="2163"/>
      </c>
      <c r="AW983" s="761">
        <f t="shared" si="2163"/>
      </c>
      <c r="AX983" s="761">
        <f t="shared" si="2163"/>
      </c>
      <c r="AY983" s="984">
        <f t="shared" si="2163"/>
      </c>
      <c r="AZ983" s="761">
        <f t="shared" si="2163"/>
      </c>
      <c r="BA983" s="761">
        <f t="shared" si="2163"/>
      </c>
      <c r="BB983" s="761">
        <f t="shared" si="2163"/>
      </c>
      <c r="BC983" s="761">
        <f t="shared" si="2154"/>
      </c>
      <c r="BD983" s="984">
        <f t="shared" si="2154"/>
      </c>
      <c r="BE983" s="761">
        <f t="shared" si="2155"/>
      </c>
      <c r="BF983" s="761">
        <f t="shared" si="2155"/>
      </c>
      <c r="BG983" s="761">
        <f t="shared" si="2155"/>
      </c>
      <c r="BH983" s="761">
        <f t="shared" si="2155"/>
      </c>
      <c r="BI983" s="984">
        <f t="shared" si="2155"/>
      </c>
      <c r="BJ983" s="761">
        <f t="shared" si="2156"/>
      </c>
      <c r="BK983" s="761">
        <f t="shared" si="2156"/>
      </c>
      <c r="BL983" s="761">
        <f t="shared" si="2156"/>
      </c>
      <c r="BM983" s="761">
        <f t="shared" si="2157"/>
      </c>
      <c r="BN983" s="984">
        <f t="shared" si="2157"/>
      </c>
      <c r="BO983" s="761">
        <f t="shared" si="2158"/>
      </c>
      <c r="BP983" s="761">
        <f t="shared" si="2158"/>
      </c>
      <c r="BQ983" s="761">
        <f t="shared" si="2158"/>
      </c>
      <c r="BR983" s="761">
        <f t="shared" si="2159"/>
      </c>
      <c r="BS983" s="984">
        <f t="shared" si="2159"/>
      </c>
      <c r="BT983" s="762">
        <f>BT752</f>
      </c>
      <c r="BU983" s="761">
        <f t="shared" si="2159"/>
      </c>
      <c r="BV983" s="761">
        <f t="shared" si="2159"/>
      </c>
      <c r="BW983" s="761">
        <f t="shared" si="2159"/>
      </c>
      <c r="BX983" s="984">
        <f t="shared" si="2160"/>
      </c>
      <c r="BY983" s="761">
        <f t="shared" si="2161"/>
      </c>
      <c r="BZ983" s="761">
        <f t="shared" si="2161"/>
      </c>
      <c r="CA983" s="761">
        <f t="shared" si="2161"/>
      </c>
      <c r="CB983" s="761">
        <f t="shared" si="2161"/>
      </c>
      <c r="CC983" s="984">
        <f t="shared" si="2161"/>
      </c>
      <c r="CD983" s="984">
        <f t="shared" si="2161"/>
      </c>
      <c r="CE983" s="984">
        <f t="shared" si="2161"/>
      </c>
      <c r="CF983" s="984">
        <f t="shared" si="2161"/>
      </c>
      <c r="CG983" s="237"/>
    </row>
    <row r="984" spans="1:85" hidden="1" outlineLevel="1" x14ac:dyDescent="0.3">
      <c r="A984" s="440" t="s">
        <v>800</v>
      </c>
      <c r="B984" s="440"/>
      <c r="C984" s="965">
        <f t="shared" ref="C984:AH984" si="2164">C982+C983</f>
      </c>
      <c r="D984" s="965">
        <f t="shared" si="2164"/>
      </c>
      <c r="E984" s="965">
        <f t="shared" si="2164"/>
      </c>
      <c r="F984" s="965">
        <f t="shared" si="2164"/>
      </c>
      <c r="G984" s="791">
        <f t="shared" si="2164"/>
      </c>
      <c r="H984" s="791">
        <f t="shared" si="2164"/>
      </c>
      <c r="I984" s="791">
        <f t="shared" si="2164"/>
      </c>
      <c r="J984" s="791">
        <f t="shared" si="2164"/>
      </c>
      <c r="K984" s="965">
        <f t="shared" si="2164"/>
      </c>
      <c r="L984" s="791">
        <f t="shared" si="2164"/>
      </c>
      <c r="M984" s="791">
        <f t="shared" si="2164"/>
      </c>
      <c r="N984" s="791">
        <f t="shared" si="2164"/>
      </c>
      <c r="O984" s="791">
        <f t="shared" si="2164"/>
      </c>
      <c r="P984" s="965">
        <f t="shared" si="2164"/>
      </c>
      <c r="Q984" s="791">
        <f t="shared" si="2164"/>
      </c>
      <c r="R984" s="791">
        <f t="shared" si="2164"/>
      </c>
      <c r="S984" s="791">
        <f t="shared" si="2164"/>
      </c>
      <c r="T984" s="791">
        <f t="shared" si="2164"/>
      </c>
      <c r="U984" s="965">
        <f t="shared" si="2164"/>
      </c>
      <c r="V984" s="791">
        <f t="shared" si="2164"/>
      </c>
      <c r="W984" s="791">
        <f t="shared" si="2164"/>
      </c>
      <c r="X984" s="791">
        <f t="shared" si="2164"/>
      </c>
      <c r="Y984" s="791">
        <f t="shared" si="2164"/>
      </c>
      <c r="Z984" s="965">
        <f t="shared" si="2164"/>
      </c>
      <c r="AA984" s="791">
        <f t="shared" si="2164"/>
      </c>
      <c r="AB984" s="791">
        <f t="shared" si="2164"/>
      </c>
      <c r="AC984" s="791">
        <f t="shared" si="2164"/>
      </c>
      <c r="AD984" s="791">
        <f t="shared" si="2164"/>
      </c>
      <c r="AE984" s="965">
        <f t="shared" si="2164"/>
      </c>
      <c r="AF984" s="791">
        <f t="shared" si="2164"/>
      </c>
      <c r="AG984" s="791">
        <f t="shared" si="2164"/>
      </c>
      <c r="AH984" s="791">
        <f t="shared" si="2164"/>
      </c>
      <c r="AI984" s="791">
        <f t="shared" ref="AI984:BB984" si="2165">AI982+AI983</f>
      </c>
      <c r="AJ984" s="965">
        <f t="shared" si="2165"/>
      </c>
      <c r="AK984" s="791">
        <f t="shared" si="2165"/>
      </c>
      <c r="AL984" s="791">
        <f t="shared" si="2165"/>
      </c>
      <c r="AM984" s="791">
        <f t="shared" si="2165"/>
      </c>
      <c r="AN984" s="791">
        <f t="shared" si="2165"/>
      </c>
      <c r="AO984" s="965">
        <f t="shared" si="2165"/>
      </c>
      <c r="AP984" s="791">
        <f t="shared" si="2165"/>
      </c>
      <c r="AQ984" s="791">
        <f t="shared" si="2165"/>
      </c>
      <c r="AR984" s="791">
        <f t="shared" si="2165"/>
      </c>
      <c r="AS984" s="791">
        <f t="shared" si="2165"/>
      </c>
      <c r="AT984" s="965">
        <f t="shared" si="2165"/>
      </c>
      <c r="AU984" s="791">
        <f t="shared" si="2165"/>
      </c>
      <c r="AV984" s="791">
        <f t="shared" si="2165"/>
      </c>
      <c r="AW984" s="791">
        <f t="shared" si="2165"/>
      </c>
      <c r="AX984" s="791">
        <f t="shared" si="2165"/>
      </c>
      <c r="AY984" s="965">
        <f t="shared" si="2165"/>
      </c>
      <c r="AZ984" s="791">
        <f t="shared" si="2165"/>
      </c>
      <c r="BA984" s="791">
        <f t="shared" si="2165"/>
      </c>
      <c r="BB984" s="791">
        <f t="shared" si="2165"/>
      </c>
      <c r="BC984" s="791">
        <f t="shared" ref="BC984:BD984" si="2166">BC982+BC983</f>
      </c>
      <c r="BD984" s="965">
        <f t="shared" si="2166"/>
      </c>
      <c r="BE984" s="791">
        <f t="shared" ref="BE984:BI984" si="2167">BE982+BE983</f>
      </c>
      <c r="BF984" s="791">
        <f t="shared" si="2167"/>
      </c>
      <c r="BG984" s="791">
        <f t="shared" si="2167"/>
      </c>
      <c r="BH984" s="791">
        <f t="shared" si="2167"/>
      </c>
      <c r="BI984" s="965">
        <f t="shared" si="2167"/>
      </c>
      <c r="BJ984" s="791">
        <f t="shared" ref="BJ984:BN984" si="2168">BJ982+BJ983</f>
      </c>
      <c r="BK984" s="791">
        <f t="shared" si="2168"/>
      </c>
      <c r="BL984" s="791">
        <f t="shared" si="2168"/>
      </c>
      <c r="BM984" s="791">
        <f t="shared" si="2168"/>
      </c>
      <c r="BN984" s="965">
        <f t="shared" si="2168"/>
      </c>
      <c r="BO984" s="791">
        <f t="shared" ref="BO984:CF984" si="2169">BO982+BO983</f>
      </c>
      <c r="BP984" s="791">
        <f t="shared" si="2169"/>
      </c>
      <c r="BQ984" s="791">
        <f t="shared" si="2169"/>
      </c>
      <c r="BR984" s="791">
        <f t="shared" si="2169"/>
      </c>
      <c r="BS984" s="965">
        <f t="shared" si="2169"/>
      </c>
      <c r="BT984" s="797">
        <f>BT982+BT983</f>
      </c>
      <c r="BU984" s="791">
        <f t="shared" si="2169"/>
      </c>
      <c r="BV984" s="791">
        <f t="shared" si="2169"/>
      </c>
      <c r="BW984" s="791">
        <f t="shared" si="2169"/>
      </c>
      <c r="BX984" s="965">
        <f t="shared" si="2169"/>
      </c>
      <c r="BY984" s="791">
        <f t="shared" si="2169"/>
      </c>
      <c r="BZ984" s="791">
        <f t="shared" si="2169"/>
      </c>
      <c r="CA984" s="791">
        <f t="shared" si="2169"/>
      </c>
      <c r="CB984" s="791">
        <f t="shared" si="2169"/>
      </c>
      <c r="CC984" s="965">
        <f t="shared" si="2169"/>
      </c>
      <c r="CD984" s="965">
        <f t="shared" si="2169"/>
      </c>
      <c r="CE984" s="965">
        <f t="shared" si="2169"/>
      </c>
      <c r="CF984" s="965">
        <f t="shared" si="2169"/>
      </c>
      <c r="CG984" s="237"/>
    </row>
    <row r="985" spans="1:85" hidden="1" outlineLevel="1" x14ac:dyDescent="0.3">
      <c r="A985" s="329" t="s">
        <v>114</v>
      </c>
      <c r="B985" s="441"/>
      <c r="C985" s="984">
        <f t="shared" ref="C985:AH985" si="2170">C750</f>
      </c>
      <c r="D985" s="984">
        <f t="shared" si="2170"/>
      </c>
      <c r="E985" s="984">
        <f t="shared" si="2170"/>
      </c>
      <c r="F985" s="984">
        <f t="shared" si="2170"/>
      </c>
      <c r="G985" s="761">
        <f t="shared" si="2170"/>
      </c>
      <c r="H985" s="761">
        <f t="shared" si="2170"/>
      </c>
      <c r="I985" s="761">
        <f t="shared" si="2170"/>
      </c>
      <c r="J985" s="761">
        <f t="shared" si="2170"/>
      </c>
      <c r="K985" s="984">
        <f t="shared" si="2170"/>
      </c>
      <c r="L985" s="761">
        <f t="shared" si="2170"/>
      </c>
      <c r="M985" s="761">
        <f t="shared" si="2170"/>
      </c>
      <c r="N985" s="761">
        <f t="shared" si="2170"/>
      </c>
      <c r="O985" s="761">
        <f t="shared" si="2170"/>
      </c>
      <c r="P985" s="984">
        <f t="shared" si="2170"/>
      </c>
      <c r="Q985" s="761">
        <f t="shared" si="2170"/>
      </c>
      <c r="R985" s="761">
        <f t="shared" si="2170"/>
      </c>
      <c r="S985" s="761">
        <f t="shared" si="2170"/>
      </c>
      <c r="T985" s="761">
        <f t="shared" si="2170"/>
      </c>
      <c r="U985" s="984">
        <f t="shared" si="2170"/>
      </c>
      <c r="V985" s="761">
        <f t="shared" si="2170"/>
      </c>
      <c r="W985" s="761">
        <f t="shared" si="2170"/>
      </c>
      <c r="X985" s="761">
        <f t="shared" si="2170"/>
      </c>
      <c r="Y985" s="761">
        <f t="shared" si="2170"/>
      </c>
      <c r="Z985" s="984">
        <f t="shared" si="2170"/>
      </c>
      <c r="AA985" s="761">
        <f t="shared" si="2170"/>
      </c>
      <c r="AB985" s="761">
        <f t="shared" si="2170"/>
      </c>
      <c r="AC985" s="761">
        <f t="shared" si="2170"/>
      </c>
      <c r="AD985" s="761">
        <f t="shared" si="2170"/>
      </c>
      <c r="AE985" s="984">
        <f t="shared" si="2170"/>
      </c>
      <c r="AF985" s="761">
        <f t="shared" si="2170"/>
      </c>
      <c r="AG985" s="761">
        <f t="shared" si="2170"/>
      </c>
      <c r="AH985" s="761">
        <f t="shared" si="2170"/>
      </c>
      <c r="AI985" s="761">
        <f t="shared" ref="AI985:BB985" si="2171">AI750</f>
      </c>
      <c r="AJ985" s="984">
        <f t="shared" si="2171"/>
      </c>
      <c r="AK985" s="761">
        <f t="shared" si="2171"/>
      </c>
      <c r="AL985" s="761">
        <f t="shared" si="2171"/>
      </c>
      <c r="AM985" s="761">
        <f t="shared" si="2171"/>
      </c>
      <c r="AN985" s="761">
        <f t="shared" si="2171"/>
      </c>
      <c r="AO985" s="984">
        <f t="shared" si="2171"/>
      </c>
      <c r="AP985" s="761">
        <f t="shared" si="2171"/>
      </c>
      <c r="AQ985" s="761">
        <f t="shared" si="2171"/>
      </c>
      <c r="AR985" s="761">
        <f t="shared" si="2171"/>
      </c>
      <c r="AS985" s="761">
        <f t="shared" si="2171"/>
      </c>
      <c r="AT985" s="984">
        <f t="shared" si="2171"/>
      </c>
      <c r="AU985" s="761">
        <f t="shared" si="2171"/>
      </c>
      <c r="AV985" s="761">
        <f t="shared" si="2171"/>
      </c>
      <c r="AW985" s="761">
        <f t="shared" si="2171"/>
      </c>
      <c r="AX985" s="761">
        <f t="shared" si="2171"/>
      </c>
      <c r="AY985" s="984">
        <f t="shared" si="2171"/>
      </c>
      <c r="AZ985" s="761">
        <f t="shared" si="2171"/>
      </c>
      <c r="BA985" s="761">
        <f t="shared" si="2171"/>
      </c>
      <c r="BB985" s="761">
        <f t="shared" si="2171"/>
      </c>
      <c r="BC985" s="761">
        <f t="shared" ref="BC985:BD985" si="2172">BC750</f>
      </c>
      <c r="BD985" s="984">
        <f t="shared" si="2172"/>
      </c>
      <c r="BE985" s="761">
        <f t="shared" ref="BE985:BI985" si="2173">BE750</f>
      </c>
      <c r="BF985" s="761">
        <f t="shared" si="2173"/>
      </c>
      <c r="BG985" s="761">
        <f t="shared" si="2173"/>
      </c>
      <c r="BH985" s="761">
        <f t="shared" si="2173"/>
      </c>
      <c r="BI985" s="984">
        <f t="shared" si="2173"/>
      </c>
      <c r="BJ985" s="761">
        <f t="shared" ref="BJ985:BN985" si="2174">BJ750</f>
      </c>
      <c r="BK985" s="761">
        <f t="shared" si="2174"/>
      </c>
      <c r="BL985" s="761">
        <f t="shared" si="2174"/>
      </c>
      <c r="BM985" s="761">
        <f t="shared" si="2174"/>
      </c>
      <c r="BN985" s="984">
        <f t="shared" si="2174"/>
      </c>
      <c r="BO985" s="761">
        <f t="shared" ref="BO985:CF985" si="2175">BO750</f>
      </c>
      <c r="BP985" s="761">
        <f t="shared" si="2175"/>
      </c>
      <c r="BQ985" s="761">
        <f t="shared" si="2175"/>
      </c>
      <c r="BR985" s="761">
        <f t="shared" si="2175"/>
      </c>
      <c r="BS985" s="984">
        <f t="shared" si="2175"/>
      </c>
      <c r="BT985" s="762">
        <f>BT750</f>
      </c>
      <c r="BU985" s="761">
        <f t="shared" si="2175"/>
      </c>
      <c r="BV985" s="761">
        <f t="shared" si="2175"/>
      </c>
      <c r="BW985" s="761">
        <f t="shared" si="2175"/>
      </c>
      <c r="BX985" s="984">
        <f t="shared" si="2175"/>
      </c>
      <c r="BY985" s="761">
        <f t="shared" si="2175"/>
      </c>
      <c r="BZ985" s="761">
        <f t="shared" si="2175"/>
      </c>
      <c r="CA985" s="761">
        <f t="shared" si="2175"/>
      </c>
      <c r="CB985" s="761">
        <f t="shared" si="2175"/>
      </c>
      <c r="CC985" s="984">
        <f t="shared" si="2175"/>
      </c>
      <c r="CD985" s="984">
        <f t="shared" si="2175"/>
      </c>
      <c r="CE985" s="984">
        <f t="shared" si="2175"/>
      </c>
      <c r="CF985" s="984">
        <f t="shared" si="2175"/>
      </c>
      <c r="CG985" s="237"/>
    </row>
    <row r="986" spans="1:85" hidden="1" outlineLevel="1" x14ac:dyDescent="0.3">
      <c r="A986" s="440" t="s">
        <v>116</v>
      </c>
      <c r="B986" s="440"/>
      <c r="C986" s="965">
        <f t="shared" ref="C986:AH986" si="2176">C984-C985</f>
      </c>
      <c r="D986" s="965">
        <f t="shared" si="2176"/>
      </c>
      <c r="E986" s="965">
        <f t="shared" si="2176"/>
      </c>
      <c r="F986" s="965">
        <f t="shared" si="2176"/>
      </c>
      <c r="G986" s="791">
        <f t="shared" si="2176"/>
      </c>
      <c r="H986" s="791">
        <f t="shared" si="2176"/>
      </c>
      <c r="I986" s="791">
        <f t="shared" si="2176"/>
      </c>
      <c r="J986" s="791">
        <f t="shared" si="2176"/>
      </c>
      <c r="K986" s="965">
        <f t="shared" si="2176"/>
      </c>
      <c r="L986" s="791">
        <f t="shared" si="2176"/>
      </c>
      <c r="M986" s="791">
        <f t="shared" si="2176"/>
      </c>
      <c r="N986" s="791">
        <f t="shared" si="2176"/>
      </c>
      <c r="O986" s="791">
        <f t="shared" si="2176"/>
      </c>
      <c r="P986" s="965">
        <f t="shared" si="2176"/>
      </c>
      <c r="Q986" s="791">
        <f t="shared" si="2176"/>
      </c>
      <c r="R986" s="791">
        <f t="shared" si="2176"/>
      </c>
      <c r="S986" s="791">
        <f t="shared" si="2176"/>
      </c>
      <c r="T986" s="791">
        <f t="shared" si="2176"/>
      </c>
      <c r="U986" s="965">
        <f t="shared" si="2176"/>
      </c>
      <c r="V986" s="791">
        <f t="shared" si="2176"/>
      </c>
      <c r="W986" s="791">
        <f t="shared" si="2176"/>
      </c>
      <c r="X986" s="791">
        <f t="shared" si="2176"/>
      </c>
      <c r="Y986" s="791">
        <f t="shared" si="2176"/>
      </c>
      <c r="Z986" s="965">
        <f t="shared" si="2176"/>
      </c>
      <c r="AA986" s="791">
        <f t="shared" si="2176"/>
      </c>
      <c r="AB986" s="791">
        <f t="shared" si="2176"/>
      </c>
      <c r="AC986" s="791">
        <f t="shared" si="2176"/>
      </c>
      <c r="AD986" s="791">
        <f t="shared" si="2176"/>
      </c>
      <c r="AE986" s="965">
        <f t="shared" si="2176"/>
      </c>
      <c r="AF986" s="791">
        <f t="shared" si="2176"/>
      </c>
      <c r="AG986" s="791">
        <f t="shared" si="2176"/>
      </c>
      <c r="AH986" s="791">
        <f t="shared" si="2176"/>
      </c>
      <c r="AI986" s="791">
        <f t="shared" ref="AI986:BB986" si="2177">AI984-AI985</f>
      </c>
      <c r="AJ986" s="965">
        <f t="shared" si="2177"/>
      </c>
      <c r="AK986" s="791">
        <f t="shared" si="2177"/>
      </c>
      <c r="AL986" s="791">
        <f t="shared" si="2177"/>
      </c>
      <c r="AM986" s="791">
        <f t="shared" si="2177"/>
      </c>
      <c r="AN986" s="791">
        <f t="shared" si="2177"/>
      </c>
      <c r="AO986" s="965">
        <f t="shared" si="2177"/>
      </c>
      <c r="AP986" s="791">
        <f t="shared" si="2177"/>
      </c>
      <c r="AQ986" s="791">
        <f t="shared" si="2177"/>
      </c>
      <c r="AR986" s="791">
        <f t="shared" si="2177"/>
      </c>
      <c r="AS986" s="791">
        <f t="shared" si="2177"/>
      </c>
      <c r="AT986" s="965">
        <f t="shared" si="2177"/>
      </c>
      <c r="AU986" s="791">
        <f t="shared" si="2177"/>
      </c>
      <c r="AV986" s="791">
        <f t="shared" si="2177"/>
      </c>
      <c r="AW986" s="791">
        <f t="shared" si="2177"/>
      </c>
      <c r="AX986" s="791">
        <f t="shared" si="2177"/>
      </c>
      <c r="AY986" s="965">
        <f t="shared" si="2177"/>
      </c>
      <c r="AZ986" s="791">
        <f t="shared" si="2177"/>
      </c>
      <c r="BA986" s="791">
        <f t="shared" si="2177"/>
      </c>
      <c r="BB986" s="791">
        <f t="shared" si="2177"/>
      </c>
      <c r="BC986" s="791">
        <f t="shared" ref="BC986:BD986" si="2178">BC984-BC985</f>
      </c>
      <c r="BD986" s="965">
        <f t="shared" si="2178"/>
      </c>
      <c r="BE986" s="791">
        <f t="shared" ref="BE986:BI986" si="2179">BE984-BE985</f>
      </c>
      <c r="BF986" s="791">
        <f t="shared" si="2179"/>
      </c>
      <c r="BG986" s="791">
        <f t="shared" si="2179"/>
      </c>
      <c r="BH986" s="791">
        <f t="shared" si="2179"/>
      </c>
      <c r="BI986" s="965">
        <f t="shared" si="2179"/>
      </c>
      <c r="BJ986" s="791">
        <f t="shared" ref="BJ986:BN986" si="2180">BJ984-BJ985</f>
      </c>
      <c r="BK986" s="791">
        <f t="shared" si="2180"/>
      </c>
      <c r="BL986" s="791">
        <f t="shared" si="2180"/>
      </c>
      <c r="BM986" s="791">
        <f t="shared" si="2180"/>
      </c>
      <c r="BN986" s="965">
        <f t="shared" si="2180"/>
      </c>
      <c r="BO986" s="791">
        <f t="shared" ref="BO986:CF986" si="2181">BO984-BO985</f>
      </c>
      <c r="BP986" s="791">
        <f t="shared" si="2181"/>
      </c>
      <c r="BQ986" s="791">
        <f t="shared" si="2181"/>
      </c>
      <c r="BR986" s="791">
        <f t="shared" si="2181"/>
      </c>
      <c r="BS986" s="965">
        <f t="shared" si="2181"/>
      </c>
      <c r="BT986" s="797">
        <f>BT984-BT985</f>
      </c>
      <c r="BU986" s="791">
        <f t="shared" si="2181"/>
      </c>
      <c r="BV986" s="791">
        <f t="shared" si="2181"/>
      </c>
      <c r="BW986" s="791">
        <f t="shared" si="2181"/>
      </c>
      <c r="BX986" s="965">
        <f t="shared" si="2181"/>
      </c>
      <c r="BY986" s="791">
        <f t="shared" si="2181"/>
      </c>
      <c r="BZ986" s="791">
        <f t="shared" si="2181"/>
      </c>
      <c r="CA986" s="791">
        <f t="shared" si="2181"/>
      </c>
      <c r="CB986" s="791">
        <f t="shared" si="2181"/>
      </c>
      <c r="CC986" s="965">
        <f t="shared" si="2181"/>
      </c>
      <c r="CD986" s="965">
        <f t="shared" si="2181"/>
      </c>
      <c r="CE986" s="965">
        <f t="shared" si="2181"/>
      </c>
      <c r="CF986" s="965">
        <f t="shared" si="2181"/>
      </c>
      <c r="CG986" s="237"/>
    </row>
    <row r="987" spans="1:85" hidden="1" outlineLevel="1" x14ac:dyDescent="0.3">
      <c r="A987" s="255" t="s">
        <v>801</v>
      </c>
      <c r="B987" s="255"/>
      <c r="C987" s="962"/>
      <c r="D987" s="962"/>
      <c r="E987" s="962"/>
      <c r="F987" s="962"/>
      <c r="G987" s="757">
        <f t="shared" ref="G987:AL987" si="2182">G778</f>
      </c>
      <c r="H987" s="757">
        <f t="shared" si="2182"/>
      </c>
      <c r="I987" s="757">
        <f t="shared" si="2182"/>
      </c>
      <c r="J987" s="757">
        <f t="shared" si="2182"/>
      </c>
      <c r="K987" s="962">
        <f t="shared" si="2182"/>
      </c>
      <c r="L987" s="757">
        <f t="shared" si="2182"/>
      </c>
      <c r="M987" s="757">
        <f t="shared" si="2182"/>
      </c>
      <c r="N987" s="757">
        <f t="shared" si="2182"/>
      </c>
      <c r="O987" s="757">
        <f t="shared" si="2182"/>
      </c>
      <c r="P987" s="962">
        <f t="shared" si="2182"/>
      </c>
      <c r="Q987" s="757">
        <f t="shared" si="2182"/>
      </c>
      <c r="R987" s="757">
        <f t="shared" si="2182"/>
      </c>
      <c r="S987" s="757">
        <f t="shared" si="2182"/>
      </c>
      <c r="T987" s="757">
        <f t="shared" si="2182"/>
      </c>
      <c r="U987" s="962">
        <f t="shared" si="2182"/>
      </c>
      <c r="V987" s="757">
        <f t="shared" si="2182"/>
      </c>
      <c r="W987" s="757">
        <f t="shared" si="2182"/>
      </c>
      <c r="X987" s="757">
        <f t="shared" si="2182"/>
      </c>
      <c r="Y987" s="757">
        <f t="shared" si="2182"/>
      </c>
      <c r="Z987" s="962">
        <f t="shared" si="2182"/>
      </c>
      <c r="AA987" s="757">
        <f t="shared" si="2182"/>
      </c>
      <c r="AB987" s="757">
        <f t="shared" si="2182"/>
      </c>
      <c r="AC987" s="757">
        <f t="shared" si="2182"/>
      </c>
      <c r="AD987" s="757">
        <f t="shared" si="2182"/>
      </c>
      <c r="AE987" s="962">
        <f t="shared" si="2182"/>
      </c>
      <c r="AF987" s="757">
        <f t="shared" si="2182"/>
      </c>
      <c r="AG987" s="757">
        <f t="shared" si="2182"/>
      </c>
      <c r="AH987" s="757">
        <f t="shared" si="2182"/>
      </c>
      <c r="AI987" s="757">
        <f t="shared" si="2182"/>
      </c>
      <c r="AJ987" s="962">
        <f t="shared" si="2182"/>
      </c>
      <c r="AK987" s="757">
        <f t="shared" si="2182"/>
      </c>
      <c r="AL987" s="757">
        <f t="shared" si="2182"/>
      </c>
      <c r="AM987" s="757">
        <f t="shared" ref="AM987:BB987" si="2183">AM778</f>
      </c>
      <c r="AN987" s="757">
        <f t="shared" si="2183"/>
      </c>
      <c r="AO987" s="962">
        <f t="shared" si="2183"/>
      </c>
      <c r="AP987" s="757">
        <f t="shared" si="2183"/>
      </c>
      <c r="AQ987" s="757">
        <f t="shared" si="2183"/>
      </c>
      <c r="AR987" s="757">
        <f t="shared" si="2183"/>
      </c>
      <c r="AS987" s="757">
        <f t="shared" si="2183"/>
      </c>
      <c r="AT987" s="962">
        <f t="shared" si="2183"/>
      </c>
      <c r="AU987" s="757">
        <f t="shared" si="2183"/>
      </c>
      <c r="AV987" s="757">
        <f t="shared" si="2183"/>
      </c>
      <c r="AW987" s="757">
        <f t="shared" si="2183"/>
      </c>
      <c r="AX987" s="757">
        <f t="shared" si="2183"/>
      </c>
      <c r="AY987" s="962">
        <f t="shared" si="2183"/>
      </c>
      <c r="AZ987" s="757">
        <f t="shared" si="2183"/>
      </c>
      <c r="BA987" s="757">
        <f t="shared" si="2183"/>
      </c>
      <c r="BB987" s="757">
        <f t="shared" si="2183"/>
      </c>
      <c r="BC987" s="757">
        <f t="shared" ref="BC987:BD987" si="2184">BC778</f>
      </c>
      <c r="BD987" s="962">
        <f t="shared" si="2184"/>
      </c>
      <c r="BE987" s="757">
        <f t="shared" ref="BE987:BI987" si="2185">BE778</f>
      </c>
      <c r="BF987" s="757">
        <f t="shared" si="2185"/>
      </c>
      <c r="BG987" s="757">
        <f t="shared" si="2185"/>
      </c>
      <c r="BH987" s="757">
        <f t="shared" si="2185"/>
      </c>
      <c r="BI987" s="962">
        <f t="shared" si="2185"/>
      </c>
      <c r="BJ987" s="757">
        <f t="shared" ref="BJ987:BN987" si="2186">BJ778</f>
      </c>
      <c r="BK987" s="757">
        <f t="shared" si="2186"/>
      </c>
      <c r="BL987" s="757">
        <f t="shared" si="2186"/>
      </c>
      <c r="BM987" s="757">
        <f t="shared" si="2186"/>
      </c>
      <c r="BN987" s="962">
        <f t="shared" si="2186"/>
      </c>
      <c r="BO987" s="757">
        <f t="shared" ref="BO987:CF987" si="2187">BO778</f>
      </c>
      <c r="BP987" s="757">
        <f t="shared" si="2187"/>
      </c>
      <c r="BQ987" s="757">
        <f t="shared" si="2187"/>
      </c>
      <c r="BR987" s="757">
        <f t="shared" si="2187"/>
      </c>
      <c r="BS987" s="962">
        <f t="shared" si="2187"/>
      </c>
      <c r="BT987" s="758">
        <f>BT778</f>
      </c>
      <c r="BU987" s="757">
        <f t="shared" si="2187"/>
      </c>
      <c r="BV987" s="757">
        <f t="shared" si="2187"/>
      </c>
      <c r="BW987" s="757">
        <f t="shared" si="2187"/>
      </c>
      <c r="BX987" s="962">
        <f t="shared" si="2187"/>
      </c>
      <c r="BY987" s="757">
        <f t="shared" si="2187"/>
      </c>
      <c r="BZ987" s="757">
        <f t="shared" si="2187"/>
      </c>
      <c r="CA987" s="757">
        <f t="shared" si="2187"/>
      </c>
      <c r="CB987" s="757">
        <f t="shared" si="2187"/>
      </c>
      <c r="CC987" s="962">
        <f t="shared" si="2187"/>
      </c>
      <c r="CD987" s="962">
        <f t="shared" si="2187"/>
      </c>
      <c r="CE987" s="962">
        <f t="shared" si="2187"/>
      </c>
      <c r="CF987" s="962">
        <f t="shared" si="2187"/>
      </c>
      <c r="CG987" s="237"/>
    </row>
    <row r="988" spans="1:85" hidden="1" outlineLevel="1" x14ac:dyDescent="0.3">
      <c r="A988" s="244" t="s">
        <v>64</v>
      </c>
      <c r="B988" s="244"/>
      <c r="C988" s="969">
        <f t="shared" ref="C988:AH988" si="2188">C480</f>
      </c>
      <c r="D988" s="969">
        <f t="shared" si="2188"/>
      </c>
      <c r="E988" s="969">
        <f t="shared" si="2188"/>
      </c>
      <c r="F988" s="969">
        <f t="shared" si="2188"/>
      </c>
      <c r="G988" s="759">
        <f t="shared" si="2188"/>
      </c>
      <c r="H988" s="759">
        <f t="shared" si="2188"/>
      </c>
      <c r="I988" s="759">
        <f t="shared" si="2188"/>
      </c>
      <c r="J988" s="759">
        <f t="shared" si="2188"/>
      </c>
      <c r="K988" s="969">
        <f t="shared" si="2188"/>
      </c>
      <c r="L988" s="759">
        <f t="shared" si="2188"/>
      </c>
      <c r="M988" s="759">
        <f t="shared" si="2188"/>
      </c>
      <c r="N988" s="759">
        <f t="shared" si="2188"/>
      </c>
      <c r="O988" s="759">
        <f t="shared" si="2188"/>
      </c>
      <c r="P988" s="969">
        <f t="shared" si="2188"/>
      </c>
      <c r="Q988" s="759">
        <f t="shared" si="2188"/>
      </c>
      <c r="R988" s="759">
        <f t="shared" si="2188"/>
      </c>
      <c r="S988" s="759">
        <f t="shared" si="2188"/>
      </c>
      <c r="T988" s="759">
        <f t="shared" si="2188"/>
      </c>
      <c r="U988" s="969">
        <f t="shared" si="2188"/>
      </c>
      <c r="V988" s="759">
        <f t="shared" si="2188"/>
      </c>
      <c r="W988" s="759">
        <f t="shared" si="2188"/>
      </c>
      <c r="X988" s="759">
        <f t="shared" si="2188"/>
      </c>
      <c r="Y988" s="759">
        <f t="shared" si="2188"/>
      </c>
      <c r="Z988" s="969">
        <f t="shared" si="2188"/>
      </c>
      <c r="AA988" s="759">
        <f t="shared" si="2188"/>
      </c>
      <c r="AB988" s="759">
        <f t="shared" si="2188"/>
      </c>
      <c r="AC988" s="759">
        <f t="shared" si="2188"/>
      </c>
      <c r="AD988" s="759">
        <f t="shared" si="2188"/>
      </c>
      <c r="AE988" s="969">
        <f t="shared" si="2188"/>
      </c>
      <c r="AF988" s="759">
        <f t="shared" si="2188"/>
      </c>
      <c r="AG988" s="759">
        <f t="shared" si="2188"/>
      </c>
      <c r="AH988" s="759">
        <f t="shared" si="2188"/>
      </c>
      <c r="AI988" s="759">
        <f t="shared" ref="AI988:BJ988" si="2189">AI480</f>
      </c>
      <c r="AJ988" s="969">
        <f t="shared" si="2189"/>
      </c>
      <c r="AK988" s="759">
        <f t="shared" si="2189"/>
      </c>
      <c r="AL988" s="759">
        <f t="shared" si="2189"/>
      </c>
      <c r="AM988" s="759">
        <f t="shared" si="2189"/>
      </c>
      <c r="AN988" s="759">
        <f t="shared" si="2189"/>
      </c>
      <c r="AO988" s="969">
        <f t="shared" si="2189"/>
      </c>
      <c r="AP988" s="759">
        <f t="shared" si="2189"/>
      </c>
      <c r="AQ988" s="759">
        <f t="shared" si="2189"/>
      </c>
      <c r="AR988" s="759">
        <f t="shared" si="2189"/>
      </c>
      <c r="AS988" s="759">
        <f t="shared" si="2189"/>
      </c>
      <c r="AT988" s="969">
        <f t="shared" si="2189"/>
      </c>
      <c r="AU988" s="759">
        <f t="shared" si="2189"/>
      </c>
      <c r="AV988" s="759">
        <f t="shared" si="2189"/>
      </c>
      <c r="AW988" s="759">
        <f t="shared" si="2189"/>
      </c>
      <c r="AX988" s="759">
        <f t="shared" si="2189"/>
      </c>
      <c r="AY988" s="969">
        <f t="shared" si="2189"/>
      </c>
      <c r="AZ988" s="759">
        <f t="shared" si="2189"/>
      </c>
      <c r="BA988" s="759">
        <f t="shared" si="2189"/>
      </c>
      <c r="BB988" s="759">
        <f t="shared" si="2189"/>
      </c>
      <c r="BC988" s="759">
        <f t="shared" si="2189"/>
      </c>
      <c r="BD988" s="969">
        <f t="shared" si="2189"/>
      </c>
      <c r="BE988" s="759">
        <f t="shared" si="2189"/>
      </c>
      <c r="BF988" s="759">
        <f t="shared" si="2189"/>
      </c>
      <c r="BG988" s="759">
        <f t="shared" si="2189"/>
      </c>
      <c r="BH988" s="759">
        <f t="shared" si="2189"/>
      </c>
      <c r="BI988" s="969">
        <f t="shared" si="2189"/>
      </c>
      <c r="BJ988" s="759">
        <f t="shared" si="2189"/>
      </c>
      <c r="BK988" s="759">
        <f t="shared" ref="BK988:BX988" si="2190">BK480</f>
      </c>
      <c r="BL988" s="759">
        <f t="shared" si="2190"/>
      </c>
      <c r="BM988" s="759">
        <f t="shared" si="2190"/>
      </c>
      <c r="BN988" s="969">
        <f t="shared" si="2190"/>
      </c>
      <c r="BO988" s="759">
        <f t="shared" ref="BO988:BW988" si="2191">BO480</f>
      </c>
      <c r="BP988" s="759">
        <f t="shared" si="2191"/>
      </c>
      <c r="BQ988" s="759">
        <f t="shared" si="2191"/>
      </c>
      <c r="BR988" s="759">
        <f t="shared" si="2191"/>
      </c>
      <c r="BS988" s="969">
        <f t="shared" si="2191"/>
      </c>
      <c r="BT988" s="760">
        <f>BT480</f>
      </c>
      <c r="BU988" s="759">
        <f t="shared" si="2191"/>
      </c>
      <c r="BV988" s="759">
        <f t="shared" si="2191"/>
      </c>
      <c r="BW988" s="759">
        <f t="shared" si="2191"/>
      </c>
      <c r="BX988" s="969">
        <f t="shared" si="2190"/>
      </c>
      <c r="BY988" s="759">
        <f t="shared" ref="BY988:CF988" si="2192">BY480</f>
      </c>
      <c r="BZ988" s="759">
        <f t="shared" si="2192"/>
      </c>
      <c r="CA988" s="759">
        <f t="shared" si="2192"/>
      </c>
      <c r="CB988" s="759">
        <f t="shared" si="2192"/>
      </c>
      <c r="CC988" s="969">
        <f t="shared" si="2192"/>
      </c>
      <c r="CD988" s="969">
        <f t="shared" si="2192"/>
      </c>
      <c r="CE988" s="969">
        <f t="shared" si="2192"/>
      </c>
      <c r="CF988" s="969">
        <f t="shared" si="2192"/>
      </c>
      <c r="CG988" s="237"/>
    </row>
    <row r="989" spans="1:85" hidden="1" outlineLevel="1" x14ac:dyDescent="0.3">
      <c r="A989" s="244" t="s">
        <v>802</v>
      </c>
      <c r="B989" s="244"/>
      <c r="C989" s="969">
        <f>C988</f>
      </c>
      <c r="D989" s="969">
        <f>D988</f>
      </c>
      <c r="E989" s="969">
        <f>E988</f>
      </c>
      <c r="F989" s="969">
        <f>F988</f>
      </c>
      <c r="G989" s="759"/>
      <c r="H989" s="759"/>
      <c r="I989" s="759"/>
      <c r="J989" s="759">
        <f>SUM(J988,I988,H988,G988)</f>
      </c>
      <c r="K989" s="969">
        <f>K988</f>
      </c>
      <c r="L989" s="759">
        <f>SUM(L988,J988,I988,H988)</f>
      </c>
      <c r="M989" s="759">
        <f>SUM(M988,L988,J988,I988)</f>
      </c>
      <c r="N989" s="759">
        <f>SUM(N988,M988,L988,J988)</f>
      </c>
      <c r="O989" s="759">
        <f>SUM(O988,N988,M988,L988)</f>
      </c>
      <c r="P989" s="969">
        <f>P988</f>
      </c>
      <c r="Q989" s="759">
        <f>SUM(Q988,O988,N988,M988)</f>
      </c>
      <c r="R989" s="759">
        <f>SUM(R988,Q988,O988,N988)</f>
      </c>
      <c r="S989" s="759">
        <f>SUM(S988,R988,Q988,O988)</f>
      </c>
      <c r="T989" s="759">
        <f>SUM(T988,S988,R988,Q988)</f>
      </c>
      <c r="U989" s="969">
        <f>U988</f>
      </c>
      <c r="V989" s="759">
        <f>SUM(V988,T988,S988,R988)</f>
      </c>
      <c r="W989" s="759">
        <f>SUM(W988,V988,T988,S988)</f>
      </c>
      <c r="X989" s="759">
        <f>SUM(X988,W988,V988,T988)</f>
      </c>
      <c r="Y989" s="759">
        <f>SUM(Y988,X988,W988,V988)</f>
      </c>
      <c r="Z989" s="969">
        <f>Z988</f>
      </c>
      <c r="AA989" s="759">
        <f>SUM(AA988,Y988,X988,W988)</f>
      </c>
      <c r="AB989" s="759">
        <f>SUM(AB988,AA988,Y988,X988)</f>
      </c>
      <c r="AC989" s="759">
        <f>SUM(AC988,AB988,AA988,Y988)</f>
      </c>
      <c r="AD989" s="759">
        <f>SUM(AD988,AC988,AB988,AA988)</f>
      </c>
      <c r="AE989" s="969">
        <f>AE988</f>
      </c>
      <c r="AF989" s="759">
        <f>SUM(AF988,AD988,AC988,AB988)</f>
      </c>
      <c r="AG989" s="759">
        <f>SUM(AG988,AF988,AD988,AC988)</f>
      </c>
      <c r="AH989" s="759">
        <f>SUM(AH988,AG988,AF988,AD988)</f>
      </c>
      <c r="AI989" s="759">
        <f>SUM(AI988,AH988,AG988,AF988)</f>
      </c>
      <c r="AJ989" s="969">
        <f>AJ988</f>
      </c>
      <c r="AK989" s="759">
        <f>SUM(AK988,AI988,AH988,AG988)</f>
      </c>
      <c r="AL989" s="759">
        <f>SUM(AL988,AK988,AI988,AH988)</f>
      </c>
      <c r="AM989" s="759">
        <f>SUM(AM988,AL988,AK988,AI988)</f>
      </c>
      <c r="AN989" s="759">
        <f>SUM(AN988,AM988,AL988,AK988)</f>
      </c>
      <c r="AO989" s="969">
        <f>AO988</f>
      </c>
      <c r="AP989" s="759">
        <f>SUM(AP988,AN988,AM988,AL988)</f>
      </c>
      <c r="AQ989" s="759">
        <f>SUM(AQ988,AP988,AN988,AM988)</f>
      </c>
      <c r="AR989" s="759">
        <f>SUM(AR988,AQ988,AP988,AN988)</f>
      </c>
      <c r="AS989" s="759">
        <f>SUM(AS988,AR988,AQ988,AP988)</f>
      </c>
      <c r="AT989" s="969">
        <f>AT988</f>
      </c>
      <c r="AU989" s="759">
        <f>SUM(AU988,AS988,AR988,AQ988)</f>
      </c>
      <c r="AV989" s="759">
        <f>SUM(AV988,AU988,AS988,AR988)</f>
      </c>
      <c r="AW989" s="759">
        <f>SUM(AW988,AV988,AU988,AS988)</f>
      </c>
      <c r="AX989" s="759">
        <f>SUM(AX988,AW988,AV988,AU988)</f>
      </c>
      <c r="AY989" s="969">
        <f>AY988</f>
      </c>
      <c r="AZ989" s="759">
        <f>SUM(AZ988,AX988,AW988,AV988)</f>
      </c>
      <c r="BA989" s="759">
        <f>SUM(BA988,AZ988,AX988,AW988)</f>
      </c>
      <c r="BB989" s="759">
        <f>SUM(BB988,AX988,BA988,AZ988)</f>
      </c>
      <c r="BC989" s="759">
        <f>SUM(BC988,BB988,BA988,AZ988)</f>
      </c>
      <c r="BD989" s="969">
        <f>BD988</f>
      </c>
      <c r="BE989" s="759">
        <f>SUM(BE988,BC988,BB988,BA988)</f>
      </c>
      <c r="BF989" s="759">
        <f>SUM(BF988,BE988,BC988,BB988)</f>
      </c>
      <c r="BG989" s="759">
        <f>SUM(BG988,BC988,BF988,BE988)</f>
      </c>
      <c r="BH989" s="759">
        <f>SUM(BH988,BG988,BF988,BE988)</f>
      </c>
      <c r="BI989" s="969">
        <f>BI988</f>
      </c>
      <c r="BJ989" s="759">
        <f>SUM(BJ988,BH988,BG988,BF988)</f>
      </c>
      <c r="BK989" s="759">
        <f>SUM(BK988,BJ988,BH988,BG988)</f>
      </c>
      <c r="BL989" s="759">
        <f>SUM(BL988,BH988,BK988,BJ988)</f>
      </c>
      <c r="BM989" s="759">
        <f>SUM(BM988,BL988,BK988,BJ988)</f>
      </c>
      <c r="BN989" s="969">
        <f>BN988</f>
      </c>
      <c r="BO989" s="759">
        <f>SUM(BO988,BM988,BL988,BK988)</f>
      </c>
      <c r="BP989" s="759">
        <f>SUM(BP988,BO988,BM988,BL988)</f>
      </c>
      <c r="BQ989" s="759">
        <f>SUM(BQ988,BM988,BP988,BO988)</f>
      </c>
      <c r="BR989" s="759">
        <f>SUM(BR988,BQ988,BP988,BO988)</f>
      </c>
      <c r="BS989" s="969">
        <f>BS988</f>
      </c>
      <c r="BT989" s="760">
        <f>SUM(BT988,BR988,BQ988,BP988)</f>
      </c>
      <c r="BU989" s="759">
        <f>SUM(BU988,BQ988,BT988,BR988)</f>
      </c>
      <c r="BV989" s="759">
        <f>SUM(BV988,BR988,BU988,BT988)</f>
      </c>
      <c r="BW989" s="759">
        <f>SUM(BW988,BV988,BU988,BT988)</f>
      </c>
      <c r="BX989" s="969">
        <f>BX988</f>
      </c>
      <c r="BY989" s="759">
        <f>SUM(BY988,BU988,BW988,BV988)</f>
      </c>
      <c r="BZ989" s="759">
        <f>SUM(BZ988,BV988,BY988,BW988)</f>
      </c>
      <c r="CA989" s="759">
        <f>SUM(CA988,BW988,BZ988,BY988)</f>
      </c>
      <c r="CB989" s="759">
        <f>SUM(CB988,CA988,BZ988,BY988)</f>
      </c>
      <c r="CC989" s="969">
        <f>CC988</f>
      </c>
      <c r="CD989" s="969">
        <f>CD988</f>
      </c>
      <c r="CE989" s="969">
        <f>CE988</f>
      </c>
      <c r="CF989" s="969">
        <f>CF988</f>
      </c>
      <c r="CG989" s="237"/>
    </row>
    <row r="990" spans="1:85" hidden="1" outlineLevel="1" x14ac:dyDescent="0.3">
      <c r="A990" s="255" t="s">
        <v>814</v>
      </c>
      <c r="B990" s="255"/>
      <c r="C990" s="962">
        <f t="shared" ref="C990:AH990" si="2193">C483</f>
      </c>
      <c r="D990" s="962">
        <f t="shared" si="2193"/>
      </c>
      <c r="E990" s="962">
        <f t="shared" si="2193"/>
      </c>
      <c r="F990" s="962">
        <f t="shared" si="2193"/>
      </c>
      <c r="G990" s="757">
        <f t="shared" si="2193"/>
      </c>
      <c r="H990" s="757">
        <f t="shared" si="2193"/>
      </c>
      <c r="I990" s="757">
        <f t="shared" si="2193"/>
      </c>
      <c r="J990" s="757">
        <f t="shared" si="2193"/>
      </c>
      <c r="K990" s="962">
        <f t="shared" si="2193"/>
      </c>
      <c r="L990" s="757">
        <f t="shared" si="2193"/>
      </c>
      <c r="M990" s="757">
        <f t="shared" si="2193"/>
      </c>
      <c r="N990" s="757">
        <f t="shared" si="2193"/>
      </c>
      <c r="O990" s="757">
        <f t="shared" si="2193"/>
      </c>
      <c r="P990" s="962">
        <f t="shared" si="2193"/>
      </c>
      <c r="Q990" s="757">
        <f t="shared" si="2193"/>
      </c>
      <c r="R990" s="757">
        <f t="shared" si="2193"/>
      </c>
      <c r="S990" s="757">
        <f t="shared" si="2193"/>
      </c>
      <c r="T990" s="757">
        <f t="shared" si="2193"/>
      </c>
      <c r="U990" s="962">
        <f t="shared" si="2193"/>
      </c>
      <c r="V990" s="757">
        <f t="shared" si="2193"/>
      </c>
      <c r="W990" s="757">
        <f t="shared" si="2193"/>
      </c>
      <c r="X990" s="757">
        <f t="shared" si="2193"/>
      </c>
      <c r="Y990" s="757">
        <f t="shared" si="2193"/>
      </c>
      <c r="Z990" s="962">
        <f t="shared" si="2193"/>
      </c>
      <c r="AA990" s="757">
        <f t="shared" si="2193"/>
      </c>
      <c r="AB990" s="757">
        <f t="shared" si="2193"/>
      </c>
      <c r="AC990" s="757">
        <f t="shared" si="2193"/>
      </c>
      <c r="AD990" s="757">
        <f t="shared" si="2193"/>
      </c>
      <c r="AE990" s="962">
        <f t="shared" si="2193"/>
      </c>
      <c r="AF990" s="757">
        <f t="shared" si="2193"/>
      </c>
      <c r="AG990" s="757">
        <f t="shared" si="2193"/>
      </c>
      <c r="AH990" s="757">
        <f t="shared" si="2193"/>
      </c>
      <c r="AI990" s="757">
        <f t="shared" ref="AI990:BJ990" si="2194">AI483</f>
      </c>
      <c r="AJ990" s="962">
        <f t="shared" si="2194"/>
      </c>
      <c r="AK990" s="757">
        <f t="shared" si="2194"/>
      </c>
      <c r="AL990" s="757">
        <f t="shared" si="2194"/>
      </c>
      <c r="AM990" s="757">
        <f t="shared" si="2194"/>
      </c>
      <c r="AN990" s="757">
        <f t="shared" si="2194"/>
      </c>
      <c r="AO990" s="962">
        <f t="shared" si="2194"/>
      </c>
      <c r="AP990" s="757">
        <f t="shared" si="2194"/>
      </c>
      <c r="AQ990" s="757">
        <f t="shared" si="2194"/>
      </c>
      <c r="AR990" s="757">
        <f t="shared" si="2194"/>
      </c>
      <c r="AS990" s="757">
        <f t="shared" si="2194"/>
      </c>
      <c r="AT990" s="962">
        <f t="shared" si="2194"/>
      </c>
      <c r="AU990" s="757">
        <f t="shared" si="2194"/>
      </c>
      <c r="AV990" s="757">
        <f t="shared" si="2194"/>
      </c>
      <c r="AW990" s="757">
        <f t="shared" si="2194"/>
      </c>
      <c r="AX990" s="757">
        <f t="shared" si="2194"/>
      </c>
      <c r="AY990" s="962">
        <f t="shared" si="2194"/>
      </c>
      <c r="AZ990" s="757">
        <f t="shared" si="2194"/>
      </c>
      <c r="BA990" s="757">
        <f t="shared" si="2194"/>
      </c>
      <c r="BB990" s="757">
        <f t="shared" si="2194"/>
      </c>
      <c r="BC990" s="757">
        <f t="shared" si="2194"/>
      </c>
      <c r="BD990" s="962">
        <f t="shared" si="2194"/>
      </c>
      <c r="BE990" s="757">
        <f t="shared" si="2194"/>
      </c>
      <c r="BF990" s="757">
        <f t="shared" si="2194"/>
      </c>
      <c r="BG990" s="757">
        <f t="shared" si="2194"/>
      </c>
      <c r="BH990" s="757">
        <f t="shared" si="2194"/>
      </c>
      <c r="BI990" s="962">
        <f t="shared" si="2194"/>
      </c>
      <c r="BJ990" s="757">
        <f t="shared" si="2194"/>
      </c>
      <c r="BK990" s="757">
        <f t="shared" ref="BK990:BX990" si="2195">BK483</f>
      </c>
      <c r="BL990" s="757">
        <f t="shared" si="2195"/>
      </c>
      <c r="BM990" s="757">
        <f t="shared" si="2195"/>
      </c>
      <c r="BN990" s="962">
        <f t="shared" si="2195"/>
      </c>
      <c r="BO990" s="757">
        <f t="shared" ref="BO990:BW990" si="2196">BO483</f>
      </c>
      <c r="BP990" s="757">
        <f t="shared" si="2196"/>
      </c>
      <c r="BQ990" s="757">
        <f t="shared" si="2196"/>
      </c>
      <c r="BR990" s="757">
        <f t="shared" si="2196"/>
      </c>
      <c r="BS990" s="962">
        <f t="shared" si="2196"/>
      </c>
      <c r="BT990" s="758">
        <f>BT483</f>
      </c>
      <c r="BU990" s="757">
        <f t="shared" si="2196"/>
      </c>
      <c r="BV990" s="757">
        <f t="shared" si="2196"/>
      </c>
      <c r="BW990" s="757">
        <f t="shared" si="2196"/>
      </c>
      <c r="BX990" s="962">
        <f t="shared" si="2195"/>
      </c>
      <c r="BY990" s="757">
        <f t="shared" ref="BY990:CF990" si="2197">BY483</f>
      </c>
      <c r="BZ990" s="757">
        <f t="shared" si="2197"/>
      </c>
      <c r="CA990" s="757">
        <f t="shared" si="2197"/>
      </c>
      <c r="CB990" s="757">
        <f t="shared" si="2197"/>
      </c>
      <c r="CC990" s="962">
        <f t="shared" si="2197"/>
      </c>
      <c r="CD990" s="962">
        <f t="shared" si="2197"/>
      </c>
      <c r="CE990" s="962">
        <f t="shared" si="2197"/>
      </c>
      <c r="CF990" s="962">
        <f t="shared" si="2197"/>
      </c>
      <c r="CG990" s="237"/>
    </row>
    <row r="991" spans="1:85" hidden="1" outlineLevel="1" x14ac:dyDescent="0.3">
      <c r="A991" s="255" t="s">
        <v>815</v>
      </c>
      <c r="B991" s="255"/>
      <c r="C991" s="962">
        <f>C990</f>
      </c>
      <c r="D991" s="962">
        <f>D990</f>
      </c>
      <c r="E991" s="962">
        <f>E990</f>
      </c>
      <c r="F991" s="962">
        <f>F990</f>
      </c>
      <c r="G991" s="757"/>
      <c r="H991" s="757"/>
      <c r="I991" s="757"/>
      <c r="J991" s="757">
        <f>SUM(J990,I990,H990,G990)</f>
      </c>
      <c r="K991" s="962">
        <f>K990</f>
      </c>
      <c r="L991" s="757">
        <f>SUM(L990,H990,J990,I990)</f>
      </c>
      <c r="M991" s="757">
        <f>SUM(M990,I990,L990,J990)</f>
      </c>
      <c r="N991" s="757">
        <f>SUM(N990,J990,M990,L990)</f>
      </c>
      <c r="O991" s="757">
        <f>SUM(O990,N990,M990,L990)</f>
      </c>
      <c r="P991" s="962">
        <f>P990</f>
      </c>
      <c r="Q991" s="757">
        <f>SUM(Q990,M990,O990,N990)</f>
      </c>
      <c r="R991" s="757">
        <f>SUM(R990,N990,Q990,O990)</f>
      </c>
      <c r="S991" s="757">
        <f>SUM(S990,O990,R990,Q990)</f>
      </c>
      <c r="T991" s="757">
        <f>SUM(T990,S990,R990,Q990)</f>
      </c>
      <c r="U991" s="962">
        <f>U990</f>
      </c>
      <c r="V991" s="757">
        <f>SUM(V990,R990,T990,S990)</f>
      </c>
      <c r="W991" s="757">
        <f>SUM(W990,S990,V990,T990)</f>
      </c>
      <c r="X991" s="757">
        <f>SUM(X990,T990,W990,V990)</f>
      </c>
      <c r="Y991" s="757">
        <f>SUM(Y990,X990,W990,V990)</f>
      </c>
      <c r="Z991" s="962">
        <f>Z990</f>
      </c>
      <c r="AA991" s="757">
        <f>SUM(AA990,W990,Y990,X990)</f>
      </c>
      <c r="AB991" s="757">
        <f>SUM(AB990,X990,AA990,Y990)</f>
      </c>
      <c r="AC991" s="757">
        <f>SUM(AC990,Y990,AB990,AA990)</f>
      </c>
      <c r="AD991" s="757">
        <f>SUM(AD990,AC990,AB990,AA990)</f>
      </c>
      <c r="AE991" s="962">
        <f>AE990</f>
      </c>
      <c r="AF991" s="757">
        <f>SUM(AF990,AB990,AD990,AC990)</f>
      </c>
      <c r="AG991" s="757">
        <f>SUM(AG990,AC990,AF990,AD990)</f>
      </c>
      <c r="AH991" s="757">
        <f>SUM(AH990,AD990,AG990,AF990)</f>
      </c>
      <c r="AI991" s="757">
        <f>SUM(AI990,AH990,AG990,AF990)</f>
      </c>
      <c r="AJ991" s="962">
        <f>AJ990</f>
      </c>
      <c r="AK991" s="757">
        <f>SUM(AK990,AG990,AI990,AH990)</f>
      </c>
      <c r="AL991" s="757">
        <f>SUM(AL990,AH990,AK990,AI990)</f>
      </c>
      <c r="AM991" s="757">
        <f>SUM(AM990,AI990,AL990,AK990)</f>
      </c>
      <c r="AN991" s="757">
        <f>SUM(AN990,AM990,AL990,AK990)</f>
      </c>
      <c r="AO991" s="962">
        <f>AO990</f>
      </c>
      <c r="AP991" s="757">
        <f>SUM(AP990,AL990,AN990,AM990)</f>
      </c>
      <c r="AQ991" s="757">
        <f>SUM(AQ990,AM990,AP990,AN990)</f>
      </c>
      <c r="AR991" s="757">
        <f>SUM(AR990,AN990,AQ990,AP990)</f>
      </c>
      <c r="AS991" s="757">
        <f>SUM(AS990,AR990,AQ990,AP990)</f>
      </c>
      <c r="AT991" s="962">
        <f>AT990</f>
      </c>
      <c r="AU991" s="757">
        <f>SUM(AU990,AQ990,AS990,AR990)</f>
      </c>
      <c r="AV991" s="757">
        <f>SUM(AV990,AR990,AU990,AS990)</f>
      </c>
      <c r="AW991" s="757">
        <f>SUM(AW990,AS990,AV990,AU990)</f>
      </c>
      <c r="AX991" s="757">
        <f>SUM(AX990,AW990,AV990,AU990)</f>
      </c>
      <c r="AY991" s="962">
        <f>AY990</f>
      </c>
      <c r="AZ991" s="757">
        <f>SUM(AZ990,AV990,AX990,AW990)</f>
      </c>
      <c r="BA991" s="757">
        <f>SUM(BA990,AW990,AZ990,AX990)</f>
      </c>
      <c r="BB991" s="757">
        <f>SUM(BB990,AX990,BA990,AZ990)</f>
      </c>
      <c r="BC991" s="757">
        <f>SUM(BC990,BB990,BA990,AZ990)</f>
      </c>
      <c r="BD991" s="962">
        <f>BD990</f>
      </c>
      <c r="BE991" s="757">
        <f>SUM(BE990,BA990,BC990,BB990)</f>
      </c>
      <c r="BF991" s="757">
        <f>SUM(BF990,BB990,BE990,BC990)</f>
      </c>
      <c r="BG991" s="757">
        <f>SUM(BG990,BC990,BF990,BE990)</f>
      </c>
      <c r="BH991" s="757">
        <f>SUM(BH990,BG990,BF990,BE990)</f>
      </c>
      <c r="BI991" s="962">
        <f>BI990</f>
      </c>
      <c r="BJ991" s="757">
        <f>SUM(BJ990,BF990,BH990,BG990)</f>
      </c>
      <c r="BK991" s="757">
        <f>SUM(BK990,BG990,BJ990,BH990)</f>
      </c>
      <c r="BL991" s="757">
        <f>SUM(BL990,BH990,BK990,BJ990)</f>
      </c>
      <c r="BM991" s="757">
        <f>SUM(BM990,BL990,BK990,BJ990)</f>
      </c>
      <c r="BN991" s="962">
        <f>BN990</f>
      </c>
      <c r="BO991" s="757">
        <f>SUM(BO990,BK990,BM990,BL990)</f>
      </c>
      <c r="BP991" s="757">
        <f>SUM(BP990,BL990,BO990,BM990)</f>
      </c>
      <c r="BQ991" s="757">
        <f>SUM(BQ990,BM990,BP990,BO990)</f>
      </c>
      <c r="BR991" s="757">
        <f>SUM(BR990,BQ990,BP990,BO990)</f>
      </c>
      <c r="BS991" s="962">
        <f>BS990</f>
      </c>
      <c r="BT991" s="758">
        <f>SUM(BT990,BP990,BR990,BQ990)</f>
      </c>
      <c r="BU991" s="757">
        <f>SUM(BU990,BQ990,BT990,BR990)</f>
      </c>
      <c r="BV991" s="757">
        <f>SUM(BV990,BR990,BU990,BT990)</f>
      </c>
      <c r="BW991" s="757">
        <f>SUM(BW990,BV990,BU990,BT990)</f>
      </c>
      <c r="BX991" s="962">
        <f>BX990</f>
      </c>
      <c r="BY991" s="757">
        <f>SUM(BY990,BU990,BW990,BV990)</f>
      </c>
      <c r="BZ991" s="757">
        <f>SUM(BZ990,BV990,BY990,BW990)</f>
      </c>
      <c r="CA991" s="757">
        <f>SUM(CA990,BW990,BZ990,BY990)</f>
      </c>
      <c r="CB991" s="757">
        <f>SUM(CB990,CA990,BZ990,BY990)</f>
      </c>
      <c r="CC991" s="962">
        <f>CC990</f>
      </c>
      <c r="CD991" s="962">
        <f>CD990</f>
      </c>
      <c r="CE991" s="962">
        <f>CE990</f>
      </c>
      <c r="CF991" s="962">
        <f>CF990</f>
      </c>
      <c r="CG991" s="237"/>
    </row>
    <row r="992" spans="1:85" hidden="1" outlineLevel="1" x14ac:dyDescent="0.3">
      <c r="A992" s="255" t="s">
        <v>803</v>
      </c>
      <c r="B992" s="255"/>
      <c r="C992" s="962">
        <f t="shared" ref="C992:AH992" si="2198">C726</f>
      </c>
      <c r="D992" s="962">
        <f t="shared" si="2198"/>
      </c>
      <c r="E992" s="962">
        <f t="shared" si="2198"/>
      </c>
      <c r="F992" s="962">
        <f t="shared" si="2198"/>
      </c>
      <c r="G992" s="757">
        <f t="shared" si="2198"/>
      </c>
      <c r="H992" s="757">
        <f t="shared" si="2198"/>
      </c>
      <c r="I992" s="757">
        <f t="shared" si="2198"/>
      </c>
      <c r="J992" s="757">
        <f t="shared" si="2198"/>
      </c>
      <c r="K992" s="962">
        <f t="shared" si="2198"/>
      </c>
      <c r="L992" s="757">
        <f t="shared" si="2198"/>
      </c>
      <c r="M992" s="757">
        <f t="shared" si="2198"/>
      </c>
      <c r="N992" s="757">
        <f t="shared" si="2198"/>
      </c>
      <c r="O992" s="757">
        <f t="shared" si="2198"/>
      </c>
      <c r="P992" s="962">
        <f t="shared" si="2198"/>
      </c>
      <c r="Q992" s="757">
        <f t="shared" si="2198"/>
      </c>
      <c r="R992" s="757">
        <f t="shared" si="2198"/>
      </c>
      <c r="S992" s="757">
        <f t="shared" si="2198"/>
      </c>
      <c r="T992" s="757">
        <f t="shared" si="2198"/>
      </c>
      <c r="U992" s="962">
        <f t="shared" si="2198"/>
      </c>
      <c r="V992" s="757">
        <f t="shared" si="2198"/>
      </c>
      <c r="W992" s="757">
        <f t="shared" si="2198"/>
      </c>
      <c r="X992" s="757">
        <f t="shared" si="2198"/>
      </c>
      <c r="Y992" s="757">
        <f t="shared" si="2198"/>
      </c>
      <c r="Z992" s="962">
        <f t="shared" si="2198"/>
      </c>
      <c r="AA992" s="757">
        <f t="shared" si="2198"/>
      </c>
      <c r="AB992" s="757">
        <f t="shared" si="2198"/>
      </c>
      <c r="AC992" s="757">
        <f t="shared" si="2198"/>
      </c>
      <c r="AD992" s="757">
        <f t="shared" si="2198"/>
      </c>
      <c r="AE992" s="962">
        <f t="shared" si="2198"/>
      </c>
      <c r="AF992" s="757">
        <f t="shared" si="2198"/>
      </c>
      <c r="AG992" s="757">
        <f t="shared" si="2198"/>
      </c>
      <c r="AH992" s="757">
        <f t="shared" si="2198"/>
      </c>
      <c r="AI992" s="757">
        <f t="shared" ref="AI992:BB992" si="2199">AI726</f>
      </c>
      <c r="AJ992" s="962">
        <f t="shared" si="2199"/>
      </c>
      <c r="AK992" s="757">
        <f t="shared" si="2199"/>
      </c>
      <c r="AL992" s="757">
        <f t="shared" si="2199"/>
      </c>
      <c r="AM992" s="757">
        <f t="shared" si="2199"/>
      </c>
      <c r="AN992" s="757">
        <f t="shared" si="2199"/>
      </c>
      <c r="AO992" s="962">
        <f t="shared" si="2199"/>
      </c>
      <c r="AP992" s="757">
        <f t="shared" si="2199"/>
      </c>
      <c r="AQ992" s="757">
        <f t="shared" si="2199"/>
      </c>
      <c r="AR992" s="757">
        <f t="shared" si="2199"/>
      </c>
      <c r="AS992" s="757">
        <f t="shared" si="2199"/>
      </c>
      <c r="AT992" s="962">
        <f t="shared" si="2199"/>
      </c>
      <c r="AU992" s="757">
        <f t="shared" si="2199"/>
      </c>
      <c r="AV992" s="757">
        <f t="shared" si="2199"/>
      </c>
      <c r="AW992" s="757">
        <f t="shared" si="2199"/>
      </c>
      <c r="AX992" s="757">
        <f t="shared" si="2199"/>
      </c>
      <c r="AY992" s="962">
        <f t="shared" si="2199"/>
      </c>
      <c r="AZ992" s="757">
        <f t="shared" si="2199"/>
      </c>
      <c r="BA992" s="757">
        <f t="shared" si="2199"/>
      </c>
      <c r="BB992" s="757">
        <f t="shared" si="2199"/>
      </c>
      <c r="BC992" s="757">
        <f t="shared" ref="BC992:BD992" si="2200">BC726</f>
      </c>
      <c r="BD992" s="962">
        <f t="shared" si="2200"/>
      </c>
      <c r="BE992" s="757">
        <f t="shared" ref="BE992:BI992" si="2201">BE726</f>
      </c>
      <c r="BF992" s="757">
        <f t="shared" si="2201"/>
      </c>
      <c r="BG992" s="757">
        <f t="shared" si="2201"/>
      </c>
      <c r="BH992" s="757">
        <f t="shared" si="2201"/>
      </c>
      <c r="BI992" s="962">
        <f t="shared" si="2201"/>
      </c>
      <c r="BJ992" s="757">
        <f t="shared" ref="BJ992:BN992" si="2202">BJ726</f>
      </c>
      <c r="BK992" s="757">
        <f t="shared" si="2202"/>
      </c>
      <c r="BL992" s="757">
        <f t="shared" si="2202"/>
      </c>
      <c r="BM992" s="757">
        <f t="shared" si="2202"/>
      </c>
      <c r="BN992" s="962">
        <f t="shared" si="2202"/>
      </c>
      <c r="BO992" s="757">
        <f t="shared" ref="BO992:CF992" si="2203">BO726</f>
      </c>
      <c r="BP992" s="757">
        <f t="shared" si="2203"/>
      </c>
      <c r="BQ992" s="757">
        <f t="shared" si="2203"/>
      </c>
      <c r="BR992" s="757">
        <f t="shared" si="2203"/>
      </c>
      <c r="BS992" s="962">
        <f t="shared" si="2203"/>
      </c>
      <c r="BT992" s="758">
        <f>BT726</f>
      </c>
      <c r="BU992" s="757">
        <f t="shared" si="2203"/>
      </c>
      <c r="BV992" s="757">
        <f t="shared" si="2203"/>
      </c>
      <c r="BW992" s="757">
        <f t="shared" si="2203"/>
      </c>
      <c r="BX992" s="962">
        <f t="shared" si="2203"/>
      </c>
      <c r="BY992" s="757">
        <f t="shared" si="2203"/>
      </c>
      <c r="BZ992" s="757">
        <f t="shared" si="2203"/>
      </c>
      <c r="CA992" s="757">
        <f t="shared" si="2203"/>
      </c>
      <c r="CB992" s="757">
        <f t="shared" si="2203"/>
      </c>
      <c r="CC992" s="962">
        <f t="shared" si="2203"/>
      </c>
      <c r="CD992" s="962">
        <f t="shared" si="2203"/>
      </c>
      <c r="CE992" s="962">
        <f t="shared" si="2203"/>
      </c>
      <c r="CF992" s="962">
        <f t="shared" si="2203"/>
      </c>
      <c r="CG992" s="237"/>
    </row>
    <row r="993" spans="1:85" hidden="1" outlineLevel="1" x14ac:dyDescent="0.3">
      <c r="A993" s="255" t="s">
        <v>804</v>
      </c>
      <c r="B993" s="255"/>
      <c r="C993" s="962">
        <f>C992</f>
      </c>
      <c r="D993" s="962">
        <f>D992</f>
      </c>
      <c r="E993" s="962">
        <f>E992</f>
      </c>
      <c r="F993" s="962">
        <f>F992</f>
      </c>
      <c r="G993" s="757"/>
      <c r="H993" s="757"/>
      <c r="I993" s="757"/>
      <c r="J993" s="757">
        <f>SUM(J992,I992,H992,G992)</f>
      </c>
      <c r="K993" s="962">
        <f>K992</f>
      </c>
      <c r="L993" s="757">
        <f>SUM(L992,J992,I992,H992)</f>
      </c>
      <c r="M993" s="757">
        <f>SUM(M992,L992,J992,I992)</f>
      </c>
      <c r="N993" s="757">
        <f>SUM(N992,M992,L992,J992)</f>
      </c>
      <c r="O993" s="757">
        <f>SUM(O992,N992,M992,L992)</f>
      </c>
      <c r="P993" s="962">
        <f>P992</f>
      </c>
      <c r="Q993" s="757">
        <f>SUM(Q992,O992,N992,M992)</f>
      </c>
      <c r="R993" s="757">
        <f>SUM(R992,Q992,O992,N992)</f>
      </c>
      <c r="S993" s="757">
        <f>SUM(S992,R992,Q992,O992)</f>
      </c>
      <c r="T993" s="757">
        <f>SUM(T992,S992,R992,Q992)</f>
      </c>
      <c r="U993" s="962">
        <f>U992</f>
      </c>
      <c r="V993" s="757">
        <f>SUM(V992,T992,S992,R992)</f>
      </c>
      <c r="W993" s="757">
        <f>SUM(W992,V992,T992,S992)</f>
      </c>
      <c r="X993" s="757">
        <f>SUM(X992,W992,V992,T992)</f>
      </c>
      <c r="Y993" s="757">
        <f>SUM(Y992,X992,W992,V992)</f>
      </c>
      <c r="Z993" s="962">
        <f>Z992</f>
      </c>
      <c r="AA993" s="757">
        <f>SUM(AA992,Y992,X992,W992)</f>
      </c>
      <c r="AB993" s="757">
        <f>SUM(AB992,AA992,Y992,X992)</f>
      </c>
      <c r="AC993" s="757">
        <f>SUM(AC992,AB992,AA992,Y992)</f>
      </c>
      <c r="AD993" s="757">
        <f>SUM(AD992,AC992,AB992,AA992)</f>
      </c>
      <c r="AE993" s="962">
        <f>AE992</f>
      </c>
      <c r="AF993" s="757">
        <f>SUM(AF992,AD992,AC992,AB992)</f>
      </c>
      <c r="AG993" s="757">
        <f>SUM(AG992,AF992,AD992,AC992)</f>
      </c>
      <c r="AH993" s="757">
        <f>SUM(AH992,AG992,AF992,AD992)</f>
      </c>
      <c r="AI993" s="757">
        <f>SUM(AI992,AH992,AG992,AF992)</f>
      </c>
      <c r="AJ993" s="962">
        <f>AJ992</f>
      </c>
      <c r="AK993" s="757">
        <f>SUM(AK992,AI992,AH992,AG992)</f>
      </c>
      <c r="AL993" s="757">
        <f>SUM(AL992,AK992,AI992,AH992)</f>
      </c>
      <c r="AM993" s="757">
        <f>SUM(AM992,AL992,AK992,AI992)</f>
      </c>
      <c r="AN993" s="757">
        <f>SUM(AN992,AM992,AL992,AK992)</f>
      </c>
      <c r="AO993" s="962">
        <f>AO992</f>
      </c>
      <c r="AP993" s="757">
        <f>SUM(AP992,AN992,AM992,AL992)</f>
      </c>
      <c r="AQ993" s="757">
        <f>SUM(AQ992,AP992,AN992,AM992)</f>
      </c>
      <c r="AR993" s="757">
        <f>SUM(AR992,AQ992,AP992,AN992)</f>
      </c>
      <c r="AS993" s="757">
        <f>SUM(AS992,AR992,AQ992,AP992)</f>
      </c>
      <c r="AT993" s="962">
        <f>AT992</f>
      </c>
      <c r="AU993" s="757">
        <f>SUM(AU992,AS992,AR992,AQ992)</f>
      </c>
      <c r="AV993" s="757">
        <f>SUM(AV992,AU992,AS992,AR992)</f>
      </c>
      <c r="AW993" s="757">
        <f>SUM(AW992,AV992,AU992,AS992)</f>
      </c>
      <c r="AX993" s="757">
        <f>SUM(AX992,AW992,AV992,AU992)</f>
      </c>
      <c r="AY993" s="962">
        <f>AY992</f>
      </c>
      <c r="AZ993" s="757">
        <f>SUM(AZ992,AX992,AW992,AV992)</f>
      </c>
      <c r="BA993" s="757">
        <f>SUM(BA992,AZ992,AX992,AW992)</f>
      </c>
      <c r="BB993" s="757">
        <f>SUM(BB992,AX992,BA992,AZ992)</f>
      </c>
      <c r="BC993" s="757">
        <f>SUM(BC992,BB992,BA992,AZ992)</f>
      </c>
      <c r="BD993" s="962">
        <f>BD992</f>
      </c>
      <c r="BE993" s="757">
        <f>SUM(BE992,BC992,BB992,BA992)</f>
      </c>
      <c r="BF993" s="757">
        <f>SUM(BF992,BE992,BC992,BB992)</f>
      </c>
      <c r="BG993" s="757">
        <f>SUM(BG992,BC992,BF992,BE992)</f>
      </c>
      <c r="BH993" s="757">
        <f>SUM(BH992,BG992,BF992,BE992)</f>
      </c>
      <c r="BI993" s="962">
        <f>BI992</f>
      </c>
      <c r="BJ993" s="757">
        <f>SUM(BJ992,BH992,BG992,BF992)</f>
      </c>
      <c r="BK993" s="757">
        <f>SUM(BK992,BJ992,BH992,BG992)</f>
      </c>
      <c r="BL993" s="757">
        <f>SUM(BL992,BH992,BK992,BJ992)</f>
      </c>
      <c r="BM993" s="757">
        <f>SUM(BM992,BL992,BK992,BJ992)</f>
      </c>
      <c r="BN993" s="962">
        <f>BN992</f>
      </c>
      <c r="BO993" s="757">
        <f>SUM(BO992,BM992,BL992,BK992)</f>
      </c>
      <c r="BP993" s="757">
        <f>SUM(BP992,BO992,BM992,BL992)</f>
      </c>
      <c r="BQ993" s="757">
        <f>SUM(BQ992,BM992,BP992,BO992)</f>
      </c>
      <c r="BR993" s="757">
        <f>SUM(BR992,BQ992,BP992,BO992)</f>
      </c>
      <c r="BS993" s="962">
        <f>BS992</f>
      </c>
      <c r="BT993" s="758">
        <f>SUM(BT992,BR992,BQ992,BP992)</f>
      </c>
      <c r="BU993" s="757">
        <f>SUM(BU992,BQ992,BT992,BR992)</f>
      </c>
      <c r="BV993" s="757">
        <f>SUM(BV992,BR992,BU992,BT992)</f>
      </c>
      <c r="BW993" s="757">
        <f>SUM(BW992,BV992,BU992,BT992)</f>
      </c>
      <c r="BX993" s="962">
        <f>BX992</f>
      </c>
      <c r="BY993" s="757">
        <f>SUM(BY992,BU992,BW992,BV992)</f>
      </c>
      <c r="BZ993" s="757">
        <f>SUM(BZ992,BV992,BY992,BW992)</f>
      </c>
      <c r="CA993" s="757">
        <f>SUM(CA992,BW992,BZ992,BY992)</f>
      </c>
      <c r="CB993" s="757">
        <f>SUM(CB992,CA992,BZ992,BY992)</f>
      </c>
      <c r="CC993" s="962">
        <f>CC992</f>
      </c>
      <c r="CD993" s="962">
        <f>CD992</f>
      </c>
      <c r="CE993" s="962">
        <f>CE992</f>
      </c>
      <c r="CF993" s="962">
        <f>CF992</f>
      </c>
      <c r="CG993" s="237"/>
    </row>
    <row r="994" spans="1:85" hidden="1" outlineLevel="1" x14ac:dyDescent="0.3">
      <c r="A994" s="255" t="s">
        <v>805</v>
      </c>
      <c r="B994" s="255"/>
      <c r="C994" s="962">
        <f t="shared" ref="C994:AH994" si="2204">C1121</f>
      </c>
      <c r="D994" s="962">
        <f t="shared" si="2204"/>
      </c>
      <c r="E994" s="962">
        <f t="shared" si="2204"/>
      </c>
      <c r="F994" s="962">
        <f t="shared" si="2204"/>
      </c>
      <c r="G994" s="757">
        <f t="shared" si="2204"/>
      </c>
      <c r="H994" s="757">
        <f t="shared" si="2204"/>
      </c>
      <c r="I994" s="757">
        <f t="shared" si="2204"/>
      </c>
      <c r="J994" s="757">
        <f t="shared" si="2204"/>
      </c>
      <c r="K994" s="962">
        <f t="shared" si="2204"/>
      </c>
      <c r="L994" s="757">
        <f t="shared" si="2204"/>
      </c>
      <c r="M994" s="757">
        <f t="shared" si="2204"/>
      </c>
      <c r="N994" s="757">
        <f t="shared" si="2204"/>
      </c>
      <c r="O994" s="757">
        <f t="shared" si="2204"/>
      </c>
      <c r="P994" s="962">
        <f t="shared" si="2204"/>
      </c>
      <c r="Q994" s="757">
        <f t="shared" si="2204"/>
      </c>
      <c r="R994" s="757">
        <f t="shared" si="2204"/>
      </c>
      <c r="S994" s="757">
        <f t="shared" si="2204"/>
      </c>
      <c r="T994" s="757">
        <f t="shared" si="2204"/>
      </c>
      <c r="U994" s="962">
        <f t="shared" si="2204"/>
      </c>
      <c r="V994" s="757">
        <f t="shared" si="2204"/>
      </c>
      <c r="W994" s="757">
        <f t="shared" si="2204"/>
      </c>
      <c r="X994" s="757">
        <f t="shared" si="2204"/>
      </c>
      <c r="Y994" s="757">
        <f t="shared" si="2204"/>
      </c>
      <c r="Z994" s="962">
        <f t="shared" si="2204"/>
      </c>
      <c r="AA994" s="757">
        <f t="shared" si="2204"/>
      </c>
      <c r="AB994" s="757">
        <f t="shared" si="2204"/>
      </c>
      <c r="AC994" s="757">
        <f t="shared" si="2204"/>
      </c>
      <c r="AD994" s="757">
        <f t="shared" si="2204"/>
      </c>
      <c r="AE994" s="962">
        <f t="shared" si="2204"/>
      </c>
      <c r="AF994" s="757">
        <f t="shared" si="2204"/>
      </c>
      <c r="AG994" s="757">
        <f t="shared" si="2204"/>
      </c>
      <c r="AH994" s="757">
        <f t="shared" si="2204"/>
      </c>
      <c r="AI994" s="757">
        <f t="shared" ref="AI994:BB994" si="2205">AI1121</f>
      </c>
      <c r="AJ994" s="962">
        <f t="shared" si="2205"/>
      </c>
      <c r="AK994" s="757">
        <f t="shared" si="2205"/>
      </c>
      <c r="AL994" s="757">
        <f t="shared" si="2205"/>
      </c>
      <c r="AM994" s="757">
        <f t="shared" si="2205"/>
      </c>
      <c r="AN994" s="757">
        <f t="shared" si="2205"/>
      </c>
      <c r="AO994" s="962">
        <f t="shared" si="2205"/>
      </c>
      <c r="AP994" s="757">
        <f t="shared" si="2205"/>
      </c>
      <c r="AQ994" s="757">
        <f t="shared" si="2205"/>
      </c>
      <c r="AR994" s="757">
        <f t="shared" si="2205"/>
      </c>
      <c r="AS994" s="757">
        <f t="shared" si="2205"/>
      </c>
      <c r="AT994" s="962">
        <f t="shared" si="2205"/>
      </c>
      <c r="AU994" s="757">
        <f t="shared" si="2205"/>
      </c>
      <c r="AV994" s="757">
        <f t="shared" si="2205"/>
      </c>
      <c r="AW994" s="757">
        <f t="shared" si="2205"/>
      </c>
      <c r="AX994" s="757">
        <f t="shared" si="2205"/>
      </c>
      <c r="AY994" s="962">
        <f t="shared" si="2205"/>
      </c>
      <c r="AZ994" s="757">
        <f t="shared" si="2205"/>
      </c>
      <c r="BA994" s="757">
        <f t="shared" si="2205"/>
      </c>
      <c r="BB994" s="757">
        <f t="shared" si="2205"/>
      </c>
      <c r="BC994" s="757">
        <f t="shared" ref="BC994:BD994" si="2206">BC1121</f>
      </c>
      <c r="BD994" s="962">
        <f t="shared" si="2206"/>
      </c>
      <c r="BE994" s="757">
        <f t="shared" ref="BE994:BI994" si="2207">BE1121</f>
      </c>
      <c r="BF994" s="757">
        <f t="shared" si="2207"/>
      </c>
      <c r="BG994" s="757">
        <f t="shared" si="2207"/>
      </c>
      <c r="BH994" s="757">
        <f t="shared" si="2207"/>
      </c>
      <c r="BI994" s="962">
        <f t="shared" si="2207"/>
      </c>
      <c r="BJ994" s="757">
        <f t="shared" ref="BJ994:BN994" si="2208">BJ1121</f>
      </c>
      <c r="BK994" s="757">
        <f t="shared" si="2208"/>
      </c>
      <c r="BL994" s="757">
        <f t="shared" si="2208"/>
      </c>
      <c r="BM994" s="757">
        <f t="shared" si="2208"/>
      </c>
      <c r="BN994" s="962">
        <f t="shared" si="2208"/>
      </c>
      <c r="BO994" s="757">
        <f t="shared" ref="BO994:CF994" si="2209">BO1121</f>
      </c>
      <c r="BP994" s="757">
        <f t="shared" si="2209"/>
      </c>
      <c r="BQ994" s="757">
        <f t="shared" si="2209"/>
      </c>
      <c r="BR994" s="757">
        <f t="shared" si="2209"/>
      </c>
      <c r="BS994" s="962">
        <f t="shared" si="2209"/>
      </c>
      <c r="BT994" s="758">
        <f>BT1121</f>
      </c>
      <c r="BU994" s="757">
        <f t="shared" si="2209"/>
      </c>
      <c r="BV994" s="757">
        <f t="shared" si="2209"/>
      </c>
      <c r="BW994" s="757">
        <f t="shared" si="2209"/>
      </c>
      <c r="BX994" s="962">
        <f t="shared" si="2209"/>
      </c>
      <c r="BY994" s="757">
        <f t="shared" si="2209"/>
      </c>
      <c r="BZ994" s="757">
        <f t="shared" si="2209"/>
      </c>
      <c r="CA994" s="757">
        <f t="shared" si="2209"/>
      </c>
      <c r="CB994" s="757">
        <f t="shared" si="2209"/>
      </c>
      <c r="CC994" s="962">
        <f t="shared" si="2209"/>
      </c>
      <c r="CD994" s="962">
        <f t="shared" si="2209"/>
      </c>
      <c r="CE994" s="962">
        <f t="shared" si="2209"/>
      </c>
      <c r="CF994" s="962">
        <f t="shared" si="2209"/>
      </c>
      <c r="CG994" s="237"/>
    </row>
    <row r="995" spans="1:85" hidden="1" outlineLevel="1" x14ac:dyDescent="0.3">
      <c r="A995" s="255" t="s">
        <v>806</v>
      </c>
      <c r="B995" s="255"/>
      <c r="C995" s="962">
        <f>C994</f>
      </c>
      <c r="D995" s="962">
        <f>D994</f>
      </c>
      <c r="E995" s="962">
        <f>E994</f>
      </c>
      <c r="F995" s="962">
        <f>F994</f>
      </c>
      <c r="G995" s="757"/>
      <c r="H995" s="757"/>
      <c r="I995" s="757"/>
      <c r="J995" s="757">
        <f>SUM(J994,I994,H994,G994)</f>
      </c>
      <c r="K995" s="962">
        <f>K994</f>
      </c>
      <c r="L995" s="757">
        <f>SUM(L994,J994,I994,H994)</f>
      </c>
      <c r="M995" s="757">
        <f>SUM(M994,L994,J994,I994)</f>
      </c>
      <c r="N995" s="757">
        <f>SUM(N994,M994,L994,J994)</f>
      </c>
      <c r="O995" s="757">
        <f>SUM(O994,N994,M994,L994)</f>
      </c>
      <c r="P995" s="962">
        <f>P994</f>
      </c>
      <c r="Q995" s="757">
        <f>SUM(Q994,O994,N994,M994)</f>
      </c>
      <c r="R995" s="757">
        <f>SUM(R994,Q994,O994,N994)</f>
      </c>
      <c r="S995" s="757">
        <f>SUM(S994,R994,Q994,O994)</f>
      </c>
      <c r="T995" s="757">
        <f>SUM(T994,S994,R994,Q994)</f>
      </c>
      <c r="U995" s="962">
        <f>U994</f>
      </c>
      <c r="V995" s="757">
        <f>SUM(V994,T994,S994,R994)</f>
      </c>
      <c r="W995" s="757">
        <f>SUM(W994,V994,T994,S994)</f>
      </c>
      <c r="X995" s="757">
        <f>SUM(X994,W994,V994,T994)</f>
      </c>
      <c r="Y995" s="757">
        <f>SUM(Y994,X994,W994,V994)</f>
      </c>
      <c r="Z995" s="962">
        <f>Z994</f>
      </c>
      <c r="AA995" s="757">
        <f>SUM(AA994,Y994,X994,W994)</f>
      </c>
      <c r="AB995" s="757">
        <f>SUM(AB994,AA994,Y994,X994)</f>
      </c>
      <c r="AC995" s="757">
        <f>SUM(AC994,AB994,AA994,Y994)</f>
      </c>
      <c r="AD995" s="757">
        <f>SUM(AD994,AC994,AB994,AA994)</f>
      </c>
      <c r="AE995" s="962">
        <f>AE994</f>
      </c>
      <c r="AF995" s="757">
        <f>SUM(AF994,AD994,AC994,AB994)</f>
      </c>
      <c r="AG995" s="757">
        <f>SUM(AG994,AF994,AD994,AC994)</f>
      </c>
      <c r="AH995" s="757">
        <f>SUM(AH994,AG994,AF994,AD994)</f>
      </c>
      <c r="AI995" s="757">
        <f>SUM(AI994,AH994,AG994,AF994)</f>
      </c>
      <c r="AJ995" s="962">
        <f>AJ994</f>
      </c>
      <c r="AK995" s="757">
        <f>SUM(AK994,AI994,AH994,AG994)</f>
      </c>
      <c r="AL995" s="757">
        <f>SUM(AL994,AK994,AI994,AH994)</f>
      </c>
      <c r="AM995" s="757">
        <f>SUM(AM994,AL994,AK994,AI994)</f>
      </c>
      <c r="AN995" s="757">
        <f>SUM(AN994,AM994,AL994,AK994)</f>
      </c>
      <c r="AO995" s="962">
        <f>AO994</f>
      </c>
      <c r="AP995" s="757">
        <f>SUM(AP994,AN994,AM994,AL994)</f>
      </c>
      <c r="AQ995" s="757">
        <f>SUM(AQ994,AP994,AN994,AM994)</f>
      </c>
      <c r="AR995" s="757">
        <f>SUM(AR994,AQ994,AP994,AN994)</f>
      </c>
      <c r="AS995" s="757">
        <f>SUM(AS994,AR994,AQ994,AP994)</f>
      </c>
      <c r="AT995" s="962">
        <f>AT994</f>
      </c>
      <c r="AU995" s="757">
        <f>SUM(AU994,AS994,AR994,AQ994)</f>
      </c>
      <c r="AV995" s="757">
        <f>SUM(AV994,AU994,AS994,AR994)</f>
      </c>
      <c r="AW995" s="757">
        <f>SUM(AW994,AV994,AU994,AS994)</f>
      </c>
      <c r="AX995" s="757">
        <f>SUM(AX994,AW994,AV994,AU994)</f>
      </c>
      <c r="AY995" s="962">
        <f>AY994</f>
      </c>
      <c r="AZ995" s="757">
        <f>SUM(AZ994,AX994,AW994,AV994)</f>
      </c>
      <c r="BA995" s="757">
        <f>SUM(BA994,AZ994,AX994,AW994)</f>
      </c>
      <c r="BB995" s="757">
        <f>SUM(BB994,AX994,BA994,AZ994)</f>
      </c>
      <c r="BC995" s="757">
        <f>SUM(BC994,BB994,BA994,AZ994)</f>
      </c>
      <c r="BD995" s="962">
        <f>BD994</f>
      </c>
      <c r="BE995" s="757">
        <f>SUM(BE994,BC994,BB994,BA994)</f>
      </c>
      <c r="BF995" s="757">
        <f>SUM(BF994,BE994,BC994,BB994)</f>
      </c>
      <c r="BG995" s="757">
        <f>SUM(BG994,BC994,BF994,BE994)</f>
      </c>
      <c r="BH995" s="757">
        <f>SUM(BH994,BG994,BF994,BE994)</f>
      </c>
      <c r="BI995" s="962">
        <f>BI994</f>
      </c>
      <c r="BJ995" s="757">
        <f>SUM(BJ994,BH994,BG994,BF994)</f>
      </c>
      <c r="BK995" s="757">
        <f>SUM(BK994,BJ994,BH994,BG994)</f>
      </c>
      <c r="BL995" s="757">
        <f>SUM(BL994,BH994,BK994,BJ994)</f>
      </c>
      <c r="BM995" s="757">
        <f>SUM(BM994,BL994,BK994,BJ994)</f>
      </c>
      <c r="BN995" s="962">
        <f>BN994</f>
      </c>
      <c r="BO995" s="757">
        <f>SUM(BO994,BM994,BL994,BK994)</f>
      </c>
      <c r="BP995" s="757">
        <f>SUM(BP994,BO994,BM994,BL994)</f>
      </c>
      <c r="BQ995" s="757">
        <f>SUM(BQ994,BM994,BP994,BO994)</f>
      </c>
      <c r="BR995" s="757">
        <f>SUM(BR994,BQ994,BP994,BO994)</f>
      </c>
      <c r="BS995" s="962">
        <f>BS994</f>
      </c>
      <c r="BT995" s="758">
        <f>SUM(BT994,BR994,BQ994,BP994)</f>
      </c>
      <c r="BU995" s="757">
        <f>SUM(BU994,BQ994,BT994,BR994)</f>
      </c>
      <c r="BV995" s="757">
        <f>SUM(BV994,BR994,BU994,BT994)</f>
      </c>
      <c r="BW995" s="757">
        <f>SUM(BW994,BV994,BU994,BT994)</f>
      </c>
      <c r="BX995" s="962">
        <f>BX994</f>
      </c>
      <c r="BY995" s="757">
        <f>SUM(BY994,BU994,BW994,BV994)</f>
      </c>
      <c r="BZ995" s="757">
        <f>SUM(BZ994,BV994,BY994,BW994)</f>
      </c>
      <c r="CA995" s="757">
        <f>SUM(CA994,BW994,BZ994,BY994)</f>
      </c>
      <c r="CB995" s="757">
        <f>SUM(CB994,CA994,BZ994,BY994)</f>
      </c>
      <c r="CC995" s="962">
        <f>CC994</f>
      </c>
      <c r="CD995" s="962">
        <f>CD994</f>
      </c>
      <c r="CE995" s="962">
        <f>CE994</f>
      </c>
      <c r="CF995" s="962">
        <f>CF994</f>
      </c>
      <c r="CG995" s="237"/>
    </row>
    <row r="996" spans="1:85" hidden="1" outlineLevel="1" x14ac:dyDescent="0.3">
      <c r="A996" s="244" t="s">
        <v>742</v>
      </c>
      <c r="B996" s="244"/>
      <c r="C996" s="969">
        <f>C807</f>
      </c>
      <c r="D996" s="969">
        <f>D807</f>
      </c>
      <c r="E996" s="969">
        <f>E807</f>
      </c>
      <c r="F996" s="969">
        <f>F807</f>
      </c>
      <c r="G996" s="759"/>
      <c r="H996" s="759"/>
      <c r="I996" s="759"/>
      <c r="J996" s="759"/>
      <c r="K996" s="969">
        <f>K807</f>
      </c>
      <c r="L996" s="759"/>
      <c r="M996" s="759"/>
      <c r="N996" s="759"/>
      <c r="O996" s="759"/>
      <c r="P996" s="969">
        <f>P807</f>
      </c>
      <c r="Q996" s="759"/>
      <c r="R996" s="759"/>
      <c r="S996" s="759"/>
      <c r="T996" s="759"/>
      <c r="U996" s="969">
        <f>U807</f>
      </c>
      <c r="V996" s="759"/>
      <c r="W996" s="759"/>
      <c r="X996" s="759"/>
      <c r="Y996" s="759"/>
      <c r="Z996" s="969">
        <f>Z807</f>
      </c>
      <c r="AA996" s="759"/>
      <c r="AB996" s="759"/>
      <c r="AC996" s="759"/>
      <c r="AD996" s="759"/>
      <c r="AE996" s="969">
        <f>AE807</f>
      </c>
      <c r="AF996" s="759"/>
      <c r="AG996" s="759"/>
      <c r="AH996" s="759"/>
      <c r="AI996" s="759"/>
      <c r="AJ996" s="969">
        <f>AJ807</f>
      </c>
      <c r="AK996" s="759"/>
      <c r="AL996" s="759"/>
      <c r="AM996" s="759"/>
      <c r="AN996" s="759"/>
      <c r="AO996" s="969">
        <f t="shared" ref="AO996:BB996" si="2210">AO807</f>
      </c>
      <c r="AP996" s="759">
        <f t="shared" si="2210"/>
      </c>
      <c r="AQ996" s="759">
        <f t="shared" si="2210"/>
      </c>
      <c r="AR996" s="759">
        <f t="shared" si="2210"/>
      </c>
      <c r="AS996" s="759">
        <f t="shared" si="2210"/>
      </c>
      <c r="AT996" s="969">
        <f t="shared" si="2210"/>
      </c>
      <c r="AU996" s="759">
        <f t="shared" si="2210"/>
      </c>
      <c r="AV996" s="759">
        <f t="shared" si="2210"/>
      </c>
      <c r="AW996" s="759">
        <f t="shared" si="2210"/>
      </c>
      <c r="AX996" s="759">
        <f t="shared" si="2210"/>
      </c>
      <c r="AY996" s="969">
        <f t="shared" si="2210"/>
      </c>
      <c r="AZ996" s="759">
        <f t="shared" si="2210"/>
      </c>
      <c r="BA996" s="759">
        <f t="shared" si="2210"/>
      </c>
      <c r="BB996" s="759">
        <f t="shared" si="2210"/>
      </c>
      <c r="BC996" s="759">
        <f t="shared" ref="BC996:BD996" si="2211">BC807</f>
      </c>
      <c r="BD996" s="969">
        <f t="shared" si="2211"/>
      </c>
      <c r="BE996" s="759">
        <f t="shared" ref="BE996:BI996" si="2212">BE807</f>
      </c>
      <c r="BF996" s="759">
        <f t="shared" si="2212"/>
      </c>
      <c r="BG996" s="759">
        <f t="shared" si="2212"/>
      </c>
      <c r="BH996" s="759">
        <f t="shared" si="2212"/>
      </c>
      <c r="BI996" s="969">
        <f t="shared" si="2212"/>
      </c>
      <c r="BJ996" s="759">
        <f t="shared" ref="BJ996:BN996" si="2213">BJ807</f>
      </c>
      <c r="BK996" s="759">
        <f t="shared" si="2213"/>
      </c>
      <c r="BL996" s="759">
        <f t="shared" si="2213"/>
      </c>
      <c r="BM996" s="759">
        <f t="shared" si="2213"/>
      </c>
      <c r="BN996" s="969">
        <f t="shared" si="2213"/>
      </c>
      <c r="BO996" s="759">
        <f t="shared" ref="BO996:CF996" si="2214">BO807</f>
      </c>
      <c r="BP996" s="759">
        <f t="shared" si="2214"/>
      </c>
      <c r="BQ996" s="759">
        <f t="shared" si="2214"/>
      </c>
      <c r="BR996" s="759">
        <f t="shared" si="2214"/>
      </c>
      <c r="BS996" s="969">
        <f t="shared" si="2214"/>
      </c>
      <c r="BT996" s="760">
        <f>BT807</f>
      </c>
      <c r="BU996" s="759">
        <f t="shared" si="2214"/>
      </c>
      <c r="BV996" s="759">
        <f t="shared" si="2214"/>
      </c>
      <c r="BW996" s="759">
        <f t="shared" si="2214"/>
      </c>
      <c r="BX996" s="969">
        <f t="shared" si="2214"/>
      </c>
      <c r="BY996" s="759">
        <f t="shared" si="2214"/>
      </c>
      <c r="BZ996" s="759">
        <f t="shared" si="2214"/>
      </c>
      <c r="CA996" s="759">
        <f t="shared" si="2214"/>
      </c>
      <c r="CB996" s="759">
        <f t="shared" si="2214"/>
      </c>
      <c r="CC996" s="969">
        <f t="shared" si="2214"/>
      </c>
      <c r="CD996" s="969">
        <f t="shared" si="2214"/>
      </c>
      <c r="CE996" s="969">
        <f t="shared" si="2214"/>
      </c>
      <c r="CF996" s="969">
        <f t="shared" si="2214"/>
      </c>
      <c r="CG996" s="237"/>
    </row>
    <row r="997" spans="1:85" hidden="1" outlineLevel="1" x14ac:dyDescent="0.3">
      <c r="A997" s="244" t="s">
        <v>807</v>
      </c>
      <c r="B997" s="244"/>
      <c r="C997" s="969">
        <f>C996</f>
      </c>
      <c r="D997" s="969">
        <f>D996</f>
      </c>
      <c r="E997" s="969">
        <f>E996</f>
      </c>
      <c r="F997" s="969">
        <f>F996</f>
      </c>
      <c r="G997" s="759"/>
      <c r="H997" s="759"/>
      <c r="I997" s="759"/>
      <c r="J997" s="759"/>
      <c r="K997" s="969">
        <f>K996</f>
      </c>
      <c r="L997" s="759"/>
      <c r="M997" s="759"/>
      <c r="N997" s="759"/>
      <c r="O997" s="759"/>
      <c r="P997" s="969">
        <f>P996</f>
      </c>
      <c r="Q997" s="759"/>
      <c r="R997" s="759"/>
      <c r="S997" s="759"/>
      <c r="T997" s="759"/>
      <c r="U997" s="969">
        <f>U996</f>
      </c>
      <c r="V997" s="759"/>
      <c r="W997" s="759"/>
      <c r="X997" s="759"/>
      <c r="Y997" s="759"/>
      <c r="Z997" s="969">
        <f>Z996</f>
      </c>
      <c r="AA997" s="759"/>
      <c r="AB997" s="759"/>
      <c r="AC997" s="759"/>
      <c r="AD997" s="759"/>
      <c r="AE997" s="969">
        <f>AE996</f>
      </c>
      <c r="AF997" s="759"/>
      <c r="AG997" s="759"/>
      <c r="AH997" s="759"/>
      <c r="AI997" s="759"/>
      <c r="AJ997" s="969">
        <f>AJ996</f>
      </c>
      <c r="AK997" s="759"/>
      <c r="AL997" s="759"/>
      <c r="AM997" s="759"/>
      <c r="AN997" s="759"/>
      <c r="AO997" s="969">
        <f>AO996</f>
      </c>
      <c r="AP997" s="759"/>
      <c r="AQ997" s="759"/>
      <c r="AR997" s="759"/>
      <c r="AS997" s="759">
        <f>SUM(AS996,AR996,AQ996,AP996)</f>
      </c>
      <c r="AT997" s="969">
        <f>AT996</f>
      </c>
      <c r="AU997" s="759">
        <f>SUM(AU996,AS996,AR996,AQ996)</f>
      </c>
      <c r="AV997" s="759">
        <f>SUM(AV996,AU996,AS996,AR996)</f>
      </c>
      <c r="AW997" s="759">
        <f>SUM(AW996,AV996,AU996,AS996)</f>
      </c>
      <c r="AX997" s="759">
        <f>SUM(AX996,AW996,AV996,AU996)</f>
      </c>
      <c r="AY997" s="969">
        <f>AY996</f>
      </c>
      <c r="AZ997" s="759">
        <f>SUM(AZ996,AX996,AW996,AV996)</f>
      </c>
      <c r="BA997" s="759">
        <f>SUM(BA996,AZ996,AX996,AW996)</f>
      </c>
      <c r="BB997" s="759">
        <f>SUM(BB996,AX996,BA996,AZ996)</f>
      </c>
      <c r="BC997" s="759">
        <f>SUM(BC996,BB996,BA996,AZ996)</f>
      </c>
      <c r="BD997" s="969">
        <f>BD996</f>
      </c>
      <c r="BE997" s="759">
        <f>SUM(BE996,BC996,BB996,BA996)</f>
      </c>
      <c r="BF997" s="759">
        <f>SUM(BF996,BE996,BC996,BB996)</f>
      </c>
      <c r="BG997" s="759">
        <f>SUM(BG996,BC996,BF996,BE996)</f>
      </c>
      <c r="BH997" s="759">
        <f>SUM(BH996,BG996,BF996,BE996)</f>
      </c>
      <c r="BI997" s="969">
        <f>BI996</f>
      </c>
      <c r="BJ997" s="759">
        <f>SUM(BJ996,BH996,BG996,BF996)</f>
      </c>
      <c r="BK997" s="759">
        <f>SUM(BK996,BJ996,BH996,BG996)</f>
      </c>
      <c r="BL997" s="759">
        <f>SUM(BL996,BH996,BK996,BJ996)</f>
      </c>
      <c r="BM997" s="759">
        <f>SUM(BM996,BL996,BK996,BJ996)</f>
      </c>
      <c r="BN997" s="969">
        <f>BN996</f>
      </c>
      <c r="BO997" s="759">
        <f>SUM(BO996,BM996,BL996,BK996)</f>
      </c>
      <c r="BP997" s="759">
        <f>SUM(BP996,BO996,BM996,BL996)</f>
      </c>
      <c r="BQ997" s="759">
        <f>SUM(BQ996,BM996,BP996,BO996)</f>
      </c>
      <c r="BR997" s="759">
        <f>SUM(BR996,BQ996,BP996,BO996)</f>
      </c>
      <c r="BS997" s="969">
        <f>BS996</f>
      </c>
      <c r="BT997" s="760">
        <f>SUM(BT996,BR996,BQ996,BP996)</f>
      </c>
      <c r="BU997" s="759">
        <f>SUM(BU996,BQ996,BT996,BR996)</f>
      </c>
      <c r="BV997" s="759">
        <f>SUM(BV996,BR996,BU996,BT996)</f>
      </c>
      <c r="BW997" s="759">
        <f>SUM(BW996,BV996,BU996,BT996)</f>
      </c>
      <c r="BX997" s="969">
        <f>BX996</f>
      </c>
      <c r="BY997" s="759">
        <f>SUM(BY996,BU996,BW996,BV996)</f>
      </c>
      <c r="BZ997" s="759">
        <f>SUM(BZ996,BV996,BY996,BW996)</f>
      </c>
      <c r="CA997" s="759">
        <f>SUM(CA996,BW996,BZ996,BY996)</f>
      </c>
      <c r="CB997" s="759">
        <f>SUM(CB996,CA996,BZ996,BY996)</f>
      </c>
      <c r="CC997" s="969">
        <f>CC996</f>
      </c>
      <c r="CD997" s="969">
        <f>CD996</f>
      </c>
      <c r="CE997" s="969">
        <f>CE996</f>
      </c>
      <c r="CF997" s="969">
        <f>CF996</f>
      </c>
      <c r="CG997" s="237"/>
    </row>
    <row r="998" spans="1:85" hidden="1" outlineLevel="1" x14ac:dyDescent="0.3">
      <c r="A998" s="255" t="s">
        <v>808</v>
      </c>
      <c r="B998" s="255"/>
      <c r="C998" s="950">
        <f t="shared" ref="C998:AH998" si="2215">C1252</f>
      </c>
      <c r="D998" s="950">
        <f t="shared" si="2215"/>
      </c>
      <c r="E998" s="950">
        <f t="shared" si="2215"/>
      </c>
      <c r="F998" s="950">
        <f t="shared" si="2215"/>
      </c>
      <c r="G998" s="204">
        <f t="shared" si="2215"/>
      </c>
      <c r="H998" s="204">
        <f t="shared" si="2215"/>
      </c>
      <c r="I998" s="204">
        <f t="shared" si="2215"/>
      </c>
      <c r="J998" s="204">
        <f t="shared" si="2215"/>
      </c>
      <c r="K998" s="950">
        <f t="shared" si="2215"/>
      </c>
      <c r="L998" s="204">
        <f t="shared" si="2215"/>
      </c>
      <c r="M998" s="204">
        <f t="shared" si="2215"/>
      </c>
      <c r="N998" s="204">
        <f t="shared" si="2215"/>
      </c>
      <c r="O998" s="204">
        <f t="shared" si="2215"/>
      </c>
      <c r="P998" s="950">
        <f t="shared" si="2215"/>
      </c>
      <c r="Q998" s="204">
        <f t="shared" si="2215"/>
      </c>
      <c r="R998" s="204">
        <f t="shared" si="2215"/>
      </c>
      <c r="S998" s="204">
        <f t="shared" si="2215"/>
      </c>
      <c r="T998" s="204">
        <f t="shared" si="2215"/>
      </c>
      <c r="U998" s="950">
        <f t="shared" si="2215"/>
      </c>
      <c r="V998" s="204">
        <f t="shared" si="2215"/>
      </c>
      <c r="W998" s="204">
        <f t="shared" si="2215"/>
      </c>
      <c r="X998" s="204">
        <f t="shared" si="2215"/>
      </c>
      <c r="Y998" s="204">
        <f t="shared" si="2215"/>
      </c>
      <c r="Z998" s="950">
        <f t="shared" si="2215"/>
      </c>
      <c r="AA998" s="204">
        <f t="shared" si="2215"/>
      </c>
      <c r="AB998" s="204">
        <f t="shared" si="2215"/>
      </c>
      <c r="AC998" s="204">
        <f t="shared" si="2215"/>
      </c>
      <c r="AD998" s="204">
        <f t="shared" si="2215"/>
      </c>
      <c r="AE998" s="950">
        <f t="shared" si="2215"/>
      </c>
      <c r="AF998" s="204">
        <f t="shared" si="2215"/>
      </c>
      <c r="AG998" s="204">
        <f t="shared" si="2215"/>
      </c>
      <c r="AH998" s="204">
        <f t="shared" si="2215"/>
      </c>
      <c r="AI998" s="204">
        <f t="shared" ref="AI998:BB998" si="2216">AI1252</f>
      </c>
      <c r="AJ998" s="950">
        <f t="shared" si="2216"/>
      </c>
      <c r="AK998" s="204">
        <f t="shared" si="2216"/>
      </c>
      <c r="AL998" s="204">
        <f t="shared" si="2216"/>
      </c>
      <c r="AM998" s="204">
        <f t="shared" si="2216"/>
      </c>
      <c r="AN998" s="204">
        <f t="shared" si="2216"/>
      </c>
      <c r="AO998" s="950">
        <f t="shared" si="2216"/>
      </c>
      <c r="AP998" s="204">
        <f t="shared" si="2216"/>
      </c>
      <c r="AQ998" s="204">
        <f t="shared" si="2216"/>
      </c>
      <c r="AR998" s="204">
        <f t="shared" si="2216"/>
      </c>
      <c r="AS998" s="204">
        <f t="shared" si="2216"/>
      </c>
      <c r="AT998" s="950">
        <f t="shared" si="2216"/>
      </c>
      <c r="AU998" s="204">
        <f t="shared" si="2216"/>
      </c>
      <c r="AV998" s="204">
        <f t="shared" si="2216"/>
      </c>
      <c r="AW998" s="204">
        <f t="shared" si="2216"/>
      </c>
      <c r="AX998" s="204">
        <f t="shared" si="2216"/>
      </c>
      <c r="AY998" s="950">
        <f t="shared" si="2216"/>
      </c>
      <c r="AZ998" s="204">
        <f t="shared" si="2216"/>
      </c>
      <c r="BA998" s="204">
        <f t="shared" si="2216"/>
      </c>
      <c r="BB998" s="204">
        <f t="shared" si="2216"/>
      </c>
      <c r="BC998" s="204">
        <f t="shared" ref="BC998:BD998" si="2217">BC1252</f>
      </c>
      <c r="BD998" s="950">
        <f t="shared" si="2217"/>
      </c>
      <c r="BE998" s="204">
        <f t="shared" ref="BE998:BI998" si="2218">BE1252</f>
      </c>
      <c r="BF998" s="204">
        <f t="shared" si="2218"/>
      </c>
      <c r="BG998" s="204">
        <f t="shared" si="2218"/>
      </c>
      <c r="BH998" s="204">
        <f t="shared" si="2218"/>
      </c>
      <c r="BI998" s="950">
        <f t="shared" si="2218"/>
      </c>
      <c r="BJ998" s="204">
        <f t="shared" ref="BJ998:BN998" si="2219">BJ1252</f>
      </c>
      <c r="BK998" s="204">
        <f t="shared" si="2219"/>
      </c>
      <c r="BL998" s="204">
        <f t="shared" si="2219"/>
      </c>
      <c r="BM998" s="204">
        <f t="shared" si="2219"/>
      </c>
      <c r="BN998" s="950">
        <f t="shared" si="2219"/>
      </c>
      <c r="BO998" s="204">
        <f t="shared" ref="BO998:CF998" si="2220">BO1252</f>
      </c>
      <c r="BP998" s="204">
        <f t="shared" si="2220"/>
      </c>
      <c r="BQ998" s="204">
        <f t="shared" si="2220"/>
      </c>
      <c r="BR998" s="204">
        <f t="shared" si="2220"/>
      </c>
      <c r="BS998" s="950">
        <f t="shared" si="2220"/>
      </c>
      <c r="BT998" s="294">
        <f>BT1252</f>
      </c>
      <c r="BU998" s="204">
        <f t="shared" si="2220"/>
      </c>
      <c r="BV998" s="204">
        <f t="shared" si="2220"/>
      </c>
      <c r="BW998" s="204">
        <f t="shared" si="2220"/>
      </c>
      <c r="BX998" s="950">
        <f t="shared" si="2220"/>
      </c>
      <c r="BY998" s="204">
        <f t="shared" si="2220"/>
      </c>
      <c r="BZ998" s="204">
        <f t="shared" si="2220"/>
      </c>
      <c r="CA998" s="204">
        <f t="shared" si="2220"/>
      </c>
      <c r="CB998" s="204">
        <f t="shared" si="2220"/>
      </c>
      <c r="CC998" s="950">
        <f t="shared" si="2220"/>
      </c>
      <c r="CD998" s="950">
        <f t="shared" si="2220"/>
      </c>
      <c r="CE998" s="950">
        <f t="shared" si="2220"/>
      </c>
      <c r="CF998" s="950">
        <f t="shared" si="2220"/>
      </c>
      <c r="CG998" s="237"/>
    </row>
    <row r="999" spans="1:85" hidden="1" outlineLevel="1" x14ac:dyDescent="0.3">
      <c r="A999" s="255" t="s">
        <v>809</v>
      </c>
      <c r="B999" s="255"/>
      <c r="C999" s="950">
        <f t="shared" ref="C999:AH999" si="2221">C1008</f>
      </c>
      <c r="D999" s="950">
        <f t="shared" si="2221"/>
      </c>
      <c r="E999" s="950">
        <f t="shared" si="2221"/>
      </c>
      <c r="F999" s="950">
        <f t="shared" si="2221"/>
      </c>
      <c r="G999" s="204">
        <f t="shared" si="2221"/>
      </c>
      <c r="H999" s="204">
        <f t="shared" si="2221"/>
      </c>
      <c r="I999" s="204">
        <f t="shared" si="2221"/>
      </c>
      <c r="J999" s="204">
        <f t="shared" si="2221"/>
      </c>
      <c r="K999" s="950">
        <f t="shared" si="2221"/>
      </c>
      <c r="L999" s="204">
        <f t="shared" si="2221"/>
      </c>
      <c r="M999" s="204">
        <f t="shared" si="2221"/>
      </c>
      <c r="N999" s="204">
        <f t="shared" si="2221"/>
      </c>
      <c r="O999" s="204">
        <f t="shared" si="2221"/>
      </c>
      <c r="P999" s="950">
        <f t="shared" si="2221"/>
      </c>
      <c r="Q999" s="204">
        <f t="shared" si="2221"/>
      </c>
      <c r="R999" s="204">
        <f t="shared" si="2221"/>
      </c>
      <c r="S999" s="204">
        <f t="shared" si="2221"/>
      </c>
      <c r="T999" s="204">
        <f t="shared" si="2221"/>
      </c>
      <c r="U999" s="950">
        <f t="shared" si="2221"/>
      </c>
      <c r="V999" s="204">
        <f t="shared" si="2221"/>
      </c>
      <c r="W999" s="204">
        <f t="shared" si="2221"/>
      </c>
      <c r="X999" s="204">
        <f t="shared" si="2221"/>
      </c>
      <c r="Y999" s="204">
        <f t="shared" si="2221"/>
      </c>
      <c r="Z999" s="950">
        <f t="shared" si="2221"/>
      </c>
      <c r="AA999" s="204">
        <f t="shared" si="2221"/>
      </c>
      <c r="AB999" s="204">
        <f t="shared" si="2221"/>
      </c>
      <c r="AC999" s="204">
        <f t="shared" si="2221"/>
      </c>
      <c r="AD999" s="204">
        <f t="shared" si="2221"/>
      </c>
      <c r="AE999" s="950">
        <f t="shared" si="2221"/>
      </c>
      <c r="AF999" s="204">
        <f t="shared" si="2221"/>
      </c>
      <c r="AG999" s="204">
        <f t="shared" si="2221"/>
      </c>
      <c r="AH999" s="204">
        <f t="shared" si="2221"/>
      </c>
      <c r="AI999" s="204">
        <f t="shared" ref="AI999:BB999" si="2222">AI1008</f>
      </c>
      <c r="AJ999" s="950">
        <f t="shared" si="2222"/>
      </c>
      <c r="AK999" s="204">
        <f t="shared" si="2222"/>
      </c>
      <c r="AL999" s="204">
        <f t="shared" si="2222"/>
      </c>
      <c r="AM999" s="204">
        <f t="shared" si="2222"/>
      </c>
      <c r="AN999" s="204">
        <f t="shared" si="2222"/>
      </c>
      <c r="AO999" s="950">
        <f t="shared" si="2222"/>
      </c>
      <c r="AP999" s="204">
        <f t="shared" si="2222"/>
      </c>
      <c r="AQ999" s="204">
        <f t="shared" si="2222"/>
      </c>
      <c r="AR999" s="204">
        <f t="shared" si="2222"/>
      </c>
      <c r="AS999" s="204">
        <f t="shared" si="2222"/>
      </c>
      <c r="AT999" s="950">
        <f t="shared" si="2222"/>
      </c>
      <c r="AU999" s="204">
        <f t="shared" si="2222"/>
      </c>
      <c r="AV999" s="204">
        <f t="shared" si="2222"/>
      </c>
      <c r="AW999" s="204">
        <f t="shared" si="2222"/>
      </c>
      <c r="AX999" s="204">
        <f t="shared" si="2222"/>
      </c>
      <c r="AY999" s="950">
        <f t="shared" si="2222"/>
      </c>
      <c r="AZ999" s="204">
        <f t="shared" si="2222"/>
      </c>
      <c r="BA999" s="204">
        <f t="shared" si="2222"/>
      </c>
      <c r="BB999" s="204">
        <f t="shared" si="2222"/>
      </c>
      <c r="BC999" s="204">
        <f t="shared" ref="BC999:BD1000" si="2223">BC1008</f>
      </c>
      <c r="BD999" s="950">
        <f t="shared" si="2223"/>
      </c>
      <c r="BE999" s="204">
        <f t="shared" ref="BE999:BI1000" si="2224">BE1008</f>
      </c>
      <c r="BF999" s="204">
        <f t="shared" si="2224"/>
      </c>
      <c r="BG999" s="204">
        <f t="shared" si="2224"/>
      </c>
      <c r="BH999" s="204">
        <f t="shared" si="2224"/>
      </c>
      <c r="BI999" s="950">
        <f t="shared" si="2224"/>
      </c>
      <c r="BJ999" s="204">
        <f t="shared" ref="BJ999:BL1000" si="2225">BJ1008</f>
      </c>
      <c r="BK999" s="204">
        <f t="shared" si="2225"/>
      </c>
      <c r="BL999" s="204">
        <f t="shared" si="2225"/>
      </c>
      <c r="BM999" s="204">
        <f t="shared" ref="BM999:BN1000" si="2226">BM1008</f>
      </c>
      <c r="BN999" s="950">
        <f t="shared" si="2226"/>
      </c>
      <c r="BO999" s="204">
        <f t="shared" ref="BO999:BQ1000" si="2227">BO1008</f>
      </c>
      <c r="BP999" s="204">
        <f t="shared" si="2227"/>
      </c>
      <c r="BQ999" s="204">
        <f t="shared" si="2227"/>
      </c>
      <c r="BR999" s="204">
        <f t="shared" ref="BR999:BW1000" si="2228">BR1008</f>
      </c>
      <c r="BS999" s="950">
        <f t="shared" si="2228"/>
      </c>
      <c r="BT999" s="294">
        <f>BT1008</f>
      </c>
      <c r="BU999" s="204">
        <f t="shared" si="2228"/>
      </c>
      <c r="BV999" s="204">
        <f t="shared" si="2228"/>
      </c>
      <c r="BW999" s="204">
        <f t="shared" si="2228"/>
      </c>
      <c r="BX999" s="950">
        <f t="shared" ref="BX999:BX1000" si="2229">BX1008</f>
      </c>
      <c r="BY999" s="204">
        <f t="shared" ref="BY999:CF1000" si="2230">BY1008</f>
      </c>
      <c r="BZ999" s="204">
        <f t="shared" si="2230"/>
      </c>
      <c r="CA999" s="204">
        <f t="shared" si="2230"/>
      </c>
      <c r="CB999" s="204">
        <f t="shared" si="2230"/>
      </c>
      <c r="CC999" s="950">
        <f t="shared" si="2230"/>
      </c>
      <c r="CD999" s="950">
        <f t="shared" si="2230"/>
      </c>
      <c r="CE999" s="950">
        <f t="shared" si="2230"/>
      </c>
      <c r="CF999" s="950">
        <f t="shared" si="2230"/>
      </c>
      <c r="CG999" s="237"/>
    </row>
    <row r="1000" spans="1:85" hidden="1" outlineLevel="1" x14ac:dyDescent="0.3">
      <c r="A1000" s="255" t="s">
        <v>810</v>
      </c>
      <c r="B1000" s="255"/>
      <c r="C1000" s="950">
        <f t="shared" ref="C1000:AH1000" si="2231">C1009</f>
      </c>
      <c r="D1000" s="950">
        <f t="shared" si="2231"/>
      </c>
      <c r="E1000" s="950">
        <f t="shared" si="2231"/>
      </c>
      <c r="F1000" s="950">
        <f t="shared" si="2231"/>
      </c>
      <c r="G1000" s="204">
        <f t="shared" si="2231"/>
      </c>
      <c r="H1000" s="204">
        <f t="shared" si="2231"/>
      </c>
      <c r="I1000" s="204">
        <f t="shared" si="2231"/>
      </c>
      <c r="J1000" s="204">
        <f t="shared" si="2231"/>
      </c>
      <c r="K1000" s="950">
        <f t="shared" si="2231"/>
      </c>
      <c r="L1000" s="204">
        <f t="shared" si="2231"/>
      </c>
      <c r="M1000" s="204">
        <f t="shared" si="2231"/>
      </c>
      <c r="N1000" s="204">
        <f t="shared" si="2231"/>
      </c>
      <c r="O1000" s="204">
        <f t="shared" si="2231"/>
      </c>
      <c r="P1000" s="950">
        <f t="shared" si="2231"/>
      </c>
      <c r="Q1000" s="204">
        <f t="shared" si="2231"/>
      </c>
      <c r="R1000" s="204">
        <f t="shared" si="2231"/>
      </c>
      <c r="S1000" s="204">
        <f t="shared" si="2231"/>
      </c>
      <c r="T1000" s="204">
        <f t="shared" si="2231"/>
      </c>
      <c r="U1000" s="950">
        <f t="shared" si="2231"/>
      </c>
      <c r="V1000" s="204">
        <f t="shared" si="2231"/>
      </c>
      <c r="W1000" s="204">
        <f t="shared" si="2231"/>
      </c>
      <c r="X1000" s="204">
        <f t="shared" si="2231"/>
      </c>
      <c r="Y1000" s="204">
        <f t="shared" si="2231"/>
      </c>
      <c r="Z1000" s="950">
        <f t="shared" si="2231"/>
      </c>
      <c r="AA1000" s="204">
        <f t="shared" si="2231"/>
      </c>
      <c r="AB1000" s="204">
        <f t="shared" si="2231"/>
      </c>
      <c r="AC1000" s="204">
        <f t="shared" si="2231"/>
      </c>
      <c r="AD1000" s="204">
        <f t="shared" si="2231"/>
      </c>
      <c r="AE1000" s="950">
        <f t="shared" si="2231"/>
      </c>
      <c r="AF1000" s="204">
        <f t="shared" si="2231"/>
      </c>
      <c r="AG1000" s="204">
        <f t="shared" si="2231"/>
      </c>
      <c r="AH1000" s="204">
        <f t="shared" si="2231"/>
      </c>
      <c r="AI1000" s="204">
        <f t="shared" ref="AI1000:BB1000" si="2232">AI1009</f>
      </c>
      <c r="AJ1000" s="950">
        <f t="shared" si="2232"/>
      </c>
      <c r="AK1000" s="204">
        <f t="shared" si="2232"/>
      </c>
      <c r="AL1000" s="204">
        <f t="shared" si="2232"/>
      </c>
      <c r="AM1000" s="204">
        <f t="shared" si="2232"/>
      </c>
      <c r="AN1000" s="204">
        <f t="shared" si="2232"/>
      </c>
      <c r="AO1000" s="950">
        <f t="shared" si="2232"/>
      </c>
      <c r="AP1000" s="204">
        <f t="shared" si="2232"/>
      </c>
      <c r="AQ1000" s="204">
        <f t="shared" si="2232"/>
      </c>
      <c r="AR1000" s="204">
        <f t="shared" si="2232"/>
      </c>
      <c r="AS1000" s="204">
        <f t="shared" si="2232"/>
      </c>
      <c r="AT1000" s="950">
        <f t="shared" si="2232"/>
      </c>
      <c r="AU1000" s="204">
        <f t="shared" si="2232"/>
      </c>
      <c r="AV1000" s="204">
        <f t="shared" si="2232"/>
      </c>
      <c r="AW1000" s="204">
        <f t="shared" si="2232"/>
      </c>
      <c r="AX1000" s="204">
        <f t="shared" si="2232"/>
      </c>
      <c r="AY1000" s="950">
        <f t="shared" si="2232"/>
      </c>
      <c r="AZ1000" s="204">
        <f t="shared" si="2232"/>
      </c>
      <c r="BA1000" s="204">
        <f t="shared" si="2232"/>
      </c>
      <c r="BB1000" s="204">
        <f t="shared" si="2232"/>
      </c>
      <c r="BC1000" s="204">
        <f t="shared" si="2223"/>
      </c>
      <c r="BD1000" s="950">
        <f t="shared" si="2223"/>
      </c>
      <c r="BE1000" s="204">
        <f t="shared" si="2224"/>
      </c>
      <c r="BF1000" s="204">
        <f t="shared" si="2224"/>
      </c>
      <c r="BG1000" s="204">
        <f t="shared" si="2224"/>
      </c>
      <c r="BH1000" s="204">
        <f t="shared" si="2224"/>
      </c>
      <c r="BI1000" s="950">
        <f t="shared" si="2224"/>
      </c>
      <c r="BJ1000" s="204">
        <f t="shared" si="2225"/>
      </c>
      <c r="BK1000" s="204">
        <f t="shared" si="2225"/>
      </c>
      <c r="BL1000" s="204">
        <f t="shared" si="2225"/>
      </c>
      <c r="BM1000" s="204">
        <f t="shared" si="2226"/>
      </c>
      <c r="BN1000" s="950">
        <f t="shared" si="2226"/>
      </c>
      <c r="BO1000" s="204">
        <f t="shared" si="2227"/>
      </c>
      <c r="BP1000" s="204">
        <f t="shared" si="2227"/>
      </c>
      <c r="BQ1000" s="204">
        <f t="shared" si="2227"/>
      </c>
      <c r="BR1000" s="204">
        <f t="shared" si="2228"/>
      </c>
      <c r="BS1000" s="950">
        <f t="shared" si="2228"/>
      </c>
      <c r="BT1000" s="294">
        <f>BT1009</f>
      </c>
      <c r="BU1000" s="204">
        <f t="shared" si="2228"/>
      </c>
      <c r="BV1000" s="204">
        <f t="shared" si="2228"/>
      </c>
      <c r="BW1000" s="204">
        <f t="shared" si="2228"/>
      </c>
      <c r="BX1000" s="950">
        <f t="shared" si="2229"/>
      </c>
      <c r="BY1000" s="204">
        <f t="shared" si="2230"/>
      </c>
      <c r="BZ1000" s="204">
        <f t="shared" si="2230"/>
      </c>
      <c r="CA1000" s="204">
        <f t="shared" si="2230"/>
      </c>
      <c r="CB1000" s="204">
        <f t="shared" si="2230"/>
      </c>
      <c r="CC1000" s="950">
        <f t="shared" si="2230"/>
      </c>
      <c r="CD1000" s="950">
        <f t="shared" si="2230"/>
      </c>
      <c r="CE1000" s="950">
        <f t="shared" si="2230"/>
      </c>
      <c r="CF1000" s="950">
        <f t="shared" si="2230"/>
      </c>
      <c r="CG1000" s="237"/>
    </row>
    <row r="1001" spans="1:85" hidden="1" outlineLevel="1" x14ac:dyDescent="0.3">
      <c r="A1001" s="255" t="s">
        <v>811</v>
      </c>
      <c r="B1001" s="255"/>
      <c r="C1001" s="950">
        <f t="shared" ref="C1001:AH1001" si="2233">C1223</f>
      </c>
      <c r="D1001" s="950">
        <f t="shared" si="2233"/>
      </c>
      <c r="E1001" s="950">
        <f t="shared" si="2233"/>
      </c>
      <c r="F1001" s="950">
        <f t="shared" si="2233"/>
      </c>
      <c r="G1001" s="204">
        <f t="shared" si="2233"/>
      </c>
      <c r="H1001" s="204">
        <f t="shared" si="2233"/>
      </c>
      <c r="I1001" s="204">
        <f t="shared" si="2233"/>
      </c>
      <c r="J1001" s="204">
        <f t="shared" si="2233"/>
      </c>
      <c r="K1001" s="950">
        <f t="shared" si="2233"/>
      </c>
      <c r="L1001" s="204">
        <f t="shared" si="2233"/>
      </c>
      <c r="M1001" s="204">
        <f t="shared" si="2233"/>
      </c>
      <c r="N1001" s="204">
        <f t="shared" si="2233"/>
      </c>
      <c r="O1001" s="204">
        <f t="shared" si="2233"/>
      </c>
      <c r="P1001" s="950">
        <f t="shared" si="2233"/>
      </c>
      <c r="Q1001" s="204">
        <f t="shared" si="2233"/>
      </c>
      <c r="R1001" s="204">
        <f t="shared" si="2233"/>
      </c>
      <c r="S1001" s="204">
        <f t="shared" si="2233"/>
      </c>
      <c r="T1001" s="204">
        <f t="shared" si="2233"/>
      </c>
      <c r="U1001" s="950">
        <f t="shared" si="2233"/>
      </c>
      <c r="V1001" s="204">
        <f t="shared" si="2233"/>
      </c>
      <c r="W1001" s="204">
        <f t="shared" si="2233"/>
      </c>
      <c r="X1001" s="204">
        <f t="shared" si="2233"/>
      </c>
      <c r="Y1001" s="204">
        <f t="shared" si="2233"/>
      </c>
      <c r="Z1001" s="950">
        <f t="shared" si="2233"/>
      </c>
      <c r="AA1001" s="204">
        <f t="shared" si="2233"/>
      </c>
      <c r="AB1001" s="204">
        <f t="shared" si="2233"/>
      </c>
      <c r="AC1001" s="204">
        <f t="shared" si="2233"/>
      </c>
      <c r="AD1001" s="204">
        <f t="shared" si="2233"/>
      </c>
      <c r="AE1001" s="950">
        <f t="shared" si="2233"/>
      </c>
      <c r="AF1001" s="204">
        <f t="shared" si="2233"/>
      </c>
      <c r="AG1001" s="204">
        <f t="shared" si="2233"/>
      </c>
      <c r="AH1001" s="204">
        <f t="shared" si="2233"/>
      </c>
      <c r="AI1001" s="204">
        <f t="shared" ref="AI1001:BB1001" si="2234">AI1223</f>
      </c>
      <c r="AJ1001" s="950">
        <f t="shared" si="2234"/>
      </c>
      <c r="AK1001" s="204">
        <f t="shared" si="2234"/>
      </c>
      <c r="AL1001" s="204">
        <f t="shared" si="2234"/>
      </c>
      <c r="AM1001" s="204">
        <f t="shared" si="2234"/>
      </c>
      <c r="AN1001" s="204">
        <f t="shared" si="2234"/>
      </c>
      <c r="AO1001" s="950">
        <f t="shared" si="2234"/>
      </c>
      <c r="AP1001" s="204">
        <f t="shared" si="2234"/>
      </c>
      <c r="AQ1001" s="204">
        <f t="shared" si="2234"/>
      </c>
      <c r="AR1001" s="204">
        <f t="shared" si="2234"/>
      </c>
      <c r="AS1001" s="204">
        <f t="shared" si="2234"/>
      </c>
      <c r="AT1001" s="950">
        <f t="shared" si="2234"/>
      </c>
      <c r="AU1001" s="204">
        <f t="shared" si="2234"/>
      </c>
      <c r="AV1001" s="204">
        <f t="shared" si="2234"/>
      </c>
      <c r="AW1001" s="204">
        <f t="shared" si="2234"/>
      </c>
      <c r="AX1001" s="204">
        <f t="shared" si="2234"/>
      </c>
      <c r="AY1001" s="950">
        <f t="shared" si="2234"/>
      </c>
      <c r="AZ1001" s="204">
        <f t="shared" si="2234"/>
      </c>
      <c r="BA1001" s="204">
        <f t="shared" si="2234"/>
      </c>
      <c r="BB1001" s="204">
        <f t="shared" si="2234"/>
      </c>
      <c r="BC1001" s="204">
        <f t="shared" ref="BC1001:BD1001" si="2235">BC1223</f>
      </c>
      <c r="BD1001" s="950">
        <f t="shared" si="2235"/>
      </c>
      <c r="BE1001" s="204">
        <f t="shared" ref="BE1001:BI1001" si="2236">BE1223</f>
      </c>
      <c r="BF1001" s="204">
        <f t="shared" si="2236"/>
      </c>
      <c r="BG1001" s="204">
        <f t="shared" si="2236"/>
      </c>
      <c r="BH1001" s="204">
        <f t="shared" si="2236"/>
      </c>
      <c r="BI1001" s="950">
        <f t="shared" si="2236"/>
      </c>
      <c r="BJ1001" s="204">
        <f t="shared" ref="BJ1001:BN1001" si="2237">BJ1223</f>
      </c>
      <c r="BK1001" s="204">
        <f t="shared" si="2237"/>
      </c>
      <c r="BL1001" s="204">
        <f t="shared" si="2237"/>
      </c>
      <c r="BM1001" s="204">
        <f t="shared" si="2237"/>
      </c>
      <c r="BN1001" s="950">
        <f t="shared" si="2237"/>
      </c>
      <c r="BO1001" s="204">
        <f t="shared" ref="BO1001:CF1001" si="2238">BO1223</f>
      </c>
      <c r="BP1001" s="204">
        <f t="shared" si="2238"/>
      </c>
      <c r="BQ1001" s="204">
        <f t="shared" si="2238"/>
      </c>
      <c r="BR1001" s="204">
        <f t="shared" si="2238"/>
      </c>
      <c r="BS1001" s="950">
        <f t="shared" si="2238"/>
      </c>
      <c r="BT1001" s="294">
        <f>BT1223</f>
      </c>
      <c r="BU1001" s="204">
        <f t="shared" si="2238"/>
      </c>
      <c r="BV1001" s="204">
        <f t="shared" si="2238"/>
      </c>
      <c r="BW1001" s="204">
        <f t="shared" si="2238"/>
      </c>
      <c r="BX1001" s="950">
        <f t="shared" si="2238"/>
      </c>
      <c r="BY1001" s="204">
        <f t="shared" si="2238"/>
      </c>
      <c r="BZ1001" s="204">
        <f t="shared" si="2238"/>
      </c>
      <c r="CA1001" s="204">
        <f t="shared" si="2238"/>
      </c>
      <c r="CB1001" s="204">
        <f t="shared" si="2238"/>
      </c>
      <c r="CC1001" s="950">
        <f t="shared" si="2238"/>
      </c>
      <c r="CD1001" s="950">
        <f t="shared" si="2238"/>
      </c>
      <c r="CE1001" s="950">
        <f t="shared" si="2238"/>
      </c>
      <c r="CF1001" s="950">
        <f t="shared" si="2238"/>
      </c>
      <c r="CG1001" s="237"/>
    </row>
    <row r="1002" spans="1:85" hidden="1" outlineLevel="1" x14ac:dyDescent="0.3">
      <c r="A1002" s="255" t="s">
        <v>812</v>
      </c>
      <c r="B1002" s="255"/>
      <c r="C1002" s="950">
        <f t="shared" ref="C1002:AZ1002" si="2239">+C1198</f>
      </c>
      <c r="D1002" s="950">
        <f t="shared" si="2239"/>
      </c>
      <c r="E1002" s="950">
        <f t="shared" si="2239"/>
      </c>
      <c r="F1002" s="950">
        <f t="shared" si="2239"/>
      </c>
      <c r="G1002" s="204">
        <f t="shared" si="2239"/>
      </c>
      <c r="H1002" s="204">
        <f t="shared" si="2239"/>
      </c>
      <c r="I1002" s="204">
        <f t="shared" si="2239"/>
      </c>
      <c r="J1002" s="204">
        <f t="shared" si="2239"/>
      </c>
      <c r="K1002" s="950">
        <f t="shared" si="2239"/>
      </c>
      <c r="L1002" s="204">
        <f t="shared" si="2239"/>
      </c>
      <c r="M1002" s="204">
        <f t="shared" si="2239"/>
      </c>
      <c r="N1002" s="204">
        <f t="shared" si="2239"/>
      </c>
      <c r="O1002" s="204">
        <f t="shared" si="2239"/>
      </c>
      <c r="P1002" s="950">
        <f t="shared" si="2239"/>
      </c>
      <c r="Q1002" s="204">
        <f t="shared" si="2239"/>
      </c>
      <c r="R1002" s="204">
        <f t="shared" si="2239"/>
      </c>
      <c r="S1002" s="204">
        <f t="shared" si="2239"/>
      </c>
      <c r="T1002" s="204">
        <f t="shared" si="2239"/>
      </c>
      <c r="U1002" s="950">
        <f t="shared" si="2239"/>
      </c>
      <c r="V1002" s="204">
        <f t="shared" si="2239"/>
      </c>
      <c r="W1002" s="204">
        <f t="shared" si="2239"/>
      </c>
      <c r="X1002" s="204">
        <f t="shared" si="2239"/>
      </c>
      <c r="Y1002" s="204">
        <f t="shared" si="2239"/>
      </c>
      <c r="Z1002" s="950">
        <f t="shared" si="2239"/>
      </c>
      <c r="AA1002" s="204">
        <f t="shared" si="2239"/>
      </c>
      <c r="AB1002" s="204">
        <f t="shared" si="2239"/>
      </c>
      <c r="AC1002" s="204">
        <f t="shared" si="2239"/>
      </c>
      <c r="AD1002" s="204">
        <f t="shared" si="2239"/>
      </c>
      <c r="AE1002" s="950">
        <f t="shared" si="2239"/>
      </c>
      <c r="AF1002" s="204">
        <f t="shared" si="2239"/>
      </c>
      <c r="AG1002" s="204">
        <f t="shared" si="2239"/>
      </c>
      <c r="AH1002" s="204">
        <f t="shared" si="2239"/>
      </c>
      <c r="AI1002" s="204">
        <f t="shared" si="2239"/>
      </c>
      <c r="AJ1002" s="950">
        <f t="shared" si="2239"/>
      </c>
      <c r="AK1002" s="204">
        <f t="shared" si="2239"/>
      </c>
      <c r="AL1002" s="204">
        <f t="shared" si="2239"/>
      </c>
      <c r="AM1002" s="204">
        <f t="shared" si="2239"/>
      </c>
      <c r="AN1002" s="204">
        <f t="shared" si="2239"/>
      </c>
      <c r="AO1002" s="950">
        <f t="shared" si="2239"/>
      </c>
      <c r="AP1002" s="204">
        <f t="shared" si="2239"/>
      </c>
      <c r="AQ1002" s="204">
        <f t="shared" si="2239"/>
      </c>
      <c r="AR1002" s="204">
        <f t="shared" si="2239"/>
      </c>
      <c r="AS1002" s="204">
        <f t="shared" si="2239"/>
      </c>
      <c r="AT1002" s="950">
        <f t="shared" si="2239"/>
      </c>
      <c r="AU1002" s="204">
        <f t="shared" si="2239"/>
      </c>
      <c r="AV1002" s="204">
        <f t="shared" si="2239"/>
      </c>
      <c r="AW1002" s="204">
        <f t="shared" si="2239"/>
      </c>
      <c r="AX1002" s="204">
        <f t="shared" si="2239"/>
      </c>
      <c r="AY1002" s="950">
        <f t="shared" si="2239"/>
      </c>
      <c r="AZ1002" s="204">
        <f t="shared" si="2239"/>
      </c>
      <c r="BA1002" s="204">
        <f>+BA1198</f>
      </c>
      <c r="BB1002" s="204">
        <f t="shared" ref="BB1002" si="2240">+BB1198</f>
      </c>
      <c r="BC1002" s="204">
        <f t="shared" ref="BC1002:BD1002" si="2241">+BC1198</f>
      </c>
      <c r="BD1002" s="950">
        <f t="shared" si="2241"/>
      </c>
      <c r="BE1002" s="204">
        <f t="shared" ref="BE1002:BI1002" si="2242">+BE1198</f>
      </c>
      <c r="BF1002" s="204">
        <f t="shared" si="2242"/>
      </c>
      <c r="BG1002" s="204">
        <f t="shared" si="2242"/>
      </c>
      <c r="BH1002" s="204">
        <f t="shared" si="2242"/>
      </c>
      <c r="BI1002" s="950">
        <f t="shared" si="2242"/>
      </c>
      <c r="BJ1002" s="204">
        <f t="shared" ref="BJ1002:BN1002" si="2243">+BJ1198</f>
      </c>
      <c r="BK1002" s="204">
        <f t="shared" si="2243"/>
      </c>
      <c r="BL1002" s="204">
        <f t="shared" si="2243"/>
      </c>
      <c r="BM1002" s="204">
        <f t="shared" si="2243"/>
      </c>
      <c r="BN1002" s="950">
        <f t="shared" si="2243"/>
      </c>
      <c r="BO1002" s="204">
        <f t="shared" ref="BO1002:CF1002" si="2244">+BO1198</f>
      </c>
      <c r="BP1002" s="204">
        <f t="shared" si="2244"/>
      </c>
      <c r="BQ1002" s="204">
        <f t="shared" si="2244"/>
      </c>
      <c r="BR1002" s="204">
        <f t="shared" si="2244"/>
      </c>
      <c r="BS1002" s="950">
        <f t="shared" si="2244"/>
      </c>
      <c r="BT1002" s="294">
        <f>+BT1198</f>
      </c>
      <c r="BU1002" s="204">
        <f t="shared" si="2244"/>
      </c>
      <c r="BV1002" s="204">
        <f t="shared" si="2244"/>
      </c>
      <c r="BW1002" s="204">
        <f t="shared" si="2244"/>
      </c>
      <c r="BX1002" s="950">
        <f t="shared" si="2244"/>
      </c>
      <c r="BY1002" s="204">
        <f t="shared" si="2244"/>
      </c>
      <c r="BZ1002" s="204">
        <f t="shared" si="2244"/>
      </c>
      <c r="CA1002" s="204">
        <f t="shared" si="2244"/>
      </c>
      <c r="CB1002" s="204">
        <f t="shared" si="2244"/>
      </c>
      <c r="CC1002" s="950">
        <f t="shared" si="2244"/>
      </c>
      <c r="CD1002" s="950">
        <f t="shared" si="2244"/>
      </c>
      <c r="CE1002" s="950">
        <f t="shared" si="2244"/>
      </c>
      <c r="CF1002" s="950">
        <f t="shared" si="2244"/>
      </c>
      <c r="CG1002" s="237"/>
    </row>
    <row r="1003" spans="1:85" hidden="1" outlineLevel="1" x14ac:dyDescent="0.3">
      <c r="A1003" s="255" t="s">
        <v>185</v>
      </c>
      <c r="B1003" s="255"/>
      <c r="C1003" s="950">
        <f t="shared" ref="C1003:AH1003" si="2245">C1207</f>
      </c>
      <c r="D1003" s="950">
        <f t="shared" si="2245"/>
      </c>
      <c r="E1003" s="950">
        <f t="shared" si="2245"/>
      </c>
      <c r="F1003" s="950">
        <f t="shared" si="2245"/>
      </c>
      <c r="G1003" s="204">
        <f t="shared" si="2245"/>
      </c>
      <c r="H1003" s="204">
        <f t="shared" si="2245"/>
      </c>
      <c r="I1003" s="204">
        <f t="shared" si="2245"/>
      </c>
      <c r="J1003" s="204">
        <f t="shared" si="2245"/>
      </c>
      <c r="K1003" s="950">
        <f t="shared" si="2245"/>
      </c>
      <c r="L1003" s="204">
        <f t="shared" si="2245"/>
      </c>
      <c r="M1003" s="204">
        <f t="shared" si="2245"/>
      </c>
      <c r="N1003" s="204">
        <f t="shared" si="2245"/>
      </c>
      <c r="O1003" s="204">
        <f t="shared" si="2245"/>
      </c>
      <c r="P1003" s="950">
        <f t="shared" si="2245"/>
      </c>
      <c r="Q1003" s="204">
        <f t="shared" si="2245"/>
      </c>
      <c r="R1003" s="204">
        <f t="shared" si="2245"/>
      </c>
      <c r="S1003" s="204">
        <f t="shared" si="2245"/>
      </c>
      <c r="T1003" s="204">
        <f t="shared" si="2245"/>
      </c>
      <c r="U1003" s="950">
        <f t="shared" si="2245"/>
      </c>
      <c r="V1003" s="204">
        <f t="shared" si="2245"/>
      </c>
      <c r="W1003" s="204">
        <f t="shared" si="2245"/>
      </c>
      <c r="X1003" s="204">
        <f t="shared" si="2245"/>
      </c>
      <c r="Y1003" s="204">
        <f t="shared" si="2245"/>
      </c>
      <c r="Z1003" s="950">
        <f t="shared" si="2245"/>
      </c>
      <c r="AA1003" s="204">
        <f t="shared" si="2245"/>
      </c>
      <c r="AB1003" s="204">
        <f t="shared" si="2245"/>
      </c>
      <c r="AC1003" s="204">
        <f t="shared" si="2245"/>
      </c>
      <c r="AD1003" s="204">
        <f t="shared" si="2245"/>
      </c>
      <c r="AE1003" s="950">
        <f t="shared" si="2245"/>
      </c>
      <c r="AF1003" s="204">
        <f t="shared" si="2245"/>
      </c>
      <c r="AG1003" s="204">
        <f t="shared" si="2245"/>
      </c>
      <c r="AH1003" s="204">
        <f t="shared" si="2245"/>
      </c>
      <c r="AI1003" s="204">
        <f t="shared" ref="AI1003:BB1003" si="2246">AI1207</f>
      </c>
      <c r="AJ1003" s="950">
        <f t="shared" si="2246"/>
      </c>
      <c r="AK1003" s="204">
        <f t="shared" si="2246"/>
      </c>
      <c r="AL1003" s="204">
        <f t="shared" si="2246"/>
      </c>
      <c r="AM1003" s="204">
        <f t="shared" si="2246"/>
      </c>
      <c r="AN1003" s="204">
        <f t="shared" si="2246"/>
      </c>
      <c r="AO1003" s="950">
        <f t="shared" si="2246"/>
      </c>
      <c r="AP1003" s="204">
        <f t="shared" si="2246"/>
      </c>
      <c r="AQ1003" s="204">
        <f t="shared" si="2246"/>
      </c>
      <c r="AR1003" s="204">
        <f t="shared" si="2246"/>
      </c>
      <c r="AS1003" s="204">
        <f t="shared" si="2246"/>
      </c>
      <c r="AT1003" s="950">
        <f t="shared" si="2246"/>
      </c>
      <c r="AU1003" s="204">
        <f t="shared" si="2246"/>
      </c>
      <c r="AV1003" s="204">
        <f t="shared" si="2246"/>
      </c>
      <c r="AW1003" s="204">
        <f t="shared" si="2246"/>
      </c>
      <c r="AX1003" s="204">
        <f t="shared" si="2246"/>
      </c>
      <c r="AY1003" s="950">
        <f t="shared" si="2246"/>
      </c>
      <c r="AZ1003" s="204">
        <f t="shared" si="2246"/>
      </c>
      <c r="BA1003" s="204">
        <f t="shared" si="2246"/>
      </c>
      <c r="BB1003" s="204">
        <f t="shared" si="2246"/>
      </c>
      <c r="BC1003" s="204">
        <f t="shared" ref="BC1003:BD1003" si="2247">BC1207</f>
      </c>
      <c r="BD1003" s="950">
        <f t="shared" si="2247"/>
      </c>
      <c r="BE1003" s="204">
        <f t="shared" ref="BE1003:BI1003" si="2248">BE1207</f>
      </c>
      <c r="BF1003" s="204">
        <f t="shared" si="2248"/>
      </c>
      <c r="BG1003" s="204">
        <f t="shared" si="2248"/>
      </c>
      <c r="BH1003" s="204">
        <f t="shared" si="2248"/>
      </c>
      <c r="BI1003" s="950">
        <f t="shared" si="2248"/>
      </c>
      <c r="BJ1003" s="204">
        <f t="shared" ref="BJ1003:BN1003" si="2249">BJ1207</f>
      </c>
      <c r="BK1003" s="204">
        <f t="shared" si="2249"/>
      </c>
      <c r="BL1003" s="204">
        <f t="shared" si="2249"/>
      </c>
      <c r="BM1003" s="204">
        <f t="shared" si="2249"/>
      </c>
      <c r="BN1003" s="950">
        <f t="shared" si="2249"/>
      </c>
      <c r="BO1003" s="204">
        <f t="shared" ref="BO1003:CF1003" si="2250">BO1207</f>
      </c>
      <c r="BP1003" s="204">
        <f t="shared" si="2250"/>
      </c>
      <c r="BQ1003" s="204">
        <f t="shared" si="2250"/>
      </c>
      <c r="BR1003" s="204">
        <f t="shared" si="2250"/>
      </c>
      <c r="BS1003" s="950">
        <f t="shared" si="2250"/>
      </c>
      <c r="BT1003" s="294">
        <f>BT1207</f>
      </c>
      <c r="BU1003" s="204">
        <f t="shared" si="2250"/>
      </c>
      <c r="BV1003" s="204">
        <f t="shared" si="2250"/>
      </c>
      <c r="BW1003" s="204">
        <f t="shared" si="2250"/>
      </c>
      <c r="BX1003" s="950">
        <f t="shared" si="2250"/>
      </c>
      <c r="BY1003" s="204">
        <f t="shared" si="2250"/>
      </c>
      <c r="BZ1003" s="204">
        <f t="shared" si="2250"/>
      </c>
      <c r="CA1003" s="204">
        <f t="shared" si="2250"/>
      </c>
      <c r="CB1003" s="204">
        <f t="shared" si="2250"/>
      </c>
      <c r="CC1003" s="950">
        <f t="shared" si="2250"/>
      </c>
      <c r="CD1003" s="950">
        <f t="shared" si="2250"/>
      </c>
      <c r="CE1003" s="950">
        <f t="shared" si="2250"/>
      </c>
      <c r="CF1003" s="950">
        <f t="shared" si="2250"/>
      </c>
      <c r="CG1003" s="237"/>
    </row>
    <row r="1004" spans="1:85" hidden="1" outlineLevel="1" x14ac:dyDescent="0.3">
      <c r="A1004" s="255" t="s">
        <v>199</v>
      </c>
      <c r="B1004" s="255"/>
      <c r="C1004" s="950">
        <f t="shared" ref="C1004:AH1004" si="2251">C1234</f>
      </c>
      <c r="D1004" s="950">
        <f t="shared" si="2251"/>
      </c>
      <c r="E1004" s="950">
        <f t="shared" si="2251"/>
      </c>
      <c r="F1004" s="950">
        <f t="shared" si="2251"/>
      </c>
      <c r="G1004" s="204">
        <f t="shared" si="2251"/>
      </c>
      <c r="H1004" s="204">
        <f t="shared" si="2251"/>
      </c>
      <c r="I1004" s="204">
        <f t="shared" si="2251"/>
      </c>
      <c r="J1004" s="204">
        <f t="shared" si="2251"/>
      </c>
      <c r="K1004" s="950">
        <f t="shared" si="2251"/>
      </c>
      <c r="L1004" s="204">
        <f t="shared" si="2251"/>
      </c>
      <c r="M1004" s="204">
        <f t="shared" si="2251"/>
      </c>
      <c r="N1004" s="204">
        <f t="shared" si="2251"/>
      </c>
      <c r="O1004" s="204">
        <f t="shared" si="2251"/>
      </c>
      <c r="P1004" s="950">
        <f t="shared" si="2251"/>
      </c>
      <c r="Q1004" s="204">
        <f t="shared" si="2251"/>
      </c>
      <c r="R1004" s="204">
        <f t="shared" si="2251"/>
      </c>
      <c r="S1004" s="204">
        <f t="shared" si="2251"/>
      </c>
      <c r="T1004" s="204">
        <f t="shared" si="2251"/>
      </c>
      <c r="U1004" s="950">
        <f t="shared" si="2251"/>
      </c>
      <c r="V1004" s="204">
        <f t="shared" si="2251"/>
      </c>
      <c r="W1004" s="204">
        <f t="shared" si="2251"/>
      </c>
      <c r="X1004" s="204">
        <f t="shared" si="2251"/>
      </c>
      <c r="Y1004" s="204">
        <f t="shared" si="2251"/>
      </c>
      <c r="Z1004" s="950">
        <f t="shared" si="2251"/>
      </c>
      <c r="AA1004" s="204">
        <f t="shared" si="2251"/>
      </c>
      <c r="AB1004" s="204">
        <f t="shared" si="2251"/>
      </c>
      <c r="AC1004" s="204">
        <f t="shared" si="2251"/>
      </c>
      <c r="AD1004" s="204">
        <f t="shared" si="2251"/>
      </c>
      <c r="AE1004" s="950">
        <f t="shared" si="2251"/>
      </c>
      <c r="AF1004" s="204">
        <f t="shared" si="2251"/>
      </c>
      <c r="AG1004" s="204">
        <f t="shared" si="2251"/>
      </c>
      <c r="AH1004" s="204">
        <f t="shared" si="2251"/>
      </c>
      <c r="AI1004" s="204">
        <f t="shared" ref="AI1004:BB1004" si="2252">AI1234</f>
      </c>
      <c r="AJ1004" s="950">
        <f t="shared" si="2252"/>
      </c>
      <c r="AK1004" s="204">
        <f t="shared" si="2252"/>
      </c>
      <c r="AL1004" s="204">
        <f t="shared" si="2252"/>
      </c>
      <c r="AM1004" s="204">
        <f t="shared" si="2252"/>
      </c>
      <c r="AN1004" s="204">
        <f t="shared" si="2252"/>
      </c>
      <c r="AO1004" s="950">
        <f t="shared" si="2252"/>
      </c>
      <c r="AP1004" s="204">
        <f t="shared" si="2252"/>
      </c>
      <c r="AQ1004" s="204">
        <f t="shared" si="2252"/>
      </c>
      <c r="AR1004" s="204">
        <f t="shared" si="2252"/>
      </c>
      <c r="AS1004" s="204">
        <f t="shared" si="2252"/>
      </c>
      <c r="AT1004" s="950">
        <f t="shared" si="2252"/>
      </c>
      <c r="AU1004" s="204">
        <f t="shared" si="2252"/>
      </c>
      <c r="AV1004" s="204">
        <f t="shared" si="2252"/>
      </c>
      <c r="AW1004" s="204">
        <f t="shared" si="2252"/>
      </c>
      <c r="AX1004" s="204">
        <f t="shared" si="2252"/>
      </c>
      <c r="AY1004" s="950">
        <f t="shared" si="2252"/>
      </c>
      <c r="AZ1004" s="204">
        <f t="shared" si="2252"/>
      </c>
      <c r="BA1004" s="204">
        <f t="shared" si="2252"/>
      </c>
      <c r="BB1004" s="204">
        <f t="shared" si="2252"/>
      </c>
      <c r="BC1004" s="204">
        <f t="shared" ref="BC1004:BD1004" si="2253">BC1234</f>
      </c>
      <c r="BD1004" s="950">
        <f t="shared" si="2253"/>
      </c>
      <c r="BE1004" s="204">
        <f t="shared" ref="BE1004:BI1004" si="2254">BE1234</f>
      </c>
      <c r="BF1004" s="204">
        <f t="shared" si="2254"/>
      </c>
      <c r="BG1004" s="204">
        <f t="shared" si="2254"/>
      </c>
      <c r="BH1004" s="204">
        <f t="shared" si="2254"/>
      </c>
      <c r="BI1004" s="950">
        <f t="shared" si="2254"/>
      </c>
      <c r="BJ1004" s="204">
        <f t="shared" ref="BJ1004:BN1004" si="2255">BJ1234</f>
      </c>
      <c r="BK1004" s="204">
        <f t="shared" si="2255"/>
      </c>
      <c r="BL1004" s="204">
        <f t="shared" si="2255"/>
      </c>
      <c r="BM1004" s="204">
        <f t="shared" si="2255"/>
      </c>
      <c r="BN1004" s="950">
        <f t="shared" si="2255"/>
      </c>
      <c r="BO1004" s="204">
        <f t="shared" ref="BO1004:CF1004" si="2256">BO1234</f>
      </c>
      <c r="BP1004" s="204">
        <f t="shared" si="2256"/>
      </c>
      <c r="BQ1004" s="204">
        <f t="shared" si="2256"/>
      </c>
      <c r="BR1004" s="204">
        <f t="shared" si="2256"/>
      </c>
      <c r="BS1004" s="950">
        <f t="shared" si="2256"/>
      </c>
      <c r="BT1004" s="294">
        <f>BT1234</f>
      </c>
      <c r="BU1004" s="204">
        <f t="shared" si="2256"/>
      </c>
      <c r="BV1004" s="204">
        <f t="shared" si="2256"/>
      </c>
      <c r="BW1004" s="204">
        <f t="shared" si="2256"/>
      </c>
      <c r="BX1004" s="950">
        <f t="shared" si="2256"/>
      </c>
      <c r="BY1004" s="204">
        <f t="shared" si="2256"/>
      </c>
      <c r="BZ1004" s="204">
        <f t="shared" si="2256"/>
      </c>
      <c r="CA1004" s="204">
        <f t="shared" si="2256"/>
      </c>
      <c r="CB1004" s="204">
        <f t="shared" si="2256"/>
      </c>
      <c r="CC1004" s="950">
        <f t="shared" si="2256"/>
      </c>
      <c r="CD1004" s="950">
        <f t="shared" si="2256"/>
      </c>
      <c r="CE1004" s="950">
        <f t="shared" si="2256"/>
      </c>
      <c r="CF1004" s="950">
        <f t="shared" si="2256"/>
      </c>
      <c r="CG1004" s="237"/>
    </row>
    <row r="1005" spans="1:85" collapsed="1" x14ac:dyDescent="0.3">
      <c r="A1005" s="274"/>
      <c r="B1005" s="274"/>
      <c r="C1005" s="1065"/>
      <c r="D1005" s="1065"/>
      <c r="E1005" s="1065"/>
      <c r="F1005" s="1065"/>
      <c r="G1005" s="237"/>
      <c r="H1005" s="237"/>
      <c r="I1005" s="237"/>
      <c r="J1005" s="237"/>
      <c r="K1005" s="1065"/>
      <c r="L1005" s="237"/>
      <c r="M1005" s="237"/>
      <c r="N1005" s="237"/>
      <c r="O1005" s="237"/>
      <c r="P1005" s="1065"/>
      <c r="Q1005" s="237"/>
      <c r="R1005" s="237"/>
      <c r="S1005" s="237"/>
      <c r="T1005" s="237"/>
      <c r="U1005" s="1065"/>
      <c r="V1005" s="237"/>
      <c r="W1005" s="237"/>
      <c r="X1005" s="237"/>
      <c r="Y1005" s="237"/>
      <c r="Z1005" s="1065"/>
      <c r="AA1005" s="237"/>
      <c r="AB1005" s="237"/>
      <c r="AC1005" s="237"/>
      <c r="AD1005" s="237"/>
      <c r="AE1005" s="1065"/>
      <c r="AF1005" s="237"/>
      <c r="AG1005" s="237"/>
      <c r="AH1005" s="237"/>
      <c r="AI1005" s="237"/>
      <c r="AJ1005" s="1065"/>
      <c r="AK1005" s="237"/>
      <c r="AL1005" s="237"/>
      <c r="AM1005" s="237"/>
      <c r="AN1005" s="237"/>
      <c r="AO1005" s="1065"/>
      <c r="AP1005" s="237"/>
      <c r="AQ1005" s="237"/>
      <c r="AR1005" s="237"/>
      <c r="AS1005" s="237"/>
      <c r="AT1005" s="1065"/>
      <c r="AU1005" s="237"/>
      <c r="AV1005" s="237"/>
      <c r="AW1005" s="237"/>
      <c r="AX1005" s="237"/>
      <c r="AY1005" s="1065"/>
      <c r="AZ1005" s="237"/>
      <c r="BA1005" s="237"/>
      <c r="BB1005" s="237"/>
      <c r="BC1005" s="237"/>
      <c r="BD1005" s="1065"/>
      <c r="BE1005" s="237"/>
      <c r="BF1005" s="237"/>
      <c r="BG1005" s="237"/>
      <c r="BH1005" s="237"/>
      <c r="BI1005" s="1065"/>
      <c r="BJ1005" s="237"/>
      <c r="BK1005" s="237"/>
      <c r="BL1005" s="237"/>
      <c r="BM1005" s="237"/>
      <c r="BN1005" s="1065"/>
      <c r="BO1005" s="237"/>
      <c r="BP1005" s="237"/>
      <c r="BQ1005" s="237"/>
      <c r="BR1005" s="237"/>
      <c r="BS1005" s="1065"/>
      <c r="BT1005" s="296"/>
      <c r="BU1005" s="237"/>
      <c r="BV1005" s="237"/>
      <c r="BW1005" s="237"/>
      <c r="BX1005" s="1065"/>
      <c r="BY1005" s="237"/>
      <c r="BZ1005" s="237"/>
      <c r="CA1005" s="237"/>
      <c r="CB1005" s="237"/>
      <c r="CC1005" s="1065"/>
      <c r="CD1005" s="1065"/>
      <c r="CE1005" s="1065"/>
      <c r="CF1005" s="1065"/>
      <c r="CG1005" s="237"/>
    </row>
    <row r="1006" spans="1:85" x14ac:dyDescent="0.3">
      <c r="A1006" s="754" t="s">
        <v>119</v>
      </c>
      <c r="B1006" s="754"/>
      <c r="C1006" s="754"/>
      <c r="D1006" s="754"/>
      <c r="E1006" s="754"/>
      <c r="F1006" s="754"/>
      <c r="G1006" s="754"/>
      <c r="H1006" s="754"/>
      <c r="I1006" s="754"/>
      <c r="J1006" s="754"/>
      <c r="K1006" s="754"/>
      <c r="L1006" s="754"/>
      <c r="M1006" s="754"/>
      <c r="N1006" s="754"/>
      <c r="O1006" s="754"/>
      <c r="P1006" s="754"/>
      <c r="Q1006" s="754"/>
      <c r="R1006" s="754"/>
      <c r="S1006" s="754"/>
      <c r="T1006" s="754"/>
      <c r="U1006" s="754"/>
      <c r="V1006" s="754"/>
      <c r="W1006" s="754"/>
      <c r="X1006" s="754"/>
      <c r="Y1006" s="754"/>
      <c r="Z1006" s="754"/>
      <c r="AA1006" s="754"/>
      <c r="AB1006" s="754"/>
      <c r="AC1006" s="754"/>
      <c r="AD1006" s="754"/>
      <c r="AE1006" s="754"/>
      <c r="AF1006" s="754"/>
      <c r="AG1006" s="754"/>
      <c r="AH1006" s="754"/>
      <c r="AI1006" s="754"/>
      <c r="AJ1006" s="754"/>
      <c r="AK1006" s="754"/>
      <c r="AL1006" s="754"/>
      <c r="AM1006" s="754"/>
      <c r="AN1006" s="754"/>
      <c r="AO1006" s="754"/>
      <c r="AP1006" s="754"/>
      <c r="AQ1006" s="754"/>
      <c r="AR1006" s="754"/>
      <c r="AS1006" s="754"/>
      <c r="AT1006" s="754"/>
      <c r="AU1006" s="754"/>
      <c r="AV1006" s="754"/>
      <c r="AW1006" s="754"/>
      <c r="AX1006" s="754"/>
      <c r="AY1006" s="754"/>
      <c r="AZ1006" s="754"/>
      <c r="BA1006" s="754"/>
      <c r="BB1006" s="754"/>
      <c r="BC1006" s="754"/>
      <c r="BD1006" s="754"/>
      <c r="BE1006" s="754"/>
      <c r="BF1006" s="754"/>
      <c r="BG1006" s="754"/>
      <c r="BH1006" s="754"/>
      <c r="BI1006" s="754"/>
      <c r="BJ1006" s="754"/>
      <c r="BK1006" s="754"/>
      <c r="BL1006" s="754"/>
      <c r="BM1006" s="754"/>
      <c r="BN1006" s="754"/>
      <c r="BO1006" s="754"/>
      <c r="BP1006" s="754"/>
      <c r="BQ1006" s="754"/>
      <c r="BR1006" s="754"/>
      <c r="BS1006" s="754"/>
      <c r="BT1006" s="755"/>
      <c r="BU1006" s="754"/>
      <c r="BV1006" s="754"/>
      <c r="BW1006" s="754"/>
      <c r="BX1006" s="754"/>
      <c r="BY1006" s="754"/>
      <c r="BZ1006" s="754"/>
      <c r="CA1006" s="754"/>
      <c r="CB1006" s="754"/>
      <c r="CC1006" s="754"/>
      <c r="CD1006" s="754"/>
      <c r="CE1006" s="754"/>
      <c r="CF1006" s="754"/>
      <c r="CG1006" s="237"/>
    </row>
    <row r="1007" spans="1:85" x14ac:dyDescent="0.3">
      <c r="A1007" s="460" t="str">
        <f>"Stock Price (Reporting Cur.) - "&amp;MO.ValuationToggle&amp;", "&amp;MO.ReportCurrency</f>
      </c>
      <c r="B1007" s="907" t="s">
        <v>924</v>
      </c>
      <c r="C1007" s="1069">
        <f t="shared" ref="C1007:AH1007" si="2257">IF(MO.ValuationToggle="EoP",INDEX(MO_VA_StockPrice_TradingCurrency,1,COLUMN())/INDEX(MO_VA_FX_EoP,1,COLUMN()),INDEX(MO_VA_StockPrice_TradingCurrency,1,COLUMN())/INDEX(MO_VA_FX_Average,1,COLUMN()))</f>
      </c>
      <c r="D1007" s="1069">
        <f t="shared" si="2257"/>
      </c>
      <c r="E1007" s="1069">
        <f t="shared" si="2257"/>
      </c>
      <c r="F1007" s="1069">
        <f t="shared" si="2257"/>
      </c>
      <c r="G1007" s="624">
        <f t="shared" si="2257"/>
      </c>
      <c r="H1007" s="624">
        <f t="shared" si="2257"/>
      </c>
      <c r="I1007" s="624">
        <f t="shared" si="2257"/>
      </c>
      <c r="J1007" s="624">
        <f t="shared" si="2257"/>
      </c>
      <c r="K1007" s="1069">
        <f t="shared" si="2257"/>
      </c>
      <c r="L1007" s="624">
        <f t="shared" si="2257"/>
      </c>
      <c r="M1007" s="624">
        <f t="shared" si="2257"/>
      </c>
      <c r="N1007" s="624">
        <f t="shared" si="2257"/>
      </c>
      <c r="O1007" s="624">
        <f t="shared" si="2257"/>
      </c>
      <c r="P1007" s="1069">
        <f t="shared" si="2257"/>
      </c>
      <c r="Q1007" s="624">
        <f t="shared" si="2257"/>
      </c>
      <c r="R1007" s="624">
        <f t="shared" si="2257"/>
      </c>
      <c r="S1007" s="624">
        <f t="shared" si="2257"/>
      </c>
      <c r="T1007" s="624">
        <f t="shared" si="2257"/>
      </c>
      <c r="U1007" s="1069">
        <f t="shared" si="2257"/>
      </c>
      <c r="V1007" s="624">
        <f t="shared" si="2257"/>
      </c>
      <c r="W1007" s="624">
        <f t="shared" si="2257"/>
      </c>
      <c r="X1007" s="624">
        <f t="shared" si="2257"/>
      </c>
      <c r="Y1007" s="624">
        <f t="shared" si="2257"/>
      </c>
      <c r="Z1007" s="1045">
        <f t="shared" si="2257"/>
      </c>
      <c r="AA1007" s="624">
        <f t="shared" si="2257"/>
      </c>
      <c r="AB1007" s="624">
        <f t="shared" si="2257"/>
      </c>
      <c r="AC1007" s="624">
        <f t="shared" si="2257"/>
      </c>
      <c r="AD1007" s="624">
        <f t="shared" si="2257"/>
      </c>
      <c r="AE1007" s="1045">
        <f t="shared" si="2257"/>
      </c>
      <c r="AF1007" s="624">
        <f t="shared" si="2257"/>
      </c>
      <c r="AG1007" s="624">
        <f t="shared" si="2257"/>
      </c>
      <c r="AH1007" s="624">
        <f t="shared" si="2257"/>
      </c>
      <c r="AI1007" s="624">
        <f t="shared" ref="AI1007:BD1007" si="2258">IF(MO.ValuationToggle="EoP",INDEX(MO_VA_StockPrice_TradingCurrency,1,COLUMN())/INDEX(MO_VA_FX_EoP,1,COLUMN()),INDEX(MO_VA_StockPrice_TradingCurrency,1,COLUMN())/INDEX(MO_VA_FX_Average,1,COLUMN()))</f>
      </c>
      <c r="AJ1007" s="1045">
        <f t="shared" si="2258"/>
      </c>
      <c r="AK1007" s="624">
        <f t="shared" si="2258"/>
      </c>
      <c r="AL1007" s="624">
        <f t="shared" si="2258"/>
      </c>
      <c r="AM1007" s="624">
        <f t="shared" si="2258"/>
      </c>
      <c r="AN1007" s="624">
        <f t="shared" si="2258"/>
      </c>
      <c r="AO1007" s="1045">
        <f t="shared" si="2258"/>
      </c>
      <c r="AP1007" s="624">
        <f t="shared" si="2258"/>
      </c>
      <c r="AQ1007" s="624">
        <f t="shared" si="2258"/>
      </c>
      <c r="AR1007" s="624">
        <f t="shared" si="2258"/>
      </c>
      <c r="AS1007" s="624">
        <f t="shared" si="2258"/>
      </c>
      <c r="AT1007" s="1045">
        <f t="shared" si="2258"/>
      </c>
      <c r="AU1007" s="624">
        <f t="shared" si="2258"/>
      </c>
      <c r="AV1007" s="624">
        <f t="shared" si="2258"/>
      </c>
      <c r="AW1007" s="624">
        <f t="shared" si="2258"/>
      </c>
      <c r="AX1007" s="624">
        <f t="shared" si="2258"/>
      </c>
      <c r="AY1007" s="1045">
        <f t="shared" si="2258"/>
      </c>
      <c r="AZ1007" s="624">
        <f t="shared" si="2258"/>
      </c>
      <c r="BA1007" s="624">
        <f t="shared" si="2258"/>
      </c>
      <c r="BB1007" s="624">
        <f t="shared" si="2258"/>
      </c>
      <c r="BC1007" s="624">
        <f t="shared" si="2258"/>
      </c>
      <c r="BD1007" s="1045">
        <f t="shared" si="2258"/>
      </c>
      <c r="BE1007" s="624">
        <f t="shared" ref="BE1007:BI1007" si="2259">IF(MO.ValuationToggle="EoP",INDEX(MO_VA_StockPrice_TradingCurrency,1,COLUMN())/INDEX(MO_VA_FX_EoP,1,COLUMN()),INDEX(MO_VA_StockPrice_TradingCurrency,1,COLUMN())/INDEX(MO_VA_FX_Average,1,COLUMN()))</f>
      </c>
      <c r="BF1007" s="624">
        <f t="shared" si="2259"/>
      </c>
      <c r="BG1007" s="624">
        <f t="shared" si="2259"/>
      </c>
      <c r="BH1007" s="624">
        <f t="shared" si="2259"/>
      </c>
      <c r="BI1007" s="1045">
        <f t="shared" si="2259"/>
      </c>
      <c r="BJ1007" s="624">
        <f t="shared" ref="BJ1007:BX1007" si="2260">IF(MO.ValuationToggle="EoP",INDEX(MO_VA_StockPrice_TradingCurrency,1,COLUMN())/INDEX(MO_VA_FX_EoP,1,COLUMN()),INDEX(MO_VA_StockPrice_TradingCurrency,1,COLUMN())/INDEX(MO_VA_FX_Average,1,COLUMN()))</f>
      </c>
      <c r="BK1007" s="624">
        <f t="shared" si="2260"/>
      </c>
      <c r="BL1007" s="624">
        <f t="shared" si="2260"/>
      </c>
      <c r="BM1007" s="624">
        <f t="shared" si="2260"/>
      </c>
      <c r="BN1007" s="1045">
        <f t="shared" si="2260"/>
      </c>
      <c r="BO1007" s="624">
        <f t="shared" ref="BO1007:BW1007" si="2261">IF(MO.ValuationToggle="EoP",INDEX(MO_VA_StockPrice_TradingCurrency,1,COLUMN())/INDEX(MO_VA_FX_EoP,1,COLUMN()),INDEX(MO_VA_StockPrice_TradingCurrency,1,COLUMN())/INDEX(MO_VA_FX_Average,1,COLUMN()))</f>
      </c>
      <c r="BP1007" s="624">
        <f t="shared" si="2261"/>
      </c>
      <c r="BQ1007" s="624">
        <f t="shared" si="2261"/>
      </c>
      <c r="BR1007" s="624">
        <f t="shared" si="2261"/>
      </c>
      <c r="BS1007" s="1045">
        <f t="shared" si="2261"/>
      </c>
      <c r="BT1007" s="716">
        <f>IF(MO.ValuationToggle="EoP",INDEX(MO_VA_StockPrice_TradingCurrency,1,COLUMN())/INDEX(MO_VA_FX_EoP,1,COLUMN()),INDEX(MO_VA_StockPrice_TradingCurrency,1,COLUMN())/INDEX(MO_VA_FX_Average,1,COLUMN()))</f>
      </c>
      <c r="BU1007" s="462">
        <f t="shared" si="2261"/>
      </c>
      <c r="BV1007" s="462">
        <f t="shared" si="2261"/>
      </c>
      <c r="BW1007" s="462">
        <f t="shared" si="2261"/>
      </c>
      <c r="BX1007" s="1045">
        <f t="shared" si="2260"/>
      </c>
      <c r="BY1007" s="462">
        <f t="shared" ref="BY1007:CF1007" si="2262">IF(MO.ValuationToggle="EoP",INDEX(MO_VA_StockPrice_TradingCurrency,1,COLUMN())/INDEX(MO_VA_FX_EoP,1,COLUMN()),INDEX(MO_VA_StockPrice_TradingCurrency,1,COLUMN())/INDEX(MO_VA_FX_Average,1,COLUMN()))</f>
      </c>
      <c r="BZ1007" s="462">
        <f t="shared" si="2262"/>
      </c>
      <c r="CA1007" s="462">
        <f t="shared" si="2262"/>
      </c>
      <c r="CB1007" s="462">
        <f t="shared" si="2262"/>
      </c>
      <c r="CC1007" s="1045">
        <f t="shared" si="2262"/>
      </c>
      <c r="CD1007" s="1045">
        <f t="shared" si="2262"/>
      </c>
      <c r="CE1007" s="1045">
        <f t="shared" si="2262"/>
      </c>
      <c r="CF1007" s="1045">
        <f t="shared" si="2262"/>
      </c>
      <c r="CG1007" s="288"/>
    </row>
    <row r="1008" spans="1:85" x14ac:dyDescent="0.3">
      <c r="A1008" s="459" t="str">
        <f>"Market Cap - "&amp;MO.ValuationToggle</f>
      </c>
      <c r="B1008" s="414"/>
      <c r="C1008" s="964">
        <f t="shared" ref="C1008:AH1008" si="2263">INDEX(MO_VA_StockPrice,0,COLUMN())*INDEX(MO_SCA_ShareCount_EoP_Diluted,0,COLUMN())</f>
      </c>
      <c r="D1008" s="964">
        <f t="shared" si="2263"/>
      </c>
      <c r="E1008" s="964">
        <f t="shared" si="2263"/>
      </c>
      <c r="F1008" s="964">
        <f t="shared" si="2263"/>
      </c>
      <c r="G1008" s="459">
        <f t="shared" si="2263"/>
      </c>
      <c r="H1008" s="459">
        <f t="shared" si="2263"/>
      </c>
      <c r="I1008" s="459">
        <f t="shared" si="2263"/>
      </c>
      <c r="J1008" s="459">
        <f t="shared" si="2263"/>
      </c>
      <c r="K1008" s="964">
        <f t="shared" si="2263"/>
      </c>
      <c r="L1008" s="459">
        <f t="shared" si="2263"/>
      </c>
      <c r="M1008" s="459">
        <f t="shared" si="2263"/>
      </c>
      <c r="N1008" s="459">
        <f t="shared" si="2263"/>
      </c>
      <c r="O1008" s="459">
        <f t="shared" si="2263"/>
      </c>
      <c r="P1008" s="964">
        <f t="shared" si="2263"/>
      </c>
      <c r="Q1008" s="459">
        <f t="shared" si="2263"/>
      </c>
      <c r="R1008" s="459">
        <f t="shared" si="2263"/>
      </c>
      <c r="S1008" s="459">
        <f t="shared" si="2263"/>
      </c>
      <c r="T1008" s="459">
        <f t="shared" si="2263"/>
      </c>
      <c r="U1008" s="964">
        <f t="shared" si="2263"/>
      </c>
      <c r="V1008" s="459">
        <f t="shared" si="2263"/>
      </c>
      <c r="W1008" s="459">
        <f t="shared" si="2263"/>
      </c>
      <c r="X1008" s="459">
        <f t="shared" si="2263"/>
      </c>
      <c r="Y1008" s="459">
        <f t="shared" si="2263"/>
      </c>
      <c r="Z1008" s="962">
        <f t="shared" si="2263"/>
      </c>
      <c r="AA1008" s="459">
        <f t="shared" si="2263"/>
      </c>
      <c r="AB1008" s="459">
        <f t="shared" si="2263"/>
      </c>
      <c r="AC1008" s="459">
        <f t="shared" si="2263"/>
      </c>
      <c r="AD1008" s="459">
        <f t="shared" si="2263"/>
      </c>
      <c r="AE1008" s="962">
        <f t="shared" si="2263"/>
      </c>
      <c r="AF1008" s="459">
        <f t="shared" si="2263"/>
      </c>
      <c r="AG1008" s="459">
        <f t="shared" si="2263"/>
      </c>
      <c r="AH1008" s="459">
        <f t="shared" si="2263"/>
      </c>
      <c r="AI1008" s="459">
        <f t="shared" ref="AI1008:BD1008" si="2264">INDEX(MO_VA_StockPrice,0,COLUMN())*INDEX(MO_SCA_ShareCount_EoP_Diluted,0,COLUMN())</f>
      </c>
      <c r="AJ1008" s="962">
        <f t="shared" si="2264"/>
      </c>
      <c r="AK1008" s="459">
        <f t="shared" si="2264"/>
      </c>
      <c r="AL1008" s="459">
        <f t="shared" si="2264"/>
      </c>
      <c r="AM1008" s="459">
        <f t="shared" si="2264"/>
      </c>
      <c r="AN1008" s="459">
        <f t="shared" si="2264"/>
      </c>
      <c r="AO1008" s="962">
        <f t="shared" si="2264"/>
      </c>
      <c r="AP1008" s="459">
        <f t="shared" si="2264"/>
      </c>
      <c r="AQ1008" s="459">
        <f t="shared" si="2264"/>
      </c>
      <c r="AR1008" s="459">
        <f t="shared" si="2264"/>
      </c>
      <c r="AS1008" s="459">
        <f t="shared" si="2264"/>
      </c>
      <c r="AT1008" s="962">
        <f t="shared" si="2264"/>
      </c>
      <c r="AU1008" s="459">
        <f t="shared" si="2264"/>
      </c>
      <c r="AV1008" s="459">
        <f t="shared" si="2264"/>
      </c>
      <c r="AW1008" s="459">
        <f t="shared" si="2264"/>
      </c>
      <c r="AX1008" s="459">
        <f t="shared" si="2264"/>
      </c>
      <c r="AY1008" s="962">
        <f t="shared" si="2264"/>
      </c>
      <c r="AZ1008" s="459">
        <f t="shared" si="2264"/>
      </c>
      <c r="BA1008" s="459">
        <f t="shared" si="2264"/>
      </c>
      <c r="BB1008" s="459">
        <f t="shared" si="2264"/>
      </c>
      <c r="BC1008" s="459">
        <f t="shared" si="2264"/>
      </c>
      <c r="BD1008" s="962">
        <f t="shared" si="2264"/>
      </c>
      <c r="BE1008" s="459">
        <f t="shared" ref="BE1008:BI1008" si="2265">INDEX(MO_VA_StockPrice,0,COLUMN())*INDEX(MO_SCA_ShareCount_EoP_Diluted,0,COLUMN())</f>
      </c>
      <c r="BF1008" s="459">
        <f t="shared" si="2265"/>
      </c>
      <c r="BG1008" s="459">
        <f t="shared" si="2265"/>
      </c>
      <c r="BH1008" s="459">
        <f t="shared" si="2265"/>
      </c>
      <c r="BI1008" s="962">
        <f t="shared" si="2265"/>
      </c>
      <c r="BJ1008" s="459">
        <f t="shared" ref="BJ1008:BX1008" si="2266">INDEX(MO_VA_StockPrice,0,COLUMN())*INDEX(MO_SCA_ShareCount_EoP_Diluted,0,COLUMN())</f>
      </c>
      <c r="BK1008" s="459">
        <f t="shared" si="2266"/>
      </c>
      <c r="BL1008" s="459">
        <f t="shared" si="2266"/>
      </c>
      <c r="BM1008" s="459">
        <f t="shared" si="2266"/>
      </c>
      <c r="BN1008" s="962">
        <f t="shared" si="2266"/>
      </c>
      <c r="BO1008" s="459">
        <f t="shared" ref="BO1008:BW1008" si="2267">INDEX(MO_VA_StockPrice,0,COLUMN())*INDEX(MO_SCA_ShareCount_EoP_Diluted,0,COLUMN())</f>
      </c>
      <c r="BP1008" s="459">
        <f t="shared" si="2267"/>
      </c>
      <c r="BQ1008" s="459">
        <f t="shared" si="2267"/>
      </c>
      <c r="BR1008" s="459">
        <f t="shared" si="2267"/>
      </c>
      <c r="BS1008" s="962">
        <f t="shared" si="2267"/>
      </c>
      <c r="BT1008" s="795">
        <f>INDEX(MO_VA_StockPrice,0,COLUMN())*INDEX(MO_SCA_ShareCount_EoP_Diluted,0,COLUMN())</f>
      </c>
      <c r="BU1008" s="757">
        <f t="shared" si="2267"/>
      </c>
      <c r="BV1008" s="757">
        <f t="shared" si="2267"/>
      </c>
      <c r="BW1008" s="757">
        <f t="shared" si="2267"/>
      </c>
      <c r="BX1008" s="962">
        <f t="shared" si="2266"/>
      </c>
      <c r="BY1008" s="757">
        <f t="shared" ref="BY1008:CF1008" si="2268">INDEX(MO_VA_StockPrice,0,COLUMN())*INDEX(MO_SCA_ShareCount_EoP_Diluted,0,COLUMN())</f>
      </c>
      <c r="BZ1008" s="757">
        <f t="shared" si="2268"/>
      </c>
      <c r="CA1008" s="757">
        <f t="shared" si="2268"/>
      </c>
      <c r="CB1008" s="757">
        <f t="shared" si="2268"/>
      </c>
      <c r="CC1008" s="962">
        <f t="shared" si="2268"/>
      </c>
      <c r="CD1008" s="962">
        <f t="shared" si="2268"/>
      </c>
      <c r="CE1008" s="962">
        <f t="shared" si="2268"/>
      </c>
      <c r="CF1008" s="962">
        <f t="shared" si="2268"/>
      </c>
      <c r="CG1008" s="459"/>
    </row>
    <row r="1009" spans="1:85" x14ac:dyDescent="0.3">
      <c r="A1009" s="459" t="str">
        <f>"Enterprise Value - "&amp;MO.ValuationToggle</f>
      </c>
      <c r="B1009" s="414"/>
      <c r="C1009" s="964">
        <f t="shared" ref="C1009:AH1009" si="2269">C755+C1008+C1026+C1027+C1028</f>
      </c>
      <c r="D1009" s="964">
        <f t="shared" si="2269"/>
      </c>
      <c r="E1009" s="964">
        <f t="shared" si="2269"/>
      </c>
      <c r="F1009" s="964">
        <f t="shared" si="2269"/>
      </c>
      <c r="G1009" s="459">
        <f t="shared" si="2269"/>
      </c>
      <c r="H1009" s="459">
        <f t="shared" si="2269"/>
      </c>
      <c r="I1009" s="459">
        <f t="shared" si="2269"/>
      </c>
      <c r="J1009" s="459">
        <f t="shared" si="2269"/>
      </c>
      <c r="K1009" s="964">
        <f t="shared" si="2269"/>
      </c>
      <c r="L1009" s="459">
        <f t="shared" si="2269"/>
      </c>
      <c r="M1009" s="459">
        <f t="shared" si="2269"/>
      </c>
      <c r="N1009" s="459">
        <f t="shared" si="2269"/>
      </c>
      <c r="O1009" s="459">
        <f t="shared" si="2269"/>
      </c>
      <c r="P1009" s="964">
        <f t="shared" si="2269"/>
      </c>
      <c r="Q1009" s="459">
        <f t="shared" si="2269"/>
      </c>
      <c r="R1009" s="459">
        <f t="shared" si="2269"/>
      </c>
      <c r="S1009" s="459">
        <f t="shared" si="2269"/>
      </c>
      <c r="T1009" s="459">
        <f t="shared" si="2269"/>
      </c>
      <c r="U1009" s="964">
        <f t="shared" si="2269"/>
      </c>
      <c r="V1009" s="459">
        <f t="shared" si="2269"/>
      </c>
      <c r="W1009" s="459">
        <f t="shared" si="2269"/>
      </c>
      <c r="X1009" s="459">
        <f t="shared" si="2269"/>
      </c>
      <c r="Y1009" s="459">
        <f t="shared" si="2269"/>
      </c>
      <c r="Z1009" s="962">
        <f t="shared" si="2269"/>
      </c>
      <c r="AA1009" s="459">
        <f t="shared" si="2269"/>
      </c>
      <c r="AB1009" s="459">
        <f t="shared" si="2269"/>
      </c>
      <c r="AC1009" s="459">
        <f t="shared" si="2269"/>
      </c>
      <c r="AD1009" s="459">
        <f t="shared" si="2269"/>
      </c>
      <c r="AE1009" s="962">
        <f t="shared" si="2269"/>
      </c>
      <c r="AF1009" s="459">
        <f t="shared" si="2269"/>
      </c>
      <c r="AG1009" s="459">
        <f t="shared" si="2269"/>
      </c>
      <c r="AH1009" s="459">
        <f t="shared" si="2269"/>
      </c>
      <c r="AI1009" s="459">
        <f t="shared" ref="AI1009:BB1009" si="2270">AI755+AI1008+AI1026+AI1027+AI1028</f>
      </c>
      <c r="AJ1009" s="962">
        <f t="shared" si="2270"/>
      </c>
      <c r="AK1009" s="459">
        <f t="shared" si="2270"/>
      </c>
      <c r="AL1009" s="459">
        <f t="shared" si="2270"/>
      </c>
      <c r="AM1009" s="459">
        <f t="shared" si="2270"/>
      </c>
      <c r="AN1009" s="459">
        <f t="shared" si="2270"/>
      </c>
      <c r="AO1009" s="962">
        <f t="shared" si="2270"/>
      </c>
      <c r="AP1009" s="459">
        <f t="shared" si="2270"/>
      </c>
      <c r="AQ1009" s="459">
        <f t="shared" si="2270"/>
      </c>
      <c r="AR1009" s="459">
        <f t="shared" si="2270"/>
      </c>
      <c r="AS1009" s="459">
        <f t="shared" si="2270"/>
      </c>
      <c r="AT1009" s="962">
        <f t="shared" si="2270"/>
      </c>
      <c r="AU1009" s="459">
        <f t="shared" si="2270"/>
      </c>
      <c r="AV1009" s="459">
        <f t="shared" si="2270"/>
      </c>
      <c r="AW1009" s="459">
        <f t="shared" si="2270"/>
      </c>
      <c r="AX1009" s="459">
        <f t="shared" si="2270"/>
      </c>
      <c r="AY1009" s="962">
        <f t="shared" si="2270"/>
      </c>
      <c r="AZ1009" s="459">
        <f t="shared" si="2270"/>
      </c>
      <c r="BA1009" s="459">
        <f t="shared" si="2270"/>
      </c>
      <c r="BB1009" s="459">
        <f t="shared" si="2270"/>
      </c>
      <c r="BC1009" s="459">
        <f t="shared" ref="BC1009:BD1009" si="2271">BC755+BC1008+BC1026+BC1027+BC1028</f>
      </c>
      <c r="BD1009" s="962">
        <f t="shared" si="2271"/>
      </c>
      <c r="BE1009" s="459">
        <f t="shared" ref="BE1009:BI1009" si="2272">BE755+BE1008+BE1026+BE1027+BE1028</f>
      </c>
      <c r="BF1009" s="459">
        <f t="shared" si="2272"/>
      </c>
      <c r="BG1009" s="459">
        <f t="shared" si="2272"/>
      </c>
      <c r="BH1009" s="459">
        <f t="shared" si="2272"/>
      </c>
      <c r="BI1009" s="962">
        <f t="shared" si="2272"/>
      </c>
      <c r="BJ1009" s="459">
        <f t="shared" ref="BJ1009:BN1009" si="2273">BJ755+BJ1008+BJ1026+BJ1027+BJ1028</f>
      </c>
      <c r="BK1009" s="459">
        <f t="shared" si="2273"/>
      </c>
      <c r="BL1009" s="459">
        <f t="shared" si="2273"/>
      </c>
      <c r="BM1009" s="459">
        <f t="shared" si="2273"/>
      </c>
      <c r="BN1009" s="962">
        <f t="shared" si="2273"/>
      </c>
      <c r="BO1009" s="459">
        <f t="shared" ref="BO1009:CF1009" si="2274">BO755+BO1008+BO1026+BO1027+BO1028</f>
      </c>
      <c r="BP1009" s="459">
        <f t="shared" si="2274"/>
      </c>
      <c r="BQ1009" s="459">
        <f t="shared" si="2274"/>
      </c>
      <c r="BR1009" s="459">
        <f t="shared" si="2274"/>
      </c>
      <c r="BS1009" s="962">
        <f t="shared" si="2274"/>
      </c>
      <c r="BT1009" s="795">
        <f>BT755+BT1008+BT1026+BT1027+BT1028</f>
      </c>
      <c r="BU1009" s="757">
        <f t="shared" si="2274"/>
      </c>
      <c r="BV1009" s="757">
        <f t="shared" si="2274"/>
      </c>
      <c r="BW1009" s="757">
        <f t="shared" si="2274"/>
      </c>
      <c r="BX1009" s="962">
        <f t="shared" si="2274"/>
      </c>
      <c r="BY1009" s="757">
        <f t="shared" si="2274"/>
      </c>
      <c r="BZ1009" s="757">
        <f t="shared" si="2274"/>
      </c>
      <c r="CA1009" s="757">
        <f t="shared" si="2274"/>
      </c>
      <c r="CB1009" s="757">
        <f t="shared" si="2274"/>
      </c>
      <c r="CC1009" s="962">
        <f t="shared" si="2274"/>
      </c>
      <c r="CD1009" s="962">
        <f t="shared" si="2274"/>
      </c>
      <c r="CE1009" s="962">
        <f t="shared" si="2274"/>
      </c>
      <c r="CF1009" s="962">
        <f t="shared" si="2274"/>
      </c>
      <c r="CG1009" s="459"/>
    </row>
    <row r="1010" spans="1:85" x14ac:dyDescent="0.3">
      <c r="A1010" s="275"/>
      <c r="B1010" s="276"/>
      <c r="C1010" s="1070"/>
      <c r="D1010" s="1070"/>
      <c r="E1010" s="1070"/>
      <c r="F1010" s="1070"/>
      <c r="G1010" s="639"/>
      <c r="H1010" s="639"/>
      <c r="I1010" s="639"/>
      <c r="J1010" s="639"/>
      <c r="K1010" s="1070"/>
      <c r="L1010" s="639"/>
      <c r="M1010" s="639"/>
      <c r="N1010" s="639"/>
      <c r="O1010" s="639"/>
      <c r="P1010" s="1070"/>
      <c r="Q1010" s="639"/>
      <c r="R1010" s="639"/>
      <c r="S1010" s="639"/>
      <c r="T1010" s="639"/>
      <c r="U1010" s="1070"/>
      <c r="V1010" s="639"/>
      <c r="W1010" s="277"/>
      <c r="X1010" s="639"/>
      <c r="Y1010" s="277"/>
      <c r="Z1010" s="1070"/>
      <c r="AA1010" s="277"/>
      <c r="AB1010" s="277"/>
      <c r="AC1010" s="639"/>
      <c r="AD1010" s="277"/>
      <c r="AE1010" s="1070"/>
      <c r="AF1010" s="277"/>
      <c r="AG1010" s="277"/>
      <c r="AH1010" s="639"/>
      <c r="AI1010" s="277"/>
      <c r="AJ1010" s="1070"/>
      <c r="AK1010" s="277"/>
      <c r="AL1010" s="277"/>
      <c r="AM1010" s="639"/>
      <c r="AN1010" s="277"/>
      <c r="AO1010" s="1070"/>
      <c r="AP1010" s="277"/>
      <c r="AQ1010" s="277"/>
      <c r="AR1010" s="639"/>
      <c r="AS1010" s="277"/>
      <c r="AT1010" s="1070"/>
      <c r="AU1010" s="277"/>
      <c r="AV1010" s="277"/>
      <c r="AW1010" s="639"/>
      <c r="AX1010" s="277"/>
      <c r="AY1010" s="1070"/>
      <c r="AZ1010" s="277"/>
      <c r="BA1010" s="277"/>
      <c r="BB1010" s="277"/>
      <c r="BC1010" s="277"/>
      <c r="BD1010" s="1070"/>
      <c r="BE1010" s="277"/>
      <c r="BF1010" s="277"/>
      <c r="BG1010" s="277"/>
      <c r="BH1010" s="277"/>
      <c r="BI1010" s="1070"/>
      <c r="BJ1010" s="277"/>
      <c r="BK1010" s="277"/>
      <c r="BL1010" s="277"/>
      <c r="BM1010" s="277"/>
      <c r="BN1010" s="1070"/>
      <c r="BO1010" s="277"/>
      <c r="BP1010" s="277"/>
      <c r="BQ1010" s="277"/>
      <c r="BR1010" s="277"/>
      <c r="BS1010" s="1070"/>
      <c r="BT1010" s="715"/>
      <c r="BU1010" s="277"/>
      <c r="BV1010" s="277"/>
      <c r="BW1010" s="277"/>
      <c r="BX1010" s="1070"/>
      <c r="BY1010" s="277"/>
      <c r="BZ1010" s="277"/>
      <c r="CA1010" s="277"/>
      <c r="CB1010" s="277"/>
      <c r="CC1010" s="1070"/>
      <c r="CD1010" s="1070"/>
      <c r="CE1010" s="1070"/>
      <c r="CF1010" s="1070"/>
      <c r="CG1010" s="29"/>
    </row>
    <row r="1011" spans="1:85" x14ac:dyDescent="0.3">
      <c r="A1011" s="54" t="str">
        <f>"P/E - "&amp;MO.ValuationToggle</f>
      </c>
      <c r="B1011" s="276"/>
      <c r="C1011" s="1071">
        <f>C1007/C507</f>
      </c>
      <c r="D1011" s="1071">
        <f>D1007/D507</f>
      </c>
      <c r="E1011" s="1071">
        <f>E1007/E507</f>
      </c>
      <c r="F1011" s="1071">
        <f>F1007/F507</f>
      </c>
      <c r="G1011" s="639"/>
      <c r="H1011" s="639"/>
      <c r="I1011" s="639"/>
      <c r="J1011" s="639"/>
      <c r="K1011" s="1071">
        <f>K1007/K507</f>
      </c>
      <c r="L1011" s="639"/>
      <c r="M1011" s="639"/>
      <c r="N1011" s="639"/>
      <c r="O1011" s="639"/>
      <c r="P1011" s="1071">
        <f>P1007/P507</f>
      </c>
      <c r="Q1011" s="639"/>
      <c r="R1011" s="639"/>
      <c r="S1011" s="639"/>
      <c r="T1011" s="639"/>
      <c r="U1011" s="1071">
        <f>U1007/U507</f>
      </c>
      <c r="V1011" s="639"/>
      <c r="W1011" s="277"/>
      <c r="X1011" s="639"/>
      <c r="Y1011" s="277"/>
      <c r="Z1011" s="1070">
        <f>Z1007/Z507</f>
      </c>
      <c r="AA1011" s="277"/>
      <c r="AB1011" s="277"/>
      <c r="AC1011" s="639"/>
      <c r="AD1011" s="277"/>
      <c r="AE1011" s="1070">
        <f>AE1007/AE507</f>
      </c>
      <c r="AF1011" s="277"/>
      <c r="AG1011" s="277"/>
      <c r="AH1011" s="639"/>
      <c r="AI1011" s="277"/>
      <c r="AJ1011" s="1070">
        <f>AJ1007/AJ507</f>
      </c>
      <c r="AK1011" s="277"/>
      <c r="AL1011" s="277"/>
      <c r="AM1011" s="639"/>
      <c r="AN1011" s="277"/>
      <c r="AO1011" s="1070">
        <f>AO1007/AO507</f>
      </c>
      <c r="AP1011" s="277"/>
      <c r="AQ1011" s="277"/>
      <c r="AR1011" s="639"/>
      <c r="AS1011" s="277"/>
      <c r="AT1011" s="1070">
        <f>AT1007/AT507</f>
      </c>
      <c r="AU1011" s="277"/>
      <c r="AV1011" s="277"/>
      <c r="AW1011" s="639"/>
      <c r="AX1011" s="277"/>
      <c r="AY1011" s="1070">
        <f>AY1007/AY507</f>
      </c>
      <c r="AZ1011" s="277"/>
      <c r="BA1011" s="277"/>
      <c r="BB1011" s="277"/>
      <c r="BC1011" s="277"/>
      <c r="BD1011" s="1070">
        <f>BD1007/BD507</f>
      </c>
      <c r="BE1011" s="277"/>
      <c r="BF1011" s="277"/>
      <c r="BG1011" s="277"/>
      <c r="BH1011" s="277"/>
      <c r="BI1011" s="1070">
        <f>BI1007/BI507</f>
      </c>
      <c r="BJ1011" s="277"/>
      <c r="BK1011" s="277"/>
      <c r="BL1011" s="277"/>
      <c r="BM1011" s="277"/>
      <c r="BN1011" s="1070">
        <f>BN1007/BN507</f>
      </c>
      <c r="BO1011" s="277"/>
      <c r="BP1011" s="277"/>
      <c r="BQ1011" s="277"/>
      <c r="BR1011" s="277"/>
      <c r="BS1011" s="1070">
        <f>BS1007/BS507</f>
      </c>
      <c r="BT1011" s="715"/>
      <c r="BU1011" s="277"/>
      <c r="BV1011" s="277"/>
      <c r="BW1011" s="277"/>
      <c r="BX1011" s="1070">
        <f>BX1007/BX507</f>
      </c>
      <c r="BY1011" s="277"/>
      <c r="BZ1011" s="277"/>
      <c r="CA1011" s="277"/>
      <c r="CB1011" s="277"/>
      <c r="CC1011" s="1070">
        <f>CC1007/CC507</f>
      </c>
      <c r="CD1011" s="1070">
        <f>CD1007/CD507</f>
      </c>
      <c r="CE1011" s="1070">
        <f>CE1007/CE507</f>
      </c>
      <c r="CF1011" s="1070">
        <f>CF1007/CF507</f>
      </c>
      <c r="CG1011" s="29"/>
    </row>
    <row r="1012" spans="1:85" x14ac:dyDescent="0.3">
      <c r="A1012" s="54" t="str">
        <f>"EV/EBITDA - "&amp;MO.ValuationToggle</f>
      </c>
      <c r="B1012" s="276"/>
      <c r="C1012" s="1071">
        <f>C1009/C480</f>
      </c>
      <c r="D1012" s="1071">
        <f>D1009/D480</f>
      </c>
      <c r="E1012" s="1071">
        <f>E1009/E480</f>
      </c>
      <c r="F1012" s="1071">
        <f>F1009/F480</f>
      </c>
      <c r="G1012" s="639"/>
      <c r="H1012" s="639"/>
      <c r="I1012" s="639"/>
      <c r="J1012" s="639"/>
      <c r="K1012" s="1071">
        <f>K1009/K480</f>
      </c>
      <c r="L1012" s="639"/>
      <c r="M1012" s="639"/>
      <c r="N1012" s="639"/>
      <c r="O1012" s="639"/>
      <c r="P1012" s="1071">
        <f>P1009/P480</f>
      </c>
      <c r="Q1012" s="639"/>
      <c r="R1012" s="639"/>
      <c r="S1012" s="639"/>
      <c r="T1012" s="639"/>
      <c r="U1012" s="1071">
        <f>U1009/U480</f>
      </c>
      <c r="V1012" s="639"/>
      <c r="W1012" s="277"/>
      <c r="X1012" s="639"/>
      <c r="Y1012" s="277"/>
      <c r="Z1012" s="1070">
        <f>Z1009/Z480</f>
      </c>
      <c r="AA1012" s="277"/>
      <c r="AB1012" s="277"/>
      <c r="AC1012" s="639"/>
      <c r="AD1012" s="277"/>
      <c r="AE1012" s="1070">
        <f>AE1009/AE480</f>
      </c>
      <c r="AF1012" s="277"/>
      <c r="AG1012" s="277"/>
      <c r="AH1012" s="639"/>
      <c r="AI1012" s="277"/>
      <c r="AJ1012" s="1070">
        <f>AJ1009/AJ480</f>
      </c>
      <c r="AK1012" s="277"/>
      <c r="AL1012" s="277"/>
      <c r="AM1012" s="639"/>
      <c r="AN1012" s="277"/>
      <c r="AO1012" s="1070">
        <f>AO1009/AO480</f>
      </c>
      <c r="AP1012" s="277"/>
      <c r="AQ1012" s="277"/>
      <c r="AR1012" s="639"/>
      <c r="AS1012" s="277"/>
      <c r="AT1012" s="1070">
        <f>AT1009/AT480</f>
      </c>
      <c r="AU1012" s="277"/>
      <c r="AV1012" s="277"/>
      <c r="AW1012" s="639"/>
      <c r="AX1012" s="277"/>
      <c r="AY1012" s="1070">
        <f>AY1009/AY480</f>
      </c>
      <c r="AZ1012" s="277"/>
      <c r="BA1012" s="277"/>
      <c r="BB1012" s="277"/>
      <c r="BC1012" s="277"/>
      <c r="BD1012" s="1070">
        <f>BD1009/BD480</f>
      </c>
      <c r="BE1012" s="277"/>
      <c r="BF1012" s="277"/>
      <c r="BG1012" s="277"/>
      <c r="BH1012" s="277"/>
      <c r="BI1012" s="1070">
        <f>BI1009/BI480</f>
      </c>
      <c r="BJ1012" s="277"/>
      <c r="BK1012" s="277"/>
      <c r="BL1012" s="277"/>
      <c r="BM1012" s="277"/>
      <c r="BN1012" s="1070">
        <f>BN1009/BN480</f>
      </c>
      <c r="BO1012" s="277"/>
      <c r="BP1012" s="277"/>
      <c r="BQ1012" s="277"/>
      <c r="BR1012" s="277"/>
      <c r="BS1012" s="1070">
        <f>BS1009/BS480</f>
      </c>
      <c r="BT1012" s="715"/>
      <c r="BU1012" s="277"/>
      <c r="BV1012" s="277"/>
      <c r="BW1012" s="277"/>
      <c r="BX1012" s="1070">
        <f>BX1009/BX480</f>
      </c>
      <c r="BY1012" s="277"/>
      <c r="BZ1012" s="277"/>
      <c r="CA1012" s="277"/>
      <c r="CB1012" s="277"/>
      <c r="CC1012" s="1070">
        <f>CC1009/CC480</f>
      </c>
      <c r="CD1012" s="1070">
        <f>CD1009/CD480</f>
      </c>
      <c r="CE1012" s="1070">
        <f>CE1009/CE480</f>
      </c>
      <c r="CF1012" s="1070">
        <f>CF1009/CF480</f>
      </c>
      <c r="CG1012" s="29"/>
    </row>
    <row r="1013" spans="1:85" x14ac:dyDescent="0.3">
      <c r="A1013" s="54" t="str">
        <f>"P/CF - "&amp;MO.ValuationToggle</f>
      </c>
      <c r="B1013" s="276"/>
      <c r="C1013" s="1071">
        <f>C1007/C724</f>
      </c>
      <c r="D1013" s="1071">
        <f>D1007/D724</f>
      </c>
      <c r="E1013" s="1071">
        <f>E1007/E724</f>
      </c>
      <c r="F1013" s="1071">
        <f>F1007/F724</f>
      </c>
      <c r="G1013" s="639"/>
      <c r="H1013" s="639"/>
      <c r="I1013" s="639"/>
      <c r="J1013" s="639"/>
      <c r="K1013" s="1071">
        <f>K1007/K724</f>
      </c>
      <c r="L1013" s="639"/>
      <c r="M1013" s="639"/>
      <c r="N1013" s="639"/>
      <c r="O1013" s="639"/>
      <c r="P1013" s="1071">
        <f>P1007/P724</f>
      </c>
      <c r="Q1013" s="639"/>
      <c r="R1013" s="639"/>
      <c r="S1013" s="639"/>
      <c r="T1013" s="639"/>
      <c r="U1013" s="1071">
        <f>U1007/U724</f>
      </c>
      <c r="V1013" s="639"/>
      <c r="W1013" s="277"/>
      <c r="X1013" s="639"/>
      <c r="Y1013" s="277"/>
      <c r="Z1013" s="1070">
        <f>Z1007/Z724</f>
      </c>
      <c r="AA1013" s="277"/>
      <c r="AB1013" s="277"/>
      <c r="AC1013" s="639"/>
      <c r="AD1013" s="277"/>
      <c r="AE1013" s="1070">
        <f>AE1007/AE724</f>
      </c>
      <c r="AF1013" s="277"/>
      <c r="AG1013" s="277"/>
      <c r="AH1013" s="639"/>
      <c r="AI1013" s="277"/>
      <c r="AJ1013" s="1070">
        <f>AJ1007/AJ724</f>
      </c>
      <c r="AK1013" s="277"/>
      <c r="AL1013" s="277"/>
      <c r="AM1013" s="639"/>
      <c r="AN1013" s="277"/>
      <c r="AO1013" s="1070">
        <f>AO1007/AO724</f>
      </c>
      <c r="AP1013" s="277"/>
      <c r="AQ1013" s="277"/>
      <c r="AR1013" s="639"/>
      <c r="AS1013" s="277"/>
      <c r="AT1013" s="1070">
        <f>AT1007/AT724</f>
      </c>
      <c r="AU1013" s="277"/>
      <c r="AV1013" s="277"/>
      <c r="AW1013" s="639"/>
      <c r="AX1013" s="277"/>
      <c r="AY1013" s="1070">
        <f>AY1007/AY724</f>
      </c>
      <c r="AZ1013" s="277"/>
      <c r="BA1013" s="277"/>
      <c r="BB1013" s="277"/>
      <c r="BC1013" s="277"/>
      <c r="BD1013" s="1070">
        <f>BD1007/BD724</f>
      </c>
      <c r="BE1013" s="277"/>
      <c r="BF1013" s="277"/>
      <c r="BG1013" s="277"/>
      <c r="BH1013" s="277"/>
      <c r="BI1013" s="1070">
        <f>BI1007/BI724</f>
      </c>
      <c r="BJ1013" s="277"/>
      <c r="BK1013" s="277"/>
      <c r="BL1013" s="277"/>
      <c r="BM1013" s="277"/>
      <c r="BN1013" s="1070">
        <f>BN1007/BN724</f>
      </c>
      <c r="BO1013" s="277"/>
      <c r="BP1013" s="277"/>
      <c r="BQ1013" s="277"/>
      <c r="BR1013" s="277"/>
      <c r="BS1013" s="1070">
        <f>BS1007/BS724</f>
      </c>
      <c r="BT1013" s="715"/>
      <c r="BU1013" s="277"/>
      <c r="BV1013" s="277"/>
      <c r="BW1013" s="277"/>
      <c r="BX1013" s="1070">
        <f>BX1007/BX724</f>
      </c>
      <c r="BY1013" s="277"/>
      <c r="BZ1013" s="277"/>
      <c r="CA1013" s="277"/>
      <c r="CB1013" s="277"/>
      <c r="CC1013" s="1070">
        <f>CC1007/CC724</f>
      </c>
      <c r="CD1013" s="1070">
        <f>CD1007/CD724</f>
      </c>
      <c r="CE1013" s="1070">
        <f>CE1007/CE724</f>
      </c>
      <c r="CF1013" s="1070">
        <f>CF1007/CF724</f>
      </c>
      <c r="CG1013" s="29"/>
    </row>
    <row r="1014" spans="1:85" x14ac:dyDescent="0.3">
      <c r="A1014" s="15" t="str">
        <f>"FCF Yield % to "&amp;MO.ValuationToggle&amp;" Market Cap"</f>
      </c>
      <c r="B1014" s="115"/>
      <c r="C1014" s="1002">
        <f>C744/C1008</f>
      </c>
      <c r="D1014" s="1002">
        <f>D744/D1008</f>
      </c>
      <c r="E1014" s="1002">
        <f>E744/E1008</f>
      </c>
      <c r="F1014" s="1002">
        <f>F744/F1008</f>
      </c>
      <c r="G1014" s="68"/>
      <c r="H1014" s="68"/>
      <c r="I1014" s="68"/>
      <c r="J1014" s="68"/>
      <c r="K1014" s="1002">
        <f>K744/K1008</f>
      </c>
      <c r="L1014" s="68"/>
      <c r="M1014" s="68"/>
      <c r="N1014" s="68"/>
      <c r="O1014" s="68"/>
      <c r="P1014" s="1002">
        <f>P744/P1008</f>
      </c>
      <c r="Q1014" s="68"/>
      <c r="R1014" s="68"/>
      <c r="S1014" s="68"/>
      <c r="T1014" s="68"/>
      <c r="U1014" s="1002">
        <f>U744/U1008</f>
      </c>
      <c r="V1014" s="68"/>
      <c r="W1014" s="68"/>
      <c r="X1014" s="68"/>
      <c r="Y1014" s="68"/>
      <c r="Z1014" s="978">
        <f>Z744/Z1008</f>
      </c>
      <c r="AA1014" s="68"/>
      <c r="AB1014" s="68"/>
      <c r="AC1014" s="68"/>
      <c r="AD1014" s="68"/>
      <c r="AE1014" s="978">
        <f>AE744/AE1008</f>
      </c>
      <c r="AF1014" s="68"/>
      <c r="AG1014" s="68"/>
      <c r="AH1014" s="68"/>
      <c r="AI1014" s="68"/>
      <c r="AJ1014" s="978">
        <f>AJ744/AJ1008</f>
      </c>
      <c r="AK1014" s="68"/>
      <c r="AL1014" s="68"/>
      <c r="AM1014" s="68"/>
      <c r="AN1014" s="68"/>
      <c r="AO1014" s="978">
        <f>AO744/AO1008</f>
      </c>
      <c r="AP1014" s="68"/>
      <c r="AQ1014" s="68"/>
      <c r="AR1014" s="68"/>
      <c r="AS1014" s="68"/>
      <c r="AT1014" s="978">
        <f>AT744/AT1008</f>
      </c>
      <c r="AU1014" s="68"/>
      <c r="AV1014" s="68"/>
      <c r="AW1014" s="68"/>
      <c r="AX1014" s="68"/>
      <c r="AY1014" s="978">
        <f>AY744/AY1008</f>
      </c>
      <c r="AZ1014" s="68"/>
      <c r="BA1014" s="68"/>
      <c r="BB1014" s="68"/>
      <c r="BC1014" s="68"/>
      <c r="BD1014" s="978">
        <f>BD744/BD1008</f>
      </c>
      <c r="BE1014" s="68"/>
      <c r="BF1014" s="68"/>
      <c r="BG1014" s="68"/>
      <c r="BH1014" s="68"/>
      <c r="BI1014" s="978">
        <f>BI744/BI1008</f>
      </c>
      <c r="BJ1014" s="68"/>
      <c r="BK1014" s="68"/>
      <c r="BL1014" s="68"/>
      <c r="BM1014" s="68"/>
      <c r="BN1014" s="978">
        <f>BN744/BN1008</f>
      </c>
      <c r="BO1014" s="68"/>
      <c r="BP1014" s="68"/>
      <c r="BQ1014" s="68"/>
      <c r="BR1014" s="68"/>
      <c r="BS1014" s="978">
        <f>BS744/BS1008</f>
      </c>
      <c r="BT1014" s="541"/>
      <c r="BU1014" s="68"/>
      <c r="BV1014" s="68"/>
      <c r="BW1014" s="68"/>
      <c r="BX1014" s="978">
        <f>BX744/BX1008</f>
      </c>
      <c r="BY1014" s="68"/>
      <c r="BZ1014" s="68"/>
      <c r="CA1014" s="68"/>
      <c r="CB1014" s="68"/>
      <c r="CC1014" s="978">
        <f>CC744/CC1008</f>
      </c>
      <c r="CD1014" s="978">
        <f>CD744/CD1008</f>
      </c>
      <c r="CE1014" s="978">
        <f>CE744/CE1008</f>
      </c>
      <c r="CF1014" s="978">
        <f>CF744/CF1008</f>
      </c>
      <c r="CG1014" s="8"/>
    </row>
    <row r="1015" spans="1:85" x14ac:dyDescent="0.3">
      <c r="A1015" s="15" t="str">
        <f>"FCF Yield % to "&amp;MO.ValuationToggle&amp;" Enterprise Value"</f>
      </c>
      <c r="B1015" s="115"/>
      <c r="C1015" s="1002">
        <f>C744/C1009</f>
      </c>
      <c r="D1015" s="1002">
        <f>D744/D1009</f>
      </c>
      <c r="E1015" s="1002">
        <f>E744/E1009</f>
      </c>
      <c r="F1015" s="1002">
        <f>F744/F1009</f>
      </c>
      <c r="G1015" s="68"/>
      <c r="H1015" s="68"/>
      <c r="I1015" s="68"/>
      <c r="J1015" s="68"/>
      <c r="K1015" s="1002">
        <f>K744/K1009</f>
      </c>
      <c r="L1015" s="68"/>
      <c r="M1015" s="68"/>
      <c r="N1015" s="68"/>
      <c r="O1015" s="68"/>
      <c r="P1015" s="1002">
        <f>P744/P1009</f>
      </c>
      <c r="Q1015" s="68"/>
      <c r="R1015" s="68"/>
      <c r="S1015" s="68"/>
      <c r="T1015" s="68"/>
      <c r="U1015" s="1002">
        <f>U744/U1009</f>
      </c>
      <c r="V1015" s="68"/>
      <c r="W1015" s="68"/>
      <c r="X1015" s="68"/>
      <c r="Y1015" s="68"/>
      <c r="Z1015" s="978">
        <f>Z744/Z1009</f>
      </c>
      <c r="AA1015" s="68"/>
      <c r="AB1015" s="68"/>
      <c r="AC1015" s="68"/>
      <c r="AD1015" s="68"/>
      <c r="AE1015" s="978">
        <f>AE744/AE1009</f>
      </c>
      <c r="AF1015" s="68"/>
      <c r="AG1015" s="68"/>
      <c r="AH1015" s="68"/>
      <c r="AI1015" s="68"/>
      <c r="AJ1015" s="978">
        <f>AJ744/AJ1009</f>
      </c>
      <c r="AK1015" s="68"/>
      <c r="AL1015" s="68"/>
      <c r="AM1015" s="68"/>
      <c r="AN1015" s="68"/>
      <c r="AO1015" s="978">
        <f>AO744/AO1009</f>
      </c>
      <c r="AP1015" s="68"/>
      <c r="AQ1015" s="68"/>
      <c r="AR1015" s="68"/>
      <c r="AS1015" s="68"/>
      <c r="AT1015" s="978">
        <f>AT744/AT1009</f>
      </c>
      <c r="AU1015" s="68"/>
      <c r="AV1015" s="68"/>
      <c r="AW1015" s="68"/>
      <c r="AX1015" s="68"/>
      <c r="AY1015" s="978">
        <f>AY744/AY1009</f>
      </c>
      <c r="AZ1015" s="68"/>
      <c r="BA1015" s="68"/>
      <c r="BB1015" s="68"/>
      <c r="BC1015" s="68"/>
      <c r="BD1015" s="978">
        <f>BD744/BD1009</f>
      </c>
      <c r="BE1015" s="68"/>
      <c r="BF1015" s="68"/>
      <c r="BG1015" s="68"/>
      <c r="BH1015" s="68"/>
      <c r="BI1015" s="978">
        <f>BI744/BI1009</f>
      </c>
      <c r="BJ1015" s="68"/>
      <c r="BK1015" s="68"/>
      <c r="BL1015" s="68"/>
      <c r="BM1015" s="68"/>
      <c r="BN1015" s="978">
        <f>BN744/BN1009</f>
      </c>
      <c r="BO1015" s="68"/>
      <c r="BP1015" s="68"/>
      <c r="BQ1015" s="68"/>
      <c r="BR1015" s="68"/>
      <c r="BS1015" s="978">
        <f>BS744/BS1009</f>
      </c>
      <c r="BT1015" s="541"/>
      <c r="BU1015" s="68"/>
      <c r="BV1015" s="68"/>
      <c r="BW1015" s="68"/>
      <c r="BX1015" s="978">
        <f>BX744/BX1009</f>
      </c>
      <c r="BY1015" s="68"/>
      <c r="BZ1015" s="68"/>
      <c r="CA1015" s="68"/>
      <c r="CB1015" s="68"/>
      <c r="CC1015" s="978">
        <f>CC744/CC1009</f>
      </c>
      <c r="CD1015" s="978">
        <f>CD744/CD1009</f>
      </c>
      <c r="CE1015" s="978">
        <f>CE744/CE1009</f>
      </c>
      <c r="CF1015" s="978">
        <f>CF744/CF1009</f>
      </c>
      <c r="CG1015" s="8"/>
    </row>
    <row r="1016" spans="1:85" hidden="1" outlineLevel="1" x14ac:dyDescent="0.3">
      <c r="A1016" s="278"/>
      <c r="B1016" s="115"/>
      <c r="C1016" s="978"/>
      <c r="D1016" s="978"/>
      <c r="E1016" s="978"/>
      <c r="F1016" s="978"/>
      <c r="G1016" s="68"/>
      <c r="H1016" s="68"/>
      <c r="I1016" s="68"/>
      <c r="J1016" s="68"/>
      <c r="K1016" s="978"/>
      <c r="L1016" s="68"/>
      <c r="M1016" s="68"/>
      <c r="N1016" s="68"/>
      <c r="O1016" s="68"/>
      <c r="P1016" s="978"/>
      <c r="Q1016" s="68"/>
      <c r="R1016" s="68"/>
      <c r="S1016" s="68"/>
      <c r="T1016" s="68"/>
      <c r="U1016" s="978"/>
      <c r="V1016" s="68"/>
      <c r="W1016" s="68"/>
      <c r="X1016" s="68"/>
      <c r="Y1016" s="68"/>
      <c r="Z1016" s="978"/>
      <c r="AA1016" s="68"/>
      <c r="AB1016" s="68"/>
      <c r="AC1016" s="68"/>
      <c r="AD1016" s="68"/>
      <c r="AE1016" s="978"/>
      <c r="AF1016" s="68"/>
      <c r="AG1016" s="68"/>
      <c r="AH1016" s="68"/>
      <c r="AI1016" s="68"/>
      <c r="AJ1016" s="978"/>
      <c r="AK1016" s="68"/>
      <c r="AL1016" s="68"/>
      <c r="AM1016" s="68"/>
      <c r="AN1016" s="68"/>
      <c r="AO1016" s="978"/>
      <c r="AP1016" s="68"/>
      <c r="AQ1016" s="68"/>
      <c r="AR1016" s="68"/>
      <c r="AS1016" s="68"/>
      <c r="AT1016" s="978"/>
      <c r="AU1016" s="68"/>
      <c r="AV1016" s="68"/>
      <c r="AW1016" s="68"/>
      <c r="AX1016" s="68"/>
      <c r="AY1016" s="978"/>
      <c r="AZ1016" s="68"/>
      <c r="BA1016" s="68"/>
      <c r="BB1016" s="68"/>
      <c r="BC1016" s="68"/>
      <c r="BD1016" s="978"/>
      <c r="BE1016" s="68"/>
      <c r="BF1016" s="68"/>
      <c r="BG1016" s="68"/>
      <c r="BH1016" s="68"/>
      <c r="BI1016" s="978"/>
      <c r="BJ1016" s="68"/>
      <c r="BK1016" s="68"/>
      <c r="BL1016" s="68"/>
      <c r="BM1016" s="68"/>
      <c r="BN1016" s="978"/>
      <c r="BO1016" s="68"/>
      <c r="BP1016" s="68"/>
      <c r="BQ1016" s="68"/>
      <c r="BR1016" s="68"/>
      <c r="BS1016" s="978"/>
      <c r="BT1016" s="541"/>
      <c r="BU1016" s="68"/>
      <c r="BV1016" s="68"/>
      <c r="BW1016" s="68"/>
      <c r="BX1016" s="978"/>
      <c r="BY1016" s="68"/>
      <c r="BZ1016" s="68"/>
      <c r="CA1016" s="68"/>
      <c r="CB1016" s="68"/>
      <c r="CC1016" s="978"/>
      <c r="CD1016" s="978"/>
      <c r="CE1016" s="978"/>
      <c r="CF1016" s="978"/>
      <c r="CG1016" s="8"/>
    </row>
    <row r="1017" spans="1:85" hidden="1" outlineLevel="1" x14ac:dyDescent="0.3">
      <c r="A1017" s="150" t="str">
        <f>"Stock High, "&amp;HP.TradeCurrency</f>
      </c>
      <c r="B1017" s="279"/>
      <c r="C1017" s="1072">
        <f t="shared" ref="C1017:AH1017" si="2275">IF(INDEX(MO_SNA_IsHistoricalPeriod,1,COLUMN())=FALSE,0,INDEX(MO_SPT_StockHigh,1,COLUMN()))</f>
      </c>
      <c r="D1017" s="1072">
        <f t="shared" si="2275"/>
      </c>
      <c r="E1017" s="1072">
        <f t="shared" si="2275"/>
      </c>
      <c r="F1017" s="1072">
        <f t="shared" si="2275"/>
      </c>
      <c r="G1017" s="625">
        <f t="shared" si="2275"/>
      </c>
      <c r="H1017" s="625">
        <f t="shared" si="2275"/>
      </c>
      <c r="I1017" s="625">
        <f t="shared" si="2275"/>
      </c>
      <c r="J1017" s="625">
        <f t="shared" si="2275"/>
      </c>
      <c r="K1017" s="1072">
        <f t="shared" si="2275"/>
      </c>
      <c r="L1017" s="625">
        <f t="shared" si="2275"/>
      </c>
      <c r="M1017" s="625">
        <f t="shared" si="2275"/>
      </c>
      <c r="N1017" s="625">
        <f t="shared" si="2275"/>
      </c>
      <c r="O1017" s="625">
        <f t="shared" si="2275"/>
      </c>
      <c r="P1017" s="1072">
        <f t="shared" si="2275"/>
      </c>
      <c r="Q1017" s="625">
        <f t="shared" si="2275"/>
      </c>
      <c r="R1017" s="625">
        <f t="shared" si="2275"/>
      </c>
      <c r="S1017" s="625">
        <f t="shared" si="2275"/>
      </c>
      <c r="T1017" s="625">
        <f t="shared" si="2275"/>
      </c>
      <c r="U1017" s="1072">
        <f t="shared" si="2275"/>
      </c>
      <c r="V1017" s="625">
        <f t="shared" si="2275"/>
      </c>
      <c r="W1017" s="625">
        <f t="shared" si="2275"/>
      </c>
      <c r="X1017" s="625">
        <f t="shared" si="2275"/>
      </c>
      <c r="Y1017" s="625">
        <f t="shared" si="2275"/>
      </c>
      <c r="Z1017" s="1073">
        <f t="shared" si="2275"/>
      </c>
      <c r="AA1017" s="625">
        <f t="shared" si="2275"/>
      </c>
      <c r="AB1017" s="625">
        <f t="shared" si="2275"/>
      </c>
      <c r="AC1017" s="625">
        <f t="shared" si="2275"/>
      </c>
      <c r="AD1017" s="625">
        <f t="shared" si="2275"/>
      </c>
      <c r="AE1017" s="1073">
        <f t="shared" si="2275"/>
      </c>
      <c r="AF1017" s="625">
        <f t="shared" si="2275"/>
      </c>
      <c r="AG1017" s="625">
        <f t="shared" si="2275"/>
      </c>
      <c r="AH1017" s="625">
        <f t="shared" si="2275"/>
      </c>
      <c r="AI1017" s="625">
        <f t="shared" ref="AI1017:AU1017" si="2276">IF(INDEX(MO_SNA_IsHistoricalPeriod,1,COLUMN())=FALSE,0,INDEX(MO_SPT_StockHigh,1,COLUMN()))</f>
      </c>
      <c r="AJ1017" s="1073">
        <f t="shared" si="2276"/>
      </c>
      <c r="AK1017" s="625">
        <f t="shared" si="2276"/>
      </c>
      <c r="AL1017" s="625">
        <f t="shared" si="2276"/>
      </c>
      <c r="AM1017" s="625">
        <f t="shared" si="2276"/>
      </c>
      <c r="AN1017" s="625">
        <f t="shared" si="2276"/>
      </c>
      <c r="AO1017" s="1073">
        <f t="shared" si="2276"/>
      </c>
      <c r="AP1017" s="625">
        <f t="shared" si="2276"/>
      </c>
      <c r="AQ1017" s="625">
        <f t="shared" si="2276"/>
      </c>
      <c r="AR1017" s="625">
        <f>IF(INDEX(MO_SNA_IsHistoricalPeriod,1,COLUMN())=FALSE,0,INDEX(MO_SPT_StockHigh,1,COLUMN()))</f>
      </c>
      <c r="AS1017" s="625">
        <f>IF(INDEX(MO_SNA_IsHistoricalPeriod,1,COLUMN())=FALSE,0,INDEX(MO_SPT_StockHigh,1,COLUMN()))</f>
      </c>
      <c r="AT1017" s="1073">
        <f>IF(INDEX(MO_SNA_IsHistoricalPeriod,1,COLUMN())=FALSE,0,INDEX(MO_SPT_StockHigh,1,COLUMN()))</f>
      </c>
      <c r="AU1017" s="625">
        <f t="shared" si="2276"/>
      </c>
      <c r="AV1017" s="625">
        <f>IF(INDEX(MO_SNA_IsHistoricalPeriod,1,COLUMN())=FALSE,0,INDEX(MO_SPT_StockHigh,1,COLUMN()))</f>
      </c>
      <c r="AW1017" s="625">
        <f>IF(INDEX(MO_SNA_IsHistoricalPeriod,1,COLUMN())=FALSE,0,INDEX(MO_SPT_StockHigh,1,COLUMN()))</f>
      </c>
      <c r="AX1017" s="625">
        <f>IF(INDEX(MO_SNA_IsHistoricalPeriod,1,COLUMN())=FALSE,0,INDEX(MO_SPT_StockHigh,1,COLUMN()))</f>
      </c>
      <c r="AY1017" s="1073">
        <f>IF(INDEX(MO_SNA_IsHistoricalPeriod,1,COLUMN())=FALSE,0,INDEX(MO_SPT_StockHigh,1,COLUMN()))</f>
      </c>
      <c r="AZ1017" s="625">
        <f>IF(INDEX(MO_SNA_IsHistoricalPeriod,1,COLUMN())=FALSE,0,INDEX(MO_SPT_StockHigh,1,COLUMN()))</f>
      </c>
      <c r="BA1017" s="625">
        <f t="shared" ref="BA1017:BB1017" si="2277">IF(INDEX(MO_SNA_IsHistoricalPeriod,1,COLUMN())=FALSE,0,INDEX(MO_SPT_StockHigh,1,COLUMN()))</f>
      </c>
      <c r="BB1017" s="625">
        <f t="shared" si="2277"/>
      </c>
      <c r="BC1017" s="625">
        <f t="shared" ref="BC1017:BD1017" si="2278">IF(INDEX(MO_SNA_IsHistoricalPeriod,1,COLUMN())=FALSE,0,INDEX(MO_SPT_StockHigh,1,COLUMN()))</f>
      </c>
      <c r="BD1017" s="1073">
        <f t="shared" si="2278"/>
      </c>
      <c r="BE1017" s="625">
        <f t="shared" ref="BE1017:BI1017" si="2279">IF(INDEX(MO_SNA_IsHistoricalPeriod,1,COLUMN())=FALSE,0,INDEX(MO_SPT_StockHigh,1,COLUMN()))</f>
      </c>
      <c r="BF1017" s="625">
        <f t="shared" si="2279"/>
      </c>
      <c r="BG1017" s="625">
        <f t="shared" si="2279"/>
      </c>
      <c r="BH1017" s="625">
        <f t="shared" si="2279"/>
      </c>
      <c r="BI1017" s="1073">
        <f t="shared" si="2279"/>
      </c>
      <c r="BJ1017" s="625">
        <f t="shared" ref="BJ1017:BX1017" si="2280">IF(INDEX(MO_SNA_IsHistoricalPeriod,1,COLUMN())=FALSE,0,INDEX(MO_SPT_StockHigh,1,COLUMN()))</f>
      </c>
      <c r="BK1017" s="625">
        <f t="shared" si="2280"/>
      </c>
      <c r="BL1017" s="625">
        <f t="shared" si="2280"/>
      </c>
      <c r="BM1017" s="625">
        <f t="shared" si="2280"/>
      </c>
      <c r="BN1017" s="1073">
        <f t="shared" si="2280"/>
      </c>
      <c r="BO1017" s="625">
        <f t="shared" ref="BO1017:BW1017" si="2281">IF(INDEX(MO_SNA_IsHistoricalPeriod,1,COLUMN())=FALSE,0,INDEX(MO_SPT_StockHigh,1,COLUMN()))</f>
      </c>
      <c r="BP1017" s="625">
        <f t="shared" si="2281"/>
      </c>
      <c r="BQ1017" s="625">
        <f t="shared" si="2281"/>
      </c>
      <c r="BR1017" s="625">
        <f t="shared" si="2281"/>
      </c>
      <c r="BS1017" s="1073">
        <f t="shared" si="2281"/>
      </c>
      <c r="BT1017" s="717">
        <f>IF(INDEX(MO_SNA_IsHistoricalPeriod,1,COLUMN())=FALSE,0,INDEX(MO_SPT_StockHigh,1,COLUMN()))</f>
      </c>
      <c r="BU1017" s="463">
        <f t="shared" si="2281"/>
      </c>
      <c r="BV1017" s="463">
        <f t="shared" si="2281"/>
      </c>
      <c r="BW1017" s="463">
        <f t="shared" si="2281"/>
      </c>
      <c r="BX1017" s="1073">
        <f t="shared" si="2280"/>
      </c>
      <c r="BY1017" s="463">
        <f t="shared" ref="BY1017:CF1017" si="2282">IF(INDEX(MO_SNA_IsHistoricalPeriod,1,COLUMN())=FALSE,0,INDEX(MO_SPT_StockHigh,1,COLUMN()))</f>
      </c>
      <c r="BZ1017" s="463">
        <f t="shared" si="2282"/>
      </c>
      <c r="CA1017" s="463">
        <f t="shared" si="2282"/>
      </c>
      <c r="CB1017" s="463">
        <f t="shared" si="2282"/>
      </c>
      <c r="CC1017" s="1073">
        <f t="shared" si="2282"/>
      </c>
      <c r="CD1017" s="1073">
        <f t="shared" si="2282"/>
      </c>
      <c r="CE1017" s="1073">
        <f t="shared" si="2282"/>
      </c>
      <c r="CF1017" s="1073">
        <f t="shared" si="2282"/>
      </c>
      <c r="CG1017" s="128"/>
    </row>
    <row r="1018" spans="1:85" hidden="1" outlineLevel="1" x14ac:dyDescent="0.3">
      <c r="A1018" s="150" t="str">
        <f>"Stock Low, "&amp;HP.TradeCurrency</f>
      </c>
      <c r="B1018" s="279"/>
      <c r="C1018" s="1072">
        <f t="shared" ref="C1018:AH1018" si="2283">IF(INDEX(MO_SNA_IsHistoricalPeriod,1,COLUMN())=FALSE,0,INDEX(MO_SPT_StockLow,1,COLUMN()))</f>
      </c>
      <c r="D1018" s="1072">
        <f t="shared" si="2283"/>
      </c>
      <c r="E1018" s="1072">
        <f t="shared" si="2283"/>
      </c>
      <c r="F1018" s="1072">
        <f t="shared" si="2283"/>
      </c>
      <c r="G1018" s="625">
        <f t="shared" si="2283"/>
      </c>
      <c r="H1018" s="625">
        <f t="shared" si="2283"/>
      </c>
      <c r="I1018" s="625">
        <f t="shared" si="2283"/>
      </c>
      <c r="J1018" s="625">
        <f t="shared" si="2283"/>
      </c>
      <c r="K1018" s="1072">
        <f t="shared" si="2283"/>
      </c>
      <c r="L1018" s="625">
        <f t="shared" si="2283"/>
      </c>
      <c r="M1018" s="625">
        <f t="shared" si="2283"/>
      </c>
      <c r="N1018" s="625">
        <f t="shared" si="2283"/>
      </c>
      <c r="O1018" s="625">
        <f t="shared" si="2283"/>
      </c>
      <c r="P1018" s="1072">
        <f t="shared" si="2283"/>
      </c>
      <c r="Q1018" s="625">
        <f t="shared" si="2283"/>
      </c>
      <c r="R1018" s="625">
        <f t="shared" si="2283"/>
      </c>
      <c r="S1018" s="625">
        <f t="shared" si="2283"/>
      </c>
      <c r="T1018" s="625">
        <f t="shared" si="2283"/>
      </c>
      <c r="U1018" s="1072">
        <f t="shared" si="2283"/>
      </c>
      <c r="V1018" s="625">
        <f t="shared" si="2283"/>
      </c>
      <c r="W1018" s="625">
        <f t="shared" si="2283"/>
      </c>
      <c r="X1018" s="625">
        <f t="shared" si="2283"/>
      </c>
      <c r="Y1018" s="625">
        <f t="shared" si="2283"/>
      </c>
      <c r="Z1018" s="1073">
        <f t="shared" si="2283"/>
      </c>
      <c r="AA1018" s="625">
        <f t="shared" si="2283"/>
      </c>
      <c r="AB1018" s="625">
        <f t="shared" si="2283"/>
      </c>
      <c r="AC1018" s="625">
        <f t="shared" si="2283"/>
      </c>
      <c r="AD1018" s="625">
        <f t="shared" si="2283"/>
      </c>
      <c r="AE1018" s="1073">
        <f t="shared" si="2283"/>
      </c>
      <c r="AF1018" s="625">
        <f t="shared" si="2283"/>
      </c>
      <c r="AG1018" s="625">
        <f t="shared" si="2283"/>
      </c>
      <c r="AH1018" s="625">
        <f t="shared" si="2283"/>
      </c>
      <c r="AI1018" s="625">
        <f t="shared" ref="AI1018:AU1018" si="2284">IF(INDEX(MO_SNA_IsHistoricalPeriod,1,COLUMN())=FALSE,0,INDEX(MO_SPT_StockLow,1,COLUMN()))</f>
      </c>
      <c r="AJ1018" s="1073">
        <f t="shared" si="2284"/>
      </c>
      <c r="AK1018" s="625">
        <f t="shared" si="2284"/>
      </c>
      <c r="AL1018" s="625">
        <f t="shared" si="2284"/>
      </c>
      <c r="AM1018" s="625">
        <f t="shared" si="2284"/>
      </c>
      <c r="AN1018" s="625">
        <f t="shared" si="2284"/>
      </c>
      <c r="AO1018" s="1073">
        <f t="shared" si="2284"/>
      </c>
      <c r="AP1018" s="625">
        <f t="shared" si="2284"/>
      </c>
      <c r="AQ1018" s="625">
        <f t="shared" si="2284"/>
      </c>
      <c r="AR1018" s="625">
        <f>IF(INDEX(MO_SNA_IsHistoricalPeriod,1,COLUMN())=FALSE,0,INDEX(MO_SPT_StockLow,1,COLUMN()))</f>
      </c>
      <c r="AS1018" s="625">
        <f>IF(INDEX(MO_SNA_IsHistoricalPeriod,1,COLUMN())=FALSE,0,INDEX(MO_SPT_StockLow,1,COLUMN()))</f>
      </c>
      <c r="AT1018" s="1073">
        <f>IF(INDEX(MO_SNA_IsHistoricalPeriod,1,COLUMN())=FALSE,0,INDEX(MO_SPT_StockLow,1,COLUMN()))</f>
      </c>
      <c r="AU1018" s="625">
        <f t="shared" si="2284"/>
      </c>
      <c r="AV1018" s="625">
        <f>IF(INDEX(MO_SNA_IsHistoricalPeriod,1,COLUMN())=FALSE,0,INDEX(MO_SPT_StockLow,1,COLUMN()))</f>
      </c>
      <c r="AW1018" s="625">
        <f>IF(INDEX(MO_SNA_IsHistoricalPeriod,1,COLUMN())=FALSE,0,INDEX(MO_SPT_StockLow,1,COLUMN()))</f>
      </c>
      <c r="AX1018" s="625">
        <f>IF(INDEX(MO_SNA_IsHistoricalPeriod,1,COLUMN())=FALSE,0,INDEX(MO_SPT_StockLow,1,COLUMN()))</f>
      </c>
      <c r="AY1018" s="1073">
        <f>IF(INDEX(MO_SNA_IsHistoricalPeriod,1,COLUMN())=FALSE,0,INDEX(MO_SPT_StockLow,1,COLUMN()))</f>
      </c>
      <c r="AZ1018" s="625">
        <f>IF(INDEX(MO_SNA_IsHistoricalPeriod,1,COLUMN())=FALSE,0,INDEX(MO_SPT_StockLow,1,COLUMN()))</f>
      </c>
      <c r="BA1018" s="625">
        <f t="shared" ref="BA1018:BB1018" si="2285">IF(INDEX(MO_SNA_IsHistoricalPeriod,1,COLUMN())=FALSE,0,INDEX(MO_SPT_StockLow,1,COLUMN()))</f>
      </c>
      <c r="BB1018" s="625">
        <f t="shared" si="2285"/>
      </c>
      <c r="BC1018" s="625">
        <f t="shared" ref="BC1018:BD1018" si="2286">IF(INDEX(MO_SNA_IsHistoricalPeriod,1,COLUMN())=FALSE,0,INDEX(MO_SPT_StockLow,1,COLUMN()))</f>
      </c>
      <c r="BD1018" s="1073">
        <f t="shared" si="2286"/>
      </c>
      <c r="BE1018" s="625">
        <f t="shared" ref="BE1018:BI1018" si="2287">IF(INDEX(MO_SNA_IsHistoricalPeriod,1,COLUMN())=FALSE,0,INDEX(MO_SPT_StockLow,1,COLUMN()))</f>
      </c>
      <c r="BF1018" s="625">
        <f t="shared" si="2287"/>
      </c>
      <c r="BG1018" s="625">
        <f t="shared" si="2287"/>
      </c>
      <c r="BH1018" s="625">
        <f t="shared" si="2287"/>
      </c>
      <c r="BI1018" s="1073">
        <f t="shared" si="2287"/>
      </c>
      <c r="BJ1018" s="625">
        <f t="shared" ref="BJ1018:BX1018" si="2288">IF(INDEX(MO_SNA_IsHistoricalPeriod,1,COLUMN())=FALSE,0,INDEX(MO_SPT_StockLow,1,COLUMN()))</f>
      </c>
      <c r="BK1018" s="625">
        <f t="shared" si="2288"/>
      </c>
      <c r="BL1018" s="625">
        <f t="shared" si="2288"/>
      </c>
      <c r="BM1018" s="625">
        <f t="shared" si="2288"/>
      </c>
      <c r="BN1018" s="1073">
        <f t="shared" si="2288"/>
      </c>
      <c r="BO1018" s="625">
        <f t="shared" ref="BO1018:BW1018" si="2289">IF(INDEX(MO_SNA_IsHistoricalPeriod,1,COLUMN())=FALSE,0,INDEX(MO_SPT_StockLow,1,COLUMN()))</f>
      </c>
      <c r="BP1018" s="625">
        <f t="shared" si="2289"/>
      </c>
      <c r="BQ1018" s="625">
        <f t="shared" si="2289"/>
      </c>
      <c r="BR1018" s="625">
        <f t="shared" si="2289"/>
      </c>
      <c r="BS1018" s="1073">
        <f t="shared" si="2289"/>
      </c>
      <c r="BT1018" s="717">
        <f>IF(INDEX(MO_SNA_IsHistoricalPeriod,1,COLUMN())=FALSE,0,INDEX(MO_SPT_StockLow,1,COLUMN()))</f>
      </c>
      <c r="BU1018" s="463">
        <f t="shared" si="2289"/>
      </c>
      <c r="BV1018" s="463">
        <f t="shared" si="2289"/>
      </c>
      <c r="BW1018" s="463">
        <f t="shared" si="2289"/>
      </c>
      <c r="BX1018" s="1073">
        <f t="shared" si="2288"/>
      </c>
      <c r="BY1018" s="463">
        <f t="shared" ref="BY1018:CF1018" si="2290">IF(INDEX(MO_SNA_IsHistoricalPeriod,1,COLUMN())=FALSE,0,INDEX(MO_SPT_StockLow,1,COLUMN()))</f>
      </c>
      <c r="BZ1018" s="463">
        <f t="shared" si="2290"/>
      </c>
      <c r="CA1018" s="463">
        <f t="shared" si="2290"/>
      </c>
      <c r="CB1018" s="463">
        <f t="shared" si="2290"/>
      </c>
      <c r="CC1018" s="1073">
        <f t="shared" si="2290"/>
      </c>
      <c r="CD1018" s="1073">
        <f t="shared" si="2290"/>
      </c>
      <c r="CE1018" s="1073">
        <f t="shared" si="2290"/>
      </c>
      <c r="CF1018" s="1073">
        <f t="shared" si="2290"/>
      </c>
      <c r="CG1018" s="128"/>
    </row>
    <row r="1019" spans="1:85" hidden="1" outlineLevel="1" x14ac:dyDescent="0.3">
      <c r="A1019" s="150" t="str">
        <f>"Stock Average, "&amp;HP.TradeCurrency</f>
      </c>
      <c r="B1019" s="279"/>
      <c r="C1019" s="1072">
        <f t="shared" ref="C1019:AH1019" si="2291">IF(INDEX(MO_SNA_IsHistoricalPeriod,1,COLUMN())=FALSE,0,INDEX(MO_SPT_StockAverage,1,COLUMN()))</f>
      </c>
      <c r="D1019" s="1072">
        <f t="shared" si="2291"/>
      </c>
      <c r="E1019" s="1072">
        <f t="shared" si="2291"/>
      </c>
      <c r="F1019" s="1072">
        <f t="shared" si="2291"/>
      </c>
      <c r="G1019" s="625">
        <f t="shared" si="2291"/>
      </c>
      <c r="H1019" s="625">
        <f t="shared" si="2291"/>
      </c>
      <c r="I1019" s="625">
        <f t="shared" si="2291"/>
      </c>
      <c r="J1019" s="625">
        <f t="shared" si="2291"/>
      </c>
      <c r="K1019" s="1072">
        <f t="shared" si="2291"/>
      </c>
      <c r="L1019" s="625">
        <f t="shared" si="2291"/>
      </c>
      <c r="M1019" s="625">
        <f t="shared" si="2291"/>
      </c>
      <c r="N1019" s="625">
        <f t="shared" si="2291"/>
      </c>
      <c r="O1019" s="625">
        <f t="shared" si="2291"/>
      </c>
      <c r="P1019" s="1072">
        <f t="shared" si="2291"/>
      </c>
      <c r="Q1019" s="625">
        <f t="shared" si="2291"/>
      </c>
      <c r="R1019" s="625">
        <f t="shared" si="2291"/>
      </c>
      <c r="S1019" s="625">
        <f t="shared" si="2291"/>
      </c>
      <c r="T1019" s="625">
        <f t="shared" si="2291"/>
      </c>
      <c r="U1019" s="1072">
        <f t="shared" si="2291"/>
      </c>
      <c r="V1019" s="625">
        <f t="shared" si="2291"/>
      </c>
      <c r="W1019" s="625">
        <f t="shared" si="2291"/>
      </c>
      <c r="X1019" s="625">
        <f t="shared" si="2291"/>
      </c>
      <c r="Y1019" s="625">
        <f t="shared" si="2291"/>
      </c>
      <c r="Z1019" s="1073">
        <f t="shared" si="2291"/>
      </c>
      <c r="AA1019" s="625">
        <f t="shared" si="2291"/>
      </c>
      <c r="AB1019" s="625">
        <f t="shared" si="2291"/>
      </c>
      <c r="AC1019" s="625">
        <f t="shared" si="2291"/>
      </c>
      <c r="AD1019" s="625">
        <f t="shared" si="2291"/>
      </c>
      <c r="AE1019" s="1073">
        <f t="shared" si="2291"/>
      </c>
      <c r="AF1019" s="625">
        <f t="shared" si="2291"/>
      </c>
      <c r="AG1019" s="625">
        <f t="shared" si="2291"/>
      </c>
      <c r="AH1019" s="625">
        <f t="shared" si="2291"/>
      </c>
      <c r="AI1019" s="625">
        <f t="shared" ref="AI1019:AU1019" si="2292">IF(INDEX(MO_SNA_IsHistoricalPeriod,1,COLUMN())=FALSE,0,INDEX(MO_SPT_StockAverage,1,COLUMN()))</f>
      </c>
      <c r="AJ1019" s="1073">
        <f t="shared" si="2292"/>
      </c>
      <c r="AK1019" s="625">
        <f t="shared" si="2292"/>
      </c>
      <c r="AL1019" s="625">
        <f t="shared" si="2292"/>
      </c>
      <c r="AM1019" s="625">
        <f t="shared" si="2292"/>
      </c>
      <c r="AN1019" s="625">
        <f t="shared" si="2292"/>
      </c>
      <c r="AO1019" s="1073">
        <f t="shared" si="2292"/>
      </c>
      <c r="AP1019" s="625">
        <f t="shared" si="2292"/>
      </c>
      <c r="AQ1019" s="625">
        <f t="shared" si="2292"/>
      </c>
      <c r="AR1019" s="625">
        <f>IF(INDEX(MO_SNA_IsHistoricalPeriod,1,COLUMN())=FALSE,0,INDEX(MO_SPT_StockAverage,1,COLUMN()))</f>
      </c>
      <c r="AS1019" s="625">
        <f>IF(INDEX(MO_SNA_IsHistoricalPeriod,1,COLUMN())=FALSE,0,INDEX(MO_SPT_StockAverage,1,COLUMN()))</f>
      </c>
      <c r="AT1019" s="1073">
        <f>IF(INDEX(MO_SNA_IsHistoricalPeriod,1,COLUMN())=FALSE,0,INDEX(MO_SPT_StockAverage,1,COLUMN()))</f>
      </c>
      <c r="AU1019" s="625">
        <f t="shared" si="2292"/>
      </c>
      <c r="AV1019" s="625">
        <f>IF(INDEX(MO_SNA_IsHistoricalPeriod,1,COLUMN())=FALSE,0,INDEX(MO_SPT_StockAverage,1,COLUMN()))</f>
      </c>
      <c r="AW1019" s="625">
        <f>IF(INDEX(MO_SNA_IsHistoricalPeriod,1,COLUMN())=FALSE,0,INDEX(MO_SPT_StockAverage,1,COLUMN()))</f>
      </c>
      <c r="AX1019" s="625">
        <f>IF(INDEX(MO_SNA_IsHistoricalPeriod,1,COLUMN())=FALSE,0,INDEX(MO_SPT_StockAverage,1,COLUMN()))</f>
      </c>
      <c r="AY1019" s="1073">
        <f>IF(INDEX(MO_SNA_IsHistoricalPeriod,1,COLUMN())=FALSE,0,INDEX(MO_SPT_StockAverage,1,COLUMN()))</f>
      </c>
      <c r="AZ1019" s="625">
        <f>IF(INDEX(MO_SNA_IsHistoricalPeriod,1,COLUMN())=FALSE,0,INDEX(MO_SPT_StockAverage,1,COLUMN()))</f>
      </c>
      <c r="BA1019" s="625">
        <f t="shared" ref="BA1019:BB1019" si="2293">IF(INDEX(MO_SNA_IsHistoricalPeriod,1,COLUMN())=FALSE,0,INDEX(MO_SPT_StockAverage,1,COLUMN()))</f>
      </c>
      <c r="BB1019" s="625">
        <f t="shared" si="2293"/>
      </c>
      <c r="BC1019" s="625">
        <f t="shared" ref="BC1019:BD1019" si="2294">IF(INDEX(MO_SNA_IsHistoricalPeriod,1,COLUMN())=FALSE,0,INDEX(MO_SPT_StockAverage,1,COLUMN()))</f>
      </c>
      <c r="BD1019" s="1073">
        <f t="shared" si="2294"/>
      </c>
      <c r="BE1019" s="625">
        <f t="shared" ref="BE1019:BI1019" si="2295">IF(INDEX(MO_SNA_IsHistoricalPeriod,1,COLUMN())=FALSE,0,INDEX(MO_SPT_StockAverage,1,COLUMN()))</f>
      </c>
      <c r="BF1019" s="625">
        <f t="shared" si="2295"/>
      </c>
      <c r="BG1019" s="625">
        <f t="shared" si="2295"/>
      </c>
      <c r="BH1019" s="625">
        <f t="shared" si="2295"/>
      </c>
      <c r="BI1019" s="1073">
        <f t="shared" si="2295"/>
      </c>
      <c r="BJ1019" s="625">
        <f t="shared" ref="BJ1019:BX1019" si="2296">IF(INDEX(MO_SNA_IsHistoricalPeriod,1,COLUMN())=FALSE,0,INDEX(MO_SPT_StockAverage,1,COLUMN()))</f>
      </c>
      <c r="BK1019" s="625">
        <f t="shared" si="2296"/>
      </c>
      <c r="BL1019" s="625">
        <f t="shared" si="2296"/>
      </c>
      <c r="BM1019" s="625">
        <f t="shared" si="2296"/>
      </c>
      <c r="BN1019" s="1073">
        <f t="shared" si="2296"/>
      </c>
      <c r="BO1019" s="625">
        <f t="shared" ref="BO1019:BW1019" si="2297">IF(INDEX(MO_SNA_IsHistoricalPeriod,1,COLUMN())=FALSE,0,INDEX(MO_SPT_StockAverage,1,COLUMN()))</f>
      </c>
      <c r="BP1019" s="625">
        <f t="shared" si="2297"/>
      </c>
      <c r="BQ1019" s="625">
        <f t="shared" si="2297"/>
      </c>
      <c r="BR1019" s="625">
        <f t="shared" si="2297"/>
      </c>
      <c r="BS1019" s="1073">
        <f t="shared" si="2297"/>
      </c>
      <c r="BT1019" s="717">
        <f>IF(INDEX(MO_SNA_IsHistoricalPeriod,1,COLUMN())=FALSE,0,INDEX(MO_SPT_StockAverage,1,COLUMN()))</f>
      </c>
      <c r="BU1019" s="463">
        <f t="shared" si="2297"/>
      </c>
      <c r="BV1019" s="463">
        <f t="shared" si="2297"/>
      </c>
      <c r="BW1019" s="463">
        <f t="shared" si="2297"/>
      </c>
      <c r="BX1019" s="1073">
        <f t="shared" si="2296"/>
      </c>
      <c r="BY1019" s="463">
        <f t="shared" ref="BY1019:CF1019" si="2298">IF(INDEX(MO_SNA_IsHistoricalPeriod,1,COLUMN())=FALSE,0,INDEX(MO_SPT_StockAverage,1,COLUMN()))</f>
      </c>
      <c r="BZ1019" s="463">
        <f t="shared" si="2298"/>
      </c>
      <c r="CA1019" s="463">
        <f t="shared" si="2298"/>
      </c>
      <c r="CB1019" s="463">
        <f t="shared" si="2298"/>
      </c>
      <c r="CC1019" s="1073">
        <f t="shared" si="2298"/>
      </c>
      <c r="CD1019" s="1073">
        <f t="shared" si="2298"/>
      </c>
      <c r="CE1019" s="1073">
        <f t="shared" si="2298"/>
      </c>
      <c r="CF1019" s="1073">
        <f t="shared" si="2298"/>
      </c>
      <c r="CG1019" s="128"/>
    </row>
    <row r="1020" spans="1:85" hidden="1" outlineLevel="1" x14ac:dyDescent="0.3">
      <c r="A1020" s="150" t="str">
        <f>"Stock EoP, "&amp;HP.TradeCurrency</f>
      </c>
      <c r="B1020" s="279"/>
      <c r="C1020" s="1074">
        <f t="shared" ref="C1020:AH1020" si="2299">IF(INDEX(MO_SNA_IsHistoricalPeriod,1,COLUMN())=FALSE,MO.LastPrice,INDEX(MO_SPT_StockEoP,1,COLUMN()))</f>
      </c>
      <c r="D1020" s="1074">
        <f t="shared" si="2299"/>
      </c>
      <c r="E1020" s="1074">
        <f t="shared" si="2299"/>
      </c>
      <c r="F1020" s="1074">
        <f t="shared" si="2299"/>
      </c>
      <c r="G1020" s="626">
        <f t="shared" si="2299"/>
      </c>
      <c r="H1020" s="626">
        <f t="shared" si="2299"/>
      </c>
      <c r="I1020" s="626">
        <f t="shared" si="2299"/>
      </c>
      <c r="J1020" s="626">
        <f t="shared" si="2299"/>
      </c>
      <c r="K1020" s="1074">
        <f t="shared" si="2299"/>
      </c>
      <c r="L1020" s="626">
        <f t="shared" si="2299"/>
      </c>
      <c r="M1020" s="626">
        <f t="shared" si="2299"/>
      </c>
      <c r="N1020" s="626">
        <f t="shared" si="2299"/>
      </c>
      <c r="O1020" s="626">
        <f t="shared" si="2299"/>
      </c>
      <c r="P1020" s="1074">
        <f t="shared" si="2299"/>
      </c>
      <c r="Q1020" s="626">
        <f t="shared" si="2299"/>
      </c>
      <c r="R1020" s="626">
        <f t="shared" si="2299"/>
      </c>
      <c r="S1020" s="626">
        <f t="shared" si="2299"/>
      </c>
      <c r="T1020" s="626">
        <f t="shared" si="2299"/>
      </c>
      <c r="U1020" s="1074">
        <f t="shared" si="2299"/>
      </c>
      <c r="V1020" s="626">
        <f t="shared" si="2299"/>
      </c>
      <c r="W1020" s="626">
        <f t="shared" si="2299"/>
      </c>
      <c r="X1020" s="626">
        <f t="shared" si="2299"/>
      </c>
      <c r="Y1020" s="626">
        <f t="shared" si="2299"/>
      </c>
      <c r="Z1020" s="1075">
        <f t="shared" si="2299"/>
      </c>
      <c r="AA1020" s="626">
        <f t="shared" si="2299"/>
      </c>
      <c r="AB1020" s="626">
        <f t="shared" si="2299"/>
      </c>
      <c r="AC1020" s="626">
        <f t="shared" si="2299"/>
      </c>
      <c r="AD1020" s="626">
        <f t="shared" si="2299"/>
      </c>
      <c r="AE1020" s="1075">
        <f t="shared" si="2299"/>
      </c>
      <c r="AF1020" s="626">
        <f t="shared" si="2299"/>
      </c>
      <c r="AG1020" s="626">
        <f t="shared" si="2299"/>
      </c>
      <c r="AH1020" s="626">
        <f t="shared" si="2299"/>
      </c>
      <c r="AI1020" s="626">
        <f t="shared" ref="AI1020:BB1020" si="2300">IF(INDEX(MO_SNA_IsHistoricalPeriod,1,COLUMN())=FALSE,MO.LastPrice,INDEX(MO_SPT_StockEoP,1,COLUMN()))</f>
      </c>
      <c r="AJ1020" s="1075">
        <f t="shared" si="2300"/>
      </c>
      <c r="AK1020" s="626">
        <f t="shared" si="2300"/>
      </c>
      <c r="AL1020" s="626">
        <f t="shared" si="2300"/>
      </c>
      <c r="AM1020" s="626">
        <f t="shared" si="2300"/>
      </c>
      <c r="AN1020" s="626">
        <f t="shared" si="2300"/>
      </c>
      <c r="AO1020" s="1075">
        <f t="shared" si="2300"/>
      </c>
      <c r="AP1020" s="626">
        <f t="shared" si="2300"/>
      </c>
      <c r="AQ1020" s="626">
        <f t="shared" si="2300"/>
      </c>
      <c r="AR1020" s="626">
        <f t="shared" si="2300"/>
      </c>
      <c r="AS1020" s="626">
        <f t="shared" si="2300"/>
      </c>
      <c r="AT1020" s="1075">
        <f t="shared" si="2300"/>
      </c>
      <c r="AU1020" s="626">
        <f t="shared" si="2300"/>
      </c>
      <c r="AV1020" s="626">
        <f t="shared" si="2300"/>
      </c>
      <c r="AW1020" s="626">
        <f t="shared" si="2300"/>
      </c>
      <c r="AX1020" s="626">
        <f t="shared" si="2300"/>
      </c>
      <c r="AY1020" s="1075">
        <f t="shared" si="2300"/>
      </c>
      <c r="AZ1020" s="626">
        <f t="shared" si="2300"/>
      </c>
      <c r="BA1020" s="626">
        <f t="shared" si="2300"/>
      </c>
      <c r="BB1020" s="626">
        <f t="shared" si="2300"/>
      </c>
      <c r="BC1020" s="626">
        <f t="shared" ref="BC1020:BD1020" si="2301">IF(INDEX(MO_SNA_IsHistoricalPeriod,1,COLUMN())=FALSE,MO.LastPrice,INDEX(MO_SPT_StockEoP,1,COLUMN()))</f>
      </c>
      <c r="BD1020" s="1075">
        <f t="shared" si="2301"/>
      </c>
      <c r="BE1020" s="626">
        <f t="shared" ref="BE1020:BI1020" si="2302">IF(INDEX(MO_SNA_IsHistoricalPeriod,1,COLUMN())=FALSE,MO.LastPrice,INDEX(MO_SPT_StockEoP,1,COLUMN()))</f>
      </c>
      <c r="BF1020" s="626">
        <f t="shared" si="2302"/>
      </c>
      <c r="BG1020" s="626">
        <f t="shared" si="2302"/>
      </c>
      <c r="BH1020" s="626">
        <f t="shared" si="2302"/>
      </c>
      <c r="BI1020" s="1075">
        <f t="shared" si="2302"/>
      </c>
      <c r="BJ1020" s="626">
        <f t="shared" ref="BJ1020:BN1020" si="2303">IF(INDEX(MO_SNA_IsHistoricalPeriod,1,COLUMN())=FALSE,MO.LastPrice,INDEX(MO_SPT_StockEoP,1,COLUMN()))</f>
      </c>
      <c r="BK1020" s="626">
        <f t="shared" si="2303"/>
      </c>
      <c r="BL1020" s="626">
        <f t="shared" si="2303"/>
      </c>
      <c r="BM1020" s="626">
        <f t="shared" si="2303"/>
      </c>
      <c r="BN1020" s="1075">
        <f t="shared" si="2303"/>
      </c>
      <c r="BO1020" s="626">
        <f t="shared" ref="BO1020:CF1020" si="2304">IF(INDEX(MO_SNA_IsHistoricalPeriod,1,COLUMN())=FALSE,MO.LastPrice,INDEX(MO_SPT_StockEoP,1,COLUMN()))</f>
      </c>
      <c r="BP1020" s="626">
        <f t="shared" si="2304"/>
      </c>
      <c r="BQ1020" s="626">
        <f t="shared" si="2304"/>
      </c>
      <c r="BR1020" s="626">
        <f t="shared" si="2304"/>
      </c>
      <c r="BS1020" s="1075">
        <f t="shared" si="2304"/>
      </c>
      <c r="BT1020" s="718">
        <f>IF(INDEX(MO_SNA_IsHistoricalPeriod,1,COLUMN())=FALSE,MO.LastPrice,INDEX(MO_SPT_StockEoP,1,COLUMN()))</f>
      </c>
      <c r="BU1020" s="464">
        <f t="shared" si="2304"/>
      </c>
      <c r="BV1020" s="464">
        <f t="shared" si="2304"/>
      </c>
      <c r="BW1020" s="464">
        <f t="shared" si="2304"/>
      </c>
      <c r="BX1020" s="1075">
        <f t="shared" si="2304"/>
      </c>
      <c r="BY1020" s="464">
        <f t="shared" si="2304"/>
      </c>
      <c r="BZ1020" s="464">
        <f t="shared" si="2304"/>
      </c>
      <c r="CA1020" s="464">
        <f t="shared" si="2304"/>
      </c>
      <c r="CB1020" s="464">
        <f t="shared" si="2304"/>
      </c>
      <c r="CC1020" s="1075">
        <f t="shared" si="2304"/>
      </c>
      <c r="CD1020" s="1075">
        <f t="shared" si="2304"/>
      </c>
      <c r="CE1020" s="1075">
        <f t="shared" si="2304"/>
      </c>
      <c r="CF1020" s="1075">
        <f t="shared" si="2304"/>
      </c>
      <c r="CG1020" s="128"/>
    </row>
    <row r="1021" spans="1:85" hidden="1" outlineLevel="1" x14ac:dyDescent="0.3">
      <c r="A1021" s="151" t="str">
        <f>"Average FX Rate, "&amp;HP.TradeCurrency&amp;"/"&amp;MO.ReportCurrency</f>
      </c>
      <c r="B1021" s="280"/>
      <c r="C1021" s="1076">
        <f t="shared" ref="C1021:AH1021" si="2305">IF(INDEX(MO_SPT_FXAverage,1,COLUMN())=0,1,INDEX(MO_SPT_FXAverage,1,COLUMN()))</f>
      </c>
      <c r="D1021" s="1076">
        <f t="shared" si="2305"/>
      </c>
      <c r="E1021" s="1076">
        <f t="shared" si="2305"/>
      </c>
      <c r="F1021" s="1076">
        <f t="shared" si="2305"/>
      </c>
      <c r="G1021" s="627">
        <f t="shared" si="2305"/>
      </c>
      <c r="H1021" s="627">
        <f t="shared" si="2305"/>
      </c>
      <c r="I1021" s="627">
        <f t="shared" si="2305"/>
      </c>
      <c r="J1021" s="627">
        <f t="shared" si="2305"/>
      </c>
      <c r="K1021" s="1076">
        <f t="shared" si="2305"/>
      </c>
      <c r="L1021" s="627">
        <f t="shared" si="2305"/>
      </c>
      <c r="M1021" s="627">
        <f t="shared" si="2305"/>
      </c>
      <c r="N1021" s="627">
        <f t="shared" si="2305"/>
      </c>
      <c r="O1021" s="627">
        <f t="shared" si="2305"/>
      </c>
      <c r="P1021" s="1076">
        <f t="shared" si="2305"/>
      </c>
      <c r="Q1021" s="627">
        <f t="shared" si="2305"/>
      </c>
      <c r="R1021" s="627">
        <f t="shared" si="2305"/>
      </c>
      <c r="S1021" s="627">
        <f t="shared" si="2305"/>
      </c>
      <c r="T1021" s="627">
        <f t="shared" si="2305"/>
      </c>
      <c r="U1021" s="1076">
        <f t="shared" si="2305"/>
      </c>
      <c r="V1021" s="627">
        <f t="shared" si="2305"/>
      </c>
      <c r="W1021" s="627">
        <f t="shared" si="2305"/>
      </c>
      <c r="X1021" s="627">
        <f t="shared" si="2305"/>
      </c>
      <c r="Y1021" s="627">
        <f t="shared" si="2305"/>
      </c>
      <c r="Z1021" s="1077">
        <f t="shared" si="2305"/>
      </c>
      <c r="AA1021" s="627">
        <f t="shared" si="2305"/>
      </c>
      <c r="AB1021" s="627">
        <f t="shared" si="2305"/>
      </c>
      <c r="AC1021" s="627">
        <f t="shared" si="2305"/>
      </c>
      <c r="AD1021" s="627">
        <f t="shared" si="2305"/>
      </c>
      <c r="AE1021" s="1077">
        <f t="shared" si="2305"/>
      </c>
      <c r="AF1021" s="627">
        <f t="shared" si="2305"/>
      </c>
      <c r="AG1021" s="627">
        <f t="shared" si="2305"/>
      </c>
      <c r="AH1021" s="627">
        <f t="shared" si="2305"/>
      </c>
      <c r="AI1021" s="627">
        <f t="shared" ref="AI1021:AU1021" si="2306">IF(INDEX(MO_SPT_FXAverage,1,COLUMN())=0,1,INDEX(MO_SPT_FXAverage,1,COLUMN()))</f>
      </c>
      <c r="AJ1021" s="1077">
        <f t="shared" si="2306"/>
      </c>
      <c r="AK1021" s="627">
        <f t="shared" si="2306"/>
      </c>
      <c r="AL1021" s="627">
        <f t="shared" si="2306"/>
      </c>
      <c r="AM1021" s="627">
        <f t="shared" si="2306"/>
      </c>
      <c r="AN1021" s="627">
        <f t="shared" si="2306"/>
      </c>
      <c r="AO1021" s="1077">
        <f t="shared" si="2306"/>
      </c>
      <c r="AP1021" s="627">
        <f t="shared" si="2306"/>
      </c>
      <c r="AQ1021" s="627">
        <f t="shared" si="2306"/>
      </c>
      <c r="AR1021" s="627">
        <f>IF(INDEX(MO_SPT_FXAverage,1,COLUMN())=0,1,INDEX(MO_SPT_FXAverage,1,COLUMN()))</f>
      </c>
      <c r="AS1021" s="627">
        <f>IF(INDEX(MO_SPT_FXAverage,1,COLUMN())=0,1,INDEX(MO_SPT_FXAverage,1,COLUMN()))</f>
      </c>
      <c r="AT1021" s="1077">
        <f>IF(INDEX(MO_SPT_FXAverage,1,COLUMN())=0,1,INDEX(MO_SPT_FXAverage,1,COLUMN()))</f>
      </c>
      <c r="AU1021" s="627">
        <f t="shared" si="2306"/>
      </c>
      <c r="AV1021" s="627">
        <f>IF(INDEX(MO_SPT_FXAverage,1,COLUMN())=0,1,INDEX(MO_SPT_FXAverage,1,COLUMN()))</f>
      </c>
      <c r="AW1021" s="627">
        <f>IF(INDEX(MO_SPT_FXAverage,1,COLUMN())=0,1,INDEX(MO_SPT_FXAverage,1,COLUMN()))</f>
      </c>
      <c r="AX1021" s="627">
        <f>IF(INDEX(MO_SPT_FXAverage,1,COLUMN())=0,1,INDEX(MO_SPT_FXAverage,1,COLUMN()))</f>
      </c>
      <c r="AY1021" s="1077">
        <f>IF(INDEX(MO_SPT_FXAverage,1,COLUMN())=0,1,INDEX(MO_SPT_FXAverage,1,COLUMN()))</f>
      </c>
      <c r="AZ1021" s="627">
        <f>IF(INDEX(MO_SPT_FXAverage,1,COLUMN())=0,1,INDEX(MO_SPT_FXAverage,1,COLUMN()))</f>
      </c>
      <c r="BA1021" s="627">
        <f t="shared" ref="BA1021:BB1021" si="2307">IF(INDEX(MO_SPT_FXAverage,1,COLUMN())=0,1,INDEX(MO_SPT_FXAverage,1,COLUMN()))</f>
      </c>
      <c r="BB1021" s="627">
        <f t="shared" si="2307"/>
      </c>
      <c r="BC1021" s="627">
        <f t="shared" ref="BC1021:BD1021" si="2308">IF(INDEX(MO_SPT_FXAverage,1,COLUMN())=0,1,INDEX(MO_SPT_FXAverage,1,COLUMN()))</f>
      </c>
      <c r="BD1021" s="1077">
        <f t="shared" si="2308"/>
      </c>
      <c r="BE1021" s="627">
        <f t="shared" ref="BE1021:BI1021" si="2309">IF(INDEX(MO_SPT_FXAverage,1,COLUMN())=0,1,INDEX(MO_SPT_FXAverage,1,COLUMN()))</f>
      </c>
      <c r="BF1021" s="627">
        <f t="shared" si="2309"/>
      </c>
      <c r="BG1021" s="627">
        <f t="shared" si="2309"/>
      </c>
      <c r="BH1021" s="627">
        <f t="shared" si="2309"/>
      </c>
      <c r="BI1021" s="1077">
        <f t="shared" si="2309"/>
      </c>
      <c r="BJ1021" s="627">
        <f t="shared" ref="BJ1021:BX1021" si="2310">IF(INDEX(MO_SPT_FXAverage,1,COLUMN())=0,1,INDEX(MO_SPT_FXAverage,1,COLUMN()))</f>
      </c>
      <c r="BK1021" s="627">
        <f t="shared" si="2310"/>
      </c>
      <c r="BL1021" s="627">
        <f t="shared" si="2310"/>
      </c>
      <c r="BM1021" s="627">
        <f t="shared" si="2310"/>
      </c>
      <c r="BN1021" s="1077">
        <f t="shared" si="2310"/>
      </c>
      <c r="BO1021" s="627">
        <f t="shared" ref="BO1021:BW1021" si="2311">IF(INDEX(MO_SPT_FXAverage,1,COLUMN())=0,1,INDEX(MO_SPT_FXAverage,1,COLUMN()))</f>
      </c>
      <c r="BP1021" s="627">
        <f t="shared" si="2311"/>
      </c>
      <c r="BQ1021" s="627">
        <f t="shared" si="2311"/>
      </c>
      <c r="BR1021" s="627">
        <f t="shared" si="2311"/>
      </c>
      <c r="BS1021" s="1077">
        <f t="shared" si="2311"/>
      </c>
      <c r="BT1021" s="719">
        <f>IF(INDEX(MO_SPT_FXAverage,1,COLUMN())=0,1,INDEX(MO_SPT_FXAverage,1,COLUMN()))</f>
      </c>
      <c r="BU1021" s="465">
        <f t="shared" si="2311"/>
      </c>
      <c r="BV1021" s="465">
        <f t="shared" si="2311"/>
      </c>
      <c r="BW1021" s="465">
        <f t="shared" si="2311"/>
      </c>
      <c r="BX1021" s="1077">
        <f t="shared" si="2310"/>
      </c>
      <c r="BY1021" s="465">
        <f t="shared" ref="BY1021:CF1021" si="2312">IF(INDEX(MO_SPT_FXAverage,1,COLUMN())=0,1,INDEX(MO_SPT_FXAverage,1,COLUMN()))</f>
      </c>
      <c r="BZ1021" s="465">
        <f t="shared" si="2312"/>
      </c>
      <c r="CA1021" s="465">
        <f t="shared" si="2312"/>
      </c>
      <c r="CB1021" s="465">
        <f t="shared" si="2312"/>
      </c>
      <c r="CC1021" s="1077">
        <f t="shared" si="2312"/>
      </c>
      <c r="CD1021" s="1077">
        <f t="shared" si="2312"/>
      </c>
      <c r="CE1021" s="1077">
        <f t="shared" si="2312"/>
      </c>
      <c r="CF1021" s="1077">
        <f t="shared" si="2312"/>
      </c>
      <c r="CG1021" s="148"/>
    </row>
    <row r="1022" spans="1:85" hidden="1" outlineLevel="1" x14ac:dyDescent="0.3">
      <c r="A1022" s="151" t="str">
        <f>"EoP FX Rate, "&amp;HP.TradeCurrency&amp;"/"&amp;MO.ReportCurrency</f>
      </c>
      <c r="B1022" s="280"/>
      <c r="C1022" s="1076">
        <f t="shared" ref="C1022:AH1022" si="2313">IF(INDEX(MO_SNA_IsHistoricalPeriod,1,COLUMN())=FALSE,HP.MRFX,INDEX(MO_SPT_FXEoP,1,COLUMN()))</f>
      </c>
      <c r="D1022" s="1076">
        <f t="shared" si="2313"/>
      </c>
      <c r="E1022" s="1076">
        <f t="shared" si="2313"/>
      </c>
      <c r="F1022" s="1076">
        <f t="shared" si="2313"/>
      </c>
      <c r="G1022" s="627">
        <f t="shared" si="2313"/>
      </c>
      <c r="H1022" s="627">
        <f t="shared" si="2313"/>
      </c>
      <c r="I1022" s="627">
        <f t="shared" si="2313"/>
      </c>
      <c r="J1022" s="627">
        <f t="shared" si="2313"/>
      </c>
      <c r="K1022" s="1076">
        <f t="shared" si="2313"/>
      </c>
      <c r="L1022" s="627">
        <f t="shared" si="2313"/>
      </c>
      <c r="M1022" s="627">
        <f t="shared" si="2313"/>
      </c>
      <c r="N1022" s="627">
        <f t="shared" si="2313"/>
      </c>
      <c r="O1022" s="627">
        <f t="shared" si="2313"/>
      </c>
      <c r="P1022" s="1076">
        <f t="shared" si="2313"/>
      </c>
      <c r="Q1022" s="627">
        <f t="shared" si="2313"/>
      </c>
      <c r="R1022" s="627">
        <f t="shared" si="2313"/>
      </c>
      <c r="S1022" s="627">
        <f t="shared" si="2313"/>
      </c>
      <c r="T1022" s="627">
        <f t="shared" si="2313"/>
      </c>
      <c r="U1022" s="1076">
        <f t="shared" si="2313"/>
      </c>
      <c r="V1022" s="627">
        <f t="shared" si="2313"/>
      </c>
      <c r="W1022" s="627">
        <f t="shared" si="2313"/>
      </c>
      <c r="X1022" s="627">
        <f t="shared" si="2313"/>
      </c>
      <c r="Y1022" s="627">
        <f t="shared" si="2313"/>
      </c>
      <c r="Z1022" s="1077">
        <f t="shared" si="2313"/>
      </c>
      <c r="AA1022" s="627">
        <f t="shared" si="2313"/>
      </c>
      <c r="AB1022" s="627">
        <f t="shared" si="2313"/>
      </c>
      <c r="AC1022" s="627">
        <f t="shared" si="2313"/>
      </c>
      <c r="AD1022" s="627">
        <f t="shared" si="2313"/>
      </c>
      <c r="AE1022" s="1077">
        <f t="shared" si="2313"/>
      </c>
      <c r="AF1022" s="627">
        <f t="shared" si="2313"/>
      </c>
      <c r="AG1022" s="627">
        <f t="shared" si="2313"/>
      </c>
      <c r="AH1022" s="627">
        <f t="shared" si="2313"/>
      </c>
      <c r="AI1022" s="627">
        <f t="shared" ref="AI1022:BB1022" si="2314">IF(INDEX(MO_SNA_IsHistoricalPeriod,1,COLUMN())=FALSE,HP.MRFX,INDEX(MO_SPT_FXEoP,1,COLUMN()))</f>
      </c>
      <c r="AJ1022" s="1077">
        <f t="shared" si="2314"/>
      </c>
      <c r="AK1022" s="627">
        <f t="shared" si="2314"/>
      </c>
      <c r="AL1022" s="627">
        <f t="shared" si="2314"/>
      </c>
      <c r="AM1022" s="627">
        <f t="shared" si="2314"/>
      </c>
      <c r="AN1022" s="627">
        <f t="shared" si="2314"/>
      </c>
      <c r="AO1022" s="1077">
        <f t="shared" si="2314"/>
      </c>
      <c r="AP1022" s="627">
        <f t="shared" si="2314"/>
      </c>
      <c r="AQ1022" s="627">
        <f t="shared" si="2314"/>
      </c>
      <c r="AR1022" s="627">
        <f t="shared" si="2314"/>
      </c>
      <c r="AS1022" s="627">
        <f t="shared" si="2314"/>
      </c>
      <c r="AT1022" s="1077">
        <f t="shared" si="2314"/>
      </c>
      <c r="AU1022" s="627">
        <f t="shared" si="2314"/>
      </c>
      <c r="AV1022" s="627">
        <f t="shared" si="2314"/>
      </c>
      <c r="AW1022" s="627">
        <f t="shared" si="2314"/>
      </c>
      <c r="AX1022" s="627">
        <f t="shared" si="2314"/>
      </c>
      <c r="AY1022" s="1077">
        <f t="shared" si="2314"/>
      </c>
      <c r="AZ1022" s="627">
        <f t="shared" si="2314"/>
      </c>
      <c r="BA1022" s="627">
        <f t="shared" si="2314"/>
      </c>
      <c r="BB1022" s="627">
        <f t="shared" si="2314"/>
      </c>
      <c r="BC1022" s="627">
        <f t="shared" ref="BC1022:BD1022" si="2315">IF(INDEX(MO_SNA_IsHistoricalPeriod,1,COLUMN())=FALSE,HP.MRFX,INDEX(MO_SPT_FXEoP,1,COLUMN()))</f>
      </c>
      <c r="BD1022" s="1077">
        <f t="shared" si="2315"/>
      </c>
      <c r="BE1022" s="627">
        <f t="shared" ref="BE1022:BI1022" si="2316">IF(INDEX(MO_SNA_IsHistoricalPeriod,1,COLUMN())=FALSE,HP.MRFX,INDEX(MO_SPT_FXEoP,1,COLUMN()))</f>
      </c>
      <c r="BF1022" s="627">
        <f t="shared" si="2316"/>
      </c>
      <c r="BG1022" s="627">
        <f t="shared" si="2316"/>
      </c>
      <c r="BH1022" s="627">
        <f t="shared" si="2316"/>
      </c>
      <c r="BI1022" s="1077">
        <f t="shared" si="2316"/>
      </c>
      <c r="BJ1022" s="627">
        <f t="shared" ref="BJ1022:BN1022" si="2317">IF(INDEX(MO_SNA_IsHistoricalPeriod,1,COLUMN())=FALSE,HP.MRFX,INDEX(MO_SPT_FXEoP,1,COLUMN()))</f>
      </c>
      <c r="BK1022" s="627">
        <f t="shared" si="2317"/>
      </c>
      <c r="BL1022" s="627">
        <f t="shared" si="2317"/>
      </c>
      <c r="BM1022" s="627">
        <f t="shared" si="2317"/>
      </c>
      <c r="BN1022" s="1077">
        <f t="shared" si="2317"/>
      </c>
      <c r="BO1022" s="627">
        <f t="shared" ref="BO1022:CF1022" si="2318">IF(INDEX(MO_SNA_IsHistoricalPeriod,1,COLUMN())=FALSE,HP.MRFX,INDEX(MO_SPT_FXEoP,1,COLUMN()))</f>
      </c>
      <c r="BP1022" s="627">
        <f t="shared" si="2318"/>
      </c>
      <c r="BQ1022" s="627">
        <f t="shared" si="2318"/>
      </c>
      <c r="BR1022" s="627">
        <f t="shared" si="2318"/>
      </c>
      <c r="BS1022" s="1077">
        <f t="shared" si="2318"/>
      </c>
      <c r="BT1022" s="719">
        <f>IF(INDEX(MO_SNA_IsHistoricalPeriod,1,COLUMN())=FALSE,HP.MRFX,INDEX(MO_SPT_FXEoP,1,COLUMN()))</f>
      </c>
      <c r="BU1022" s="465">
        <f t="shared" si="2318"/>
      </c>
      <c r="BV1022" s="465">
        <f t="shared" si="2318"/>
      </c>
      <c r="BW1022" s="465">
        <f t="shared" si="2318"/>
      </c>
      <c r="BX1022" s="1077">
        <f t="shared" si="2318"/>
      </c>
      <c r="BY1022" s="465">
        <f t="shared" si="2318"/>
      </c>
      <c r="BZ1022" s="465">
        <f t="shared" si="2318"/>
      </c>
      <c r="CA1022" s="465">
        <f t="shared" si="2318"/>
      </c>
      <c r="CB1022" s="465">
        <f t="shared" si="2318"/>
      </c>
      <c r="CC1022" s="1077">
        <f t="shared" si="2318"/>
      </c>
      <c r="CD1022" s="1077">
        <f t="shared" si="2318"/>
      </c>
      <c r="CE1022" s="1077">
        <f t="shared" si="2318"/>
      </c>
      <c r="CF1022" s="1077">
        <f t="shared" si="2318"/>
      </c>
      <c r="CG1022" s="148"/>
    </row>
    <row r="1023" spans="1:85" hidden="1" outlineLevel="1" x14ac:dyDescent="0.3">
      <c r="A1023" s="150" t="str">
        <f>"Stock Price (Trading Cur.) - "&amp;MO.ValuationToggle&amp;", "&amp;HP.TradeCurrency</f>
      </c>
      <c r="B1023" s="279"/>
      <c r="C1023" s="1072">
        <f t="shared" ref="C1023:AH1023" si="2319">IF(INDEX(MO_SNA_IsHistoricalPeriod,1,COLUMN())=FALSE,MO.LastPrice,CHOOSE(VLOOKUP(MO.ValuationToggle,tb_ValuationToggle,COLUMNS(tb_ValuationToggle),FALSE),C1017,C1018,C1019,C1020))</f>
      </c>
      <c r="D1023" s="1072">
        <f t="shared" si="2319"/>
      </c>
      <c r="E1023" s="1072">
        <f t="shared" si="2319"/>
      </c>
      <c r="F1023" s="1072">
        <f t="shared" si="2319"/>
      </c>
      <c r="G1023" s="625">
        <f t="shared" si="2319"/>
      </c>
      <c r="H1023" s="625">
        <f t="shared" si="2319"/>
      </c>
      <c r="I1023" s="625">
        <f t="shared" si="2319"/>
      </c>
      <c r="J1023" s="625">
        <f t="shared" si="2319"/>
      </c>
      <c r="K1023" s="1072">
        <f t="shared" si="2319"/>
      </c>
      <c r="L1023" s="625">
        <f t="shared" si="2319"/>
      </c>
      <c r="M1023" s="625">
        <f t="shared" si="2319"/>
      </c>
      <c r="N1023" s="625">
        <f t="shared" si="2319"/>
      </c>
      <c r="O1023" s="625">
        <f t="shared" si="2319"/>
      </c>
      <c r="P1023" s="1072">
        <f t="shared" si="2319"/>
      </c>
      <c r="Q1023" s="625">
        <f t="shared" si="2319"/>
      </c>
      <c r="R1023" s="625">
        <f t="shared" si="2319"/>
      </c>
      <c r="S1023" s="625">
        <f t="shared" si="2319"/>
      </c>
      <c r="T1023" s="625">
        <f t="shared" si="2319"/>
      </c>
      <c r="U1023" s="1072">
        <f t="shared" si="2319"/>
      </c>
      <c r="V1023" s="625">
        <f t="shared" si="2319"/>
      </c>
      <c r="W1023" s="625">
        <f t="shared" si="2319"/>
      </c>
      <c r="X1023" s="625">
        <f t="shared" si="2319"/>
      </c>
      <c r="Y1023" s="625">
        <f t="shared" si="2319"/>
      </c>
      <c r="Z1023" s="1073">
        <f t="shared" si="2319"/>
      </c>
      <c r="AA1023" s="625">
        <f t="shared" si="2319"/>
      </c>
      <c r="AB1023" s="625">
        <f t="shared" si="2319"/>
      </c>
      <c r="AC1023" s="625">
        <f t="shared" si="2319"/>
      </c>
      <c r="AD1023" s="625">
        <f t="shared" si="2319"/>
      </c>
      <c r="AE1023" s="1073">
        <f t="shared" si="2319"/>
      </c>
      <c r="AF1023" s="625">
        <f t="shared" si="2319"/>
      </c>
      <c r="AG1023" s="625">
        <f t="shared" si="2319"/>
      </c>
      <c r="AH1023" s="625">
        <f t="shared" si="2319"/>
      </c>
      <c r="AI1023" s="625">
        <f t="shared" ref="AI1023:BD1023" si="2320">IF(INDEX(MO_SNA_IsHistoricalPeriod,1,COLUMN())=FALSE,MO.LastPrice,CHOOSE(VLOOKUP(MO.ValuationToggle,tb_ValuationToggle,COLUMNS(tb_ValuationToggle),FALSE),AI1017,AI1018,AI1019,AI1020))</f>
      </c>
      <c r="AJ1023" s="1073">
        <f t="shared" si="2320"/>
      </c>
      <c r="AK1023" s="625">
        <f t="shared" si="2320"/>
      </c>
      <c r="AL1023" s="625">
        <f t="shared" si="2320"/>
      </c>
      <c r="AM1023" s="625">
        <f t="shared" si="2320"/>
      </c>
      <c r="AN1023" s="625">
        <f t="shared" si="2320"/>
      </c>
      <c r="AO1023" s="1073">
        <f t="shared" si="2320"/>
      </c>
      <c r="AP1023" s="625">
        <f t="shared" si="2320"/>
      </c>
      <c r="AQ1023" s="625">
        <f t="shared" si="2320"/>
      </c>
      <c r="AR1023" s="625">
        <f t="shared" si="2320"/>
      </c>
      <c r="AS1023" s="625">
        <f t="shared" si="2320"/>
      </c>
      <c r="AT1023" s="1073">
        <f t="shared" si="2320"/>
      </c>
      <c r="AU1023" s="625">
        <f t="shared" si="2320"/>
      </c>
      <c r="AV1023" s="625">
        <f t="shared" si="2320"/>
      </c>
      <c r="AW1023" s="625">
        <f t="shared" si="2320"/>
      </c>
      <c r="AX1023" s="625">
        <f t="shared" si="2320"/>
      </c>
      <c r="AY1023" s="1073">
        <f t="shared" si="2320"/>
      </c>
      <c r="AZ1023" s="625">
        <f t="shared" si="2320"/>
      </c>
      <c r="BA1023" s="625">
        <f t="shared" si="2320"/>
      </c>
      <c r="BB1023" s="625">
        <f t="shared" si="2320"/>
      </c>
      <c r="BC1023" s="625">
        <f t="shared" si="2320"/>
      </c>
      <c r="BD1023" s="1073">
        <f t="shared" si="2320"/>
      </c>
      <c r="BE1023" s="625">
        <f t="shared" ref="BE1023:BI1023" si="2321">IF(INDEX(MO_SNA_IsHistoricalPeriod,1,COLUMN())=FALSE,MO.LastPrice,CHOOSE(VLOOKUP(MO.ValuationToggle,tb_ValuationToggle,COLUMNS(tb_ValuationToggle),FALSE),BE1017,BE1018,BE1019,BE1020))</f>
      </c>
      <c r="BF1023" s="625">
        <f t="shared" si="2321"/>
      </c>
      <c r="BG1023" s="625">
        <f t="shared" si="2321"/>
      </c>
      <c r="BH1023" s="625">
        <f t="shared" si="2321"/>
      </c>
      <c r="BI1023" s="1073">
        <f t="shared" si="2321"/>
      </c>
      <c r="BJ1023" s="625">
        <f t="shared" ref="BJ1023:BX1023" si="2322">IF(INDEX(MO_SNA_IsHistoricalPeriod,1,COLUMN())=FALSE,MO.LastPrice,CHOOSE(VLOOKUP(MO.ValuationToggle,tb_ValuationToggle,COLUMNS(tb_ValuationToggle),FALSE),BJ1017,BJ1018,BJ1019,BJ1020))</f>
      </c>
      <c r="BK1023" s="625">
        <f t="shared" si="2322"/>
      </c>
      <c r="BL1023" s="625">
        <f t="shared" si="2322"/>
      </c>
      <c r="BM1023" s="625">
        <f t="shared" si="2322"/>
      </c>
      <c r="BN1023" s="1073">
        <f t="shared" si="2322"/>
      </c>
      <c r="BO1023" s="625">
        <f t="shared" ref="BO1023:BW1023" si="2323">IF(INDEX(MO_SNA_IsHistoricalPeriod,1,COLUMN())=FALSE,MO.LastPrice,CHOOSE(VLOOKUP(MO.ValuationToggle,tb_ValuationToggle,COLUMNS(tb_ValuationToggle),FALSE),BO1017,BO1018,BO1019,BO1020))</f>
      </c>
      <c r="BP1023" s="625">
        <f t="shared" si="2323"/>
      </c>
      <c r="BQ1023" s="625">
        <f t="shared" si="2323"/>
      </c>
      <c r="BR1023" s="625">
        <f t="shared" si="2323"/>
      </c>
      <c r="BS1023" s="1073">
        <f t="shared" si="2323"/>
      </c>
      <c r="BT1023" s="717">
        <f>IF(INDEX(MO_SNA_IsHistoricalPeriod,1,COLUMN())=FALSE,MO.LastPrice,CHOOSE(VLOOKUP(MO.ValuationToggle,tb_ValuationToggle,COLUMNS(tb_ValuationToggle),FALSE),BT1017,BT1018,BT1019,BT1020))</f>
      </c>
      <c r="BU1023" s="463">
        <f t="shared" si="2323"/>
      </c>
      <c r="BV1023" s="463">
        <f t="shared" si="2323"/>
      </c>
      <c r="BW1023" s="463">
        <f t="shared" si="2323"/>
      </c>
      <c r="BX1023" s="1073">
        <f t="shared" si="2322"/>
      </c>
      <c r="BY1023" s="463">
        <f t="shared" ref="BY1023:CF1023" si="2324">IF(INDEX(MO_SNA_IsHistoricalPeriod,1,COLUMN())=FALSE,MO.LastPrice,CHOOSE(VLOOKUP(MO.ValuationToggle,tb_ValuationToggle,COLUMNS(tb_ValuationToggle),FALSE),BY1017,BY1018,BY1019,BY1020))</f>
      </c>
      <c r="BZ1023" s="463">
        <f t="shared" si="2324"/>
      </c>
      <c r="CA1023" s="463">
        <f t="shared" si="2324"/>
      </c>
      <c r="CB1023" s="463">
        <f t="shared" si="2324"/>
      </c>
      <c r="CC1023" s="1073">
        <f t="shared" si="2324"/>
      </c>
      <c r="CD1023" s="1073">
        <f t="shared" si="2324"/>
      </c>
      <c r="CE1023" s="1073">
        <f t="shared" si="2324"/>
      </c>
      <c r="CF1023" s="1073">
        <f t="shared" si="2324"/>
      </c>
      <c r="CG1023" s="128"/>
    </row>
    <row r="1024" spans="1:85" hidden="1" outlineLevel="1" x14ac:dyDescent="0.3">
      <c r="A1024" s="436"/>
      <c r="B1024" s="414"/>
      <c r="C1024" s="962"/>
      <c r="D1024" s="962"/>
      <c r="E1024" s="962"/>
      <c r="F1024" s="962"/>
      <c r="G1024" s="757"/>
      <c r="H1024" s="757"/>
      <c r="I1024" s="757"/>
      <c r="J1024" s="757"/>
      <c r="K1024" s="962"/>
      <c r="L1024" s="757"/>
      <c r="M1024" s="757"/>
      <c r="N1024" s="757"/>
      <c r="O1024" s="757"/>
      <c r="P1024" s="962"/>
      <c r="Q1024" s="757"/>
      <c r="R1024" s="757"/>
      <c r="S1024" s="757"/>
      <c r="T1024" s="757"/>
      <c r="U1024" s="962"/>
      <c r="V1024" s="757"/>
      <c r="W1024" s="757"/>
      <c r="X1024" s="757"/>
      <c r="Y1024" s="757"/>
      <c r="Z1024" s="962"/>
      <c r="AA1024" s="757"/>
      <c r="AB1024" s="757"/>
      <c r="AC1024" s="757"/>
      <c r="AD1024" s="757"/>
      <c r="AE1024" s="962"/>
      <c r="AF1024" s="757"/>
      <c r="AG1024" s="757"/>
      <c r="AH1024" s="757"/>
      <c r="AI1024" s="757"/>
      <c r="AJ1024" s="962"/>
      <c r="AK1024" s="757"/>
      <c r="AL1024" s="757"/>
      <c r="AM1024" s="757"/>
      <c r="AN1024" s="757"/>
      <c r="AO1024" s="962"/>
      <c r="AP1024" s="757"/>
      <c r="AQ1024" s="757"/>
      <c r="AR1024" s="757"/>
      <c r="AS1024" s="757"/>
      <c r="AT1024" s="962"/>
      <c r="AU1024" s="757"/>
      <c r="AV1024" s="757"/>
      <c r="AW1024" s="757"/>
      <c r="AX1024" s="757"/>
      <c r="AY1024" s="962"/>
      <c r="AZ1024" s="757"/>
      <c r="BA1024" s="757"/>
      <c r="BB1024" s="757"/>
      <c r="BC1024" s="757"/>
      <c r="BD1024" s="962"/>
      <c r="BE1024" s="757"/>
      <c r="BF1024" s="757"/>
      <c r="BG1024" s="757"/>
      <c r="BH1024" s="757"/>
      <c r="BI1024" s="962"/>
      <c r="BJ1024" s="757"/>
      <c r="BK1024" s="757"/>
      <c r="BL1024" s="757"/>
      <c r="BM1024" s="757"/>
      <c r="BN1024" s="962"/>
      <c r="BO1024" s="757"/>
      <c r="BP1024" s="757"/>
      <c r="BQ1024" s="757"/>
      <c r="BR1024" s="757"/>
      <c r="BS1024" s="962"/>
      <c r="BT1024" s="758"/>
      <c r="BU1024" s="757"/>
      <c r="BV1024" s="757"/>
      <c r="BW1024" s="757"/>
      <c r="BX1024" s="962"/>
      <c r="BY1024" s="757"/>
      <c r="BZ1024" s="757"/>
      <c r="CA1024" s="757"/>
      <c r="CB1024" s="757"/>
      <c r="CC1024" s="962"/>
      <c r="CD1024" s="962"/>
      <c r="CE1024" s="962"/>
      <c r="CF1024" s="962"/>
      <c r="CG1024" s="459"/>
    </row>
    <row r="1025" spans="1:85" hidden="1" outlineLevel="1" x14ac:dyDescent="0.3">
      <c r="A1025" s="3" t="s">
        <v>121</v>
      </c>
      <c r="B1025" s="428"/>
      <c r="C1025" s="969"/>
      <c r="D1025" s="969"/>
      <c r="E1025" s="969"/>
      <c r="F1025" s="969"/>
      <c r="G1025" s="759"/>
      <c r="H1025" s="759"/>
      <c r="I1025" s="759"/>
      <c r="J1025" s="759"/>
      <c r="K1025" s="969"/>
      <c r="L1025" s="759"/>
      <c r="M1025" s="759"/>
      <c r="N1025" s="759"/>
      <c r="O1025" s="759"/>
      <c r="P1025" s="969"/>
      <c r="Q1025" s="759"/>
      <c r="R1025" s="759"/>
      <c r="S1025" s="759"/>
      <c r="T1025" s="759"/>
      <c r="U1025" s="969"/>
      <c r="V1025" s="759"/>
      <c r="W1025" s="759"/>
      <c r="X1025" s="759"/>
      <c r="Y1025" s="759"/>
      <c r="Z1025" s="969"/>
      <c r="AA1025" s="759"/>
      <c r="AB1025" s="759"/>
      <c r="AC1025" s="759"/>
      <c r="AD1025" s="759"/>
      <c r="AE1025" s="969"/>
      <c r="AF1025" s="759"/>
      <c r="AG1025" s="759"/>
      <c r="AH1025" s="759"/>
      <c r="AI1025" s="759"/>
      <c r="AJ1025" s="969"/>
      <c r="AK1025" s="759"/>
      <c r="AL1025" s="759"/>
      <c r="AM1025" s="759"/>
      <c r="AN1025" s="759"/>
      <c r="AO1025" s="969"/>
      <c r="AP1025" s="759"/>
      <c r="AQ1025" s="759"/>
      <c r="AR1025" s="759"/>
      <c r="AS1025" s="759"/>
      <c r="AT1025" s="969"/>
      <c r="AU1025" s="759"/>
      <c r="AV1025" s="759"/>
      <c r="AW1025" s="759"/>
      <c r="AX1025" s="759"/>
      <c r="AY1025" s="969"/>
      <c r="AZ1025" s="759"/>
      <c r="BA1025" s="759"/>
      <c r="BB1025" s="759"/>
      <c r="BC1025" s="759"/>
      <c r="BD1025" s="969"/>
      <c r="BE1025" s="759"/>
      <c r="BF1025" s="759"/>
      <c r="BG1025" s="759"/>
      <c r="BH1025" s="759"/>
      <c r="BI1025" s="969"/>
      <c r="BJ1025" s="759"/>
      <c r="BK1025" s="759"/>
      <c r="BL1025" s="759"/>
      <c r="BM1025" s="759"/>
      <c r="BN1025" s="969"/>
      <c r="BO1025" s="759"/>
      <c r="BP1025" s="759"/>
      <c r="BQ1025" s="759"/>
      <c r="BR1025" s="759"/>
      <c r="BS1025" s="969"/>
      <c r="BT1025" s="760"/>
      <c r="BU1025" s="759"/>
      <c r="BV1025" s="759"/>
      <c r="BW1025" s="759"/>
      <c r="BX1025" s="969"/>
      <c r="BY1025" s="759"/>
      <c r="BZ1025" s="759"/>
      <c r="CA1025" s="759"/>
      <c r="CB1025" s="759"/>
      <c r="CC1025" s="969"/>
      <c r="CD1025" s="969"/>
      <c r="CE1025" s="969"/>
      <c r="CF1025" s="969"/>
      <c r="CG1025" s="183"/>
    </row>
    <row r="1026" spans="1:85" hidden="1" outlineLevel="1" x14ac:dyDescent="0.3">
      <c r="A1026" s="16" t="s">
        <v>122</v>
      </c>
      <c r="B1026" s="414"/>
      <c r="C1026" s="964">
        <f t="shared" ref="C1026:AH1026" si="2325">C1253</f>
      </c>
      <c r="D1026" s="964">
        <f t="shared" si="2325"/>
      </c>
      <c r="E1026" s="964">
        <f t="shared" si="2325"/>
      </c>
      <c r="F1026" s="964">
        <f t="shared" si="2325"/>
      </c>
      <c r="G1026" s="459">
        <f t="shared" si="2325"/>
      </c>
      <c r="H1026" s="459">
        <f t="shared" si="2325"/>
      </c>
      <c r="I1026" s="459">
        <f t="shared" si="2325"/>
      </c>
      <c r="J1026" s="459">
        <f t="shared" si="2325"/>
      </c>
      <c r="K1026" s="964">
        <f t="shared" si="2325"/>
      </c>
      <c r="L1026" s="459">
        <f t="shared" si="2325"/>
      </c>
      <c r="M1026" s="459">
        <f t="shared" si="2325"/>
      </c>
      <c r="N1026" s="459">
        <f t="shared" si="2325"/>
      </c>
      <c r="O1026" s="459">
        <f t="shared" si="2325"/>
      </c>
      <c r="P1026" s="964">
        <f t="shared" si="2325"/>
      </c>
      <c r="Q1026" s="459">
        <f t="shared" si="2325"/>
      </c>
      <c r="R1026" s="459">
        <f t="shared" si="2325"/>
      </c>
      <c r="S1026" s="459">
        <f t="shared" si="2325"/>
      </c>
      <c r="T1026" s="459">
        <f t="shared" si="2325"/>
      </c>
      <c r="U1026" s="964">
        <f t="shared" si="2325"/>
      </c>
      <c r="V1026" s="459">
        <f t="shared" si="2325"/>
      </c>
      <c r="W1026" s="459">
        <f t="shared" si="2325"/>
      </c>
      <c r="X1026" s="459">
        <f t="shared" si="2325"/>
      </c>
      <c r="Y1026" s="459">
        <f t="shared" si="2325"/>
      </c>
      <c r="Z1026" s="962">
        <f t="shared" si="2325"/>
      </c>
      <c r="AA1026" s="459">
        <f t="shared" si="2325"/>
      </c>
      <c r="AB1026" s="459">
        <f t="shared" si="2325"/>
      </c>
      <c r="AC1026" s="459">
        <f t="shared" si="2325"/>
      </c>
      <c r="AD1026" s="459">
        <f t="shared" si="2325"/>
      </c>
      <c r="AE1026" s="962">
        <f t="shared" si="2325"/>
      </c>
      <c r="AF1026" s="459">
        <f t="shared" si="2325"/>
      </c>
      <c r="AG1026" s="459">
        <f t="shared" si="2325"/>
      </c>
      <c r="AH1026" s="459">
        <f t="shared" si="2325"/>
      </c>
      <c r="AI1026" s="459">
        <f t="shared" ref="AI1026:AQ1026" si="2326">AI1253</f>
      </c>
      <c r="AJ1026" s="962">
        <f t="shared" si="2326"/>
      </c>
      <c r="AK1026" s="459">
        <f t="shared" si="2326"/>
      </c>
      <c r="AL1026" s="459">
        <f t="shared" si="2326"/>
      </c>
      <c r="AM1026" s="459">
        <f t="shared" si="2326"/>
      </c>
      <c r="AN1026" s="459">
        <f t="shared" si="2326"/>
      </c>
      <c r="AO1026" s="962">
        <f t="shared" si="2326"/>
      </c>
      <c r="AP1026" s="459">
        <f t="shared" si="2326"/>
      </c>
      <c r="AQ1026" s="459">
        <f t="shared" si="2326"/>
      </c>
      <c r="AR1026" s="459">
        <f>AR1253</f>
      </c>
      <c r="AS1026" s="459">
        <f>AS1253</f>
      </c>
      <c r="AT1026" s="962">
        <f>AT1253</f>
      </c>
      <c r="AU1026" s="459">
        <f t="shared" ref="AU1026" si="2327">AU1253</f>
      </c>
      <c r="AV1026" s="459">
        <f>AV1253</f>
      </c>
      <c r="AW1026" s="459">
        <f>AW1253</f>
      </c>
      <c r="AX1026" s="459">
        <f>AX1253</f>
      </c>
      <c r="AY1026" s="962">
        <f>AY1253</f>
      </c>
      <c r="AZ1026" s="459">
        <f>AZ1253</f>
      </c>
      <c r="BA1026" s="459">
        <f t="shared" ref="BA1026:BB1026" si="2328">BA1253</f>
      </c>
      <c r="BB1026" s="459">
        <f t="shared" si="2328"/>
      </c>
      <c r="BC1026" s="459">
        <f t="shared" ref="BC1026:BD1026" si="2329">BC1253</f>
      </c>
      <c r="BD1026" s="962">
        <f t="shared" si="2329"/>
      </c>
      <c r="BE1026" s="459">
        <f t="shared" ref="BE1026:BI1026" si="2330">BE1253</f>
      </c>
      <c r="BF1026" s="459">
        <f t="shared" si="2330"/>
      </c>
      <c r="BG1026" s="459">
        <f t="shared" si="2330"/>
      </c>
      <c r="BH1026" s="459">
        <f t="shared" si="2330"/>
      </c>
      <c r="BI1026" s="962">
        <f t="shared" si="2330"/>
      </c>
      <c r="BJ1026" s="459">
        <f t="shared" ref="BJ1026:BX1026" si="2331">BJ1253</f>
      </c>
      <c r="BK1026" s="459">
        <f t="shared" si="2331"/>
      </c>
      <c r="BL1026" s="459">
        <f t="shared" si="2331"/>
      </c>
      <c r="BM1026" s="459">
        <f t="shared" si="2331"/>
      </c>
      <c r="BN1026" s="962">
        <f t="shared" si="2331"/>
      </c>
      <c r="BO1026" s="459">
        <f t="shared" ref="BO1026:BW1026" si="2332">BO1253</f>
      </c>
      <c r="BP1026" s="459">
        <f t="shared" si="2332"/>
      </c>
      <c r="BQ1026" s="459">
        <f t="shared" si="2332"/>
      </c>
      <c r="BR1026" s="459">
        <f t="shared" si="2332"/>
      </c>
      <c r="BS1026" s="962">
        <f t="shared" si="2332"/>
      </c>
      <c r="BT1026" s="795">
        <f>BT1253</f>
      </c>
      <c r="BU1026" s="757">
        <f t="shared" si="2332"/>
      </c>
      <c r="BV1026" s="757">
        <f t="shared" si="2332"/>
      </c>
      <c r="BW1026" s="757">
        <f t="shared" si="2332"/>
      </c>
      <c r="BX1026" s="962">
        <f t="shared" si="2331"/>
      </c>
      <c r="BY1026" s="757">
        <f t="shared" ref="BY1026:CF1026" si="2333">BY1253</f>
      </c>
      <c r="BZ1026" s="757">
        <f t="shared" si="2333"/>
      </c>
      <c r="CA1026" s="757">
        <f t="shared" si="2333"/>
      </c>
      <c r="CB1026" s="757">
        <f t="shared" si="2333"/>
      </c>
      <c r="CC1026" s="962">
        <f t="shared" si="2333"/>
      </c>
      <c r="CD1026" s="962">
        <f t="shared" si="2333"/>
      </c>
      <c r="CE1026" s="962">
        <f t="shared" si="2333"/>
      </c>
      <c r="CF1026" s="962">
        <f t="shared" si="2333"/>
      </c>
      <c r="CG1026" s="459"/>
    </row>
    <row r="1027" spans="1:85" hidden="1" outlineLevel="1" x14ac:dyDescent="0.3">
      <c r="A1027" s="16" t="s">
        <v>123</v>
      </c>
      <c r="B1027" s="414"/>
      <c r="C1027" s="962"/>
      <c r="D1027" s="962"/>
      <c r="E1027" s="962"/>
      <c r="F1027" s="962"/>
      <c r="G1027" s="757"/>
      <c r="H1027" s="757"/>
      <c r="I1027" s="757"/>
      <c r="J1027" s="757"/>
      <c r="K1027" s="962"/>
      <c r="L1027" s="757"/>
      <c r="M1027" s="757"/>
      <c r="N1027" s="757"/>
      <c r="O1027" s="757"/>
      <c r="P1027" s="962"/>
      <c r="Q1027" s="757"/>
      <c r="R1027" s="757"/>
      <c r="S1027" s="757"/>
      <c r="T1027" s="757"/>
      <c r="U1027" s="962"/>
      <c r="V1027" s="757"/>
      <c r="W1027" s="757"/>
      <c r="X1027" s="757"/>
      <c r="Y1027" s="757"/>
      <c r="Z1027" s="962"/>
      <c r="AA1027" s="757"/>
      <c r="AB1027" s="757"/>
      <c r="AC1027" s="757"/>
      <c r="AD1027" s="757"/>
      <c r="AE1027" s="962"/>
      <c r="AF1027" s="757"/>
      <c r="AG1027" s="757"/>
      <c r="AH1027" s="757"/>
      <c r="AI1027" s="757"/>
      <c r="AJ1027" s="962"/>
      <c r="AK1027" s="757"/>
      <c r="AL1027" s="757"/>
      <c r="AM1027" s="757"/>
      <c r="AN1027" s="757"/>
      <c r="AO1027" s="962"/>
      <c r="AP1027" s="757"/>
      <c r="AQ1027" s="757"/>
      <c r="AR1027" s="757"/>
      <c r="AS1027" s="757"/>
      <c r="AT1027" s="962"/>
      <c r="AU1027" s="757"/>
      <c r="AV1027" s="757"/>
      <c r="AW1027" s="757"/>
      <c r="AX1027" s="757"/>
      <c r="AY1027" s="962"/>
      <c r="AZ1027" s="757"/>
      <c r="BA1027" s="757"/>
      <c r="BB1027" s="757"/>
      <c r="BC1027" s="757"/>
      <c r="BD1027" s="962"/>
      <c r="BE1027" s="757"/>
      <c r="BF1027" s="757"/>
      <c r="BG1027" s="757"/>
      <c r="BH1027" s="757"/>
      <c r="BI1027" s="962"/>
      <c r="BJ1027" s="757"/>
      <c r="BK1027" s="757"/>
      <c r="BL1027" s="757"/>
      <c r="BM1027" s="757"/>
      <c r="BN1027" s="962"/>
      <c r="BO1027" s="757"/>
      <c r="BP1027" s="757"/>
      <c r="BQ1027" s="757"/>
      <c r="BR1027" s="757"/>
      <c r="BS1027" s="962"/>
      <c r="BT1027" s="758"/>
      <c r="BU1027" s="757"/>
      <c r="BV1027" s="757"/>
      <c r="BW1027" s="757"/>
      <c r="BX1027" s="962"/>
      <c r="BY1027" s="757"/>
      <c r="BZ1027" s="757"/>
      <c r="CA1027" s="757"/>
      <c r="CB1027" s="757"/>
      <c r="CC1027" s="962"/>
      <c r="CD1027" s="962"/>
      <c r="CE1027" s="962"/>
      <c r="CF1027" s="962"/>
      <c r="CG1027" s="459"/>
    </row>
    <row r="1028" spans="1:85" hidden="1" outlineLevel="1" x14ac:dyDescent="0.3">
      <c r="A1028" s="16" t="s">
        <v>124</v>
      </c>
      <c r="B1028" s="414"/>
      <c r="C1028" s="962"/>
      <c r="D1028" s="962"/>
      <c r="E1028" s="962"/>
      <c r="F1028" s="962"/>
      <c r="G1028" s="757"/>
      <c r="H1028" s="757"/>
      <c r="I1028" s="757"/>
      <c r="J1028" s="757"/>
      <c r="K1028" s="962"/>
      <c r="L1028" s="757"/>
      <c r="M1028" s="757"/>
      <c r="N1028" s="757"/>
      <c r="O1028" s="757"/>
      <c r="P1028" s="962"/>
      <c r="Q1028" s="757"/>
      <c r="R1028" s="757"/>
      <c r="S1028" s="757"/>
      <c r="T1028" s="757"/>
      <c r="U1028" s="962"/>
      <c r="V1028" s="757"/>
      <c r="W1028" s="757"/>
      <c r="X1028" s="757"/>
      <c r="Y1028" s="757"/>
      <c r="Z1028" s="962"/>
      <c r="AA1028" s="757"/>
      <c r="AB1028" s="757"/>
      <c r="AC1028" s="757"/>
      <c r="AD1028" s="757"/>
      <c r="AE1028" s="962"/>
      <c r="AF1028" s="757"/>
      <c r="AG1028" s="757"/>
      <c r="AH1028" s="757"/>
      <c r="AI1028" s="757"/>
      <c r="AJ1028" s="962"/>
      <c r="AK1028" s="757"/>
      <c r="AL1028" s="757"/>
      <c r="AM1028" s="757"/>
      <c r="AN1028" s="757"/>
      <c r="AO1028" s="962"/>
      <c r="AP1028" s="757"/>
      <c r="AQ1028" s="757"/>
      <c r="AR1028" s="757"/>
      <c r="AS1028" s="757"/>
      <c r="AT1028" s="962"/>
      <c r="AU1028" s="757"/>
      <c r="AV1028" s="757"/>
      <c r="AW1028" s="757"/>
      <c r="AX1028" s="757"/>
      <c r="AY1028" s="962"/>
      <c r="AZ1028" s="757"/>
      <c r="BA1028" s="757"/>
      <c r="BB1028" s="757"/>
      <c r="BC1028" s="757"/>
      <c r="BD1028" s="962"/>
      <c r="BE1028" s="757"/>
      <c r="BF1028" s="757"/>
      <c r="BG1028" s="757"/>
      <c r="BH1028" s="757"/>
      <c r="BI1028" s="962"/>
      <c r="BJ1028" s="757"/>
      <c r="BK1028" s="757"/>
      <c r="BL1028" s="757"/>
      <c r="BM1028" s="757"/>
      <c r="BN1028" s="962"/>
      <c r="BO1028" s="757"/>
      <c r="BP1028" s="757"/>
      <c r="BQ1028" s="757"/>
      <c r="BR1028" s="757"/>
      <c r="BS1028" s="962"/>
      <c r="BT1028" s="758"/>
      <c r="BU1028" s="757"/>
      <c r="BV1028" s="757"/>
      <c r="BW1028" s="757"/>
      <c r="BX1028" s="962"/>
      <c r="BY1028" s="757"/>
      <c r="BZ1028" s="757"/>
      <c r="CA1028" s="757"/>
      <c r="CB1028" s="757"/>
      <c r="CC1028" s="962"/>
      <c r="CD1028" s="962"/>
      <c r="CE1028" s="962"/>
      <c r="CF1028" s="962"/>
      <c r="CG1028" s="459"/>
    </row>
    <row r="1029" spans="1:85" collapsed="1" x14ac:dyDescent="0.3">
      <c r="A1029" s="208"/>
      <c r="B1029" s="414"/>
      <c r="C1029" s="962"/>
      <c r="D1029" s="962"/>
      <c r="E1029" s="962"/>
      <c r="F1029" s="962"/>
      <c r="G1029" s="757"/>
      <c r="H1029" s="757"/>
      <c r="I1029" s="757"/>
      <c r="J1029" s="757"/>
      <c r="K1029" s="962"/>
      <c r="L1029" s="757"/>
      <c r="M1029" s="757"/>
      <c r="N1029" s="757"/>
      <c r="O1029" s="757"/>
      <c r="P1029" s="962"/>
      <c r="Q1029" s="757"/>
      <c r="R1029" s="757"/>
      <c r="S1029" s="757"/>
      <c r="T1029" s="757"/>
      <c r="U1029" s="962"/>
      <c r="V1029" s="757"/>
      <c r="W1029" s="757"/>
      <c r="X1029" s="757"/>
      <c r="Y1029" s="757"/>
      <c r="Z1029" s="962"/>
      <c r="AA1029" s="757"/>
      <c r="AB1029" s="757"/>
      <c r="AC1029" s="757"/>
      <c r="AD1029" s="757"/>
      <c r="AE1029" s="962"/>
      <c r="AF1029" s="757"/>
      <c r="AG1029" s="757"/>
      <c r="AH1029" s="757"/>
      <c r="AI1029" s="757"/>
      <c r="AJ1029" s="962"/>
      <c r="AK1029" s="757"/>
      <c r="AL1029" s="757"/>
      <c r="AM1029" s="757"/>
      <c r="AN1029" s="757"/>
      <c r="AO1029" s="962"/>
      <c r="AP1029" s="757"/>
      <c r="AQ1029" s="757"/>
      <c r="AR1029" s="757"/>
      <c r="AS1029" s="757"/>
      <c r="AT1029" s="962"/>
      <c r="AU1029" s="757"/>
      <c r="AV1029" s="757"/>
      <c r="AW1029" s="757"/>
      <c r="AX1029" s="757"/>
      <c r="AY1029" s="962"/>
      <c r="AZ1029" s="757"/>
      <c r="BA1029" s="757"/>
      <c r="BB1029" s="757"/>
      <c r="BC1029" s="757"/>
      <c r="BD1029" s="962"/>
      <c r="BE1029" s="757"/>
      <c r="BF1029" s="757"/>
      <c r="BG1029" s="757"/>
      <c r="BH1029" s="757"/>
      <c r="BI1029" s="962"/>
      <c r="BJ1029" s="757"/>
      <c r="BK1029" s="757"/>
      <c r="BL1029" s="757"/>
      <c r="BM1029" s="757"/>
      <c r="BN1029" s="962"/>
      <c r="BO1029" s="757"/>
      <c r="BP1029" s="757"/>
      <c r="BQ1029" s="757"/>
      <c r="BR1029" s="757"/>
      <c r="BS1029" s="962"/>
      <c r="BT1029" s="758"/>
      <c r="BU1029" s="757"/>
      <c r="BV1029" s="757"/>
      <c r="BW1029" s="757"/>
      <c r="BX1029" s="962"/>
      <c r="BY1029" s="757"/>
      <c r="BZ1029" s="757"/>
      <c r="CA1029" s="757"/>
      <c r="CB1029" s="757"/>
      <c r="CC1029" s="962"/>
      <c r="CD1029" s="962"/>
      <c r="CE1029" s="962"/>
      <c r="CF1029" s="962"/>
      <c r="CG1029" s="459"/>
    </row>
    <row r="1030" spans="1:85" x14ac:dyDescent="0.3">
      <c r="A1030" s="754" t="s">
        <v>125</v>
      </c>
      <c r="B1030" s="754"/>
      <c r="C1030" s="754"/>
      <c r="D1030" s="754"/>
      <c r="E1030" s="754"/>
      <c r="F1030" s="754"/>
      <c r="G1030" s="754"/>
      <c r="H1030" s="754"/>
      <c r="I1030" s="754"/>
      <c r="J1030" s="754"/>
      <c r="K1030" s="754"/>
      <c r="L1030" s="754"/>
      <c r="M1030" s="754"/>
      <c r="N1030" s="754"/>
      <c r="O1030" s="754"/>
      <c r="P1030" s="754"/>
      <c r="Q1030" s="754"/>
      <c r="R1030" s="754"/>
      <c r="S1030" s="754"/>
      <c r="T1030" s="754"/>
      <c r="U1030" s="754"/>
      <c r="V1030" s="754"/>
      <c r="W1030" s="754"/>
      <c r="X1030" s="754"/>
      <c r="Y1030" s="754"/>
      <c r="Z1030" s="754"/>
      <c r="AA1030" s="754"/>
      <c r="AB1030" s="754"/>
      <c r="AC1030" s="754"/>
      <c r="AD1030" s="754"/>
      <c r="AE1030" s="754"/>
      <c r="AF1030" s="754"/>
      <c r="AG1030" s="754"/>
      <c r="AH1030" s="754"/>
      <c r="AI1030" s="754"/>
      <c r="AJ1030" s="754"/>
      <c r="AK1030" s="754"/>
      <c r="AL1030" s="754"/>
      <c r="AM1030" s="754"/>
      <c r="AN1030" s="754"/>
      <c r="AO1030" s="754"/>
      <c r="AP1030" s="754"/>
      <c r="AQ1030" s="754"/>
      <c r="AR1030" s="754"/>
      <c r="AS1030" s="754"/>
      <c r="AT1030" s="754"/>
      <c r="AU1030" s="754"/>
      <c r="AV1030" s="754"/>
      <c r="AW1030" s="754"/>
      <c r="AX1030" s="754"/>
      <c r="AY1030" s="754"/>
      <c r="AZ1030" s="754"/>
      <c r="BA1030" s="754"/>
      <c r="BB1030" s="754"/>
      <c r="BC1030" s="754"/>
      <c r="BD1030" s="754"/>
      <c r="BE1030" s="754"/>
      <c r="BF1030" s="754"/>
      <c r="BG1030" s="754"/>
      <c r="BH1030" s="754"/>
      <c r="BI1030" s="754"/>
      <c r="BJ1030" s="754"/>
      <c r="BK1030" s="754"/>
      <c r="BL1030" s="754"/>
      <c r="BM1030" s="754"/>
      <c r="BN1030" s="754"/>
      <c r="BO1030" s="754"/>
      <c r="BP1030" s="754"/>
      <c r="BQ1030" s="754"/>
      <c r="BR1030" s="754"/>
      <c r="BS1030" s="754"/>
      <c r="BT1030" s="755"/>
      <c r="BU1030" s="754"/>
      <c r="BV1030" s="754"/>
      <c r="BW1030" s="754"/>
      <c r="BX1030" s="754"/>
      <c r="BY1030" s="754"/>
      <c r="BZ1030" s="754"/>
      <c r="CA1030" s="754"/>
      <c r="CB1030" s="754"/>
      <c r="CC1030" s="754"/>
      <c r="CD1030" s="754"/>
      <c r="CE1030" s="754"/>
      <c r="CF1030" s="754"/>
      <c r="CG1030" s="183"/>
    </row>
    <row r="1031" spans="1:85" s="587" customFormat="1" hidden="1" outlineLevel="1" x14ac:dyDescent="0.3">
      <c r="A1031" s="4" t="s">
        <v>126</v>
      </c>
      <c r="B1031" s="428"/>
      <c r="C1031" s="969"/>
      <c r="D1031" s="969"/>
      <c r="E1031" s="969"/>
      <c r="F1031" s="969"/>
      <c r="G1031" s="759"/>
      <c r="H1031" s="759"/>
      <c r="I1031" s="759"/>
      <c r="J1031" s="759"/>
      <c r="K1031" s="969"/>
      <c r="L1031" s="759"/>
      <c r="M1031" s="759"/>
      <c r="N1031" s="759"/>
      <c r="O1031" s="759"/>
      <c r="P1031" s="969"/>
      <c r="Q1031" s="759"/>
      <c r="R1031" s="759"/>
      <c r="S1031" s="759"/>
      <c r="T1031" s="759"/>
      <c r="U1031" s="969"/>
      <c r="V1031" s="759"/>
      <c r="W1031" s="759"/>
      <c r="X1031" s="759"/>
      <c r="Y1031" s="759"/>
      <c r="Z1031" s="969"/>
      <c r="AA1031" s="759"/>
      <c r="AB1031" s="759"/>
      <c r="AC1031" s="759"/>
      <c r="AD1031" s="759"/>
      <c r="AE1031" s="969"/>
      <c r="AF1031" s="759"/>
      <c r="AG1031" s="759"/>
      <c r="AH1031" s="759"/>
      <c r="AI1031" s="759"/>
      <c r="AJ1031" s="969"/>
      <c r="AK1031" s="759"/>
      <c r="AL1031" s="759"/>
      <c r="AM1031" s="759"/>
      <c r="AN1031" s="759"/>
      <c r="AO1031" s="969"/>
      <c r="AP1031" s="759"/>
      <c r="AQ1031" s="759"/>
      <c r="AR1031" s="759"/>
      <c r="AS1031" s="759"/>
      <c r="AT1031" s="969"/>
      <c r="AU1031" s="759"/>
      <c r="AV1031" s="759"/>
      <c r="AW1031" s="759"/>
      <c r="AX1031" s="759"/>
      <c r="AY1031" s="969"/>
      <c r="AZ1031" s="759"/>
      <c r="BA1031" s="759"/>
      <c r="BB1031" s="759"/>
      <c r="BC1031" s="759"/>
      <c r="BD1031" s="969"/>
      <c r="BE1031" s="759"/>
      <c r="BF1031" s="759"/>
      <c r="BG1031" s="759"/>
      <c r="BH1031" s="759"/>
      <c r="BI1031" s="969"/>
      <c r="BJ1031" s="759"/>
      <c r="BK1031" s="759"/>
      <c r="BL1031" s="759"/>
      <c r="BM1031" s="759"/>
      <c r="BN1031" s="969"/>
      <c r="BO1031" s="759"/>
      <c r="BP1031" s="759"/>
      <c r="BQ1031" s="759"/>
      <c r="BR1031" s="759"/>
      <c r="BS1031" s="969"/>
      <c r="BT1031" s="760"/>
      <c r="BU1031" s="759"/>
      <c r="BV1031" s="759"/>
      <c r="BW1031" s="759"/>
      <c r="BX1031" s="969"/>
      <c r="BY1031" s="759"/>
      <c r="BZ1031" s="759"/>
      <c r="CA1031" s="759"/>
      <c r="CB1031" s="759"/>
      <c r="CC1031" s="969"/>
      <c r="CD1031" s="969"/>
      <c r="CE1031" s="969"/>
      <c r="CF1031" s="969"/>
      <c r="CG1031" s="183"/>
    </row>
    <row r="1032" spans="1:85" s="587" customFormat="1" hidden="1" outlineLevel="1" x14ac:dyDescent="0.3">
      <c r="A1032" s="182" t="s">
        <v>56</v>
      </c>
      <c r="B1032" s="414"/>
      <c r="C1032" s="963">
        <v>115.86</v>
      </c>
      <c r="D1032" s="963">
        <v>160.85300000000001</v>
      </c>
      <c r="E1032" s="963">
        <v>226.126</v>
      </c>
      <c r="F1032" s="963">
        <v>17.152000000000001</v>
      </c>
      <c r="G1032" s="857">
        <v>2.6890000000000001</v>
      </c>
      <c r="H1032" s="857">
        <v>32.159999999999997</v>
      </c>
      <c r="I1032" s="857">
        <v>63.981999999999999</v>
      </c>
      <c r="J1032" s="857">
        <v>112.40300000000001</v>
      </c>
      <c r="K1032" s="963">
        <v>112.40300000000001</v>
      </c>
      <c r="L1032" s="857">
        <v>53.115000000000002</v>
      </c>
      <c r="M1032" s="857">
        <v>124.133</v>
      </c>
      <c r="N1032" s="857">
        <v>183.428</v>
      </c>
      <c r="O1032" s="857">
        <v>266.79899999999998</v>
      </c>
      <c r="P1032" s="963">
        <v>266.79899999999998</v>
      </c>
      <c r="Q1032" s="857">
        <v>23.696000000000002</v>
      </c>
      <c r="R1032" s="857">
        <v>50.030999999999999</v>
      </c>
      <c r="S1032" s="857">
        <v>79.462999999999994</v>
      </c>
      <c r="T1032" s="857">
        <v>122.64100000000001</v>
      </c>
      <c r="U1032" s="963">
        <v>122.64100000000001</v>
      </c>
      <c r="V1032" s="857">
        <v>27.658000000000001</v>
      </c>
      <c r="W1032" s="857">
        <v>68.412999999999997</v>
      </c>
      <c r="X1032" s="857">
        <v>119.93</v>
      </c>
      <c r="Y1032" s="757">
        <f t="shared" ref="Y1032:Y1037" si="2334">Z1032</f>
      </c>
      <c r="Z1032" s="963">
        <v>186.678</v>
      </c>
      <c r="AA1032" s="857">
        <v>178.22200000000001</v>
      </c>
      <c r="AB1032" s="857">
        <v>243.822</v>
      </c>
      <c r="AC1032" s="857">
        <v>373.41199999999998</v>
      </c>
      <c r="AD1032" s="757">
        <f t="shared" ref="AD1032:AD1037" si="2335">AE1032</f>
      </c>
      <c r="AE1032" s="963">
        <v>558.92899999999997</v>
      </c>
      <c r="AF1032" s="857">
        <v>290.12400000000002</v>
      </c>
      <c r="AG1032" s="857">
        <v>674.47299999999996</v>
      </c>
      <c r="AH1032" s="857">
        <v>1077.308</v>
      </c>
      <c r="AI1032" s="757">
        <f t="shared" ref="AI1032:AI1037" si="2336">AJ1032</f>
      </c>
      <c r="AJ1032" s="963">
        <v>1211.242</v>
      </c>
      <c r="AK1032" s="857">
        <v>344.05200000000002</v>
      </c>
      <c r="AL1032" s="857">
        <v>614.702</v>
      </c>
      <c r="AM1032" s="857">
        <v>1279.9459999999999</v>
      </c>
      <c r="AN1032" s="757">
        <f t="shared" ref="AN1032:AN1037" si="2337">AO1032</f>
      </c>
      <c r="AO1032" s="963">
        <v>1866.9159999999999</v>
      </c>
      <c r="AP1032" s="857">
        <v>709.06700000000001</v>
      </c>
      <c r="AQ1032" s="857">
        <v>1429.2629999999999</v>
      </c>
      <c r="AR1032" s="857">
        <v>2219.239</v>
      </c>
      <c r="AS1032" s="757">
        <f t="shared" ref="AS1032:AS1037" si="2338">AT1032</f>
      </c>
      <c r="AT1032" s="963">
        <v>2761.395</v>
      </c>
      <c r="AU1032" s="857">
        <v>1706.7149999999999</v>
      </c>
      <c r="AV1032" s="857">
        <v>3059.7280000000001</v>
      </c>
      <c r="AW1032" s="857">
        <v>4508.799</v>
      </c>
      <c r="AX1032" s="757">
        <f t="shared" ref="AX1032:AX1037" si="2339">AY1032</f>
      </c>
      <c r="AY1032" s="963">
        <v>5116.2280000000001</v>
      </c>
      <c r="AZ1032" s="857">
        <v>1597.4469999999999</v>
      </c>
      <c r="BA1032" s="857">
        <v>3038.3980000000001</v>
      </c>
      <c r="BB1032" s="857">
        <v>4436.6400000000003</v>
      </c>
      <c r="BC1032" s="757">
        <f t="shared" ref="BC1032:BC1037" si="2340">BD1032</f>
      </c>
      <c r="BD1032" s="963">
        <v>4491.924</v>
      </c>
      <c r="BE1032" s="857">
        <v>1305.1199999999999</v>
      </c>
      <c r="BF1032" s="857">
        <v>2792.73</v>
      </c>
      <c r="BG1032" s="857">
        <v>4470.152</v>
      </c>
      <c r="BH1032" s="757">
        <f t="shared" ref="BH1032:BH1046" si="2341">BI1032</f>
      </c>
      <c r="BI1032" s="963">
        <v>5407.99</v>
      </c>
      <c r="BJ1032" s="857">
        <v>2332.2089999999998</v>
      </c>
      <c r="BK1032" s="857">
        <v>4479.5150000000003</v>
      </c>
      <c r="BL1032" s="857">
        <v>6843.0240000000003</v>
      </c>
      <c r="BM1032" s="757">
        <f t="shared" ref="BM1032:BM1037" si="2342">BN1032</f>
      </c>
      <c r="BN1032" s="963">
        <v>8711.6309999999994</v>
      </c>
      <c r="BO1032" s="857">
        <v>2890.3510000000001</v>
      </c>
      <c r="BP1032" s="857">
        <v>6015.7640000000001</v>
      </c>
      <c r="BQ1032" s="857">
        <v>8562.68</v>
      </c>
      <c r="BR1032" s="757">
        <f t="shared" ref="BR1032:BR1037" si="2343">BS1032</f>
      </c>
      <c r="BS1032" s="963">
        <v>10981.200999999999</v>
      </c>
      <c r="BT1032" s="864">
        <v>5282.7910000000002</v>
      </c>
      <c r="BU1032" s="757"/>
      <c r="BV1032" s="757"/>
      <c r="BW1032" s="757"/>
      <c r="BX1032" s="962"/>
      <c r="BY1032" s="757"/>
      <c r="BZ1032" s="757"/>
      <c r="CA1032" s="757"/>
      <c r="CB1032" s="757"/>
      <c r="CC1032" s="962"/>
      <c r="CD1032" s="962"/>
      <c r="CE1032" s="962"/>
      <c r="CF1032" s="962"/>
      <c r="CG1032" s="459"/>
    </row>
    <row r="1033" spans="1:85" s="587" customFormat="1" hidden="1" outlineLevel="1" x14ac:dyDescent="0.3">
      <c r="A1033" s="182" t="s">
        <v>127</v>
      </c>
      <c r="B1033" s="414"/>
      <c r="C1033" s="963">
        <v>-64.216999999999999</v>
      </c>
      <c r="D1033" s="963">
        <v>-406.21</v>
      </c>
      <c r="E1033" s="963">
        <v>-2320.732</v>
      </c>
      <c r="F1033" s="963">
        <v>-2515.5059999999999</v>
      </c>
      <c r="G1033" s="857">
        <v>-591.94100000000003</v>
      </c>
      <c r="H1033" s="857">
        <v>-1185.395</v>
      </c>
      <c r="I1033" s="857">
        <v>-2063.7089999999998</v>
      </c>
      <c r="J1033" s="857">
        <v>-3049.7579999999998</v>
      </c>
      <c r="K1033" s="963">
        <v>-3049.7579999999998</v>
      </c>
      <c r="L1033" s="857">
        <v>-749.399</v>
      </c>
      <c r="M1033" s="857">
        <v>-1562.713</v>
      </c>
      <c r="N1033" s="857">
        <v>-2765.1970000000001</v>
      </c>
      <c r="O1033" s="857">
        <v>-3773.0189999999998</v>
      </c>
      <c r="P1033" s="963">
        <v>-3773.0189999999998</v>
      </c>
      <c r="Q1033" s="857">
        <v>-1611.925</v>
      </c>
      <c r="R1033" s="857">
        <v>-2885.6019999999999</v>
      </c>
      <c r="S1033" s="857">
        <v>-4194.5450000000001</v>
      </c>
      <c r="T1033" s="857">
        <v>-5771.652</v>
      </c>
      <c r="U1033" s="963">
        <v>-5771.652</v>
      </c>
      <c r="V1033" s="857">
        <v>-2316.5990000000002</v>
      </c>
      <c r="W1033" s="857">
        <v>-4108.3649999999998</v>
      </c>
      <c r="X1033" s="857">
        <v>-6550.4449999999997</v>
      </c>
      <c r="Y1033" s="757">
        <f t="shared" si="2334"/>
      </c>
      <c r="Z1033" s="963">
        <v>-8653.2860000000001</v>
      </c>
      <c r="AA1033" s="857">
        <v>-2348.6660000000002</v>
      </c>
      <c r="AB1033" s="857">
        <v>-5013.0870000000004</v>
      </c>
      <c r="AC1033" s="857">
        <v>-7328.1040000000003</v>
      </c>
      <c r="AD1033" s="757">
        <f t="shared" si="2335"/>
      </c>
      <c r="AE1033" s="963">
        <v>-9805.7630000000008</v>
      </c>
      <c r="AF1033" s="857">
        <v>-2986.7469999999998</v>
      </c>
      <c r="AG1033" s="857">
        <v>-6020.4679999999998</v>
      </c>
      <c r="AH1033" s="857">
        <v>-9259.1849999999995</v>
      </c>
      <c r="AI1033" s="757">
        <f t="shared" si="2336"/>
      </c>
      <c r="AJ1033" s="963">
        <v>-13043.437</v>
      </c>
      <c r="AK1033" s="857">
        <v>-2997.7460000000001</v>
      </c>
      <c r="AL1033" s="857">
        <v>-6322.8490000000002</v>
      </c>
      <c r="AM1033" s="857">
        <v>-9971.1409999999996</v>
      </c>
      <c r="AN1033" s="757">
        <f t="shared" si="2337"/>
      </c>
      <c r="AO1033" s="963">
        <v>-13916.683000000001</v>
      </c>
      <c r="AP1033" s="857">
        <v>-3294.2750000000001</v>
      </c>
      <c r="AQ1033" s="857">
        <v>-5805.0569999999998</v>
      </c>
      <c r="AR1033" s="857">
        <v>-8458.9429999999993</v>
      </c>
      <c r="AS1033" s="757">
        <f t="shared" si="2338"/>
      </c>
      <c r="AT1033" s="963">
        <v>-11779.284</v>
      </c>
      <c r="AU1033" s="857">
        <v>-3284.576</v>
      </c>
      <c r="AV1033" s="857">
        <v>-7381.326</v>
      </c>
      <c r="AW1033" s="857">
        <v>-12047.563</v>
      </c>
      <c r="AX1033" s="757">
        <f t="shared" si="2339"/>
      </c>
      <c r="AY1033" s="963">
        <v>-17702.202000000001</v>
      </c>
      <c r="AZ1033" s="857">
        <v>-3584.1640000000002</v>
      </c>
      <c r="BA1033" s="857">
        <v>-8271.1749999999993</v>
      </c>
      <c r="BB1033" s="857">
        <v>-12853.846</v>
      </c>
      <c r="BC1033" s="757">
        <f t="shared" si="2340"/>
      </c>
      <c r="BD1033" s="963">
        <v>-16839.038</v>
      </c>
      <c r="BE1033" s="857">
        <v>-2458.6660000000002</v>
      </c>
      <c r="BF1033" s="857">
        <v>-6141.6729999999998</v>
      </c>
      <c r="BG1033" s="857">
        <v>-9025.5120000000006</v>
      </c>
      <c r="BH1033" s="757">
        <f t="shared" si="2341"/>
      </c>
      <c r="BI1033" s="963">
        <v>-12554.703</v>
      </c>
      <c r="BJ1033" s="857">
        <v>-3728.9670000000001</v>
      </c>
      <c r="BK1033" s="857">
        <v>-7777.8190000000004</v>
      </c>
      <c r="BL1033" s="857">
        <v>-11794.215</v>
      </c>
      <c r="BM1033" s="757">
        <f t="shared" si="2342"/>
      </c>
      <c r="BN1033" s="963">
        <v>-16223.617</v>
      </c>
      <c r="BO1033" s="857">
        <v>-3549.6570000000002</v>
      </c>
      <c r="BP1033" s="857">
        <v>-7385.47</v>
      </c>
      <c r="BQ1033" s="857">
        <v>-12039.405000000001</v>
      </c>
      <c r="BR1033" s="757">
        <f t="shared" si="2343"/>
      </c>
      <c r="BS1033" s="963">
        <v>-17096.616999999998</v>
      </c>
      <c r="BT1033" s="864">
        <v>-4846.9170000000004</v>
      </c>
      <c r="BU1033" s="757"/>
      <c r="BV1033" s="757"/>
      <c r="BW1033" s="757"/>
      <c r="BX1033" s="962"/>
      <c r="BY1033" s="757"/>
      <c r="BZ1033" s="757"/>
      <c r="CA1033" s="757"/>
      <c r="CB1033" s="757"/>
      <c r="CC1033" s="962"/>
      <c r="CD1033" s="962"/>
      <c r="CE1033" s="962"/>
      <c r="CF1033" s="962"/>
      <c r="CG1033" s="459"/>
    </row>
    <row r="1034" spans="1:85" s="587" customFormat="1" hidden="1" outlineLevel="1" x14ac:dyDescent="0.3">
      <c r="A1034" s="182" t="s">
        <v>128</v>
      </c>
      <c r="B1034" s="414"/>
      <c r="C1034" s="962"/>
      <c r="D1034" s="963">
        <v>167.83600000000001</v>
      </c>
      <c r="E1034" s="963">
        <v>1463.9549999999999</v>
      </c>
      <c r="F1034" s="963">
        <v>762.08900000000006</v>
      </c>
      <c r="G1034" s="857">
        <v>9.6999999999999993</v>
      </c>
      <c r="H1034" s="857">
        <v>16.984000000000002</v>
      </c>
      <c r="I1034" s="857">
        <v>327.17500000000001</v>
      </c>
      <c r="J1034" s="857">
        <v>673.78499999999997</v>
      </c>
      <c r="K1034" s="963">
        <v>673.78499999999997</v>
      </c>
      <c r="L1034" s="857">
        <v>42.244</v>
      </c>
      <c r="M1034" s="857">
        <v>120.60299999999999</v>
      </c>
      <c r="N1034" s="857">
        <v>467.35500000000002</v>
      </c>
      <c r="O1034" s="857">
        <v>593.125</v>
      </c>
      <c r="P1034" s="963">
        <v>593.125</v>
      </c>
      <c r="Q1034" s="857">
        <v>626.32500000000005</v>
      </c>
      <c r="R1034" s="857">
        <v>817.47900000000004</v>
      </c>
      <c r="S1034" s="857">
        <v>922.16300000000001</v>
      </c>
      <c r="T1034" s="857">
        <v>1162.413</v>
      </c>
      <c r="U1034" s="963">
        <v>1162.413</v>
      </c>
      <c r="V1034" s="857">
        <v>905.72299999999996</v>
      </c>
      <c r="W1034" s="857">
        <v>1144.24</v>
      </c>
      <c r="X1034" s="857">
        <v>1674.125</v>
      </c>
      <c r="Y1034" s="757">
        <f t="shared" si="2334"/>
      </c>
      <c r="Z1034" s="963">
        <v>1772.65</v>
      </c>
      <c r="AA1034" s="857">
        <v>366.25700000000001</v>
      </c>
      <c r="AB1034" s="857">
        <v>881.14700000000005</v>
      </c>
      <c r="AC1034" s="857">
        <v>846.56</v>
      </c>
      <c r="AD1034" s="757">
        <f t="shared" si="2335"/>
      </c>
      <c r="AE1034" s="963">
        <v>900.00599999999997</v>
      </c>
      <c r="AF1034" s="857">
        <v>378.88499999999999</v>
      </c>
      <c r="AG1034" s="857">
        <v>667.35900000000004</v>
      </c>
      <c r="AH1034" s="857">
        <v>733.22699999999998</v>
      </c>
      <c r="AI1034" s="757">
        <f t="shared" si="2336"/>
      </c>
      <c r="AJ1034" s="963">
        <v>999.88</v>
      </c>
      <c r="AK1034" s="857">
        <v>-14.698</v>
      </c>
      <c r="AL1034" s="857">
        <v>-27.111999999999998</v>
      </c>
      <c r="AM1034" s="857">
        <v>-122.66</v>
      </c>
      <c r="AN1034" s="757">
        <f t="shared" si="2337"/>
      </c>
      <c r="AO1034" s="963">
        <v>-694.01099999999997</v>
      </c>
      <c r="AP1034" s="857">
        <v>258.94499999999999</v>
      </c>
      <c r="AQ1034" s="857">
        <v>150.51300000000001</v>
      </c>
      <c r="AR1034" s="857">
        <v>-228.94499999999999</v>
      </c>
      <c r="AS1034" s="757">
        <f t="shared" si="2338"/>
      </c>
      <c r="AT1034" s="963">
        <v>-757.43299999999999</v>
      </c>
      <c r="AU1034" s="857">
        <v>-266.04000000000002</v>
      </c>
      <c r="AV1034" s="857">
        <v>-578.24800000000005</v>
      </c>
      <c r="AW1034" s="857">
        <v>-607.49400000000003</v>
      </c>
      <c r="AX1034" s="757">
        <f t="shared" si="2339"/>
      </c>
      <c r="AY1034" s="963">
        <v>232.898</v>
      </c>
      <c r="AZ1034" s="857">
        <v>-347.149</v>
      </c>
      <c r="BA1034" s="857">
        <v>-155.92099999999999</v>
      </c>
      <c r="BB1034" s="857">
        <v>-95.054000000000002</v>
      </c>
      <c r="BC1034" s="757">
        <f t="shared" si="2340"/>
      </c>
      <c r="BD1034" s="963">
        <v>179.31</v>
      </c>
      <c r="BE1034" s="857">
        <v>-354.791</v>
      </c>
      <c r="BF1034" s="857">
        <v>-308.67200000000003</v>
      </c>
      <c r="BG1034" s="857">
        <v>-634.66099999999994</v>
      </c>
      <c r="BH1034" s="757">
        <f t="shared" si="2341"/>
      </c>
      <c r="BI1034" s="963">
        <v>-585.60199999999998</v>
      </c>
      <c r="BJ1034" s="857">
        <v>-189.441</v>
      </c>
      <c r="BK1034" s="857">
        <v>-556.01300000000003</v>
      </c>
      <c r="BL1034" s="857">
        <v>-639.59799999999996</v>
      </c>
      <c r="BM1034" s="757">
        <f t="shared" si="2342"/>
      </c>
      <c r="BN1034" s="963">
        <v>-779.13499999999999</v>
      </c>
      <c r="BO1034" s="857">
        <v>-411.25299999999999</v>
      </c>
      <c r="BP1034" s="857">
        <v>-625.30499999999995</v>
      </c>
      <c r="BQ1034" s="857">
        <v>-601.04300000000001</v>
      </c>
      <c r="BR1034" s="757">
        <f t="shared" si="2343"/>
      </c>
      <c r="BS1034" s="963">
        <v>-610.83799999999997</v>
      </c>
      <c r="BT1034" s="864">
        <v>45.216000000000001</v>
      </c>
      <c r="BU1034" s="757"/>
      <c r="BV1034" s="757"/>
      <c r="BW1034" s="757"/>
      <c r="BX1034" s="962"/>
      <c r="BY1034" s="757"/>
      <c r="BZ1034" s="757"/>
      <c r="CA1034" s="757"/>
      <c r="CB1034" s="757"/>
      <c r="CC1034" s="962"/>
      <c r="CD1034" s="962"/>
      <c r="CE1034" s="962"/>
      <c r="CF1034" s="962"/>
      <c r="CG1034" s="459"/>
    </row>
    <row r="1035" spans="1:85" s="587" customFormat="1" hidden="1" outlineLevel="1" x14ac:dyDescent="0.3">
      <c r="A1035" s="182" t="s">
        <v>129</v>
      </c>
      <c r="B1035" s="414"/>
      <c r="C1035" s="963">
        <v>48.192</v>
      </c>
      <c r="D1035" s="963">
        <v>158.1</v>
      </c>
      <c r="E1035" s="963">
        <v>699.12800000000004</v>
      </c>
      <c r="F1035" s="963">
        <v>1591.2180000000001</v>
      </c>
      <c r="G1035" s="857">
        <v>485.74</v>
      </c>
      <c r="H1035" s="857">
        <v>995.99</v>
      </c>
      <c r="I1035" s="857">
        <v>1549.384</v>
      </c>
      <c r="J1035" s="857">
        <v>2121.9810000000002</v>
      </c>
      <c r="K1035" s="963">
        <v>2121.9810000000002</v>
      </c>
      <c r="L1035" s="857">
        <v>600.73500000000001</v>
      </c>
      <c r="M1035" s="857">
        <v>1239.7719999999999</v>
      </c>
      <c r="N1035" s="857">
        <v>1925.9259999999999</v>
      </c>
      <c r="O1035" s="857">
        <v>2656.279</v>
      </c>
      <c r="P1035" s="963">
        <v>2656.279</v>
      </c>
      <c r="Q1035" s="857">
        <v>749.51800000000003</v>
      </c>
      <c r="R1035" s="857">
        <v>1572.1179999999999</v>
      </c>
      <c r="S1035" s="857">
        <v>2443.5210000000002</v>
      </c>
      <c r="T1035" s="857">
        <v>3405.3820000000001</v>
      </c>
      <c r="U1035" s="963">
        <v>3405.3820000000001</v>
      </c>
      <c r="V1035" s="857">
        <v>1058.521</v>
      </c>
      <c r="W1035" s="857">
        <v>2233.8820000000001</v>
      </c>
      <c r="X1035" s="857">
        <v>3457.99</v>
      </c>
      <c r="Y1035" s="757">
        <f t="shared" si="2334"/>
      </c>
      <c r="Z1035" s="963">
        <v>4788.4979999999996</v>
      </c>
      <c r="AA1035" s="857">
        <v>1305.683</v>
      </c>
      <c r="AB1035" s="857">
        <v>2856.4769999999999</v>
      </c>
      <c r="AC1035" s="857">
        <v>4483.9539999999997</v>
      </c>
      <c r="AD1035" s="757">
        <f t="shared" si="2335"/>
      </c>
      <c r="AE1035" s="963">
        <v>6197.817</v>
      </c>
      <c r="AF1035" s="857">
        <v>1748.8440000000001</v>
      </c>
      <c r="AG1035" s="857">
        <v>3566.6610000000001</v>
      </c>
      <c r="AH1035" s="857">
        <v>5478.4279999999999</v>
      </c>
      <c r="AI1035" s="757">
        <f t="shared" si="2336"/>
      </c>
      <c r="AJ1035" s="963">
        <v>7532.0879999999997</v>
      </c>
      <c r="AK1035" s="857">
        <v>2124.6860000000001</v>
      </c>
      <c r="AL1035" s="857">
        <v>4356.6009999999997</v>
      </c>
      <c r="AM1035" s="857">
        <v>6636.5780000000004</v>
      </c>
      <c r="AN1035" s="757">
        <f t="shared" si="2337"/>
      </c>
      <c r="AO1035" s="963">
        <v>9216.2469999999994</v>
      </c>
      <c r="AP1035" s="857">
        <v>2483.3850000000002</v>
      </c>
      <c r="AQ1035" s="857">
        <v>5090.5439999999999</v>
      </c>
      <c r="AR1035" s="857">
        <v>7824.2870000000003</v>
      </c>
      <c r="AS1035" s="757">
        <f t="shared" si="2338"/>
      </c>
      <c r="AT1035" s="963">
        <v>10806.912</v>
      </c>
      <c r="AU1035" s="857">
        <v>2719.1959999999999</v>
      </c>
      <c r="AV1035" s="857">
        <v>5525.9989999999998</v>
      </c>
      <c r="AW1035" s="857">
        <v>8489.0499999999993</v>
      </c>
      <c r="AX1035" s="757">
        <f t="shared" si="2339"/>
      </c>
      <c r="AY1035" s="963">
        <v>12230.367</v>
      </c>
      <c r="AZ1035" s="857">
        <v>3166.3649999999998</v>
      </c>
      <c r="BA1035" s="857">
        <v>6427.7129999999997</v>
      </c>
      <c r="BB1035" s="857">
        <v>10081.305</v>
      </c>
      <c r="BC1035" s="757">
        <f t="shared" si="2340"/>
      </c>
      <c r="BD1035" s="963">
        <v>14026.132</v>
      </c>
      <c r="BE1035" s="857">
        <v>3459.9839999999999</v>
      </c>
      <c r="BF1035" s="857">
        <v>6870.0050000000001</v>
      </c>
      <c r="BG1035" s="857">
        <v>10443.358</v>
      </c>
      <c r="BH1035" s="757">
        <f t="shared" si="2341"/>
      </c>
      <c r="BI1035" s="963">
        <v>14197.437</v>
      </c>
      <c r="BJ1035" s="857">
        <v>3670.8049999999998</v>
      </c>
      <c r="BK1035" s="857">
        <v>7440.4949999999999</v>
      </c>
      <c r="BL1035" s="857">
        <v>11140.016</v>
      </c>
      <c r="BM1035" s="757">
        <f t="shared" si="2342"/>
      </c>
      <c r="BN1035" s="963">
        <v>15301.517</v>
      </c>
      <c r="BO1035" s="857">
        <v>3823.1120000000001</v>
      </c>
      <c r="BP1035" s="857">
        <v>7655.1859999999997</v>
      </c>
      <c r="BQ1035" s="857">
        <v>11657.93</v>
      </c>
      <c r="BR1035" s="757">
        <f t="shared" si="2343"/>
      </c>
      <c r="BS1035" s="963">
        <v>16422.166000000001</v>
      </c>
      <c r="BT1035" s="864">
        <v>4217.8999999999996</v>
      </c>
      <c r="BU1035" s="757"/>
      <c r="BV1035" s="757"/>
      <c r="BW1035" s="757"/>
      <c r="BX1035" s="962"/>
      <c r="BY1035" s="757"/>
      <c r="BZ1035" s="757"/>
      <c r="CA1035" s="757"/>
      <c r="CB1035" s="757"/>
      <c r="CC1035" s="962"/>
      <c r="CD1035" s="962"/>
      <c r="CE1035" s="962"/>
      <c r="CF1035" s="962"/>
      <c r="CG1035" s="459"/>
    </row>
    <row r="1036" spans="1:85" s="587" customFormat="1" hidden="1" outlineLevel="1" x14ac:dyDescent="0.3">
      <c r="A1036" s="182" t="s">
        <v>130</v>
      </c>
      <c r="B1036" s="414"/>
      <c r="C1036" s="963">
        <v>171.298</v>
      </c>
      <c r="D1036" s="963">
        <v>142.49600000000001</v>
      </c>
      <c r="E1036" s="963">
        <v>96.744</v>
      </c>
      <c r="F1036" s="963">
        <v>65.396000000000001</v>
      </c>
      <c r="G1036" s="857">
        <v>18.236999999999998</v>
      </c>
      <c r="H1036" s="857">
        <v>35.945999999999998</v>
      </c>
      <c r="I1036" s="857">
        <v>53.491999999999997</v>
      </c>
      <c r="J1036" s="857">
        <v>71.325000000000003</v>
      </c>
      <c r="K1036" s="963">
        <v>71.325000000000003</v>
      </c>
      <c r="L1036" s="857">
        <v>16.120999999999999</v>
      </c>
      <c r="M1036" s="857">
        <v>33.043999999999997</v>
      </c>
      <c r="N1036" s="857">
        <v>51.313000000000002</v>
      </c>
      <c r="O1036" s="857">
        <v>71.491</v>
      </c>
      <c r="P1036" s="963">
        <v>71.491</v>
      </c>
      <c r="Q1036" s="857">
        <v>21.184999999999999</v>
      </c>
      <c r="R1036" s="857">
        <v>41.997999999999998</v>
      </c>
      <c r="S1036" s="857">
        <v>60.587000000000003</v>
      </c>
      <c r="T1036" s="857">
        <v>79.38</v>
      </c>
      <c r="U1036" s="963">
        <v>79.38</v>
      </c>
      <c r="V1036" s="857">
        <v>20.440999999999999</v>
      </c>
      <c r="W1036" s="857">
        <v>40.462000000000003</v>
      </c>
      <c r="X1036" s="857">
        <v>59.746000000000002</v>
      </c>
      <c r="Y1036" s="757">
        <f t="shared" si="2334"/>
      </c>
      <c r="Z1036" s="963">
        <v>78.951999999999998</v>
      </c>
      <c r="AA1036" s="857">
        <v>18.597999999999999</v>
      </c>
      <c r="AB1036" s="857">
        <v>35.109000000000002</v>
      </c>
      <c r="AC1036" s="857">
        <v>48.368000000000002</v>
      </c>
      <c r="AD1036" s="757">
        <f t="shared" si="2335"/>
      </c>
      <c r="AE1036" s="963">
        <v>60.656999999999996</v>
      </c>
      <c r="AF1036" s="857">
        <v>11.134</v>
      </c>
      <c r="AG1036" s="857">
        <v>22.288</v>
      </c>
      <c r="AH1036" s="857">
        <v>32.247</v>
      </c>
      <c r="AI1036" s="757">
        <f t="shared" si="2336"/>
      </c>
      <c r="AJ1036" s="963">
        <v>41.212000000000003</v>
      </c>
      <c r="AK1036" s="757"/>
      <c r="AL1036" s="757"/>
      <c r="AM1036" s="757"/>
      <c r="AN1036" s="757">
        <f t="shared" si="2337"/>
      </c>
      <c r="AO1036" s="962"/>
      <c r="AP1036" s="757"/>
      <c r="AQ1036" s="757"/>
      <c r="AR1036" s="757"/>
      <c r="AS1036" s="757">
        <f t="shared" si="2338"/>
      </c>
      <c r="AT1036" s="962"/>
      <c r="AU1036" s="757"/>
      <c r="AV1036" s="757"/>
      <c r="AW1036" s="757"/>
      <c r="AX1036" s="757">
        <f t="shared" si="2339"/>
      </c>
      <c r="AY1036" s="962"/>
      <c r="AZ1036" s="757"/>
      <c r="BA1036" s="757"/>
      <c r="BB1036" s="757"/>
      <c r="BC1036" s="757">
        <f t="shared" si="2340"/>
      </c>
      <c r="BD1036" s="962"/>
      <c r="BE1036" s="757"/>
      <c r="BF1036" s="757"/>
      <c r="BG1036" s="757"/>
      <c r="BH1036" s="757">
        <f t="shared" si="2341"/>
      </c>
      <c r="BI1036" s="962"/>
      <c r="BJ1036" s="757"/>
      <c r="BK1036" s="757"/>
      <c r="BL1036" s="757"/>
      <c r="BM1036" s="757">
        <f t="shared" si="2342"/>
      </c>
      <c r="BN1036" s="962"/>
      <c r="BO1036" s="757"/>
      <c r="BP1036" s="757"/>
      <c r="BQ1036" s="757"/>
      <c r="BR1036" s="757">
        <f t="shared" si="2343"/>
      </c>
      <c r="BS1036" s="962"/>
      <c r="BT1036" s="758"/>
      <c r="BU1036" s="757"/>
      <c r="BV1036" s="757"/>
      <c r="BW1036" s="757"/>
      <c r="BX1036" s="962"/>
      <c r="BY1036" s="757"/>
      <c r="BZ1036" s="757"/>
      <c r="CA1036" s="757"/>
      <c r="CB1036" s="757"/>
      <c r="CC1036" s="962"/>
      <c r="CD1036" s="962"/>
      <c r="CE1036" s="962"/>
      <c r="CF1036" s="962"/>
      <c r="CG1036" s="459"/>
    </row>
    <row r="1037" spans="1:85" s="587" customFormat="1" hidden="1" outlineLevel="1" x14ac:dyDescent="0.3">
      <c r="A1037" s="182" t="s">
        <v>131</v>
      </c>
      <c r="B1037" s="414"/>
      <c r="C1037" s="963">
        <v>38.043999999999997</v>
      </c>
      <c r="D1037" s="963">
        <v>38.098999999999997</v>
      </c>
      <c r="E1037" s="963">
        <v>43.747</v>
      </c>
      <c r="F1037" s="963">
        <v>45.469000000000001</v>
      </c>
      <c r="G1037" s="857">
        <v>12.051</v>
      </c>
      <c r="H1037" s="857">
        <v>24.077000000000002</v>
      </c>
      <c r="I1037" s="857">
        <v>35.529000000000003</v>
      </c>
      <c r="J1037" s="857">
        <v>48.374000000000002</v>
      </c>
      <c r="K1037" s="963">
        <v>48.374000000000002</v>
      </c>
      <c r="L1037" s="857">
        <v>12.382</v>
      </c>
      <c r="M1037" s="857">
        <v>25.359000000000002</v>
      </c>
      <c r="N1037" s="857">
        <v>39.716000000000001</v>
      </c>
      <c r="O1037" s="857">
        <v>54.027999999999999</v>
      </c>
      <c r="P1037" s="963">
        <v>54.027999999999999</v>
      </c>
      <c r="Q1037" s="857">
        <v>15.167</v>
      </c>
      <c r="R1037" s="857">
        <v>30.748000000000001</v>
      </c>
      <c r="S1037" s="857">
        <v>46.795000000000002</v>
      </c>
      <c r="T1037" s="857">
        <v>62.283000000000001</v>
      </c>
      <c r="U1037" s="963">
        <v>62.283000000000001</v>
      </c>
      <c r="V1037" s="857">
        <v>14.798</v>
      </c>
      <c r="W1037" s="857">
        <v>28.928999999999998</v>
      </c>
      <c r="X1037" s="857">
        <v>43.338999999999999</v>
      </c>
      <c r="Y1037" s="757">
        <f t="shared" si="2334"/>
      </c>
      <c r="Z1037" s="963">
        <v>57.527999999999999</v>
      </c>
      <c r="AA1037" s="857">
        <v>15.048999999999999</v>
      </c>
      <c r="AB1037" s="857">
        <v>33.6</v>
      </c>
      <c r="AC1037" s="857">
        <v>52.838000000000001</v>
      </c>
      <c r="AD1037" s="757">
        <f t="shared" si="2335"/>
      </c>
      <c r="AE1037" s="963">
        <v>71.911000000000001</v>
      </c>
      <c r="AF1037" s="857">
        <v>19.041</v>
      </c>
      <c r="AG1037" s="857">
        <v>38.777000000000001</v>
      </c>
      <c r="AH1037" s="857">
        <v>59.938000000000002</v>
      </c>
      <c r="AI1037" s="757">
        <f t="shared" si="2336"/>
      </c>
      <c r="AJ1037" s="963">
        <v>83.156999999999996</v>
      </c>
      <c r="AK1037" s="857">
        <v>23.561</v>
      </c>
      <c r="AL1037" s="857">
        <v>49.057000000000002</v>
      </c>
      <c r="AM1037" s="857">
        <v>75.760999999999996</v>
      </c>
      <c r="AN1037" s="757">
        <f t="shared" si="2337"/>
      </c>
      <c r="AO1037" s="963">
        <v>103.57899999999999</v>
      </c>
      <c r="AP1037" s="857">
        <v>28.516999999999999</v>
      </c>
      <c r="AQ1037" s="857">
        <v>55.177999999999997</v>
      </c>
      <c r="AR1037" s="857">
        <v>83.766999999999996</v>
      </c>
      <c r="AS1037" s="757">
        <f t="shared" si="2338"/>
      </c>
      <c r="AT1037" s="963">
        <v>115.71</v>
      </c>
      <c r="AU1037" s="857">
        <v>35.741</v>
      </c>
      <c r="AV1037" s="857">
        <v>74.174999999999997</v>
      </c>
      <c r="AW1037" s="857">
        <v>144.428</v>
      </c>
      <c r="AX1037" s="757">
        <f t="shared" si="2339"/>
      </c>
      <c r="AY1037" s="963">
        <v>208.41200000000001</v>
      </c>
      <c r="AZ1037" s="857">
        <v>74.602000000000004</v>
      </c>
      <c r="BA1037" s="857">
        <v>158.107</v>
      </c>
      <c r="BB1037" s="857">
        <v>243.29499999999999</v>
      </c>
      <c r="BC1037" s="757">
        <f t="shared" si="2340"/>
      </c>
      <c r="BD1037" s="963">
        <v>336.68200000000002</v>
      </c>
      <c r="BE1037" s="857">
        <v>90.334999999999994</v>
      </c>
      <c r="BF1037" s="857">
        <v>179.72</v>
      </c>
      <c r="BG1037" s="857">
        <v>270.38</v>
      </c>
      <c r="BH1037" s="757">
        <f t="shared" si="2341"/>
      </c>
      <c r="BI1037" s="963">
        <v>356.947</v>
      </c>
      <c r="BJ1037" s="857">
        <v>87.233999999999995</v>
      </c>
      <c r="BK1037" s="857">
        <v>168.46100000000001</v>
      </c>
      <c r="BL1037" s="857">
        <v>249.375</v>
      </c>
      <c r="BM1037" s="757">
        <f t="shared" si="2342"/>
      </c>
      <c r="BN1037" s="963">
        <v>328.91399999999999</v>
      </c>
      <c r="BO1037" s="857">
        <v>80.066999999999993</v>
      </c>
      <c r="BP1037" s="857">
        <v>160.08000000000001</v>
      </c>
      <c r="BQ1037" s="857">
        <v>247.40600000000001</v>
      </c>
      <c r="BR1037" s="757">
        <f t="shared" si="2343"/>
      </c>
      <c r="BS1037" s="963">
        <v>333.38900000000001</v>
      </c>
      <c r="BT1037" s="864">
        <v>98.575000000000003</v>
      </c>
      <c r="BU1037" s="757"/>
      <c r="BV1037" s="757"/>
      <c r="BW1037" s="757"/>
      <c r="BX1037" s="962"/>
      <c r="BY1037" s="757"/>
      <c r="BZ1037" s="757"/>
      <c r="CA1037" s="757"/>
      <c r="CB1037" s="757"/>
      <c r="CC1037" s="962"/>
      <c r="CD1037" s="962"/>
      <c r="CE1037" s="962"/>
      <c r="CF1037" s="962"/>
      <c r="CG1037" s="459"/>
    </row>
    <row r="1038" spans="1:85" s="587" customFormat="1" hidden="1" outlineLevel="1" x14ac:dyDescent="0.3">
      <c r="A1038" s="182" t="s">
        <v>716</v>
      </c>
      <c r="B1038" s="414"/>
      <c r="C1038" s="963">
        <f>1.124+0.607</f>
      </c>
      <c r="D1038" s="962"/>
      <c r="E1038" s="962"/>
      <c r="F1038" s="962"/>
      <c r="G1038" s="757"/>
      <c r="H1038" s="757"/>
      <c r="I1038" s="757"/>
      <c r="J1038" s="757"/>
      <c r="K1038" s="962"/>
      <c r="L1038" s="757"/>
      <c r="M1038" s="757"/>
      <c r="N1038" s="757"/>
      <c r="O1038" s="757"/>
      <c r="P1038" s="962"/>
      <c r="Q1038" s="757"/>
      <c r="R1038" s="757"/>
      <c r="S1038" s="757"/>
      <c r="T1038" s="757"/>
      <c r="U1038" s="962"/>
      <c r="V1038" s="757"/>
      <c r="W1038" s="757"/>
      <c r="X1038" s="757"/>
      <c r="Y1038" s="757"/>
      <c r="Z1038" s="962"/>
      <c r="AA1038" s="757"/>
      <c r="AB1038" s="757"/>
      <c r="AC1038" s="757"/>
      <c r="AD1038" s="757"/>
      <c r="AE1038" s="962"/>
      <c r="AF1038" s="757"/>
      <c r="AG1038" s="757"/>
      <c r="AH1038" s="757"/>
      <c r="AI1038" s="757"/>
      <c r="AJ1038" s="962"/>
      <c r="AK1038" s="757"/>
      <c r="AL1038" s="757"/>
      <c r="AM1038" s="757"/>
      <c r="AN1038" s="757"/>
      <c r="AO1038" s="962"/>
      <c r="AP1038" s="757"/>
      <c r="AQ1038" s="757"/>
      <c r="AR1038" s="757"/>
      <c r="AS1038" s="757"/>
      <c r="AT1038" s="962"/>
      <c r="AU1038" s="757"/>
      <c r="AV1038" s="757"/>
      <c r="AW1038" s="757"/>
      <c r="AX1038" s="757"/>
      <c r="AY1038" s="962"/>
      <c r="AZ1038" s="757"/>
      <c r="BA1038" s="757"/>
      <c r="BB1038" s="757"/>
      <c r="BC1038" s="757"/>
      <c r="BD1038" s="962"/>
      <c r="BE1038" s="757"/>
      <c r="BF1038" s="757"/>
      <c r="BG1038" s="757"/>
      <c r="BH1038" s="757">
        <f t="shared" si="2341"/>
      </c>
      <c r="BI1038" s="962"/>
      <c r="BJ1038" s="757"/>
      <c r="BK1038" s="757"/>
      <c r="BL1038" s="757"/>
      <c r="BM1038" s="757"/>
      <c r="BN1038" s="962"/>
      <c r="BO1038" s="757"/>
      <c r="BP1038" s="757"/>
      <c r="BQ1038" s="757"/>
      <c r="BR1038" s="757"/>
      <c r="BS1038" s="962"/>
      <c r="BT1038" s="758"/>
      <c r="BU1038" s="757"/>
      <c r="BV1038" s="757"/>
      <c r="BW1038" s="757"/>
      <c r="BX1038" s="962"/>
      <c r="BY1038" s="757"/>
      <c r="BZ1038" s="757"/>
      <c r="CA1038" s="757"/>
      <c r="CB1038" s="757"/>
      <c r="CC1038" s="962"/>
      <c r="CD1038" s="962"/>
      <c r="CE1038" s="962"/>
      <c r="CF1038" s="962"/>
      <c r="CG1038" s="459"/>
    </row>
    <row r="1039" spans="1:85" s="587" customFormat="1" hidden="1" outlineLevel="1" x14ac:dyDescent="0.3">
      <c r="A1039" s="182" t="s">
        <v>132</v>
      </c>
      <c r="B1039" s="414"/>
      <c r="C1039" s="963">
        <v>12.618</v>
      </c>
      <c r="D1039" s="963">
        <v>27.995999999999999</v>
      </c>
      <c r="E1039" s="963">
        <v>61.582000000000001</v>
      </c>
      <c r="F1039" s="963">
        <v>73.947999999999993</v>
      </c>
      <c r="G1039" s="857">
        <v>17.745999999999999</v>
      </c>
      <c r="H1039" s="857">
        <v>35.701000000000001</v>
      </c>
      <c r="I1039" s="857">
        <v>54.177999999999997</v>
      </c>
      <c r="J1039" s="857">
        <v>73.099999999999994</v>
      </c>
      <c r="K1039" s="963">
        <v>73.099999999999994</v>
      </c>
      <c r="L1039" s="857">
        <v>25.824999999999999</v>
      </c>
      <c r="M1039" s="857">
        <v>55.11</v>
      </c>
      <c r="N1039" s="857">
        <v>84.988</v>
      </c>
      <c r="O1039" s="857">
        <v>115.239</v>
      </c>
      <c r="P1039" s="963">
        <v>115.239</v>
      </c>
      <c r="Q1039" s="857">
        <v>27.440999999999999</v>
      </c>
      <c r="R1039" s="857">
        <v>56.030999999999999</v>
      </c>
      <c r="S1039" s="857">
        <v>88.864999999999995</v>
      </c>
      <c r="T1039" s="857">
        <v>124.72499999999999</v>
      </c>
      <c r="U1039" s="963">
        <v>124.72499999999999</v>
      </c>
      <c r="V1039" s="857">
        <v>42.421999999999997</v>
      </c>
      <c r="W1039" s="857">
        <v>86.534000000000006</v>
      </c>
      <c r="X1039" s="857">
        <v>130.029</v>
      </c>
      <c r="Y1039" s="757">
        <f>Z1039</f>
      </c>
      <c r="Z1039" s="963">
        <v>173.67500000000001</v>
      </c>
      <c r="AA1039" s="857">
        <v>44.887999999999998</v>
      </c>
      <c r="AB1039" s="857">
        <v>88.915999999999997</v>
      </c>
      <c r="AC1039" s="857">
        <v>133.679</v>
      </c>
      <c r="AD1039" s="757">
        <f t="shared" ref="AD1039:AD1045" si="2344">AE1039</f>
      </c>
      <c r="AE1039" s="963">
        <v>182.209</v>
      </c>
      <c r="AF1039" s="857">
        <v>68.394999999999996</v>
      </c>
      <c r="AG1039" s="857">
        <v>149.62700000000001</v>
      </c>
      <c r="AH1039" s="857">
        <v>231.94300000000001</v>
      </c>
      <c r="AI1039" s="757">
        <f t="shared" ref="AI1039:AI1045" si="2345">AJ1039</f>
      </c>
      <c r="AJ1039" s="963">
        <v>320.65699999999998</v>
      </c>
      <c r="AK1039" s="857">
        <v>101.2</v>
      </c>
      <c r="AL1039" s="857">
        <v>205.048</v>
      </c>
      <c r="AM1039" s="857">
        <v>305.31</v>
      </c>
      <c r="AN1039" s="757">
        <f t="shared" ref="AN1039:AN1045" si="2346">AO1039</f>
      </c>
      <c r="AO1039" s="963">
        <v>405.37599999999998</v>
      </c>
      <c r="AP1039" s="857">
        <v>97.019000000000005</v>
      </c>
      <c r="AQ1039" s="857">
        <v>201.22900000000001</v>
      </c>
      <c r="AR1039" s="857">
        <v>307.58600000000001</v>
      </c>
      <c r="AS1039" s="757">
        <f t="shared" ref="AS1039:AS1045" si="2347">AT1039</f>
      </c>
      <c r="AT1039" s="963">
        <v>415.18</v>
      </c>
      <c r="AU1039" s="857">
        <v>107.23</v>
      </c>
      <c r="AV1039" s="857">
        <v>208.81299999999999</v>
      </c>
      <c r="AW1039" s="857">
        <v>303.89100000000002</v>
      </c>
      <c r="AX1039" s="757">
        <f t="shared" ref="AX1039:AX1045" si="2348">AY1039</f>
      </c>
      <c r="AY1039" s="963">
        <v>403.22</v>
      </c>
      <c r="AZ1039" s="857">
        <v>119.209</v>
      </c>
      <c r="BA1039" s="857">
        <v>269.601</v>
      </c>
      <c r="BB1039" s="857">
        <v>421.66300000000001</v>
      </c>
      <c r="BC1039" s="757">
        <f t="shared" ref="BC1039:BC1045" si="2349">BD1039</f>
      </c>
      <c r="BD1039" s="963">
        <v>575.452</v>
      </c>
      <c r="BE1039" s="857">
        <v>99.099000000000004</v>
      </c>
      <c r="BF1039" s="857">
        <v>177.12899999999999</v>
      </c>
      <c r="BG1039" s="857">
        <v>256.84899999999999</v>
      </c>
      <c r="BH1039" s="757">
        <f t="shared" si="2341"/>
      </c>
      <c r="BI1039" s="963">
        <v>339.36799999999999</v>
      </c>
      <c r="BJ1039" s="857">
        <v>76.344999999999999</v>
      </c>
      <c r="BK1039" s="857">
        <v>145.11099999999999</v>
      </c>
      <c r="BL1039" s="857">
        <v>210.761</v>
      </c>
      <c r="BM1039" s="757">
        <f t="shared" ref="BM1039:BM1046" si="2350">BN1039</f>
      </c>
      <c r="BN1039" s="963">
        <v>272.58800000000002</v>
      </c>
      <c r="BO1039" s="857">
        <v>71.977000000000004</v>
      </c>
      <c r="BP1039" s="857">
        <v>152.839</v>
      </c>
      <c r="BQ1039" s="857">
        <v>233.82499999999999</v>
      </c>
      <c r="BR1039" s="757">
        <f t="shared" ref="BR1039:BR1045" si="2351">BS1039</f>
      </c>
      <c r="BS1039" s="963">
        <v>368.44900000000001</v>
      </c>
      <c r="BT1039" s="864">
        <v>140.405</v>
      </c>
      <c r="BU1039" s="757"/>
      <c r="BV1039" s="757"/>
      <c r="BW1039" s="757"/>
      <c r="BX1039" s="962"/>
      <c r="BY1039" s="757"/>
      <c r="BZ1039" s="757"/>
      <c r="CA1039" s="757"/>
      <c r="CB1039" s="757"/>
      <c r="CC1039" s="962"/>
      <c r="CD1039" s="962"/>
      <c r="CE1039" s="962"/>
      <c r="CF1039" s="962"/>
      <c r="CG1039" s="459"/>
    </row>
    <row r="1040" spans="1:85" s="587" customFormat="1" hidden="1" outlineLevel="1" x14ac:dyDescent="0.3">
      <c r="A1040" s="182" t="s">
        <v>133</v>
      </c>
      <c r="B1040" s="414"/>
      <c r="C1040" s="963">
        <v>-12.683</v>
      </c>
      <c r="D1040" s="963">
        <v>-62.213999999999999</v>
      </c>
      <c r="E1040" s="963">
        <v>-45.783999999999999</v>
      </c>
      <c r="F1040" s="963">
        <v>-4.5430000000000001</v>
      </c>
      <c r="G1040" s="857">
        <v>-11.615</v>
      </c>
      <c r="H1040" s="857">
        <v>-31.983000000000001</v>
      </c>
      <c r="I1040" s="857">
        <v>-52.475000000000001</v>
      </c>
      <c r="J1040" s="857">
        <v>-81.662999999999997</v>
      </c>
      <c r="K1040" s="963">
        <v>-81.662999999999997</v>
      </c>
      <c r="L1040" s="857">
        <v>-32.731999999999999</v>
      </c>
      <c r="M1040" s="857">
        <v>-47.36</v>
      </c>
      <c r="N1040" s="857">
        <v>-68.42</v>
      </c>
      <c r="O1040" s="857">
        <v>-89.340999999999994</v>
      </c>
      <c r="P1040" s="963">
        <v>-89.340999999999994</v>
      </c>
      <c r="Q1040" s="857">
        <v>-29.001000000000001</v>
      </c>
      <c r="R1040" s="857">
        <v>-68.427999999999997</v>
      </c>
      <c r="S1040" s="857">
        <v>-106.154</v>
      </c>
      <c r="T1040" s="857">
        <v>-80.471000000000004</v>
      </c>
      <c r="U1040" s="963">
        <v>-80.471000000000004</v>
      </c>
      <c r="V1040" s="857">
        <v>-11.316000000000001</v>
      </c>
      <c r="W1040" s="857">
        <v>-24.638999999999999</v>
      </c>
      <c r="X1040" s="857">
        <v>-37.401000000000003</v>
      </c>
      <c r="Y1040" s="757">
        <f>Z1040</f>
      </c>
      <c r="Z1040" s="963">
        <v>-65.120999999999995</v>
      </c>
      <c r="AA1040" s="857">
        <v>0</v>
      </c>
      <c r="AB1040" s="857">
        <v>0</v>
      </c>
      <c r="AC1040" s="757"/>
      <c r="AD1040" s="757">
        <f t="shared" si="2344"/>
      </c>
      <c r="AE1040" s="962"/>
      <c r="AF1040" s="757"/>
      <c r="AG1040" s="757"/>
      <c r="AH1040" s="757"/>
      <c r="AI1040" s="757">
        <f t="shared" si="2345"/>
      </c>
      <c r="AJ1040" s="962"/>
      <c r="AK1040" s="757"/>
      <c r="AL1040" s="757"/>
      <c r="AM1040" s="757"/>
      <c r="AN1040" s="757">
        <f t="shared" si="2346"/>
      </c>
      <c r="AO1040" s="962"/>
      <c r="AP1040" s="757"/>
      <c r="AQ1040" s="757"/>
      <c r="AR1040" s="757"/>
      <c r="AS1040" s="757">
        <f t="shared" si="2347"/>
      </c>
      <c r="AT1040" s="962"/>
      <c r="AU1040" s="757"/>
      <c r="AV1040" s="757"/>
      <c r="AW1040" s="757"/>
      <c r="AX1040" s="757">
        <f t="shared" si="2348"/>
      </c>
      <c r="AY1040" s="962"/>
      <c r="AZ1040" s="757"/>
      <c r="BA1040" s="757"/>
      <c r="BB1040" s="757"/>
      <c r="BC1040" s="757">
        <f t="shared" si="2349"/>
      </c>
      <c r="BD1040" s="962"/>
      <c r="BE1040" s="757"/>
      <c r="BF1040" s="757"/>
      <c r="BG1040" s="757"/>
      <c r="BH1040" s="757">
        <f t="shared" si="2341"/>
      </c>
      <c r="BI1040" s="962"/>
      <c r="BJ1040" s="757"/>
      <c r="BK1040" s="757"/>
      <c r="BL1040" s="757"/>
      <c r="BM1040" s="757">
        <f t="shared" si="2350"/>
      </c>
      <c r="BN1040" s="962"/>
      <c r="BO1040" s="757"/>
      <c r="BP1040" s="757"/>
      <c r="BQ1040" s="757"/>
      <c r="BR1040" s="757">
        <f t="shared" si="2351"/>
      </c>
      <c r="BS1040" s="962"/>
      <c r="BT1040" s="758"/>
      <c r="BU1040" s="757"/>
      <c r="BV1040" s="757"/>
      <c r="BW1040" s="757"/>
      <c r="BX1040" s="962"/>
      <c r="BY1040" s="757"/>
      <c r="BZ1040" s="757"/>
      <c r="CA1040" s="757"/>
      <c r="CB1040" s="757"/>
      <c r="CC1040" s="962"/>
      <c r="CD1040" s="962"/>
      <c r="CE1040" s="962"/>
      <c r="CF1040" s="962"/>
      <c r="CG1040" s="459"/>
    </row>
    <row r="1041" spans="1:85" s="587" customFormat="1" hidden="1" outlineLevel="1" x14ac:dyDescent="0.3">
      <c r="A1041" s="182" t="s">
        <v>134</v>
      </c>
      <c r="B1041" s="414"/>
      <c r="C1041" s="963">
        <f>-7.637+0.254-1.509</f>
      </c>
      <c r="D1041" s="963">
        <v>-9.1280000000000001</v>
      </c>
      <c r="E1041" s="963">
        <v>-4.05</v>
      </c>
      <c r="F1041" s="963">
        <v>-8.3919999999999995</v>
      </c>
      <c r="G1041" s="857">
        <v>1.75</v>
      </c>
      <c r="H1041" s="857">
        <v>2.9380000000000002</v>
      </c>
      <c r="I1041" s="857">
        <v>4.9320000000000004</v>
      </c>
      <c r="J1041" s="857">
        <v>5.3319999999999999</v>
      </c>
      <c r="K1041" s="963">
        <v>5.3319999999999999</v>
      </c>
      <c r="L1041" s="857">
        <v>2.1960000000000002</v>
      </c>
      <c r="M1041" s="857">
        <v>5.4470000000000001</v>
      </c>
      <c r="N1041" s="857">
        <v>8.8070000000000004</v>
      </c>
      <c r="O1041" s="857">
        <v>15.282</v>
      </c>
      <c r="P1041" s="963">
        <v>15.282</v>
      </c>
      <c r="Q1041" s="857">
        <v>6.306</v>
      </c>
      <c r="R1041" s="857">
        <v>12.988</v>
      </c>
      <c r="S1041" s="857">
        <v>23.853999999999999</v>
      </c>
      <c r="T1041" s="857">
        <v>31.628</v>
      </c>
      <c r="U1041" s="963">
        <v>31.628</v>
      </c>
      <c r="V1041" s="857">
        <v>12.757</v>
      </c>
      <c r="W1041" s="857">
        <v>21.797000000000001</v>
      </c>
      <c r="X1041" s="857">
        <v>31.478999999999999</v>
      </c>
      <c r="Y1041" s="757">
        <f>Z1041</f>
      </c>
      <c r="Z1041" s="963">
        <v>40.908999999999999</v>
      </c>
      <c r="AA1041" s="857">
        <v>21.666</v>
      </c>
      <c r="AB1041" s="857">
        <v>33.185000000000002</v>
      </c>
      <c r="AC1041" s="857">
        <v>43.081000000000003</v>
      </c>
      <c r="AD1041" s="757">
        <f t="shared" si="2344"/>
      </c>
      <c r="AE1041" s="963">
        <v>57.207000000000001</v>
      </c>
      <c r="AF1041" s="857">
        <v>8.2089999999999996</v>
      </c>
      <c r="AG1041" s="857">
        <v>22.13</v>
      </c>
      <c r="AH1041" s="857">
        <v>31.091999999999999</v>
      </c>
      <c r="AI1041" s="757">
        <f t="shared" si="2345"/>
      </c>
      <c r="AJ1041" s="963">
        <v>40.427999999999997</v>
      </c>
      <c r="AK1041" s="857">
        <v>45.707999999999998</v>
      </c>
      <c r="AL1041" s="857">
        <v>106.40300000000001</v>
      </c>
      <c r="AM1041" s="857">
        <v>164.33699999999999</v>
      </c>
      <c r="AN1041" s="757">
        <f t="shared" si="2346"/>
      </c>
      <c r="AO1041" s="963">
        <v>228.23</v>
      </c>
      <c r="AP1041" s="857">
        <v>65.447999999999993</v>
      </c>
      <c r="AQ1041" s="857">
        <v>135.749</v>
      </c>
      <c r="AR1041" s="857">
        <v>219.6</v>
      </c>
      <c r="AS1041" s="757">
        <f t="shared" si="2347"/>
      </c>
      <c r="AT1041" s="963">
        <v>293.12599999999998</v>
      </c>
      <c r="AU1041" s="857">
        <v>72.656999999999996</v>
      </c>
      <c r="AV1041" s="857">
        <v>180.76</v>
      </c>
      <c r="AW1041" s="857">
        <v>282.971</v>
      </c>
      <c r="AX1041" s="757">
        <f t="shared" si="2348"/>
      </c>
      <c r="AY1041" s="963">
        <v>376.77699999999999</v>
      </c>
      <c r="AZ1041" s="857">
        <v>101.968</v>
      </c>
      <c r="BA1041" s="857">
        <v>307.34199999999998</v>
      </c>
      <c r="BB1041" s="857">
        <v>409.85500000000002</v>
      </c>
      <c r="BC1041" s="757">
        <f t="shared" si="2349"/>
      </c>
      <c r="BD1041" s="963">
        <v>533.54300000000001</v>
      </c>
      <c r="BE1041" s="857">
        <v>120.008</v>
      </c>
      <c r="BF1041" s="857">
        <v>241.49100000000001</v>
      </c>
      <c r="BG1041" s="857">
        <v>357.17899999999997</v>
      </c>
      <c r="BH1041" s="757">
        <f t="shared" si="2341"/>
      </c>
      <c r="BI1041" s="963">
        <v>512.07500000000005</v>
      </c>
      <c r="BJ1041" s="857">
        <v>97.180999999999997</v>
      </c>
      <c r="BK1041" s="857">
        <v>235.76900000000001</v>
      </c>
      <c r="BL1041" s="857">
        <v>363.851</v>
      </c>
      <c r="BM1041" s="757">
        <f t="shared" si="2350"/>
      </c>
      <c r="BN1041" s="963">
        <v>494.77800000000002</v>
      </c>
      <c r="BO1041" s="857">
        <v>114.73</v>
      </c>
      <c r="BP1041" s="857">
        <v>234.869</v>
      </c>
      <c r="BQ1041" s="857">
        <v>377.16199999999998</v>
      </c>
      <c r="BR1041" s="757">
        <f t="shared" si="2351"/>
      </c>
      <c r="BS1041" s="963">
        <v>577.45100000000002</v>
      </c>
      <c r="BT1041" s="864">
        <v>198.227</v>
      </c>
      <c r="BU1041" s="757"/>
      <c r="BV1041" s="757"/>
      <c r="BW1041" s="757"/>
      <c r="BX1041" s="962"/>
      <c r="BY1041" s="757"/>
      <c r="BZ1041" s="757"/>
      <c r="CA1041" s="757"/>
      <c r="CB1041" s="757"/>
      <c r="CC1041" s="962"/>
      <c r="CD1041" s="962"/>
      <c r="CE1041" s="962"/>
      <c r="CF1041" s="962"/>
      <c r="CG1041" s="459"/>
    </row>
    <row r="1042" spans="1:85" s="587" customFormat="1" hidden="1" outlineLevel="1" x14ac:dyDescent="0.3">
      <c r="A1042" s="182" t="s">
        <v>53</v>
      </c>
      <c r="B1042" s="414"/>
      <c r="C1042" s="963">
        <v>0</v>
      </c>
      <c r="D1042" s="963">
        <v>0</v>
      </c>
      <c r="E1042" s="963">
        <v>0</v>
      </c>
      <c r="F1042" s="963">
        <v>0</v>
      </c>
      <c r="G1042" s="857">
        <v>25.129000000000001</v>
      </c>
      <c r="H1042" s="857">
        <v>25.129000000000001</v>
      </c>
      <c r="I1042" s="857">
        <v>25.129000000000001</v>
      </c>
      <c r="J1042" s="857">
        <v>25.129000000000001</v>
      </c>
      <c r="K1042" s="963">
        <v>25.129000000000001</v>
      </c>
      <c r="L1042" s="857">
        <v>0</v>
      </c>
      <c r="M1042" s="857">
        <v>0</v>
      </c>
      <c r="N1042" s="857">
        <v>0</v>
      </c>
      <c r="O1042" s="857">
        <v>0</v>
      </c>
      <c r="P1042" s="963">
        <v>0</v>
      </c>
      <c r="Q1042" s="857">
        <v>0</v>
      </c>
      <c r="R1042" s="857">
        <v>0</v>
      </c>
      <c r="S1042" s="857">
        <v>0</v>
      </c>
      <c r="T1042" s="857">
        <v>0</v>
      </c>
      <c r="U1042" s="963">
        <v>0</v>
      </c>
      <c r="V1042" s="757"/>
      <c r="W1042" s="757"/>
      <c r="X1042" s="757"/>
      <c r="Y1042" s="757">
        <f>Z1042</f>
      </c>
      <c r="Z1042" s="962"/>
      <c r="AA1042" s="757"/>
      <c r="AB1042" s="757"/>
      <c r="AC1042" s="757"/>
      <c r="AD1042" s="757">
        <f t="shared" si="2344"/>
      </c>
      <c r="AE1042" s="962"/>
      <c r="AF1042" s="757"/>
      <c r="AG1042" s="757"/>
      <c r="AH1042" s="757"/>
      <c r="AI1042" s="757">
        <f t="shared" si="2345"/>
      </c>
      <c r="AJ1042" s="962"/>
      <c r="AK1042" s="757"/>
      <c r="AL1042" s="757"/>
      <c r="AM1042" s="757"/>
      <c r="AN1042" s="757">
        <f t="shared" si="2346"/>
      </c>
      <c r="AO1042" s="962"/>
      <c r="AP1042" s="757"/>
      <c r="AQ1042" s="757"/>
      <c r="AR1042" s="757"/>
      <c r="AS1042" s="757">
        <f t="shared" si="2347"/>
      </c>
      <c r="AT1042" s="962"/>
      <c r="AU1042" s="757"/>
      <c r="AV1042" s="757"/>
      <c r="AW1042" s="757"/>
      <c r="AX1042" s="757">
        <f t="shared" si="2348"/>
      </c>
      <c r="AY1042" s="962"/>
      <c r="AZ1042" s="757"/>
      <c r="BA1042" s="757"/>
      <c r="BB1042" s="757"/>
      <c r="BC1042" s="757">
        <f t="shared" si="2349"/>
      </c>
      <c r="BD1042" s="962"/>
      <c r="BE1042" s="757"/>
      <c r="BF1042" s="757"/>
      <c r="BG1042" s="757"/>
      <c r="BH1042" s="757">
        <f t="shared" si="2341"/>
      </c>
      <c r="BI1042" s="962"/>
      <c r="BJ1042" s="757"/>
      <c r="BK1042" s="757"/>
      <c r="BL1042" s="757"/>
      <c r="BM1042" s="757">
        <f t="shared" si="2350"/>
      </c>
      <c r="BN1042" s="962"/>
      <c r="BO1042" s="757"/>
      <c r="BP1042" s="757"/>
      <c r="BQ1042" s="757"/>
      <c r="BR1042" s="757">
        <f t="shared" si="2351"/>
      </c>
      <c r="BS1042" s="962"/>
      <c r="BT1042" s="758"/>
      <c r="BU1042" s="757"/>
      <c r="BV1042" s="757"/>
      <c r="BW1042" s="757"/>
      <c r="BX1042" s="962"/>
      <c r="BY1042" s="757"/>
      <c r="BZ1042" s="757"/>
      <c r="CA1042" s="757"/>
      <c r="CB1042" s="757"/>
      <c r="CC1042" s="962"/>
      <c r="CD1042" s="962"/>
      <c r="CE1042" s="962"/>
      <c r="CF1042" s="962"/>
      <c r="CG1042" s="459"/>
    </row>
    <row r="1043" spans="1:85" s="587" customFormat="1" hidden="1" outlineLevel="1" x14ac:dyDescent="0.3">
      <c r="A1043" s="182" t="s">
        <v>135</v>
      </c>
      <c r="B1043" s="414"/>
      <c r="C1043" s="962"/>
      <c r="D1043" s="962"/>
      <c r="E1043" s="962"/>
      <c r="F1043" s="962"/>
      <c r="G1043" s="757"/>
      <c r="H1043" s="757"/>
      <c r="I1043" s="757"/>
      <c r="J1043" s="757"/>
      <c r="K1043" s="962"/>
      <c r="L1043" s="757"/>
      <c r="M1043" s="757"/>
      <c r="N1043" s="757"/>
      <c r="O1043" s="757"/>
      <c r="P1043" s="962"/>
      <c r="Q1043" s="757"/>
      <c r="R1043" s="757"/>
      <c r="S1043" s="757"/>
      <c r="T1043" s="757"/>
      <c r="U1043" s="962"/>
      <c r="V1043" s="757"/>
      <c r="W1043" s="757"/>
      <c r="X1043" s="757"/>
      <c r="Y1043" s="757"/>
      <c r="Z1043" s="962"/>
      <c r="AA1043" s="757"/>
      <c r="AB1043" s="857">
        <v>64.22</v>
      </c>
      <c r="AC1043" s="857">
        <v>115.05</v>
      </c>
      <c r="AD1043" s="757">
        <f t="shared" si="2344"/>
      </c>
      <c r="AE1043" s="963">
        <v>140.79</v>
      </c>
      <c r="AF1043" s="857">
        <v>41.08</v>
      </c>
      <c r="AG1043" s="857">
        <v>-44.33</v>
      </c>
      <c r="AH1043" s="857">
        <v>-52</v>
      </c>
      <c r="AI1043" s="757">
        <f t="shared" si="2345"/>
      </c>
      <c r="AJ1043" s="963">
        <v>-73.953000000000003</v>
      </c>
      <c r="AK1043" s="857">
        <v>-57.6</v>
      </c>
      <c r="AL1043" s="857">
        <v>3.6840000000000002</v>
      </c>
      <c r="AM1043" s="857">
        <v>-167.67599999999999</v>
      </c>
      <c r="AN1043" s="757">
        <f t="shared" si="2346"/>
      </c>
      <c r="AO1043" s="963">
        <v>-45.576000000000001</v>
      </c>
      <c r="AP1043" s="857">
        <v>-93.06</v>
      </c>
      <c r="AQ1043" s="857">
        <v>26.100999999999999</v>
      </c>
      <c r="AR1043" s="857">
        <v>275.29500000000002</v>
      </c>
      <c r="AS1043" s="757">
        <f t="shared" si="2347"/>
      </c>
      <c r="AT1043" s="963">
        <v>533.27800000000002</v>
      </c>
      <c r="AU1043" s="857">
        <v>-253.33</v>
      </c>
      <c r="AV1043" s="857">
        <v>-190.256</v>
      </c>
      <c r="AW1043" s="857">
        <v>-326.74400000000003</v>
      </c>
      <c r="AX1043" s="757">
        <f t="shared" si="2348"/>
      </c>
      <c r="AY1043" s="963">
        <v>-430.661</v>
      </c>
      <c r="AZ1043" s="857">
        <v>-161.821</v>
      </c>
      <c r="BA1043" s="857">
        <v>-466.334</v>
      </c>
      <c r="BB1043" s="857">
        <v>-814.79200000000003</v>
      </c>
      <c r="BC1043" s="757">
        <f t="shared" si="2349"/>
      </c>
      <c r="BD1043" s="963">
        <v>-353.11099999999999</v>
      </c>
      <c r="BE1043" s="857">
        <v>80.650999999999996</v>
      </c>
      <c r="BF1043" s="857">
        <v>109.60299999999999</v>
      </c>
      <c r="BG1043" s="857">
        <v>-63.075000000000003</v>
      </c>
      <c r="BH1043" s="757">
        <f t="shared" si="2341"/>
      </c>
      <c r="BI1043" s="963">
        <v>176.29599999999999</v>
      </c>
      <c r="BJ1043" s="857">
        <v>-130.80099999999999</v>
      </c>
      <c r="BK1043" s="857">
        <v>-173.49299999999999</v>
      </c>
      <c r="BL1043" s="857">
        <v>-68.683999999999997</v>
      </c>
      <c r="BM1043" s="757">
        <f t="shared" si="2350"/>
      </c>
      <c r="BN1043" s="963">
        <v>-121.539</v>
      </c>
      <c r="BO1043" s="857">
        <v>28.547000000000001</v>
      </c>
      <c r="BP1043" s="857">
        <v>83.784999999999997</v>
      </c>
      <c r="BQ1043" s="857">
        <v>82.078000000000003</v>
      </c>
      <c r="BR1043" s="757">
        <f t="shared" si="2351"/>
      </c>
      <c r="BS1043" s="963">
        <v>72.347999999999999</v>
      </c>
      <c r="BT1043" s="864">
        <v>-10.11</v>
      </c>
      <c r="BU1043" s="757"/>
      <c r="BV1043" s="757"/>
      <c r="BW1043" s="757"/>
      <c r="BX1043" s="962"/>
      <c r="BY1043" s="757"/>
      <c r="BZ1043" s="757"/>
      <c r="CA1043" s="757"/>
      <c r="CB1043" s="757"/>
      <c r="CC1043" s="962"/>
      <c r="CD1043" s="962"/>
      <c r="CE1043" s="962"/>
      <c r="CF1043" s="962"/>
      <c r="CG1043" s="459"/>
    </row>
    <row r="1044" spans="1:85" s="587" customFormat="1" hidden="1" outlineLevel="1" x14ac:dyDescent="0.3">
      <c r="A1044" s="182" t="s">
        <v>136</v>
      </c>
      <c r="B1044" s="414"/>
      <c r="C1044" s="963">
        <v>6.3280000000000003</v>
      </c>
      <c r="D1044" s="963">
        <v>-0.96199999999999997</v>
      </c>
      <c r="E1044" s="963">
        <v>-18.597000000000001</v>
      </c>
      <c r="F1044" s="963">
        <v>-30.071000000000002</v>
      </c>
      <c r="G1044" s="857">
        <v>-6.7480000000000002</v>
      </c>
      <c r="H1044" s="857">
        <v>-8.7880000000000003</v>
      </c>
      <c r="I1044" s="857">
        <v>-11.212</v>
      </c>
      <c r="J1044" s="857">
        <v>-22.044</v>
      </c>
      <c r="K1044" s="963">
        <v>-22.044</v>
      </c>
      <c r="L1044" s="857">
        <v>-13.103</v>
      </c>
      <c r="M1044" s="857">
        <v>-29.672000000000001</v>
      </c>
      <c r="N1044" s="857">
        <v>-37.564</v>
      </c>
      <c r="O1044" s="857">
        <v>-30.062999999999999</v>
      </c>
      <c r="P1044" s="963">
        <v>-30.062999999999999</v>
      </c>
      <c r="Q1044" s="857">
        <v>-37.042000000000002</v>
      </c>
      <c r="R1044" s="857">
        <v>-41.274000000000001</v>
      </c>
      <c r="S1044" s="857">
        <v>-70.691000000000003</v>
      </c>
      <c r="T1044" s="857">
        <v>-58.655000000000001</v>
      </c>
      <c r="U1044" s="963">
        <v>-58.655000000000001</v>
      </c>
      <c r="V1044" s="857">
        <v>-16.603000000000002</v>
      </c>
      <c r="W1044" s="857">
        <v>-34.478999999999999</v>
      </c>
      <c r="X1044" s="857">
        <v>-20.140999999999998</v>
      </c>
      <c r="Y1044" s="757">
        <f>Z1044</f>
      </c>
      <c r="Z1044" s="963">
        <v>-46.847000000000001</v>
      </c>
      <c r="AA1044" s="857">
        <v>-26.763999999999999</v>
      </c>
      <c r="AB1044" s="857">
        <v>-47.466000000000001</v>
      </c>
      <c r="AC1044" s="857">
        <v>-104.556</v>
      </c>
      <c r="AD1044" s="757">
        <f t="shared" si="2344"/>
      </c>
      <c r="AE1044" s="963">
        <v>-208.68799999999999</v>
      </c>
      <c r="AF1044" s="857">
        <v>-22.048999999999999</v>
      </c>
      <c r="AG1044" s="857">
        <v>-31.588000000000001</v>
      </c>
      <c r="AH1044" s="857">
        <v>-71.040999999999997</v>
      </c>
      <c r="AI1044" s="757">
        <f t="shared" si="2345"/>
      </c>
      <c r="AJ1044" s="963">
        <v>-85.52</v>
      </c>
      <c r="AK1044" s="857">
        <v>6.6269999999999998</v>
      </c>
      <c r="AL1044" s="857">
        <v>42.146000000000001</v>
      </c>
      <c r="AM1044" s="857">
        <v>94.251000000000005</v>
      </c>
      <c r="AN1044" s="757">
        <f t="shared" si="2346"/>
      </c>
      <c r="AO1044" s="963">
        <v>-94.442999999999998</v>
      </c>
      <c r="AP1044" s="857">
        <v>46.619</v>
      </c>
      <c r="AQ1044" s="857">
        <v>269.92700000000002</v>
      </c>
      <c r="AR1044" s="857">
        <v>229.65</v>
      </c>
      <c r="AS1044" s="757">
        <f t="shared" si="2347"/>
      </c>
      <c r="AT1044" s="963">
        <v>70.066000000000003</v>
      </c>
      <c r="AU1044" s="857">
        <v>159.733</v>
      </c>
      <c r="AV1044" s="857">
        <v>210.86</v>
      </c>
      <c r="AW1044" s="857">
        <v>261.827</v>
      </c>
      <c r="AX1044" s="757">
        <f t="shared" si="2348"/>
      </c>
      <c r="AY1044" s="963">
        <v>199.548</v>
      </c>
      <c r="AZ1044" s="857">
        <v>-68.906000000000006</v>
      </c>
      <c r="BA1044" s="857">
        <v>-184.726</v>
      </c>
      <c r="BB1044" s="857">
        <v>-242.523</v>
      </c>
      <c r="BC1044" s="757">
        <f t="shared" si="2349"/>
      </c>
      <c r="BD1044" s="963">
        <v>-166.55</v>
      </c>
      <c r="BE1044" s="857">
        <v>-98.781999999999996</v>
      </c>
      <c r="BF1044" s="857">
        <v>-201.95400000000001</v>
      </c>
      <c r="BG1044" s="857">
        <v>-288.23099999999999</v>
      </c>
      <c r="BH1044" s="757">
        <f t="shared" si="2341"/>
      </c>
      <c r="BI1044" s="963">
        <v>-459.35899999999998</v>
      </c>
      <c r="BJ1044" s="857">
        <v>-107.077</v>
      </c>
      <c r="BK1044" s="857">
        <v>-316.464</v>
      </c>
      <c r="BL1044" s="857">
        <v>-517.44600000000003</v>
      </c>
      <c r="BM1044" s="757">
        <f t="shared" si="2350"/>
      </c>
      <c r="BN1044" s="963">
        <v>-590.69799999999998</v>
      </c>
      <c r="BO1044" s="857">
        <v>-163.928</v>
      </c>
      <c r="BP1044" s="857">
        <v>-299.68299999999999</v>
      </c>
      <c r="BQ1044" s="857">
        <v>-279.14400000000001</v>
      </c>
      <c r="BR1044" s="757">
        <f t="shared" si="2351"/>
      </c>
      <c r="BS1044" s="963">
        <v>-442.05599999999998</v>
      </c>
      <c r="BT1044" s="864">
        <v>58.819000000000003</v>
      </c>
      <c r="BU1044" s="757"/>
      <c r="BV1044" s="757"/>
      <c r="BW1044" s="757"/>
      <c r="BX1044" s="962"/>
      <c r="BY1044" s="757"/>
      <c r="BZ1044" s="757"/>
      <c r="CA1044" s="757"/>
      <c r="CB1044" s="757"/>
      <c r="CC1044" s="962"/>
      <c r="CD1044" s="962"/>
      <c r="CE1044" s="962"/>
      <c r="CF1044" s="962"/>
      <c r="CG1044" s="459"/>
    </row>
    <row r="1045" spans="1:85" s="587" customFormat="1" hidden="1" outlineLevel="1" x14ac:dyDescent="0.3">
      <c r="A1045" s="182" t="s">
        <v>137</v>
      </c>
      <c r="B1045" s="414"/>
      <c r="C1045" s="963">
        <v>-1.7829999999999999</v>
      </c>
      <c r="D1045" s="963">
        <v>0</v>
      </c>
      <c r="E1045" s="963">
        <v>0</v>
      </c>
      <c r="F1045" s="963">
        <v>0</v>
      </c>
      <c r="G1045" s="857">
        <v>0</v>
      </c>
      <c r="H1045" s="857">
        <v>0</v>
      </c>
      <c r="I1045" s="857">
        <v>0</v>
      </c>
      <c r="J1045" s="857">
        <v>0</v>
      </c>
      <c r="K1045" s="963">
        <v>0</v>
      </c>
      <c r="L1045" s="857">
        <v>0</v>
      </c>
      <c r="M1045" s="857">
        <v>0</v>
      </c>
      <c r="N1045" s="857">
        <v>0</v>
      </c>
      <c r="O1045" s="857">
        <v>0</v>
      </c>
      <c r="P1045" s="963">
        <v>0</v>
      </c>
      <c r="Q1045" s="857">
        <v>0</v>
      </c>
      <c r="R1045" s="857">
        <v>0</v>
      </c>
      <c r="S1045" s="857">
        <v>0</v>
      </c>
      <c r="T1045" s="857">
        <v>0</v>
      </c>
      <c r="U1045" s="963">
        <v>0</v>
      </c>
      <c r="V1045" s="757"/>
      <c r="W1045" s="757"/>
      <c r="X1045" s="757"/>
      <c r="Y1045" s="757">
        <f>Z1045</f>
      </c>
      <c r="Z1045" s="962"/>
      <c r="AA1045" s="757"/>
      <c r="AB1045" s="757"/>
      <c r="AC1045" s="757"/>
      <c r="AD1045" s="757">
        <f t="shared" si="2344"/>
      </c>
      <c r="AE1045" s="962"/>
      <c r="AF1045" s="757"/>
      <c r="AG1045" s="757"/>
      <c r="AH1045" s="757"/>
      <c r="AI1045" s="757">
        <f t="shared" si="2345"/>
      </c>
      <c r="AJ1045" s="962"/>
      <c r="AK1045" s="757"/>
      <c r="AL1045" s="757"/>
      <c r="AM1045" s="757"/>
      <c r="AN1045" s="757">
        <f t="shared" si="2346"/>
      </c>
      <c r="AO1045" s="962"/>
      <c r="AP1045" s="757"/>
      <c r="AQ1045" s="757"/>
      <c r="AR1045" s="757"/>
      <c r="AS1045" s="757">
        <f t="shared" si="2347"/>
      </c>
      <c r="AT1045" s="962"/>
      <c r="AU1045" s="757"/>
      <c r="AV1045" s="757"/>
      <c r="AW1045" s="757"/>
      <c r="AX1045" s="757">
        <f t="shared" si="2348"/>
      </c>
      <c r="AY1045" s="962"/>
      <c r="AZ1045" s="757"/>
      <c r="BA1045" s="757"/>
      <c r="BB1045" s="757"/>
      <c r="BC1045" s="757">
        <f t="shared" si="2349"/>
      </c>
      <c r="BD1045" s="962"/>
      <c r="BE1045" s="757"/>
      <c r="BF1045" s="757"/>
      <c r="BG1045" s="757"/>
      <c r="BH1045" s="757">
        <f t="shared" si="2341"/>
      </c>
      <c r="BI1045" s="962"/>
      <c r="BJ1045" s="757"/>
      <c r="BK1045" s="757"/>
      <c r="BL1045" s="757"/>
      <c r="BM1045" s="757">
        <f t="shared" si="2350"/>
      </c>
      <c r="BN1045" s="962"/>
      <c r="BO1045" s="757"/>
      <c r="BP1045" s="757"/>
      <c r="BQ1045" s="757"/>
      <c r="BR1045" s="757">
        <f t="shared" si="2351"/>
      </c>
      <c r="BS1045" s="962"/>
      <c r="BT1045" s="758"/>
      <c r="BU1045" s="757"/>
      <c r="BV1045" s="757"/>
      <c r="BW1045" s="757"/>
      <c r="BX1045" s="962"/>
      <c r="BY1045" s="757"/>
      <c r="BZ1045" s="757"/>
      <c r="CA1045" s="757"/>
      <c r="CB1045" s="757"/>
      <c r="CC1045" s="962"/>
      <c r="CD1045" s="962"/>
      <c r="CE1045" s="962"/>
      <c r="CF1045" s="962"/>
      <c r="CG1045" s="459"/>
    </row>
    <row r="1046" spans="1:85" s="587" customFormat="1" hidden="1" outlineLevel="1" x14ac:dyDescent="0.3">
      <c r="A1046" s="182" t="s">
        <v>855</v>
      </c>
      <c r="B1046" s="414"/>
      <c r="C1046" s="962"/>
      <c r="D1046" s="962"/>
      <c r="E1046" s="962"/>
      <c r="F1046" s="962"/>
      <c r="G1046" s="757"/>
      <c r="H1046" s="757"/>
      <c r="I1046" s="757"/>
      <c r="J1046" s="757"/>
      <c r="K1046" s="962"/>
      <c r="L1046" s="757"/>
      <c r="M1046" s="757"/>
      <c r="N1046" s="757"/>
      <c r="O1046" s="757"/>
      <c r="P1046" s="962"/>
      <c r="Q1046" s="757"/>
      <c r="R1046" s="757"/>
      <c r="S1046" s="757"/>
      <c r="T1046" s="757"/>
      <c r="U1046" s="962"/>
      <c r="V1046" s="757"/>
      <c r="W1046" s="757"/>
      <c r="X1046" s="757"/>
      <c r="Y1046" s="757"/>
      <c r="Z1046" s="962"/>
      <c r="AA1046" s="757"/>
      <c r="AB1046" s="757"/>
      <c r="AC1046" s="757"/>
      <c r="AD1046" s="757"/>
      <c r="AE1046" s="962"/>
      <c r="AF1046" s="757"/>
      <c r="AG1046" s="757"/>
      <c r="AH1046" s="757"/>
      <c r="AI1046" s="757"/>
      <c r="AJ1046" s="962"/>
      <c r="AK1046" s="757"/>
      <c r="AL1046" s="757"/>
      <c r="AM1046" s="757"/>
      <c r="AN1046" s="757"/>
      <c r="AO1046" s="962"/>
      <c r="AP1046" s="757"/>
      <c r="AQ1046" s="757"/>
      <c r="AR1046" s="757"/>
      <c r="AS1046" s="757"/>
      <c r="AT1046" s="962"/>
      <c r="AU1046" s="757"/>
      <c r="AV1046" s="757"/>
      <c r="AW1046" s="757"/>
      <c r="AX1046" s="757"/>
      <c r="AY1046" s="962"/>
      <c r="AZ1046" s="757"/>
      <c r="BA1046" s="757"/>
      <c r="BB1046" s="757"/>
      <c r="BC1046" s="757"/>
      <c r="BD1046" s="962"/>
      <c r="BE1046" s="757"/>
      <c r="BF1046" s="757"/>
      <c r="BG1046" s="757"/>
      <c r="BH1046" s="757">
        <f t="shared" si="2341"/>
      </c>
      <c r="BI1046" s="962"/>
      <c r="BJ1046" s="757"/>
      <c r="BK1046" s="757"/>
      <c r="BL1046" s="757"/>
      <c r="BM1046" s="757">
        <f t="shared" si="2350"/>
      </c>
      <c r="BN1046" s="962"/>
      <c r="BO1046" s="757"/>
      <c r="BP1046" s="757"/>
      <c r="BQ1046" s="757"/>
      <c r="BR1046" s="757"/>
      <c r="BS1046" s="962"/>
      <c r="BT1046" s="758"/>
      <c r="BU1046" s="757"/>
      <c r="BV1046" s="757"/>
      <c r="BW1046" s="757"/>
      <c r="BX1046" s="962"/>
      <c r="BY1046" s="757"/>
      <c r="BZ1046" s="757"/>
      <c r="CA1046" s="757"/>
      <c r="CB1046" s="757"/>
      <c r="CC1046" s="962"/>
      <c r="CD1046" s="962"/>
      <c r="CE1046" s="962"/>
      <c r="CF1046" s="962"/>
      <c r="CG1046" s="459"/>
    </row>
    <row r="1047" spans="1:85" s="587" customFormat="1" hidden="1" outlineLevel="1" x14ac:dyDescent="0.3">
      <c r="A1047" s="2" t="s">
        <v>138</v>
      </c>
      <c r="B1047" s="422"/>
      <c r="C1047" s="986">
        <f t="shared" ref="C1047:AZ1047" si="2352">SUM(C1032:C1046)</f>
      </c>
      <c r="D1047" s="986">
        <f t="shared" si="2352"/>
      </c>
      <c r="E1047" s="986">
        <f t="shared" si="2352"/>
      </c>
      <c r="F1047" s="986">
        <f t="shared" si="2352"/>
      </c>
      <c r="G1047" s="792">
        <f t="shared" si="2352"/>
      </c>
      <c r="H1047" s="792">
        <f t="shared" si="2352"/>
      </c>
      <c r="I1047" s="792">
        <f t="shared" si="2352"/>
      </c>
      <c r="J1047" s="792">
        <f t="shared" si="2352"/>
      </c>
      <c r="K1047" s="986">
        <f t="shared" si="2352"/>
      </c>
      <c r="L1047" s="792">
        <f t="shared" si="2352"/>
      </c>
      <c r="M1047" s="792">
        <f t="shared" si="2352"/>
      </c>
      <c r="N1047" s="792">
        <f t="shared" si="2352"/>
      </c>
      <c r="O1047" s="792">
        <f t="shared" si="2352"/>
      </c>
      <c r="P1047" s="986">
        <f t="shared" si="2352"/>
      </c>
      <c r="Q1047" s="792">
        <f t="shared" si="2352"/>
      </c>
      <c r="R1047" s="792">
        <f t="shared" si="2352"/>
      </c>
      <c r="S1047" s="792">
        <f t="shared" si="2352"/>
      </c>
      <c r="T1047" s="792">
        <f t="shared" si="2352"/>
      </c>
      <c r="U1047" s="986">
        <f t="shared" si="2352"/>
      </c>
      <c r="V1047" s="792">
        <f t="shared" si="2352"/>
      </c>
      <c r="W1047" s="792">
        <f t="shared" si="2352"/>
      </c>
      <c r="X1047" s="792">
        <f t="shared" si="2352"/>
      </c>
      <c r="Y1047" s="791">
        <f t="shared" si="2352"/>
      </c>
      <c r="Z1047" s="965">
        <f t="shared" si="2352"/>
      </c>
      <c r="AA1047" s="792">
        <f t="shared" si="2352"/>
      </c>
      <c r="AB1047" s="792">
        <f t="shared" si="2352"/>
      </c>
      <c r="AC1047" s="792">
        <f t="shared" si="2352"/>
      </c>
      <c r="AD1047" s="791">
        <f t="shared" si="2352"/>
      </c>
      <c r="AE1047" s="965">
        <f t="shared" si="2352"/>
      </c>
      <c r="AF1047" s="792">
        <f t="shared" si="2352"/>
      </c>
      <c r="AG1047" s="792">
        <f t="shared" si="2352"/>
      </c>
      <c r="AH1047" s="792">
        <f t="shared" si="2352"/>
      </c>
      <c r="AI1047" s="791">
        <f t="shared" si="2352"/>
      </c>
      <c r="AJ1047" s="965">
        <f t="shared" si="2352"/>
      </c>
      <c r="AK1047" s="792">
        <f t="shared" si="2352"/>
      </c>
      <c r="AL1047" s="792">
        <f t="shared" si="2352"/>
      </c>
      <c r="AM1047" s="792">
        <f t="shared" si="2352"/>
      </c>
      <c r="AN1047" s="791">
        <f t="shared" si="2352"/>
      </c>
      <c r="AO1047" s="965">
        <f t="shared" si="2352"/>
      </c>
      <c r="AP1047" s="792">
        <f t="shared" si="2352"/>
      </c>
      <c r="AQ1047" s="792">
        <f t="shared" si="2352"/>
      </c>
      <c r="AR1047" s="792">
        <f t="shared" si="2352"/>
      </c>
      <c r="AS1047" s="791">
        <f t="shared" si="2352"/>
      </c>
      <c r="AT1047" s="965">
        <f t="shared" si="2352"/>
      </c>
      <c r="AU1047" s="792">
        <f t="shared" si="2352"/>
      </c>
      <c r="AV1047" s="792">
        <f t="shared" si="2352"/>
      </c>
      <c r="AW1047" s="792">
        <f t="shared" si="2352"/>
      </c>
      <c r="AX1047" s="791">
        <f t="shared" si="2352"/>
      </c>
      <c r="AY1047" s="965">
        <f t="shared" si="2352"/>
      </c>
      <c r="AZ1047" s="792">
        <f t="shared" si="2352"/>
      </c>
      <c r="BA1047" s="791">
        <f t="shared" ref="BA1047:BD1047" si="2353">SUM(BA1032:BA1046)</f>
      </c>
      <c r="BB1047" s="792">
        <f t="shared" si="2353"/>
      </c>
      <c r="BC1047" s="791">
        <f t="shared" si="2353"/>
      </c>
      <c r="BD1047" s="965">
        <f t="shared" si="2353"/>
      </c>
      <c r="BE1047" s="792">
        <f t="shared" ref="BE1047:BJ1047" si="2354">SUM(BE1032:BE1046)</f>
      </c>
      <c r="BF1047" s="791">
        <f t="shared" si="2354"/>
      </c>
      <c r="BG1047" s="792">
        <f t="shared" si="2354"/>
      </c>
      <c r="BH1047" s="791">
        <f t="shared" si="2354"/>
      </c>
      <c r="BI1047" s="965">
        <f t="shared" si="2354"/>
      </c>
      <c r="BJ1047" s="792">
        <f t="shared" si="2354"/>
      </c>
      <c r="BK1047" s="791">
        <f t="shared" ref="BK1047:BP1047" si="2355">SUM(BK1032:BK1046)</f>
      </c>
      <c r="BL1047" s="792">
        <f t="shared" si="2355"/>
      </c>
      <c r="BM1047" s="791">
        <f t="shared" si="2355"/>
      </c>
      <c r="BN1047" s="965">
        <f t="shared" si="2355"/>
      </c>
      <c r="BO1047" s="792">
        <f t="shared" si="2355"/>
      </c>
      <c r="BP1047" s="791">
        <f t="shared" si="2355"/>
      </c>
      <c r="BQ1047" s="792">
        <f>SUM(BQ1032:BQ1046)</f>
      </c>
      <c r="BR1047" s="791">
        <f>SUM(BR1032:BR1046)</f>
      </c>
      <c r="BS1047" s="965">
        <f>SUM(BS1032:BS1046)</f>
      </c>
      <c r="BT1047" s="793">
        <f>SUM(BT1032:BT1046)</f>
      </c>
      <c r="BU1047" s="791"/>
      <c r="BV1047" s="791"/>
      <c r="BW1047" s="791"/>
      <c r="BX1047" s="965"/>
      <c r="BY1047" s="791"/>
      <c r="BZ1047" s="791"/>
      <c r="CA1047" s="791"/>
      <c r="CB1047" s="791"/>
      <c r="CC1047" s="965"/>
      <c r="CD1047" s="965"/>
      <c r="CE1047" s="965"/>
      <c r="CF1047" s="965"/>
      <c r="CG1047" s="183"/>
    </row>
    <row r="1048" spans="1:85" s="587" customFormat="1" hidden="1" outlineLevel="1" x14ac:dyDescent="0.3">
      <c r="A1048" s="182" t="s">
        <v>139</v>
      </c>
      <c r="B1048" s="414"/>
      <c r="C1048" s="963">
        <v>-5.6429999999999998</v>
      </c>
      <c r="D1048" s="963">
        <v>-35.475999999999999</v>
      </c>
      <c r="E1048" s="963">
        <v>6.2110000000000003</v>
      </c>
      <c r="F1048" s="963">
        <v>0</v>
      </c>
      <c r="G1048" s="857">
        <v>0</v>
      </c>
      <c r="H1048" s="857">
        <v>0</v>
      </c>
      <c r="I1048" s="857">
        <v>0</v>
      </c>
      <c r="J1048" s="857">
        <v>0</v>
      </c>
      <c r="K1048" s="963">
        <v>0</v>
      </c>
      <c r="L1048" s="857">
        <v>0</v>
      </c>
      <c r="M1048" s="857">
        <v>0</v>
      </c>
      <c r="N1048" s="857">
        <v>0</v>
      </c>
      <c r="O1048" s="857">
        <v>0</v>
      </c>
      <c r="P1048" s="963">
        <v>0</v>
      </c>
      <c r="Q1048" s="857">
        <v>0</v>
      </c>
      <c r="R1048" s="857">
        <v>0</v>
      </c>
      <c r="S1048" s="857">
        <v>0</v>
      </c>
      <c r="T1048" s="857">
        <v>0</v>
      </c>
      <c r="U1048" s="963">
        <v>0</v>
      </c>
      <c r="V1048" s="757"/>
      <c r="W1048" s="757"/>
      <c r="X1048" s="757"/>
      <c r="Y1048" s="757">
        <f t="shared" ref="Y1048:Y1053" si="2356">Z1048</f>
      </c>
      <c r="Z1048" s="962"/>
      <c r="AA1048" s="857">
        <v>0</v>
      </c>
      <c r="AB1048" s="757"/>
      <c r="AC1048" s="757"/>
      <c r="AD1048" s="757">
        <f t="shared" ref="AD1048:AD1053" si="2357">AE1048</f>
      </c>
      <c r="AE1048" s="962"/>
      <c r="AF1048" s="757"/>
      <c r="AG1048" s="757"/>
      <c r="AH1048" s="757"/>
      <c r="AI1048" s="757">
        <f t="shared" ref="AI1048:AI1053" si="2358">AJ1048</f>
      </c>
      <c r="AJ1048" s="962"/>
      <c r="AK1048" s="757"/>
      <c r="AL1048" s="757"/>
      <c r="AM1048" s="757"/>
      <c r="AN1048" s="757">
        <f t="shared" ref="AN1048:AN1053" si="2359">AO1048</f>
      </c>
      <c r="AO1048" s="962"/>
      <c r="AP1048" s="757"/>
      <c r="AQ1048" s="757"/>
      <c r="AR1048" s="757"/>
      <c r="AS1048" s="757">
        <f t="shared" ref="AS1048:AS1053" si="2360">AT1048</f>
      </c>
      <c r="AT1048" s="962"/>
      <c r="AU1048" s="757"/>
      <c r="AV1048" s="757"/>
      <c r="AW1048" s="757"/>
      <c r="AX1048" s="757">
        <f t="shared" ref="AX1048:AX1053" si="2361">AY1048</f>
      </c>
      <c r="AY1048" s="962"/>
      <c r="AZ1048" s="757"/>
      <c r="BA1048" s="757"/>
      <c r="BB1048" s="757"/>
      <c r="BC1048" s="757">
        <f t="shared" ref="BC1048:BC1053" si="2362">BD1048</f>
      </c>
      <c r="BD1048" s="962"/>
      <c r="BE1048" s="757"/>
      <c r="BF1048" s="757"/>
      <c r="BG1048" s="757"/>
      <c r="BH1048" s="757">
        <f t="shared" ref="BH1048:BH1053" si="2363">BI1048</f>
      </c>
      <c r="BI1048" s="962"/>
      <c r="BJ1048" s="757"/>
      <c r="BK1048" s="757"/>
      <c r="BL1048" s="757"/>
      <c r="BM1048" s="757">
        <f t="shared" ref="BM1048:BM1053" si="2364">BN1048</f>
      </c>
      <c r="BN1048" s="962"/>
      <c r="BO1048" s="757"/>
      <c r="BP1048" s="757"/>
      <c r="BQ1048" s="757"/>
      <c r="BR1048" s="757">
        <f t="shared" ref="BR1048:BR1053" si="2365">BS1048</f>
      </c>
      <c r="BS1048" s="962"/>
      <c r="BT1048" s="758"/>
      <c r="BU1048" s="757"/>
      <c r="BV1048" s="757"/>
      <c r="BW1048" s="757"/>
      <c r="BX1048" s="962"/>
      <c r="BY1048" s="757"/>
      <c r="BZ1048" s="757"/>
      <c r="CA1048" s="757"/>
      <c r="CB1048" s="757"/>
      <c r="CC1048" s="962"/>
      <c r="CD1048" s="962"/>
      <c r="CE1048" s="962"/>
      <c r="CF1048" s="962"/>
      <c r="CG1048" s="459"/>
    </row>
    <row r="1049" spans="1:85" s="587" customFormat="1" hidden="1" outlineLevel="1" x14ac:dyDescent="0.3">
      <c r="A1049" s="182" t="s">
        <v>140</v>
      </c>
      <c r="B1049" s="414"/>
      <c r="C1049" s="963">
        <v>-5.3579999999999997</v>
      </c>
      <c r="D1049" s="963">
        <v>-18.027000000000001</v>
      </c>
      <c r="E1049" s="963">
        <v>-4.7750000000000004</v>
      </c>
      <c r="F1049" s="963">
        <v>-5.4320000000000004</v>
      </c>
      <c r="G1049" s="857">
        <v>-5.7270000000000003</v>
      </c>
      <c r="H1049" s="857">
        <v>28.035</v>
      </c>
      <c r="I1049" s="857">
        <v>37.954999999999998</v>
      </c>
      <c r="J1049" s="857">
        <v>62.234000000000002</v>
      </c>
      <c r="K1049" s="963">
        <v>62.234000000000002</v>
      </c>
      <c r="L1049" s="857">
        <v>35.066000000000003</v>
      </c>
      <c r="M1049" s="857">
        <v>14.381</v>
      </c>
      <c r="N1049" s="857">
        <v>27.341000000000001</v>
      </c>
      <c r="O1049" s="857">
        <v>-9.1980000000000004</v>
      </c>
      <c r="P1049" s="963">
        <v>-9.1980000000000004</v>
      </c>
      <c r="Q1049" s="857">
        <v>23.109000000000002</v>
      </c>
      <c r="R1049" s="857">
        <v>-16.504999999999999</v>
      </c>
      <c r="S1049" s="857">
        <v>54.667000000000002</v>
      </c>
      <c r="T1049" s="857">
        <v>18.693000000000001</v>
      </c>
      <c r="U1049" s="963">
        <v>18.693000000000001</v>
      </c>
      <c r="V1049" s="857">
        <v>14.308</v>
      </c>
      <c r="W1049" s="857">
        <v>38.399000000000001</v>
      </c>
      <c r="X1049" s="857">
        <v>48.649000000000001</v>
      </c>
      <c r="Y1049" s="757">
        <f t="shared" si="2356"/>
      </c>
      <c r="Z1049" s="963">
        <v>46.97</v>
      </c>
      <c r="AA1049" s="857">
        <v>-25.402000000000001</v>
      </c>
      <c r="AB1049" s="857">
        <v>-105.601</v>
      </c>
      <c r="AC1049" s="857">
        <v>-147</v>
      </c>
      <c r="AD1049" s="757">
        <f t="shared" si="2357"/>
      </c>
      <c r="AE1049" s="963">
        <v>-234.09</v>
      </c>
      <c r="AF1049" s="857">
        <v>-55.905000000000001</v>
      </c>
      <c r="AG1049" s="857">
        <v>-81.468999999999994</v>
      </c>
      <c r="AH1049" s="857">
        <v>-111.833</v>
      </c>
      <c r="AI1049" s="757">
        <f t="shared" si="2358"/>
      </c>
      <c r="AJ1049" s="963">
        <v>-200.19200000000001</v>
      </c>
      <c r="AK1049" s="857">
        <v>-32.076000000000001</v>
      </c>
      <c r="AL1049" s="857">
        <v>-56.307000000000002</v>
      </c>
      <c r="AM1049" s="857">
        <v>-56.161999999999999</v>
      </c>
      <c r="AN1049" s="757">
        <f t="shared" si="2359"/>
      </c>
      <c r="AO1049" s="963">
        <v>-252.113</v>
      </c>
      <c r="AP1049" s="857">
        <v>-127.35299999999999</v>
      </c>
      <c r="AQ1049" s="857">
        <v>-124.28700000000001</v>
      </c>
      <c r="AR1049" s="857">
        <v>-147.261</v>
      </c>
      <c r="AS1049" s="757">
        <f t="shared" si="2360"/>
      </c>
      <c r="AT1049" s="963">
        <v>-187.62299999999999</v>
      </c>
      <c r="AU1049" s="857">
        <v>-221.55500000000001</v>
      </c>
      <c r="AV1049" s="857">
        <v>-273.928</v>
      </c>
      <c r="AW1049" s="857">
        <v>-369.07299999999998</v>
      </c>
      <c r="AX1049" s="757">
        <f t="shared" si="2361"/>
      </c>
      <c r="AY1049" s="963">
        <v>-369.68099999999998</v>
      </c>
      <c r="AZ1049" s="857">
        <v>41.156999999999996</v>
      </c>
      <c r="BA1049" s="857">
        <v>164.55600000000001</v>
      </c>
      <c r="BB1049" s="857">
        <v>44.484999999999999</v>
      </c>
      <c r="BC1049" s="757">
        <f t="shared" si="2362"/>
      </c>
      <c r="BD1049" s="963">
        <v>-353.834</v>
      </c>
      <c r="BE1049" s="857">
        <v>-88.522000000000006</v>
      </c>
      <c r="BF1049" s="857">
        <v>-271.57100000000003</v>
      </c>
      <c r="BG1049" s="857">
        <v>-167.80500000000001</v>
      </c>
      <c r="BH1049" s="757">
        <f t="shared" si="2363"/>
      </c>
      <c r="BI1049" s="963">
        <v>-181.00299999999999</v>
      </c>
      <c r="BJ1049" s="857">
        <v>38.048999999999999</v>
      </c>
      <c r="BK1049" s="857">
        <v>9.09</v>
      </c>
      <c r="BL1049" s="857">
        <v>64.046000000000006</v>
      </c>
      <c r="BM1049" s="757">
        <f t="shared" si="2364"/>
      </c>
      <c r="BN1049" s="963">
        <v>22.18</v>
      </c>
      <c r="BO1049" s="857">
        <v>-131.36699999999999</v>
      </c>
      <c r="BP1049" s="857">
        <v>-308.05</v>
      </c>
      <c r="BQ1049" s="857">
        <v>-477.64699999999999</v>
      </c>
      <c r="BR1049" s="757">
        <f t="shared" si="2365"/>
      </c>
      <c r="BS1049" s="963">
        <v>-790.66099999999994</v>
      </c>
      <c r="BT1049" s="864">
        <v>-704.64</v>
      </c>
      <c r="BU1049" s="757"/>
      <c r="BV1049" s="757"/>
      <c r="BW1049" s="757"/>
      <c r="BX1049" s="962"/>
      <c r="BY1049" s="757"/>
      <c r="BZ1049" s="757"/>
      <c r="CA1049" s="757"/>
      <c r="CB1049" s="757"/>
      <c r="CC1049" s="962"/>
      <c r="CD1049" s="962"/>
      <c r="CE1049" s="962"/>
      <c r="CF1049" s="962"/>
      <c r="CG1049" s="459"/>
    </row>
    <row r="1050" spans="1:85" s="587" customFormat="1" hidden="1" outlineLevel="1" x14ac:dyDescent="0.3">
      <c r="A1050" s="182" t="s">
        <v>141</v>
      </c>
      <c r="B1050" s="414"/>
      <c r="C1050" s="963">
        <v>-1.1890000000000001</v>
      </c>
      <c r="D1050" s="963">
        <v>18.097999999999999</v>
      </c>
      <c r="E1050" s="963">
        <v>23.968</v>
      </c>
      <c r="F1050" s="963">
        <v>-4.9429999999999996</v>
      </c>
      <c r="G1050" s="857">
        <v>17.018999999999998</v>
      </c>
      <c r="H1050" s="857">
        <v>11.881</v>
      </c>
      <c r="I1050" s="857">
        <v>6.0039999999999996</v>
      </c>
      <c r="J1050" s="857">
        <v>18.373999999999999</v>
      </c>
      <c r="K1050" s="963">
        <v>18.373999999999999</v>
      </c>
      <c r="L1050" s="857">
        <v>22.812000000000001</v>
      </c>
      <c r="M1050" s="857">
        <v>19.725999999999999</v>
      </c>
      <c r="N1050" s="857">
        <v>32.728999999999999</v>
      </c>
      <c r="O1050" s="857">
        <v>83.811999999999998</v>
      </c>
      <c r="P1050" s="963">
        <v>83.811999999999998</v>
      </c>
      <c r="Q1050" s="857">
        <v>-10.625</v>
      </c>
      <c r="R1050" s="857">
        <v>-4.1779999999999999</v>
      </c>
      <c r="S1050" s="857">
        <v>2.5840000000000001</v>
      </c>
      <c r="T1050" s="857">
        <v>51.615000000000002</v>
      </c>
      <c r="U1050" s="963">
        <v>51.615000000000002</v>
      </c>
      <c r="V1050" s="857">
        <v>-19.898</v>
      </c>
      <c r="W1050" s="857">
        <v>-11.103</v>
      </c>
      <c r="X1050" s="857">
        <v>16.707000000000001</v>
      </c>
      <c r="Y1050" s="757">
        <f t="shared" si="2356"/>
      </c>
      <c r="Z1050" s="963">
        <v>32.247</v>
      </c>
      <c r="AA1050" s="857">
        <v>-11</v>
      </c>
      <c r="AB1050" s="857">
        <v>-23.439</v>
      </c>
      <c r="AC1050" s="857">
        <v>10.59</v>
      </c>
      <c r="AD1050" s="757">
        <f t="shared" si="2357"/>
      </c>
      <c r="AE1050" s="963">
        <v>74.558999999999997</v>
      </c>
      <c r="AF1050" s="857">
        <v>74.082999999999998</v>
      </c>
      <c r="AG1050" s="857">
        <v>81.816000000000003</v>
      </c>
      <c r="AH1050" s="857">
        <v>77.367000000000004</v>
      </c>
      <c r="AI1050" s="757">
        <f t="shared" si="2358"/>
      </c>
      <c r="AJ1050" s="963">
        <v>199.19800000000001</v>
      </c>
      <c r="AK1050" s="857">
        <v>-124.467</v>
      </c>
      <c r="AL1050" s="857">
        <v>-127.14100000000001</v>
      </c>
      <c r="AM1050" s="857">
        <v>-134.78399999999999</v>
      </c>
      <c r="AN1050" s="757">
        <f t="shared" si="2359"/>
      </c>
      <c r="AO1050" s="963">
        <v>96.063000000000002</v>
      </c>
      <c r="AP1050" s="857">
        <v>-149.15299999999999</v>
      </c>
      <c r="AQ1050" s="857">
        <v>-261.18</v>
      </c>
      <c r="AR1050" s="857">
        <v>-149.50299999999999</v>
      </c>
      <c r="AS1050" s="757">
        <f t="shared" si="2360"/>
      </c>
      <c r="AT1050" s="963">
        <v>-41.604999999999997</v>
      </c>
      <c r="AU1050" s="857">
        <v>-137.31299999999999</v>
      </c>
      <c r="AV1050" s="857">
        <v>-65</v>
      </c>
      <c r="AW1050" s="857">
        <v>-40.164000000000001</v>
      </c>
      <c r="AX1050" s="757">
        <f t="shared" si="2361"/>
      </c>
      <c r="AY1050" s="963">
        <v>145.11500000000001</v>
      </c>
      <c r="AZ1050" s="857">
        <v>-215.44399999999999</v>
      </c>
      <c r="BA1050" s="857">
        <v>-337.49200000000002</v>
      </c>
      <c r="BB1050" s="857">
        <v>-283.61700000000002</v>
      </c>
      <c r="BC1050" s="757">
        <f t="shared" si="2362"/>
      </c>
      <c r="BD1050" s="963">
        <v>-158.54300000000001</v>
      </c>
      <c r="BE1050" s="857">
        <v>-89.668000000000006</v>
      </c>
      <c r="BF1050" s="857">
        <v>-51.335999999999999</v>
      </c>
      <c r="BG1050" s="857">
        <v>-119.726</v>
      </c>
      <c r="BH1050" s="757">
        <f t="shared" si="2363"/>
      </c>
      <c r="BI1050" s="963">
        <v>93.501999999999995</v>
      </c>
      <c r="BJ1050" s="857">
        <v>-145.26499999999999</v>
      </c>
      <c r="BK1050" s="857">
        <v>-164.62299999999999</v>
      </c>
      <c r="BL1050" s="857">
        <v>-134.02600000000001</v>
      </c>
      <c r="BM1050" s="757">
        <f t="shared" si="2364"/>
      </c>
      <c r="BN1050" s="963">
        <v>121.35299999999999</v>
      </c>
      <c r="BO1050" s="857">
        <v>-276.42599999999999</v>
      </c>
      <c r="BP1050" s="857">
        <v>-265.38</v>
      </c>
      <c r="BQ1050" s="857">
        <v>-125.929</v>
      </c>
      <c r="BR1050" s="757">
        <f t="shared" si="2365"/>
      </c>
      <c r="BS1050" s="963">
        <v>-8.0389999999999997</v>
      </c>
      <c r="BT1050" s="864">
        <v>0.154</v>
      </c>
      <c r="BU1050" s="757"/>
      <c r="BV1050" s="757"/>
      <c r="BW1050" s="757"/>
      <c r="BX1050" s="962"/>
      <c r="BY1050" s="757"/>
      <c r="BZ1050" s="757"/>
      <c r="CA1050" s="757"/>
      <c r="CB1050" s="757"/>
      <c r="CC1050" s="962"/>
      <c r="CD1050" s="962"/>
      <c r="CE1050" s="962"/>
      <c r="CF1050" s="962"/>
      <c r="CG1050" s="459"/>
    </row>
    <row r="1051" spans="1:85" s="587" customFormat="1" hidden="1" outlineLevel="1" x14ac:dyDescent="0.3">
      <c r="A1051" s="182" t="s">
        <v>142</v>
      </c>
      <c r="B1051" s="414"/>
      <c r="C1051" s="963">
        <v>13.169</v>
      </c>
      <c r="D1051" s="963">
        <v>67.209000000000003</v>
      </c>
      <c r="E1051" s="963">
        <v>65.56</v>
      </c>
      <c r="F1051" s="963">
        <v>9.8059999999999992</v>
      </c>
      <c r="G1051" s="857">
        <v>-4.1319999999999997</v>
      </c>
      <c r="H1051" s="857">
        <v>6.3620000000000001</v>
      </c>
      <c r="I1051" s="857">
        <v>-5.0890000000000004</v>
      </c>
      <c r="J1051" s="857">
        <v>1.9410000000000001</v>
      </c>
      <c r="K1051" s="963">
        <v>1.9410000000000001</v>
      </c>
      <c r="L1051" s="857">
        <v>-0.442</v>
      </c>
      <c r="M1051" s="857">
        <v>58.566000000000003</v>
      </c>
      <c r="N1051" s="857">
        <v>51.585999999999999</v>
      </c>
      <c r="O1051" s="857">
        <v>55.636000000000003</v>
      </c>
      <c r="P1051" s="963">
        <v>55.636000000000003</v>
      </c>
      <c r="Q1051" s="857">
        <v>35.921999999999997</v>
      </c>
      <c r="R1051" s="857">
        <v>77.546000000000006</v>
      </c>
      <c r="S1051" s="857">
        <v>88.429000000000002</v>
      </c>
      <c r="T1051" s="857">
        <v>48.81</v>
      </c>
      <c r="U1051" s="963">
        <v>48.81</v>
      </c>
      <c r="V1051" s="857">
        <v>41.231999999999999</v>
      </c>
      <c r="W1051" s="857">
        <v>43.331000000000003</v>
      </c>
      <c r="X1051" s="857">
        <v>72.287999999999997</v>
      </c>
      <c r="Y1051" s="757">
        <f t="shared" si="2356"/>
      </c>
      <c r="Z1051" s="963">
        <v>68.706000000000003</v>
      </c>
      <c r="AA1051" s="857">
        <v>93.542000000000002</v>
      </c>
      <c r="AB1051" s="857">
        <v>45.5</v>
      </c>
      <c r="AC1051" s="857">
        <v>119.506</v>
      </c>
      <c r="AD1051" s="757">
        <f t="shared" si="2357"/>
      </c>
      <c r="AE1051" s="963">
        <v>114.337</v>
      </c>
      <c r="AF1051" s="857">
        <v>119.04900000000001</v>
      </c>
      <c r="AG1051" s="857">
        <v>66.197999999999993</v>
      </c>
      <c r="AH1051" s="857">
        <v>200.19800000000001</v>
      </c>
      <c r="AI1051" s="757">
        <f t="shared" si="2358"/>
      </c>
      <c r="AJ1051" s="963">
        <v>150.422</v>
      </c>
      <c r="AK1051" s="857">
        <v>157.64699999999999</v>
      </c>
      <c r="AL1051" s="857">
        <v>130.94200000000001</v>
      </c>
      <c r="AM1051" s="857">
        <v>391.81400000000002</v>
      </c>
      <c r="AN1051" s="757">
        <f t="shared" si="2359"/>
      </c>
      <c r="AO1051" s="963">
        <v>157.77799999999999</v>
      </c>
      <c r="AP1051" s="857">
        <v>214.191</v>
      </c>
      <c r="AQ1051" s="857">
        <v>108.741</v>
      </c>
      <c r="AR1051" s="857">
        <v>374.76799999999997</v>
      </c>
      <c r="AS1051" s="757">
        <f t="shared" si="2360"/>
      </c>
      <c r="AT1051" s="963">
        <v>198.18299999999999</v>
      </c>
      <c r="AU1051" s="857">
        <v>177.89699999999999</v>
      </c>
      <c r="AV1051" s="857">
        <v>6.4669999999999996</v>
      </c>
      <c r="AW1051" s="857">
        <v>276.24099999999999</v>
      </c>
      <c r="AX1051" s="757">
        <f t="shared" si="2361"/>
      </c>
      <c r="AY1051" s="963">
        <v>180.33799999999999</v>
      </c>
      <c r="AZ1051" s="857">
        <v>350.76299999999998</v>
      </c>
      <c r="BA1051" s="857">
        <v>112.044</v>
      </c>
      <c r="BB1051" s="857">
        <v>324.11599999999999</v>
      </c>
      <c r="BC1051" s="757">
        <f t="shared" si="2362"/>
      </c>
      <c r="BD1051" s="963">
        <v>-55.512999999999998</v>
      </c>
      <c r="BE1051" s="857">
        <v>185.29900000000001</v>
      </c>
      <c r="BF1051" s="857">
        <v>363.13</v>
      </c>
      <c r="BG1051" s="857">
        <v>298.101</v>
      </c>
      <c r="BH1051" s="757">
        <f t="shared" si="2363"/>
      </c>
      <c r="BI1051" s="963">
        <v>103.565</v>
      </c>
      <c r="BJ1051" s="857">
        <v>251.78200000000001</v>
      </c>
      <c r="BK1051" s="857">
        <v>137.47900000000001</v>
      </c>
      <c r="BL1051" s="857">
        <v>316.49</v>
      </c>
      <c r="BM1051" s="757">
        <f t="shared" si="2364"/>
      </c>
      <c r="BN1051" s="963">
        <v>191.899</v>
      </c>
      <c r="BO1051" s="857">
        <v>306.41300000000001</v>
      </c>
      <c r="BP1051" s="857">
        <v>39.177999999999997</v>
      </c>
      <c r="BQ1051" s="857">
        <v>746.32899999999995</v>
      </c>
      <c r="BR1051" s="757">
        <f t="shared" si="2365"/>
      </c>
      <c r="BS1051" s="963">
        <v>881.21799999999996</v>
      </c>
      <c r="BT1051" s="864">
        <v>1295.904</v>
      </c>
      <c r="BU1051" s="757"/>
      <c r="BV1051" s="757"/>
      <c r="BW1051" s="757"/>
      <c r="BX1051" s="962"/>
      <c r="BY1051" s="757"/>
      <c r="BZ1051" s="757"/>
      <c r="CA1051" s="757"/>
      <c r="CB1051" s="757"/>
      <c r="CC1051" s="962"/>
      <c r="CD1051" s="962"/>
      <c r="CE1051" s="962"/>
      <c r="CF1051" s="962"/>
      <c r="CG1051" s="459"/>
    </row>
    <row r="1052" spans="1:85" s="587" customFormat="1" hidden="1" outlineLevel="1" x14ac:dyDescent="0.3">
      <c r="A1052" s="182" t="s">
        <v>143</v>
      </c>
      <c r="B1052" s="414"/>
      <c r="C1052" s="963">
        <v>16.97</v>
      </c>
      <c r="D1052" s="963">
        <v>27.085999999999999</v>
      </c>
      <c r="E1052" s="963">
        <v>21.613</v>
      </c>
      <c r="F1052" s="963">
        <v>20.675999999999998</v>
      </c>
      <c r="G1052" s="857">
        <v>9.4060000000000006</v>
      </c>
      <c r="H1052" s="857">
        <v>17.099</v>
      </c>
      <c r="I1052" s="857">
        <v>26.350999999999999</v>
      </c>
      <c r="J1052" s="857">
        <v>46.295000000000002</v>
      </c>
      <c r="K1052" s="963">
        <v>46.295000000000002</v>
      </c>
      <c r="L1052" s="857">
        <v>14.247999999999999</v>
      </c>
      <c r="M1052" s="857">
        <v>25.562999999999999</v>
      </c>
      <c r="N1052" s="857">
        <v>37.189</v>
      </c>
      <c r="O1052" s="857">
        <v>58.819000000000003</v>
      </c>
      <c r="P1052" s="963">
        <v>58.819000000000003</v>
      </c>
      <c r="Q1052" s="857">
        <v>10.754</v>
      </c>
      <c r="R1052" s="857">
        <v>27.167999999999999</v>
      </c>
      <c r="S1052" s="857">
        <v>55.152999999999999</v>
      </c>
      <c r="T1052" s="857">
        <v>72.135000000000005</v>
      </c>
      <c r="U1052" s="963">
        <v>72.135000000000005</v>
      </c>
      <c r="V1052" s="857">
        <v>27.501999999999999</v>
      </c>
      <c r="W1052" s="857">
        <v>50.255000000000003</v>
      </c>
      <c r="X1052" s="857">
        <v>80.484999999999999</v>
      </c>
      <c r="Y1052" s="757">
        <f t="shared" si="2356"/>
      </c>
      <c r="Z1052" s="963">
        <v>96.751000000000005</v>
      </c>
      <c r="AA1052" s="857">
        <v>15.221</v>
      </c>
      <c r="AB1052" s="857">
        <v>61.83</v>
      </c>
      <c r="AC1052" s="857">
        <v>94.777000000000001</v>
      </c>
      <c r="AD1052" s="757">
        <f t="shared" si="2357"/>
      </c>
      <c r="AE1052" s="963">
        <v>177.97399999999999</v>
      </c>
      <c r="AF1052" s="857">
        <v>55.27</v>
      </c>
      <c r="AG1052" s="857">
        <v>79.117999999999995</v>
      </c>
      <c r="AH1052" s="857">
        <v>98.100999999999999</v>
      </c>
      <c r="AI1052" s="757">
        <f t="shared" si="2358"/>
      </c>
      <c r="AJ1052" s="963">
        <v>142.27699999999999</v>
      </c>
      <c r="AK1052" s="857">
        <v>47.792999999999999</v>
      </c>
      <c r="AL1052" s="857">
        <v>131.87799999999999</v>
      </c>
      <c r="AM1052" s="857">
        <v>154.607</v>
      </c>
      <c r="AN1052" s="757">
        <f t="shared" si="2359"/>
      </c>
      <c r="AO1052" s="963">
        <v>163.846</v>
      </c>
      <c r="AP1052" s="857">
        <v>62.008000000000003</v>
      </c>
      <c r="AQ1052" s="857">
        <v>104.51600000000001</v>
      </c>
      <c r="AR1052" s="857">
        <v>115.45699999999999</v>
      </c>
      <c r="AS1052" s="757">
        <f t="shared" si="2360"/>
      </c>
      <c r="AT1052" s="963">
        <v>193.24700000000001</v>
      </c>
      <c r="AU1052" s="857">
        <v>22.279</v>
      </c>
      <c r="AV1052" s="857">
        <v>69.372</v>
      </c>
      <c r="AW1052" s="857">
        <v>64.64</v>
      </c>
      <c r="AX1052" s="757">
        <f t="shared" si="2361"/>
      </c>
      <c r="AY1052" s="963">
        <v>91.35</v>
      </c>
      <c r="AZ1052" s="857">
        <v>16.742999999999999</v>
      </c>
      <c r="BA1052" s="857">
        <v>6.367</v>
      </c>
      <c r="BB1052" s="857">
        <v>-42.052999999999997</v>
      </c>
      <c r="BC1052" s="757">
        <f t="shared" si="2362"/>
      </c>
      <c r="BD1052" s="963">
        <v>27.356000000000002</v>
      </c>
      <c r="BE1052" s="857">
        <v>-2.39</v>
      </c>
      <c r="BF1052" s="857">
        <v>47.256999999999998</v>
      </c>
      <c r="BG1052" s="857">
        <v>41.524000000000001</v>
      </c>
      <c r="BH1052" s="757">
        <f t="shared" si="2363"/>
      </c>
      <c r="BI1052" s="963">
        <v>178.708</v>
      </c>
      <c r="BJ1052" s="857">
        <v>26.515000000000001</v>
      </c>
      <c r="BK1052" s="857">
        <v>30.751000000000001</v>
      </c>
      <c r="BL1052" s="857">
        <v>70.078999999999994</v>
      </c>
      <c r="BM1052" s="757">
        <f t="shared" si="2364"/>
      </c>
      <c r="BN1052" s="963">
        <v>77.843999999999994</v>
      </c>
      <c r="BO1052" s="857">
        <v>88.912999999999997</v>
      </c>
      <c r="BP1052" s="857">
        <v>207.548</v>
      </c>
      <c r="BQ1052" s="857">
        <v>203.86199999999999</v>
      </c>
      <c r="BR1052" s="757">
        <f t="shared" si="2365"/>
      </c>
      <c r="BS1052" s="963">
        <v>254.917</v>
      </c>
      <c r="BT1052" s="864">
        <v>-32.281999999999996</v>
      </c>
      <c r="BU1052" s="757"/>
      <c r="BV1052" s="757"/>
      <c r="BW1052" s="757"/>
      <c r="BX1052" s="962"/>
      <c r="BY1052" s="757"/>
      <c r="BZ1052" s="757"/>
      <c r="CA1052" s="757"/>
      <c r="CB1052" s="757"/>
      <c r="CC1052" s="962"/>
      <c r="CD1052" s="962"/>
      <c r="CE1052" s="962"/>
      <c r="CF1052" s="962"/>
      <c r="CG1052" s="459"/>
    </row>
    <row r="1053" spans="1:85" s="587" customFormat="1" hidden="1" outlineLevel="1" x14ac:dyDescent="0.3">
      <c r="A1053" s="30" t="s">
        <v>144</v>
      </c>
      <c r="B1053" s="416"/>
      <c r="C1053" s="989">
        <v>0.61799999999999999</v>
      </c>
      <c r="D1053" s="989">
        <v>0.64500000000000002</v>
      </c>
      <c r="E1053" s="989">
        <v>3.016</v>
      </c>
      <c r="F1053" s="989">
        <v>4.7190000000000003</v>
      </c>
      <c r="G1053" s="863">
        <v>8.4459999999999997</v>
      </c>
      <c r="H1053" s="863">
        <v>15.557</v>
      </c>
      <c r="I1053" s="863">
        <v>4.76</v>
      </c>
      <c r="J1053" s="863">
        <v>-8.9770000000000003</v>
      </c>
      <c r="K1053" s="989">
        <v>-8.9770000000000003</v>
      </c>
      <c r="L1053" s="863">
        <v>7.2910000000000004</v>
      </c>
      <c r="M1053" s="863">
        <v>10.423999999999999</v>
      </c>
      <c r="N1053" s="863">
        <v>15.747</v>
      </c>
      <c r="O1053" s="863">
        <v>-52.405999999999999</v>
      </c>
      <c r="P1053" s="989">
        <v>-52.405999999999999</v>
      </c>
      <c r="Q1053" s="863">
        <v>21.788</v>
      </c>
      <c r="R1053" s="863">
        <v>21.155000000000001</v>
      </c>
      <c r="S1053" s="863">
        <v>0.61499999999999999</v>
      </c>
      <c r="T1053" s="863">
        <v>-18.366</v>
      </c>
      <c r="U1053" s="989">
        <v>-18.366</v>
      </c>
      <c r="V1053" s="863">
        <v>-29.536000000000001</v>
      </c>
      <c r="W1053" s="863">
        <v>-32.539000000000001</v>
      </c>
      <c r="X1053" s="863">
        <v>-43.603999999999999</v>
      </c>
      <c r="Y1053" s="761">
        <f t="shared" si="2356"/>
      </c>
      <c r="Z1053" s="989">
        <v>-52.293999999999997</v>
      </c>
      <c r="AA1053" s="863">
        <v>8.85</v>
      </c>
      <c r="AB1053" s="863">
        <v>-32.597000000000001</v>
      </c>
      <c r="AC1053" s="863">
        <v>-40.146000000000001</v>
      </c>
      <c r="AD1053" s="761">
        <f t="shared" si="2357"/>
      </c>
      <c r="AE1053" s="989">
        <v>-73.802999999999997</v>
      </c>
      <c r="AF1053" s="863">
        <v>13.83</v>
      </c>
      <c r="AG1053" s="863">
        <v>54.411999999999999</v>
      </c>
      <c r="AH1053" s="863">
        <v>28.803000000000001</v>
      </c>
      <c r="AI1053" s="761">
        <f t="shared" si="2358"/>
      </c>
      <c r="AJ1053" s="989">
        <v>2.0619999999999998</v>
      </c>
      <c r="AK1053" s="863">
        <v>-4.4859999999999998</v>
      </c>
      <c r="AL1053" s="863">
        <v>-30.605</v>
      </c>
      <c r="AM1053" s="863">
        <v>-75.528000000000006</v>
      </c>
      <c r="AN1053" s="761">
        <f t="shared" si="2359"/>
      </c>
      <c r="AO1053" s="989">
        <v>-122.53100000000001</v>
      </c>
      <c r="AP1053" s="863">
        <v>-41.445999999999998</v>
      </c>
      <c r="AQ1053" s="863">
        <v>-80.248999999999995</v>
      </c>
      <c r="AR1053" s="863">
        <v>-100.248</v>
      </c>
      <c r="AS1053" s="761">
        <f t="shared" si="2360"/>
      </c>
      <c r="AT1053" s="989">
        <v>-194.07499999999999</v>
      </c>
      <c r="AU1053" s="863">
        <v>-61.368000000000002</v>
      </c>
      <c r="AV1053" s="863">
        <v>-133.911</v>
      </c>
      <c r="AW1053" s="863">
        <v>-144.92500000000001</v>
      </c>
      <c r="AX1053" s="761">
        <f t="shared" si="2361"/>
      </c>
      <c r="AY1053" s="989">
        <v>-289.09899999999999</v>
      </c>
      <c r="AZ1053" s="863">
        <v>-167.93100000000001</v>
      </c>
      <c r="BA1053" s="863">
        <v>-42.890999999999998</v>
      </c>
      <c r="BB1053" s="863">
        <v>-47.075000000000003</v>
      </c>
      <c r="BC1053" s="761">
        <f t="shared" si="2362"/>
      </c>
      <c r="BD1053" s="989">
        <v>-217.553</v>
      </c>
      <c r="BE1053" s="863">
        <v>-68.936999999999998</v>
      </c>
      <c r="BF1053" s="863">
        <v>-186.887</v>
      </c>
      <c r="BG1053" s="863">
        <v>-227.24600000000001</v>
      </c>
      <c r="BH1053" s="761">
        <f t="shared" si="2363"/>
      </c>
      <c r="BI1053" s="989">
        <v>-310.92</v>
      </c>
      <c r="BJ1053" s="863">
        <v>-66.046999999999997</v>
      </c>
      <c r="BK1053" s="863">
        <v>-154.88999999999999</v>
      </c>
      <c r="BL1053" s="863">
        <v>-279.20299999999997</v>
      </c>
      <c r="BM1053" s="761">
        <f t="shared" si="2364"/>
      </c>
      <c r="BN1053" s="989">
        <v>-446.351</v>
      </c>
      <c r="BO1053" s="863">
        <v>-82.28</v>
      </c>
      <c r="BP1053" s="863">
        <v>-452.904</v>
      </c>
      <c r="BQ1053" s="863">
        <v>-550.47299999999996</v>
      </c>
      <c r="BR1053" s="761">
        <f t="shared" si="2365"/>
      </c>
      <c r="BS1053" s="989">
        <v>-793.65499999999997</v>
      </c>
      <c r="BT1053" s="873">
        <v>-453.83699999999999</v>
      </c>
      <c r="BU1053" s="761"/>
      <c r="BV1053" s="761"/>
      <c r="BW1053" s="761"/>
      <c r="BX1053" s="984"/>
      <c r="BY1053" s="761"/>
      <c r="BZ1053" s="761"/>
      <c r="CA1053" s="761"/>
      <c r="CB1053" s="761"/>
      <c r="CC1053" s="984"/>
      <c r="CD1053" s="984"/>
      <c r="CE1053" s="984"/>
      <c r="CF1053" s="984"/>
      <c r="CG1053" s="459"/>
    </row>
    <row r="1054" spans="1:85" s="587" customFormat="1" hidden="1" outlineLevel="1" x14ac:dyDescent="0.3">
      <c r="A1054" s="2" t="s">
        <v>145</v>
      </c>
      <c r="B1054" s="422"/>
      <c r="C1054" s="986">
        <f t="shared" ref="C1054:AH1054" si="2366">SUM(C1047:C1053)</f>
      </c>
      <c r="D1054" s="986">
        <f t="shared" si="2366"/>
      </c>
      <c r="E1054" s="986">
        <f t="shared" si="2366"/>
      </c>
      <c r="F1054" s="986">
        <f t="shared" si="2366"/>
      </c>
      <c r="G1054" s="792">
        <f t="shared" si="2366"/>
      </c>
      <c r="H1054" s="792">
        <f t="shared" si="2366"/>
      </c>
      <c r="I1054" s="792">
        <f t="shared" si="2366"/>
      </c>
      <c r="J1054" s="792">
        <f t="shared" si="2366"/>
      </c>
      <c r="K1054" s="986">
        <f t="shared" si="2366"/>
      </c>
      <c r="L1054" s="792">
        <f t="shared" si="2366"/>
      </c>
      <c r="M1054" s="792">
        <f t="shared" si="2366"/>
      </c>
      <c r="N1054" s="792">
        <f t="shared" si="2366"/>
      </c>
      <c r="O1054" s="792">
        <f t="shared" si="2366"/>
      </c>
      <c r="P1054" s="986">
        <f t="shared" si="2366"/>
      </c>
      <c r="Q1054" s="792">
        <f t="shared" si="2366"/>
      </c>
      <c r="R1054" s="792">
        <f t="shared" si="2366"/>
      </c>
      <c r="S1054" s="792">
        <f t="shared" si="2366"/>
      </c>
      <c r="T1054" s="792">
        <f t="shared" si="2366"/>
      </c>
      <c r="U1054" s="986">
        <f t="shared" si="2366"/>
      </c>
      <c r="V1054" s="792">
        <f t="shared" si="2366"/>
      </c>
      <c r="W1054" s="792">
        <f t="shared" si="2366"/>
      </c>
      <c r="X1054" s="792">
        <f t="shared" si="2366"/>
      </c>
      <c r="Y1054" s="791">
        <f t="shared" si="2366"/>
      </c>
      <c r="Z1054" s="965">
        <f t="shared" si="2366"/>
      </c>
      <c r="AA1054" s="792">
        <f t="shared" si="2366"/>
      </c>
      <c r="AB1054" s="792">
        <f t="shared" si="2366"/>
      </c>
      <c r="AC1054" s="792">
        <f t="shared" si="2366"/>
      </c>
      <c r="AD1054" s="791">
        <f t="shared" si="2366"/>
      </c>
      <c r="AE1054" s="965">
        <f t="shared" si="2366"/>
      </c>
      <c r="AF1054" s="792">
        <f t="shared" si="2366"/>
      </c>
      <c r="AG1054" s="792">
        <f t="shared" si="2366"/>
      </c>
      <c r="AH1054" s="792">
        <f t="shared" si="2366"/>
      </c>
      <c r="AI1054" s="791">
        <f t="shared" ref="AI1054:AQ1054" si="2367">SUM(AI1047:AI1053)</f>
      </c>
      <c r="AJ1054" s="965">
        <f t="shared" si="2367"/>
      </c>
      <c r="AK1054" s="792">
        <f t="shared" si="2367"/>
      </c>
      <c r="AL1054" s="792">
        <f t="shared" si="2367"/>
      </c>
      <c r="AM1054" s="792">
        <f t="shared" si="2367"/>
      </c>
      <c r="AN1054" s="791">
        <f t="shared" si="2367"/>
      </c>
      <c r="AO1054" s="965">
        <f t="shared" si="2367"/>
      </c>
      <c r="AP1054" s="792">
        <f t="shared" si="2367"/>
      </c>
      <c r="AQ1054" s="792">
        <f t="shared" si="2367"/>
      </c>
      <c r="AR1054" s="792">
        <f>SUM(AR1047:AR1053)</f>
      </c>
      <c r="AS1054" s="791">
        <f>SUM(AS1047:AS1053)</f>
      </c>
      <c r="AT1054" s="965">
        <f>SUM(AT1047:AT1053)</f>
      </c>
      <c r="AU1054" s="792">
        <f t="shared" ref="AU1054" si="2368">SUM(AU1047:AU1053)</f>
      </c>
      <c r="AV1054" s="792">
        <f>SUM(AV1047:AV1053)</f>
      </c>
      <c r="AW1054" s="792">
        <f>SUM(AW1047:AW1053)</f>
      </c>
      <c r="AX1054" s="791">
        <f>SUM(AX1047:AX1053)</f>
      </c>
      <c r="AY1054" s="965">
        <f>SUM(AY1047:AY1053)</f>
      </c>
      <c r="AZ1054" s="792">
        <f>SUM(AZ1047:AZ1053)</f>
      </c>
      <c r="BA1054" s="791">
        <f t="shared" ref="BA1054" si="2369">SUM(BA1047:BA1053)</f>
      </c>
      <c r="BB1054" s="792">
        <f t="shared" ref="BB1054:BD1054" si="2370">SUM(BB1047:BB1053)</f>
      </c>
      <c r="BC1054" s="791">
        <f t="shared" si="2370"/>
      </c>
      <c r="BD1054" s="965">
        <f t="shared" si="2370"/>
      </c>
      <c r="BE1054" s="792">
        <f t="shared" ref="BE1054:BJ1054" si="2371">SUM(BE1047:BE1053)</f>
      </c>
      <c r="BF1054" s="791">
        <f t="shared" si="2371"/>
      </c>
      <c r="BG1054" s="792">
        <f t="shared" si="2371"/>
      </c>
      <c r="BH1054" s="791">
        <f t="shared" si="2371"/>
      </c>
      <c r="BI1054" s="965">
        <f t="shared" si="2371"/>
      </c>
      <c r="BJ1054" s="792">
        <f t="shared" si="2371"/>
      </c>
      <c r="BK1054" s="791">
        <f t="shared" ref="BK1054:BP1054" si="2372">SUM(BK1047:BK1053)</f>
      </c>
      <c r="BL1054" s="792">
        <f t="shared" si="2372"/>
      </c>
      <c r="BM1054" s="791">
        <f t="shared" si="2372"/>
      </c>
      <c r="BN1054" s="965">
        <f t="shared" si="2372"/>
      </c>
      <c r="BO1054" s="792">
        <f t="shared" si="2372"/>
      </c>
      <c r="BP1054" s="791">
        <f t="shared" si="2372"/>
      </c>
      <c r="BQ1054" s="792">
        <f>SUM(BQ1047:BQ1053)</f>
      </c>
      <c r="BR1054" s="791">
        <f>SUM(BR1047:BR1053)</f>
      </c>
      <c r="BS1054" s="965">
        <f>SUM(BS1047:BS1053)</f>
      </c>
      <c r="BT1054" s="793">
        <f>SUM(BT1047:BT1053)</f>
      </c>
      <c r="BU1054" s="791"/>
      <c r="BV1054" s="791"/>
      <c r="BW1054" s="791"/>
      <c r="BX1054" s="965"/>
      <c r="BY1054" s="791"/>
      <c r="BZ1054" s="791"/>
      <c r="CA1054" s="791"/>
      <c r="CB1054" s="791"/>
      <c r="CC1054" s="965"/>
      <c r="CD1054" s="965"/>
      <c r="CE1054" s="965"/>
      <c r="CF1054" s="965"/>
      <c r="CG1054" s="183"/>
    </row>
    <row r="1055" spans="1:85" s="587" customFormat="1" hidden="1" outlineLevel="1" x14ac:dyDescent="0.3">
      <c r="A1055" s="429"/>
      <c r="B1055" s="428"/>
      <c r="C1055" s="969"/>
      <c r="D1055" s="969"/>
      <c r="E1055" s="969"/>
      <c r="F1055" s="969"/>
      <c r="G1055" s="759"/>
      <c r="H1055" s="759"/>
      <c r="I1055" s="759"/>
      <c r="J1055" s="759"/>
      <c r="K1055" s="969"/>
      <c r="L1055" s="759"/>
      <c r="M1055" s="759"/>
      <c r="N1055" s="759"/>
      <c r="O1055" s="759"/>
      <c r="P1055" s="969"/>
      <c r="Q1055" s="759"/>
      <c r="R1055" s="759"/>
      <c r="S1055" s="759"/>
      <c r="T1055" s="759"/>
      <c r="U1055" s="969"/>
      <c r="V1055" s="759"/>
      <c r="W1055" s="759"/>
      <c r="X1055" s="759"/>
      <c r="Y1055" s="759"/>
      <c r="Z1055" s="969"/>
      <c r="AA1055" s="759"/>
      <c r="AB1055" s="759"/>
      <c r="AC1055" s="759"/>
      <c r="AD1055" s="759"/>
      <c r="AE1055" s="969"/>
      <c r="AF1055" s="759"/>
      <c r="AG1055" s="759"/>
      <c r="AH1055" s="759"/>
      <c r="AI1055" s="759"/>
      <c r="AJ1055" s="969"/>
      <c r="AK1055" s="759"/>
      <c r="AL1055" s="759"/>
      <c r="AM1055" s="759"/>
      <c r="AN1055" s="759"/>
      <c r="AO1055" s="969"/>
      <c r="AP1055" s="759"/>
      <c r="AQ1055" s="759"/>
      <c r="AR1055" s="759"/>
      <c r="AS1055" s="759"/>
      <c r="AT1055" s="969"/>
      <c r="AU1055" s="759"/>
      <c r="AV1055" s="759"/>
      <c r="AW1055" s="759"/>
      <c r="AX1055" s="759"/>
      <c r="AY1055" s="969"/>
      <c r="AZ1055" s="759"/>
      <c r="BA1055" s="759"/>
      <c r="BB1055" s="759"/>
      <c r="BC1055" s="759"/>
      <c r="BD1055" s="969"/>
      <c r="BE1055" s="759"/>
      <c r="BF1055" s="759"/>
      <c r="BG1055" s="759"/>
      <c r="BH1055" s="759"/>
      <c r="BI1055" s="969"/>
      <c r="BJ1055" s="759"/>
      <c r="BK1055" s="759"/>
      <c r="BL1055" s="759"/>
      <c r="BM1055" s="759"/>
      <c r="BN1055" s="969"/>
      <c r="BO1055" s="759"/>
      <c r="BP1055" s="759"/>
      <c r="BQ1055" s="759"/>
      <c r="BR1055" s="759"/>
      <c r="BS1055" s="969"/>
      <c r="BT1055" s="760"/>
      <c r="BU1055" s="759"/>
      <c r="BV1055" s="759"/>
      <c r="BW1055" s="759"/>
      <c r="BX1055" s="969"/>
      <c r="BY1055" s="759"/>
      <c r="BZ1055" s="759"/>
      <c r="CA1055" s="759"/>
      <c r="CB1055" s="759"/>
      <c r="CC1055" s="969"/>
      <c r="CD1055" s="969"/>
      <c r="CE1055" s="969"/>
      <c r="CF1055" s="969"/>
      <c r="CG1055" s="183"/>
    </row>
    <row r="1056" spans="1:85" s="587" customFormat="1" hidden="1" outlineLevel="1" x14ac:dyDescent="0.3">
      <c r="A1056" s="4" t="s">
        <v>146</v>
      </c>
      <c r="B1056" s="428"/>
      <c r="C1056" s="969"/>
      <c r="D1056" s="969"/>
      <c r="E1056" s="969"/>
      <c r="F1056" s="969"/>
      <c r="G1056" s="759"/>
      <c r="H1056" s="759"/>
      <c r="I1056" s="759"/>
      <c r="J1056" s="759"/>
      <c r="K1056" s="969"/>
      <c r="L1056" s="759"/>
      <c r="M1056" s="759"/>
      <c r="N1056" s="759"/>
      <c r="O1056" s="759"/>
      <c r="P1056" s="969"/>
      <c r="Q1056" s="759"/>
      <c r="R1056" s="759"/>
      <c r="S1056" s="759"/>
      <c r="T1056" s="759"/>
      <c r="U1056" s="969"/>
      <c r="V1056" s="759"/>
      <c r="W1056" s="759"/>
      <c r="X1056" s="759"/>
      <c r="Y1056" s="759"/>
      <c r="Z1056" s="969"/>
      <c r="AA1056" s="759"/>
      <c r="AB1056" s="759"/>
      <c r="AC1056" s="759"/>
      <c r="AD1056" s="759"/>
      <c r="AE1056" s="969"/>
      <c r="AF1056" s="759"/>
      <c r="AG1056" s="759"/>
      <c r="AH1056" s="759"/>
      <c r="AI1056" s="759"/>
      <c r="AJ1056" s="969"/>
      <c r="AK1056" s="759"/>
      <c r="AL1056" s="759"/>
      <c r="AM1056" s="759"/>
      <c r="AN1056" s="759"/>
      <c r="AO1056" s="969"/>
      <c r="AP1056" s="759"/>
      <c r="AQ1056" s="759"/>
      <c r="AR1056" s="759"/>
      <c r="AS1056" s="759"/>
      <c r="AT1056" s="969"/>
      <c r="AU1056" s="759"/>
      <c r="AV1056" s="759"/>
      <c r="AW1056" s="759"/>
      <c r="AX1056" s="759"/>
      <c r="AY1056" s="969"/>
      <c r="AZ1056" s="759"/>
      <c r="BA1056" s="759"/>
      <c r="BB1056" s="759"/>
      <c r="BC1056" s="759"/>
      <c r="BD1056" s="969"/>
      <c r="BE1056" s="759"/>
      <c r="BF1056" s="759"/>
      <c r="BG1056" s="759"/>
      <c r="BH1056" s="759"/>
      <c r="BI1056" s="969"/>
      <c r="BJ1056" s="759"/>
      <c r="BK1056" s="759"/>
      <c r="BL1056" s="759"/>
      <c r="BM1056" s="759"/>
      <c r="BN1056" s="969"/>
      <c r="BO1056" s="759"/>
      <c r="BP1056" s="759"/>
      <c r="BQ1056" s="759"/>
      <c r="BR1056" s="759"/>
      <c r="BS1056" s="969"/>
      <c r="BT1056" s="760"/>
      <c r="BU1056" s="759"/>
      <c r="BV1056" s="759"/>
      <c r="BW1056" s="759"/>
      <c r="BX1056" s="969"/>
      <c r="BY1056" s="759"/>
      <c r="BZ1056" s="759"/>
      <c r="CA1056" s="759"/>
      <c r="CB1056" s="759"/>
      <c r="CC1056" s="969"/>
      <c r="CD1056" s="969"/>
      <c r="CE1056" s="969"/>
      <c r="CF1056" s="969"/>
      <c r="CG1056" s="183"/>
    </row>
    <row r="1057" spans="1:85" s="587" customFormat="1" hidden="1" outlineLevel="1" x14ac:dyDescent="0.3">
      <c r="A1057" s="182" t="s">
        <v>147</v>
      </c>
      <c r="B1057" s="414"/>
      <c r="C1057" s="963">
        <v>-193.04400000000001</v>
      </c>
      <c r="D1057" s="963">
        <v>-123.901</v>
      </c>
      <c r="E1057" s="963">
        <v>-85.153999999999996</v>
      </c>
      <c r="F1057" s="963">
        <v>-48.274999999999999</v>
      </c>
      <c r="G1057" s="857">
        <v>-21.193000000000001</v>
      </c>
      <c r="H1057" s="857">
        <v>-35.216000000000001</v>
      </c>
      <c r="I1057" s="857">
        <v>-50.686999999999998</v>
      </c>
      <c r="J1057" s="857">
        <v>-65.927000000000007</v>
      </c>
      <c r="K1057" s="963">
        <v>-65.927000000000007</v>
      </c>
      <c r="L1057" s="857">
        <v>-14.914</v>
      </c>
      <c r="M1057" s="857">
        <v>-35.895000000000003</v>
      </c>
      <c r="N1057" s="857">
        <v>-51.424999999999997</v>
      </c>
      <c r="O1057" s="857">
        <v>-74.790000000000006</v>
      </c>
      <c r="P1057" s="963">
        <v>-74.790000000000006</v>
      </c>
      <c r="Q1057" s="857">
        <v>-22.905999999999999</v>
      </c>
      <c r="R1057" s="857">
        <v>-42.692</v>
      </c>
      <c r="S1057" s="857">
        <v>-57.158999999999999</v>
      </c>
      <c r="T1057" s="857">
        <v>-77.957999999999998</v>
      </c>
      <c r="U1057" s="963">
        <v>-77.957999999999998</v>
      </c>
      <c r="V1057" s="857">
        <v>-23.207000000000001</v>
      </c>
      <c r="W1057" s="857">
        <v>-41.131</v>
      </c>
      <c r="X1057" s="857">
        <v>-58.38</v>
      </c>
      <c r="Y1057" s="757">
        <f t="shared" ref="Y1057:Y1062" si="2373">Z1057</f>
      </c>
      <c r="Z1057" s="963">
        <v>-77.177000000000007</v>
      </c>
      <c r="AA1057" s="857">
        <v>-25.372</v>
      </c>
      <c r="AB1057" s="857">
        <v>-32.996000000000002</v>
      </c>
      <c r="AC1057" s="857">
        <v>-43.213000000000001</v>
      </c>
      <c r="AD1057" s="757">
        <f t="shared" ref="AD1057:AD1062" si="2374">AE1057</f>
      </c>
      <c r="AE1057" s="963">
        <v>-53.72</v>
      </c>
      <c r="AF1057" s="857">
        <v>-10.795999999999999</v>
      </c>
      <c r="AG1057" s="857">
        <v>-23.347999999999999</v>
      </c>
      <c r="AH1057" s="857">
        <v>-31.079000000000001</v>
      </c>
      <c r="AI1057" s="757">
        <f t="shared" ref="AI1057:AI1062" si="2375">AJ1057</f>
      </c>
      <c r="AJ1057" s="963">
        <v>-38.585999999999999</v>
      </c>
      <c r="AK1057" s="857">
        <v>-9.17</v>
      </c>
      <c r="AL1057" s="857">
        <v>-16.968</v>
      </c>
      <c r="AM1057" s="857">
        <v>-21.602</v>
      </c>
      <c r="AN1057" s="757">
        <f t="shared" ref="AN1057:AN1062" si="2376">AO1057</f>
      </c>
      <c r="AO1057" s="963">
        <v>0</v>
      </c>
      <c r="AP1057" s="757"/>
      <c r="AQ1057" s="757"/>
      <c r="AR1057" s="757"/>
      <c r="AS1057" s="757">
        <f t="shared" ref="AS1057:AS1062" si="2377">AT1057</f>
      </c>
      <c r="AT1057" s="962"/>
      <c r="AU1057" s="757"/>
      <c r="AV1057" s="757"/>
      <c r="AW1057" s="757"/>
      <c r="AX1057" s="757">
        <f t="shared" ref="AX1057:AX1062" si="2378">AY1057</f>
      </c>
      <c r="AY1057" s="962"/>
      <c r="AZ1057" s="757"/>
      <c r="BA1057" s="757"/>
      <c r="BB1057" s="757"/>
      <c r="BC1057" s="757">
        <f t="shared" ref="BC1057:BC1062" si="2379">BD1057</f>
      </c>
      <c r="BD1057" s="962"/>
      <c r="BE1057" s="757"/>
      <c r="BF1057" s="757"/>
      <c r="BG1057" s="757"/>
      <c r="BH1057" s="757">
        <f t="shared" ref="BH1057:BH1063" si="2380">BI1057</f>
      </c>
      <c r="BI1057" s="962"/>
      <c r="BJ1057" s="757"/>
      <c r="BK1057" s="757"/>
      <c r="BL1057" s="757"/>
      <c r="BM1057" s="757">
        <f t="shared" ref="BM1057:BM1063" si="2381">BN1057</f>
      </c>
      <c r="BN1057" s="962"/>
      <c r="BO1057" s="757"/>
      <c r="BP1057" s="757"/>
      <c r="BQ1057" s="757"/>
      <c r="BR1057" s="757">
        <f t="shared" ref="BR1057:BR1063" si="2382">BS1057</f>
      </c>
      <c r="BS1057" s="962"/>
      <c r="BT1057" s="758"/>
      <c r="BU1057" s="757"/>
      <c r="BV1057" s="757"/>
      <c r="BW1057" s="757"/>
      <c r="BX1057" s="962"/>
      <c r="BY1057" s="757"/>
      <c r="BZ1057" s="757"/>
      <c r="CA1057" s="757"/>
      <c r="CB1057" s="757"/>
      <c r="CC1057" s="962"/>
      <c r="CD1057" s="962"/>
      <c r="CE1057" s="962"/>
      <c r="CF1057" s="962"/>
      <c r="CG1057" s="459"/>
    </row>
    <row r="1058" spans="1:85" s="587" customFormat="1" hidden="1" outlineLevel="1" x14ac:dyDescent="0.3">
      <c r="A1058" s="182" t="s">
        <v>148</v>
      </c>
      <c r="B1058" s="414"/>
      <c r="C1058" s="963">
        <v>-45.932000000000002</v>
      </c>
      <c r="D1058" s="963">
        <v>-33.837000000000003</v>
      </c>
      <c r="E1058" s="963">
        <v>-49.682000000000002</v>
      </c>
      <c r="F1058" s="963">
        <v>-40.277999999999999</v>
      </c>
      <c r="G1058" s="857">
        <v>-12.118</v>
      </c>
      <c r="H1058" s="857">
        <v>-20.206</v>
      </c>
      <c r="I1058" s="857">
        <v>-31.033999999999999</v>
      </c>
      <c r="J1058" s="857">
        <v>-54.143000000000001</v>
      </c>
      <c r="K1058" s="963">
        <v>-54.143000000000001</v>
      </c>
      <c r="L1058" s="857">
        <v>-13.334</v>
      </c>
      <c r="M1058" s="857">
        <v>-33.203000000000003</v>
      </c>
      <c r="N1058" s="857">
        <v>-54.234999999999999</v>
      </c>
      <c r="O1058" s="857">
        <v>-69.725999999999999</v>
      </c>
      <c r="P1058" s="963">
        <v>-69.725999999999999</v>
      </c>
      <c r="Q1058" s="857">
        <v>-13.036</v>
      </c>
      <c r="R1058" s="857">
        <v>-40.573999999999998</v>
      </c>
      <c r="S1058" s="857">
        <v>-78.394000000000005</v>
      </c>
      <c r="T1058" s="857">
        <v>-91.248000000000005</v>
      </c>
      <c r="U1058" s="963">
        <v>-91.248000000000005</v>
      </c>
      <c r="V1058" s="857">
        <v>-8.4250000000000007</v>
      </c>
      <c r="W1058" s="857">
        <v>-19.239000000000001</v>
      </c>
      <c r="X1058" s="857">
        <v>-46.604999999999997</v>
      </c>
      <c r="Y1058" s="757">
        <f t="shared" si="2373"/>
      </c>
      <c r="Z1058" s="963">
        <v>-107.65300000000001</v>
      </c>
      <c r="AA1058" s="857">
        <v>-52.523000000000003</v>
      </c>
      <c r="AB1058" s="857">
        <v>-117.754</v>
      </c>
      <c r="AC1058" s="857">
        <v>-151.71700000000001</v>
      </c>
      <c r="AD1058" s="757">
        <f t="shared" si="2374"/>
      </c>
      <c r="AE1058" s="963">
        <v>-173.30199999999999</v>
      </c>
      <c r="AF1058" s="857">
        <v>-37.17</v>
      </c>
      <c r="AG1058" s="857">
        <v>-64.492999999999995</v>
      </c>
      <c r="AH1058" s="857">
        <v>-103.82599999999999</v>
      </c>
      <c r="AI1058" s="757">
        <f t="shared" si="2375"/>
      </c>
      <c r="AJ1058" s="963">
        <v>-173.946</v>
      </c>
      <c r="AK1058" s="857">
        <v>-60.381</v>
      </c>
      <c r="AL1058" s="857">
        <v>-99.965000000000003</v>
      </c>
      <c r="AM1058" s="857">
        <v>-145.298</v>
      </c>
      <c r="AN1058" s="757">
        <f t="shared" si="2376"/>
      </c>
      <c r="AO1058" s="963">
        <v>-253.035</v>
      </c>
      <c r="AP1058" s="857">
        <v>-98.015000000000001</v>
      </c>
      <c r="AQ1058" s="857">
        <v>-239.756</v>
      </c>
      <c r="AR1058" s="857">
        <v>-349.56700000000001</v>
      </c>
      <c r="AS1058" s="757">
        <f t="shared" si="2377"/>
      </c>
      <c r="AT1058" s="963">
        <v>-497.923</v>
      </c>
      <c r="AU1058" s="857">
        <v>-81.001000000000005</v>
      </c>
      <c r="AV1058" s="857">
        <v>-191.279</v>
      </c>
      <c r="AW1058" s="857">
        <v>-358.60599999999999</v>
      </c>
      <c r="AX1058" s="757">
        <f t="shared" si="2378"/>
      </c>
      <c r="AY1058" s="963">
        <v>-524.58500000000004</v>
      </c>
      <c r="AZ1058" s="857">
        <v>-121.158</v>
      </c>
      <c r="BA1058" s="857">
        <v>-211.17599999999999</v>
      </c>
      <c r="BB1058" s="857">
        <v>-296.13600000000002</v>
      </c>
      <c r="BC1058" s="757">
        <f t="shared" si="2379"/>
      </c>
      <c r="BD1058" s="963">
        <v>-407.72899999999998</v>
      </c>
      <c r="BE1058" s="857">
        <v>-62.018999999999998</v>
      </c>
      <c r="BF1058" s="857">
        <v>-162.99100000000001</v>
      </c>
      <c r="BG1058" s="857">
        <v>-266.92</v>
      </c>
      <c r="BH1058" s="757">
        <f t="shared" si="2380"/>
      </c>
      <c r="BI1058" s="963">
        <v>-348.55200000000002</v>
      </c>
      <c r="BJ1058" s="857">
        <v>-75.713999999999999</v>
      </c>
      <c r="BK1058" s="857">
        <v>-154.001</v>
      </c>
      <c r="BL1058" s="857">
        <v>-280.86399999999998</v>
      </c>
      <c r="BM1058" s="757">
        <f t="shared" si="2381"/>
      </c>
      <c r="BN1058" s="963">
        <v>-439.53800000000001</v>
      </c>
      <c r="BO1058" s="857">
        <v>-128.27699999999999</v>
      </c>
      <c r="BP1058" s="857">
        <v>-284.166</v>
      </c>
      <c r="BQ1058" s="857">
        <v>-448.88499999999999</v>
      </c>
      <c r="BR1058" s="757">
        <f t="shared" si="2382"/>
      </c>
      <c r="BS1058" s="963">
        <v>-688.22</v>
      </c>
      <c r="BT1058" s="864">
        <v>-196.13</v>
      </c>
      <c r="BU1058" s="757"/>
      <c r="BV1058" s="757"/>
      <c r="BW1058" s="757"/>
      <c r="BX1058" s="962"/>
      <c r="BY1058" s="757"/>
      <c r="BZ1058" s="757"/>
      <c r="CA1058" s="757"/>
      <c r="CB1058" s="757"/>
      <c r="CC1058" s="962"/>
      <c r="CD1058" s="962"/>
      <c r="CE1058" s="962"/>
      <c r="CF1058" s="962"/>
      <c r="CG1058" s="459"/>
    </row>
    <row r="1059" spans="1:85" s="587" customFormat="1" hidden="1" outlineLevel="1" x14ac:dyDescent="0.3">
      <c r="A1059" s="182" t="s">
        <v>149</v>
      </c>
      <c r="B1059" s="414"/>
      <c r="C1059" s="963">
        <v>11.164</v>
      </c>
      <c r="D1059" s="963">
        <v>0</v>
      </c>
      <c r="E1059" s="963">
        <v>0</v>
      </c>
      <c r="F1059" s="963">
        <v>0</v>
      </c>
      <c r="G1059" s="857">
        <v>0</v>
      </c>
      <c r="H1059" s="857">
        <v>0</v>
      </c>
      <c r="I1059" s="857">
        <v>0</v>
      </c>
      <c r="J1059" s="857">
        <v>0</v>
      </c>
      <c r="K1059" s="963">
        <v>0</v>
      </c>
      <c r="L1059" s="857">
        <v>0</v>
      </c>
      <c r="M1059" s="857">
        <v>0</v>
      </c>
      <c r="N1059" s="857">
        <v>0</v>
      </c>
      <c r="O1059" s="857">
        <v>0</v>
      </c>
      <c r="P1059" s="963">
        <v>0</v>
      </c>
      <c r="Q1059" s="857">
        <v>0</v>
      </c>
      <c r="R1059" s="857">
        <v>0</v>
      </c>
      <c r="S1059" s="857">
        <v>0</v>
      </c>
      <c r="T1059" s="857">
        <v>0</v>
      </c>
      <c r="U1059" s="963">
        <v>0</v>
      </c>
      <c r="V1059" s="757"/>
      <c r="W1059" s="757"/>
      <c r="X1059" s="757"/>
      <c r="Y1059" s="757">
        <f t="shared" si="2373"/>
      </c>
      <c r="Z1059" s="962"/>
      <c r="AA1059" s="757"/>
      <c r="AB1059" s="757"/>
      <c r="AC1059" s="757"/>
      <c r="AD1059" s="757">
        <f t="shared" si="2374"/>
      </c>
      <c r="AE1059" s="962"/>
      <c r="AF1059" s="757"/>
      <c r="AG1059" s="757"/>
      <c r="AH1059" s="757"/>
      <c r="AI1059" s="757">
        <f t="shared" si="2375"/>
      </c>
      <c r="AJ1059" s="962"/>
      <c r="AK1059" s="757"/>
      <c r="AL1059" s="757"/>
      <c r="AM1059" s="757"/>
      <c r="AN1059" s="757">
        <f t="shared" si="2376"/>
      </c>
      <c r="AO1059" s="962"/>
      <c r="AP1059" s="757"/>
      <c r="AQ1059" s="757"/>
      <c r="AR1059" s="757"/>
      <c r="AS1059" s="757">
        <f t="shared" si="2377"/>
      </c>
      <c r="AT1059" s="962"/>
      <c r="AU1059" s="757"/>
      <c r="AV1059" s="757"/>
      <c r="AW1059" s="757"/>
      <c r="AX1059" s="757">
        <f t="shared" si="2378"/>
      </c>
      <c r="AY1059" s="962"/>
      <c r="AZ1059" s="757"/>
      <c r="BA1059" s="757"/>
      <c r="BB1059" s="757"/>
      <c r="BC1059" s="757">
        <f t="shared" si="2379"/>
      </c>
      <c r="BD1059" s="962"/>
      <c r="BE1059" s="757"/>
      <c r="BF1059" s="757"/>
      <c r="BG1059" s="757"/>
      <c r="BH1059" s="757">
        <f t="shared" si="2380"/>
      </c>
      <c r="BI1059" s="962"/>
      <c r="BJ1059" s="757"/>
      <c r="BK1059" s="757"/>
      <c r="BL1059" s="757"/>
      <c r="BM1059" s="757">
        <f t="shared" si="2381"/>
      </c>
      <c r="BN1059" s="962"/>
      <c r="BO1059" s="757"/>
      <c r="BP1059" s="757"/>
      <c r="BQ1059" s="757"/>
      <c r="BR1059" s="757">
        <f t="shared" si="2382"/>
      </c>
      <c r="BS1059" s="962"/>
      <c r="BT1059" s="758"/>
      <c r="BU1059" s="757"/>
      <c r="BV1059" s="757"/>
      <c r="BW1059" s="757"/>
      <c r="BX1059" s="962"/>
      <c r="BY1059" s="757"/>
      <c r="BZ1059" s="757"/>
      <c r="CA1059" s="757"/>
      <c r="CB1059" s="757"/>
      <c r="CC1059" s="962"/>
      <c r="CD1059" s="962"/>
      <c r="CE1059" s="962"/>
      <c r="CF1059" s="962"/>
      <c r="CG1059" s="459"/>
    </row>
    <row r="1060" spans="1:85" s="587" customFormat="1" hidden="1" outlineLevel="1" x14ac:dyDescent="0.3">
      <c r="A1060" s="182" t="s">
        <v>150</v>
      </c>
      <c r="B1060" s="414"/>
      <c r="C1060" s="963">
        <v>-0.2</v>
      </c>
      <c r="D1060" s="963">
        <v>0</v>
      </c>
      <c r="E1060" s="963">
        <v>0</v>
      </c>
      <c r="F1060" s="963">
        <v>0</v>
      </c>
      <c r="G1060" s="857">
        <v>0</v>
      </c>
      <c r="H1060" s="857">
        <v>0</v>
      </c>
      <c r="I1060" s="857">
        <v>0</v>
      </c>
      <c r="J1060" s="857">
        <v>0</v>
      </c>
      <c r="K1060" s="963">
        <v>0</v>
      </c>
      <c r="L1060" s="857">
        <v>0</v>
      </c>
      <c r="M1060" s="857">
        <v>0</v>
      </c>
      <c r="N1060" s="857">
        <v>0</v>
      </c>
      <c r="O1060" s="857">
        <v>0</v>
      </c>
      <c r="P1060" s="963">
        <v>0</v>
      </c>
      <c r="Q1060" s="857">
        <v>0</v>
      </c>
      <c r="R1060" s="857">
        <v>0</v>
      </c>
      <c r="S1060" s="857">
        <v>0</v>
      </c>
      <c r="T1060" s="857">
        <v>0</v>
      </c>
      <c r="U1060" s="963">
        <v>0</v>
      </c>
      <c r="V1060" s="757"/>
      <c r="W1060" s="757"/>
      <c r="X1060" s="757"/>
      <c r="Y1060" s="757">
        <f t="shared" si="2373"/>
      </c>
      <c r="Z1060" s="962"/>
      <c r="AA1060" s="757"/>
      <c r="AB1060" s="757"/>
      <c r="AC1060" s="757"/>
      <c r="AD1060" s="757">
        <f t="shared" si="2374"/>
      </c>
      <c r="AE1060" s="962"/>
      <c r="AF1060" s="757"/>
      <c r="AG1060" s="757"/>
      <c r="AH1060" s="757"/>
      <c r="AI1060" s="757">
        <f t="shared" si="2375"/>
      </c>
      <c r="AJ1060" s="962"/>
      <c r="AK1060" s="757"/>
      <c r="AL1060" s="757"/>
      <c r="AM1060" s="757"/>
      <c r="AN1060" s="757">
        <f t="shared" si="2376"/>
      </c>
      <c r="AO1060" s="962"/>
      <c r="AP1060" s="757"/>
      <c r="AQ1060" s="757"/>
      <c r="AR1060" s="757"/>
      <c r="AS1060" s="757">
        <f t="shared" si="2377"/>
      </c>
      <c r="AT1060" s="962"/>
      <c r="AU1060" s="757"/>
      <c r="AV1060" s="757"/>
      <c r="AW1060" s="757"/>
      <c r="AX1060" s="757">
        <f t="shared" si="2378"/>
      </c>
      <c r="AY1060" s="963">
        <v>-788.34900000000005</v>
      </c>
      <c r="AZ1060" s="857">
        <v>-124.521</v>
      </c>
      <c r="BA1060" s="857">
        <v>-193.39699999999999</v>
      </c>
      <c r="BB1060" s="857">
        <v>-193.39699999999999</v>
      </c>
      <c r="BC1060" s="757">
        <f t="shared" si="2379"/>
      </c>
      <c r="BD1060" s="963">
        <v>-757.38699999999994</v>
      </c>
      <c r="BE1060" s="757"/>
      <c r="BF1060" s="757"/>
      <c r="BG1060" s="757"/>
      <c r="BH1060" s="757">
        <f t="shared" si="2380"/>
      </c>
      <c r="BI1060" s="963">
        <v>0</v>
      </c>
      <c r="BJ1060" s="757"/>
      <c r="BK1060" s="757"/>
      <c r="BL1060" s="757"/>
      <c r="BM1060" s="757">
        <f t="shared" si="2381"/>
      </c>
      <c r="BN1060" s="962"/>
      <c r="BO1060" s="757"/>
      <c r="BP1060" s="757"/>
      <c r="BQ1060" s="757"/>
      <c r="BR1060" s="757">
        <f t="shared" si="2382"/>
      </c>
      <c r="BS1060" s="962"/>
      <c r="BT1060" s="758"/>
      <c r="BU1060" s="757"/>
      <c r="BV1060" s="757"/>
      <c r="BW1060" s="757"/>
      <c r="BX1060" s="962"/>
      <c r="BY1060" s="757"/>
      <c r="BZ1060" s="757"/>
      <c r="CA1060" s="757"/>
      <c r="CB1060" s="757"/>
      <c r="CC1060" s="962"/>
      <c r="CD1060" s="962"/>
      <c r="CE1060" s="962"/>
      <c r="CF1060" s="962"/>
      <c r="CG1060" s="459"/>
    </row>
    <row r="1061" spans="1:85" s="587" customFormat="1" hidden="1" outlineLevel="1" x14ac:dyDescent="0.3">
      <c r="A1061" s="182" t="s">
        <v>151</v>
      </c>
      <c r="B1061" s="414"/>
      <c r="C1061" s="963">
        <v>7.4829999999999997</v>
      </c>
      <c r="D1061" s="963">
        <v>0</v>
      </c>
      <c r="E1061" s="963">
        <v>0</v>
      </c>
      <c r="F1061" s="963">
        <v>0</v>
      </c>
      <c r="G1061" s="857">
        <v>0</v>
      </c>
      <c r="H1061" s="857">
        <v>0</v>
      </c>
      <c r="I1061" s="857">
        <v>0</v>
      </c>
      <c r="J1061" s="857">
        <v>0</v>
      </c>
      <c r="K1061" s="963">
        <v>0</v>
      </c>
      <c r="L1061" s="857">
        <v>0</v>
      </c>
      <c r="M1061" s="857">
        <v>0</v>
      </c>
      <c r="N1061" s="857">
        <v>0</v>
      </c>
      <c r="O1061" s="857">
        <v>0</v>
      </c>
      <c r="P1061" s="963">
        <v>0</v>
      </c>
      <c r="Q1061" s="857">
        <v>0</v>
      </c>
      <c r="R1061" s="857">
        <v>0</v>
      </c>
      <c r="S1061" s="857">
        <v>0</v>
      </c>
      <c r="T1061" s="857">
        <v>0</v>
      </c>
      <c r="U1061" s="963">
        <v>0</v>
      </c>
      <c r="V1061" s="757"/>
      <c r="W1061" s="757"/>
      <c r="X1061" s="757"/>
      <c r="Y1061" s="757">
        <f t="shared" si="2373"/>
      </c>
      <c r="Z1061" s="962"/>
      <c r="AA1061" s="757"/>
      <c r="AB1061" s="757"/>
      <c r="AC1061" s="757"/>
      <c r="AD1061" s="757">
        <f t="shared" si="2374"/>
      </c>
      <c r="AE1061" s="962"/>
      <c r="AF1061" s="757"/>
      <c r="AG1061" s="757"/>
      <c r="AH1061" s="757"/>
      <c r="AI1061" s="757">
        <f t="shared" si="2375"/>
      </c>
      <c r="AJ1061" s="962"/>
      <c r="AK1061" s="757"/>
      <c r="AL1061" s="757"/>
      <c r="AM1061" s="757"/>
      <c r="AN1061" s="757">
        <f t="shared" si="2376"/>
      </c>
      <c r="AO1061" s="962"/>
      <c r="AP1061" s="757"/>
      <c r="AQ1061" s="757"/>
      <c r="AR1061" s="757"/>
      <c r="AS1061" s="757">
        <f t="shared" si="2377"/>
      </c>
      <c r="AT1061" s="962"/>
      <c r="AU1061" s="757"/>
      <c r="AV1061" s="757"/>
      <c r="AW1061" s="757"/>
      <c r="AX1061" s="757">
        <f t="shared" si="2378"/>
      </c>
      <c r="AY1061" s="962"/>
      <c r="AZ1061" s="757"/>
      <c r="BA1061" s="757"/>
      <c r="BB1061" s="757"/>
      <c r="BC1061" s="757">
        <f t="shared" si="2379"/>
      </c>
      <c r="BD1061" s="962"/>
      <c r="BE1061" s="757"/>
      <c r="BF1061" s="757"/>
      <c r="BG1061" s="757"/>
      <c r="BH1061" s="757">
        <f t="shared" si="2380"/>
      </c>
      <c r="BI1061" s="962"/>
      <c r="BJ1061" s="757"/>
      <c r="BK1061" s="757"/>
      <c r="BL1061" s="757"/>
      <c r="BM1061" s="757">
        <f t="shared" si="2381"/>
      </c>
      <c r="BN1061" s="962"/>
      <c r="BO1061" s="757"/>
      <c r="BP1061" s="757"/>
      <c r="BQ1061" s="757"/>
      <c r="BR1061" s="757">
        <f t="shared" si="2382"/>
      </c>
      <c r="BS1061" s="962"/>
      <c r="BT1061" s="758"/>
      <c r="BU1061" s="757"/>
      <c r="BV1061" s="757"/>
      <c r="BW1061" s="757"/>
      <c r="BX1061" s="962"/>
      <c r="BY1061" s="757"/>
      <c r="BZ1061" s="757"/>
      <c r="CA1061" s="757"/>
      <c r="CB1061" s="757"/>
      <c r="CC1061" s="962"/>
      <c r="CD1061" s="962"/>
      <c r="CE1061" s="962"/>
      <c r="CF1061" s="962"/>
      <c r="CG1061" s="459"/>
    </row>
    <row r="1062" spans="1:85" s="587" customFormat="1" hidden="1" outlineLevel="1" x14ac:dyDescent="0.3">
      <c r="A1062" s="182" t="s">
        <v>152</v>
      </c>
      <c r="B1062" s="414"/>
      <c r="C1062" s="963">
        <v>7.0999999999999994E-2</v>
      </c>
      <c r="D1062" s="963">
        <v>12.343999999999999</v>
      </c>
      <c r="E1062" s="963">
        <v>3.6739999999999999</v>
      </c>
      <c r="F1062" s="963">
        <v>8.8160000000000007</v>
      </c>
      <c r="G1062" s="857">
        <v>4.05</v>
      </c>
      <c r="H1062" s="857">
        <v>5.1369999999999996</v>
      </c>
      <c r="I1062" s="857">
        <v>3.8079999999999998</v>
      </c>
      <c r="J1062" s="857">
        <v>5.9390000000000001</v>
      </c>
      <c r="K1062" s="963">
        <v>5.9390000000000001</v>
      </c>
      <c r="L1062" s="857">
        <v>0.29499999999999998</v>
      </c>
      <c r="M1062" s="857">
        <v>1.4239999999999999</v>
      </c>
      <c r="N1062" s="857">
        <v>1.7649999999999999</v>
      </c>
      <c r="O1062" s="857">
        <v>1.3340000000000001</v>
      </c>
      <c r="P1062" s="963">
        <v>1.3340000000000001</v>
      </c>
      <c r="Q1062" s="857">
        <v>0.22500000000000001</v>
      </c>
      <c r="R1062" s="857">
        <v>-0.41399999999999998</v>
      </c>
      <c r="S1062" s="857">
        <v>-4.1740000000000004</v>
      </c>
      <c r="T1062" s="857">
        <v>-1.9119999999999999</v>
      </c>
      <c r="U1062" s="963">
        <v>-1.9119999999999999</v>
      </c>
      <c r="V1062" s="857">
        <v>-0.35599999999999998</v>
      </c>
      <c r="W1062" s="857">
        <v>0.55100000000000005</v>
      </c>
      <c r="X1062" s="857">
        <v>0.67600000000000005</v>
      </c>
      <c r="Y1062" s="757">
        <f t="shared" si="2373"/>
      </c>
      <c r="Z1062" s="963">
        <v>-0.94099999999999995</v>
      </c>
      <c r="AA1062" s="857">
        <v>-0.76900000000000002</v>
      </c>
      <c r="AB1062" s="857">
        <v>-1.833</v>
      </c>
      <c r="AC1062" s="857">
        <v>-2.94</v>
      </c>
      <c r="AD1062" s="757">
        <f t="shared" si="2374"/>
      </c>
      <c r="AE1062" s="963">
        <v>-6.6890000000000001</v>
      </c>
      <c r="AF1062" s="857">
        <v>-1.786</v>
      </c>
      <c r="AG1062" s="857">
        <v>-2.2269999999999999</v>
      </c>
      <c r="AH1062" s="857">
        <v>-123.857</v>
      </c>
      <c r="AI1062" s="757">
        <f t="shared" si="2375"/>
      </c>
      <c r="AJ1062" s="963">
        <v>-126.58799999999999</v>
      </c>
      <c r="AK1062" s="857">
        <v>-10.552</v>
      </c>
      <c r="AL1062" s="857">
        <v>-13.206</v>
      </c>
      <c r="AM1062" s="857">
        <v>-12.593</v>
      </c>
      <c r="AN1062" s="757">
        <f t="shared" si="2376"/>
      </c>
      <c r="AO1062" s="963">
        <v>-134.029</v>
      </c>
      <c r="AP1062" s="857">
        <v>-0.28799999999999998</v>
      </c>
      <c r="AQ1062" s="857">
        <v>-0.54800000000000004</v>
      </c>
      <c r="AR1062" s="857">
        <v>-9.3879999999999999</v>
      </c>
      <c r="AS1062" s="757">
        <f t="shared" si="2377"/>
      </c>
      <c r="AT1062" s="963">
        <v>-7.431</v>
      </c>
      <c r="AU1062" s="857">
        <v>-4.6150000000000002</v>
      </c>
      <c r="AV1062" s="857">
        <v>-5.6150000000000002</v>
      </c>
      <c r="AW1062" s="857">
        <v>-26.919</v>
      </c>
      <c r="AX1062" s="757">
        <f t="shared" si="2378"/>
      </c>
      <c r="AY1062" s="963">
        <v>-26.919</v>
      </c>
      <c r="AZ1062" s="857">
        <v>0</v>
      </c>
      <c r="BA1062" s="757"/>
      <c r="BB1062" s="757"/>
      <c r="BC1062" s="757">
        <f t="shared" si="2379"/>
      </c>
      <c r="BD1062" s="963">
        <v>0</v>
      </c>
      <c r="BE1062" s="757"/>
      <c r="BF1062" s="757"/>
      <c r="BG1062" s="757"/>
      <c r="BH1062" s="757">
        <f t="shared" si="2380"/>
      </c>
      <c r="BI1062" s="963">
        <v>0</v>
      </c>
      <c r="BJ1062" s="757"/>
      <c r="BK1062" s="757"/>
      <c r="BL1062" s="757"/>
      <c r="BM1062" s="757">
        <f t="shared" si="2381"/>
      </c>
      <c r="BN1062" s="962"/>
      <c r="BO1062" s="757"/>
      <c r="BP1062" s="757"/>
      <c r="BQ1062" s="757"/>
      <c r="BR1062" s="757">
        <f t="shared" si="2382"/>
      </c>
      <c r="BS1062" s="962"/>
      <c r="BT1062" s="758"/>
      <c r="BU1062" s="757"/>
      <c r="BV1062" s="757"/>
      <c r="BW1062" s="757"/>
      <c r="BX1062" s="962"/>
      <c r="BY1062" s="757"/>
      <c r="BZ1062" s="757"/>
      <c r="CA1062" s="757"/>
      <c r="CB1062" s="757"/>
      <c r="CC1062" s="962"/>
      <c r="CD1062" s="962"/>
      <c r="CE1062" s="962"/>
      <c r="CF1062" s="962"/>
      <c r="CG1062" s="459"/>
    </row>
    <row r="1063" spans="1:85" s="587" customFormat="1" hidden="1" outlineLevel="1" x14ac:dyDescent="0.3">
      <c r="A1063" s="182" t="s">
        <v>153</v>
      </c>
      <c r="B1063" s="414"/>
      <c r="C1063" s="962"/>
      <c r="D1063" s="962"/>
      <c r="E1063" s="962"/>
      <c r="F1063" s="962"/>
      <c r="G1063" s="757"/>
      <c r="H1063" s="757"/>
      <c r="I1063" s="757"/>
      <c r="J1063" s="757"/>
      <c r="K1063" s="962"/>
      <c r="L1063" s="757"/>
      <c r="M1063" s="757"/>
      <c r="N1063" s="757"/>
      <c r="O1063" s="757"/>
      <c r="P1063" s="962"/>
      <c r="Q1063" s="757"/>
      <c r="R1063" s="757"/>
      <c r="S1063" s="757"/>
      <c r="T1063" s="757"/>
      <c r="U1063" s="962"/>
      <c r="V1063" s="757"/>
      <c r="W1063" s="757"/>
      <c r="X1063" s="757"/>
      <c r="Y1063" s="757"/>
      <c r="Z1063" s="962"/>
      <c r="AA1063" s="757"/>
      <c r="AB1063" s="757"/>
      <c r="AC1063" s="757"/>
      <c r="AD1063" s="757"/>
      <c r="AE1063" s="962"/>
      <c r="AF1063" s="757"/>
      <c r="AG1063" s="757"/>
      <c r="AH1063" s="757"/>
      <c r="AI1063" s="757"/>
      <c r="AJ1063" s="962"/>
      <c r="AK1063" s="757"/>
      <c r="AL1063" s="757"/>
      <c r="AM1063" s="757"/>
      <c r="AN1063" s="757"/>
      <c r="AO1063" s="962"/>
      <c r="AP1063" s="757"/>
      <c r="AQ1063" s="757"/>
      <c r="AR1063" s="757"/>
      <c r="AS1063" s="757"/>
      <c r="AT1063" s="962"/>
      <c r="AU1063" s="757"/>
      <c r="AV1063" s="757"/>
      <c r="AW1063" s="757"/>
      <c r="AX1063" s="757"/>
      <c r="AY1063" s="962"/>
      <c r="AZ1063" s="757"/>
      <c r="BA1063" s="757"/>
      <c r="BB1063" s="757"/>
      <c r="BC1063" s="757"/>
      <c r="BD1063" s="962"/>
      <c r="BE1063" s="757"/>
      <c r="BF1063" s="757"/>
      <c r="BG1063" s="757"/>
      <c r="BH1063" s="757">
        <f t="shared" si="2380"/>
      </c>
      <c r="BI1063" s="962"/>
      <c r="BJ1063" s="757"/>
      <c r="BK1063" s="757"/>
      <c r="BL1063" s="757"/>
      <c r="BM1063" s="757">
        <f t="shared" si="2381"/>
      </c>
      <c r="BN1063" s="962"/>
      <c r="BO1063" s="757"/>
      <c r="BP1063" s="757"/>
      <c r="BQ1063" s="757"/>
      <c r="BR1063" s="757">
        <f t="shared" si="2382"/>
      </c>
      <c r="BS1063" s="963">
        <v>-17.193999999999999</v>
      </c>
      <c r="BT1063" s="864">
        <v>-585.74400000000003</v>
      </c>
      <c r="BU1063" s="757"/>
      <c r="BV1063" s="757"/>
      <c r="BW1063" s="757"/>
      <c r="BX1063" s="962"/>
      <c r="BY1063" s="757"/>
      <c r="BZ1063" s="757"/>
      <c r="CA1063" s="757"/>
      <c r="CB1063" s="757"/>
      <c r="CC1063" s="962"/>
      <c r="CD1063" s="962"/>
      <c r="CE1063" s="962"/>
      <c r="CF1063" s="962"/>
      <c r="CG1063" s="459"/>
    </row>
    <row r="1064" spans="1:85" s="587" customFormat="1" hidden="1" outlineLevel="1" x14ac:dyDescent="0.3">
      <c r="A1064" s="182" t="s">
        <v>154</v>
      </c>
      <c r="B1064" s="414"/>
      <c r="C1064" s="963">
        <v>-228</v>
      </c>
      <c r="D1064" s="963">
        <v>-107.36199999999999</v>
      </c>
      <c r="E1064" s="963">
        <v>-223.75</v>
      </c>
      <c r="F1064" s="963">
        <v>-477.32100000000003</v>
      </c>
      <c r="G1064" s="857">
        <v>-235.62299999999999</v>
      </c>
      <c r="H1064" s="857">
        <v>-381.673</v>
      </c>
      <c r="I1064" s="857">
        <v>-497.78899999999999</v>
      </c>
      <c r="J1064" s="857">
        <v>-550.26400000000001</v>
      </c>
      <c r="K1064" s="963">
        <v>-550.26400000000001</v>
      </c>
      <c r="L1064" s="857">
        <v>-60.545999999999999</v>
      </c>
      <c r="M1064" s="857">
        <v>-231.45400000000001</v>
      </c>
      <c r="N1064" s="857">
        <v>-355.33699999999999</v>
      </c>
      <c r="O1064" s="857">
        <v>-426.93400000000003</v>
      </c>
      <c r="P1064" s="963">
        <v>-426.93400000000003</v>
      </c>
      <c r="Q1064" s="857">
        <v>-90.94</v>
      </c>
      <c r="R1064" s="857">
        <v>-158.88900000000001</v>
      </c>
      <c r="S1064" s="857">
        <v>-225.333</v>
      </c>
      <c r="T1064" s="857">
        <v>-371.91500000000002</v>
      </c>
      <c r="U1064" s="963">
        <v>-371.91500000000002</v>
      </c>
      <c r="V1064" s="857">
        <v>-34.962000000000003</v>
      </c>
      <c r="W1064" s="857">
        <v>-53.454000000000001</v>
      </c>
      <c r="X1064" s="857">
        <v>-181.59</v>
      </c>
      <c r="Y1064" s="757">
        <f>Z1064</f>
      </c>
      <c r="Z1064" s="963">
        <v>-187.19300000000001</v>
      </c>
      <c r="AA1064" s="857">
        <v>-57.774000000000001</v>
      </c>
      <c r="AB1064" s="857">
        <v>-72.02</v>
      </c>
      <c r="AC1064" s="857">
        <v>-74.819000000000003</v>
      </c>
      <c r="AD1064" s="757">
        <f>AE1064</f>
      </c>
      <c r="AE1064" s="963">
        <v>-74.819000000000003</v>
      </c>
      <c r="AF1064" s="757"/>
      <c r="AG1064" s="757"/>
      <c r="AH1064" s="857">
        <v>0</v>
      </c>
      <c r="AI1064" s="757">
        <f>AJ1064</f>
      </c>
      <c r="AJ1064" s="963">
        <v>0</v>
      </c>
      <c r="AK1064" s="757"/>
      <c r="AL1064" s="757"/>
      <c r="AM1064" s="757"/>
      <c r="AN1064" s="757">
        <f>AO1064</f>
      </c>
      <c r="AO1064" s="962"/>
      <c r="AP1064" s="757"/>
      <c r="AQ1064" s="757"/>
      <c r="AR1064" s="757"/>
      <c r="AS1064" s="757">
        <f>AT1064</f>
      </c>
      <c r="AT1064" s="962"/>
      <c r="AU1064" s="757"/>
      <c r="AV1064" s="757"/>
      <c r="AW1064" s="757"/>
      <c r="AX1064" s="757">
        <f>AY1064</f>
      </c>
      <c r="AY1064" s="962"/>
      <c r="AZ1064" s="757"/>
      <c r="BA1064" s="757"/>
      <c r="BB1064" s="757"/>
      <c r="BC1064" s="757">
        <f>BD1064</f>
      </c>
      <c r="BD1064" s="963">
        <v>-911.27599999999995</v>
      </c>
      <c r="BE1064" s="857">
        <v>-201.63399999999999</v>
      </c>
      <c r="BF1064" s="857">
        <v>-504.86200000000002</v>
      </c>
      <c r="BG1064" s="857">
        <v>-504.86200000000002</v>
      </c>
      <c r="BH1064" s="757">
        <f>BI1064</f>
      </c>
      <c r="BI1064" s="963">
        <v>-504.86200000000002</v>
      </c>
      <c r="BJ1064" s="757"/>
      <c r="BK1064" s="757"/>
      <c r="BL1064" s="857">
        <v>-1742.2460000000001</v>
      </c>
      <c r="BM1064" s="757">
        <f>BN1064</f>
      </c>
      <c r="BN1064" s="963">
        <v>-1742.2460000000001</v>
      </c>
      <c r="BO1064" s="857">
        <v>-156.01499999999999</v>
      </c>
      <c r="BP1064" s="857">
        <v>-157.66499999999999</v>
      </c>
      <c r="BQ1064" s="857">
        <v>-161.51499999999999</v>
      </c>
      <c r="BR1064" s="757">
        <f>BS1064</f>
      </c>
      <c r="BS1064" s="963">
        <v>-169.965</v>
      </c>
      <c r="BT1064" s="758"/>
      <c r="BU1064" s="757"/>
      <c r="BV1064" s="757"/>
      <c r="BW1064" s="757"/>
      <c r="BX1064" s="962"/>
      <c r="BY1064" s="757"/>
      <c r="BZ1064" s="757"/>
      <c r="CA1064" s="757"/>
      <c r="CB1064" s="757"/>
      <c r="CC1064" s="962"/>
      <c r="CD1064" s="962"/>
      <c r="CE1064" s="962"/>
      <c r="CF1064" s="962"/>
      <c r="CG1064" s="459"/>
    </row>
    <row r="1065" spans="1:85" s="587" customFormat="1" hidden="1" outlineLevel="1" x14ac:dyDescent="0.3">
      <c r="A1065" s="182" t="s">
        <v>155</v>
      </c>
      <c r="B1065" s="414"/>
      <c r="C1065" s="963">
        <v>166.70599999999999</v>
      </c>
      <c r="D1065" s="963">
        <v>120.857</v>
      </c>
      <c r="E1065" s="963">
        <v>50.993000000000002</v>
      </c>
      <c r="F1065" s="963">
        <v>282.95299999999997</v>
      </c>
      <c r="G1065" s="857">
        <v>81.227999999999994</v>
      </c>
      <c r="H1065" s="857">
        <v>115.20699999999999</v>
      </c>
      <c r="I1065" s="857">
        <v>196.392</v>
      </c>
      <c r="J1065" s="857">
        <v>347.50200000000001</v>
      </c>
      <c r="K1065" s="963">
        <v>347.50200000000001</v>
      </c>
      <c r="L1065" s="857">
        <v>143.048</v>
      </c>
      <c r="M1065" s="857">
        <v>232.71</v>
      </c>
      <c r="N1065" s="857">
        <v>340.27800000000002</v>
      </c>
      <c r="O1065" s="857">
        <v>385.3</v>
      </c>
      <c r="P1065" s="963">
        <v>385.3</v>
      </c>
      <c r="Q1065" s="857">
        <v>51.948</v>
      </c>
      <c r="R1065" s="857">
        <v>100.36</v>
      </c>
      <c r="S1065" s="857">
        <v>144.24700000000001</v>
      </c>
      <c r="T1065" s="857">
        <v>259.07900000000001</v>
      </c>
      <c r="U1065" s="963">
        <v>259.07900000000001</v>
      </c>
      <c r="V1065" s="857">
        <v>8.1880000000000006</v>
      </c>
      <c r="W1065" s="857">
        <v>26.94</v>
      </c>
      <c r="X1065" s="857">
        <v>198.68700000000001</v>
      </c>
      <c r="Y1065" s="757">
        <f>Z1065</f>
      </c>
      <c r="Z1065" s="963">
        <v>282.48399999999998</v>
      </c>
      <c r="AA1065" s="857">
        <v>55.747999999999998</v>
      </c>
      <c r="AB1065" s="857">
        <v>69.876000000000005</v>
      </c>
      <c r="AC1065" s="857">
        <v>320.154</v>
      </c>
      <c r="AD1065" s="757">
        <f>AE1065</f>
      </c>
      <c r="AE1065" s="963">
        <v>320.154</v>
      </c>
      <c r="AF1065" s="757"/>
      <c r="AG1065" s="757"/>
      <c r="AH1065" s="857">
        <v>0</v>
      </c>
      <c r="AI1065" s="757">
        <f>AJ1065</f>
      </c>
      <c r="AJ1065" s="963">
        <v>0</v>
      </c>
      <c r="AK1065" s="757"/>
      <c r="AL1065" s="757"/>
      <c r="AM1065" s="757"/>
      <c r="AN1065" s="757">
        <f>AO1065</f>
      </c>
      <c r="AO1065" s="962"/>
      <c r="AP1065" s="757"/>
      <c r="AQ1065" s="757"/>
      <c r="AR1065" s="757"/>
      <c r="AS1065" s="757">
        <f>AT1065</f>
      </c>
      <c r="AT1065" s="962"/>
      <c r="AU1065" s="757"/>
      <c r="AV1065" s="757"/>
      <c r="AW1065" s="757"/>
      <c r="AX1065" s="757">
        <f>AY1065</f>
      </c>
      <c r="AY1065" s="962"/>
      <c r="AZ1065" s="757"/>
      <c r="BA1065" s="757"/>
      <c r="BB1065" s="757"/>
      <c r="BC1065" s="757">
        <f>BD1065</f>
      </c>
      <c r="BD1065" s="962"/>
      <c r="BE1065" s="757"/>
      <c r="BF1065" s="857">
        <v>501.93700000000001</v>
      </c>
      <c r="BG1065" s="857">
        <v>901.93700000000001</v>
      </c>
      <c r="BH1065" s="757">
        <f>BI1065</f>
      </c>
      <c r="BI1065" s="963">
        <v>1395.165</v>
      </c>
      <c r="BJ1065" s="757"/>
      <c r="BK1065" s="757"/>
      <c r="BL1065" s="757"/>
      <c r="BM1065" s="757">
        <f>BN1065</f>
      </c>
      <c r="BN1065" s="962"/>
      <c r="BO1065" s="857">
        <v>769.95399999999995</v>
      </c>
      <c r="BP1065" s="857">
        <v>1732.367</v>
      </c>
      <c r="BQ1065" s="857">
        <v>1908.617</v>
      </c>
      <c r="BR1065" s="757">
        <f>BS1065</f>
      </c>
      <c r="BS1065" s="963">
        <v>1917.067</v>
      </c>
      <c r="BT1065" s="758"/>
      <c r="BU1065" s="757"/>
      <c r="BV1065" s="757"/>
      <c r="BW1065" s="757"/>
      <c r="BX1065" s="962"/>
      <c r="BY1065" s="757"/>
      <c r="BZ1065" s="757"/>
      <c r="CA1065" s="757"/>
      <c r="CB1065" s="757"/>
      <c r="CC1065" s="962"/>
      <c r="CD1065" s="962"/>
      <c r="CE1065" s="962"/>
      <c r="CF1065" s="962"/>
      <c r="CG1065" s="459"/>
    </row>
    <row r="1066" spans="1:85" s="587" customFormat="1" hidden="1" outlineLevel="1" x14ac:dyDescent="0.3">
      <c r="A1066" s="182" t="s">
        <v>156</v>
      </c>
      <c r="B1066" s="414"/>
      <c r="C1066" s="963">
        <v>35.673000000000002</v>
      </c>
      <c r="D1066" s="963">
        <v>15.818</v>
      </c>
      <c r="E1066" s="963">
        <v>38.104999999999997</v>
      </c>
      <c r="F1066" s="963">
        <v>29.364999999999998</v>
      </c>
      <c r="G1066" s="857">
        <v>4.42</v>
      </c>
      <c r="H1066" s="857">
        <v>9.83</v>
      </c>
      <c r="I1066" s="857">
        <v>58.72</v>
      </c>
      <c r="J1066" s="857">
        <v>60.924999999999997</v>
      </c>
      <c r="K1066" s="963">
        <v>60.924999999999997</v>
      </c>
      <c r="L1066" s="857">
        <v>3.09</v>
      </c>
      <c r="M1066" s="857">
        <v>95.103999999999999</v>
      </c>
      <c r="N1066" s="857">
        <v>127.229</v>
      </c>
      <c r="O1066" s="857">
        <v>141.94999999999999</v>
      </c>
      <c r="P1066" s="963">
        <v>141.94999999999999</v>
      </c>
      <c r="Q1066" s="857">
        <v>31.887</v>
      </c>
      <c r="R1066" s="857">
        <v>51.057000000000002</v>
      </c>
      <c r="S1066" s="857">
        <v>82.182000000000002</v>
      </c>
      <c r="T1066" s="857">
        <v>104.762</v>
      </c>
      <c r="U1066" s="963">
        <v>104.762</v>
      </c>
      <c r="V1066" s="857">
        <v>63.024999999999999</v>
      </c>
      <c r="W1066" s="857">
        <v>87.7</v>
      </c>
      <c r="X1066" s="857">
        <v>112.55500000000001</v>
      </c>
      <c r="Y1066" s="757">
        <f>Z1066</f>
      </c>
      <c r="Z1066" s="963">
        <v>140.245</v>
      </c>
      <c r="AA1066" s="857">
        <v>5.0999999999999996</v>
      </c>
      <c r="AB1066" s="857">
        <v>22.704999999999998</v>
      </c>
      <c r="AC1066" s="857">
        <v>22.704999999999998</v>
      </c>
      <c r="AD1066" s="757">
        <f>AE1066</f>
      </c>
      <c r="AE1066" s="963">
        <v>22.704999999999998</v>
      </c>
      <c r="AF1066" s="757"/>
      <c r="AG1066" s="757"/>
      <c r="AH1066" s="857">
        <v>0</v>
      </c>
      <c r="AI1066" s="757">
        <f>AJ1066</f>
      </c>
      <c r="AJ1066" s="963">
        <v>0</v>
      </c>
      <c r="AK1066" s="757"/>
      <c r="AL1066" s="757"/>
      <c r="AM1066" s="757"/>
      <c r="AN1066" s="757">
        <f>AO1066</f>
      </c>
      <c r="AO1066" s="962"/>
      <c r="AP1066" s="757"/>
      <c r="AQ1066" s="757"/>
      <c r="AR1066" s="757"/>
      <c r="AS1066" s="757">
        <f>AT1066</f>
      </c>
      <c r="AT1066" s="962"/>
      <c r="AU1066" s="757"/>
      <c r="AV1066" s="757"/>
      <c r="AW1066" s="757"/>
      <c r="AX1066" s="757">
        <f>AY1066</f>
      </c>
      <c r="AY1066" s="962"/>
      <c r="AZ1066" s="757"/>
      <c r="BA1066" s="757"/>
      <c r="BB1066" s="757"/>
      <c r="BC1066" s="757">
        <f>BD1066</f>
      </c>
      <c r="BD1066" s="962"/>
      <c r="BE1066" s="757"/>
      <c r="BF1066" s="757"/>
      <c r="BG1066" s="757"/>
      <c r="BH1066" s="757">
        <f>BI1066</f>
      </c>
      <c r="BI1066" s="962"/>
      <c r="BJ1066" s="757"/>
      <c r="BK1066" s="757"/>
      <c r="BL1066" s="757"/>
      <c r="BM1066" s="757">
        <f>BN1066</f>
      </c>
      <c r="BN1066" s="962"/>
      <c r="BO1066" s="757"/>
      <c r="BP1066" s="757"/>
      <c r="BQ1066" s="757"/>
      <c r="BR1066" s="757">
        <f>BS1066</f>
      </c>
      <c r="BS1066" s="962"/>
      <c r="BT1066" s="758"/>
      <c r="BU1066" s="757"/>
      <c r="BV1066" s="757"/>
      <c r="BW1066" s="757"/>
      <c r="BX1066" s="962"/>
      <c r="BY1066" s="757"/>
      <c r="BZ1066" s="757"/>
      <c r="CA1066" s="757"/>
      <c r="CB1066" s="757"/>
      <c r="CC1066" s="962"/>
      <c r="CD1066" s="962"/>
      <c r="CE1066" s="962"/>
      <c r="CF1066" s="962"/>
      <c r="CG1066" s="459"/>
    </row>
    <row r="1067" spans="1:85" s="587" customFormat="1" hidden="1" outlineLevel="1" x14ac:dyDescent="0.3">
      <c r="A1067" s="30" t="s">
        <v>2204</v>
      </c>
      <c r="B1067" s="416"/>
      <c r="C1067" s="984"/>
      <c r="D1067" s="984"/>
      <c r="E1067" s="984"/>
      <c r="F1067" s="984"/>
      <c r="G1067" s="761"/>
      <c r="H1067" s="761"/>
      <c r="I1067" s="761"/>
      <c r="J1067" s="761"/>
      <c r="K1067" s="984"/>
      <c r="L1067" s="761"/>
      <c r="M1067" s="761"/>
      <c r="N1067" s="761"/>
      <c r="O1067" s="761"/>
      <c r="P1067" s="984"/>
      <c r="Q1067" s="761"/>
      <c r="R1067" s="761"/>
      <c r="S1067" s="761"/>
      <c r="T1067" s="761"/>
      <c r="U1067" s="984"/>
      <c r="V1067" s="761"/>
      <c r="W1067" s="761"/>
      <c r="X1067" s="761"/>
      <c r="Y1067" s="761">
        <f>Z1067</f>
      </c>
      <c r="Z1067" s="984"/>
      <c r="AA1067" s="761"/>
      <c r="AB1067" s="761"/>
      <c r="AC1067" s="761"/>
      <c r="AD1067" s="761">
        <f>AE1067</f>
      </c>
      <c r="AE1067" s="984"/>
      <c r="AF1067" s="761"/>
      <c r="AG1067" s="761"/>
      <c r="AH1067" s="761"/>
      <c r="AI1067" s="761">
        <f>AJ1067</f>
      </c>
      <c r="AJ1067" s="984"/>
      <c r="AK1067" s="761"/>
      <c r="AL1067" s="761"/>
      <c r="AM1067" s="761"/>
      <c r="AN1067" s="761">
        <f>AO1067</f>
      </c>
      <c r="AO1067" s="984"/>
      <c r="AP1067" s="761"/>
      <c r="AQ1067" s="761"/>
      <c r="AR1067" s="761"/>
      <c r="AS1067" s="761">
        <f>AT1067</f>
      </c>
      <c r="AT1067" s="984"/>
      <c r="AU1067" s="761"/>
      <c r="AV1067" s="761"/>
      <c r="AW1067" s="761"/>
      <c r="AX1067" s="761">
        <f>AY1067</f>
      </c>
      <c r="AY1067" s="984"/>
      <c r="AZ1067" s="761"/>
      <c r="BA1067" s="761"/>
      <c r="BB1067" s="761"/>
      <c r="BC1067" s="761">
        <f>BD1067</f>
      </c>
      <c r="BD1067" s="984"/>
      <c r="BE1067" s="761"/>
      <c r="BF1067" s="761"/>
      <c r="BG1067" s="761"/>
      <c r="BH1067" s="761">
        <f>BI1067</f>
      </c>
      <c r="BI1067" s="984"/>
      <c r="BJ1067" s="761"/>
      <c r="BK1067" s="761"/>
      <c r="BL1067" s="761"/>
      <c r="BM1067" s="761">
        <f>BN1067</f>
      </c>
      <c r="BN1067" s="984"/>
      <c r="BO1067" s="761"/>
      <c r="BP1067" s="863">
        <v>-36.19</v>
      </c>
      <c r="BQ1067" s="761"/>
      <c r="BR1067" s="761">
        <f>BS1067</f>
      </c>
      <c r="BS1067" s="984"/>
      <c r="BT1067" s="762"/>
      <c r="BU1067" s="761"/>
      <c r="BV1067" s="761"/>
      <c r="BW1067" s="761"/>
      <c r="BX1067" s="984"/>
      <c r="BY1067" s="761"/>
      <c r="BZ1067" s="761"/>
      <c r="CA1067" s="761"/>
      <c r="CB1067" s="761"/>
      <c r="CC1067" s="984"/>
      <c r="CD1067" s="984"/>
      <c r="CE1067" s="984"/>
      <c r="CF1067" s="984"/>
      <c r="CG1067" s="459"/>
    </row>
    <row r="1068" spans="1:85" s="587" customFormat="1" hidden="1" outlineLevel="1" x14ac:dyDescent="0.3">
      <c r="A1068" s="2" t="s">
        <v>157</v>
      </c>
      <c r="B1068" s="422"/>
      <c r="C1068" s="986">
        <f t="shared" ref="C1068:E1068" si="2383">SUM(C1057:C1066)</f>
      </c>
      <c r="D1068" s="986">
        <f t="shared" si="2383"/>
      </c>
      <c r="E1068" s="986">
        <f t="shared" si="2383"/>
      </c>
      <c r="F1068" s="986">
        <f t="shared" ref="F1068:BO1068" si="2384">SUM(F1057:F1067)</f>
      </c>
      <c r="G1068" s="792">
        <f t="shared" si="2384"/>
      </c>
      <c r="H1068" s="792">
        <f t="shared" si="2384"/>
      </c>
      <c r="I1068" s="792">
        <f t="shared" si="2384"/>
      </c>
      <c r="J1068" s="792">
        <f t="shared" si="2384"/>
      </c>
      <c r="K1068" s="986">
        <f t="shared" si="2384"/>
      </c>
      <c r="L1068" s="792">
        <f t="shared" si="2384"/>
      </c>
      <c r="M1068" s="792">
        <f t="shared" si="2384"/>
      </c>
      <c r="N1068" s="792">
        <f t="shared" si="2384"/>
      </c>
      <c r="O1068" s="792">
        <f t="shared" si="2384"/>
      </c>
      <c r="P1068" s="986">
        <f t="shared" si="2384"/>
      </c>
      <c r="Q1068" s="792">
        <f t="shared" si="2384"/>
      </c>
      <c r="R1068" s="792">
        <f t="shared" si="2384"/>
      </c>
      <c r="S1068" s="792">
        <f t="shared" si="2384"/>
      </c>
      <c r="T1068" s="792">
        <f t="shared" si="2384"/>
      </c>
      <c r="U1068" s="986">
        <f t="shared" si="2384"/>
      </c>
      <c r="V1068" s="792">
        <f t="shared" si="2384"/>
      </c>
      <c r="W1068" s="792">
        <f t="shared" si="2384"/>
      </c>
      <c r="X1068" s="792">
        <f t="shared" si="2384"/>
      </c>
      <c r="Y1068" s="791">
        <f t="shared" si="2384"/>
      </c>
      <c r="Z1068" s="965">
        <f t="shared" si="2384"/>
      </c>
      <c r="AA1068" s="792">
        <f t="shared" si="2384"/>
      </c>
      <c r="AB1068" s="792">
        <f t="shared" si="2384"/>
      </c>
      <c r="AC1068" s="792">
        <f t="shared" si="2384"/>
      </c>
      <c r="AD1068" s="791">
        <f t="shared" si="2384"/>
      </c>
      <c r="AE1068" s="965">
        <f t="shared" si="2384"/>
      </c>
      <c r="AF1068" s="792">
        <f t="shared" si="2384"/>
      </c>
      <c r="AG1068" s="792">
        <f t="shared" si="2384"/>
      </c>
      <c r="AH1068" s="792">
        <f t="shared" si="2384"/>
      </c>
      <c r="AI1068" s="791">
        <f t="shared" si="2384"/>
      </c>
      <c r="AJ1068" s="965">
        <f t="shared" si="2384"/>
      </c>
      <c r="AK1068" s="792">
        <f t="shared" si="2384"/>
      </c>
      <c r="AL1068" s="792">
        <f t="shared" si="2384"/>
      </c>
      <c r="AM1068" s="792">
        <f t="shared" si="2384"/>
      </c>
      <c r="AN1068" s="791">
        <f t="shared" si="2384"/>
      </c>
      <c r="AO1068" s="965">
        <f t="shared" si="2384"/>
      </c>
      <c r="AP1068" s="792">
        <f t="shared" si="2384"/>
      </c>
      <c r="AQ1068" s="792">
        <f t="shared" si="2384"/>
      </c>
      <c r="AR1068" s="792">
        <f t="shared" si="2384"/>
      </c>
      <c r="AS1068" s="791">
        <f t="shared" si="2384"/>
      </c>
      <c r="AT1068" s="965">
        <f t="shared" si="2384"/>
      </c>
      <c r="AU1068" s="792">
        <f t="shared" si="2384"/>
      </c>
      <c r="AV1068" s="792">
        <f t="shared" si="2384"/>
      </c>
      <c r="AW1068" s="792">
        <f t="shared" si="2384"/>
      </c>
      <c r="AX1068" s="791">
        <f t="shared" si="2384"/>
      </c>
      <c r="AY1068" s="965">
        <f t="shared" si="2384"/>
      </c>
      <c r="AZ1068" s="792">
        <f t="shared" si="2384"/>
      </c>
      <c r="BA1068" s="791">
        <f t="shared" si="2384"/>
      </c>
      <c r="BB1068" s="792">
        <f t="shared" si="2384"/>
      </c>
      <c r="BC1068" s="791">
        <f t="shared" si="2384"/>
      </c>
      <c r="BD1068" s="965">
        <f t="shared" si="2384"/>
      </c>
      <c r="BE1068" s="792">
        <f t="shared" si="2384"/>
      </c>
      <c r="BF1068" s="791">
        <f t="shared" si="2384"/>
      </c>
      <c r="BG1068" s="792">
        <f t="shared" si="2384"/>
      </c>
      <c r="BH1068" s="791">
        <f t="shared" si="2384"/>
      </c>
      <c r="BI1068" s="965">
        <f t="shared" si="2384"/>
      </c>
      <c r="BJ1068" s="792">
        <f t="shared" si="2384"/>
      </c>
      <c r="BK1068" s="791">
        <f t="shared" si="2384"/>
      </c>
      <c r="BL1068" s="792">
        <f t="shared" si="2384"/>
      </c>
      <c r="BM1068" s="791">
        <f t="shared" si="2384"/>
      </c>
      <c r="BN1068" s="965">
        <f t="shared" si="2384"/>
      </c>
      <c r="BO1068" s="792">
        <f t="shared" si="2384"/>
      </c>
      <c r="BP1068" s="791">
        <f>SUM(BP1057:BP1067)</f>
      </c>
      <c r="BQ1068" s="792">
        <f>SUM(BQ1057:BQ1067)</f>
      </c>
      <c r="BR1068" s="791">
        <f>SUM(BR1057:BR1067)</f>
      </c>
      <c r="BS1068" s="965">
        <f>SUM(BS1057:BS1067)</f>
      </c>
      <c r="BT1068" s="793">
        <f>SUM(BT1057:BT1067)</f>
      </c>
      <c r="BU1068" s="791"/>
      <c r="BV1068" s="791"/>
      <c r="BW1068" s="791"/>
      <c r="BX1068" s="965"/>
      <c r="BY1068" s="791"/>
      <c r="BZ1068" s="791"/>
      <c r="CA1068" s="791"/>
      <c r="CB1068" s="791"/>
      <c r="CC1068" s="965"/>
      <c r="CD1068" s="965"/>
      <c r="CE1068" s="965"/>
      <c r="CF1068" s="965"/>
      <c r="CG1068" s="183"/>
    </row>
    <row r="1069" spans="1:85" s="587" customFormat="1" hidden="1" outlineLevel="1" x14ac:dyDescent="0.3">
      <c r="A1069" s="429"/>
      <c r="B1069" s="428"/>
      <c r="C1069" s="969"/>
      <c r="D1069" s="969"/>
      <c r="E1069" s="969"/>
      <c r="F1069" s="969"/>
      <c r="G1069" s="759"/>
      <c r="H1069" s="759"/>
      <c r="I1069" s="759"/>
      <c r="J1069" s="759"/>
      <c r="K1069" s="969"/>
      <c r="L1069" s="759"/>
      <c r="M1069" s="759"/>
      <c r="N1069" s="759"/>
      <c r="O1069" s="759"/>
      <c r="P1069" s="969"/>
      <c r="Q1069" s="759"/>
      <c r="R1069" s="759"/>
      <c r="S1069" s="759"/>
      <c r="T1069" s="759"/>
      <c r="U1069" s="969"/>
      <c r="V1069" s="759"/>
      <c r="W1069" s="759"/>
      <c r="X1069" s="759"/>
      <c r="Y1069" s="759"/>
      <c r="Z1069" s="969"/>
      <c r="AA1069" s="759"/>
      <c r="AB1069" s="759"/>
      <c r="AC1069" s="759"/>
      <c r="AD1069" s="759"/>
      <c r="AE1069" s="969"/>
      <c r="AF1069" s="759"/>
      <c r="AG1069" s="759"/>
      <c r="AH1069" s="759"/>
      <c r="AI1069" s="759"/>
      <c r="AJ1069" s="969"/>
      <c r="AK1069" s="759"/>
      <c r="AL1069" s="759"/>
      <c r="AM1069" s="759"/>
      <c r="AN1069" s="759"/>
      <c r="AO1069" s="969"/>
      <c r="AP1069" s="759"/>
      <c r="AQ1069" s="759"/>
      <c r="AR1069" s="759"/>
      <c r="AS1069" s="759"/>
      <c r="AT1069" s="969"/>
      <c r="AU1069" s="759"/>
      <c r="AV1069" s="759"/>
      <c r="AW1069" s="759"/>
      <c r="AX1069" s="759"/>
      <c r="AY1069" s="969"/>
      <c r="AZ1069" s="759"/>
      <c r="BA1069" s="759"/>
      <c r="BB1069" s="759"/>
      <c r="BC1069" s="759"/>
      <c r="BD1069" s="969"/>
      <c r="BE1069" s="759"/>
      <c r="BF1069" s="759"/>
      <c r="BG1069" s="759"/>
      <c r="BH1069" s="759"/>
      <c r="BI1069" s="969"/>
      <c r="BJ1069" s="759"/>
      <c r="BK1069" s="759"/>
      <c r="BL1069" s="759"/>
      <c r="BM1069" s="759"/>
      <c r="BN1069" s="969"/>
      <c r="BO1069" s="759"/>
      <c r="BP1069" s="759"/>
      <c r="BQ1069" s="759"/>
      <c r="BR1069" s="759"/>
      <c r="BS1069" s="969"/>
      <c r="BT1069" s="760"/>
      <c r="BU1069" s="759"/>
      <c r="BV1069" s="759"/>
      <c r="BW1069" s="759"/>
      <c r="BX1069" s="969"/>
      <c r="BY1069" s="759"/>
      <c r="BZ1069" s="759"/>
      <c r="CA1069" s="759"/>
      <c r="CB1069" s="759"/>
      <c r="CC1069" s="969"/>
      <c r="CD1069" s="969"/>
      <c r="CE1069" s="969"/>
      <c r="CF1069" s="969"/>
      <c r="CG1069" s="183"/>
    </row>
    <row r="1070" spans="1:85" s="587" customFormat="1" hidden="1" outlineLevel="1" x14ac:dyDescent="0.3">
      <c r="A1070" s="4" t="s">
        <v>158</v>
      </c>
      <c r="B1070" s="428"/>
      <c r="C1070" s="969"/>
      <c r="D1070" s="969"/>
      <c r="E1070" s="969"/>
      <c r="F1070" s="969"/>
      <c r="G1070" s="759"/>
      <c r="H1070" s="759"/>
      <c r="I1070" s="759"/>
      <c r="J1070" s="759"/>
      <c r="K1070" s="969"/>
      <c r="L1070" s="759"/>
      <c r="M1070" s="759"/>
      <c r="N1070" s="759"/>
      <c r="O1070" s="759"/>
      <c r="P1070" s="969"/>
      <c r="Q1070" s="759"/>
      <c r="R1070" s="759"/>
      <c r="S1070" s="759"/>
      <c r="T1070" s="759"/>
      <c r="U1070" s="969"/>
      <c r="V1070" s="759"/>
      <c r="W1070" s="759"/>
      <c r="X1070" s="759"/>
      <c r="Y1070" s="759"/>
      <c r="Z1070" s="969"/>
      <c r="AA1070" s="759"/>
      <c r="AB1070" s="759"/>
      <c r="AC1070" s="759"/>
      <c r="AD1070" s="759"/>
      <c r="AE1070" s="969"/>
      <c r="AF1070" s="759"/>
      <c r="AG1070" s="759"/>
      <c r="AH1070" s="759"/>
      <c r="AI1070" s="759"/>
      <c r="AJ1070" s="969"/>
      <c r="AK1070" s="759"/>
      <c r="AL1070" s="759"/>
      <c r="AM1070" s="759"/>
      <c r="AN1070" s="759"/>
      <c r="AO1070" s="969"/>
      <c r="AP1070" s="759"/>
      <c r="AQ1070" s="759"/>
      <c r="AR1070" s="759"/>
      <c r="AS1070" s="759"/>
      <c r="AT1070" s="969"/>
      <c r="AU1070" s="759"/>
      <c r="AV1070" s="759"/>
      <c r="AW1070" s="759"/>
      <c r="AX1070" s="759"/>
      <c r="AY1070" s="969"/>
      <c r="AZ1070" s="759"/>
      <c r="BA1070" s="759"/>
      <c r="BB1070" s="759"/>
      <c r="BC1070" s="759"/>
      <c r="BD1070" s="969"/>
      <c r="BE1070" s="759"/>
      <c r="BF1070" s="759"/>
      <c r="BG1070" s="759"/>
      <c r="BH1070" s="759"/>
      <c r="BI1070" s="969"/>
      <c r="BJ1070" s="759"/>
      <c r="BK1070" s="759"/>
      <c r="BL1070" s="759"/>
      <c r="BM1070" s="759"/>
      <c r="BN1070" s="969"/>
      <c r="BO1070" s="759"/>
      <c r="BP1070" s="759"/>
      <c r="BQ1070" s="759"/>
      <c r="BR1070" s="759"/>
      <c r="BS1070" s="969"/>
      <c r="BT1070" s="760"/>
      <c r="BU1070" s="759"/>
      <c r="BV1070" s="759"/>
      <c r="BW1070" s="759"/>
      <c r="BX1070" s="969"/>
      <c r="BY1070" s="759"/>
      <c r="BZ1070" s="759"/>
      <c r="CA1070" s="759"/>
      <c r="CB1070" s="759"/>
      <c r="CC1070" s="969"/>
      <c r="CD1070" s="969"/>
      <c r="CE1070" s="969"/>
      <c r="CF1070" s="969"/>
      <c r="CG1070" s="183"/>
    </row>
    <row r="1071" spans="1:85" s="587" customFormat="1" hidden="1" outlineLevel="1" x14ac:dyDescent="0.3">
      <c r="A1071" s="182" t="s">
        <v>159</v>
      </c>
      <c r="B1071" s="414"/>
      <c r="C1071" s="963">
        <v>35.274000000000001</v>
      </c>
      <c r="D1071" s="963">
        <v>0</v>
      </c>
      <c r="E1071" s="963">
        <v>19.614000000000001</v>
      </c>
      <c r="F1071" s="963">
        <v>4.1239999999999997</v>
      </c>
      <c r="G1071" s="857">
        <v>39.146000000000001</v>
      </c>
      <c r="H1071" s="857">
        <v>67.992000000000004</v>
      </c>
      <c r="I1071" s="857">
        <v>93.552999999999997</v>
      </c>
      <c r="J1071" s="857">
        <v>124.557</v>
      </c>
      <c r="K1071" s="963">
        <v>124.557</v>
      </c>
      <c r="L1071" s="857">
        <v>32.448</v>
      </c>
      <c r="M1071" s="857">
        <v>46.917000000000002</v>
      </c>
      <c r="N1071" s="857">
        <v>56.793999999999997</v>
      </c>
      <c r="O1071" s="857">
        <v>60.543999999999997</v>
      </c>
      <c r="P1071" s="963">
        <v>60.543999999999997</v>
      </c>
      <c r="Q1071" s="857">
        <v>10.916</v>
      </c>
      <c r="R1071" s="857">
        <v>34.72</v>
      </c>
      <c r="S1071" s="857">
        <v>69.808999999999997</v>
      </c>
      <c r="T1071" s="857">
        <v>77.98</v>
      </c>
      <c r="U1071" s="963">
        <v>77.98</v>
      </c>
      <c r="V1071" s="857">
        <v>3.536</v>
      </c>
      <c r="W1071" s="857">
        <v>7.7679999999999998</v>
      </c>
      <c r="X1071" s="857">
        <v>11.587</v>
      </c>
      <c r="Y1071" s="757">
        <f t="shared" ref="Y1071:Y1079" si="2385">Z1071</f>
      </c>
      <c r="Z1071" s="963">
        <v>36.978999999999999</v>
      </c>
      <c r="AA1071" s="857">
        <v>24.178000000000001</v>
      </c>
      <c r="AB1071" s="857">
        <v>39.003999999999998</v>
      </c>
      <c r="AC1071" s="857">
        <v>73.673000000000002</v>
      </c>
      <c r="AD1071" s="757">
        <f t="shared" ref="AD1071:AD1079" si="2386">AE1071</f>
      </c>
      <c r="AE1071" s="963">
        <v>88.378</v>
      </c>
      <c r="AF1071" s="857">
        <v>56.335000000000001</v>
      </c>
      <c r="AG1071" s="857">
        <v>83.271000000000001</v>
      </c>
      <c r="AH1071" s="857">
        <v>113.05200000000001</v>
      </c>
      <c r="AI1071" s="757">
        <f t="shared" ref="AI1071:AI1079" si="2387">AJ1071</f>
      </c>
      <c r="AJ1071" s="963">
        <v>124.502</v>
      </c>
      <c r="AK1071" s="857">
        <v>22.972000000000001</v>
      </c>
      <c r="AL1071" s="857">
        <v>44.868000000000002</v>
      </c>
      <c r="AM1071" s="857">
        <v>56.856999999999999</v>
      </c>
      <c r="AN1071" s="757">
        <f t="shared" ref="AN1071:AN1079" si="2388">AO1071</f>
      </c>
      <c r="AO1071" s="963">
        <v>72.489999999999995</v>
      </c>
      <c r="AP1071" s="857">
        <v>43.694000000000003</v>
      </c>
      <c r="AQ1071" s="857">
        <v>132.75399999999999</v>
      </c>
      <c r="AR1071" s="857">
        <v>201.41900000000001</v>
      </c>
      <c r="AS1071" s="757">
        <f t="shared" ref="AS1071:AS1079" si="2389">AT1071</f>
      </c>
      <c r="AT1071" s="963">
        <v>235.40600000000001</v>
      </c>
      <c r="AU1071" s="857">
        <v>48.070999999999998</v>
      </c>
      <c r="AV1071" s="857">
        <v>67.819999999999993</v>
      </c>
      <c r="AW1071" s="857">
        <v>86.265000000000001</v>
      </c>
      <c r="AX1071" s="757">
        <f t="shared" ref="AX1071:AX1085" si="2390">AY1071</f>
      </c>
      <c r="AY1071" s="963">
        <v>174.41399999999999</v>
      </c>
      <c r="AZ1071" s="857">
        <v>13.678000000000001</v>
      </c>
      <c r="BA1071" s="857">
        <v>24.928000000000001</v>
      </c>
      <c r="BB1071" s="857">
        <v>29.041</v>
      </c>
      <c r="BC1071" s="757">
        <f t="shared" ref="BC1071:BC1085" si="2391">BD1071</f>
      </c>
      <c r="BD1071" s="963">
        <v>35.746000000000002</v>
      </c>
      <c r="BE1071" s="857">
        <v>26.027999999999999</v>
      </c>
      <c r="BF1071" s="857">
        <v>60.744999999999997</v>
      </c>
      <c r="BG1071" s="857">
        <v>118.563</v>
      </c>
      <c r="BH1071" s="757">
        <f t="shared" ref="BH1071:BH1085" si="2392">BI1071</f>
      </c>
      <c r="BI1071" s="963">
        <v>169.99</v>
      </c>
      <c r="BJ1071" s="857">
        <v>268.88099999999997</v>
      </c>
      <c r="BK1071" s="857">
        <v>387.63099999999997</v>
      </c>
      <c r="BL1071" s="857">
        <v>530.875</v>
      </c>
      <c r="BM1071" s="757">
        <f t="shared" ref="BM1071:BM1085" si="2393">BN1071</f>
      </c>
      <c r="BN1071" s="963">
        <v>832.88699999999994</v>
      </c>
      <c r="BO1071" s="857">
        <v>351.60199999999998</v>
      </c>
      <c r="BP1071" s="857">
        <v>520.66800000000001</v>
      </c>
      <c r="BQ1071" s="857">
        <v>590.88300000000004</v>
      </c>
      <c r="BR1071" s="757">
        <f t="shared" ref="BR1071:BR1085" si="2394">BS1071</f>
      </c>
      <c r="BS1071" s="963">
        <v>666.96500000000003</v>
      </c>
      <c r="BT1071" s="864">
        <v>49.31</v>
      </c>
      <c r="BU1071" s="757"/>
      <c r="BV1071" s="757"/>
      <c r="BW1071" s="757"/>
      <c r="BX1071" s="962"/>
      <c r="BY1071" s="757"/>
      <c r="BZ1071" s="757"/>
      <c r="CA1071" s="757"/>
      <c r="CB1071" s="757"/>
      <c r="CC1071" s="962"/>
      <c r="CD1071" s="962"/>
      <c r="CE1071" s="962"/>
      <c r="CF1071" s="962"/>
      <c r="CG1071" s="459"/>
    </row>
    <row r="1072" spans="1:85" s="587" customFormat="1" hidden="1" outlineLevel="1" x14ac:dyDescent="0.3">
      <c r="A1072" s="182" t="s">
        <v>160</v>
      </c>
      <c r="B1072" s="414"/>
      <c r="C1072" s="963">
        <v>193.917</v>
      </c>
      <c r="D1072" s="963">
        <v>0</v>
      </c>
      <c r="E1072" s="963">
        <v>199.947</v>
      </c>
      <c r="F1072" s="963">
        <v>0</v>
      </c>
      <c r="G1072" s="857">
        <v>0</v>
      </c>
      <c r="H1072" s="857">
        <v>0</v>
      </c>
      <c r="I1072" s="857">
        <v>0</v>
      </c>
      <c r="J1072" s="857">
        <v>0</v>
      </c>
      <c r="K1072" s="963">
        <v>0</v>
      </c>
      <c r="L1072" s="857">
        <v>0</v>
      </c>
      <c r="M1072" s="857">
        <v>0</v>
      </c>
      <c r="N1072" s="857">
        <v>0</v>
      </c>
      <c r="O1072" s="857">
        <v>0</v>
      </c>
      <c r="P1072" s="963">
        <v>0</v>
      </c>
      <c r="Q1072" s="857">
        <v>0</v>
      </c>
      <c r="R1072" s="857">
        <v>0</v>
      </c>
      <c r="S1072" s="857">
        <v>0</v>
      </c>
      <c r="T1072" s="857">
        <v>0</v>
      </c>
      <c r="U1072" s="963">
        <v>0</v>
      </c>
      <c r="V1072" s="757"/>
      <c r="W1072" s="757"/>
      <c r="X1072" s="757"/>
      <c r="Y1072" s="757">
        <f t="shared" si="2385"/>
      </c>
      <c r="Z1072" s="962"/>
      <c r="AA1072" s="757"/>
      <c r="AB1072" s="757"/>
      <c r="AC1072" s="757"/>
      <c r="AD1072" s="757">
        <f t="shared" si="2386"/>
      </c>
      <c r="AE1072" s="962"/>
      <c r="AF1072" s="757"/>
      <c r="AG1072" s="757"/>
      <c r="AH1072" s="757"/>
      <c r="AI1072" s="757">
        <f t="shared" si="2387"/>
      </c>
      <c r="AJ1072" s="962"/>
      <c r="AK1072" s="757"/>
      <c r="AL1072" s="757"/>
      <c r="AM1072" s="757"/>
      <c r="AN1072" s="757">
        <f t="shared" si="2388"/>
      </c>
      <c r="AO1072" s="962"/>
      <c r="AP1072" s="757"/>
      <c r="AQ1072" s="757"/>
      <c r="AR1072" s="757"/>
      <c r="AS1072" s="757">
        <f t="shared" si="2389"/>
      </c>
      <c r="AT1072" s="962"/>
      <c r="AU1072" s="757"/>
      <c r="AV1072" s="757"/>
      <c r="AW1072" s="757"/>
      <c r="AX1072" s="757">
        <f t="shared" si="2390"/>
      </c>
      <c r="AY1072" s="962"/>
      <c r="AZ1072" s="757"/>
      <c r="BA1072" s="757"/>
      <c r="BB1072" s="757"/>
      <c r="BC1072" s="757">
        <f t="shared" si="2391"/>
      </c>
      <c r="BD1072" s="962"/>
      <c r="BE1072" s="757"/>
      <c r="BF1072" s="757"/>
      <c r="BG1072" s="757"/>
      <c r="BH1072" s="757">
        <f t="shared" si="2392"/>
      </c>
      <c r="BI1072" s="962"/>
      <c r="BJ1072" s="757"/>
      <c r="BK1072" s="757"/>
      <c r="BL1072" s="757"/>
      <c r="BM1072" s="757">
        <f t="shared" si="2393"/>
      </c>
      <c r="BN1072" s="962"/>
      <c r="BO1072" s="757"/>
      <c r="BP1072" s="757"/>
      <c r="BQ1072" s="757"/>
      <c r="BR1072" s="757">
        <f t="shared" si="2394"/>
      </c>
      <c r="BS1072" s="962"/>
      <c r="BT1072" s="758"/>
      <c r="BU1072" s="757"/>
      <c r="BV1072" s="757"/>
      <c r="BW1072" s="757"/>
      <c r="BX1072" s="962"/>
      <c r="BY1072" s="757"/>
      <c r="BZ1072" s="757"/>
      <c r="CA1072" s="757"/>
      <c r="CB1072" s="757"/>
      <c r="CC1072" s="962"/>
      <c r="CD1072" s="962"/>
      <c r="CE1072" s="962"/>
      <c r="CF1072" s="962"/>
      <c r="CG1072" s="459"/>
    </row>
    <row r="1073" spans="1:85" s="587" customFormat="1" hidden="1" outlineLevel="1" x14ac:dyDescent="0.3">
      <c r="A1073" s="182" t="s">
        <v>161</v>
      </c>
      <c r="B1073" s="414"/>
      <c r="C1073" s="963">
        <v>0</v>
      </c>
      <c r="D1073" s="963">
        <v>0</v>
      </c>
      <c r="E1073" s="963">
        <v>198.06</v>
      </c>
      <c r="F1073" s="963">
        <v>0</v>
      </c>
      <c r="G1073" s="857">
        <v>500</v>
      </c>
      <c r="H1073" s="857">
        <v>500</v>
      </c>
      <c r="I1073" s="857">
        <v>500</v>
      </c>
      <c r="J1073" s="857">
        <v>500</v>
      </c>
      <c r="K1073" s="963">
        <v>500</v>
      </c>
      <c r="L1073" s="857">
        <v>400</v>
      </c>
      <c r="M1073" s="857">
        <v>400</v>
      </c>
      <c r="N1073" s="857">
        <v>400</v>
      </c>
      <c r="O1073" s="857">
        <v>400</v>
      </c>
      <c r="P1073" s="963">
        <v>400</v>
      </c>
      <c r="Q1073" s="857">
        <v>1500</v>
      </c>
      <c r="R1073" s="857">
        <v>1500</v>
      </c>
      <c r="S1073" s="857">
        <v>1500</v>
      </c>
      <c r="T1073" s="857">
        <v>1500</v>
      </c>
      <c r="U1073" s="963">
        <v>1500</v>
      </c>
      <c r="V1073" s="757"/>
      <c r="W1073" s="757"/>
      <c r="X1073" s="757"/>
      <c r="Y1073" s="757">
        <f t="shared" si="2385"/>
      </c>
      <c r="Z1073" s="963">
        <v>1000</v>
      </c>
      <c r="AA1073" s="757"/>
      <c r="AB1073" s="857">
        <v>1420.51</v>
      </c>
      <c r="AC1073" s="857">
        <v>1420.51</v>
      </c>
      <c r="AD1073" s="757">
        <f t="shared" si="2386"/>
      </c>
      <c r="AE1073" s="963">
        <v>3020.51</v>
      </c>
      <c r="AF1073" s="757"/>
      <c r="AG1073" s="857">
        <v>1900</v>
      </c>
      <c r="AH1073" s="857">
        <v>1900</v>
      </c>
      <c r="AI1073" s="757">
        <f t="shared" si="2387"/>
      </c>
      <c r="AJ1073" s="963">
        <v>3961.8519999999999</v>
      </c>
      <c r="AK1073" s="757"/>
      <c r="AL1073" s="857">
        <v>2243.1959999999999</v>
      </c>
      <c r="AM1073" s="857">
        <v>2243.1959999999999</v>
      </c>
      <c r="AN1073" s="757">
        <f t="shared" si="2388"/>
      </c>
      <c r="AO1073" s="963">
        <v>4469.3059999999996</v>
      </c>
      <c r="AP1073" s="757"/>
      <c r="AQ1073" s="857">
        <v>1009.4640000000001</v>
      </c>
      <c r="AR1073" s="857">
        <v>1009.4640000000001</v>
      </c>
      <c r="AS1073" s="757">
        <f t="shared" si="2389"/>
      </c>
      <c r="AT1073" s="963">
        <v>1009.4640000000001</v>
      </c>
      <c r="AU1073" s="757"/>
      <c r="AV1073" s="757"/>
      <c r="AW1073" s="757"/>
      <c r="AX1073" s="757">
        <f t="shared" si="2390"/>
      </c>
      <c r="AY1073" s="963">
        <v>0</v>
      </c>
      <c r="AZ1073" s="757"/>
      <c r="BA1073" s="757"/>
      <c r="BB1073" s="757"/>
      <c r="BC1073" s="757">
        <f t="shared" si="2391"/>
      </c>
      <c r="BD1073" s="962"/>
      <c r="BE1073" s="757"/>
      <c r="BF1073" s="757"/>
      <c r="BG1073" s="757"/>
      <c r="BH1073" s="757">
        <f t="shared" si="2392"/>
      </c>
      <c r="BI1073" s="962"/>
      <c r="BJ1073" s="757"/>
      <c r="BK1073" s="757"/>
      <c r="BL1073" s="857">
        <v>1794.46</v>
      </c>
      <c r="BM1073" s="757">
        <f t="shared" si="2393"/>
      </c>
      <c r="BN1073" s="963">
        <v>1794.46</v>
      </c>
      <c r="BO1073" s="757"/>
      <c r="BP1073" s="757"/>
      <c r="BQ1073" s="757"/>
      <c r="BR1073" s="757">
        <f t="shared" si="2394"/>
      </c>
      <c r="BS1073" s="962"/>
      <c r="BT1073" s="758"/>
      <c r="BU1073" s="757"/>
      <c r="BV1073" s="757"/>
      <c r="BW1073" s="757"/>
      <c r="BX1073" s="962"/>
      <c r="BY1073" s="757"/>
      <c r="BZ1073" s="757"/>
      <c r="CA1073" s="757"/>
      <c r="CB1073" s="757"/>
      <c r="CC1073" s="962"/>
      <c r="CD1073" s="962"/>
      <c r="CE1073" s="962"/>
      <c r="CF1073" s="962"/>
      <c r="CG1073" s="459"/>
    </row>
    <row r="1074" spans="1:85" s="587" customFormat="1" hidden="1" outlineLevel="1" x14ac:dyDescent="0.3">
      <c r="A1074" s="182" t="s">
        <v>162</v>
      </c>
      <c r="B1074" s="414"/>
      <c r="C1074" s="963">
        <v>0</v>
      </c>
      <c r="D1074" s="963">
        <v>0</v>
      </c>
      <c r="E1074" s="963">
        <v>0</v>
      </c>
      <c r="F1074" s="963">
        <v>-0.75900000000000001</v>
      </c>
      <c r="G1074" s="857">
        <v>-9.4139999999999997</v>
      </c>
      <c r="H1074" s="857">
        <v>-9.4139999999999997</v>
      </c>
      <c r="I1074" s="857">
        <v>-9.4139999999999997</v>
      </c>
      <c r="J1074" s="857">
        <v>-9.4139999999999997</v>
      </c>
      <c r="K1074" s="963">
        <v>-9.4139999999999997</v>
      </c>
      <c r="L1074" s="857">
        <v>-6.7270000000000003</v>
      </c>
      <c r="M1074" s="857">
        <v>-7.08</v>
      </c>
      <c r="N1074" s="857">
        <v>-7.08</v>
      </c>
      <c r="O1074" s="857">
        <v>-7.08</v>
      </c>
      <c r="P1074" s="963">
        <v>-7.08</v>
      </c>
      <c r="Q1074" s="857">
        <v>-17.231999999999999</v>
      </c>
      <c r="R1074" s="857">
        <v>-17.629000000000001</v>
      </c>
      <c r="S1074" s="857">
        <v>-17.629000000000001</v>
      </c>
      <c r="T1074" s="857">
        <v>-17.629000000000001</v>
      </c>
      <c r="U1074" s="963">
        <v>-17.629000000000001</v>
      </c>
      <c r="V1074" s="757"/>
      <c r="W1074" s="757"/>
      <c r="X1074" s="757"/>
      <c r="Y1074" s="757">
        <f t="shared" si="2385"/>
      </c>
      <c r="Z1074" s="963">
        <v>-10.7</v>
      </c>
      <c r="AA1074" s="757"/>
      <c r="AB1074" s="757"/>
      <c r="AC1074" s="857">
        <v>-15.324999999999999</v>
      </c>
      <c r="AD1074" s="757">
        <f t="shared" si="2386"/>
      </c>
      <c r="AE1074" s="963">
        <v>-32.152999999999999</v>
      </c>
      <c r="AF1074" s="757"/>
      <c r="AG1074" s="757"/>
      <c r="AH1074" s="757"/>
      <c r="AI1074" s="757">
        <f t="shared" si="2387"/>
      </c>
      <c r="AJ1074" s="962"/>
      <c r="AK1074" s="757"/>
      <c r="AL1074" s="757"/>
      <c r="AM1074" s="757"/>
      <c r="AN1074" s="757">
        <f t="shared" si="2388"/>
      </c>
      <c r="AO1074" s="962"/>
      <c r="AP1074" s="757"/>
      <c r="AQ1074" s="757"/>
      <c r="AR1074" s="757"/>
      <c r="AS1074" s="757">
        <f t="shared" si="2389"/>
      </c>
      <c r="AT1074" s="962"/>
      <c r="AU1074" s="757"/>
      <c r="AV1074" s="757"/>
      <c r="AW1074" s="757"/>
      <c r="AX1074" s="757">
        <f t="shared" si="2390"/>
      </c>
      <c r="AY1074" s="962"/>
      <c r="AZ1074" s="757"/>
      <c r="BA1074" s="757"/>
      <c r="BB1074" s="757"/>
      <c r="BC1074" s="757">
        <f t="shared" si="2391"/>
      </c>
      <c r="BD1074" s="962"/>
      <c r="BE1074" s="757"/>
      <c r="BF1074" s="757"/>
      <c r="BG1074" s="757"/>
      <c r="BH1074" s="757">
        <f t="shared" si="2392"/>
      </c>
      <c r="BI1074" s="962"/>
      <c r="BJ1074" s="757"/>
      <c r="BK1074" s="757"/>
      <c r="BL1074" s="757"/>
      <c r="BM1074" s="757">
        <f t="shared" si="2393"/>
      </c>
      <c r="BN1074" s="962"/>
      <c r="BO1074" s="757"/>
      <c r="BP1074" s="757"/>
      <c r="BQ1074" s="757"/>
      <c r="BR1074" s="757">
        <f t="shared" si="2394"/>
      </c>
      <c r="BS1074" s="962"/>
      <c r="BT1074" s="758"/>
      <c r="BU1074" s="757"/>
      <c r="BV1074" s="757"/>
      <c r="BW1074" s="757"/>
      <c r="BX1074" s="962"/>
      <c r="BY1074" s="757"/>
      <c r="BZ1074" s="757"/>
      <c r="CA1074" s="757"/>
      <c r="CB1074" s="757"/>
      <c r="CC1074" s="962"/>
      <c r="CD1074" s="962"/>
      <c r="CE1074" s="962"/>
      <c r="CF1074" s="962"/>
      <c r="CG1074" s="459"/>
    </row>
    <row r="1075" spans="1:85" s="587" customFormat="1" hidden="1" outlineLevel="1" x14ac:dyDescent="0.3">
      <c r="A1075" s="182" t="s">
        <v>163</v>
      </c>
      <c r="B1075" s="414"/>
      <c r="C1075" s="963">
        <v>-324.33499999999998</v>
      </c>
      <c r="D1075" s="963">
        <v>-210.25899999999999</v>
      </c>
      <c r="E1075" s="963">
        <v>-199.666</v>
      </c>
      <c r="F1075" s="963">
        <v>0</v>
      </c>
      <c r="G1075" s="857">
        <v>0</v>
      </c>
      <c r="H1075" s="857">
        <v>0</v>
      </c>
      <c r="I1075" s="857">
        <v>0</v>
      </c>
      <c r="J1075" s="857">
        <v>0</v>
      </c>
      <c r="K1075" s="963">
        <v>0</v>
      </c>
      <c r="L1075" s="857">
        <v>0</v>
      </c>
      <c r="M1075" s="857">
        <v>0</v>
      </c>
      <c r="N1075" s="857">
        <v>0</v>
      </c>
      <c r="O1075" s="857">
        <v>0</v>
      </c>
      <c r="P1075" s="963">
        <v>0</v>
      </c>
      <c r="Q1075" s="857">
        <v>0</v>
      </c>
      <c r="R1075" s="857">
        <v>0</v>
      </c>
      <c r="S1075" s="857">
        <v>0</v>
      </c>
      <c r="T1075" s="857">
        <v>0</v>
      </c>
      <c r="U1075" s="963">
        <v>0</v>
      </c>
      <c r="V1075" s="757"/>
      <c r="W1075" s="757"/>
      <c r="X1075" s="757"/>
      <c r="Y1075" s="757">
        <f t="shared" si="2385"/>
      </c>
      <c r="Z1075" s="962"/>
      <c r="AA1075" s="757"/>
      <c r="AB1075" s="857">
        <v>-15.013</v>
      </c>
      <c r="AC1075" s="757"/>
      <c r="AD1075" s="757">
        <f t="shared" si="2386"/>
      </c>
      <c r="AE1075" s="962"/>
      <c r="AF1075" s="757"/>
      <c r="AG1075" s="857">
        <v>-16.992000000000001</v>
      </c>
      <c r="AH1075" s="857">
        <v>-16.992000000000001</v>
      </c>
      <c r="AI1075" s="757">
        <f t="shared" si="2387"/>
      </c>
      <c r="AJ1075" s="963">
        <v>-35.871000000000002</v>
      </c>
      <c r="AK1075" s="757"/>
      <c r="AL1075" s="857">
        <v>-18.192</v>
      </c>
      <c r="AM1075" s="857">
        <v>-18.192</v>
      </c>
      <c r="AN1075" s="757">
        <f t="shared" si="2388"/>
      </c>
      <c r="AO1075" s="963">
        <v>-36.134</v>
      </c>
      <c r="AP1075" s="757"/>
      <c r="AQ1075" s="857">
        <v>-7.5590000000000002</v>
      </c>
      <c r="AR1075" s="857">
        <v>-7.5590000000000002</v>
      </c>
      <c r="AS1075" s="757">
        <f t="shared" si="2389"/>
      </c>
      <c r="AT1075" s="963">
        <v>-7.5590000000000002</v>
      </c>
      <c r="AU1075" s="757"/>
      <c r="AV1075" s="757"/>
      <c r="AW1075" s="757"/>
      <c r="AX1075" s="757">
        <f t="shared" si="2390"/>
      </c>
      <c r="AY1075" s="963">
        <v>0</v>
      </c>
      <c r="AZ1075" s="757"/>
      <c r="BA1075" s="757"/>
      <c r="BB1075" s="757"/>
      <c r="BC1075" s="757">
        <f t="shared" si="2391"/>
      </c>
      <c r="BD1075" s="962"/>
      <c r="BE1075" s="757"/>
      <c r="BF1075" s="757"/>
      <c r="BG1075" s="757"/>
      <c r="BH1075" s="757">
        <f t="shared" si="2392"/>
      </c>
      <c r="BI1075" s="962"/>
      <c r="BJ1075" s="757"/>
      <c r="BK1075" s="757"/>
      <c r="BL1075" s="757"/>
      <c r="BM1075" s="757">
        <f t="shared" si="2393"/>
      </c>
      <c r="BN1075" s="962"/>
      <c r="BO1075" s="757"/>
      <c r="BP1075" s="757"/>
      <c r="BQ1075" s="757"/>
      <c r="BR1075" s="757">
        <f t="shared" si="2394"/>
      </c>
      <c r="BS1075" s="962"/>
      <c r="BT1075" s="758"/>
      <c r="BU1075" s="757"/>
      <c r="BV1075" s="757"/>
      <c r="BW1075" s="757"/>
      <c r="BX1075" s="962"/>
      <c r="BY1075" s="757"/>
      <c r="BZ1075" s="757"/>
      <c r="CA1075" s="757"/>
      <c r="CB1075" s="757"/>
      <c r="CC1075" s="962"/>
      <c r="CD1075" s="962"/>
      <c r="CE1075" s="962"/>
      <c r="CF1075" s="962"/>
      <c r="CG1075" s="459"/>
    </row>
    <row r="1076" spans="1:85" s="587" customFormat="1" hidden="1" outlineLevel="1" x14ac:dyDescent="0.3">
      <c r="A1076" s="182" t="s">
        <v>164</v>
      </c>
      <c r="B1076" s="414"/>
      <c r="C1076" s="963">
        <v>0</v>
      </c>
      <c r="D1076" s="963">
        <v>0</v>
      </c>
      <c r="E1076" s="963">
        <v>0</v>
      </c>
      <c r="F1076" s="963">
        <v>0</v>
      </c>
      <c r="G1076" s="857">
        <v>-219.36199999999999</v>
      </c>
      <c r="H1076" s="857">
        <v>-219.36199999999999</v>
      </c>
      <c r="I1076" s="857">
        <v>-219.36199999999999</v>
      </c>
      <c r="J1076" s="857">
        <v>-219.36199999999999</v>
      </c>
      <c r="K1076" s="963">
        <v>-219.36199999999999</v>
      </c>
      <c r="L1076" s="857">
        <v>0</v>
      </c>
      <c r="M1076" s="857">
        <v>0</v>
      </c>
      <c r="N1076" s="857">
        <v>0</v>
      </c>
      <c r="O1076" s="857">
        <v>0</v>
      </c>
      <c r="P1076" s="963">
        <v>0</v>
      </c>
      <c r="Q1076" s="857">
        <v>0</v>
      </c>
      <c r="R1076" s="857">
        <v>0</v>
      </c>
      <c r="S1076" s="857">
        <v>0</v>
      </c>
      <c r="T1076" s="857">
        <v>0</v>
      </c>
      <c r="U1076" s="963">
        <v>0</v>
      </c>
      <c r="V1076" s="757"/>
      <c r="W1076" s="757"/>
      <c r="X1076" s="757"/>
      <c r="Y1076" s="757">
        <f t="shared" si="2385"/>
      </c>
      <c r="Z1076" s="962"/>
      <c r="AA1076" s="757"/>
      <c r="AB1076" s="757"/>
      <c r="AC1076" s="757"/>
      <c r="AD1076" s="757">
        <f t="shared" si="2386"/>
      </c>
      <c r="AE1076" s="962"/>
      <c r="AF1076" s="757"/>
      <c r="AG1076" s="757"/>
      <c r="AH1076" s="757"/>
      <c r="AI1076" s="757">
        <f t="shared" si="2387"/>
      </c>
      <c r="AJ1076" s="962"/>
      <c r="AK1076" s="757"/>
      <c r="AL1076" s="757"/>
      <c r="AM1076" s="757"/>
      <c r="AN1076" s="757">
        <f t="shared" si="2388"/>
      </c>
      <c r="AO1076" s="962"/>
      <c r="AP1076" s="757"/>
      <c r="AQ1076" s="757"/>
      <c r="AR1076" s="757"/>
      <c r="AS1076" s="757">
        <f t="shared" si="2389"/>
      </c>
      <c r="AT1076" s="962"/>
      <c r="AU1076" s="857">
        <v>-500</v>
      </c>
      <c r="AV1076" s="857">
        <v>-500</v>
      </c>
      <c r="AW1076" s="857">
        <v>-500</v>
      </c>
      <c r="AX1076" s="757">
        <f t="shared" si="2390"/>
      </c>
      <c r="AY1076" s="963">
        <v>-500</v>
      </c>
      <c r="AZ1076" s="857">
        <v>-700</v>
      </c>
      <c r="BA1076" s="857">
        <v>-700</v>
      </c>
      <c r="BB1076" s="857">
        <v>-700</v>
      </c>
      <c r="BC1076" s="757">
        <f t="shared" si="2391"/>
      </c>
      <c r="BD1076" s="963">
        <v>-700</v>
      </c>
      <c r="BE1076" s="757"/>
      <c r="BF1076" s="757"/>
      <c r="BG1076" s="757"/>
      <c r="BH1076" s="757">
        <f t="shared" si="2392"/>
      </c>
      <c r="BI1076" s="963">
        <v>0</v>
      </c>
      <c r="BJ1076" s="857">
        <v>-400</v>
      </c>
      <c r="BK1076" s="857">
        <v>-400</v>
      </c>
      <c r="BL1076" s="857">
        <v>-400</v>
      </c>
      <c r="BM1076" s="757">
        <f t="shared" si="2393"/>
      </c>
      <c r="BN1076" s="963">
        <v>-400</v>
      </c>
      <c r="BO1076" s="857">
        <v>-800</v>
      </c>
      <c r="BP1076" s="857">
        <v>-1833.45</v>
      </c>
      <c r="BQ1076" s="857">
        <v>-1833.45</v>
      </c>
      <c r="BR1076" s="757">
        <f t="shared" si="2394"/>
      </c>
      <c r="BS1076" s="963">
        <v>-1833.45</v>
      </c>
      <c r="BT1076" s="758"/>
      <c r="BU1076" s="757"/>
      <c r="BV1076" s="757"/>
      <c r="BW1076" s="757"/>
      <c r="BX1076" s="962"/>
      <c r="BY1076" s="757"/>
      <c r="BZ1076" s="757"/>
      <c r="CA1076" s="757"/>
      <c r="CB1076" s="757"/>
      <c r="CC1076" s="962"/>
      <c r="CD1076" s="962"/>
      <c r="CE1076" s="962"/>
      <c r="CF1076" s="962"/>
      <c r="CG1076" s="459"/>
    </row>
    <row r="1077" spans="1:85" s="587" customFormat="1" hidden="1" outlineLevel="1" x14ac:dyDescent="0.3">
      <c r="A1077" s="182" t="s">
        <v>133</v>
      </c>
      <c r="B1077" s="414"/>
      <c r="C1077" s="963">
        <v>12.683</v>
      </c>
      <c r="D1077" s="963">
        <v>62.213999999999999</v>
      </c>
      <c r="E1077" s="963">
        <v>45.783999999999999</v>
      </c>
      <c r="F1077" s="963">
        <v>4.5430000000000001</v>
      </c>
      <c r="G1077" s="857">
        <v>11.615</v>
      </c>
      <c r="H1077" s="857">
        <v>31.983000000000001</v>
      </c>
      <c r="I1077" s="857">
        <v>52.475000000000001</v>
      </c>
      <c r="J1077" s="857">
        <v>81.662999999999997</v>
      </c>
      <c r="K1077" s="963">
        <v>81.662999999999997</v>
      </c>
      <c r="L1077" s="857">
        <v>32.731999999999999</v>
      </c>
      <c r="M1077" s="857">
        <v>47.36</v>
      </c>
      <c r="N1077" s="857">
        <v>68.42</v>
      </c>
      <c r="O1077" s="857">
        <v>89.340999999999994</v>
      </c>
      <c r="P1077" s="963">
        <v>89.340999999999994</v>
      </c>
      <c r="Q1077" s="857">
        <v>29.001000000000001</v>
      </c>
      <c r="R1077" s="857">
        <v>68.427999999999997</v>
      </c>
      <c r="S1077" s="857">
        <v>106.154</v>
      </c>
      <c r="T1077" s="857">
        <v>80.471000000000004</v>
      </c>
      <c r="U1077" s="963">
        <v>80.471000000000004</v>
      </c>
      <c r="V1077" s="857">
        <v>11.316000000000001</v>
      </c>
      <c r="W1077" s="857">
        <v>24.638999999999999</v>
      </c>
      <c r="X1077" s="857">
        <v>37.401000000000003</v>
      </c>
      <c r="Y1077" s="757">
        <f t="shared" si="2385"/>
      </c>
      <c r="Z1077" s="963">
        <v>65.120999999999995</v>
      </c>
      <c r="AA1077" s="757"/>
      <c r="AB1077" s="857">
        <v>0</v>
      </c>
      <c r="AC1077" s="757"/>
      <c r="AD1077" s="757">
        <f t="shared" si="2386"/>
      </c>
      <c r="AE1077" s="962"/>
      <c r="AF1077" s="757"/>
      <c r="AG1077" s="757"/>
      <c r="AH1077" s="757"/>
      <c r="AI1077" s="757">
        <f t="shared" si="2387"/>
      </c>
      <c r="AJ1077" s="962"/>
      <c r="AK1077" s="757"/>
      <c r="AL1077" s="757"/>
      <c r="AM1077" s="757"/>
      <c r="AN1077" s="757">
        <f t="shared" si="2388"/>
      </c>
      <c r="AO1077" s="962"/>
      <c r="AP1077" s="757"/>
      <c r="AQ1077" s="757"/>
      <c r="AR1077" s="757"/>
      <c r="AS1077" s="757">
        <f t="shared" si="2389"/>
      </c>
      <c r="AT1077" s="962"/>
      <c r="AU1077" s="757"/>
      <c r="AV1077" s="757"/>
      <c r="AW1077" s="757"/>
      <c r="AX1077" s="757">
        <f t="shared" si="2390"/>
      </c>
      <c r="AY1077" s="962"/>
      <c r="AZ1077" s="757"/>
      <c r="BA1077" s="757"/>
      <c r="BB1077" s="757"/>
      <c r="BC1077" s="757">
        <f t="shared" si="2391"/>
      </c>
      <c r="BD1077" s="962"/>
      <c r="BE1077" s="757"/>
      <c r="BF1077" s="757"/>
      <c r="BG1077" s="757"/>
      <c r="BH1077" s="757">
        <f t="shared" si="2392"/>
      </c>
      <c r="BI1077" s="962"/>
      <c r="BJ1077" s="757"/>
      <c r="BK1077" s="757"/>
      <c r="BL1077" s="757"/>
      <c r="BM1077" s="757">
        <f t="shared" si="2393"/>
      </c>
      <c r="BN1077" s="962"/>
      <c r="BO1077" s="757"/>
      <c r="BP1077" s="757"/>
      <c r="BQ1077" s="757"/>
      <c r="BR1077" s="757">
        <f t="shared" si="2394"/>
      </c>
      <c r="BS1077" s="962"/>
      <c r="BT1077" s="758"/>
      <c r="BU1077" s="757"/>
      <c r="BV1077" s="757"/>
      <c r="BW1077" s="757"/>
      <c r="BX1077" s="962"/>
      <c r="BY1077" s="757"/>
      <c r="BZ1077" s="757"/>
      <c r="CA1077" s="757"/>
      <c r="CB1077" s="757"/>
      <c r="CC1077" s="962"/>
      <c r="CD1077" s="962"/>
      <c r="CE1077" s="962"/>
      <c r="CF1077" s="962"/>
      <c r="CG1077" s="459"/>
    </row>
    <row r="1078" spans="1:85" s="587" customFormat="1" hidden="1" outlineLevel="1" x14ac:dyDescent="0.3">
      <c r="A1078" s="182" t="s">
        <v>165</v>
      </c>
      <c r="B1078" s="414"/>
      <c r="C1078" s="963">
        <v>18.978000000000002</v>
      </c>
      <c r="D1078" s="963">
        <v>0</v>
      </c>
      <c r="E1078" s="963">
        <v>0</v>
      </c>
      <c r="F1078" s="963">
        <v>0</v>
      </c>
      <c r="G1078" s="857">
        <v>0</v>
      </c>
      <c r="H1078" s="857">
        <v>0</v>
      </c>
      <c r="I1078" s="857">
        <v>0</v>
      </c>
      <c r="J1078" s="857">
        <v>0</v>
      </c>
      <c r="K1078" s="963">
        <v>0</v>
      </c>
      <c r="L1078" s="857">
        <v>0</v>
      </c>
      <c r="M1078" s="857">
        <v>0</v>
      </c>
      <c r="N1078" s="857">
        <v>0</v>
      </c>
      <c r="O1078" s="857">
        <v>0</v>
      </c>
      <c r="P1078" s="963">
        <v>0</v>
      </c>
      <c r="Q1078" s="857">
        <v>0</v>
      </c>
      <c r="R1078" s="857">
        <v>0</v>
      </c>
      <c r="S1078" s="857">
        <v>0</v>
      </c>
      <c r="T1078" s="857">
        <v>0</v>
      </c>
      <c r="U1078" s="963">
        <v>0</v>
      </c>
      <c r="V1078" s="757"/>
      <c r="W1078" s="757"/>
      <c r="X1078" s="757"/>
      <c r="Y1078" s="757">
        <f t="shared" si="2385"/>
      </c>
      <c r="Z1078" s="962"/>
      <c r="AA1078" s="757"/>
      <c r="AB1078" s="757"/>
      <c r="AC1078" s="757"/>
      <c r="AD1078" s="757">
        <f t="shared" si="2386"/>
      </c>
      <c r="AE1078" s="962"/>
      <c r="AF1078" s="757"/>
      <c r="AG1078" s="757"/>
      <c r="AH1078" s="757"/>
      <c r="AI1078" s="757">
        <f t="shared" si="2387"/>
      </c>
      <c r="AJ1078" s="962"/>
      <c r="AK1078" s="757"/>
      <c r="AL1078" s="757"/>
      <c r="AM1078" s="757"/>
      <c r="AN1078" s="757">
        <f t="shared" si="2388"/>
      </c>
      <c r="AO1078" s="962"/>
      <c r="AP1078" s="757"/>
      <c r="AQ1078" s="757"/>
      <c r="AR1078" s="757"/>
      <c r="AS1078" s="757">
        <f t="shared" si="2389"/>
      </c>
      <c r="AT1078" s="962"/>
      <c r="AU1078" s="757"/>
      <c r="AV1078" s="757"/>
      <c r="AW1078" s="757"/>
      <c r="AX1078" s="757">
        <f t="shared" si="2390"/>
      </c>
      <c r="AY1078" s="962"/>
      <c r="AZ1078" s="757"/>
      <c r="BA1078" s="757"/>
      <c r="BB1078" s="757"/>
      <c r="BC1078" s="757">
        <f t="shared" si="2391"/>
      </c>
      <c r="BD1078" s="962"/>
      <c r="BE1078" s="757"/>
      <c r="BF1078" s="757"/>
      <c r="BG1078" s="757"/>
      <c r="BH1078" s="757">
        <f t="shared" si="2392"/>
      </c>
      <c r="BI1078" s="962"/>
      <c r="BJ1078" s="757"/>
      <c r="BK1078" s="757"/>
      <c r="BL1078" s="757"/>
      <c r="BM1078" s="757">
        <f t="shared" si="2393"/>
      </c>
      <c r="BN1078" s="962"/>
      <c r="BO1078" s="757"/>
      <c r="BP1078" s="757"/>
      <c r="BQ1078" s="757"/>
      <c r="BR1078" s="757">
        <f t="shared" si="2394"/>
      </c>
      <c r="BS1078" s="962"/>
      <c r="BT1078" s="758"/>
      <c r="BU1078" s="757"/>
      <c r="BV1078" s="757"/>
      <c r="BW1078" s="757"/>
      <c r="BX1078" s="962"/>
      <c r="BY1078" s="757"/>
      <c r="BZ1078" s="757"/>
      <c r="CA1078" s="757"/>
      <c r="CB1078" s="757"/>
      <c r="CC1078" s="962"/>
      <c r="CD1078" s="962"/>
      <c r="CE1078" s="962"/>
      <c r="CF1078" s="962"/>
      <c r="CG1078" s="459"/>
    </row>
    <row r="1079" spans="1:85" s="587" customFormat="1" hidden="1" outlineLevel="1" x14ac:dyDescent="0.3">
      <c r="A1079" s="182" t="s">
        <v>166</v>
      </c>
      <c r="B1079" s="414"/>
      <c r="C1079" s="963">
        <v>-20</v>
      </c>
      <c r="D1079" s="963">
        <v>0</v>
      </c>
      <c r="E1079" s="963">
        <v>0</v>
      </c>
      <c r="F1079" s="963">
        <v>0</v>
      </c>
      <c r="G1079" s="857">
        <v>0</v>
      </c>
      <c r="H1079" s="857">
        <v>0</v>
      </c>
      <c r="I1079" s="857">
        <v>0</v>
      </c>
      <c r="J1079" s="857">
        <v>0</v>
      </c>
      <c r="K1079" s="963">
        <v>0</v>
      </c>
      <c r="L1079" s="857">
        <v>0</v>
      </c>
      <c r="M1079" s="857">
        <v>0</v>
      </c>
      <c r="N1079" s="857">
        <v>0</v>
      </c>
      <c r="O1079" s="857">
        <v>0</v>
      </c>
      <c r="P1079" s="963">
        <v>0</v>
      </c>
      <c r="Q1079" s="857">
        <v>0</v>
      </c>
      <c r="R1079" s="857">
        <v>0</v>
      </c>
      <c r="S1079" s="857">
        <v>0</v>
      </c>
      <c r="T1079" s="857">
        <v>0</v>
      </c>
      <c r="U1079" s="963">
        <v>0</v>
      </c>
      <c r="V1079" s="757"/>
      <c r="W1079" s="757"/>
      <c r="X1079" s="757"/>
      <c r="Y1079" s="757">
        <f t="shared" si="2385"/>
      </c>
      <c r="Z1079" s="962"/>
      <c r="AA1079" s="757"/>
      <c r="AB1079" s="757"/>
      <c r="AC1079" s="757"/>
      <c r="AD1079" s="757">
        <f t="shared" si="2386"/>
      </c>
      <c r="AE1079" s="962"/>
      <c r="AF1079" s="757"/>
      <c r="AG1079" s="757"/>
      <c r="AH1079" s="757"/>
      <c r="AI1079" s="757">
        <f t="shared" si="2387"/>
      </c>
      <c r="AJ1079" s="962"/>
      <c r="AK1079" s="757"/>
      <c r="AL1079" s="757"/>
      <c r="AM1079" s="757"/>
      <c r="AN1079" s="757">
        <f t="shared" si="2388"/>
      </c>
      <c r="AO1079" s="962"/>
      <c r="AP1079" s="757"/>
      <c r="AQ1079" s="757"/>
      <c r="AR1079" s="757"/>
      <c r="AS1079" s="757">
        <f t="shared" si="2389"/>
      </c>
      <c r="AT1079" s="962"/>
      <c r="AU1079" s="757"/>
      <c r="AV1079" s="757"/>
      <c r="AW1079" s="757"/>
      <c r="AX1079" s="757">
        <f t="shared" si="2390"/>
      </c>
      <c r="AY1079" s="962"/>
      <c r="AZ1079" s="757"/>
      <c r="BA1079" s="757"/>
      <c r="BB1079" s="757"/>
      <c r="BC1079" s="757">
        <f t="shared" si="2391"/>
      </c>
      <c r="BD1079" s="962"/>
      <c r="BE1079" s="757"/>
      <c r="BF1079" s="757"/>
      <c r="BG1079" s="757"/>
      <c r="BH1079" s="757">
        <f t="shared" si="2392"/>
      </c>
      <c r="BI1079" s="962"/>
      <c r="BJ1079" s="757"/>
      <c r="BK1079" s="757"/>
      <c r="BL1079" s="757"/>
      <c r="BM1079" s="757">
        <f t="shared" si="2393"/>
      </c>
      <c r="BN1079" s="962"/>
      <c r="BO1079" s="757"/>
      <c r="BP1079" s="757"/>
      <c r="BQ1079" s="757"/>
      <c r="BR1079" s="757">
        <f t="shared" si="2394"/>
      </c>
      <c r="BS1079" s="962"/>
      <c r="BT1079" s="758"/>
      <c r="BU1079" s="757"/>
      <c r="BV1079" s="757"/>
      <c r="BW1079" s="757"/>
      <c r="BX1079" s="962"/>
      <c r="BY1079" s="757"/>
      <c r="BZ1079" s="757"/>
      <c r="CA1079" s="757"/>
      <c r="CB1079" s="757"/>
      <c r="CC1079" s="962"/>
      <c r="CD1079" s="962"/>
      <c r="CE1079" s="962"/>
      <c r="CF1079" s="962"/>
      <c r="CG1079" s="459"/>
    </row>
    <row r="1080" spans="1:85" s="587" customFormat="1" hidden="1" outlineLevel="1" x14ac:dyDescent="0.3">
      <c r="A1080" s="182" t="s">
        <v>465</v>
      </c>
      <c r="B1080" s="414"/>
      <c r="C1080" s="962"/>
      <c r="D1080" s="962"/>
      <c r="E1080" s="962"/>
      <c r="F1080" s="962"/>
      <c r="G1080" s="757"/>
      <c r="H1080" s="757"/>
      <c r="I1080" s="757"/>
      <c r="J1080" s="757"/>
      <c r="K1080" s="962"/>
      <c r="L1080" s="757"/>
      <c r="M1080" s="757"/>
      <c r="N1080" s="757"/>
      <c r="O1080" s="757"/>
      <c r="P1080" s="962"/>
      <c r="Q1080" s="757"/>
      <c r="R1080" s="757"/>
      <c r="S1080" s="757"/>
      <c r="T1080" s="757"/>
      <c r="U1080" s="962"/>
      <c r="V1080" s="757"/>
      <c r="W1080" s="757"/>
      <c r="X1080" s="757"/>
      <c r="Y1080" s="757"/>
      <c r="Z1080" s="962"/>
      <c r="AA1080" s="757"/>
      <c r="AB1080" s="757"/>
      <c r="AC1080" s="757"/>
      <c r="AD1080" s="757"/>
      <c r="AE1080" s="962"/>
      <c r="AF1080" s="757"/>
      <c r="AG1080" s="757"/>
      <c r="AH1080" s="757"/>
      <c r="AI1080" s="757"/>
      <c r="AJ1080" s="962"/>
      <c r="AK1080" s="757"/>
      <c r="AL1080" s="757"/>
      <c r="AM1080" s="757"/>
      <c r="AN1080" s="757"/>
      <c r="AO1080" s="962"/>
      <c r="AP1080" s="757"/>
      <c r="AQ1080" s="757"/>
      <c r="AR1080" s="757"/>
      <c r="AS1080" s="757"/>
      <c r="AT1080" s="962"/>
      <c r="AU1080" s="757"/>
      <c r="AV1080" s="857">
        <v>-500.02199999999999</v>
      </c>
      <c r="AW1080" s="857">
        <v>-600.02200000000005</v>
      </c>
      <c r="AX1080" s="757">
        <f t="shared" si="2390"/>
      </c>
      <c r="AY1080" s="963">
        <v>-600.02200000000005</v>
      </c>
      <c r="AZ1080" s="757"/>
      <c r="BA1080" s="757"/>
      <c r="BB1080" s="757"/>
      <c r="BC1080" s="757">
        <f t="shared" si="2391"/>
      </c>
      <c r="BD1080" s="962"/>
      <c r="BE1080" s="857">
        <v>-400.101</v>
      </c>
      <c r="BF1080" s="857">
        <v>-1045.2470000000001</v>
      </c>
      <c r="BG1080" s="857">
        <v>-3545.3470000000002</v>
      </c>
      <c r="BH1080" s="757">
        <f t="shared" si="2392"/>
      </c>
      <c r="BI1080" s="963">
        <v>-6045.3469999999998</v>
      </c>
      <c r="BJ1080" s="857">
        <v>-2000</v>
      </c>
      <c r="BK1080" s="857">
        <v>-3599.998</v>
      </c>
      <c r="BL1080" s="857">
        <v>-5299.9979999999996</v>
      </c>
      <c r="BM1080" s="757">
        <f t="shared" si="2393"/>
      </c>
      <c r="BN1080" s="963">
        <v>-6263.7460000000001</v>
      </c>
      <c r="BO1080" s="857">
        <v>-3536.3960000000002</v>
      </c>
      <c r="BP1080" s="857">
        <v>-5190.723</v>
      </c>
      <c r="BQ1080" s="857">
        <v>-7047.6080000000002</v>
      </c>
      <c r="BR1080" s="757">
        <f t="shared" si="2394"/>
      </c>
      <c r="BS1080" s="963">
        <v>-9127.1669999999995</v>
      </c>
      <c r="BT1080" s="864">
        <v>-1270.588</v>
      </c>
      <c r="BU1080" s="757"/>
      <c r="BV1080" s="757"/>
      <c r="BW1080" s="757"/>
      <c r="BX1080" s="962"/>
      <c r="BY1080" s="757"/>
      <c r="BZ1080" s="757"/>
      <c r="CA1080" s="757"/>
      <c r="CB1080" s="757"/>
      <c r="CC1080" s="962"/>
      <c r="CD1080" s="962"/>
      <c r="CE1080" s="962"/>
      <c r="CF1080" s="962"/>
      <c r="CG1080" s="459"/>
    </row>
    <row r="1081" spans="1:85" s="587" customFormat="1" hidden="1" outlineLevel="1" x14ac:dyDescent="0.3">
      <c r="A1081" s="182" t="s">
        <v>167</v>
      </c>
      <c r="B1081" s="414"/>
      <c r="C1081" s="963">
        <v>0</v>
      </c>
      <c r="D1081" s="963">
        <v>49.776000000000003</v>
      </c>
      <c r="E1081" s="963">
        <v>0</v>
      </c>
      <c r="F1081" s="963">
        <v>0</v>
      </c>
      <c r="G1081" s="857">
        <v>0</v>
      </c>
      <c r="H1081" s="857">
        <v>0</v>
      </c>
      <c r="I1081" s="857">
        <v>0</v>
      </c>
      <c r="J1081" s="857">
        <v>0</v>
      </c>
      <c r="K1081" s="963">
        <v>0</v>
      </c>
      <c r="L1081" s="857">
        <v>0</v>
      </c>
      <c r="M1081" s="857">
        <v>0</v>
      </c>
      <c r="N1081" s="857">
        <v>0</v>
      </c>
      <c r="O1081" s="857">
        <v>0</v>
      </c>
      <c r="P1081" s="963">
        <v>0</v>
      </c>
      <c r="Q1081" s="857">
        <v>0</v>
      </c>
      <c r="R1081" s="857">
        <v>0</v>
      </c>
      <c r="S1081" s="857">
        <v>0</v>
      </c>
      <c r="T1081" s="857">
        <v>0</v>
      </c>
      <c r="U1081" s="963">
        <v>0</v>
      </c>
      <c r="V1081" s="757"/>
      <c r="W1081" s="757"/>
      <c r="X1081" s="757"/>
      <c r="Y1081" s="757">
        <f>Z1081</f>
      </c>
      <c r="Z1081" s="962"/>
      <c r="AA1081" s="757"/>
      <c r="AB1081" s="757"/>
      <c r="AC1081" s="757"/>
      <c r="AD1081" s="757">
        <f>AE1081</f>
      </c>
      <c r="AE1081" s="962"/>
      <c r="AF1081" s="757"/>
      <c r="AG1081" s="757"/>
      <c r="AH1081" s="757"/>
      <c r="AI1081" s="757">
        <f>AJ1081</f>
      </c>
      <c r="AJ1081" s="962"/>
      <c r="AK1081" s="757"/>
      <c r="AL1081" s="757"/>
      <c r="AM1081" s="757"/>
      <c r="AN1081" s="757">
        <f>AO1081</f>
      </c>
      <c r="AO1081" s="962"/>
      <c r="AP1081" s="757"/>
      <c r="AQ1081" s="757"/>
      <c r="AR1081" s="757"/>
      <c r="AS1081" s="757">
        <f>AT1081</f>
      </c>
      <c r="AT1081" s="962"/>
      <c r="AU1081" s="757"/>
      <c r="AV1081" s="757"/>
      <c r="AW1081" s="757"/>
      <c r="AX1081" s="757">
        <f t="shared" si="2390"/>
      </c>
      <c r="AY1081" s="962"/>
      <c r="AZ1081" s="757"/>
      <c r="BA1081" s="757"/>
      <c r="BB1081" s="757"/>
      <c r="BC1081" s="757">
        <f t="shared" si="2391"/>
      </c>
      <c r="BD1081" s="962"/>
      <c r="BE1081" s="757"/>
      <c r="BF1081" s="757"/>
      <c r="BG1081" s="757"/>
      <c r="BH1081" s="757">
        <f t="shared" si="2392"/>
      </c>
      <c r="BI1081" s="962"/>
      <c r="BJ1081" s="757"/>
      <c r="BK1081" s="757"/>
      <c r="BL1081" s="757"/>
      <c r="BM1081" s="757">
        <f t="shared" si="2393"/>
      </c>
      <c r="BN1081" s="962"/>
      <c r="BO1081" s="757"/>
      <c r="BP1081" s="757"/>
      <c r="BQ1081" s="757"/>
      <c r="BR1081" s="757">
        <f t="shared" si="2394"/>
      </c>
      <c r="BS1081" s="962"/>
      <c r="BT1081" s="758"/>
      <c r="BU1081" s="757"/>
      <c r="BV1081" s="757"/>
      <c r="BW1081" s="757"/>
      <c r="BX1081" s="962"/>
      <c r="BY1081" s="757"/>
      <c r="BZ1081" s="757"/>
      <c r="CA1081" s="757"/>
      <c r="CB1081" s="757"/>
      <c r="CC1081" s="962"/>
      <c r="CD1081" s="962"/>
      <c r="CE1081" s="962"/>
      <c r="CF1081" s="962"/>
      <c r="CG1081" s="459"/>
    </row>
    <row r="1082" spans="1:85" s="587" customFormat="1" hidden="1" outlineLevel="1" x14ac:dyDescent="0.3">
      <c r="A1082" s="182" t="s">
        <v>702</v>
      </c>
      <c r="B1082" s="414"/>
      <c r="C1082" s="962"/>
      <c r="D1082" s="962"/>
      <c r="E1082" s="962"/>
      <c r="F1082" s="962"/>
      <c r="G1082" s="757"/>
      <c r="H1082" s="757"/>
      <c r="I1082" s="757"/>
      <c r="J1082" s="757"/>
      <c r="K1082" s="962"/>
      <c r="L1082" s="757"/>
      <c r="M1082" s="757"/>
      <c r="N1082" s="757"/>
      <c r="O1082" s="757"/>
      <c r="P1082" s="962"/>
      <c r="Q1082" s="757"/>
      <c r="R1082" s="757"/>
      <c r="S1082" s="757"/>
      <c r="T1082" s="757"/>
      <c r="U1082" s="962"/>
      <c r="V1082" s="757"/>
      <c r="W1082" s="757"/>
      <c r="X1082" s="757"/>
      <c r="Y1082" s="757"/>
      <c r="Z1082" s="962"/>
      <c r="AA1082" s="757"/>
      <c r="AB1082" s="757"/>
      <c r="AC1082" s="757"/>
      <c r="AD1082" s="757"/>
      <c r="AE1082" s="962"/>
      <c r="AF1082" s="757"/>
      <c r="AG1082" s="757"/>
      <c r="AH1082" s="757"/>
      <c r="AI1082" s="757"/>
      <c r="AJ1082" s="962"/>
      <c r="AK1082" s="757"/>
      <c r="AL1082" s="757"/>
      <c r="AM1082" s="757"/>
      <c r="AN1082" s="757"/>
      <c r="AO1082" s="962"/>
      <c r="AP1082" s="757"/>
      <c r="AQ1082" s="757"/>
      <c r="AR1082" s="757"/>
      <c r="AS1082" s="757"/>
      <c r="AT1082" s="962"/>
      <c r="AU1082" s="757"/>
      <c r="AV1082" s="757"/>
      <c r="AW1082" s="757"/>
      <c r="AX1082" s="757">
        <f t="shared" si="2390"/>
      </c>
      <c r="AY1082" s="963">
        <v>-224.16800000000001</v>
      </c>
      <c r="AZ1082" s="757"/>
      <c r="BA1082" s="757"/>
      <c r="BB1082" s="757"/>
      <c r="BC1082" s="757">
        <f t="shared" si="2391"/>
      </c>
      <c r="BD1082" s="962"/>
      <c r="BE1082" s="757"/>
      <c r="BF1082" s="757"/>
      <c r="BG1082" s="757"/>
      <c r="BH1082" s="757">
        <f t="shared" si="2392"/>
      </c>
      <c r="BI1082" s="963">
        <v>0</v>
      </c>
      <c r="BJ1082" s="857">
        <v>-1.825</v>
      </c>
      <c r="BK1082" s="857">
        <v>-3.7080000000000002</v>
      </c>
      <c r="BL1082" s="857">
        <v>-5.7320000000000002</v>
      </c>
      <c r="BM1082" s="757">
        <f t="shared" si="2393"/>
      </c>
      <c r="BN1082" s="963">
        <v>-8.2850000000000001</v>
      </c>
      <c r="BO1082" s="857">
        <v>-27.87</v>
      </c>
      <c r="BP1082" s="857">
        <v>-33.984000000000002</v>
      </c>
      <c r="BQ1082" s="857">
        <v>-40.18</v>
      </c>
      <c r="BR1082" s="757">
        <f t="shared" si="2394"/>
      </c>
      <c r="BS1082" s="963">
        <v>-46.164999999999999</v>
      </c>
      <c r="BT1082" s="864">
        <v>-29.23</v>
      </c>
      <c r="BU1082" s="757"/>
      <c r="BV1082" s="757"/>
      <c r="BW1082" s="757"/>
      <c r="BX1082" s="962"/>
      <c r="BY1082" s="757"/>
      <c r="BZ1082" s="757"/>
      <c r="CA1082" s="757"/>
      <c r="CB1082" s="757"/>
      <c r="CC1082" s="962"/>
      <c r="CD1082" s="962"/>
      <c r="CE1082" s="962"/>
      <c r="CF1082" s="962"/>
      <c r="CG1082" s="459"/>
    </row>
    <row r="1083" spans="1:85" s="587" customFormat="1" hidden="1" outlineLevel="1" x14ac:dyDescent="0.3">
      <c r="A1083" s="182" t="s">
        <v>168</v>
      </c>
      <c r="B1083" s="414"/>
      <c r="C1083" s="962"/>
      <c r="D1083" s="962"/>
      <c r="E1083" s="962"/>
      <c r="F1083" s="962"/>
      <c r="G1083" s="757"/>
      <c r="H1083" s="757"/>
      <c r="I1083" s="757"/>
      <c r="J1083" s="757"/>
      <c r="K1083" s="962"/>
      <c r="L1083" s="757"/>
      <c r="M1083" s="757"/>
      <c r="N1083" s="757"/>
      <c r="O1083" s="757"/>
      <c r="P1083" s="962"/>
      <c r="Q1083" s="757"/>
      <c r="R1083" s="757"/>
      <c r="S1083" s="757"/>
      <c r="T1083" s="757"/>
      <c r="U1083" s="962"/>
      <c r="V1083" s="757"/>
      <c r="W1083" s="757"/>
      <c r="X1083" s="757"/>
      <c r="Y1083" s="459">
        <f>Z1083</f>
      </c>
      <c r="Z1083" s="962"/>
      <c r="AA1083" s="757"/>
      <c r="AB1083" s="757"/>
      <c r="AC1083" s="757"/>
      <c r="AD1083" s="459">
        <f>AE1083</f>
      </c>
      <c r="AE1083" s="962"/>
      <c r="AF1083" s="757"/>
      <c r="AG1083" s="757"/>
      <c r="AH1083" s="757"/>
      <c r="AI1083" s="459">
        <f>AJ1083</f>
      </c>
      <c r="AJ1083" s="962"/>
      <c r="AK1083" s="757"/>
      <c r="AL1083" s="757"/>
      <c r="AM1083" s="757"/>
      <c r="AN1083" s="459">
        <f>AO1083</f>
      </c>
      <c r="AO1083" s="962"/>
      <c r="AP1083" s="757"/>
      <c r="AQ1083" s="757"/>
      <c r="AR1083" s="757"/>
      <c r="AS1083" s="459">
        <f>AT1083</f>
      </c>
      <c r="AT1083" s="962"/>
      <c r="AU1083" s="757"/>
      <c r="AV1083" s="757"/>
      <c r="AW1083" s="757"/>
      <c r="AX1083" s="459">
        <f t="shared" si="2390"/>
      </c>
      <c r="AY1083" s="962"/>
      <c r="AZ1083" s="757"/>
      <c r="BA1083" s="757"/>
      <c r="BB1083" s="757"/>
      <c r="BC1083" s="459">
        <f t="shared" si="2391"/>
      </c>
      <c r="BD1083" s="962"/>
      <c r="BE1083" s="757"/>
      <c r="BF1083" s="757"/>
      <c r="BG1083" s="757"/>
      <c r="BH1083" s="459">
        <f t="shared" si="2392"/>
      </c>
      <c r="BI1083" s="962"/>
      <c r="BJ1083" s="757"/>
      <c r="BK1083" s="757"/>
      <c r="BL1083" s="757"/>
      <c r="BM1083" s="459">
        <f t="shared" si="2393"/>
      </c>
      <c r="BN1083" s="962"/>
      <c r="BO1083" s="757"/>
      <c r="BP1083" s="757"/>
      <c r="BQ1083" s="757"/>
      <c r="BR1083" s="459">
        <f t="shared" si="2394"/>
      </c>
      <c r="BS1083" s="962"/>
      <c r="BT1083" s="758"/>
      <c r="BU1083" s="757"/>
      <c r="BV1083" s="757"/>
      <c r="BW1083" s="757"/>
      <c r="BX1083" s="962"/>
      <c r="BY1083" s="757"/>
      <c r="BZ1083" s="757"/>
      <c r="CA1083" s="757"/>
      <c r="CB1083" s="757"/>
      <c r="CC1083" s="962"/>
      <c r="CD1083" s="962"/>
      <c r="CE1083" s="962"/>
      <c r="CF1083" s="962"/>
      <c r="CG1083" s="459"/>
    </row>
    <row r="1084" spans="1:85" s="587" customFormat="1" hidden="1" outlineLevel="1" x14ac:dyDescent="0.3">
      <c r="A1084" s="182" t="s">
        <v>169</v>
      </c>
      <c r="B1084" s="414"/>
      <c r="C1084" s="963">
        <v>-1.1579999999999999</v>
      </c>
      <c r="D1084" s="963">
        <v>-1.776</v>
      </c>
      <c r="E1084" s="963">
        <v>-2.0830000000000002</v>
      </c>
      <c r="F1084" s="963">
        <v>-2.319</v>
      </c>
      <c r="G1084" s="857">
        <v>-0.40300000000000002</v>
      </c>
      <c r="H1084" s="857">
        <v>-0.65800000000000003</v>
      </c>
      <c r="I1084" s="857">
        <v>-0.91600000000000004</v>
      </c>
      <c r="J1084" s="857">
        <v>-1.18</v>
      </c>
      <c r="K1084" s="963">
        <v>-1.18</v>
      </c>
      <c r="L1084" s="857">
        <v>-0.26700000000000002</v>
      </c>
      <c r="M1084" s="857">
        <v>-0.53800000000000003</v>
      </c>
      <c r="N1084" s="857">
        <v>-0.81299999999999994</v>
      </c>
      <c r="O1084" s="857">
        <v>-1.093</v>
      </c>
      <c r="P1084" s="963">
        <v>-1.093</v>
      </c>
      <c r="Q1084" s="857">
        <v>-0.251</v>
      </c>
      <c r="R1084" s="857">
        <v>-0.53800000000000003</v>
      </c>
      <c r="S1084" s="857">
        <v>-0.59899999999999998</v>
      </c>
      <c r="T1084" s="857">
        <v>-0.54500000000000004</v>
      </c>
      <c r="U1084" s="963">
        <v>-0.54500000000000004</v>
      </c>
      <c r="V1084" s="757"/>
      <c r="W1084" s="757"/>
      <c r="X1084" s="757"/>
      <c r="Y1084" s="757">
        <f>Z1084</f>
      </c>
      <c r="Z1084" s="962"/>
      <c r="AA1084" s="757"/>
      <c r="AB1084" s="757"/>
      <c r="AC1084" s="757"/>
      <c r="AD1084" s="757">
        <f>AE1084</f>
      </c>
      <c r="AE1084" s="962"/>
      <c r="AF1084" s="757"/>
      <c r="AG1084" s="757"/>
      <c r="AH1084" s="757"/>
      <c r="AI1084" s="757">
        <f>AJ1084</f>
      </c>
      <c r="AJ1084" s="962"/>
      <c r="AK1084" s="757"/>
      <c r="AL1084" s="757"/>
      <c r="AM1084" s="757"/>
      <c r="AN1084" s="757">
        <f>AO1084</f>
      </c>
      <c r="AO1084" s="962"/>
      <c r="AP1084" s="757"/>
      <c r="AQ1084" s="757"/>
      <c r="AR1084" s="757"/>
      <c r="AS1084" s="757">
        <f>AT1084</f>
      </c>
      <c r="AT1084" s="962"/>
      <c r="AU1084" s="757"/>
      <c r="AV1084" s="757"/>
      <c r="AW1084" s="757"/>
      <c r="AX1084" s="757">
        <f t="shared" si="2390"/>
      </c>
      <c r="AY1084" s="962"/>
      <c r="AZ1084" s="757"/>
      <c r="BA1084" s="757"/>
      <c r="BB1084" s="757"/>
      <c r="BC1084" s="757">
        <f t="shared" si="2391"/>
      </c>
      <c r="BD1084" s="962"/>
      <c r="BE1084" s="757"/>
      <c r="BF1084" s="757"/>
      <c r="BG1084" s="757"/>
      <c r="BH1084" s="757">
        <f t="shared" si="2392"/>
      </c>
      <c r="BI1084" s="962"/>
      <c r="BJ1084" s="757"/>
      <c r="BK1084" s="757"/>
      <c r="BL1084" s="757"/>
      <c r="BM1084" s="757">
        <f t="shared" si="2393"/>
      </c>
      <c r="BN1084" s="962"/>
      <c r="BO1084" s="757"/>
      <c r="BP1084" s="757"/>
      <c r="BQ1084" s="757"/>
      <c r="BR1084" s="757">
        <f t="shared" si="2394"/>
      </c>
      <c r="BS1084" s="962"/>
      <c r="BT1084" s="758"/>
      <c r="BU1084" s="757"/>
      <c r="BV1084" s="757"/>
      <c r="BW1084" s="757"/>
      <c r="BX1084" s="962"/>
      <c r="BY1084" s="757"/>
      <c r="BZ1084" s="757"/>
      <c r="CA1084" s="757"/>
      <c r="CB1084" s="757"/>
      <c r="CC1084" s="962"/>
      <c r="CD1084" s="962"/>
      <c r="CE1084" s="962"/>
      <c r="CF1084" s="962"/>
      <c r="CG1084" s="459"/>
    </row>
    <row r="1085" spans="1:85" s="587" customFormat="1" hidden="1" outlineLevel="1" x14ac:dyDescent="0.3">
      <c r="A1085" s="30" t="s">
        <v>170</v>
      </c>
      <c r="B1085" s="416"/>
      <c r="C1085" s="984"/>
      <c r="D1085" s="984"/>
      <c r="E1085" s="984"/>
      <c r="F1085" s="984"/>
      <c r="G1085" s="761"/>
      <c r="H1085" s="761"/>
      <c r="I1085" s="761"/>
      <c r="J1085" s="761"/>
      <c r="K1085" s="984"/>
      <c r="L1085" s="761"/>
      <c r="M1085" s="761"/>
      <c r="N1085" s="761"/>
      <c r="O1085" s="761"/>
      <c r="P1085" s="984"/>
      <c r="Q1085" s="761"/>
      <c r="R1085" s="761"/>
      <c r="S1085" s="761"/>
      <c r="T1085" s="761"/>
      <c r="U1085" s="984"/>
      <c r="V1085" s="863">
        <v>5.5E-2</v>
      </c>
      <c r="W1085" s="863">
        <v>0.112</v>
      </c>
      <c r="X1085" s="863">
        <v>0.17</v>
      </c>
      <c r="Y1085" s="800">
        <f>Z1085</f>
      </c>
      <c r="Z1085" s="989">
        <v>0.23</v>
      </c>
      <c r="AA1085" s="863">
        <v>6.0999999999999999E-2</v>
      </c>
      <c r="AB1085" s="863">
        <v>0.124</v>
      </c>
      <c r="AC1085" s="863">
        <v>0.189</v>
      </c>
      <c r="AD1085" s="800">
        <f>AE1085</f>
      </c>
      <c r="AE1085" s="989">
        <v>0.255</v>
      </c>
      <c r="AF1085" s="863">
        <v>-0.32100000000000001</v>
      </c>
      <c r="AG1085" s="863">
        <v>-0.85299999999999998</v>
      </c>
      <c r="AH1085" s="863">
        <v>-1.397</v>
      </c>
      <c r="AI1085" s="800">
        <f>AJ1085</f>
      </c>
      <c r="AJ1085" s="989">
        <v>-1.956</v>
      </c>
      <c r="AK1085" s="761"/>
      <c r="AL1085" s="761"/>
      <c r="AM1085" s="761"/>
      <c r="AN1085" s="800">
        <f>AO1085</f>
      </c>
      <c r="AO1085" s="989">
        <v>0</v>
      </c>
      <c r="AP1085" s="761"/>
      <c r="AQ1085" s="761"/>
      <c r="AR1085" s="761"/>
      <c r="AS1085" s="800">
        <f>AT1085</f>
      </c>
      <c r="AT1085" s="984"/>
      <c r="AU1085" s="761"/>
      <c r="AV1085" s="761"/>
      <c r="AW1085" s="761"/>
      <c r="AX1085" s="800">
        <f t="shared" si="2390"/>
      </c>
      <c r="AY1085" s="984"/>
      <c r="AZ1085" s="761"/>
      <c r="BA1085" s="761"/>
      <c r="BB1085" s="761"/>
      <c r="BC1085" s="800">
        <f t="shared" si="2391"/>
      </c>
      <c r="BD1085" s="984"/>
      <c r="BE1085" s="761"/>
      <c r="BF1085" s="863">
        <v>-38.92</v>
      </c>
      <c r="BG1085" s="863">
        <v>-71.745999999999995</v>
      </c>
      <c r="BH1085" s="800">
        <f t="shared" si="2392"/>
      </c>
      <c r="BI1085" s="989">
        <v>-75.445999999999998</v>
      </c>
      <c r="BJ1085" s="761"/>
      <c r="BK1085" s="863">
        <v>-6.25</v>
      </c>
      <c r="BL1085" s="863">
        <v>-15.334</v>
      </c>
      <c r="BM1085" s="800">
        <f t="shared" si="2393"/>
      </c>
      <c r="BN1085" s="989">
        <v>-29.742999999999999</v>
      </c>
      <c r="BO1085" s="863">
        <v>-15.651999999999999</v>
      </c>
      <c r="BP1085" s="863">
        <v>6.3049999999999997</v>
      </c>
      <c r="BQ1085" s="863">
        <v>62.142000000000003</v>
      </c>
      <c r="BR1085" s="800">
        <f t="shared" si="2394"/>
      </c>
      <c r="BS1085" s="989">
        <v>-5.806</v>
      </c>
      <c r="BT1085" s="873">
        <v>19.693999999999999</v>
      </c>
      <c r="BU1085" s="761"/>
      <c r="BV1085" s="761"/>
      <c r="BW1085" s="761"/>
      <c r="BX1085" s="984"/>
      <c r="BY1085" s="761"/>
      <c r="BZ1085" s="761"/>
      <c r="CA1085" s="761"/>
      <c r="CB1085" s="761"/>
      <c r="CC1085" s="984"/>
      <c r="CD1085" s="984"/>
      <c r="CE1085" s="984"/>
      <c r="CF1085" s="984"/>
      <c r="CG1085" s="459"/>
    </row>
    <row r="1086" spans="1:85" s="587" customFormat="1" hidden="1" outlineLevel="1" x14ac:dyDescent="0.3">
      <c r="A1086" s="2" t="s">
        <v>171</v>
      </c>
      <c r="B1086" s="422"/>
      <c r="C1086" s="986">
        <f t="shared" ref="C1086:AH1086" si="2395">SUM(C1071:C1085)</f>
      </c>
      <c r="D1086" s="986">
        <f t="shared" si="2395"/>
      </c>
      <c r="E1086" s="986">
        <f t="shared" si="2395"/>
      </c>
      <c r="F1086" s="986">
        <f t="shared" si="2395"/>
      </c>
      <c r="G1086" s="792">
        <f t="shared" si="2395"/>
      </c>
      <c r="H1086" s="792">
        <f t="shared" si="2395"/>
      </c>
      <c r="I1086" s="792">
        <f t="shared" si="2395"/>
      </c>
      <c r="J1086" s="792">
        <f t="shared" si="2395"/>
      </c>
      <c r="K1086" s="986">
        <f t="shared" si="2395"/>
      </c>
      <c r="L1086" s="792">
        <f t="shared" si="2395"/>
      </c>
      <c r="M1086" s="792">
        <f t="shared" si="2395"/>
      </c>
      <c r="N1086" s="792">
        <f t="shared" si="2395"/>
      </c>
      <c r="O1086" s="792">
        <f t="shared" si="2395"/>
      </c>
      <c r="P1086" s="986">
        <f t="shared" si="2395"/>
      </c>
      <c r="Q1086" s="792">
        <f t="shared" si="2395"/>
      </c>
      <c r="R1086" s="792">
        <f t="shared" si="2395"/>
      </c>
      <c r="S1086" s="792">
        <f t="shared" si="2395"/>
      </c>
      <c r="T1086" s="792">
        <f t="shared" si="2395"/>
      </c>
      <c r="U1086" s="986">
        <f t="shared" si="2395"/>
      </c>
      <c r="V1086" s="792">
        <f t="shared" si="2395"/>
      </c>
      <c r="W1086" s="792">
        <f t="shared" si="2395"/>
      </c>
      <c r="X1086" s="792">
        <f t="shared" si="2395"/>
      </c>
      <c r="Y1086" s="791">
        <f t="shared" si="2395"/>
      </c>
      <c r="Z1086" s="965">
        <f t="shared" si="2395"/>
      </c>
      <c r="AA1086" s="792">
        <f t="shared" si="2395"/>
      </c>
      <c r="AB1086" s="792">
        <f t="shared" si="2395"/>
      </c>
      <c r="AC1086" s="792">
        <f t="shared" si="2395"/>
      </c>
      <c r="AD1086" s="791">
        <f t="shared" si="2395"/>
      </c>
      <c r="AE1086" s="965">
        <f t="shared" si="2395"/>
      </c>
      <c r="AF1086" s="792">
        <f t="shared" si="2395"/>
      </c>
      <c r="AG1086" s="792">
        <f t="shared" si="2395"/>
      </c>
      <c r="AH1086" s="792">
        <f t="shared" si="2395"/>
      </c>
      <c r="AI1086" s="791">
        <f t="shared" ref="AI1086:AQ1086" si="2396">SUM(AI1071:AI1085)</f>
      </c>
      <c r="AJ1086" s="965">
        <f t="shared" si="2396"/>
      </c>
      <c r="AK1086" s="792">
        <f t="shared" si="2396"/>
      </c>
      <c r="AL1086" s="792">
        <f t="shared" si="2396"/>
      </c>
      <c r="AM1086" s="792">
        <f t="shared" si="2396"/>
      </c>
      <c r="AN1086" s="791">
        <f t="shared" si="2396"/>
      </c>
      <c r="AO1086" s="965">
        <f t="shared" si="2396"/>
      </c>
      <c r="AP1086" s="792">
        <f t="shared" si="2396"/>
      </c>
      <c r="AQ1086" s="792">
        <f t="shared" si="2396"/>
      </c>
      <c r="AR1086" s="792">
        <f>SUM(AR1071:AR1085)</f>
      </c>
      <c r="AS1086" s="791">
        <f>SUM(AS1071:AS1085)</f>
      </c>
      <c r="AT1086" s="965">
        <f>SUM(AT1071:AT1085)</f>
      </c>
      <c r="AU1086" s="792">
        <f t="shared" ref="AU1086" si="2397">SUM(AU1071:AU1085)</f>
      </c>
      <c r="AV1086" s="792">
        <f>SUM(AV1071:AV1085)</f>
      </c>
      <c r="AW1086" s="792">
        <f>SUM(AW1071:AW1085)</f>
      </c>
      <c r="AX1086" s="791">
        <f>SUM(AX1071:AX1085)</f>
      </c>
      <c r="AY1086" s="965">
        <f>SUM(AY1071:AY1085)</f>
      </c>
      <c r="AZ1086" s="792">
        <f>SUM(AZ1071:AZ1085)</f>
      </c>
      <c r="BA1086" s="791">
        <f t="shared" ref="BA1086" si="2398">SUM(BA1071:BA1085)</f>
      </c>
      <c r="BB1086" s="792">
        <f t="shared" ref="BB1086:BD1086" si="2399">SUM(BB1071:BB1085)</f>
      </c>
      <c r="BC1086" s="791">
        <f t="shared" si="2399"/>
      </c>
      <c r="BD1086" s="965">
        <f t="shared" si="2399"/>
      </c>
      <c r="BE1086" s="792">
        <f t="shared" ref="BE1086:BJ1086" si="2400">SUM(BE1071:BE1085)</f>
      </c>
      <c r="BF1086" s="791">
        <f t="shared" si="2400"/>
      </c>
      <c r="BG1086" s="792">
        <f t="shared" si="2400"/>
      </c>
      <c r="BH1086" s="791">
        <f t="shared" si="2400"/>
      </c>
      <c r="BI1086" s="965">
        <f t="shared" si="2400"/>
      </c>
      <c r="BJ1086" s="792">
        <f t="shared" si="2400"/>
      </c>
      <c r="BK1086" s="791">
        <f t="shared" ref="BK1086:BP1086" si="2401">SUM(BK1071:BK1085)</f>
      </c>
      <c r="BL1086" s="792">
        <f t="shared" si="2401"/>
      </c>
      <c r="BM1086" s="791">
        <f t="shared" si="2401"/>
      </c>
      <c r="BN1086" s="965">
        <f t="shared" si="2401"/>
      </c>
      <c r="BO1086" s="792">
        <f t="shared" si="2401"/>
      </c>
      <c r="BP1086" s="791">
        <f t="shared" si="2401"/>
      </c>
      <c r="BQ1086" s="792">
        <f>SUM(BQ1071:BQ1085)</f>
      </c>
      <c r="BR1086" s="791">
        <f>SUM(BR1071:BR1085)</f>
      </c>
      <c r="BS1086" s="965">
        <f>SUM(BS1071:BS1085)</f>
      </c>
      <c r="BT1086" s="793">
        <f>SUM(BT1071:BT1085)</f>
      </c>
      <c r="BU1086" s="791"/>
      <c r="BV1086" s="791"/>
      <c r="BW1086" s="791"/>
      <c r="BX1086" s="965"/>
      <c r="BY1086" s="791"/>
      <c r="BZ1086" s="791"/>
      <c r="CA1086" s="791"/>
      <c r="CB1086" s="791"/>
      <c r="CC1086" s="965"/>
      <c r="CD1086" s="965"/>
      <c r="CE1086" s="965"/>
      <c r="CF1086" s="965"/>
      <c r="CG1086" s="183"/>
    </row>
    <row r="1087" spans="1:85" s="587" customFormat="1" hidden="1" outlineLevel="1" x14ac:dyDescent="0.3">
      <c r="A1087" s="429"/>
      <c r="B1087" s="428"/>
      <c r="C1087" s="969"/>
      <c r="D1087" s="969"/>
      <c r="E1087" s="969"/>
      <c r="F1087" s="969"/>
      <c r="G1087" s="759"/>
      <c r="H1087" s="759"/>
      <c r="I1087" s="759"/>
      <c r="J1087" s="759"/>
      <c r="K1087" s="969"/>
      <c r="L1087" s="759"/>
      <c r="M1087" s="759"/>
      <c r="N1087" s="759"/>
      <c r="O1087" s="759"/>
      <c r="P1087" s="969"/>
      <c r="Q1087" s="759"/>
      <c r="R1087" s="759"/>
      <c r="S1087" s="759"/>
      <c r="T1087" s="759"/>
      <c r="U1087" s="969"/>
      <c r="V1087" s="759"/>
      <c r="W1087" s="759"/>
      <c r="X1087" s="759"/>
      <c r="Y1087" s="759"/>
      <c r="Z1087" s="969"/>
      <c r="AA1087" s="759"/>
      <c r="AB1087" s="759"/>
      <c r="AC1087" s="759"/>
      <c r="AD1087" s="759"/>
      <c r="AE1087" s="969"/>
      <c r="AF1087" s="759"/>
      <c r="AG1087" s="759"/>
      <c r="AH1087" s="759"/>
      <c r="AI1087" s="759"/>
      <c r="AJ1087" s="969"/>
      <c r="AK1087" s="759"/>
      <c r="AL1087" s="759"/>
      <c r="AM1087" s="759"/>
      <c r="AN1087" s="759"/>
      <c r="AO1087" s="969"/>
      <c r="AP1087" s="759"/>
      <c r="AQ1087" s="759"/>
      <c r="AR1087" s="759"/>
      <c r="AS1087" s="759"/>
      <c r="AT1087" s="969"/>
      <c r="AU1087" s="759"/>
      <c r="AV1087" s="759"/>
      <c r="AW1087" s="759"/>
      <c r="AX1087" s="759"/>
      <c r="AY1087" s="969"/>
      <c r="AZ1087" s="759"/>
      <c r="BA1087" s="759"/>
      <c r="BB1087" s="759"/>
      <c r="BC1087" s="759"/>
      <c r="BD1087" s="969"/>
      <c r="BE1087" s="759"/>
      <c r="BF1087" s="759"/>
      <c r="BG1087" s="759"/>
      <c r="BH1087" s="759"/>
      <c r="BI1087" s="969"/>
      <c r="BJ1087" s="759"/>
      <c r="BK1087" s="759"/>
      <c r="BL1087" s="759"/>
      <c r="BM1087" s="759"/>
      <c r="BN1087" s="969"/>
      <c r="BO1087" s="759"/>
      <c r="BP1087" s="759"/>
      <c r="BQ1087" s="759"/>
      <c r="BR1087" s="759"/>
      <c r="BS1087" s="969"/>
      <c r="BT1087" s="760"/>
      <c r="BU1087" s="759"/>
      <c r="BV1087" s="759"/>
      <c r="BW1087" s="759"/>
      <c r="BX1087" s="969"/>
      <c r="BY1087" s="759"/>
      <c r="BZ1087" s="759"/>
      <c r="CA1087" s="759"/>
      <c r="CB1087" s="759"/>
      <c r="CC1087" s="969"/>
      <c r="CD1087" s="969"/>
      <c r="CE1087" s="969"/>
      <c r="CF1087" s="969"/>
      <c r="CG1087" s="183"/>
    </row>
    <row r="1088" spans="1:85" s="587" customFormat="1" hidden="1" outlineLevel="1" x14ac:dyDescent="0.3">
      <c r="A1088" s="4" t="s">
        <v>172</v>
      </c>
      <c r="B1088" s="428"/>
      <c r="C1088" s="971">
        <v>0</v>
      </c>
      <c r="D1088" s="971">
        <v>0</v>
      </c>
      <c r="E1088" s="971">
        <v>0</v>
      </c>
      <c r="F1088" s="971">
        <v>-0.19700000000000001</v>
      </c>
      <c r="G1088" s="861">
        <v>-2.3359999999999999</v>
      </c>
      <c r="H1088" s="861">
        <v>-4.9260000000000002</v>
      </c>
      <c r="I1088" s="861">
        <v>-3.367</v>
      </c>
      <c r="J1088" s="861">
        <v>-3.4529999999999998</v>
      </c>
      <c r="K1088" s="971">
        <v>-3.4529999999999998</v>
      </c>
      <c r="L1088" s="861">
        <v>0.30099999999999999</v>
      </c>
      <c r="M1088" s="861">
        <v>1.5509999999999999</v>
      </c>
      <c r="N1088" s="861">
        <v>-2.2879999999999998</v>
      </c>
      <c r="O1088" s="861">
        <v>-6.6859999999999999</v>
      </c>
      <c r="P1088" s="971">
        <v>-6.6859999999999999</v>
      </c>
      <c r="Q1088" s="861">
        <v>-11.061</v>
      </c>
      <c r="R1088" s="861">
        <v>-4.84</v>
      </c>
      <c r="S1088" s="861">
        <v>-12.581</v>
      </c>
      <c r="T1088" s="861">
        <v>-15.923999999999999</v>
      </c>
      <c r="U1088" s="971">
        <v>-15.923999999999999</v>
      </c>
      <c r="V1088" s="861">
        <v>5.3339999999999996</v>
      </c>
      <c r="W1088" s="861">
        <v>2.5920000000000001</v>
      </c>
      <c r="X1088" s="861">
        <v>2.1509999999999998</v>
      </c>
      <c r="Y1088" s="759">
        <f>Z1088</f>
      </c>
      <c r="Z1088" s="971">
        <v>-9.1649999999999991</v>
      </c>
      <c r="AA1088" s="861">
        <v>5.4550000000000001</v>
      </c>
      <c r="AB1088" s="861">
        <v>16.981999999999999</v>
      </c>
      <c r="AC1088" s="861">
        <v>27.667000000000002</v>
      </c>
      <c r="AD1088" s="759">
        <f>AE1088</f>
      </c>
      <c r="AE1088" s="971">
        <v>29.847999999999999</v>
      </c>
      <c r="AF1088" s="861">
        <v>7.1769999999999996</v>
      </c>
      <c r="AG1088" s="861">
        <v>-29.163</v>
      </c>
      <c r="AH1088" s="861">
        <v>-34.725000000000001</v>
      </c>
      <c r="AI1088" s="759">
        <f>AJ1088</f>
      </c>
      <c r="AJ1088" s="971">
        <v>-39.682000000000002</v>
      </c>
      <c r="AK1088" s="861">
        <v>-5.0140000000000002</v>
      </c>
      <c r="AL1088" s="861">
        <v>-1.6E-2</v>
      </c>
      <c r="AM1088" s="861">
        <v>-29.341000000000001</v>
      </c>
      <c r="AN1088" s="759">
        <f>AO1088</f>
      </c>
      <c r="AO1088" s="971">
        <v>0.46899999999999997</v>
      </c>
      <c r="AP1088" s="861">
        <v>-70.902000000000001</v>
      </c>
      <c r="AQ1088" s="861">
        <v>-59.082999999999998</v>
      </c>
      <c r="AR1088" s="861">
        <v>-30.623999999999999</v>
      </c>
      <c r="AS1088" s="759">
        <f>AT1088</f>
      </c>
      <c r="AT1088" s="971">
        <v>36.049999999999997</v>
      </c>
      <c r="AU1088" s="861">
        <v>-42.137999999999998</v>
      </c>
      <c r="AV1088" s="861">
        <v>-18.661000000000001</v>
      </c>
      <c r="AW1088" s="861">
        <v>-82.504000000000005</v>
      </c>
      <c r="AX1088" s="759">
        <f>AY1088</f>
      </c>
      <c r="AY1088" s="971">
        <v>-86.74</v>
      </c>
      <c r="AZ1088" s="861">
        <v>-11.448</v>
      </c>
      <c r="BA1088" s="861">
        <v>-156.64599999999999</v>
      </c>
      <c r="BB1088" s="861">
        <v>-336.70400000000001</v>
      </c>
      <c r="BC1088" s="759">
        <f>BD1088</f>
      </c>
      <c r="BD1088" s="971">
        <v>-170.14</v>
      </c>
      <c r="BE1088" s="861">
        <v>26.422999999999998</v>
      </c>
      <c r="BF1088" s="861">
        <v>66.049000000000007</v>
      </c>
      <c r="BG1088" s="861">
        <v>-56.658000000000001</v>
      </c>
      <c r="BH1088" s="759">
        <f>BI1088</f>
      </c>
      <c r="BI1088" s="971">
        <v>82.683999999999997</v>
      </c>
      <c r="BJ1088" s="861">
        <v>-95.79</v>
      </c>
      <c r="BK1088" s="861">
        <v>-218.51300000000001</v>
      </c>
      <c r="BL1088" s="861">
        <v>-65.061000000000007</v>
      </c>
      <c r="BM1088" s="759">
        <f>BN1088</f>
      </c>
      <c r="BN1088" s="971">
        <v>-416.33100000000002</v>
      </c>
      <c r="BO1088" s="861">
        <v>150.14599999999999</v>
      </c>
      <c r="BP1088" s="861">
        <v>437.61700000000002</v>
      </c>
      <c r="BQ1088" s="861">
        <v>415.89600000000002</v>
      </c>
      <c r="BR1088" s="759">
        <f>BS1088</f>
      </c>
      <c r="BS1088" s="971">
        <v>386.51900000000001</v>
      </c>
      <c r="BT1088" s="872">
        <v>-49.838000000000001</v>
      </c>
      <c r="BU1088" s="759"/>
      <c r="BV1088" s="759"/>
      <c r="BW1088" s="759"/>
      <c r="BX1088" s="969"/>
      <c r="BY1088" s="759"/>
      <c r="BZ1088" s="759"/>
      <c r="CA1088" s="759"/>
      <c r="CB1088" s="759"/>
      <c r="CC1088" s="969"/>
      <c r="CD1088" s="969"/>
      <c r="CE1088" s="969"/>
      <c r="CF1088" s="969"/>
      <c r="CG1088" s="183"/>
    </row>
    <row r="1089" spans="1:85" s="587" customFormat="1" hidden="1" outlineLevel="1" x14ac:dyDescent="0.3">
      <c r="A1089" s="4" t="s">
        <v>173</v>
      </c>
      <c r="B1089" s="428"/>
      <c r="C1089" s="985">
        <f t="shared" ref="C1089:AH1089" si="2402">C1086+C1068+C1054+C1088</f>
      </c>
      <c r="D1089" s="985">
        <f t="shared" si="2402"/>
      </c>
      <c r="E1089" s="985">
        <f t="shared" si="2402"/>
      </c>
      <c r="F1089" s="985">
        <f t="shared" si="2402"/>
      </c>
      <c r="G1089" s="183">
        <f t="shared" si="2402"/>
      </c>
      <c r="H1089" s="183">
        <f t="shared" si="2402"/>
      </c>
      <c r="I1089" s="183">
        <f t="shared" si="2402"/>
      </c>
      <c r="J1089" s="183">
        <f t="shared" si="2402"/>
      </c>
      <c r="K1089" s="985">
        <f t="shared" si="2402"/>
      </c>
      <c r="L1089" s="183">
        <f t="shared" si="2402"/>
      </c>
      <c r="M1089" s="183">
        <f t="shared" si="2402"/>
      </c>
      <c r="N1089" s="183">
        <f t="shared" si="2402"/>
      </c>
      <c r="O1089" s="183">
        <f t="shared" si="2402"/>
      </c>
      <c r="P1089" s="985">
        <f t="shared" si="2402"/>
      </c>
      <c r="Q1089" s="183">
        <f t="shared" si="2402"/>
      </c>
      <c r="R1089" s="183">
        <f t="shared" si="2402"/>
      </c>
      <c r="S1089" s="183">
        <f t="shared" si="2402"/>
      </c>
      <c r="T1089" s="183">
        <f t="shared" si="2402"/>
      </c>
      <c r="U1089" s="985">
        <f t="shared" si="2402"/>
      </c>
      <c r="V1089" s="183">
        <f t="shared" si="2402"/>
      </c>
      <c r="W1089" s="183">
        <f t="shared" si="2402"/>
      </c>
      <c r="X1089" s="183">
        <f t="shared" si="2402"/>
      </c>
      <c r="Y1089" s="759">
        <f t="shared" si="2402"/>
      </c>
      <c r="Z1089" s="969">
        <f t="shared" si="2402"/>
      </c>
      <c r="AA1089" s="183">
        <f t="shared" si="2402"/>
      </c>
      <c r="AB1089" s="183">
        <f t="shared" si="2402"/>
      </c>
      <c r="AC1089" s="183">
        <f t="shared" si="2402"/>
      </c>
      <c r="AD1089" s="759">
        <f t="shared" si="2402"/>
      </c>
      <c r="AE1089" s="969">
        <f t="shared" si="2402"/>
      </c>
      <c r="AF1089" s="183">
        <f t="shared" si="2402"/>
      </c>
      <c r="AG1089" s="183">
        <f t="shared" si="2402"/>
      </c>
      <c r="AH1089" s="183">
        <f t="shared" si="2402"/>
      </c>
      <c r="AI1089" s="759">
        <f t="shared" ref="AI1089:AQ1089" si="2403">AI1086+AI1068+AI1054+AI1088</f>
      </c>
      <c r="AJ1089" s="969">
        <f t="shared" si="2403"/>
      </c>
      <c r="AK1089" s="183">
        <f t="shared" si="2403"/>
      </c>
      <c r="AL1089" s="183">
        <f t="shared" si="2403"/>
      </c>
      <c r="AM1089" s="183">
        <f t="shared" si="2403"/>
      </c>
      <c r="AN1089" s="759">
        <f t="shared" si="2403"/>
      </c>
      <c r="AO1089" s="969">
        <f t="shared" si="2403"/>
      </c>
      <c r="AP1089" s="183">
        <f t="shared" si="2403"/>
      </c>
      <c r="AQ1089" s="183">
        <f t="shared" si="2403"/>
      </c>
      <c r="AR1089" s="183">
        <f>AR1086+AR1068+AR1054+AR1088</f>
      </c>
      <c r="AS1089" s="759">
        <f>AS1086+AS1068+AS1054+AS1088</f>
      </c>
      <c r="AT1089" s="969">
        <f>AT1086+AT1068+AT1054+AT1088</f>
      </c>
      <c r="AU1089" s="183">
        <f t="shared" ref="AU1089" si="2404">AU1086+AU1068+AU1054+AU1088</f>
      </c>
      <c r="AV1089" s="183">
        <f t="shared" ref="AV1089:BA1089" si="2405">AV1086+AV1068+AV1054+AV1088</f>
      </c>
      <c r="AW1089" s="183">
        <f t="shared" si="2405"/>
      </c>
      <c r="AX1089" s="759">
        <f t="shared" si="2405"/>
      </c>
      <c r="AY1089" s="969">
        <f t="shared" si="2405"/>
      </c>
      <c r="AZ1089" s="183">
        <f t="shared" si="2405"/>
      </c>
      <c r="BA1089" s="183">
        <f t="shared" si="2405"/>
      </c>
      <c r="BB1089" s="183">
        <f t="shared" ref="BB1089:BD1089" si="2406">BB1086+BB1068+BB1054+BB1088</f>
      </c>
      <c r="BC1089" s="759">
        <f t="shared" si="2406"/>
      </c>
      <c r="BD1089" s="969">
        <f t="shared" si="2406"/>
      </c>
      <c r="BE1089" s="183">
        <f t="shared" ref="BE1089:BJ1089" si="2407">BE1086+BE1068+BE1054+BE1088</f>
      </c>
      <c r="BF1089" s="183">
        <f t="shared" si="2407"/>
      </c>
      <c r="BG1089" s="183">
        <f t="shared" si="2407"/>
      </c>
      <c r="BH1089" s="759">
        <f t="shared" si="2407"/>
      </c>
      <c r="BI1089" s="969">
        <f t="shared" si="2407"/>
      </c>
      <c r="BJ1089" s="183">
        <f t="shared" si="2407"/>
      </c>
      <c r="BK1089" s="183">
        <f t="shared" ref="BK1089:BP1089" si="2408">BK1086+BK1068+BK1054+BK1088</f>
      </c>
      <c r="BL1089" s="183">
        <f t="shared" si="2408"/>
      </c>
      <c r="BM1089" s="759">
        <f t="shared" si="2408"/>
      </c>
      <c r="BN1089" s="969">
        <f t="shared" si="2408"/>
      </c>
      <c r="BO1089" s="183">
        <f t="shared" si="2408"/>
      </c>
      <c r="BP1089" s="183">
        <f t="shared" si="2408"/>
      </c>
      <c r="BQ1089" s="183">
        <f>BQ1086+BQ1068+BQ1054+BQ1088</f>
      </c>
      <c r="BR1089" s="759">
        <f>BR1086+BR1068+BR1054+BR1088</f>
      </c>
      <c r="BS1089" s="969">
        <f>BS1086+BS1068+BS1054+BS1088</f>
      </c>
      <c r="BT1089" s="794">
        <f>BT1086+BT1068+BT1054+BT1088</f>
      </c>
      <c r="BU1089" s="759"/>
      <c r="BV1089" s="759"/>
      <c r="BW1089" s="759"/>
      <c r="BX1089" s="969"/>
      <c r="BY1089" s="759"/>
      <c r="BZ1089" s="759"/>
      <c r="CA1089" s="759"/>
      <c r="CB1089" s="759"/>
      <c r="CC1089" s="969"/>
      <c r="CD1089" s="969"/>
      <c r="CE1089" s="969"/>
      <c r="CF1089" s="969"/>
      <c r="CG1089" s="183"/>
    </row>
    <row r="1090" spans="1:85" s="587" customFormat="1" hidden="1" outlineLevel="1" x14ac:dyDescent="0.3">
      <c r="A1090" s="429"/>
      <c r="B1090" s="428"/>
      <c r="C1090" s="969"/>
      <c r="D1090" s="969"/>
      <c r="E1090" s="969"/>
      <c r="F1090" s="969"/>
      <c r="G1090" s="759"/>
      <c r="H1090" s="759"/>
      <c r="I1090" s="759"/>
      <c r="J1090" s="759"/>
      <c r="K1090" s="969"/>
      <c r="L1090" s="759"/>
      <c r="M1090" s="759"/>
      <c r="N1090" s="759"/>
      <c r="O1090" s="759"/>
      <c r="P1090" s="969"/>
      <c r="Q1090" s="759"/>
      <c r="R1090" s="759"/>
      <c r="S1090" s="759"/>
      <c r="T1090" s="759"/>
      <c r="U1090" s="969"/>
      <c r="V1090" s="759"/>
      <c r="W1090" s="759"/>
      <c r="X1090" s="759"/>
      <c r="Y1090" s="759"/>
      <c r="Z1090" s="969"/>
      <c r="AA1090" s="759"/>
      <c r="AB1090" s="759"/>
      <c r="AC1090" s="759"/>
      <c r="AD1090" s="759"/>
      <c r="AE1090" s="969"/>
      <c r="AF1090" s="759"/>
      <c r="AG1090" s="759"/>
      <c r="AH1090" s="759"/>
      <c r="AI1090" s="759"/>
      <c r="AJ1090" s="969"/>
      <c r="AK1090" s="759"/>
      <c r="AL1090" s="759"/>
      <c r="AM1090" s="759"/>
      <c r="AN1090" s="759"/>
      <c r="AO1090" s="969"/>
      <c r="AP1090" s="759"/>
      <c r="AQ1090" s="759"/>
      <c r="AR1090" s="759"/>
      <c r="AS1090" s="759"/>
      <c r="AT1090" s="969"/>
      <c r="AU1090" s="759"/>
      <c r="AV1090" s="759"/>
      <c r="AW1090" s="759"/>
      <c r="AX1090" s="759"/>
      <c r="AY1090" s="969"/>
      <c r="AZ1090" s="759"/>
      <c r="BA1090" s="759"/>
      <c r="BB1090" s="759"/>
      <c r="BC1090" s="759"/>
      <c r="BD1090" s="969"/>
      <c r="BE1090" s="759"/>
      <c r="BF1090" s="759"/>
      <c r="BG1090" s="759"/>
      <c r="BH1090" s="759"/>
      <c r="BI1090" s="969"/>
      <c r="BJ1090" s="759"/>
      <c r="BK1090" s="759"/>
      <c r="BL1090" s="759"/>
      <c r="BM1090" s="759"/>
      <c r="BN1090" s="969"/>
      <c r="BO1090" s="759"/>
      <c r="BP1090" s="759"/>
      <c r="BQ1090" s="759"/>
      <c r="BR1090" s="759"/>
      <c r="BS1090" s="969"/>
      <c r="BT1090" s="760"/>
      <c r="BU1090" s="759"/>
      <c r="BV1090" s="759"/>
      <c r="BW1090" s="759"/>
      <c r="BX1090" s="969"/>
      <c r="BY1090" s="759"/>
      <c r="BZ1090" s="759"/>
      <c r="CA1090" s="759"/>
      <c r="CB1090" s="759"/>
      <c r="CC1090" s="969"/>
      <c r="CD1090" s="969"/>
      <c r="CE1090" s="969"/>
      <c r="CF1090" s="969"/>
      <c r="CG1090" s="183"/>
    </row>
    <row r="1091" spans="1:85" s="587" customFormat="1" hidden="1" outlineLevel="1" x14ac:dyDescent="0.3">
      <c r="A1091" s="4" t="s">
        <v>174</v>
      </c>
      <c r="B1091" s="428"/>
      <c r="C1091" s="971">
        <v>139.881</v>
      </c>
      <c r="D1091" s="985">
        <f>C1092</f>
      </c>
      <c r="E1091" s="985">
        <f>D1092</f>
      </c>
      <c r="F1091" s="985">
        <f>E1092</f>
      </c>
      <c r="G1091" s="183">
        <f>F1092</f>
      </c>
      <c r="H1091" s="183">
        <f>G1091</f>
      </c>
      <c r="I1091" s="183">
        <f>H1091</f>
      </c>
      <c r="J1091" s="183">
        <f>I1091</f>
      </c>
      <c r="K1091" s="985">
        <f>J1091</f>
      </c>
      <c r="L1091" s="183">
        <f>K1092</f>
      </c>
      <c r="M1091" s="183">
        <f>L1091</f>
      </c>
      <c r="N1091" s="183">
        <f>M1091</f>
      </c>
      <c r="O1091" s="183">
        <f>N1091</f>
      </c>
      <c r="P1091" s="985">
        <f>O1091</f>
      </c>
      <c r="Q1091" s="183">
        <f>P1092</f>
      </c>
      <c r="R1091" s="183">
        <f>Q1091</f>
      </c>
      <c r="S1091" s="183">
        <f>R1091</f>
      </c>
      <c r="T1091" s="183">
        <f>S1091</f>
      </c>
      <c r="U1091" s="985">
        <f>T1091</f>
      </c>
      <c r="V1091" s="183">
        <f>U1092</f>
      </c>
      <c r="W1091" s="183">
        <f>V1091</f>
      </c>
      <c r="X1091" s="183">
        <f>W1091</f>
      </c>
      <c r="Y1091" s="183">
        <f>X1091</f>
      </c>
      <c r="Z1091" s="985">
        <f>Y1091</f>
      </c>
      <c r="AA1091" s="183">
        <f>Z1092</f>
      </c>
      <c r="AB1091" s="183">
        <f>AA1091</f>
      </c>
      <c r="AC1091" s="183">
        <f>AB1091</f>
      </c>
      <c r="AD1091" s="183">
        <f>AC1091</f>
      </c>
      <c r="AE1091" s="985">
        <f>AD1091</f>
      </c>
      <c r="AF1091" s="183">
        <f>AE1092</f>
      </c>
      <c r="AG1091" s="183">
        <f>AF1091</f>
      </c>
      <c r="AH1091" s="183">
        <f>AG1091</f>
      </c>
      <c r="AI1091" s="183">
        <f>AH1091</f>
      </c>
      <c r="AJ1091" s="985">
        <f>AI1091</f>
      </c>
      <c r="AK1091" s="183">
        <f>AJ1092</f>
      </c>
      <c r="AL1091" s="183">
        <f>AK1091</f>
      </c>
      <c r="AM1091" s="183">
        <f>AL1091</f>
      </c>
      <c r="AN1091" s="183">
        <f>AM1091</f>
      </c>
      <c r="AO1091" s="985">
        <f>AN1091</f>
      </c>
      <c r="AP1091" s="183">
        <f>AO1092</f>
      </c>
      <c r="AQ1091" s="183">
        <f>AP1091</f>
      </c>
      <c r="AR1091" s="183">
        <f>AQ1091</f>
      </c>
      <c r="AS1091" s="183">
        <f>AR1091</f>
      </c>
      <c r="AT1091" s="985">
        <f>AS1091</f>
      </c>
      <c r="AU1091" s="183">
        <f>AT1092</f>
      </c>
      <c r="AV1091" s="183">
        <f>AU1091</f>
      </c>
      <c r="AW1091" s="183">
        <f>AV1091</f>
      </c>
      <c r="AX1091" s="183">
        <f>AW1091</f>
      </c>
      <c r="AY1091" s="985">
        <f>AX1091</f>
      </c>
      <c r="AZ1091" s="183">
        <f>AY1092</f>
      </c>
      <c r="BA1091" s="183">
        <f>AZ1091</f>
      </c>
      <c r="BB1091" s="183">
        <f>BA1091</f>
      </c>
      <c r="BC1091" s="183">
        <f>BB1091</f>
      </c>
      <c r="BD1091" s="985">
        <f>BC1091</f>
      </c>
      <c r="BE1091" s="183">
        <f>BD1092</f>
      </c>
      <c r="BF1091" s="183">
        <f>BE1091</f>
      </c>
      <c r="BG1091" s="183">
        <f>BF1091</f>
      </c>
      <c r="BH1091" s="183">
        <f>BG1091</f>
      </c>
      <c r="BI1091" s="985">
        <f>BH1091</f>
      </c>
      <c r="BJ1091" s="183">
        <f>BI1092</f>
      </c>
      <c r="BK1091" s="183">
        <f>BJ1091</f>
      </c>
      <c r="BL1091" s="183">
        <f>BK1091</f>
      </c>
      <c r="BM1091" s="183">
        <f>BL1091</f>
      </c>
      <c r="BN1091" s="985">
        <f>BM1091</f>
      </c>
      <c r="BO1091" s="183">
        <f>BN1092</f>
      </c>
      <c r="BP1091" s="183">
        <f>BO1091</f>
      </c>
      <c r="BQ1091" s="183">
        <f>BP1091</f>
      </c>
      <c r="BR1091" s="183">
        <f>BQ1091</f>
      </c>
      <c r="BS1091" s="985">
        <f>BR1091</f>
      </c>
      <c r="BT1091" s="794">
        <f>BS1092</f>
      </c>
      <c r="BU1091" s="759"/>
      <c r="BV1091" s="759"/>
      <c r="BW1091" s="759"/>
      <c r="BX1091" s="969"/>
      <c r="BY1091" s="759"/>
      <c r="BZ1091" s="759"/>
      <c r="CA1091" s="759"/>
      <c r="CB1091" s="759"/>
      <c r="CC1091" s="969"/>
      <c r="CD1091" s="969"/>
      <c r="CE1091" s="969"/>
      <c r="CF1091" s="969"/>
      <c r="CG1091" s="183"/>
    </row>
    <row r="1092" spans="1:85" s="587" customFormat="1" hidden="1" outlineLevel="1" x14ac:dyDescent="0.3">
      <c r="A1092" s="4" t="s">
        <v>175</v>
      </c>
      <c r="B1092" s="428"/>
      <c r="C1092" s="985">
        <f t="shared" ref="C1092:AQ1092" si="2409">C1089+C1091</f>
      </c>
      <c r="D1092" s="985">
        <f t="shared" si="2409"/>
      </c>
      <c r="E1092" s="985">
        <f t="shared" si="2409"/>
      </c>
      <c r="F1092" s="985">
        <f t="shared" si="2409"/>
      </c>
      <c r="G1092" s="183">
        <f t="shared" si="2409"/>
      </c>
      <c r="H1092" s="183">
        <f t="shared" si="2409"/>
      </c>
      <c r="I1092" s="183">
        <f t="shared" si="2409"/>
      </c>
      <c r="J1092" s="183">
        <f t="shared" si="2409"/>
      </c>
      <c r="K1092" s="985">
        <f t="shared" si="2409"/>
      </c>
      <c r="L1092" s="183">
        <f t="shared" si="2409"/>
      </c>
      <c r="M1092" s="183">
        <f t="shared" si="2409"/>
      </c>
      <c r="N1092" s="183">
        <f t="shared" si="2409"/>
      </c>
      <c r="O1092" s="183">
        <f t="shared" si="2409"/>
      </c>
      <c r="P1092" s="985">
        <f t="shared" si="2409"/>
      </c>
      <c r="Q1092" s="183">
        <f t="shared" si="2409"/>
      </c>
      <c r="R1092" s="183">
        <f t="shared" si="2409"/>
      </c>
      <c r="S1092" s="183">
        <f t="shared" si="2409"/>
      </c>
      <c r="T1092" s="183">
        <f t="shared" si="2409"/>
      </c>
      <c r="U1092" s="985">
        <f t="shared" si="2409"/>
      </c>
      <c r="V1092" s="183">
        <f t="shared" si="2409"/>
      </c>
      <c r="W1092" s="183">
        <f t="shared" si="2409"/>
      </c>
      <c r="X1092" s="183">
        <f t="shared" si="2409"/>
      </c>
      <c r="Y1092" s="183">
        <f t="shared" si="2409"/>
      </c>
      <c r="Z1092" s="985">
        <f t="shared" si="2409"/>
      </c>
      <c r="AA1092" s="183">
        <f t="shared" si="2409"/>
      </c>
      <c r="AB1092" s="183">
        <f t="shared" si="2409"/>
      </c>
      <c r="AC1092" s="183">
        <f t="shared" si="2409"/>
      </c>
      <c r="AD1092" s="183">
        <f t="shared" si="2409"/>
      </c>
      <c r="AE1092" s="985">
        <f t="shared" si="2409"/>
      </c>
      <c r="AF1092" s="183">
        <f t="shared" si="2409"/>
      </c>
      <c r="AG1092" s="183">
        <f t="shared" si="2409"/>
      </c>
      <c r="AH1092" s="183">
        <f t="shared" si="2409"/>
      </c>
      <c r="AI1092" s="183">
        <f t="shared" si="2409"/>
      </c>
      <c r="AJ1092" s="985">
        <f t="shared" si="2409"/>
      </c>
      <c r="AK1092" s="183">
        <f t="shared" si="2409"/>
      </c>
      <c r="AL1092" s="183">
        <f t="shared" si="2409"/>
      </c>
      <c r="AM1092" s="183">
        <f t="shared" si="2409"/>
      </c>
      <c r="AN1092" s="183">
        <f t="shared" si="2409"/>
      </c>
      <c r="AO1092" s="985">
        <f t="shared" si="2409"/>
      </c>
      <c r="AP1092" s="183">
        <f t="shared" si="2409"/>
      </c>
      <c r="AQ1092" s="183">
        <f t="shared" si="2409"/>
      </c>
      <c r="AR1092" s="183">
        <f>AR1089+AR1091</f>
      </c>
      <c r="AS1092" s="183">
        <f>AS1089+AS1091</f>
      </c>
      <c r="AT1092" s="985">
        <f>AT1089+AT1091</f>
      </c>
      <c r="AU1092" s="183">
        <f t="shared" ref="AU1092" si="2410">AU1089+AU1091</f>
      </c>
      <c r="AV1092" s="183">
        <f t="shared" ref="AV1092:BA1092" si="2411">AV1089+AV1091</f>
      </c>
      <c r="AW1092" s="183">
        <f t="shared" si="2411"/>
      </c>
      <c r="AX1092" s="183">
        <f t="shared" si="2411"/>
      </c>
      <c r="AY1092" s="985">
        <f t="shared" si="2411"/>
      </c>
      <c r="AZ1092" s="183">
        <f t="shared" si="2411"/>
      </c>
      <c r="BA1092" s="183">
        <f t="shared" si="2411"/>
      </c>
      <c r="BB1092" s="183">
        <f t="shared" ref="BB1092:BG1092" si="2412">BB1089+BB1091</f>
      </c>
      <c r="BC1092" s="183">
        <f t="shared" si="2412"/>
      </c>
      <c r="BD1092" s="985">
        <f t="shared" si="2412"/>
      </c>
      <c r="BE1092" s="183">
        <f t="shared" si="2412"/>
      </c>
      <c r="BF1092" s="183">
        <f t="shared" si="2412"/>
      </c>
      <c r="BG1092" s="183">
        <f t="shared" si="2412"/>
      </c>
      <c r="BH1092" s="183">
        <f t="shared" ref="BH1092:BN1092" si="2413">BH1089+BH1091</f>
      </c>
      <c r="BI1092" s="985">
        <f t="shared" si="2413"/>
      </c>
      <c r="BJ1092" s="183">
        <f t="shared" si="2413"/>
      </c>
      <c r="BK1092" s="183">
        <f t="shared" si="2413"/>
      </c>
      <c r="BL1092" s="183">
        <f t="shared" si="2413"/>
      </c>
      <c r="BM1092" s="183">
        <f t="shared" si="2413"/>
      </c>
      <c r="BN1092" s="985">
        <f t="shared" si="2413"/>
      </c>
      <c r="BO1092" s="183">
        <f t="shared" ref="BO1092:BT1092" si="2414">BO1089+BO1091</f>
      </c>
      <c r="BP1092" s="183">
        <f t="shared" si="2414"/>
      </c>
      <c r="BQ1092" s="183">
        <f t="shared" si="2414"/>
      </c>
      <c r="BR1092" s="183">
        <f t="shared" si="2414"/>
      </c>
      <c r="BS1092" s="985">
        <f t="shared" si="2414"/>
      </c>
      <c r="BT1092" s="794">
        <f t="shared" si="2414"/>
      </c>
      <c r="BU1092" s="759"/>
      <c r="BV1092" s="759"/>
      <c r="BW1092" s="759"/>
      <c r="BX1092" s="969"/>
      <c r="BY1092" s="759"/>
      <c r="BZ1092" s="759"/>
      <c r="CA1092" s="759"/>
      <c r="CB1092" s="759"/>
      <c r="CC1092" s="969"/>
      <c r="CD1092" s="969"/>
      <c r="CE1092" s="969"/>
      <c r="CF1092" s="969"/>
      <c r="CG1092" s="183"/>
    </row>
    <row r="1093" spans="1:85" s="587" customFormat="1" hidden="1" outlineLevel="1" x14ac:dyDescent="0.3">
      <c r="A1093" s="429"/>
      <c r="B1093" s="428"/>
      <c r="C1093" s="969"/>
      <c r="D1093" s="969"/>
      <c r="E1093" s="969"/>
      <c r="F1093" s="969"/>
      <c r="G1093" s="759"/>
      <c r="H1093" s="759"/>
      <c r="I1093" s="759"/>
      <c r="J1093" s="759"/>
      <c r="K1093" s="969"/>
      <c r="L1093" s="759"/>
      <c r="M1093" s="759"/>
      <c r="N1093" s="759"/>
      <c r="O1093" s="759"/>
      <c r="P1093" s="969"/>
      <c r="Q1093" s="759"/>
      <c r="R1093" s="759"/>
      <c r="S1093" s="759"/>
      <c r="T1093" s="759"/>
      <c r="U1093" s="969"/>
      <c r="V1093" s="759"/>
      <c r="W1093" s="759"/>
      <c r="X1093" s="759"/>
      <c r="Y1093" s="759"/>
      <c r="Z1093" s="969"/>
      <c r="AA1093" s="759"/>
      <c r="AB1093" s="759"/>
      <c r="AC1093" s="759"/>
      <c r="AD1093" s="759"/>
      <c r="AE1093" s="969"/>
      <c r="AF1093" s="759"/>
      <c r="AG1093" s="759"/>
      <c r="AH1093" s="759"/>
      <c r="AI1093" s="759"/>
      <c r="AJ1093" s="969"/>
      <c r="AK1093" s="759"/>
      <c r="AL1093" s="759"/>
      <c r="AM1093" s="759"/>
      <c r="AN1093" s="759"/>
      <c r="AO1093" s="969"/>
      <c r="AP1093" s="759"/>
      <c r="AQ1093" s="759"/>
      <c r="AR1093" s="759"/>
      <c r="AS1093" s="759"/>
      <c r="AT1093" s="969"/>
      <c r="AU1093" s="759"/>
      <c r="AV1093" s="759"/>
      <c r="AW1093" s="759"/>
      <c r="AX1093" s="759"/>
      <c r="AY1093" s="969"/>
      <c r="AZ1093" s="759"/>
      <c r="BA1093" s="759"/>
      <c r="BB1093" s="759"/>
      <c r="BC1093" s="759"/>
      <c r="BD1093" s="969"/>
      <c r="BE1093" s="759"/>
      <c r="BF1093" s="759"/>
      <c r="BG1093" s="759"/>
      <c r="BH1093" s="759"/>
      <c r="BI1093" s="969"/>
      <c r="BJ1093" s="759"/>
      <c r="BK1093" s="759"/>
      <c r="BL1093" s="759"/>
      <c r="BM1093" s="759"/>
      <c r="BN1093" s="969"/>
      <c r="BO1093" s="759"/>
      <c r="BP1093" s="759"/>
      <c r="BQ1093" s="759"/>
      <c r="BR1093" s="759"/>
      <c r="BS1093" s="969"/>
      <c r="BT1093" s="760"/>
      <c r="BU1093" s="759"/>
      <c r="BV1093" s="759"/>
      <c r="BW1093" s="759"/>
      <c r="BX1093" s="969"/>
      <c r="BY1093" s="759"/>
      <c r="BZ1093" s="759"/>
      <c r="CA1093" s="759"/>
      <c r="CB1093" s="759"/>
      <c r="CC1093" s="969"/>
      <c r="CD1093" s="969"/>
      <c r="CE1093" s="969"/>
      <c r="CF1093" s="969"/>
      <c r="CG1093" s="183"/>
    </row>
    <row r="1094" spans="1:85" s="587" customFormat="1" hidden="1" outlineLevel="1" x14ac:dyDescent="0.3">
      <c r="A1094" s="6" t="s">
        <v>853</v>
      </c>
      <c r="B1094" s="414"/>
      <c r="C1094" s="963">
        <v>58.77</v>
      </c>
      <c r="D1094" s="963">
        <v>56.218000000000004</v>
      </c>
      <c r="E1094" s="963">
        <v>79.069000000000003</v>
      </c>
      <c r="F1094" s="963">
        <v>28.853000000000002</v>
      </c>
      <c r="G1094" s="757"/>
      <c r="H1094" s="757"/>
      <c r="I1094" s="757"/>
      <c r="J1094" s="459">
        <f>+K1094</f>
      </c>
      <c r="K1094" s="963">
        <v>7.4649999999999999</v>
      </c>
      <c r="L1094" s="757"/>
      <c r="M1094" s="757"/>
      <c r="N1094" s="757"/>
      <c r="O1094" s="459">
        <f>+P1094</f>
      </c>
      <c r="P1094" s="963">
        <v>50.573</v>
      </c>
      <c r="Q1094" s="757"/>
      <c r="R1094" s="757"/>
      <c r="S1094" s="757"/>
      <c r="T1094" s="459">
        <f>+U1094</f>
      </c>
      <c r="U1094" s="963">
        <v>27.658000000000001</v>
      </c>
      <c r="V1094" s="757"/>
      <c r="W1094" s="757"/>
      <c r="X1094" s="757"/>
      <c r="Y1094" s="459">
        <f>+Z1094</f>
      </c>
      <c r="Z1094" s="963">
        <v>26.806000000000001</v>
      </c>
      <c r="AA1094" s="757"/>
      <c r="AB1094" s="757"/>
      <c r="AC1094" s="757"/>
      <c r="AD1094" s="459">
        <f>+AE1094</f>
      </c>
      <c r="AE1094" s="963">
        <v>113.59099999999999</v>
      </c>
      <c r="AF1094" s="757"/>
      <c r="AG1094" s="757"/>
      <c r="AH1094" s="757"/>
      <c r="AI1094" s="459">
        <f>+AJ1094</f>
      </c>
      <c r="AJ1094" s="963">
        <v>131.06899999999999</v>
      </c>
      <c r="AK1094" s="757"/>
      <c r="AL1094" s="757"/>
      <c r="AM1094" s="757"/>
      <c r="AN1094" s="459">
        <f>+AO1094</f>
      </c>
      <c r="AO1094" s="963">
        <v>400.65800000000002</v>
      </c>
      <c r="AP1094" s="757"/>
      <c r="AQ1094" s="757"/>
      <c r="AR1094" s="757"/>
      <c r="AS1094" s="459">
        <f>+AT1094</f>
      </c>
      <c r="AT1094" s="963">
        <v>291.58199999999999</v>
      </c>
      <c r="AU1094" s="757"/>
      <c r="AV1094" s="757"/>
      <c r="AW1094" s="757"/>
      <c r="AX1094" s="459">
        <f>+AY1094</f>
      </c>
      <c r="AY1094" s="963">
        <v>509.26499999999999</v>
      </c>
      <c r="AZ1094" s="757"/>
      <c r="BA1094" s="757"/>
      <c r="BB1094" s="757"/>
      <c r="BC1094" s="459">
        <f>+BD1094</f>
      </c>
      <c r="BD1094" s="963">
        <v>811.72</v>
      </c>
      <c r="BE1094" s="757"/>
      <c r="BF1094" s="757"/>
      <c r="BG1094" s="757"/>
      <c r="BH1094" s="459">
        <f>+BI1094</f>
      </c>
      <c r="BI1094" s="963">
        <v>1154.973</v>
      </c>
      <c r="BJ1094" s="757"/>
      <c r="BK1094" s="757"/>
      <c r="BL1094" s="757"/>
      <c r="BM1094" s="459">
        <f>+BN1094</f>
      </c>
      <c r="BN1094" s="963">
        <v>1641.53</v>
      </c>
      <c r="BO1094" s="757"/>
      <c r="BP1094" s="757"/>
      <c r="BQ1094" s="757"/>
      <c r="BR1094" s="459">
        <f>+BS1094</f>
      </c>
      <c r="BS1094" s="963">
        <v>2220.384</v>
      </c>
      <c r="BT1094" s="758"/>
      <c r="BU1094" s="757"/>
      <c r="BV1094" s="757"/>
      <c r="BW1094" s="757"/>
      <c r="BX1094" s="962"/>
      <c r="BY1094" s="757"/>
      <c r="BZ1094" s="757"/>
      <c r="CA1094" s="757"/>
      <c r="CB1094" s="757"/>
      <c r="CC1094" s="962"/>
      <c r="CD1094" s="962"/>
      <c r="CE1094" s="962"/>
      <c r="CF1094" s="962"/>
      <c r="CG1094" s="459"/>
    </row>
    <row r="1095" spans="1:85" s="587" customFormat="1" hidden="1" outlineLevel="1" x14ac:dyDescent="0.3">
      <c r="A1095" s="6" t="s">
        <v>854</v>
      </c>
      <c r="B1095" s="414"/>
      <c r="C1095" s="963">
        <v>3.8780000000000001</v>
      </c>
      <c r="D1095" s="963">
        <v>20.100999999999999</v>
      </c>
      <c r="E1095" s="963">
        <v>19.395</v>
      </c>
      <c r="F1095" s="963">
        <v>19.009</v>
      </c>
      <c r="G1095" s="757"/>
      <c r="H1095" s="757"/>
      <c r="I1095" s="757"/>
      <c r="J1095" s="459">
        <f>+K1095</f>
      </c>
      <c r="K1095" s="963">
        <v>19.114000000000001</v>
      </c>
      <c r="L1095" s="757"/>
      <c r="M1095" s="757"/>
      <c r="N1095" s="757"/>
      <c r="O1095" s="459">
        <f>+P1095</f>
      </c>
      <c r="P1095" s="963">
        <v>41.085000000000001</v>
      </c>
      <c r="Q1095" s="757"/>
      <c r="R1095" s="757"/>
      <c r="S1095" s="757"/>
      <c r="T1095" s="459">
        <f>+U1095</f>
      </c>
      <c r="U1095" s="963">
        <v>111.761</v>
      </c>
      <c r="V1095" s="757"/>
      <c r="W1095" s="757"/>
      <c r="X1095" s="757"/>
      <c r="Y1095" s="459">
        <f>+Z1095</f>
      </c>
      <c r="Z1095" s="963">
        <v>138.566</v>
      </c>
      <c r="AA1095" s="757"/>
      <c r="AB1095" s="757"/>
      <c r="AC1095" s="757"/>
      <c r="AD1095" s="459">
        <f>+AE1095</f>
      </c>
      <c r="AE1095" s="963">
        <v>213.31299999999999</v>
      </c>
      <c r="AF1095" s="757"/>
      <c r="AG1095" s="757"/>
      <c r="AH1095" s="757"/>
      <c r="AI1095" s="459">
        <f>+AJ1095</f>
      </c>
      <c r="AJ1095" s="963">
        <v>375.83100000000002</v>
      </c>
      <c r="AK1095" s="757"/>
      <c r="AL1095" s="757"/>
      <c r="AM1095" s="757"/>
      <c r="AN1095" s="459">
        <f>+AO1095</f>
      </c>
      <c r="AO1095" s="963">
        <v>599.13199999999995</v>
      </c>
      <c r="AP1095" s="757"/>
      <c r="AQ1095" s="757"/>
      <c r="AR1095" s="757"/>
      <c r="AS1095" s="459">
        <f>+AT1095</f>
      </c>
      <c r="AT1095" s="963">
        <v>762.904</v>
      </c>
      <c r="AU1095" s="757"/>
      <c r="AV1095" s="757"/>
      <c r="AW1095" s="757"/>
      <c r="AX1095" s="459">
        <f>+AY1095</f>
      </c>
      <c r="AY1095" s="963">
        <v>763.43200000000002</v>
      </c>
      <c r="AZ1095" s="757"/>
      <c r="BA1095" s="757"/>
      <c r="BB1095" s="757"/>
      <c r="BC1095" s="459">
        <f>+BD1095</f>
      </c>
      <c r="BD1095" s="963">
        <v>701.69299999999998</v>
      </c>
      <c r="BE1095" s="757"/>
      <c r="BF1095" s="757"/>
      <c r="BG1095" s="757"/>
      <c r="BH1095" s="459">
        <f>+BI1095</f>
      </c>
      <c r="BI1095" s="963">
        <v>684.50400000000002</v>
      </c>
      <c r="BJ1095" s="757"/>
      <c r="BK1095" s="757"/>
      <c r="BL1095" s="757"/>
      <c r="BM1095" s="459">
        <f>+BN1095</f>
      </c>
      <c r="BN1095" s="963">
        <v>674.50199999999995</v>
      </c>
      <c r="BO1095" s="757"/>
      <c r="BP1095" s="757"/>
      <c r="BQ1095" s="757"/>
      <c r="BR1095" s="459">
        <f>+BS1095</f>
      </c>
      <c r="BS1095" s="963">
        <v>718.61099999999999</v>
      </c>
      <c r="BT1095" s="758"/>
      <c r="BU1095" s="757"/>
      <c r="BV1095" s="757"/>
      <c r="BW1095" s="757"/>
      <c r="BX1095" s="962"/>
      <c r="BY1095" s="757"/>
      <c r="BZ1095" s="757"/>
      <c r="CA1095" s="757"/>
      <c r="CB1095" s="757"/>
      <c r="CC1095" s="962"/>
      <c r="CD1095" s="962"/>
      <c r="CE1095" s="962"/>
      <c r="CF1095" s="962"/>
      <c r="CG1095" s="459"/>
    </row>
    <row r="1096" spans="1:85" collapsed="1" x14ac:dyDescent="0.3">
      <c r="A1096" s="429"/>
      <c r="B1096" s="428"/>
      <c r="C1096" s="969"/>
      <c r="D1096" s="969"/>
      <c r="E1096" s="969"/>
      <c r="F1096" s="969"/>
      <c r="G1096" s="759"/>
      <c r="H1096" s="759"/>
      <c r="I1096" s="759"/>
      <c r="J1096" s="759"/>
      <c r="K1096" s="969"/>
      <c r="L1096" s="759"/>
      <c r="M1096" s="759"/>
      <c r="N1096" s="759"/>
      <c r="O1096" s="759"/>
      <c r="P1096" s="969"/>
      <c r="Q1096" s="759"/>
      <c r="R1096" s="759"/>
      <c r="S1096" s="759"/>
      <c r="T1096" s="759"/>
      <c r="U1096" s="969"/>
      <c r="V1096" s="759"/>
      <c r="W1096" s="759"/>
      <c r="X1096" s="759"/>
      <c r="Y1096" s="759"/>
      <c r="Z1096" s="969"/>
      <c r="AA1096" s="759"/>
      <c r="AB1096" s="759"/>
      <c r="AC1096" s="759"/>
      <c r="AD1096" s="759"/>
      <c r="AE1096" s="969"/>
      <c r="AF1096" s="759"/>
      <c r="AG1096" s="759"/>
      <c r="AH1096" s="759"/>
      <c r="AI1096" s="759"/>
      <c r="AJ1096" s="969"/>
      <c r="AK1096" s="759"/>
      <c r="AL1096" s="759"/>
      <c r="AM1096" s="759"/>
      <c r="AN1096" s="759"/>
      <c r="AO1096" s="969"/>
      <c r="AP1096" s="759"/>
      <c r="AQ1096" s="759"/>
      <c r="AR1096" s="759"/>
      <c r="AS1096" s="759"/>
      <c r="AT1096" s="969"/>
      <c r="AU1096" s="759"/>
      <c r="AV1096" s="759"/>
      <c r="AW1096" s="759"/>
      <c r="AX1096" s="759"/>
      <c r="AY1096" s="969"/>
      <c r="AZ1096" s="759"/>
      <c r="BA1096" s="759"/>
      <c r="BB1096" s="759"/>
      <c r="BC1096" s="759"/>
      <c r="BD1096" s="969"/>
      <c r="BE1096" s="759"/>
      <c r="BF1096" s="759"/>
      <c r="BG1096" s="759"/>
      <c r="BH1096" s="759"/>
      <c r="BI1096" s="969"/>
      <c r="BJ1096" s="759"/>
      <c r="BK1096" s="759"/>
      <c r="BL1096" s="759"/>
      <c r="BM1096" s="759"/>
      <c r="BN1096" s="969"/>
      <c r="BO1096" s="759"/>
      <c r="BP1096" s="759"/>
      <c r="BQ1096" s="759"/>
      <c r="BR1096" s="759"/>
      <c r="BS1096" s="969"/>
      <c r="BT1096" s="760"/>
      <c r="BU1096" s="759"/>
      <c r="BV1096" s="759"/>
      <c r="BW1096" s="759"/>
      <c r="BX1096" s="969"/>
      <c r="BY1096" s="759"/>
      <c r="BZ1096" s="759"/>
      <c r="CA1096" s="759"/>
      <c r="CB1096" s="759"/>
      <c r="CC1096" s="969"/>
      <c r="CD1096" s="969"/>
      <c r="CE1096" s="969"/>
      <c r="CF1096" s="969"/>
      <c r="CG1096" s="183"/>
    </row>
    <row r="1097" spans="1:85" x14ac:dyDescent="0.3">
      <c r="A1097" s="754" t="s">
        <v>176</v>
      </c>
      <c r="B1097" s="754"/>
      <c r="C1097" s="754"/>
      <c r="D1097" s="754"/>
      <c r="E1097" s="754"/>
      <c r="F1097" s="754"/>
      <c r="G1097" s="754"/>
      <c r="H1097" s="754"/>
      <c r="I1097" s="754"/>
      <c r="J1097" s="754"/>
      <c r="K1097" s="754"/>
      <c r="L1097" s="754"/>
      <c r="M1097" s="754"/>
      <c r="N1097" s="754"/>
      <c r="O1097" s="754"/>
      <c r="P1097" s="754"/>
      <c r="Q1097" s="754"/>
      <c r="R1097" s="754"/>
      <c r="S1097" s="754"/>
      <c r="T1097" s="754"/>
      <c r="U1097" s="754"/>
      <c r="V1097" s="754"/>
      <c r="W1097" s="754"/>
      <c r="X1097" s="754"/>
      <c r="Y1097" s="754"/>
      <c r="Z1097" s="754"/>
      <c r="AA1097" s="754"/>
      <c r="AB1097" s="754"/>
      <c r="AC1097" s="754"/>
      <c r="AD1097" s="754"/>
      <c r="AE1097" s="754"/>
      <c r="AF1097" s="754"/>
      <c r="AG1097" s="754"/>
      <c r="AH1097" s="754"/>
      <c r="AI1097" s="754"/>
      <c r="AJ1097" s="754"/>
      <c r="AK1097" s="754"/>
      <c r="AL1097" s="754"/>
      <c r="AM1097" s="754"/>
      <c r="AN1097" s="754"/>
      <c r="AO1097" s="754"/>
      <c r="AP1097" s="754"/>
      <c r="AQ1097" s="754"/>
      <c r="AR1097" s="754"/>
      <c r="AS1097" s="754"/>
      <c r="AT1097" s="754"/>
      <c r="AU1097" s="754"/>
      <c r="AV1097" s="754"/>
      <c r="AW1097" s="754"/>
      <c r="AX1097" s="754"/>
      <c r="AY1097" s="754"/>
      <c r="AZ1097" s="754"/>
      <c r="BA1097" s="754"/>
      <c r="BB1097" s="754"/>
      <c r="BC1097" s="754"/>
      <c r="BD1097" s="754"/>
      <c r="BE1097" s="754"/>
      <c r="BF1097" s="754"/>
      <c r="BG1097" s="754"/>
      <c r="BH1097" s="754"/>
      <c r="BI1097" s="754"/>
      <c r="BJ1097" s="754"/>
      <c r="BK1097" s="754"/>
      <c r="BL1097" s="754"/>
      <c r="BM1097" s="754"/>
      <c r="BN1097" s="754"/>
      <c r="BO1097" s="754"/>
      <c r="BP1097" s="754"/>
      <c r="BQ1097" s="754"/>
      <c r="BR1097" s="754"/>
      <c r="BS1097" s="754"/>
      <c r="BT1097" s="755"/>
      <c r="BU1097" s="754"/>
      <c r="BV1097" s="754"/>
      <c r="BW1097" s="754"/>
      <c r="BX1097" s="754"/>
      <c r="BY1097" s="754"/>
      <c r="BZ1097" s="754"/>
      <c r="CA1097" s="754"/>
      <c r="CB1097" s="754"/>
      <c r="CC1097" s="754"/>
      <c r="CD1097" s="754"/>
      <c r="CE1097" s="754"/>
      <c r="CF1097" s="754"/>
      <c r="CG1097" s="183"/>
    </row>
    <row r="1098" spans="1:85" x14ac:dyDescent="0.3">
      <c r="A1098" s="4" t="str">
        <f t="shared" ref="A1098:A1121" si="2415">A1031</f>
      </c>
      <c r="B1098" s="428"/>
      <c r="C1098" s="969"/>
      <c r="D1098" s="969"/>
      <c r="E1098" s="969"/>
      <c r="F1098" s="969"/>
      <c r="G1098" s="759"/>
      <c r="H1098" s="759"/>
      <c r="I1098" s="759"/>
      <c r="J1098" s="759"/>
      <c r="K1098" s="969"/>
      <c r="L1098" s="759"/>
      <c r="M1098" s="759"/>
      <c r="N1098" s="759"/>
      <c r="O1098" s="759"/>
      <c r="P1098" s="969"/>
      <c r="Q1098" s="759"/>
      <c r="R1098" s="759"/>
      <c r="S1098" s="759"/>
      <c r="T1098" s="759"/>
      <c r="U1098" s="969"/>
      <c r="V1098" s="759"/>
      <c r="W1098" s="759"/>
      <c r="X1098" s="759"/>
      <c r="Y1098" s="759"/>
      <c r="Z1098" s="969"/>
      <c r="AA1098" s="759"/>
      <c r="AB1098" s="759"/>
      <c r="AC1098" s="759"/>
      <c r="AD1098" s="759"/>
      <c r="AE1098" s="969"/>
      <c r="AF1098" s="759"/>
      <c r="AG1098" s="759"/>
      <c r="AH1098" s="759"/>
      <c r="AI1098" s="759"/>
      <c r="AJ1098" s="969"/>
      <c r="AK1098" s="759"/>
      <c r="AL1098" s="759"/>
      <c r="AM1098" s="759"/>
      <c r="AN1098" s="759"/>
      <c r="AO1098" s="969"/>
      <c r="AP1098" s="759"/>
      <c r="AQ1098" s="759"/>
      <c r="AR1098" s="759"/>
      <c r="AS1098" s="759"/>
      <c r="AT1098" s="969"/>
      <c r="AU1098" s="759"/>
      <c r="AV1098" s="759"/>
      <c r="AW1098" s="759"/>
      <c r="AX1098" s="759"/>
      <c r="AY1098" s="969"/>
      <c r="AZ1098" s="759"/>
      <c r="BA1098" s="759"/>
      <c r="BB1098" s="759"/>
      <c r="BC1098" s="759"/>
      <c r="BD1098" s="969"/>
      <c r="BE1098" s="759"/>
      <c r="BF1098" s="759"/>
      <c r="BG1098" s="759"/>
      <c r="BH1098" s="759"/>
      <c r="BI1098" s="969"/>
      <c r="BJ1098" s="759"/>
      <c r="BK1098" s="759"/>
      <c r="BL1098" s="759"/>
      <c r="BM1098" s="759"/>
      <c r="BN1098" s="969"/>
      <c r="BO1098" s="759"/>
      <c r="BP1098" s="759"/>
      <c r="BQ1098" s="759"/>
      <c r="BR1098" s="759"/>
      <c r="BS1098" s="969"/>
      <c r="BT1098" s="760"/>
      <c r="BU1098" s="759"/>
      <c r="BV1098" s="759"/>
      <c r="BW1098" s="759"/>
      <c r="BX1098" s="969"/>
      <c r="BY1098" s="759"/>
      <c r="BZ1098" s="759"/>
      <c r="CA1098" s="759"/>
      <c r="CB1098" s="759"/>
      <c r="CC1098" s="969"/>
      <c r="CD1098" s="969"/>
      <c r="CE1098" s="969"/>
      <c r="CF1098" s="969"/>
      <c r="CG1098" s="183"/>
    </row>
    <row r="1099" spans="1:85" x14ac:dyDescent="0.3">
      <c r="A1099" s="182" t="str">
        <f t="shared" si="2415"/>
      </c>
      <c r="B1099" s="414"/>
      <c r="C1099" s="964">
        <f t="shared" ref="C1099:G1113" si="2416">C1032</f>
      </c>
      <c r="D1099" s="964">
        <f t="shared" si="2416"/>
      </c>
      <c r="E1099" s="964">
        <f t="shared" si="2416"/>
      </c>
      <c r="F1099" s="964">
        <f t="shared" si="2416"/>
      </c>
      <c r="G1099" s="459">
        <f t="shared" si="2416"/>
      </c>
      <c r="H1099" s="459">
        <f t="shared" ref="H1099:J1113" si="2417">H1032-G1032</f>
      </c>
      <c r="I1099" s="459">
        <f t="shared" si="2417"/>
      </c>
      <c r="J1099" s="459">
        <f t="shared" si="2417"/>
      </c>
      <c r="K1099" s="964">
        <f t="shared" ref="K1099:L1113" si="2418">K1032</f>
      </c>
      <c r="L1099" s="459">
        <f t="shared" si="2418"/>
      </c>
      <c r="M1099" s="459">
        <f t="shared" ref="M1099:O1113" si="2419">M1032-L1032</f>
      </c>
      <c r="N1099" s="459">
        <f t="shared" si="2419"/>
      </c>
      <c r="O1099" s="459">
        <f t="shared" si="2419"/>
      </c>
      <c r="P1099" s="964">
        <f t="shared" ref="P1099:Q1113" si="2420">P1032</f>
      </c>
      <c r="Q1099" s="459">
        <f t="shared" si="2420"/>
      </c>
      <c r="R1099" s="459">
        <f t="shared" ref="R1099:T1113" si="2421">R1032-Q1032</f>
      </c>
      <c r="S1099" s="459">
        <f t="shared" si="2421"/>
      </c>
      <c r="T1099" s="459">
        <f t="shared" si="2421"/>
      </c>
      <c r="U1099" s="964">
        <f t="shared" ref="U1099:V1113" si="2422">U1032</f>
      </c>
      <c r="V1099" s="459">
        <f t="shared" si="2422"/>
      </c>
      <c r="W1099" s="459">
        <f t="shared" ref="W1099:Y1113" si="2423">W1032-V1032</f>
      </c>
      <c r="X1099" s="459">
        <f t="shared" si="2423"/>
      </c>
      <c r="Y1099" s="459">
        <f t="shared" si="2423"/>
      </c>
      <c r="Z1099" s="964">
        <f t="shared" ref="Z1099:AA1113" si="2424">Z1032</f>
      </c>
      <c r="AA1099" s="459">
        <f t="shared" si="2424"/>
      </c>
      <c r="AB1099" s="459">
        <f t="shared" ref="AB1099:AD1113" si="2425">AB1032-AA1032</f>
      </c>
      <c r="AC1099" s="459">
        <f t="shared" si="2425"/>
      </c>
      <c r="AD1099" s="459">
        <f t="shared" si="2425"/>
      </c>
      <c r="AE1099" s="964">
        <f t="shared" ref="AE1099:AF1113" si="2426">AE1032</f>
      </c>
      <c r="AF1099" s="459">
        <f t="shared" si="2426"/>
      </c>
      <c r="AG1099" s="459">
        <f t="shared" ref="AG1099:AI1113" si="2427">AG1032-AF1032</f>
      </c>
      <c r="AH1099" s="459">
        <f t="shared" si="2427"/>
      </c>
      <c r="AI1099" s="459">
        <f t="shared" si="2427"/>
      </c>
      <c r="AJ1099" s="964">
        <f t="shared" ref="AJ1099:AK1113" si="2428">AJ1032</f>
      </c>
      <c r="AK1099" s="459">
        <f t="shared" si="2428"/>
      </c>
      <c r="AL1099" s="459">
        <f t="shared" ref="AL1099:AN1113" si="2429">AL1032-AK1032</f>
      </c>
      <c r="AM1099" s="459">
        <f t="shared" si="2429"/>
      </c>
      <c r="AN1099" s="459">
        <f t="shared" si="2429"/>
      </c>
      <c r="AO1099" s="964">
        <f t="shared" ref="AO1099:AP1113" si="2430">AO1032</f>
      </c>
      <c r="AP1099" s="459">
        <f t="shared" si="2430"/>
      </c>
      <c r="AQ1099" s="459">
        <f t="shared" ref="AQ1099:AS1113" si="2431">AQ1032-AP1032</f>
      </c>
      <c r="AR1099" s="459">
        <f t="shared" si="2431"/>
      </c>
      <c r="AS1099" s="459">
        <f t="shared" si="2431"/>
      </c>
      <c r="AT1099" s="964">
        <f t="shared" ref="AT1099:AU1113" si="2432">AT1032</f>
      </c>
      <c r="AU1099" s="459">
        <f t="shared" si="2432"/>
      </c>
      <c r="AV1099" s="459">
        <f t="shared" ref="AV1099:AX1113" si="2433">AV1032-AU1032</f>
      </c>
      <c r="AW1099" s="459">
        <f t="shared" si="2433"/>
      </c>
      <c r="AX1099" s="459">
        <f t="shared" si="2433"/>
      </c>
      <c r="AY1099" s="964">
        <f t="shared" ref="AY1099:AZ1113" si="2434">AY1032</f>
      </c>
      <c r="AZ1099" s="459">
        <f t="shared" si="2434"/>
      </c>
      <c r="BA1099" s="459">
        <f t="shared" ref="BA1099:BC1113" si="2435">BA1032-AZ1032</f>
      </c>
      <c r="BB1099" s="459">
        <f t="shared" si="2435"/>
      </c>
      <c r="BC1099" s="459">
        <f t="shared" si="2435"/>
      </c>
      <c r="BD1099" s="964">
        <f t="shared" ref="BD1099:BE1113" si="2436">BD1032</f>
      </c>
      <c r="BE1099" s="459">
        <f t="shared" si="2436"/>
      </c>
      <c r="BF1099" s="459">
        <f t="shared" ref="BF1099:BH1113" si="2437">BF1032-BE1032</f>
      </c>
      <c r="BG1099" s="459">
        <f t="shared" si="2437"/>
      </c>
      <c r="BH1099" s="459">
        <f t="shared" si="2437"/>
      </c>
      <c r="BI1099" s="964">
        <f t="shared" ref="BI1099:BJ1113" si="2438">BI1032</f>
      </c>
      <c r="BJ1099" s="459">
        <f t="shared" si="2438"/>
      </c>
      <c r="BK1099" s="459">
        <f t="shared" ref="BK1099:BM1113" si="2439">BK1032-BJ1032</f>
      </c>
      <c r="BL1099" s="459">
        <f t="shared" si="2439"/>
      </c>
      <c r="BM1099" s="459">
        <f t="shared" si="2439"/>
      </c>
      <c r="BN1099" s="964">
        <f t="shared" ref="BN1099:BO1113" si="2440">BN1032</f>
      </c>
      <c r="BO1099" s="459">
        <f t="shared" si="2440"/>
      </c>
      <c r="BP1099" s="459">
        <f t="shared" ref="BP1099:BP1113" si="2441">BP1032-BO1032</f>
      </c>
      <c r="BQ1099" s="459">
        <f t="shared" ref="BQ1099:BQ1113" si="2442">BQ1032-BP1032</f>
      </c>
      <c r="BR1099" s="459">
        <f t="shared" ref="BR1099:BR1113" si="2443">BR1032-BQ1032</f>
      </c>
      <c r="BS1099" s="964">
        <f t="shared" ref="BS1099:BS1113" si="2444">BS1032</f>
      </c>
      <c r="BT1099" s="795">
        <f t="shared" ref="BT1099:BT1113" si="2445">BT1032</f>
      </c>
      <c r="BU1099" s="757">
        <f>BU491</f>
      </c>
      <c r="BV1099" s="757">
        <f>BV491</f>
      </c>
      <c r="BW1099" s="757">
        <f>BW491</f>
      </c>
      <c r="BX1099" s="962">
        <f t="shared" ref="BX1099:BX1104" si="2446">SUM(BT1099,BU1099,BV1099,BW1099)</f>
      </c>
      <c r="BY1099" s="757">
        <f>BY491</f>
      </c>
      <c r="BZ1099" s="757">
        <f>BZ491</f>
      </c>
      <c r="CA1099" s="757">
        <f>CA491</f>
      </c>
      <c r="CB1099" s="757">
        <f>CB491</f>
      </c>
      <c r="CC1099" s="962">
        <f t="shared" ref="CC1099:CC1104" si="2447">SUM(BY1099,BZ1099,CA1099,CB1099)</f>
      </c>
      <c r="CD1099" s="962">
        <f>CD491</f>
      </c>
      <c r="CE1099" s="962">
        <f>CE491</f>
      </c>
      <c r="CF1099" s="962">
        <f>CF491</f>
      </c>
      <c r="CG1099" s="459"/>
    </row>
    <row r="1100" spans="1:85" x14ac:dyDescent="0.3">
      <c r="A1100" s="182" t="str">
        <f t="shared" si="2415"/>
      </c>
      <c r="B1100" s="414"/>
      <c r="C1100" s="964">
        <f t="shared" si="2416"/>
      </c>
      <c r="D1100" s="964">
        <f t="shared" si="2416"/>
      </c>
      <c r="E1100" s="964">
        <f t="shared" si="2416"/>
      </c>
      <c r="F1100" s="964">
        <f t="shared" si="2416"/>
      </c>
      <c r="G1100" s="459">
        <f t="shared" si="2416"/>
      </c>
      <c r="H1100" s="459">
        <f t="shared" si="2417"/>
      </c>
      <c r="I1100" s="459">
        <f t="shared" si="2417"/>
      </c>
      <c r="J1100" s="459">
        <f t="shared" si="2417"/>
      </c>
      <c r="K1100" s="964">
        <f t="shared" si="2418"/>
      </c>
      <c r="L1100" s="459">
        <f t="shared" si="2418"/>
      </c>
      <c r="M1100" s="459">
        <f t="shared" si="2419"/>
      </c>
      <c r="N1100" s="459">
        <f t="shared" si="2419"/>
      </c>
      <c r="O1100" s="459">
        <f t="shared" si="2419"/>
      </c>
      <c r="P1100" s="964">
        <f t="shared" si="2420"/>
      </c>
      <c r="Q1100" s="459">
        <f t="shared" si="2420"/>
      </c>
      <c r="R1100" s="459">
        <f t="shared" si="2421"/>
      </c>
      <c r="S1100" s="459">
        <f t="shared" si="2421"/>
      </c>
      <c r="T1100" s="459">
        <f t="shared" si="2421"/>
      </c>
      <c r="U1100" s="964">
        <f t="shared" si="2422"/>
      </c>
      <c r="V1100" s="459">
        <f t="shared" si="2422"/>
      </c>
      <c r="W1100" s="459">
        <f t="shared" si="2423"/>
      </c>
      <c r="X1100" s="459">
        <f t="shared" si="2423"/>
      </c>
      <c r="Y1100" s="459">
        <f t="shared" si="2423"/>
      </c>
      <c r="Z1100" s="964">
        <f t="shared" si="2424"/>
      </c>
      <c r="AA1100" s="459">
        <f t="shared" si="2424"/>
      </c>
      <c r="AB1100" s="459">
        <f t="shared" si="2425"/>
      </c>
      <c r="AC1100" s="459">
        <f t="shared" si="2425"/>
      </c>
      <c r="AD1100" s="459">
        <f t="shared" si="2425"/>
      </c>
      <c r="AE1100" s="964">
        <f t="shared" si="2426"/>
      </c>
      <c r="AF1100" s="459">
        <f t="shared" si="2426"/>
      </c>
      <c r="AG1100" s="459">
        <f t="shared" si="2427"/>
      </c>
      <c r="AH1100" s="459">
        <f t="shared" si="2427"/>
      </c>
      <c r="AI1100" s="459">
        <f t="shared" si="2427"/>
      </c>
      <c r="AJ1100" s="964">
        <f t="shared" si="2428"/>
      </c>
      <c r="AK1100" s="459">
        <f t="shared" si="2428"/>
      </c>
      <c r="AL1100" s="459">
        <f t="shared" si="2429"/>
      </c>
      <c r="AM1100" s="459">
        <f t="shared" si="2429"/>
      </c>
      <c r="AN1100" s="459">
        <f t="shared" si="2429"/>
      </c>
      <c r="AO1100" s="964">
        <f t="shared" si="2430"/>
      </c>
      <c r="AP1100" s="459">
        <f t="shared" si="2430"/>
      </c>
      <c r="AQ1100" s="459">
        <f t="shared" si="2431"/>
      </c>
      <c r="AR1100" s="459">
        <f t="shared" si="2431"/>
      </c>
      <c r="AS1100" s="459">
        <f t="shared" si="2431"/>
      </c>
      <c r="AT1100" s="964">
        <f t="shared" si="2432"/>
      </c>
      <c r="AU1100" s="459">
        <f t="shared" si="2432"/>
      </c>
      <c r="AV1100" s="459">
        <f t="shared" si="2433"/>
      </c>
      <c r="AW1100" s="459">
        <f t="shared" si="2433"/>
      </c>
      <c r="AX1100" s="459">
        <f t="shared" si="2433"/>
      </c>
      <c r="AY1100" s="964">
        <f t="shared" si="2434"/>
      </c>
      <c r="AZ1100" s="459">
        <f t="shared" si="2434"/>
      </c>
      <c r="BA1100" s="459">
        <f t="shared" si="2435"/>
      </c>
      <c r="BB1100" s="459">
        <f t="shared" si="2435"/>
      </c>
      <c r="BC1100" s="459">
        <f t="shared" si="2435"/>
      </c>
      <c r="BD1100" s="964">
        <f t="shared" si="2436"/>
      </c>
      <c r="BE1100" s="459">
        <f t="shared" si="2436"/>
      </c>
      <c r="BF1100" s="459">
        <f t="shared" si="2437"/>
      </c>
      <c r="BG1100" s="459">
        <f t="shared" si="2437"/>
      </c>
      <c r="BH1100" s="459">
        <f t="shared" si="2437"/>
      </c>
      <c r="BI1100" s="964">
        <f t="shared" si="2438"/>
      </c>
      <c r="BJ1100" s="459">
        <f t="shared" si="2438"/>
      </c>
      <c r="BK1100" s="459">
        <f t="shared" si="2439"/>
      </c>
      <c r="BL1100" s="459">
        <f t="shared" si="2439"/>
      </c>
      <c r="BM1100" s="459">
        <f t="shared" si="2439"/>
      </c>
      <c r="BN1100" s="964">
        <f t="shared" si="2440"/>
      </c>
      <c r="BO1100" s="459">
        <f t="shared" si="2440"/>
      </c>
      <c r="BP1100" s="459">
        <f t="shared" si="2441"/>
      </c>
      <c r="BQ1100" s="459">
        <f t="shared" si="2442"/>
      </c>
      <c r="BR1100" s="459">
        <f t="shared" si="2443"/>
      </c>
      <c r="BS1100" s="964">
        <f t="shared" si="2444"/>
      </c>
      <c r="BT1100" s="795">
        <f t="shared" si="2445"/>
      </c>
      <c r="BU1100" s="757">
        <f>-BU1175</f>
      </c>
      <c r="BV1100" s="757">
        <f>-BV1175</f>
      </c>
      <c r="BW1100" s="757">
        <f>-BW1175</f>
      </c>
      <c r="BX1100" s="962">
        <f t="shared" si="2446"/>
      </c>
      <c r="BY1100" s="757">
        <f>-BY1175</f>
      </c>
      <c r="BZ1100" s="757">
        <f>-BZ1175</f>
      </c>
      <c r="CA1100" s="757">
        <f>-CA1175</f>
      </c>
      <c r="CB1100" s="757">
        <f>-CB1175</f>
      </c>
      <c r="CC1100" s="962">
        <f t="shared" si="2447"/>
      </c>
      <c r="CD1100" s="962">
        <f>-CD1175</f>
      </c>
      <c r="CE1100" s="962">
        <f>-CE1175</f>
      </c>
      <c r="CF1100" s="962">
        <f>-CF1175</f>
      </c>
      <c r="CG1100" s="459"/>
    </row>
    <row r="1101" spans="1:85" x14ac:dyDescent="0.3">
      <c r="A1101" s="182" t="str">
        <f t="shared" si="2415"/>
      </c>
      <c r="B1101" s="414"/>
      <c r="C1101" s="964">
        <f t="shared" si="2416"/>
      </c>
      <c r="D1101" s="964">
        <f t="shared" si="2416"/>
      </c>
      <c r="E1101" s="964">
        <f t="shared" si="2416"/>
      </c>
      <c r="F1101" s="964">
        <f t="shared" si="2416"/>
      </c>
      <c r="G1101" s="459">
        <f t="shared" si="2416"/>
      </c>
      <c r="H1101" s="459">
        <f t="shared" si="2417"/>
      </c>
      <c r="I1101" s="459">
        <f t="shared" si="2417"/>
      </c>
      <c r="J1101" s="459">
        <f t="shared" si="2417"/>
      </c>
      <c r="K1101" s="964">
        <f t="shared" si="2418"/>
      </c>
      <c r="L1101" s="459">
        <f t="shared" si="2418"/>
      </c>
      <c r="M1101" s="459">
        <f t="shared" si="2419"/>
      </c>
      <c r="N1101" s="459">
        <f t="shared" si="2419"/>
      </c>
      <c r="O1101" s="459">
        <f t="shared" si="2419"/>
      </c>
      <c r="P1101" s="964">
        <f t="shared" si="2420"/>
      </c>
      <c r="Q1101" s="459">
        <f t="shared" si="2420"/>
      </c>
      <c r="R1101" s="459">
        <f t="shared" si="2421"/>
      </c>
      <c r="S1101" s="459">
        <f t="shared" si="2421"/>
      </c>
      <c r="T1101" s="459">
        <f t="shared" si="2421"/>
      </c>
      <c r="U1101" s="964">
        <f t="shared" si="2422"/>
      </c>
      <c r="V1101" s="459">
        <f t="shared" si="2422"/>
      </c>
      <c r="W1101" s="459">
        <f t="shared" si="2423"/>
      </c>
      <c r="X1101" s="459">
        <f t="shared" si="2423"/>
      </c>
      <c r="Y1101" s="459">
        <f t="shared" si="2423"/>
      </c>
      <c r="Z1101" s="964">
        <f t="shared" si="2424"/>
      </c>
      <c r="AA1101" s="459">
        <f t="shared" si="2424"/>
      </c>
      <c r="AB1101" s="459">
        <f t="shared" si="2425"/>
      </c>
      <c r="AC1101" s="459">
        <f t="shared" si="2425"/>
      </c>
      <c r="AD1101" s="459">
        <f t="shared" si="2425"/>
      </c>
      <c r="AE1101" s="964">
        <f t="shared" si="2426"/>
      </c>
      <c r="AF1101" s="459">
        <f t="shared" si="2426"/>
      </c>
      <c r="AG1101" s="459">
        <f t="shared" si="2427"/>
      </c>
      <c r="AH1101" s="459">
        <f t="shared" si="2427"/>
      </c>
      <c r="AI1101" s="459">
        <f t="shared" si="2427"/>
      </c>
      <c r="AJ1101" s="964">
        <f t="shared" si="2428"/>
      </c>
      <c r="AK1101" s="459">
        <f t="shared" si="2428"/>
      </c>
      <c r="AL1101" s="459">
        <f t="shared" si="2429"/>
      </c>
      <c r="AM1101" s="459">
        <f t="shared" si="2429"/>
      </c>
      <c r="AN1101" s="459">
        <f t="shared" si="2429"/>
      </c>
      <c r="AO1101" s="964">
        <f t="shared" si="2430"/>
      </c>
      <c r="AP1101" s="459">
        <f t="shared" si="2430"/>
      </c>
      <c r="AQ1101" s="459">
        <f t="shared" si="2431"/>
      </c>
      <c r="AR1101" s="459">
        <f t="shared" si="2431"/>
      </c>
      <c r="AS1101" s="459">
        <f t="shared" si="2431"/>
      </c>
      <c r="AT1101" s="964">
        <f t="shared" si="2432"/>
      </c>
      <c r="AU1101" s="459">
        <f t="shared" si="2432"/>
      </c>
      <c r="AV1101" s="459">
        <f t="shared" si="2433"/>
      </c>
      <c r="AW1101" s="459">
        <f t="shared" si="2433"/>
      </c>
      <c r="AX1101" s="459">
        <f t="shared" si="2433"/>
      </c>
      <c r="AY1101" s="964">
        <f t="shared" si="2434"/>
      </c>
      <c r="AZ1101" s="459">
        <f t="shared" si="2434"/>
      </c>
      <c r="BA1101" s="459">
        <f t="shared" si="2435"/>
      </c>
      <c r="BB1101" s="459">
        <f t="shared" si="2435"/>
      </c>
      <c r="BC1101" s="459">
        <f t="shared" si="2435"/>
      </c>
      <c r="BD1101" s="964">
        <f t="shared" si="2436"/>
      </c>
      <c r="BE1101" s="459">
        <f t="shared" si="2436"/>
      </c>
      <c r="BF1101" s="459">
        <f t="shared" si="2437"/>
      </c>
      <c r="BG1101" s="459">
        <f t="shared" si="2437"/>
      </c>
      <c r="BH1101" s="459">
        <f t="shared" si="2437"/>
      </c>
      <c r="BI1101" s="964">
        <f t="shared" si="2438"/>
      </c>
      <c r="BJ1101" s="459">
        <f t="shared" si="2438"/>
      </c>
      <c r="BK1101" s="459">
        <f t="shared" si="2439"/>
      </c>
      <c r="BL1101" s="459">
        <f t="shared" si="2439"/>
      </c>
      <c r="BM1101" s="459">
        <f t="shared" si="2439"/>
      </c>
      <c r="BN1101" s="964">
        <f t="shared" si="2440"/>
      </c>
      <c r="BO1101" s="459">
        <f t="shared" si="2440"/>
      </c>
      <c r="BP1101" s="459">
        <f t="shared" si="2441"/>
      </c>
      <c r="BQ1101" s="459">
        <f t="shared" si="2442"/>
      </c>
      <c r="BR1101" s="459">
        <f t="shared" si="2443"/>
      </c>
      <c r="BS1101" s="964">
        <f t="shared" si="2444"/>
      </c>
      <c r="BT1101" s="795">
        <f t="shared" si="2445"/>
      </c>
      <c r="BU1101" s="857">
        <v>100</v>
      </c>
      <c r="BV1101" s="857">
        <v>100</v>
      </c>
      <c r="BW1101" s="857">
        <v>100</v>
      </c>
      <c r="BX1101" s="962">
        <f t="shared" si="2446"/>
      </c>
      <c r="BY1101" s="857">
        <v>100</v>
      </c>
      <c r="BZ1101" s="857">
        <v>100</v>
      </c>
      <c r="CA1101" s="857">
        <v>100</v>
      </c>
      <c r="CB1101" s="857">
        <v>100</v>
      </c>
      <c r="CC1101" s="962">
        <f t="shared" si="2447"/>
      </c>
      <c r="CD1101" s="963">
        <v>400</v>
      </c>
      <c r="CE1101" s="963">
        <v>400</v>
      </c>
      <c r="CF1101" s="963">
        <v>400</v>
      </c>
      <c r="CG1101" s="459"/>
    </row>
    <row r="1102" spans="1:85" x14ac:dyDescent="0.3">
      <c r="A1102" s="182" t="str">
        <f t="shared" si="2415"/>
      </c>
      <c r="B1102" s="414"/>
      <c r="C1102" s="964">
        <f t="shared" si="2416"/>
      </c>
      <c r="D1102" s="964">
        <f t="shared" si="2416"/>
      </c>
      <c r="E1102" s="964">
        <f t="shared" si="2416"/>
      </c>
      <c r="F1102" s="964">
        <f t="shared" si="2416"/>
      </c>
      <c r="G1102" s="459">
        <f t="shared" si="2416"/>
      </c>
      <c r="H1102" s="459">
        <f t="shared" si="2417"/>
      </c>
      <c r="I1102" s="459">
        <f t="shared" si="2417"/>
      </c>
      <c r="J1102" s="459">
        <f t="shared" si="2417"/>
      </c>
      <c r="K1102" s="964">
        <f t="shared" si="2418"/>
      </c>
      <c r="L1102" s="459">
        <f t="shared" si="2418"/>
      </c>
      <c r="M1102" s="459">
        <f t="shared" si="2419"/>
      </c>
      <c r="N1102" s="459">
        <f t="shared" si="2419"/>
      </c>
      <c r="O1102" s="459">
        <f t="shared" si="2419"/>
      </c>
      <c r="P1102" s="964">
        <f t="shared" si="2420"/>
      </c>
      <c r="Q1102" s="459">
        <f t="shared" si="2420"/>
      </c>
      <c r="R1102" s="459">
        <f t="shared" si="2421"/>
      </c>
      <c r="S1102" s="459">
        <f t="shared" si="2421"/>
      </c>
      <c r="T1102" s="459">
        <f t="shared" si="2421"/>
      </c>
      <c r="U1102" s="964">
        <f t="shared" si="2422"/>
      </c>
      <c r="V1102" s="459">
        <f t="shared" si="2422"/>
      </c>
      <c r="W1102" s="459">
        <f t="shared" si="2423"/>
      </c>
      <c r="X1102" s="459">
        <f t="shared" si="2423"/>
      </c>
      <c r="Y1102" s="459">
        <f t="shared" si="2423"/>
      </c>
      <c r="Z1102" s="964">
        <f t="shared" si="2424"/>
      </c>
      <c r="AA1102" s="459">
        <f t="shared" si="2424"/>
      </c>
      <c r="AB1102" s="459">
        <f t="shared" si="2425"/>
      </c>
      <c r="AC1102" s="459">
        <f t="shared" si="2425"/>
      </c>
      <c r="AD1102" s="459">
        <f t="shared" si="2425"/>
      </c>
      <c r="AE1102" s="964">
        <f t="shared" si="2426"/>
      </c>
      <c r="AF1102" s="459">
        <f t="shared" si="2426"/>
      </c>
      <c r="AG1102" s="459">
        <f t="shared" si="2427"/>
      </c>
      <c r="AH1102" s="459">
        <f t="shared" si="2427"/>
      </c>
      <c r="AI1102" s="459">
        <f t="shared" si="2427"/>
      </c>
      <c r="AJ1102" s="964">
        <f t="shared" si="2428"/>
      </c>
      <c r="AK1102" s="459">
        <f t="shared" si="2428"/>
      </c>
      <c r="AL1102" s="459">
        <f t="shared" si="2429"/>
      </c>
      <c r="AM1102" s="459">
        <f t="shared" si="2429"/>
      </c>
      <c r="AN1102" s="459">
        <f t="shared" si="2429"/>
      </c>
      <c r="AO1102" s="964">
        <f t="shared" si="2430"/>
      </c>
      <c r="AP1102" s="459">
        <f t="shared" si="2430"/>
      </c>
      <c r="AQ1102" s="459">
        <f t="shared" si="2431"/>
      </c>
      <c r="AR1102" s="459">
        <f t="shared" si="2431"/>
      </c>
      <c r="AS1102" s="459">
        <f t="shared" si="2431"/>
      </c>
      <c r="AT1102" s="964">
        <f t="shared" si="2432"/>
      </c>
      <c r="AU1102" s="459">
        <f t="shared" si="2432"/>
      </c>
      <c r="AV1102" s="459">
        <f t="shared" si="2433"/>
      </c>
      <c r="AW1102" s="459">
        <f t="shared" si="2433"/>
      </c>
      <c r="AX1102" s="459">
        <f t="shared" si="2433"/>
      </c>
      <c r="AY1102" s="964">
        <f t="shared" si="2434"/>
      </c>
      <c r="AZ1102" s="459">
        <f t="shared" si="2434"/>
      </c>
      <c r="BA1102" s="459">
        <f t="shared" si="2435"/>
      </c>
      <c r="BB1102" s="459">
        <f t="shared" si="2435"/>
      </c>
      <c r="BC1102" s="459">
        <f t="shared" si="2435"/>
      </c>
      <c r="BD1102" s="964">
        <f t="shared" si="2436"/>
      </c>
      <c r="BE1102" s="459">
        <f t="shared" si="2436"/>
      </c>
      <c r="BF1102" s="459">
        <f t="shared" si="2437"/>
      </c>
      <c r="BG1102" s="459">
        <f t="shared" si="2437"/>
      </c>
      <c r="BH1102" s="459">
        <f t="shared" si="2437"/>
      </c>
      <c r="BI1102" s="964">
        <f t="shared" si="2438"/>
      </c>
      <c r="BJ1102" s="459">
        <f t="shared" si="2438"/>
      </c>
      <c r="BK1102" s="459">
        <f t="shared" si="2439"/>
      </c>
      <c r="BL1102" s="459">
        <f t="shared" si="2439"/>
      </c>
      <c r="BM1102" s="459">
        <f t="shared" si="2439"/>
      </c>
      <c r="BN1102" s="964">
        <f t="shared" si="2440"/>
      </c>
      <c r="BO1102" s="459">
        <f t="shared" si="2440"/>
      </c>
      <c r="BP1102" s="459">
        <f t="shared" si="2441"/>
      </c>
      <c r="BQ1102" s="459">
        <f t="shared" si="2442"/>
      </c>
      <c r="BR1102" s="459">
        <f t="shared" si="2443"/>
      </c>
      <c r="BS1102" s="964">
        <f t="shared" si="2444"/>
      </c>
      <c r="BT1102" s="795">
        <f t="shared" si="2445"/>
      </c>
      <c r="BU1102" s="757">
        <f>-BU246</f>
      </c>
      <c r="BV1102" s="757">
        <f>-BV246</f>
      </c>
      <c r="BW1102" s="757">
        <f>-BW246</f>
      </c>
      <c r="BX1102" s="962">
        <f t="shared" si="2446"/>
      </c>
      <c r="BY1102" s="757">
        <f>-BY246</f>
      </c>
      <c r="BZ1102" s="757">
        <f>-BZ246</f>
      </c>
      <c r="CA1102" s="757">
        <f>-CA246</f>
      </c>
      <c r="CB1102" s="757">
        <f>-CB246</f>
      </c>
      <c r="CC1102" s="962">
        <f t="shared" si="2447"/>
      </c>
      <c r="CD1102" s="962">
        <f>-CD246</f>
      </c>
      <c r="CE1102" s="962">
        <f>-CE246</f>
      </c>
      <c r="CF1102" s="962">
        <f>-CF246</f>
      </c>
      <c r="CG1102" s="459"/>
    </row>
    <row r="1103" spans="1:85" x14ac:dyDescent="0.3">
      <c r="A1103" s="182" t="str">
        <f t="shared" si="2415"/>
      </c>
      <c r="B1103" s="414"/>
      <c r="C1103" s="964">
        <f t="shared" si="2416"/>
      </c>
      <c r="D1103" s="964">
        <f t="shared" si="2416"/>
      </c>
      <c r="E1103" s="964">
        <f t="shared" si="2416"/>
      </c>
      <c r="F1103" s="964">
        <f t="shared" si="2416"/>
      </c>
      <c r="G1103" s="459">
        <f t="shared" si="2416"/>
      </c>
      <c r="H1103" s="459">
        <f t="shared" si="2417"/>
      </c>
      <c r="I1103" s="459">
        <f t="shared" si="2417"/>
      </c>
      <c r="J1103" s="459">
        <f t="shared" si="2417"/>
      </c>
      <c r="K1103" s="964">
        <f t="shared" si="2418"/>
      </c>
      <c r="L1103" s="459">
        <f t="shared" si="2418"/>
      </c>
      <c r="M1103" s="459">
        <f t="shared" si="2419"/>
      </c>
      <c r="N1103" s="459">
        <f t="shared" si="2419"/>
      </c>
      <c r="O1103" s="459">
        <f t="shared" si="2419"/>
      </c>
      <c r="P1103" s="964">
        <f t="shared" si="2420"/>
      </c>
      <c r="Q1103" s="459">
        <f t="shared" si="2420"/>
      </c>
      <c r="R1103" s="459">
        <f t="shared" si="2421"/>
      </c>
      <c r="S1103" s="459">
        <f t="shared" si="2421"/>
      </c>
      <c r="T1103" s="459">
        <f t="shared" si="2421"/>
      </c>
      <c r="U1103" s="964">
        <f t="shared" si="2422"/>
      </c>
      <c r="V1103" s="459">
        <f t="shared" si="2422"/>
      </c>
      <c r="W1103" s="459">
        <f t="shared" si="2423"/>
      </c>
      <c r="X1103" s="459">
        <f t="shared" si="2423"/>
      </c>
      <c r="Y1103" s="459">
        <f t="shared" si="2423"/>
      </c>
      <c r="Z1103" s="964">
        <f t="shared" si="2424"/>
      </c>
      <c r="AA1103" s="459">
        <f t="shared" si="2424"/>
      </c>
      <c r="AB1103" s="459">
        <f t="shared" si="2425"/>
      </c>
      <c r="AC1103" s="459">
        <f t="shared" si="2425"/>
      </c>
      <c r="AD1103" s="459">
        <f t="shared" si="2425"/>
      </c>
      <c r="AE1103" s="964">
        <f t="shared" si="2426"/>
      </c>
      <c r="AF1103" s="459">
        <f t="shared" si="2426"/>
      </c>
      <c r="AG1103" s="459">
        <f t="shared" si="2427"/>
      </c>
      <c r="AH1103" s="459">
        <f t="shared" si="2427"/>
      </c>
      <c r="AI1103" s="459">
        <f t="shared" si="2427"/>
      </c>
      <c r="AJ1103" s="964">
        <f t="shared" si="2428"/>
      </c>
      <c r="AK1103" s="459">
        <f t="shared" si="2428"/>
      </c>
      <c r="AL1103" s="459">
        <f t="shared" si="2429"/>
      </c>
      <c r="AM1103" s="459">
        <f t="shared" si="2429"/>
      </c>
      <c r="AN1103" s="459">
        <f t="shared" si="2429"/>
      </c>
      <c r="AO1103" s="964">
        <f t="shared" si="2430"/>
      </c>
      <c r="AP1103" s="459">
        <f t="shared" si="2430"/>
      </c>
      <c r="AQ1103" s="459">
        <f t="shared" si="2431"/>
      </c>
      <c r="AR1103" s="459">
        <f t="shared" si="2431"/>
      </c>
      <c r="AS1103" s="459">
        <f t="shared" si="2431"/>
      </c>
      <c r="AT1103" s="964">
        <f t="shared" si="2432"/>
      </c>
      <c r="AU1103" s="459">
        <f t="shared" si="2432"/>
      </c>
      <c r="AV1103" s="459">
        <f t="shared" si="2433"/>
      </c>
      <c r="AW1103" s="459">
        <f t="shared" si="2433"/>
      </c>
      <c r="AX1103" s="459">
        <f t="shared" si="2433"/>
      </c>
      <c r="AY1103" s="964">
        <f t="shared" si="2434"/>
      </c>
      <c r="AZ1103" s="459">
        <f t="shared" si="2434"/>
      </c>
      <c r="BA1103" s="459">
        <f t="shared" si="2435"/>
      </c>
      <c r="BB1103" s="459">
        <f t="shared" si="2435"/>
      </c>
      <c r="BC1103" s="459">
        <f t="shared" si="2435"/>
      </c>
      <c r="BD1103" s="964">
        <f t="shared" si="2436"/>
      </c>
      <c r="BE1103" s="459">
        <f t="shared" si="2436"/>
      </c>
      <c r="BF1103" s="459">
        <f t="shared" si="2437"/>
      </c>
      <c r="BG1103" s="459">
        <f t="shared" si="2437"/>
      </c>
      <c r="BH1103" s="459">
        <f t="shared" si="2437"/>
      </c>
      <c r="BI1103" s="964">
        <f t="shared" si="2438"/>
      </c>
      <c r="BJ1103" s="459">
        <f t="shared" si="2438"/>
      </c>
      <c r="BK1103" s="459">
        <f t="shared" si="2439"/>
      </c>
      <c r="BL1103" s="459">
        <f t="shared" si="2439"/>
      </c>
      <c r="BM1103" s="459">
        <f t="shared" si="2439"/>
      </c>
      <c r="BN1103" s="964">
        <f t="shared" si="2440"/>
      </c>
      <c r="BO1103" s="459">
        <f t="shared" si="2440"/>
      </c>
      <c r="BP1103" s="459">
        <f t="shared" si="2441"/>
      </c>
      <c r="BQ1103" s="459">
        <f t="shared" si="2442"/>
      </c>
      <c r="BR1103" s="459">
        <f t="shared" si="2443"/>
      </c>
      <c r="BS1103" s="964">
        <f t="shared" si="2444"/>
      </c>
      <c r="BT1103" s="795">
        <f t="shared" si="2445"/>
      </c>
      <c r="BU1103" s="757"/>
      <c r="BV1103" s="757"/>
      <c r="BW1103" s="757"/>
      <c r="BX1103" s="962">
        <f t="shared" si="2446"/>
      </c>
      <c r="BY1103" s="757"/>
      <c r="BZ1103" s="757"/>
      <c r="CA1103" s="757"/>
      <c r="CB1103" s="757"/>
      <c r="CC1103" s="962">
        <f t="shared" si="2447"/>
      </c>
      <c r="CD1103" s="962"/>
      <c r="CE1103" s="962"/>
      <c r="CF1103" s="962"/>
      <c r="CG1103" s="459"/>
    </row>
    <row r="1104" spans="1:85" x14ac:dyDescent="0.3">
      <c r="A1104" s="182" t="str">
        <f t="shared" si="2415"/>
      </c>
      <c r="B1104" s="414"/>
      <c r="C1104" s="964">
        <f t="shared" si="2416"/>
      </c>
      <c r="D1104" s="964">
        <f t="shared" si="2416"/>
      </c>
      <c r="E1104" s="964">
        <f t="shared" si="2416"/>
      </c>
      <c r="F1104" s="964">
        <f t="shared" si="2416"/>
      </c>
      <c r="G1104" s="459">
        <f t="shared" si="2416"/>
      </c>
      <c r="H1104" s="459">
        <f t="shared" si="2417"/>
      </c>
      <c r="I1104" s="459">
        <f t="shared" si="2417"/>
      </c>
      <c r="J1104" s="459">
        <f t="shared" si="2417"/>
      </c>
      <c r="K1104" s="964">
        <f t="shared" si="2418"/>
      </c>
      <c r="L1104" s="459">
        <f t="shared" si="2418"/>
      </c>
      <c r="M1104" s="459">
        <f t="shared" si="2419"/>
      </c>
      <c r="N1104" s="459">
        <f t="shared" si="2419"/>
      </c>
      <c r="O1104" s="459">
        <f t="shared" si="2419"/>
      </c>
      <c r="P1104" s="964">
        <f t="shared" si="2420"/>
      </c>
      <c r="Q1104" s="459">
        <f t="shared" si="2420"/>
      </c>
      <c r="R1104" s="459">
        <f t="shared" si="2421"/>
      </c>
      <c r="S1104" s="459">
        <f t="shared" si="2421"/>
      </c>
      <c r="T1104" s="459">
        <f t="shared" si="2421"/>
      </c>
      <c r="U1104" s="964">
        <f t="shared" si="2422"/>
      </c>
      <c r="V1104" s="459">
        <f t="shared" si="2422"/>
      </c>
      <c r="W1104" s="459">
        <f t="shared" si="2423"/>
      </c>
      <c r="X1104" s="459">
        <f t="shared" si="2423"/>
      </c>
      <c r="Y1104" s="459">
        <f t="shared" si="2423"/>
      </c>
      <c r="Z1104" s="964">
        <f t="shared" si="2424"/>
      </c>
      <c r="AA1104" s="459">
        <f t="shared" si="2424"/>
      </c>
      <c r="AB1104" s="459">
        <f t="shared" si="2425"/>
      </c>
      <c r="AC1104" s="459">
        <f t="shared" si="2425"/>
      </c>
      <c r="AD1104" s="459">
        <f t="shared" si="2425"/>
      </c>
      <c r="AE1104" s="964">
        <f t="shared" si="2426"/>
      </c>
      <c r="AF1104" s="459">
        <f t="shared" si="2426"/>
      </c>
      <c r="AG1104" s="459">
        <f t="shared" si="2427"/>
      </c>
      <c r="AH1104" s="459">
        <f t="shared" si="2427"/>
      </c>
      <c r="AI1104" s="459">
        <f t="shared" si="2427"/>
      </c>
      <c r="AJ1104" s="964">
        <f t="shared" si="2428"/>
      </c>
      <c r="AK1104" s="459">
        <f t="shared" si="2428"/>
      </c>
      <c r="AL1104" s="459">
        <f t="shared" si="2429"/>
      </c>
      <c r="AM1104" s="459">
        <f t="shared" si="2429"/>
      </c>
      <c r="AN1104" s="459">
        <f t="shared" si="2429"/>
      </c>
      <c r="AO1104" s="964">
        <f t="shared" si="2430"/>
      </c>
      <c r="AP1104" s="459">
        <f t="shared" si="2430"/>
      </c>
      <c r="AQ1104" s="459">
        <f t="shared" si="2431"/>
      </c>
      <c r="AR1104" s="459">
        <f t="shared" si="2431"/>
      </c>
      <c r="AS1104" s="459">
        <f t="shared" si="2431"/>
      </c>
      <c r="AT1104" s="964">
        <f t="shared" si="2432"/>
      </c>
      <c r="AU1104" s="459">
        <f t="shared" si="2432"/>
      </c>
      <c r="AV1104" s="459">
        <f t="shared" si="2433"/>
      </c>
      <c r="AW1104" s="459">
        <f t="shared" si="2433"/>
      </c>
      <c r="AX1104" s="459">
        <f t="shared" si="2433"/>
      </c>
      <c r="AY1104" s="964">
        <f t="shared" si="2434"/>
      </c>
      <c r="AZ1104" s="459">
        <f t="shared" si="2434"/>
      </c>
      <c r="BA1104" s="459">
        <f t="shared" si="2435"/>
      </c>
      <c r="BB1104" s="459">
        <f t="shared" si="2435"/>
      </c>
      <c r="BC1104" s="459">
        <f t="shared" si="2435"/>
      </c>
      <c r="BD1104" s="964">
        <f t="shared" si="2436"/>
      </c>
      <c r="BE1104" s="459">
        <f t="shared" si="2436"/>
      </c>
      <c r="BF1104" s="459">
        <f t="shared" si="2437"/>
      </c>
      <c r="BG1104" s="459">
        <f t="shared" si="2437"/>
      </c>
      <c r="BH1104" s="459">
        <f t="shared" si="2437"/>
      </c>
      <c r="BI1104" s="964">
        <f t="shared" si="2438"/>
      </c>
      <c r="BJ1104" s="459">
        <f t="shared" si="2438"/>
      </c>
      <c r="BK1104" s="459">
        <f t="shared" si="2439"/>
      </c>
      <c r="BL1104" s="459">
        <f t="shared" si="2439"/>
      </c>
      <c r="BM1104" s="459">
        <f t="shared" si="2439"/>
      </c>
      <c r="BN1104" s="964">
        <f t="shared" si="2440"/>
      </c>
      <c r="BO1104" s="459">
        <f t="shared" si="2440"/>
      </c>
      <c r="BP1104" s="459">
        <f t="shared" si="2441"/>
      </c>
      <c r="BQ1104" s="459">
        <f t="shared" si="2442"/>
      </c>
      <c r="BR1104" s="459">
        <f t="shared" si="2443"/>
      </c>
      <c r="BS1104" s="964">
        <f t="shared" si="2444"/>
      </c>
      <c r="BT1104" s="795">
        <f t="shared" si="2445"/>
      </c>
      <c r="BU1104" s="757">
        <f>BU477</f>
      </c>
      <c r="BV1104" s="757">
        <f>BV477</f>
      </c>
      <c r="BW1104" s="757">
        <f>BW477</f>
      </c>
      <c r="BX1104" s="962">
        <f t="shared" si="2446"/>
      </c>
      <c r="BY1104" s="757">
        <f>BY477</f>
      </c>
      <c r="BZ1104" s="757">
        <f>BZ477</f>
      </c>
      <c r="CA1104" s="757">
        <f>CA477</f>
      </c>
      <c r="CB1104" s="757">
        <f>CB477</f>
      </c>
      <c r="CC1104" s="962">
        <f t="shared" si="2447"/>
      </c>
      <c r="CD1104" s="962">
        <f>CD477</f>
      </c>
      <c r="CE1104" s="962">
        <f>CE477</f>
      </c>
      <c r="CF1104" s="962">
        <f>CF477</f>
      </c>
      <c r="CG1104" s="459"/>
    </row>
    <row r="1105" spans="1:85" x14ac:dyDescent="0.3">
      <c r="A1105" s="182" t="str">
        <f t="shared" si="2415"/>
      </c>
      <c r="B1105" s="414"/>
      <c r="C1105" s="964">
        <f t="shared" si="2416"/>
      </c>
      <c r="D1105" s="964">
        <f t="shared" si="2416"/>
      </c>
      <c r="E1105" s="964">
        <f t="shared" si="2416"/>
      </c>
      <c r="F1105" s="964">
        <f t="shared" si="2416"/>
      </c>
      <c r="G1105" s="459">
        <f t="shared" si="2416"/>
      </c>
      <c r="H1105" s="459">
        <f t="shared" si="2417"/>
      </c>
      <c r="I1105" s="459">
        <f t="shared" si="2417"/>
      </c>
      <c r="J1105" s="459">
        <f t="shared" si="2417"/>
      </c>
      <c r="K1105" s="964">
        <f t="shared" si="2418"/>
      </c>
      <c r="L1105" s="459">
        <f t="shared" si="2418"/>
      </c>
      <c r="M1105" s="459">
        <f t="shared" si="2419"/>
      </c>
      <c r="N1105" s="459">
        <f t="shared" si="2419"/>
      </c>
      <c r="O1105" s="459">
        <f t="shared" si="2419"/>
      </c>
      <c r="P1105" s="964">
        <f t="shared" si="2420"/>
      </c>
      <c r="Q1105" s="459">
        <f t="shared" si="2420"/>
      </c>
      <c r="R1105" s="459">
        <f t="shared" si="2421"/>
      </c>
      <c r="S1105" s="459">
        <f t="shared" si="2421"/>
      </c>
      <c r="T1105" s="459">
        <f t="shared" si="2421"/>
      </c>
      <c r="U1105" s="964">
        <f t="shared" si="2422"/>
      </c>
      <c r="V1105" s="459">
        <f t="shared" si="2422"/>
      </c>
      <c r="W1105" s="459">
        <f t="shared" si="2423"/>
      </c>
      <c r="X1105" s="459">
        <f t="shared" si="2423"/>
      </c>
      <c r="Y1105" s="459">
        <f t="shared" si="2423"/>
      </c>
      <c r="Z1105" s="964">
        <f t="shared" si="2424"/>
      </c>
      <c r="AA1105" s="459">
        <f t="shared" si="2424"/>
      </c>
      <c r="AB1105" s="459">
        <f t="shared" si="2425"/>
      </c>
      <c r="AC1105" s="459">
        <f t="shared" si="2425"/>
      </c>
      <c r="AD1105" s="459">
        <f t="shared" si="2425"/>
      </c>
      <c r="AE1105" s="964">
        <f t="shared" si="2426"/>
      </c>
      <c r="AF1105" s="459">
        <f t="shared" si="2426"/>
      </c>
      <c r="AG1105" s="459">
        <f t="shared" si="2427"/>
      </c>
      <c r="AH1105" s="459">
        <f t="shared" si="2427"/>
      </c>
      <c r="AI1105" s="459">
        <f t="shared" si="2427"/>
      </c>
      <c r="AJ1105" s="964">
        <f t="shared" si="2428"/>
      </c>
      <c r="AK1105" s="459">
        <f t="shared" si="2428"/>
      </c>
      <c r="AL1105" s="459">
        <f t="shared" si="2429"/>
      </c>
      <c r="AM1105" s="459">
        <f t="shared" si="2429"/>
      </c>
      <c r="AN1105" s="459">
        <f t="shared" si="2429"/>
      </c>
      <c r="AO1105" s="964">
        <f t="shared" si="2430"/>
      </c>
      <c r="AP1105" s="459">
        <f t="shared" si="2430"/>
      </c>
      <c r="AQ1105" s="459">
        <f t="shared" si="2431"/>
      </c>
      <c r="AR1105" s="459">
        <f t="shared" si="2431"/>
      </c>
      <c r="AS1105" s="459">
        <f t="shared" si="2431"/>
      </c>
      <c r="AT1105" s="964">
        <f t="shared" si="2432"/>
      </c>
      <c r="AU1105" s="459">
        <f t="shared" si="2432"/>
      </c>
      <c r="AV1105" s="459">
        <f t="shared" si="2433"/>
      </c>
      <c r="AW1105" s="459">
        <f t="shared" si="2433"/>
      </c>
      <c r="AX1105" s="459">
        <f t="shared" si="2433"/>
      </c>
      <c r="AY1105" s="964">
        <f t="shared" si="2434"/>
      </c>
      <c r="AZ1105" s="459">
        <f t="shared" si="2434"/>
      </c>
      <c r="BA1105" s="459">
        <f t="shared" si="2435"/>
      </c>
      <c r="BB1105" s="459">
        <f t="shared" si="2435"/>
      </c>
      <c r="BC1105" s="459">
        <f t="shared" si="2435"/>
      </c>
      <c r="BD1105" s="964">
        <f t="shared" si="2436"/>
      </c>
      <c r="BE1105" s="459">
        <f t="shared" si="2436"/>
      </c>
      <c r="BF1105" s="459">
        <f t="shared" si="2437"/>
      </c>
      <c r="BG1105" s="459">
        <f t="shared" si="2437"/>
      </c>
      <c r="BH1105" s="459">
        <f t="shared" si="2437"/>
      </c>
      <c r="BI1105" s="964">
        <f t="shared" si="2438"/>
      </c>
      <c r="BJ1105" s="459">
        <f t="shared" si="2438"/>
      </c>
      <c r="BK1105" s="459">
        <f t="shared" si="2439"/>
      </c>
      <c r="BL1105" s="459">
        <f t="shared" si="2439"/>
      </c>
      <c r="BM1105" s="459">
        <f t="shared" si="2439"/>
      </c>
      <c r="BN1105" s="964">
        <f t="shared" si="2440"/>
      </c>
      <c r="BO1105" s="459">
        <f t="shared" si="2440"/>
      </c>
      <c r="BP1105" s="459">
        <f t="shared" si="2441"/>
      </c>
      <c r="BQ1105" s="459">
        <f t="shared" si="2442"/>
      </c>
      <c r="BR1105" s="459">
        <f t="shared" si="2443"/>
      </c>
      <c r="BS1105" s="964">
        <f t="shared" si="2444"/>
      </c>
      <c r="BT1105" s="795">
        <f t="shared" si="2445"/>
      </c>
      <c r="BU1105" s="757">
        <f t="shared" ref="BU1105:CF1105" si="2448">BU796</f>
      </c>
      <c r="BV1105" s="757">
        <f t="shared" si="2448"/>
      </c>
      <c r="BW1105" s="757">
        <f t="shared" si="2448"/>
      </c>
      <c r="BX1105" s="962">
        <f t="shared" si="2448"/>
      </c>
      <c r="BY1105" s="757">
        <f t="shared" si="2448"/>
      </c>
      <c r="BZ1105" s="757">
        <f t="shared" si="2448"/>
      </c>
      <c r="CA1105" s="757">
        <f t="shared" si="2448"/>
      </c>
      <c r="CB1105" s="757">
        <f t="shared" si="2448"/>
      </c>
      <c r="CC1105" s="962">
        <f t="shared" si="2448"/>
      </c>
      <c r="CD1105" s="962">
        <f t="shared" si="2448"/>
      </c>
      <c r="CE1105" s="962">
        <f t="shared" si="2448"/>
      </c>
      <c r="CF1105" s="962">
        <f t="shared" si="2448"/>
      </c>
      <c r="CG1105" s="459"/>
    </row>
    <row r="1106" spans="1:85" x14ac:dyDescent="0.3">
      <c r="A1106" s="182" t="str">
        <f t="shared" si="2415"/>
      </c>
      <c r="B1106" s="414"/>
      <c r="C1106" s="964">
        <f t="shared" si="2416"/>
      </c>
      <c r="D1106" s="964">
        <f t="shared" si="2416"/>
      </c>
      <c r="E1106" s="964">
        <f t="shared" si="2416"/>
      </c>
      <c r="F1106" s="964">
        <f t="shared" si="2416"/>
      </c>
      <c r="G1106" s="459">
        <f t="shared" si="2416"/>
      </c>
      <c r="H1106" s="459">
        <f t="shared" si="2417"/>
      </c>
      <c r="I1106" s="459">
        <f t="shared" si="2417"/>
      </c>
      <c r="J1106" s="459">
        <f t="shared" si="2417"/>
      </c>
      <c r="K1106" s="964">
        <f t="shared" si="2418"/>
      </c>
      <c r="L1106" s="459">
        <f t="shared" si="2418"/>
      </c>
      <c r="M1106" s="459">
        <f t="shared" si="2419"/>
      </c>
      <c r="N1106" s="459">
        <f t="shared" si="2419"/>
      </c>
      <c r="O1106" s="459">
        <f t="shared" si="2419"/>
      </c>
      <c r="P1106" s="964">
        <f t="shared" si="2420"/>
      </c>
      <c r="Q1106" s="459">
        <f t="shared" si="2420"/>
      </c>
      <c r="R1106" s="459">
        <f t="shared" si="2421"/>
      </c>
      <c r="S1106" s="459">
        <f t="shared" si="2421"/>
      </c>
      <c r="T1106" s="459">
        <f t="shared" si="2421"/>
      </c>
      <c r="U1106" s="964">
        <f t="shared" si="2422"/>
      </c>
      <c r="V1106" s="459">
        <f t="shared" si="2422"/>
      </c>
      <c r="W1106" s="459">
        <f t="shared" si="2423"/>
      </c>
      <c r="X1106" s="459">
        <f t="shared" si="2423"/>
      </c>
      <c r="Y1106" s="459">
        <f t="shared" si="2423"/>
      </c>
      <c r="Z1106" s="964">
        <f t="shared" si="2424"/>
      </c>
      <c r="AA1106" s="459">
        <f t="shared" si="2424"/>
      </c>
      <c r="AB1106" s="459">
        <f t="shared" si="2425"/>
      </c>
      <c r="AC1106" s="459">
        <f t="shared" si="2425"/>
      </c>
      <c r="AD1106" s="459">
        <f t="shared" si="2425"/>
      </c>
      <c r="AE1106" s="964">
        <f t="shared" si="2426"/>
      </c>
      <c r="AF1106" s="459">
        <f t="shared" si="2426"/>
      </c>
      <c r="AG1106" s="459">
        <f t="shared" si="2427"/>
      </c>
      <c r="AH1106" s="459">
        <f t="shared" si="2427"/>
      </c>
      <c r="AI1106" s="459">
        <f t="shared" si="2427"/>
      </c>
      <c r="AJ1106" s="964">
        <f t="shared" si="2428"/>
      </c>
      <c r="AK1106" s="459">
        <f t="shared" si="2428"/>
      </c>
      <c r="AL1106" s="459">
        <f t="shared" si="2429"/>
      </c>
      <c r="AM1106" s="459">
        <f t="shared" si="2429"/>
      </c>
      <c r="AN1106" s="459">
        <f t="shared" si="2429"/>
      </c>
      <c r="AO1106" s="964">
        <f t="shared" si="2430"/>
      </c>
      <c r="AP1106" s="459">
        <f t="shared" si="2430"/>
      </c>
      <c r="AQ1106" s="459">
        <f t="shared" si="2431"/>
      </c>
      <c r="AR1106" s="459">
        <f t="shared" si="2431"/>
      </c>
      <c r="AS1106" s="459">
        <f t="shared" si="2431"/>
      </c>
      <c r="AT1106" s="964">
        <f t="shared" si="2432"/>
      </c>
      <c r="AU1106" s="459">
        <f t="shared" si="2432"/>
      </c>
      <c r="AV1106" s="459">
        <f t="shared" si="2433"/>
      </c>
      <c r="AW1106" s="459">
        <f t="shared" si="2433"/>
      </c>
      <c r="AX1106" s="459">
        <f t="shared" si="2433"/>
      </c>
      <c r="AY1106" s="964">
        <f t="shared" si="2434"/>
      </c>
      <c r="AZ1106" s="459">
        <f t="shared" si="2434"/>
      </c>
      <c r="BA1106" s="459">
        <f t="shared" si="2435"/>
      </c>
      <c r="BB1106" s="459">
        <f t="shared" si="2435"/>
      </c>
      <c r="BC1106" s="459">
        <f t="shared" si="2435"/>
      </c>
      <c r="BD1106" s="964">
        <f t="shared" si="2436"/>
      </c>
      <c r="BE1106" s="459">
        <f t="shared" si="2436"/>
      </c>
      <c r="BF1106" s="459">
        <f t="shared" si="2437"/>
      </c>
      <c r="BG1106" s="459">
        <f t="shared" si="2437"/>
      </c>
      <c r="BH1106" s="459">
        <f t="shared" si="2437"/>
      </c>
      <c r="BI1106" s="964">
        <f t="shared" si="2438"/>
      </c>
      <c r="BJ1106" s="459">
        <f t="shared" si="2438"/>
      </c>
      <c r="BK1106" s="459">
        <f t="shared" si="2439"/>
      </c>
      <c r="BL1106" s="459">
        <f t="shared" si="2439"/>
      </c>
      <c r="BM1106" s="459">
        <f t="shared" si="2439"/>
      </c>
      <c r="BN1106" s="964">
        <f t="shared" si="2440"/>
      </c>
      <c r="BO1106" s="459">
        <f t="shared" si="2440"/>
      </c>
      <c r="BP1106" s="459">
        <f t="shared" si="2441"/>
      </c>
      <c r="BQ1106" s="459">
        <f t="shared" si="2442"/>
      </c>
      <c r="BR1106" s="459">
        <f t="shared" si="2443"/>
      </c>
      <c r="BS1106" s="964">
        <f t="shared" si="2444"/>
      </c>
      <c r="BT1106" s="795">
        <f t="shared" si="2445"/>
      </c>
      <c r="BU1106" s="757">
        <f>BU478</f>
      </c>
      <c r="BV1106" s="757">
        <f>BV478</f>
      </c>
      <c r="BW1106" s="757">
        <f>BW478</f>
      </c>
      <c r="BX1106" s="962">
        <f t="shared" ref="BX1106:BX1113" si="2449">SUM(BT1106,BU1106,BV1106,BW1106)</f>
      </c>
      <c r="BY1106" s="757">
        <f>BY478</f>
      </c>
      <c r="BZ1106" s="757">
        <f>BZ478</f>
      </c>
      <c r="CA1106" s="757">
        <f>CA478</f>
      </c>
      <c r="CB1106" s="757">
        <f>CB478</f>
      </c>
      <c r="CC1106" s="962">
        <f t="shared" ref="CC1106:CC1113" si="2450">SUM(BY1106,BZ1106,CA1106,CB1106)</f>
      </c>
      <c r="CD1106" s="962">
        <f>CD478</f>
      </c>
      <c r="CE1106" s="962">
        <f>CE478</f>
      </c>
      <c r="CF1106" s="962">
        <f>CF478</f>
      </c>
      <c r="CG1106" s="459"/>
    </row>
    <row r="1107" spans="1:85" x14ac:dyDescent="0.3">
      <c r="A1107" s="182" t="str">
        <f t="shared" si="2415"/>
      </c>
      <c r="B1107" s="414"/>
      <c r="C1107" s="964">
        <f t="shared" si="2416"/>
      </c>
      <c r="D1107" s="964">
        <f t="shared" si="2416"/>
      </c>
      <c r="E1107" s="964">
        <f t="shared" si="2416"/>
      </c>
      <c r="F1107" s="964">
        <f t="shared" si="2416"/>
      </c>
      <c r="G1107" s="459">
        <f t="shared" si="2416"/>
      </c>
      <c r="H1107" s="459">
        <f t="shared" si="2417"/>
      </c>
      <c r="I1107" s="459">
        <f t="shared" si="2417"/>
      </c>
      <c r="J1107" s="459">
        <f t="shared" si="2417"/>
      </c>
      <c r="K1107" s="964">
        <f t="shared" si="2418"/>
      </c>
      <c r="L1107" s="459">
        <f t="shared" si="2418"/>
      </c>
      <c r="M1107" s="459">
        <f t="shared" si="2419"/>
      </c>
      <c r="N1107" s="459">
        <f t="shared" si="2419"/>
      </c>
      <c r="O1107" s="459">
        <f t="shared" si="2419"/>
      </c>
      <c r="P1107" s="964">
        <f t="shared" si="2420"/>
      </c>
      <c r="Q1107" s="459">
        <f t="shared" si="2420"/>
      </c>
      <c r="R1107" s="459">
        <f t="shared" si="2421"/>
      </c>
      <c r="S1107" s="459">
        <f t="shared" si="2421"/>
      </c>
      <c r="T1107" s="459">
        <f t="shared" si="2421"/>
      </c>
      <c r="U1107" s="964">
        <f t="shared" si="2422"/>
      </c>
      <c r="V1107" s="459">
        <f t="shared" si="2422"/>
      </c>
      <c r="W1107" s="459">
        <f t="shared" si="2423"/>
      </c>
      <c r="X1107" s="459">
        <f t="shared" si="2423"/>
      </c>
      <c r="Y1107" s="459">
        <f t="shared" si="2423"/>
      </c>
      <c r="Z1107" s="964">
        <f t="shared" si="2424"/>
      </c>
      <c r="AA1107" s="459">
        <f t="shared" si="2424"/>
      </c>
      <c r="AB1107" s="459">
        <f t="shared" si="2425"/>
      </c>
      <c r="AC1107" s="459">
        <f t="shared" si="2425"/>
      </c>
      <c r="AD1107" s="459">
        <f t="shared" si="2425"/>
      </c>
      <c r="AE1107" s="964">
        <f t="shared" si="2426"/>
      </c>
      <c r="AF1107" s="459">
        <f t="shared" si="2426"/>
      </c>
      <c r="AG1107" s="459">
        <f t="shared" si="2427"/>
      </c>
      <c r="AH1107" s="459">
        <f t="shared" si="2427"/>
      </c>
      <c r="AI1107" s="459">
        <f t="shared" si="2427"/>
      </c>
      <c r="AJ1107" s="964">
        <f t="shared" si="2428"/>
      </c>
      <c r="AK1107" s="459">
        <f t="shared" si="2428"/>
      </c>
      <c r="AL1107" s="459">
        <f t="shared" si="2429"/>
      </c>
      <c r="AM1107" s="459">
        <f t="shared" si="2429"/>
      </c>
      <c r="AN1107" s="459">
        <f t="shared" si="2429"/>
      </c>
      <c r="AO1107" s="964">
        <f t="shared" si="2430"/>
      </c>
      <c r="AP1107" s="459">
        <f t="shared" si="2430"/>
      </c>
      <c r="AQ1107" s="459">
        <f t="shared" si="2431"/>
      </c>
      <c r="AR1107" s="459">
        <f t="shared" si="2431"/>
      </c>
      <c r="AS1107" s="459">
        <f t="shared" si="2431"/>
      </c>
      <c r="AT1107" s="964">
        <f t="shared" si="2432"/>
      </c>
      <c r="AU1107" s="459">
        <f t="shared" si="2432"/>
      </c>
      <c r="AV1107" s="459">
        <f t="shared" si="2433"/>
      </c>
      <c r="AW1107" s="459">
        <f t="shared" si="2433"/>
      </c>
      <c r="AX1107" s="459">
        <f t="shared" si="2433"/>
      </c>
      <c r="AY1107" s="964">
        <f t="shared" si="2434"/>
      </c>
      <c r="AZ1107" s="459">
        <f t="shared" si="2434"/>
      </c>
      <c r="BA1107" s="459">
        <f t="shared" si="2435"/>
      </c>
      <c r="BB1107" s="459">
        <f t="shared" si="2435"/>
      </c>
      <c r="BC1107" s="459">
        <f t="shared" si="2435"/>
      </c>
      <c r="BD1107" s="964">
        <f t="shared" si="2436"/>
      </c>
      <c r="BE1107" s="459">
        <f t="shared" si="2436"/>
      </c>
      <c r="BF1107" s="459">
        <f t="shared" si="2437"/>
      </c>
      <c r="BG1107" s="459">
        <f t="shared" si="2437"/>
      </c>
      <c r="BH1107" s="459">
        <f t="shared" si="2437"/>
      </c>
      <c r="BI1107" s="964">
        <f t="shared" si="2438"/>
      </c>
      <c r="BJ1107" s="459">
        <f t="shared" si="2438"/>
      </c>
      <c r="BK1107" s="459">
        <f t="shared" si="2439"/>
      </c>
      <c r="BL1107" s="459">
        <f t="shared" si="2439"/>
      </c>
      <c r="BM1107" s="459">
        <f t="shared" si="2439"/>
      </c>
      <c r="BN1107" s="964">
        <f t="shared" si="2440"/>
      </c>
      <c r="BO1107" s="459">
        <f t="shared" si="2440"/>
      </c>
      <c r="BP1107" s="459">
        <f t="shared" si="2441"/>
      </c>
      <c r="BQ1107" s="459">
        <f t="shared" si="2442"/>
      </c>
      <c r="BR1107" s="459">
        <f t="shared" si="2443"/>
      </c>
      <c r="BS1107" s="964">
        <f t="shared" si="2444"/>
      </c>
      <c r="BT1107" s="795">
        <f t="shared" si="2445"/>
      </c>
      <c r="BU1107" s="757"/>
      <c r="BV1107" s="757"/>
      <c r="BW1107" s="757"/>
      <c r="BX1107" s="962">
        <f t="shared" si="2449"/>
      </c>
      <c r="BY1107" s="757"/>
      <c r="BZ1107" s="757"/>
      <c r="CA1107" s="757"/>
      <c r="CB1107" s="757"/>
      <c r="CC1107" s="962">
        <f t="shared" si="2450"/>
      </c>
      <c r="CD1107" s="962"/>
      <c r="CE1107" s="962"/>
      <c r="CF1107" s="962"/>
      <c r="CG1107" s="459"/>
    </row>
    <row r="1108" spans="1:85" x14ac:dyDescent="0.3">
      <c r="A1108" s="182" t="str">
        <f t="shared" si="2415"/>
      </c>
      <c r="B1108" s="414"/>
      <c r="C1108" s="964">
        <f t="shared" si="2416"/>
      </c>
      <c r="D1108" s="964">
        <f t="shared" si="2416"/>
      </c>
      <c r="E1108" s="964">
        <f t="shared" si="2416"/>
      </c>
      <c r="F1108" s="964">
        <f t="shared" si="2416"/>
      </c>
      <c r="G1108" s="459">
        <f t="shared" si="2416"/>
      </c>
      <c r="H1108" s="459">
        <f t="shared" si="2417"/>
      </c>
      <c r="I1108" s="459">
        <f t="shared" si="2417"/>
      </c>
      <c r="J1108" s="459">
        <f t="shared" si="2417"/>
      </c>
      <c r="K1108" s="964">
        <f t="shared" si="2418"/>
      </c>
      <c r="L1108" s="459">
        <f t="shared" si="2418"/>
      </c>
      <c r="M1108" s="459">
        <f t="shared" si="2419"/>
      </c>
      <c r="N1108" s="459">
        <f t="shared" si="2419"/>
      </c>
      <c r="O1108" s="459">
        <f t="shared" si="2419"/>
      </c>
      <c r="P1108" s="964">
        <f t="shared" si="2420"/>
      </c>
      <c r="Q1108" s="459">
        <f t="shared" si="2420"/>
      </c>
      <c r="R1108" s="459">
        <f t="shared" si="2421"/>
      </c>
      <c r="S1108" s="459">
        <f t="shared" si="2421"/>
      </c>
      <c r="T1108" s="459">
        <f t="shared" si="2421"/>
      </c>
      <c r="U1108" s="964">
        <f t="shared" si="2422"/>
      </c>
      <c r="V1108" s="459">
        <f t="shared" si="2422"/>
      </c>
      <c r="W1108" s="459">
        <f t="shared" si="2423"/>
      </c>
      <c r="X1108" s="459">
        <f t="shared" si="2423"/>
      </c>
      <c r="Y1108" s="459">
        <f t="shared" si="2423"/>
      </c>
      <c r="Z1108" s="964">
        <f t="shared" si="2424"/>
      </c>
      <c r="AA1108" s="459">
        <f t="shared" si="2424"/>
      </c>
      <c r="AB1108" s="459">
        <f t="shared" si="2425"/>
      </c>
      <c r="AC1108" s="459">
        <f t="shared" si="2425"/>
      </c>
      <c r="AD1108" s="459">
        <f t="shared" si="2425"/>
      </c>
      <c r="AE1108" s="964">
        <f t="shared" si="2426"/>
      </c>
      <c r="AF1108" s="459">
        <f t="shared" si="2426"/>
      </c>
      <c r="AG1108" s="459">
        <f t="shared" si="2427"/>
      </c>
      <c r="AH1108" s="459">
        <f t="shared" si="2427"/>
      </c>
      <c r="AI1108" s="459">
        <f t="shared" si="2427"/>
      </c>
      <c r="AJ1108" s="964">
        <f t="shared" si="2428"/>
      </c>
      <c r="AK1108" s="459">
        <f t="shared" si="2428"/>
      </c>
      <c r="AL1108" s="459">
        <f t="shared" si="2429"/>
      </c>
      <c r="AM1108" s="459">
        <f t="shared" si="2429"/>
      </c>
      <c r="AN1108" s="459">
        <f t="shared" si="2429"/>
      </c>
      <c r="AO1108" s="964">
        <f t="shared" si="2430"/>
      </c>
      <c r="AP1108" s="459">
        <f t="shared" si="2430"/>
      </c>
      <c r="AQ1108" s="459">
        <f t="shared" si="2431"/>
      </c>
      <c r="AR1108" s="459">
        <f t="shared" si="2431"/>
      </c>
      <c r="AS1108" s="459">
        <f t="shared" si="2431"/>
      </c>
      <c r="AT1108" s="964">
        <f t="shared" si="2432"/>
      </c>
      <c r="AU1108" s="459">
        <f t="shared" si="2432"/>
      </c>
      <c r="AV1108" s="459">
        <f t="shared" si="2433"/>
      </c>
      <c r="AW1108" s="459">
        <f t="shared" si="2433"/>
      </c>
      <c r="AX1108" s="459">
        <f t="shared" si="2433"/>
      </c>
      <c r="AY1108" s="964">
        <f t="shared" si="2434"/>
      </c>
      <c r="AZ1108" s="459">
        <f t="shared" si="2434"/>
      </c>
      <c r="BA1108" s="459">
        <f t="shared" si="2435"/>
      </c>
      <c r="BB1108" s="459">
        <f t="shared" si="2435"/>
      </c>
      <c r="BC1108" s="459">
        <f t="shared" si="2435"/>
      </c>
      <c r="BD1108" s="964">
        <f t="shared" si="2436"/>
      </c>
      <c r="BE1108" s="459">
        <f t="shared" si="2436"/>
      </c>
      <c r="BF1108" s="459">
        <f t="shared" si="2437"/>
      </c>
      <c r="BG1108" s="459">
        <f t="shared" si="2437"/>
      </c>
      <c r="BH1108" s="459">
        <f t="shared" si="2437"/>
      </c>
      <c r="BI1108" s="964">
        <f t="shared" si="2438"/>
      </c>
      <c r="BJ1108" s="459">
        <f t="shared" si="2438"/>
      </c>
      <c r="BK1108" s="459">
        <f t="shared" si="2439"/>
      </c>
      <c r="BL1108" s="459">
        <f t="shared" si="2439"/>
      </c>
      <c r="BM1108" s="459">
        <f t="shared" si="2439"/>
      </c>
      <c r="BN1108" s="964">
        <f t="shared" si="2440"/>
      </c>
      <c r="BO1108" s="459">
        <f t="shared" si="2440"/>
      </c>
      <c r="BP1108" s="459">
        <f t="shared" si="2441"/>
      </c>
      <c r="BQ1108" s="459">
        <f t="shared" si="2442"/>
      </c>
      <c r="BR1108" s="459">
        <f t="shared" si="2443"/>
      </c>
      <c r="BS1108" s="964">
        <f t="shared" si="2444"/>
      </c>
      <c r="BT1108" s="795">
        <f t="shared" si="2445"/>
      </c>
      <c r="BU1108" s="757"/>
      <c r="BV1108" s="757"/>
      <c r="BW1108" s="757"/>
      <c r="BX1108" s="962">
        <f t="shared" si="2449"/>
      </c>
      <c r="BY1108" s="757"/>
      <c r="BZ1108" s="757"/>
      <c r="CA1108" s="757"/>
      <c r="CB1108" s="757"/>
      <c r="CC1108" s="962">
        <f t="shared" si="2450"/>
      </c>
      <c r="CD1108" s="962"/>
      <c r="CE1108" s="962"/>
      <c r="CF1108" s="962"/>
      <c r="CG1108" s="459"/>
    </row>
    <row r="1109" spans="1:85" x14ac:dyDescent="0.3">
      <c r="A1109" s="182" t="str">
        <f t="shared" si="2415"/>
      </c>
      <c r="B1109" s="414"/>
      <c r="C1109" s="964">
        <f t="shared" si="2416"/>
      </c>
      <c r="D1109" s="964">
        <f t="shared" si="2416"/>
      </c>
      <c r="E1109" s="964">
        <f t="shared" si="2416"/>
      </c>
      <c r="F1109" s="964">
        <f t="shared" si="2416"/>
      </c>
      <c r="G1109" s="459">
        <f t="shared" si="2416"/>
      </c>
      <c r="H1109" s="459">
        <f t="shared" si="2417"/>
      </c>
      <c r="I1109" s="459">
        <f t="shared" si="2417"/>
      </c>
      <c r="J1109" s="459">
        <f t="shared" si="2417"/>
      </c>
      <c r="K1109" s="964">
        <f t="shared" si="2418"/>
      </c>
      <c r="L1109" s="459">
        <f t="shared" si="2418"/>
      </c>
      <c r="M1109" s="459">
        <f t="shared" si="2419"/>
      </c>
      <c r="N1109" s="459">
        <f t="shared" si="2419"/>
      </c>
      <c r="O1109" s="459">
        <f t="shared" si="2419"/>
      </c>
      <c r="P1109" s="964">
        <f t="shared" si="2420"/>
      </c>
      <c r="Q1109" s="459">
        <f t="shared" si="2420"/>
      </c>
      <c r="R1109" s="459">
        <f t="shared" si="2421"/>
      </c>
      <c r="S1109" s="459">
        <f t="shared" si="2421"/>
      </c>
      <c r="T1109" s="459">
        <f t="shared" si="2421"/>
      </c>
      <c r="U1109" s="964">
        <f t="shared" si="2422"/>
      </c>
      <c r="V1109" s="459">
        <f t="shared" si="2422"/>
      </c>
      <c r="W1109" s="459">
        <f t="shared" si="2423"/>
      </c>
      <c r="X1109" s="459">
        <f t="shared" si="2423"/>
      </c>
      <c r="Y1109" s="459">
        <f t="shared" si="2423"/>
      </c>
      <c r="Z1109" s="964">
        <f t="shared" si="2424"/>
      </c>
      <c r="AA1109" s="459">
        <f t="shared" si="2424"/>
      </c>
      <c r="AB1109" s="459">
        <f t="shared" si="2425"/>
      </c>
      <c r="AC1109" s="459">
        <f t="shared" si="2425"/>
      </c>
      <c r="AD1109" s="459">
        <f t="shared" si="2425"/>
      </c>
      <c r="AE1109" s="964">
        <f t="shared" si="2426"/>
      </c>
      <c r="AF1109" s="459">
        <f t="shared" si="2426"/>
      </c>
      <c r="AG1109" s="459">
        <f t="shared" si="2427"/>
      </c>
      <c r="AH1109" s="459">
        <f t="shared" si="2427"/>
      </c>
      <c r="AI1109" s="459">
        <f t="shared" si="2427"/>
      </c>
      <c r="AJ1109" s="964">
        <f t="shared" si="2428"/>
      </c>
      <c r="AK1109" s="459">
        <f t="shared" si="2428"/>
      </c>
      <c r="AL1109" s="459">
        <f t="shared" si="2429"/>
      </c>
      <c r="AM1109" s="459">
        <f t="shared" si="2429"/>
      </c>
      <c r="AN1109" s="459">
        <f t="shared" si="2429"/>
      </c>
      <c r="AO1109" s="964">
        <f t="shared" si="2430"/>
      </c>
      <c r="AP1109" s="459">
        <f t="shared" si="2430"/>
      </c>
      <c r="AQ1109" s="459">
        <f t="shared" si="2431"/>
      </c>
      <c r="AR1109" s="459">
        <f t="shared" si="2431"/>
      </c>
      <c r="AS1109" s="459">
        <f t="shared" si="2431"/>
      </c>
      <c r="AT1109" s="964">
        <f t="shared" si="2432"/>
      </c>
      <c r="AU1109" s="459">
        <f t="shared" si="2432"/>
      </c>
      <c r="AV1109" s="459">
        <f t="shared" si="2433"/>
      </c>
      <c r="AW1109" s="459">
        <f t="shared" si="2433"/>
      </c>
      <c r="AX1109" s="459">
        <f t="shared" si="2433"/>
      </c>
      <c r="AY1109" s="964">
        <f t="shared" si="2434"/>
      </c>
      <c r="AZ1109" s="459">
        <f t="shared" si="2434"/>
      </c>
      <c r="BA1109" s="459">
        <f t="shared" si="2435"/>
      </c>
      <c r="BB1109" s="459">
        <f t="shared" si="2435"/>
      </c>
      <c r="BC1109" s="459">
        <f t="shared" si="2435"/>
      </c>
      <c r="BD1109" s="964">
        <f t="shared" si="2436"/>
      </c>
      <c r="BE1109" s="459">
        <f t="shared" si="2436"/>
      </c>
      <c r="BF1109" s="459">
        <f t="shared" si="2437"/>
      </c>
      <c r="BG1109" s="459">
        <f t="shared" si="2437"/>
      </c>
      <c r="BH1109" s="459">
        <f t="shared" si="2437"/>
      </c>
      <c r="BI1109" s="964">
        <f t="shared" si="2438"/>
      </c>
      <c r="BJ1109" s="459">
        <f t="shared" si="2438"/>
      </c>
      <c r="BK1109" s="459">
        <f t="shared" si="2439"/>
      </c>
      <c r="BL1109" s="459">
        <f t="shared" si="2439"/>
      </c>
      <c r="BM1109" s="459">
        <f t="shared" si="2439"/>
      </c>
      <c r="BN1109" s="964">
        <f t="shared" si="2440"/>
      </c>
      <c r="BO1109" s="459">
        <f t="shared" si="2440"/>
      </c>
      <c r="BP1109" s="459">
        <f t="shared" si="2441"/>
      </c>
      <c r="BQ1109" s="459">
        <f t="shared" si="2442"/>
      </c>
      <c r="BR1109" s="459">
        <f t="shared" si="2443"/>
      </c>
      <c r="BS1109" s="964">
        <f t="shared" si="2444"/>
      </c>
      <c r="BT1109" s="795">
        <f t="shared" si="2445"/>
      </c>
      <c r="BU1109" s="757"/>
      <c r="BV1109" s="757"/>
      <c r="BW1109" s="757"/>
      <c r="BX1109" s="962">
        <f t="shared" si="2449"/>
      </c>
      <c r="BY1109" s="757"/>
      <c r="BZ1109" s="757"/>
      <c r="CA1109" s="757"/>
      <c r="CB1109" s="757"/>
      <c r="CC1109" s="962">
        <f t="shared" si="2450"/>
      </c>
      <c r="CD1109" s="962"/>
      <c r="CE1109" s="962"/>
      <c r="CF1109" s="962"/>
      <c r="CG1109" s="459"/>
    </row>
    <row r="1110" spans="1:85" x14ac:dyDescent="0.3">
      <c r="A1110" s="182" t="str">
        <f t="shared" si="2415"/>
      </c>
      <c r="B1110" s="414"/>
      <c r="C1110" s="964">
        <f t="shared" si="2416"/>
      </c>
      <c r="D1110" s="964">
        <f t="shared" si="2416"/>
      </c>
      <c r="E1110" s="964">
        <f t="shared" si="2416"/>
      </c>
      <c r="F1110" s="964">
        <f t="shared" si="2416"/>
      </c>
      <c r="G1110" s="459">
        <f t="shared" si="2416"/>
      </c>
      <c r="H1110" s="459">
        <f t="shared" si="2417"/>
      </c>
      <c r="I1110" s="459">
        <f t="shared" si="2417"/>
      </c>
      <c r="J1110" s="459">
        <f t="shared" si="2417"/>
      </c>
      <c r="K1110" s="964">
        <f t="shared" si="2418"/>
      </c>
      <c r="L1110" s="459">
        <f t="shared" si="2418"/>
      </c>
      <c r="M1110" s="459">
        <f t="shared" si="2419"/>
      </c>
      <c r="N1110" s="459">
        <f t="shared" si="2419"/>
      </c>
      <c r="O1110" s="459">
        <f t="shared" si="2419"/>
      </c>
      <c r="P1110" s="964">
        <f t="shared" si="2420"/>
      </c>
      <c r="Q1110" s="459">
        <f t="shared" si="2420"/>
      </c>
      <c r="R1110" s="459">
        <f t="shared" si="2421"/>
      </c>
      <c r="S1110" s="459">
        <f t="shared" si="2421"/>
      </c>
      <c r="T1110" s="459">
        <f t="shared" si="2421"/>
      </c>
      <c r="U1110" s="964">
        <f t="shared" si="2422"/>
      </c>
      <c r="V1110" s="459">
        <f t="shared" si="2422"/>
      </c>
      <c r="W1110" s="459">
        <f t="shared" si="2423"/>
      </c>
      <c r="X1110" s="459">
        <f t="shared" si="2423"/>
      </c>
      <c r="Y1110" s="459">
        <f t="shared" si="2423"/>
      </c>
      <c r="Z1110" s="964">
        <f t="shared" si="2424"/>
      </c>
      <c r="AA1110" s="459">
        <f t="shared" si="2424"/>
      </c>
      <c r="AB1110" s="459">
        <f t="shared" si="2425"/>
      </c>
      <c r="AC1110" s="459">
        <f t="shared" si="2425"/>
      </c>
      <c r="AD1110" s="459">
        <f t="shared" si="2425"/>
      </c>
      <c r="AE1110" s="964">
        <f t="shared" si="2426"/>
      </c>
      <c r="AF1110" s="459">
        <f t="shared" si="2426"/>
      </c>
      <c r="AG1110" s="459">
        <f t="shared" si="2427"/>
      </c>
      <c r="AH1110" s="459">
        <f t="shared" si="2427"/>
      </c>
      <c r="AI1110" s="459">
        <f t="shared" si="2427"/>
      </c>
      <c r="AJ1110" s="964">
        <f t="shared" si="2428"/>
      </c>
      <c r="AK1110" s="459">
        <f t="shared" si="2428"/>
      </c>
      <c r="AL1110" s="459">
        <f t="shared" si="2429"/>
      </c>
      <c r="AM1110" s="459">
        <f t="shared" si="2429"/>
      </c>
      <c r="AN1110" s="459">
        <f t="shared" si="2429"/>
      </c>
      <c r="AO1110" s="964">
        <f t="shared" si="2430"/>
      </c>
      <c r="AP1110" s="459">
        <f t="shared" si="2430"/>
      </c>
      <c r="AQ1110" s="459">
        <f t="shared" si="2431"/>
      </c>
      <c r="AR1110" s="459">
        <f t="shared" si="2431"/>
      </c>
      <c r="AS1110" s="459">
        <f t="shared" si="2431"/>
      </c>
      <c r="AT1110" s="964">
        <f t="shared" si="2432"/>
      </c>
      <c r="AU1110" s="459">
        <f t="shared" si="2432"/>
      </c>
      <c r="AV1110" s="459">
        <f t="shared" si="2433"/>
      </c>
      <c r="AW1110" s="459">
        <f t="shared" si="2433"/>
      </c>
      <c r="AX1110" s="459">
        <f t="shared" si="2433"/>
      </c>
      <c r="AY1110" s="964">
        <f t="shared" si="2434"/>
      </c>
      <c r="AZ1110" s="459">
        <f t="shared" si="2434"/>
      </c>
      <c r="BA1110" s="459">
        <f t="shared" si="2435"/>
      </c>
      <c r="BB1110" s="459">
        <f t="shared" si="2435"/>
      </c>
      <c r="BC1110" s="459">
        <f t="shared" si="2435"/>
      </c>
      <c r="BD1110" s="964">
        <f t="shared" si="2436"/>
      </c>
      <c r="BE1110" s="459">
        <f t="shared" si="2436"/>
      </c>
      <c r="BF1110" s="459">
        <f t="shared" si="2437"/>
      </c>
      <c r="BG1110" s="459">
        <f t="shared" si="2437"/>
      </c>
      <c r="BH1110" s="459">
        <f t="shared" si="2437"/>
      </c>
      <c r="BI1110" s="964">
        <f t="shared" si="2438"/>
      </c>
      <c r="BJ1110" s="459">
        <f t="shared" si="2438"/>
      </c>
      <c r="BK1110" s="459">
        <f t="shared" si="2439"/>
      </c>
      <c r="BL1110" s="459">
        <f t="shared" si="2439"/>
      </c>
      <c r="BM1110" s="459">
        <f t="shared" si="2439"/>
      </c>
      <c r="BN1110" s="964">
        <f t="shared" si="2440"/>
      </c>
      <c r="BO1110" s="459">
        <f t="shared" si="2440"/>
      </c>
      <c r="BP1110" s="459">
        <f t="shared" si="2441"/>
      </c>
      <c r="BQ1110" s="459">
        <f t="shared" si="2442"/>
      </c>
      <c r="BR1110" s="459">
        <f t="shared" si="2443"/>
      </c>
      <c r="BS1110" s="964">
        <f t="shared" si="2444"/>
      </c>
      <c r="BT1110" s="795">
        <f t="shared" si="2445"/>
      </c>
      <c r="BU1110" s="757">
        <f>-BU774</f>
      </c>
      <c r="BV1110" s="757">
        <f>-BV774</f>
      </c>
      <c r="BW1110" s="757">
        <f>-BW774</f>
      </c>
      <c r="BX1110" s="962">
        <f t="shared" si="2449"/>
      </c>
      <c r="BY1110" s="757">
        <f>-BY774</f>
      </c>
      <c r="BZ1110" s="757">
        <f>-BZ774</f>
      </c>
      <c r="CA1110" s="757">
        <f>-CA774</f>
      </c>
      <c r="CB1110" s="757">
        <f>-CB774</f>
      </c>
      <c r="CC1110" s="962">
        <f t="shared" si="2450"/>
      </c>
      <c r="CD1110" s="962">
        <f>-CD774</f>
      </c>
      <c r="CE1110" s="962">
        <f>-CE774</f>
      </c>
      <c r="CF1110" s="962">
        <f>-CF774</f>
      </c>
      <c r="CG1110" s="459"/>
    </row>
    <row r="1111" spans="1:85" x14ac:dyDescent="0.3">
      <c r="A1111" s="182" t="str">
        <f t="shared" si="2415"/>
      </c>
      <c r="B1111" s="414"/>
      <c r="C1111" s="964">
        <f t="shared" si="2416"/>
      </c>
      <c r="D1111" s="964">
        <f t="shared" si="2416"/>
      </c>
      <c r="E1111" s="964">
        <f t="shared" si="2416"/>
      </c>
      <c r="F1111" s="964">
        <f t="shared" si="2416"/>
      </c>
      <c r="G1111" s="459">
        <f t="shared" si="2416"/>
      </c>
      <c r="H1111" s="459">
        <f t="shared" si="2417"/>
      </c>
      <c r="I1111" s="459">
        <f t="shared" si="2417"/>
      </c>
      <c r="J1111" s="459">
        <f t="shared" si="2417"/>
      </c>
      <c r="K1111" s="964">
        <f t="shared" si="2418"/>
      </c>
      <c r="L1111" s="459">
        <f t="shared" si="2418"/>
      </c>
      <c r="M1111" s="459">
        <f t="shared" si="2419"/>
      </c>
      <c r="N1111" s="459">
        <f t="shared" si="2419"/>
      </c>
      <c r="O1111" s="459">
        <f t="shared" si="2419"/>
      </c>
      <c r="P1111" s="964">
        <f t="shared" si="2420"/>
      </c>
      <c r="Q1111" s="459">
        <f t="shared" si="2420"/>
      </c>
      <c r="R1111" s="459">
        <f t="shared" si="2421"/>
      </c>
      <c r="S1111" s="459">
        <f t="shared" si="2421"/>
      </c>
      <c r="T1111" s="459">
        <f t="shared" si="2421"/>
      </c>
      <c r="U1111" s="964">
        <f t="shared" si="2422"/>
      </c>
      <c r="V1111" s="459">
        <f t="shared" si="2422"/>
      </c>
      <c r="W1111" s="459">
        <f t="shared" si="2423"/>
      </c>
      <c r="X1111" s="459">
        <f t="shared" si="2423"/>
      </c>
      <c r="Y1111" s="459">
        <f t="shared" si="2423"/>
      </c>
      <c r="Z1111" s="964">
        <f t="shared" si="2424"/>
      </c>
      <c r="AA1111" s="459">
        <f t="shared" si="2424"/>
      </c>
      <c r="AB1111" s="459">
        <f t="shared" si="2425"/>
      </c>
      <c r="AC1111" s="459">
        <f t="shared" si="2425"/>
      </c>
      <c r="AD1111" s="459">
        <f t="shared" si="2425"/>
      </c>
      <c r="AE1111" s="964">
        <f t="shared" si="2426"/>
      </c>
      <c r="AF1111" s="459">
        <f t="shared" si="2426"/>
      </c>
      <c r="AG1111" s="459">
        <f t="shared" si="2427"/>
      </c>
      <c r="AH1111" s="459">
        <f t="shared" si="2427"/>
      </c>
      <c r="AI1111" s="459">
        <f t="shared" si="2427"/>
      </c>
      <c r="AJ1111" s="964">
        <f t="shared" si="2428"/>
      </c>
      <c r="AK1111" s="459">
        <f t="shared" si="2428"/>
      </c>
      <c r="AL1111" s="459">
        <f t="shared" si="2429"/>
      </c>
      <c r="AM1111" s="459">
        <f t="shared" si="2429"/>
      </c>
      <c r="AN1111" s="459">
        <f t="shared" si="2429"/>
      </c>
      <c r="AO1111" s="964">
        <f t="shared" si="2430"/>
      </c>
      <c r="AP1111" s="459">
        <f t="shared" si="2430"/>
      </c>
      <c r="AQ1111" s="459">
        <f t="shared" si="2431"/>
      </c>
      <c r="AR1111" s="459">
        <f t="shared" si="2431"/>
      </c>
      <c r="AS1111" s="459">
        <f t="shared" si="2431"/>
      </c>
      <c r="AT1111" s="964">
        <f t="shared" si="2432"/>
      </c>
      <c r="AU1111" s="459">
        <f t="shared" si="2432"/>
      </c>
      <c r="AV1111" s="459">
        <f t="shared" si="2433"/>
      </c>
      <c r="AW1111" s="459">
        <f t="shared" si="2433"/>
      </c>
      <c r="AX1111" s="459">
        <f t="shared" si="2433"/>
      </c>
      <c r="AY1111" s="964">
        <f t="shared" si="2434"/>
      </c>
      <c r="AZ1111" s="459">
        <f t="shared" si="2434"/>
      </c>
      <c r="BA1111" s="459">
        <f t="shared" si="2435"/>
      </c>
      <c r="BB1111" s="459">
        <f t="shared" si="2435"/>
      </c>
      <c r="BC1111" s="459">
        <f t="shared" si="2435"/>
      </c>
      <c r="BD1111" s="964">
        <f t="shared" si="2436"/>
      </c>
      <c r="BE1111" s="459">
        <f t="shared" si="2436"/>
      </c>
      <c r="BF1111" s="459">
        <f t="shared" si="2437"/>
      </c>
      <c r="BG1111" s="459">
        <f t="shared" si="2437"/>
      </c>
      <c r="BH1111" s="459">
        <f t="shared" si="2437"/>
      </c>
      <c r="BI1111" s="964">
        <f t="shared" si="2438"/>
      </c>
      <c r="BJ1111" s="459">
        <f t="shared" si="2438"/>
      </c>
      <c r="BK1111" s="459">
        <f t="shared" si="2439"/>
      </c>
      <c r="BL1111" s="459">
        <f t="shared" si="2439"/>
      </c>
      <c r="BM1111" s="459">
        <f t="shared" si="2439"/>
      </c>
      <c r="BN1111" s="964">
        <f t="shared" si="2440"/>
      </c>
      <c r="BO1111" s="459">
        <f t="shared" si="2440"/>
      </c>
      <c r="BP1111" s="459">
        <f t="shared" si="2441"/>
      </c>
      <c r="BQ1111" s="459">
        <f t="shared" si="2442"/>
      </c>
      <c r="BR1111" s="459">
        <f t="shared" si="2443"/>
      </c>
      <c r="BS1111" s="964">
        <f t="shared" si="2444"/>
      </c>
      <c r="BT1111" s="795">
        <f t="shared" si="2445"/>
      </c>
      <c r="BU1111" s="757">
        <f>BU490</f>
      </c>
      <c r="BV1111" s="757">
        <f>BV490</f>
      </c>
      <c r="BW1111" s="757">
        <f>BW490</f>
      </c>
      <c r="BX1111" s="962">
        <f t="shared" si="2449"/>
      </c>
      <c r="BY1111" s="757">
        <f>BY490</f>
      </c>
      <c r="BZ1111" s="757">
        <f>BZ490</f>
      </c>
      <c r="CA1111" s="757">
        <f>CA490</f>
      </c>
      <c r="CB1111" s="757">
        <f>CB490</f>
      </c>
      <c r="CC1111" s="962">
        <f t="shared" si="2450"/>
      </c>
      <c r="CD1111" s="962">
        <f>CD490</f>
      </c>
      <c r="CE1111" s="962">
        <f>CE490</f>
      </c>
      <c r="CF1111" s="962">
        <f>CF490</f>
      </c>
      <c r="CG1111" s="459"/>
    </row>
    <row r="1112" spans="1:85" x14ac:dyDescent="0.3">
      <c r="A1112" s="182" t="str">
        <f t="shared" si="2415"/>
      </c>
      <c r="B1112" s="414"/>
      <c r="C1112" s="964">
        <f t="shared" si="2416"/>
      </c>
      <c r="D1112" s="964">
        <f t="shared" si="2416"/>
      </c>
      <c r="E1112" s="964">
        <f t="shared" si="2416"/>
      </c>
      <c r="F1112" s="964">
        <f t="shared" si="2416"/>
      </c>
      <c r="G1112" s="459">
        <f t="shared" si="2416"/>
      </c>
      <c r="H1112" s="459">
        <f t="shared" si="2417"/>
      </c>
      <c r="I1112" s="459">
        <f t="shared" si="2417"/>
      </c>
      <c r="J1112" s="459">
        <f t="shared" si="2417"/>
      </c>
      <c r="K1112" s="964">
        <f t="shared" si="2418"/>
      </c>
      <c r="L1112" s="459">
        <f t="shared" si="2418"/>
      </c>
      <c r="M1112" s="459">
        <f t="shared" si="2419"/>
      </c>
      <c r="N1112" s="459">
        <f t="shared" si="2419"/>
      </c>
      <c r="O1112" s="459">
        <f t="shared" si="2419"/>
      </c>
      <c r="P1112" s="964">
        <f t="shared" si="2420"/>
      </c>
      <c r="Q1112" s="459">
        <f t="shared" si="2420"/>
      </c>
      <c r="R1112" s="459">
        <f t="shared" si="2421"/>
      </c>
      <c r="S1112" s="459">
        <f t="shared" si="2421"/>
      </c>
      <c r="T1112" s="459">
        <f t="shared" si="2421"/>
      </c>
      <c r="U1112" s="964">
        <f t="shared" si="2422"/>
      </c>
      <c r="V1112" s="459">
        <f t="shared" si="2422"/>
      </c>
      <c r="W1112" s="459">
        <f t="shared" si="2423"/>
      </c>
      <c r="X1112" s="459">
        <f t="shared" si="2423"/>
      </c>
      <c r="Y1112" s="459">
        <f t="shared" si="2423"/>
      </c>
      <c r="Z1112" s="964">
        <f t="shared" si="2424"/>
      </c>
      <c r="AA1112" s="459">
        <f t="shared" si="2424"/>
      </c>
      <c r="AB1112" s="459">
        <f t="shared" si="2425"/>
      </c>
      <c r="AC1112" s="459">
        <f t="shared" si="2425"/>
      </c>
      <c r="AD1112" s="459">
        <f t="shared" si="2425"/>
      </c>
      <c r="AE1112" s="964">
        <f t="shared" si="2426"/>
      </c>
      <c r="AF1112" s="459">
        <f t="shared" si="2426"/>
      </c>
      <c r="AG1112" s="459">
        <f t="shared" si="2427"/>
      </c>
      <c r="AH1112" s="459">
        <f t="shared" si="2427"/>
      </c>
      <c r="AI1112" s="459">
        <f t="shared" si="2427"/>
      </c>
      <c r="AJ1112" s="964">
        <f t="shared" si="2428"/>
      </c>
      <c r="AK1112" s="459">
        <f t="shared" si="2428"/>
      </c>
      <c r="AL1112" s="459">
        <f t="shared" si="2429"/>
      </c>
      <c r="AM1112" s="459">
        <f t="shared" si="2429"/>
      </c>
      <c r="AN1112" s="459">
        <f t="shared" si="2429"/>
      </c>
      <c r="AO1112" s="964">
        <f t="shared" si="2430"/>
      </c>
      <c r="AP1112" s="459">
        <f t="shared" si="2430"/>
      </c>
      <c r="AQ1112" s="459">
        <f t="shared" si="2431"/>
      </c>
      <c r="AR1112" s="459">
        <f t="shared" si="2431"/>
      </c>
      <c r="AS1112" s="459">
        <f t="shared" si="2431"/>
      </c>
      <c r="AT1112" s="964">
        <f t="shared" si="2432"/>
      </c>
      <c r="AU1112" s="459">
        <f t="shared" si="2432"/>
      </c>
      <c r="AV1112" s="459">
        <f t="shared" si="2433"/>
      </c>
      <c r="AW1112" s="459">
        <f t="shared" si="2433"/>
      </c>
      <c r="AX1112" s="459">
        <f t="shared" si="2433"/>
      </c>
      <c r="AY1112" s="964">
        <f t="shared" si="2434"/>
      </c>
      <c r="AZ1112" s="459">
        <f t="shared" si="2434"/>
      </c>
      <c r="BA1112" s="459">
        <f t="shared" si="2435"/>
      </c>
      <c r="BB1112" s="459">
        <f t="shared" si="2435"/>
      </c>
      <c r="BC1112" s="459">
        <f t="shared" si="2435"/>
      </c>
      <c r="BD1112" s="964">
        <f t="shared" si="2436"/>
      </c>
      <c r="BE1112" s="459">
        <f t="shared" si="2436"/>
      </c>
      <c r="BF1112" s="459">
        <f t="shared" si="2437"/>
      </c>
      <c r="BG1112" s="459">
        <f t="shared" si="2437"/>
      </c>
      <c r="BH1112" s="459">
        <f t="shared" si="2437"/>
      </c>
      <c r="BI1112" s="964">
        <f t="shared" si="2438"/>
      </c>
      <c r="BJ1112" s="459">
        <f t="shared" si="2438"/>
      </c>
      <c r="BK1112" s="459">
        <f t="shared" si="2439"/>
      </c>
      <c r="BL1112" s="459">
        <f t="shared" si="2439"/>
      </c>
      <c r="BM1112" s="459">
        <f t="shared" si="2439"/>
      </c>
      <c r="BN1112" s="964">
        <f t="shared" si="2440"/>
      </c>
      <c r="BO1112" s="459">
        <f t="shared" si="2440"/>
      </c>
      <c r="BP1112" s="459">
        <f t="shared" si="2441"/>
      </c>
      <c r="BQ1112" s="459">
        <f t="shared" si="2442"/>
      </c>
      <c r="BR1112" s="459">
        <f t="shared" si="2443"/>
      </c>
      <c r="BS1112" s="964">
        <f t="shared" si="2444"/>
      </c>
      <c r="BT1112" s="795">
        <f t="shared" si="2445"/>
      </c>
      <c r="BU1112" s="757"/>
      <c r="BV1112" s="757"/>
      <c r="BW1112" s="757"/>
      <c r="BX1112" s="962">
        <f t="shared" si="2449"/>
      </c>
      <c r="BY1112" s="757"/>
      <c r="BZ1112" s="757"/>
      <c r="CA1112" s="757"/>
      <c r="CB1112" s="757"/>
      <c r="CC1112" s="962">
        <f t="shared" si="2450"/>
      </c>
      <c r="CD1112" s="962"/>
      <c r="CE1112" s="962"/>
      <c r="CF1112" s="962"/>
      <c r="CG1112" s="459"/>
    </row>
    <row r="1113" spans="1:85" x14ac:dyDescent="0.3">
      <c r="A1113" s="30" t="str">
        <f t="shared" si="2415"/>
      </c>
      <c r="B1113" s="416"/>
      <c r="C1113" s="1005">
        <f t="shared" si="2416"/>
      </c>
      <c r="D1113" s="1005">
        <f t="shared" si="2416"/>
      </c>
      <c r="E1113" s="1005">
        <f t="shared" si="2416"/>
      </c>
      <c r="F1113" s="1005">
        <f t="shared" si="2416"/>
      </c>
      <c r="G1113" s="800">
        <f t="shared" si="2416"/>
      </c>
      <c r="H1113" s="800">
        <f t="shared" si="2417"/>
      </c>
      <c r="I1113" s="800">
        <f t="shared" si="2417"/>
      </c>
      <c r="J1113" s="800">
        <f t="shared" si="2417"/>
      </c>
      <c r="K1113" s="1005">
        <f t="shared" si="2418"/>
      </c>
      <c r="L1113" s="800">
        <f t="shared" si="2418"/>
      </c>
      <c r="M1113" s="800">
        <f t="shared" si="2419"/>
      </c>
      <c r="N1113" s="800">
        <f t="shared" si="2419"/>
      </c>
      <c r="O1113" s="800">
        <f t="shared" si="2419"/>
      </c>
      <c r="P1113" s="1005">
        <f t="shared" si="2420"/>
      </c>
      <c r="Q1113" s="800">
        <f t="shared" si="2420"/>
      </c>
      <c r="R1113" s="800">
        <f t="shared" si="2421"/>
      </c>
      <c r="S1113" s="800">
        <f t="shared" si="2421"/>
      </c>
      <c r="T1113" s="800">
        <f t="shared" si="2421"/>
      </c>
      <c r="U1113" s="1005">
        <f t="shared" si="2422"/>
      </c>
      <c r="V1113" s="800">
        <f t="shared" si="2422"/>
      </c>
      <c r="W1113" s="800">
        <f t="shared" si="2423"/>
      </c>
      <c r="X1113" s="800">
        <f t="shared" si="2423"/>
      </c>
      <c r="Y1113" s="800">
        <f t="shared" si="2423"/>
      </c>
      <c r="Z1113" s="1005">
        <f t="shared" si="2424"/>
      </c>
      <c r="AA1113" s="800">
        <f t="shared" si="2424"/>
      </c>
      <c r="AB1113" s="800">
        <f t="shared" si="2425"/>
      </c>
      <c r="AC1113" s="800">
        <f t="shared" si="2425"/>
      </c>
      <c r="AD1113" s="800">
        <f t="shared" si="2425"/>
      </c>
      <c r="AE1113" s="1005">
        <f t="shared" si="2426"/>
      </c>
      <c r="AF1113" s="800">
        <f t="shared" si="2426"/>
      </c>
      <c r="AG1113" s="800">
        <f t="shared" si="2427"/>
      </c>
      <c r="AH1113" s="800">
        <f t="shared" si="2427"/>
      </c>
      <c r="AI1113" s="800">
        <f t="shared" si="2427"/>
      </c>
      <c r="AJ1113" s="1005">
        <f t="shared" si="2428"/>
      </c>
      <c r="AK1113" s="800">
        <f t="shared" si="2428"/>
      </c>
      <c r="AL1113" s="800">
        <f t="shared" si="2429"/>
      </c>
      <c r="AM1113" s="800">
        <f t="shared" si="2429"/>
      </c>
      <c r="AN1113" s="800">
        <f t="shared" si="2429"/>
      </c>
      <c r="AO1113" s="1005">
        <f t="shared" si="2430"/>
      </c>
      <c r="AP1113" s="800">
        <f t="shared" si="2430"/>
      </c>
      <c r="AQ1113" s="800">
        <f t="shared" si="2431"/>
      </c>
      <c r="AR1113" s="800">
        <f t="shared" si="2431"/>
      </c>
      <c r="AS1113" s="800">
        <f t="shared" si="2431"/>
      </c>
      <c r="AT1113" s="1005">
        <f t="shared" si="2432"/>
      </c>
      <c r="AU1113" s="800">
        <f t="shared" si="2432"/>
      </c>
      <c r="AV1113" s="800">
        <f t="shared" si="2433"/>
      </c>
      <c r="AW1113" s="800">
        <f t="shared" si="2433"/>
      </c>
      <c r="AX1113" s="800">
        <f t="shared" si="2433"/>
      </c>
      <c r="AY1113" s="1005">
        <f t="shared" si="2434"/>
      </c>
      <c r="AZ1113" s="800">
        <f t="shared" si="2434"/>
      </c>
      <c r="BA1113" s="800">
        <f t="shared" si="2435"/>
      </c>
      <c r="BB1113" s="800">
        <f t="shared" si="2435"/>
      </c>
      <c r="BC1113" s="800">
        <f t="shared" si="2435"/>
      </c>
      <c r="BD1113" s="1005">
        <f t="shared" si="2436"/>
      </c>
      <c r="BE1113" s="800">
        <f t="shared" si="2436"/>
      </c>
      <c r="BF1113" s="800">
        <f t="shared" si="2437"/>
      </c>
      <c r="BG1113" s="800">
        <f t="shared" si="2437"/>
      </c>
      <c r="BH1113" s="800">
        <f t="shared" si="2437"/>
      </c>
      <c r="BI1113" s="1005">
        <f t="shared" si="2438"/>
      </c>
      <c r="BJ1113" s="800">
        <f t="shared" si="2438"/>
      </c>
      <c r="BK1113" s="800">
        <f t="shared" si="2439"/>
      </c>
      <c r="BL1113" s="800">
        <f t="shared" si="2439"/>
      </c>
      <c r="BM1113" s="800">
        <f t="shared" si="2439"/>
      </c>
      <c r="BN1113" s="1005">
        <f t="shared" si="2440"/>
      </c>
      <c r="BO1113" s="800">
        <f t="shared" si="2440"/>
      </c>
      <c r="BP1113" s="800">
        <f t="shared" si="2441"/>
      </c>
      <c r="BQ1113" s="800">
        <f t="shared" si="2442"/>
      </c>
      <c r="BR1113" s="800">
        <f t="shared" si="2443"/>
      </c>
      <c r="BS1113" s="1005">
        <f t="shared" si="2444"/>
      </c>
      <c r="BT1113" s="808">
        <f t="shared" si="2445"/>
      </c>
      <c r="BU1113" s="761">
        <f>+BU958</f>
      </c>
      <c r="BV1113" s="761">
        <f>+BV958</f>
      </c>
      <c r="BW1113" s="761">
        <f>+BW958</f>
      </c>
      <c r="BX1113" s="984">
        <f t="shared" si="2449"/>
      </c>
      <c r="BY1113" s="761">
        <f>+BY958</f>
      </c>
      <c r="BZ1113" s="761">
        <f>+BZ958</f>
      </c>
      <c r="CA1113" s="761">
        <f>+CA958</f>
      </c>
      <c r="CB1113" s="761">
        <f>+CB958</f>
      </c>
      <c r="CC1113" s="984">
        <f t="shared" si="2450"/>
      </c>
      <c r="CD1113" s="984">
        <f>+CD958</f>
      </c>
      <c r="CE1113" s="984">
        <f>+CE958</f>
      </c>
      <c r="CF1113" s="984">
        <f>+CF958</f>
      </c>
      <c r="CG1113" s="459"/>
    </row>
    <row r="1114" spans="1:85" x14ac:dyDescent="0.3">
      <c r="A1114" s="2" t="str">
        <f t="shared" si="2415"/>
      </c>
      <c r="B1114" s="422"/>
      <c r="C1114" s="986">
        <f t="shared" ref="C1114:AH1114" si="2451">SUM(C1099:C1113)</f>
      </c>
      <c r="D1114" s="986">
        <f t="shared" si="2451"/>
      </c>
      <c r="E1114" s="986">
        <f t="shared" si="2451"/>
      </c>
      <c r="F1114" s="986">
        <f t="shared" si="2451"/>
      </c>
      <c r="G1114" s="792">
        <f t="shared" si="2451"/>
      </c>
      <c r="H1114" s="792">
        <f t="shared" si="2451"/>
      </c>
      <c r="I1114" s="792">
        <f t="shared" si="2451"/>
      </c>
      <c r="J1114" s="792">
        <f t="shared" si="2451"/>
      </c>
      <c r="K1114" s="986">
        <f t="shared" si="2451"/>
      </c>
      <c r="L1114" s="792">
        <f t="shared" si="2451"/>
      </c>
      <c r="M1114" s="792">
        <f t="shared" si="2451"/>
      </c>
      <c r="N1114" s="792">
        <f t="shared" si="2451"/>
      </c>
      <c r="O1114" s="792">
        <f t="shared" si="2451"/>
      </c>
      <c r="P1114" s="986">
        <f t="shared" si="2451"/>
      </c>
      <c r="Q1114" s="792">
        <f t="shared" si="2451"/>
      </c>
      <c r="R1114" s="792">
        <f t="shared" si="2451"/>
      </c>
      <c r="S1114" s="792">
        <f t="shared" si="2451"/>
      </c>
      <c r="T1114" s="792">
        <f t="shared" si="2451"/>
      </c>
      <c r="U1114" s="986">
        <f t="shared" si="2451"/>
      </c>
      <c r="V1114" s="792">
        <f t="shared" si="2451"/>
      </c>
      <c r="W1114" s="792">
        <f t="shared" si="2451"/>
      </c>
      <c r="X1114" s="792">
        <f t="shared" si="2451"/>
      </c>
      <c r="Y1114" s="792">
        <f t="shared" si="2451"/>
      </c>
      <c r="Z1114" s="986">
        <f t="shared" si="2451"/>
      </c>
      <c r="AA1114" s="792">
        <f t="shared" si="2451"/>
      </c>
      <c r="AB1114" s="792">
        <f t="shared" si="2451"/>
      </c>
      <c r="AC1114" s="792">
        <f t="shared" si="2451"/>
      </c>
      <c r="AD1114" s="792">
        <f t="shared" si="2451"/>
      </c>
      <c r="AE1114" s="986">
        <f t="shared" si="2451"/>
      </c>
      <c r="AF1114" s="792">
        <f t="shared" si="2451"/>
      </c>
      <c r="AG1114" s="792">
        <f t="shared" si="2451"/>
      </c>
      <c r="AH1114" s="792">
        <f t="shared" si="2451"/>
      </c>
      <c r="AI1114" s="792">
        <f t="shared" ref="AI1114:BA1114" si="2452">SUM(AI1099:AI1113)</f>
      </c>
      <c r="AJ1114" s="986">
        <f t="shared" si="2452"/>
      </c>
      <c r="AK1114" s="792">
        <f t="shared" si="2452"/>
      </c>
      <c r="AL1114" s="792">
        <f t="shared" si="2452"/>
      </c>
      <c r="AM1114" s="792">
        <f t="shared" si="2452"/>
      </c>
      <c r="AN1114" s="792">
        <f t="shared" si="2452"/>
      </c>
      <c r="AO1114" s="986">
        <f t="shared" si="2452"/>
      </c>
      <c r="AP1114" s="792">
        <f t="shared" si="2452"/>
      </c>
      <c r="AQ1114" s="792">
        <f t="shared" si="2452"/>
      </c>
      <c r="AR1114" s="792">
        <f t="shared" si="2452"/>
      </c>
      <c r="AS1114" s="792">
        <f t="shared" si="2452"/>
      </c>
      <c r="AT1114" s="986">
        <f t="shared" si="2452"/>
      </c>
      <c r="AU1114" s="792">
        <f t="shared" si="2452"/>
      </c>
      <c r="AV1114" s="792">
        <f t="shared" si="2452"/>
      </c>
      <c r="AW1114" s="792">
        <f t="shared" si="2452"/>
      </c>
      <c r="AX1114" s="792">
        <f t="shared" si="2452"/>
      </c>
      <c r="AY1114" s="986">
        <f t="shared" si="2452"/>
      </c>
      <c r="AZ1114" s="792">
        <f t="shared" si="2452"/>
      </c>
      <c r="BA1114" s="792">
        <f t="shared" si="2452"/>
      </c>
      <c r="BB1114" s="792">
        <f t="shared" ref="BB1114:BD1114" si="2453">SUM(BB1099:BB1113)</f>
      </c>
      <c r="BC1114" s="792">
        <f t="shared" si="2453"/>
      </c>
      <c r="BD1114" s="986">
        <f t="shared" si="2453"/>
      </c>
      <c r="BE1114" s="792">
        <f t="shared" ref="BE1114:BI1114" si="2454">SUM(BE1099:BE1113)</f>
      </c>
      <c r="BF1114" s="792">
        <f t="shared" si="2454"/>
      </c>
      <c r="BG1114" s="792">
        <f t="shared" si="2454"/>
      </c>
      <c r="BH1114" s="792">
        <f t="shared" si="2454"/>
      </c>
      <c r="BI1114" s="986">
        <f t="shared" si="2454"/>
      </c>
      <c r="BJ1114" s="792">
        <f t="shared" ref="BJ1114:BN1114" si="2455">SUM(BJ1099:BJ1113)</f>
      </c>
      <c r="BK1114" s="792">
        <f t="shared" si="2455"/>
      </c>
      <c r="BL1114" s="792">
        <f t="shared" si="2455"/>
      </c>
      <c r="BM1114" s="792">
        <f t="shared" si="2455"/>
      </c>
      <c r="BN1114" s="986">
        <f t="shared" si="2455"/>
      </c>
      <c r="BO1114" s="792">
        <f t="shared" ref="BO1114:CF1114" si="2456">SUM(BO1099:BO1113)</f>
      </c>
      <c r="BP1114" s="792">
        <f t="shared" si="2456"/>
      </c>
      <c r="BQ1114" s="792">
        <f t="shared" si="2456"/>
      </c>
      <c r="BR1114" s="792">
        <f t="shared" si="2456"/>
      </c>
      <c r="BS1114" s="986">
        <f t="shared" si="2456"/>
      </c>
      <c r="BT1114" s="793">
        <f>SUM(BT1099:BT1113)</f>
      </c>
      <c r="BU1114" s="791">
        <f t="shared" si="2456"/>
      </c>
      <c r="BV1114" s="791">
        <f t="shared" si="2456"/>
      </c>
      <c r="BW1114" s="791">
        <f t="shared" si="2456"/>
      </c>
      <c r="BX1114" s="965">
        <f t="shared" si="2456"/>
      </c>
      <c r="BY1114" s="791">
        <f t="shared" si="2456"/>
      </c>
      <c r="BZ1114" s="791">
        <f t="shared" si="2456"/>
      </c>
      <c r="CA1114" s="791">
        <f t="shared" si="2456"/>
      </c>
      <c r="CB1114" s="791">
        <f t="shared" si="2456"/>
      </c>
      <c r="CC1114" s="965">
        <f t="shared" si="2456"/>
      </c>
      <c r="CD1114" s="965">
        <f t="shared" si="2456"/>
      </c>
      <c r="CE1114" s="965">
        <f t="shared" si="2456"/>
      </c>
      <c r="CF1114" s="965">
        <f t="shared" si="2456"/>
      </c>
      <c r="CG1114" s="183"/>
    </row>
    <row r="1115" spans="1:85" x14ac:dyDescent="0.3">
      <c r="A1115" s="182" t="str">
        <f t="shared" si="2415"/>
      </c>
      <c r="B1115" s="414"/>
      <c r="C1115" s="964">
        <f t="shared" ref="C1115:G1120" si="2457">C1048</f>
      </c>
      <c r="D1115" s="964">
        <f t="shared" si="2457"/>
      </c>
      <c r="E1115" s="964">
        <f t="shared" si="2457"/>
      </c>
      <c r="F1115" s="964">
        <f t="shared" si="2457"/>
      </c>
      <c r="G1115" s="459">
        <f t="shared" si="2457"/>
      </c>
      <c r="H1115" s="459">
        <f t="shared" ref="H1115:J1120" si="2458">H1048-G1048</f>
      </c>
      <c r="I1115" s="459">
        <f t="shared" si="2458"/>
      </c>
      <c r="J1115" s="459">
        <f t="shared" si="2458"/>
      </c>
      <c r="K1115" s="964">
        <f t="shared" ref="K1115:L1120" si="2459">K1048</f>
      </c>
      <c r="L1115" s="459">
        <f t="shared" si="2459"/>
      </c>
      <c r="M1115" s="459">
        <f t="shared" ref="M1115:O1120" si="2460">M1048-L1048</f>
      </c>
      <c r="N1115" s="459">
        <f t="shared" si="2460"/>
      </c>
      <c r="O1115" s="459">
        <f t="shared" si="2460"/>
      </c>
      <c r="P1115" s="964">
        <f t="shared" ref="P1115:Q1120" si="2461">P1048</f>
      </c>
      <c r="Q1115" s="459">
        <f t="shared" si="2461"/>
      </c>
      <c r="R1115" s="459">
        <f t="shared" ref="R1115:T1120" si="2462">R1048-Q1048</f>
      </c>
      <c r="S1115" s="459">
        <f t="shared" si="2462"/>
      </c>
      <c r="T1115" s="459">
        <f t="shared" si="2462"/>
      </c>
      <c r="U1115" s="964">
        <f t="shared" ref="U1115:V1120" si="2463">U1048</f>
      </c>
      <c r="V1115" s="459">
        <f t="shared" si="2463"/>
      </c>
      <c r="W1115" s="459">
        <f t="shared" ref="W1115:Y1120" si="2464">W1048-V1048</f>
      </c>
      <c r="X1115" s="459">
        <f t="shared" si="2464"/>
      </c>
      <c r="Y1115" s="459">
        <f t="shared" si="2464"/>
      </c>
      <c r="Z1115" s="964">
        <f t="shared" ref="Z1115:AA1120" si="2465">Z1048</f>
      </c>
      <c r="AA1115" s="459">
        <f t="shared" si="2465"/>
      </c>
      <c r="AB1115" s="459">
        <f t="shared" ref="AB1115:AD1120" si="2466">AB1048-AA1048</f>
      </c>
      <c r="AC1115" s="459">
        <f t="shared" si="2466"/>
      </c>
      <c r="AD1115" s="459">
        <f t="shared" si="2466"/>
      </c>
      <c r="AE1115" s="964">
        <f t="shared" ref="AE1115:AF1120" si="2467">AE1048</f>
      </c>
      <c r="AF1115" s="459">
        <f t="shared" si="2467"/>
      </c>
      <c r="AG1115" s="459">
        <f t="shared" ref="AG1115:AI1120" si="2468">AG1048-AF1048</f>
      </c>
      <c r="AH1115" s="459">
        <f t="shared" si="2468"/>
      </c>
      <c r="AI1115" s="459">
        <f t="shared" si="2468"/>
      </c>
      <c r="AJ1115" s="964">
        <f t="shared" ref="AJ1115:AK1120" si="2469">AJ1048</f>
      </c>
      <c r="AK1115" s="459">
        <f t="shared" si="2469"/>
      </c>
      <c r="AL1115" s="459">
        <f t="shared" ref="AL1115:AN1120" si="2470">AL1048-AK1048</f>
      </c>
      <c r="AM1115" s="459">
        <f t="shared" si="2470"/>
      </c>
      <c r="AN1115" s="459">
        <f t="shared" si="2470"/>
      </c>
      <c r="AO1115" s="964">
        <f t="shared" ref="AO1115:AP1120" si="2471">AO1048</f>
      </c>
      <c r="AP1115" s="459">
        <f t="shared" si="2471"/>
      </c>
      <c r="AQ1115" s="459">
        <f t="shared" ref="AQ1115:AS1120" si="2472">AQ1048-AP1048</f>
      </c>
      <c r="AR1115" s="459">
        <f t="shared" si="2472"/>
      </c>
      <c r="AS1115" s="459">
        <f t="shared" si="2472"/>
      </c>
      <c r="AT1115" s="964">
        <f t="shared" ref="AT1115:AU1120" si="2473">AT1048</f>
      </c>
      <c r="AU1115" s="459">
        <f t="shared" si="2473"/>
      </c>
      <c r="AV1115" s="459">
        <f t="shared" ref="AV1115:AX1120" si="2474">AV1048-AU1048</f>
      </c>
      <c r="AW1115" s="459">
        <f t="shared" si="2474"/>
      </c>
      <c r="AX1115" s="459">
        <f t="shared" si="2474"/>
      </c>
      <c r="AY1115" s="964">
        <f t="shared" ref="AY1115:AZ1120" si="2475">AY1048</f>
      </c>
      <c r="AZ1115" s="459">
        <f t="shared" si="2475"/>
      </c>
      <c r="BA1115" s="459">
        <f t="shared" ref="BA1115:BC1120" si="2476">BA1048-AZ1048</f>
      </c>
      <c r="BB1115" s="459">
        <f t="shared" si="2476"/>
      </c>
      <c r="BC1115" s="459">
        <f t="shared" si="2476"/>
      </c>
      <c r="BD1115" s="964">
        <f t="shared" ref="BD1115:BE1120" si="2477">BD1048</f>
      </c>
      <c r="BE1115" s="459">
        <f t="shared" si="2477"/>
      </c>
      <c r="BF1115" s="459">
        <f t="shared" ref="BF1115:BH1120" si="2478">BF1048-BE1048</f>
      </c>
      <c r="BG1115" s="459">
        <f t="shared" si="2478"/>
      </c>
      <c r="BH1115" s="459">
        <f t="shared" si="2478"/>
      </c>
      <c r="BI1115" s="964">
        <f t="shared" ref="BI1115:BJ1120" si="2479">BI1048</f>
      </c>
      <c r="BJ1115" s="459">
        <f t="shared" si="2479"/>
      </c>
      <c r="BK1115" s="459">
        <f t="shared" ref="BK1115:BM1120" si="2480">BK1048-BJ1048</f>
      </c>
      <c r="BL1115" s="459">
        <f t="shared" si="2480"/>
      </c>
      <c r="BM1115" s="459">
        <f t="shared" si="2480"/>
      </c>
      <c r="BN1115" s="964">
        <f t="shared" ref="BN1115:BO1120" si="2481">BN1048</f>
      </c>
      <c r="BO1115" s="459">
        <f t="shared" si="2481"/>
      </c>
      <c r="BP1115" s="459">
        <f t="shared" ref="BP1115:BP1120" si="2482">BP1048-BO1048</f>
      </c>
      <c r="BQ1115" s="459">
        <f t="shared" ref="BQ1115:BQ1120" si="2483">BQ1048-BP1048</f>
      </c>
      <c r="BR1115" s="459">
        <f t="shared" ref="BR1115:BR1120" si="2484">BR1048-BQ1048</f>
      </c>
      <c r="BS1115" s="964">
        <f t="shared" ref="BS1115:BS1120" si="2485">BS1048</f>
      </c>
      <c r="BT1115" s="795">
        <f t="shared" ref="BT1115:BT1120" si="2486">BT1048</f>
      </c>
      <c r="BU1115" s="757"/>
      <c r="BV1115" s="757"/>
      <c r="BW1115" s="757"/>
      <c r="BX1115" s="962">
        <f t="shared" ref="BX1115:BX1120" si="2487">SUM(BT1115,BU1115,BV1115,BW1115)</f>
      </c>
      <c r="BY1115" s="757"/>
      <c r="BZ1115" s="757"/>
      <c r="CA1115" s="757"/>
      <c r="CB1115" s="757"/>
      <c r="CC1115" s="962">
        <f t="shared" ref="CC1115:CC1120" si="2488">SUM(BY1115,BZ1115,CA1115,CB1115)</f>
      </c>
      <c r="CD1115" s="962"/>
      <c r="CE1115" s="962"/>
      <c r="CF1115" s="962"/>
      <c r="CG1115" s="459"/>
    </row>
    <row r="1116" spans="1:85" x14ac:dyDescent="0.3">
      <c r="A1116" s="182" t="str">
        <f t="shared" si="2415"/>
      </c>
      <c r="B1116" s="414"/>
      <c r="C1116" s="964">
        <f t="shared" si="2457"/>
      </c>
      <c r="D1116" s="964">
        <f t="shared" si="2457"/>
      </c>
      <c r="E1116" s="964">
        <f t="shared" si="2457"/>
      </c>
      <c r="F1116" s="964">
        <f t="shared" si="2457"/>
      </c>
      <c r="G1116" s="459">
        <f t="shared" si="2457"/>
      </c>
      <c r="H1116" s="459">
        <f t="shared" si="2458"/>
      </c>
      <c r="I1116" s="459">
        <f t="shared" si="2458"/>
      </c>
      <c r="J1116" s="459">
        <f t="shared" si="2458"/>
      </c>
      <c r="K1116" s="964">
        <f t="shared" si="2459"/>
      </c>
      <c r="L1116" s="459">
        <f t="shared" si="2459"/>
      </c>
      <c r="M1116" s="459">
        <f t="shared" si="2460"/>
      </c>
      <c r="N1116" s="459">
        <f t="shared" si="2460"/>
      </c>
      <c r="O1116" s="459">
        <f t="shared" si="2460"/>
      </c>
      <c r="P1116" s="964">
        <f t="shared" si="2461"/>
      </c>
      <c r="Q1116" s="459">
        <f t="shared" si="2461"/>
      </c>
      <c r="R1116" s="459">
        <f t="shared" si="2462"/>
      </c>
      <c r="S1116" s="459">
        <f t="shared" si="2462"/>
      </c>
      <c r="T1116" s="459">
        <f t="shared" si="2462"/>
      </c>
      <c r="U1116" s="964">
        <f t="shared" si="2463"/>
      </c>
      <c r="V1116" s="459">
        <f t="shared" si="2463"/>
      </c>
      <c r="W1116" s="459">
        <f t="shared" si="2464"/>
      </c>
      <c r="X1116" s="459">
        <f t="shared" si="2464"/>
      </c>
      <c r="Y1116" s="459">
        <f t="shared" si="2464"/>
      </c>
      <c r="Z1116" s="964">
        <f t="shared" si="2465"/>
      </c>
      <c r="AA1116" s="459">
        <f t="shared" si="2465"/>
      </c>
      <c r="AB1116" s="459">
        <f t="shared" si="2466"/>
      </c>
      <c r="AC1116" s="459">
        <f t="shared" si="2466"/>
      </c>
      <c r="AD1116" s="459">
        <f t="shared" si="2466"/>
      </c>
      <c r="AE1116" s="964">
        <f t="shared" si="2467"/>
      </c>
      <c r="AF1116" s="459">
        <f t="shared" si="2467"/>
      </c>
      <c r="AG1116" s="459">
        <f t="shared" si="2468"/>
      </c>
      <c r="AH1116" s="459">
        <f t="shared" si="2468"/>
      </c>
      <c r="AI1116" s="459">
        <f t="shared" si="2468"/>
      </c>
      <c r="AJ1116" s="964">
        <f t="shared" si="2469"/>
      </c>
      <c r="AK1116" s="459">
        <f t="shared" si="2469"/>
      </c>
      <c r="AL1116" s="459">
        <f t="shared" si="2470"/>
      </c>
      <c r="AM1116" s="459">
        <f t="shared" si="2470"/>
      </c>
      <c r="AN1116" s="459">
        <f t="shared" si="2470"/>
      </c>
      <c r="AO1116" s="964">
        <f t="shared" si="2471"/>
      </c>
      <c r="AP1116" s="459">
        <f t="shared" si="2471"/>
      </c>
      <c r="AQ1116" s="459">
        <f t="shared" si="2472"/>
      </c>
      <c r="AR1116" s="459">
        <f t="shared" si="2472"/>
      </c>
      <c r="AS1116" s="459">
        <f t="shared" si="2472"/>
      </c>
      <c r="AT1116" s="964">
        <f t="shared" si="2473"/>
      </c>
      <c r="AU1116" s="459">
        <f t="shared" si="2473"/>
      </c>
      <c r="AV1116" s="459">
        <f t="shared" si="2474"/>
      </c>
      <c r="AW1116" s="459">
        <f t="shared" si="2474"/>
      </c>
      <c r="AX1116" s="459">
        <f t="shared" si="2474"/>
      </c>
      <c r="AY1116" s="964">
        <f t="shared" si="2475"/>
      </c>
      <c r="AZ1116" s="459">
        <f t="shared" si="2475"/>
      </c>
      <c r="BA1116" s="459">
        <f t="shared" si="2476"/>
      </c>
      <c r="BB1116" s="459">
        <f t="shared" si="2476"/>
      </c>
      <c r="BC1116" s="459">
        <f t="shared" si="2476"/>
      </c>
      <c r="BD1116" s="964">
        <f t="shared" si="2477"/>
      </c>
      <c r="BE1116" s="459">
        <f t="shared" si="2477"/>
      </c>
      <c r="BF1116" s="459">
        <f t="shared" si="2478"/>
      </c>
      <c r="BG1116" s="459">
        <f t="shared" si="2478"/>
      </c>
      <c r="BH1116" s="459">
        <f t="shared" si="2478"/>
      </c>
      <c r="BI1116" s="964">
        <f t="shared" si="2479"/>
      </c>
      <c r="BJ1116" s="459">
        <f t="shared" si="2479"/>
      </c>
      <c r="BK1116" s="459">
        <f t="shared" si="2480"/>
      </c>
      <c r="BL1116" s="459">
        <f t="shared" si="2480"/>
      </c>
      <c r="BM1116" s="459">
        <f t="shared" si="2480"/>
      </c>
      <c r="BN1116" s="964">
        <f t="shared" si="2481"/>
      </c>
      <c r="BO1116" s="459">
        <f t="shared" si="2481"/>
      </c>
      <c r="BP1116" s="459">
        <f t="shared" si="2482"/>
      </c>
      <c r="BQ1116" s="459">
        <f t="shared" si="2483"/>
      </c>
      <c r="BR1116" s="459">
        <f t="shared" si="2484"/>
      </c>
      <c r="BS1116" s="964">
        <f t="shared" si="2485"/>
      </c>
      <c r="BT1116" s="795">
        <f t="shared" si="2486"/>
      </c>
      <c r="BU1116" s="757">
        <f>BT1206-BU1206</f>
      </c>
      <c r="BV1116" s="757">
        <f>BU1206-BV1206</f>
      </c>
      <c r="BW1116" s="757">
        <f>BV1206-BW1206</f>
      </c>
      <c r="BX1116" s="962">
        <f t="shared" si="2487"/>
      </c>
      <c r="BY1116" s="757">
        <f>BX1206-BY1206</f>
      </c>
      <c r="BZ1116" s="757">
        <f>BY1206-BZ1206</f>
      </c>
      <c r="CA1116" s="757">
        <f>BZ1206-CA1206</f>
      </c>
      <c r="CB1116" s="757">
        <f>CA1206-CB1206</f>
      </c>
      <c r="CC1116" s="962">
        <f t="shared" si="2488"/>
      </c>
      <c r="CD1116" s="962">
        <f>CC1206-CD1206</f>
      </c>
      <c r="CE1116" s="962">
        <f>CD1206-CE1206</f>
      </c>
      <c r="CF1116" s="962">
        <f>CE1206-CF1206</f>
      </c>
      <c r="CG1116" s="459"/>
    </row>
    <row r="1117" spans="1:85" x14ac:dyDescent="0.3">
      <c r="A1117" s="182" t="str">
        <f t="shared" si="2415"/>
      </c>
      <c r="B1117" s="414"/>
      <c r="C1117" s="964">
        <f t="shared" si="2457"/>
      </c>
      <c r="D1117" s="964">
        <f t="shared" si="2457"/>
      </c>
      <c r="E1117" s="964">
        <f t="shared" si="2457"/>
      </c>
      <c r="F1117" s="964">
        <f t="shared" si="2457"/>
      </c>
      <c r="G1117" s="459">
        <f t="shared" si="2457"/>
      </c>
      <c r="H1117" s="459">
        <f t="shared" si="2458"/>
      </c>
      <c r="I1117" s="459">
        <f t="shared" si="2458"/>
      </c>
      <c r="J1117" s="459">
        <f t="shared" si="2458"/>
      </c>
      <c r="K1117" s="964">
        <f t="shared" si="2459"/>
      </c>
      <c r="L1117" s="459">
        <f t="shared" si="2459"/>
      </c>
      <c r="M1117" s="459">
        <f t="shared" si="2460"/>
      </c>
      <c r="N1117" s="459">
        <f t="shared" si="2460"/>
      </c>
      <c r="O1117" s="459">
        <f t="shared" si="2460"/>
      </c>
      <c r="P1117" s="964">
        <f t="shared" si="2461"/>
      </c>
      <c r="Q1117" s="459">
        <f t="shared" si="2461"/>
      </c>
      <c r="R1117" s="459">
        <f t="shared" si="2462"/>
      </c>
      <c r="S1117" s="459">
        <f t="shared" si="2462"/>
      </c>
      <c r="T1117" s="459">
        <f t="shared" si="2462"/>
      </c>
      <c r="U1117" s="964">
        <f t="shared" si="2463"/>
      </c>
      <c r="V1117" s="459">
        <f t="shared" si="2463"/>
      </c>
      <c r="W1117" s="459">
        <f t="shared" si="2464"/>
      </c>
      <c r="X1117" s="459">
        <f t="shared" si="2464"/>
      </c>
      <c r="Y1117" s="459">
        <f t="shared" si="2464"/>
      </c>
      <c r="Z1117" s="964">
        <f t="shared" si="2465"/>
      </c>
      <c r="AA1117" s="459">
        <f t="shared" si="2465"/>
      </c>
      <c r="AB1117" s="459">
        <f t="shared" si="2466"/>
      </c>
      <c r="AC1117" s="459">
        <f t="shared" si="2466"/>
      </c>
      <c r="AD1117" s="459">
        <f t="shared" si="2466"/>
      </c>
      <c r="AE1117" s="964">
        <f t="shared" si="2467"/>
      </c>
      <c r="AF1117" s="459">
        <f t="shared" si="2467"/>
      </c>
      <c r="AG1117" s="459">
        <f t="shared" si="2468"/>
      </c>
      <c r="AH1117" s="459">
        <f t="shared" si="2468"/>
      </c>
      <c r="AI1117" s="459">
        <f t="shared" si="2468"/>
      </c>
      <c r="AJ1117" s="964">
        <f t="shared" si="2469"/>
      </c>
      <c r="AK1117" s="459">
        <f t="shared" si="2469"/>
      </c>
      <c r="AL1117" s="459">
        <f t="shared" si="2470"/>
      </c>
      <c r="AM1117" s="459">
        <f t="shared" si="2470"/>
      </c>
      <c r="AN1117" s="459">
        <f t="shared" si="2470"/>
      </c>
      <c r="AO1117" s="964">
        <f t="shared" si="2471"/>
      </c>
      <c r="AP1117" s="459">
        <f t="shared" si="2471"/>
      </c>
      <c r="AQ1117" s="459">
        <f t="shared" si="2472"/>
      </c>
      <c r="AR1117" s="459">
        <f t="shared" si="2472"/>
      </c>
      <c r="AS1117" s="459">
        <f t="shared" si="2472"/>
      </c>
      <c r="AT1117" s="964">
        <f t="shared" si="2473"/>
      </c>
      <c r="AU1117" s="459">
        <f t="shared" si="2473"/>
      </c>
      <c r="AV1117" s="459">
        <f t="shared" si="2474"/>
      </c>
      <c r="AW1117" s="459">
        <f t="shared" si="2474"/>
      </c>
      <c r="AX1117" s="459">
        <f t="shared" si="2474"/>
      </c>
      <c r="AY1117" s="964">
        <f t="shared" si="2475"/>
      </c>
      <c r="AZ1117" s="459">
        <f t="shared" si="2475"/>
      </c>
      <c r="BA1117" s="459">
        <f t="shared" si="2476"/>
      </c>
      <c r="BB1117" s="459">
        <f t="shared" si="2476"/>
      </c>
      <c r="BC1117" s="459">
        <f t="shared" si="2476"/>
      </c>
      <c r="BD1117" s="964">
        <f t="shared" si="2477"/>
      </c>
      <c r="BE1117" s="459">
        <f t="shared" si="2477"/>
      </c>
      <c r="BF1117" s="459">
        <f t="shared" si="2478"/>
      </c>
      <c r="BG1117" s="459">
        <f t="shared" si="2478"/>
      </c>
      <c r="BH1117" s="459">
        <f t="shared" si="2478"/>
      </c>
      <c r="BI1117" s="964">
        <f t="shared" si="2479"/>
      </c>
      <c r="BJ1117" s="459">
        <f t="shared" si="2479"/>
      </c>
      <c r="BK1117" s="459">
        <f t="shared" si="2480"/>
      </c>
      <c r="BL1117" s="459">
        <f t="shared" si="2480"/>
      </c>
      <c r="BM1117" s="459">
        <f t="shared" si="2480"/>
      </c>
      <c r="BN1117" s="964">
        <f t="shared" si="2481"/>
      </c>
      <c r="BO1117" s="459">
        <f t="shared" si="2481"/>
      </c>
      <c r="BP1117" s="459">
        <f t="shared" si="2482"/>
      </c>
      <c r="BQ1117" s="459">
        <f t="shared" si="2483"/>
      </c>
      <c r="BR1117" s="459">
        <f t="shared" si="2484"/>
      </c>
      <c r="BS1117" s="964">
        <f t="shared" si="2485"/>
      </c>
      <c r="BT1117" s="795">
        <f t="shared" si="2486"/>
      </c>
      <c r="BU1117" s="757">
        <f>BU1227-BT1227</f>
      </c>
      <c r="BV1117" s="757">
        <f>BV1227-BU1227</f>
      </c>
      <c r="BW1117" s="757">
        <f>BW1227-BV1227</f>
      </c>
      <c r="BX1117" s="962">
        <f t="shared" si="2487"/>
      </c>
      <c r="BY1117" s="757">
        <f>BY1227-BX1227</f>
      </c>
      <c r="BZ1117" s="757">
        <f>BZ1227-BY1227</f>
      </c>
      <c r="CA1117" s="757">
        <f>CA1227-BZ1227</f>
      </c>
      <c r="CB1117" s="757">
        <f>CB1227-CA1227</f>
      </c>
      <c r="CC1117" s="962">
        <f t="shared" si="2488"/>
      </c>
      <c r="CD1117" s="962">
        <f>CD1227-CC1227</f>
      </c>
      <c r="CE1117" s="962">
        <f>CE1227-CD1227</f>
      </c>
      <c r="CF1117" s="962">
        <f>CF1227-CE1227</f>
      </c>
      <c r="CG1117" s="459"/>
    </row>
    <row r="1118" spans="1:85" x14ac:dyDescent="0.3">
      <c r="A1118" s="182" t="str">
        <f t="shared" si="2415"/>
      </c>
      <c r="B1118" s="414"/>
      <c r="C1118" s="964">
        <f t="shared" si="2457"/>
      </c>
      <c r="D1118" s="964">
        <f t="shared" si="2457"/>
      </c>
      <c r="E1118" s="964">
        <f t="shared" si="2457"/>
      </c>
      <c r="F1118" s="964">
        <f t="shared" si="2457"/>
      </c>
      <c r="G1118" s="459">
        <f t="shared" si="2457"/>
      </c>
      <c r="H1118" s="459">
        <f t="shared" si="2458"/>
      </c>
      <c r="I1118" s="459">
        <f t="shared" si="2458"/>
      </c>
      <c r="J1118" s="459">
        <f t="shared" si="2458"/>
      </c>
      <c r="K1118" s="964">
        <f t="shared" si="2459"/>
      </c>
      <c r="L1118" s="459">
        <f t="shared" si="2459"/>
      </c>
      <c r="M1118" s="459">
        <f t="shared" si="2460"/>
      </c>
      <c r="N1118" s="459">
        <f t="shared" si="2460"/>
      </c>
      <c r="O1118" s="459">
        <f t="shared" si="2460"/>
      </c>
      <c r="P1118" s="964">
        <f t="shared" si="2461"/>
      </c>
      <c r="Q1118" s="459">
        <f t="shared" si="2461"/>
      </c>
      <c r="R1118" s="459">
        <f t="shared" si="2462"/>
      </c>
      <c r="S1118" s="459">
        <f t="shared" si="2462"/>
      </c>
      <c r="T1118" s="459">
        <f t="shared" si="2462"/>
      </c>
      <c r="U1118" s="964">
        <f t="shared" si="2463"/>
      </c>
      <c r="V1118" s="459">
        <f t="shared" si="2463"/>
      </c>
      <c r="W1118" s="459">
        <f t="shared" si="2464"/>
      </c>
      <c r="X1118" s="459">
        <f t="shared" si="2464"/>
      </c>
      <c r="Y1118" s="459">
        <f t="shared" si="2464"/>
      </c>
      <c r="Z1118" s="964">
        <f t="shared" si="2465"/>
      </c>
      <c r="AA1118" s="459">
        <f t="shared" si="2465"/>
      </c>
      <c r="AB1118" s="459">
        <f t="shared" si="2466"/>
      </c>
      <c r="AC1118" s="459">
        <f t="shared" si="2466"/>
      </c>
      <c r="AD1118" s="459">
        <f t="shared" si="2466"/>
      </c>
      <c r="AE1118" s="964">
        <f t="shared" si="2467"/>
      </c>
      <c r="AF1118" s="459">
        <f t="shared" si="2467"/>
      </c>
      <c r="AG1118" s="459">
        <f t="shared" si="2468"/>
      </c>
      <c r="AH1118" s="459">
        <f t="shared" si="2468"/>
      </c>
      <c r="AI1118" s="459">
        <f t="shared" si="2468"/>
      </c>
      <c r="AJ1118" s="964">
        <f t="shared" si="2469"/>
      </c>
      <c r="AK1118" s="459">
        <f t="shared" si="2469"/>
      </c>
      <c r="AL1118" s="459">
        <f t="shared" si="2470"/>
      </c>
      <c r="AM1118" s="459">
        <f t="shared" si="2470"/>
      </c>
      <c r="AN1118" s="459">
        <f t="shared" si="2470"/>
      </c>
      <c r="AO1118" s="964">
        <f t="shared" si="2471"/>
      </c>
      <c r="AP1118" s="459">
        <f t="shared" si="2471"/>
      </c>
      <c r="AQ1118" s="459">
        <f t="shared" si="2472"/>
      </c>
      <c r="AR1118" s="459">
        <f t="shared" si="2472"/>
      </c>
      <c r="AS1118" s="459">
        <f t="shared" si="2472"/>
      </c>
      <c r="AT1118" s="964">
        <f t="shared" si="2473"/>
      </c>
      <c r="AU1118" s="459">
        <f t="shared" si="2473"/>
      </c>
      <c r="AV1118" s="459">
        <f t="shared" si="2474"/>
      </c>
      <c r="AW1118" s="459">
        <f t="shared" si="2474"/>
      </c>
      <c r="AX1118" s="459">
        <f t="shared" si="2474"/>
      </c>
      <c r="AY1118" s="964">
        <f t="shared" si="2475"/>
      </c>
      <c r="AZ1118" s="459">
        <f t="shared" si="2475"/>
      </c>
      <c r="BA1118" s="459">
        <f t="shared" si="2476"/>
      </c>
      <c r="BB1118" s="459">
        <f t="shared" si="2476"/>
      </c>
      <c r="BC1118" s="459">
        <f t="shared" si="2476"/>
      </c>
      <c r="BD1118" s="964">
        <f t="shared" si="2477"/>
      </c>
      <c r="BE1118" s="459">
        <f t="shared" si="2477"/>
      </c>
      <c r="BF1118" s="459">
        <f t="shared" si="2478"/>
      </c>
      <c r="BG1118" s="459">
        <f t="shared" si="2478"/>
      </c>
      <c r="BH1118" s="459">
        <f t="shared" si="2478"/>
      </c>
      <c r="BI1118" s="964">
        <f t="shared" si="2479"/>
      </c>
      <c r="BJ1118" s="459">
        <f t="shared" si="2479"/>
      </c>
      <c r="BK1118" s="459">
        <f t="shared" si="2480"/>
      </c>
      <c r="BL1118" s="459">
        <f t="shared" si="2480"/>
      </c>
      <c r="BM1118" s="459">
        <f t="shared" si="2480"/>
      </c>
      <c r="BN1118" s="964">
        <f t="shared" si="2481"/>
      </c>
      <c r="BO1118" s="459">
        <f t="shared" si="2481"/>
      </c>
      <c r="BP1118" s="459">
        <f t="shared" si="2482"/>
      </c>
      <c r="BQ1118" s="459">
        <f t="shared" si="2483"/>
      </c>
      <c r="BR1118" s="459">
        <f t="shared" si="2484"/>
      </c>
      <c r="BS1118" s="964">
        <f t="shared" si="2485"/>
      </c>
      <c r="BT1118" s="795">
        <f t="shared" si="2486"/>
      </c>
      <c r="BU1118" s="757">
        <f>+BU1229-BT1229</f>
      </c>
      <c r="BV1118" s="757">
        <f>+BV1229-BU1229</f>
      </c>
      <c r="BW1118" s="757">
        <f>+BW1229-BV1229</f>
      </c>
      <c r="BX1118" s="962">
        <f t="shared" si="2487"/>
      </c>
      <c r="BY1118" s="757">
        <f>+BY1229-BX1229</f>
      </c>
      <c r="BZ1118" s="757">
        <f>+BZ1229-BY1229</f>
      </c>
      <c r="CA1118" s="757">
        <f>+CA1229-BZ1229</f>
      </c>
      <c r="CB1118" s="757">
        <f>+CB1229-CA1229</f>
      </c>
      <c r="CC1118" s="962">
        <f t="shared" si="2488"/>
      </c>
      <c r="CD1118" s="962">
        <f>+CD1229-CC1229</f>
      </c>
      <c r="CE1118" s="962">
        <f>+CE1229-CD1229</f>
      </c>
      <c r="CF1118" s="962">
        <f>+CF1229-CE1229</f>
      </c>
      <c r="CG1118" s="459"/>
    </row>
    <row r="1119" spans="1:85" x14ac:dyDescent="0.3">
      <c r="A1119" s="182" t="str">
        <f t="shared" si="2415"/>
      </c>
      <c r="B1119" s="414"/>
      <c r="C1119" s="964">
        <f t="shared" si="2457"/>
      </c>
      <c r="D1119" s="964">
        <f t="shared" si="2457"/>
      </c>
      <c r="E1119" s="964">
        <f t="shared" si="2457"/>
      </c>
      <c r="F1119" s="964">
        <f t="shared" si="2457"/>
      </c>
      <c r="G1119" s="459">
        <f t="shared" si="2457"/>
      </c>
      <c r="H1119" s="459">
        <f t="shared" si="2458"/>
      </c>
      <c r="I1119" s="459">
        <f t="shared" si="2458"/>
      </c>
      <c r="J1119" s="459">
        <f t="shared" si="2458"/>
      </c>
      <c r="K1119" s="964">
        <f t="shared" si="2459"/>
      </c>
      <c r="L1119" s="459">
        <f t="shared" si="2459"/>
      </c>
      <c r="M1119" s="459">
        <f t="shared" si="2460"/>
      </c>
      <c r="N1119" s="459">
        <f t="shared" si="2460"/>
      </c>
      <c r="O1119" s="459">
        <f t="shared" si="2460"/>
      </c>
      <c r="P1119" s="964">
        <f t="shared" si="2461"/>
      </c>
      <c r="Q1119" s="459">
        <f t="shared" si="2461"/>
      </c>
      <c r="R1119" s="459">
        <f t="shared" si="2462"/>
      </c>
      <c r="S1119" s="459">
        <f t="shared" si="2462"/>
      </c>
      <c r="T1119" s="459">
        <f t="shared" si="2462"/>
      </c>
      <c r="U1119" s="964">
        <f t="shared" si="2463"/>
      </c>
      <c r="V1119" s="459">
        <f t="shared" si="2463"/>
      </c>
      <c r="W1119" s="459">
        <f t="shared" si="2464"/>
      </c>
      <c r="X1119" s="459">
        <f t="shared" si="2464"/>
      </c>
      <c r="Y1119" s="459">
        <f t="shared" si="2464"/>
      </c>
      <c r="Z1119" s="964">
        <f t="shared" si="2465"/>
      </c>
      <c r="AA1119" s="459">
        <f t="shared" si="2465"/>
      </c>
      <c r="AB1119" s="459">
        <f t="shared" si="2466"/>
      </c>
      <c r="AC1119" s="459">
        <f t="shared" si="2466"/>
      </c>
      <c r="AD1119" s="459">
        <f t="shared" si="2466"/>
      </c>
      <c r="AE1119" s="964">
        <f t="shared" si="2467"/>
      </c>
      <c r="AF1119" s="459">
        <f t="shared" si="2467"/>
      </c>
      <c r="AG1119" s="459">
        <f t="shared" si="2468"/>
      </c>
      <c r="AH1119" s="459">
        <f t="shared" si="2468"/>
      </c>
      <c r="AI1119" s="459">
        <f t="shared" si="2468"/>
      </c>
      <c r="AJ1119" s="964">
        <f t="shared" si="2469"/>
      </c>
      <c r="AK1119" s="459">
        <f t="shared" si="2469"/>
      </c>
      <c r="AL1119" s="459">
        <f t="shared" si="2470"/>
      </c>
      <c r="AM1119" s="459">
        <f t="shared" si="2470"/>
      </c>
      <c r="AN1119" s="459">
        <f t="shared" si="2470"/>
      </c>
      <c r="AO1119" s="964">
        <f t="shared" si="2471"/>
      </c>
      <c r="AP1119" s="459">
        <f t="shared" si="2471"/>
      </c>
      <c r="AQ1119" s="459">
        <f t="shared" si="2472"/>
      </c>
      <c r="AR1119" s="459">
        <f t="shared" si="2472"/>
      </c>
      <c r="AS1119" s="459">
        <f t="shared" si="2472"/>
      </c>
      <c r="AT1119" s="964">
        <f t="shared" si="2473"/>
      </c>
      <c r="AU1119" s="459">
        <f t="shared" si="2473"/>
      </c>
      <c r="AV1119" s="459">
        <f t="shared" si="2474"/>
      </c>
      <c r="AW1119" s="459">
        <f t="shared" si="2474"/>
      </c>
      <c r="AX1119" s="459">
        <f t="shared" si="2474"/>
      </c>
      <c r="AY1119" s="964">
        <f t="shared" si="2475"/>
      </c>
      <c r="AZ1119" s="459">
        <f t="shared" si="2475"/>
      </c>
      <c r="BA1119" s="459">
        <f t="shared" si="2476"/>
      </c>
      <c r="BB1119" s="459">
        <f t="shared" si="2476"/>
      </c>
      <c r="BC1119" s="459">
        <f t="shared" si="2476"/>
      </c>
      <c r="BD1119" s="964">
        <f t="shared" si="2477"/>
      </c>
      <c r="BE1119" s="459">
        <f t="shared" si="2477"/>
      </c>
      <c r="BF1119" s="459">
        <f t="shared" si="2478"/>
      </c>
      <c r="BG1119" s="459">
        <f t="shared" si="2478"/>
      </c>
      <c r="BH1119" s="459">
        <f t="shared" si="2478"/>
      </c>
      <c r="BI1119" s="964">
        <f t="shared" si="2479"/>
      </c>
      <c r="BJ1119" s="459">
        <f t="shared" si="2479"/>
      </c>
      <c r="BK1119" s="459">
        <f t="shared" si="2480"/>
      </c>
      <c r="BL1119" s="459">
        <f t="shared" si="2480"/>
      </c>
      <c r="BM1119" s="459">
        <f t="shared" si="2480"/>
      </c>
      <c r="BN1119" s="964">
        <f t="shared" si="2481"/>
      </c>
      <c r="BO1119" s="459">
        <f t="shared" si="2481"/>
      </c>
      <c r="BP1119" s="459">
        <f t="shared" si="2482"/>
      </c>
      <c r="BQ1119" s="459">
        <f t="shared" si="2483"/>
      </c>
      <c r="BR1119" s="459">
        <f t="shared" si="2484"/>
      </c>
      <c r="BS1119" s="964">
        <f t="shared" si="2485"/>
      </c>
      <c r="BT1119" s="795">
        <f t="shared" si="2486"/>
      </c>
      <c r="BU1119" s="757">
        <f>+BU1233-BT1233</f>
      </c>
      <c r="BV1119" s="757">
        <f>+BV1233-BU1233</f>
      </c>
      <c r="BW1119" s="757">
        <f>+BW1233-BV1233</f>
      </c>
      <c r="BX1119" s="962">
        <f t="shared" si="2487"/>
      </c>
      <c r="BY1119" s="757">
        <f>+BY1233-BX1233</f>
      </c>
      <c r="BZ1119" s="757">
        <f>+BZ1233-BY1233</f>
      </c>
      <c r="CA1119" s="757">
        <f>+CA1233-BZ1233</f>
      </c>
      <c r="CB1119" s="757">
        <f>+CB1233-CA1233</f>
      </c>
      <c r="CC1119" s="962">
        <f t="shared" si="2488"/>
      </c>
      <c r="CD1119" s="962">
        <f>CD1233-CC1233</f>
      </c>
      <c r="CE1119" s="962">
        <f>CE1233-CD1233</f>
      </c>
      <c r="CF1119" s="962">
        <f>CF1233-CE1233</f>
      </c>
      <c r="CG1119" s="459"/>
    </row>
    <row r="1120" spans="1:85" x14ac:dyDescent="0.3">
      <c r="A1120" s="30" t="str">
        <f t="shared" si="2415"/>
      </c>
      <c r="B1120" s="416"/>
      <c r="C1120" s="1005">
        <f t="shared" si="2457"/>
      </c>
      <c r="D1120" s="1005">
        <f t="shared" si="2457"/>
      </c>
      <c r="E1120" s="1005">
        <f t="shared" si="2457"/>
      </c>
      <c r="F1120" s="1005">
        <f t="shared" si="2457"/>
      </c>
      <c r="G1120" s="800">
        <f t="shared" si="2457"/>
      </c>
      <c r="H1120" s="800">
        <f t="shared" si="2458"/>
      </c>
      <c r="I1120" s="800">
        <f t="shared" si="2458"/>
      </c>
      <c r="J1120" s="800">
        <f t="shared" si="2458"/>
      </c>
      <c r="K1120" s="1005">
        <f t="shared" si="2459"/>
      </c>
      <c r="L1120" s="800">
        <f t="shared" si="2459"/>
      </c>
      <c r="M1120" s="800">
        <f t="shared" si="2460"/>
      </c>
      <c r="N1120" s="800">
        <f t="shared" si="2460"/>
      </c>
      <c r="O1120" s="800">
        <f t="shared" si="2460"/>
      </c>
      <c r="P1120" s="1005">
        <f t="shared" si="2461"/>
      </c>
      <c r="Q1120" s="800">
        <f t="shared" si="2461"/>
      </c>
      <c r="R1120" s="800">
        <f t="shared" si="2462"/>
      </c>
      <c r="S1120" s="800">
        <f t="shared" si="2462"/>
      </c>
      <c r="T1120" s="800">
        <f t="shared" si="2462"/>
      </c>
      <c r="U1120" s="1005">
        <f t="shared" si="2463"/>
      </c>
      <c r="V1120" s="800">
        <f t="shared" si="2463"/>
      </c>
      <c r="W1120" s="800">
        <f t="shared" si="2464"/>
      </c>
      <c r="X1120" s="800">
        <f t="shared" si="2464"/>
      </c>
      <c r="Y1120" s="800">
        <f t="shared" si="2464"/>
      </c>
      <c r="Z1120" s="1005">
        <f t="shared" si="2465"/>
      </c>
      <c r="AA1120" s="800">
        <f t="shared" si="2465"/>
      </c>
      <c r="AB1120" s="800">
        <f t="shared" si="2466"/>
      </c>
      <c r="AC1120" s="800">
        <f t="shared" si="2466"/>
      </c>
      <c r="AD1120" s="800">
        <f t="shared" si="2466"/>
      </c>
      <c r="AE1120" s="1005">
        <f t="shared" si="2467"/>
      </c>
      <c r="AF1120" s="800">
        <f t="shared" si="2467"/>
      </c>
      <c r="AG1120" s="800">
        <f t="shared" si="2468"/>
      </c>
      <c r="AH1120" s="800">
        <f t="shared" si="2468"/>
      </c>
      <c r="AI1120" s="800">
        <f t="shared" si="2468"/>
      </c>
      <c r="AJ1120" s="1005">
        <f t="shared" si="2469"/>
      </c>
      <c r="AK1120" s="800">
        <f t="shared" si="2469"/>
      </c>
      <c r="AL1120" s="800">
        <f t="shared" si="2470"/>
      </c>
      <c r="AM1120" s="800">
        <f t="shared" si="2470"/>
      </c>
      <c r="AN1120" s="800">
        <f t="shared" si="2470"/>
      </c>
      <c r="AO1120" s="1005">
        <f t="shared" si="2471"/>
      </c>
      <c r="AP1120" s="800">
        <f t="shared" si="2471"/>
      </c>
      <c r="AQ1120" s="800">
        <f t="shared" si="2472"/>
      </c>
      <c r="AR1120" s="800">
        <f t="shared" si="2472"/>
      </c>
      <c r="AS1120" s="800">
        <f t="shared" si="2472"/>
      </c>
      <c r="AT1120" s="1005">
        <f t="shared" si="2473"/>
      </c>
      <c r="AU1120" s="800">
        <f t="shared" si="2473"/>
      </c>
      <c r="AV1120" s="800">
        <f t="shared" si="2474"/>
      </c>
      <c r="AW1120" s="800">
        <f t="shared" si="2474"/>
      </c>
      <c r="AX1120" s="800">
        <f t="shared" si="2474"/>
      </c>
      <c r="AY1120" s="1005">
        <f t="shared" si="2475"/>
      </c>
      <c r="AZ1120" s="800">
        <f t="shared" si="2475"/>
      </c>
      <c r="BA1120" s="800">
        <f t="shared" si="2476"/>
      </c>
      <c r="BB1120" s="800">
        <f t="shared" si="2476"/>
      </c>
      <c r="BC1120" s="800">
        <f t="shared" si="2476"/>
      </c>
      <c r="BD1120" s="1005">
        <f t="shared" si="2477"/>
      </c>
      <c r="BE1120" s="800">
        <f t="shared" si="2477"/>
      </c>
      <c r="BF1120" s="800">
        <f t="shared" si="2478"/>
      </c>
      <c r="BG1120" s="800">
        <f t="shared" si="2478"/>
      </c>
      <c r="BH1120" s="800">
        <f t="shared" si="2478"/>
      </c>
      <c r="BI1120" s="1005">
        <f t="shared" si="2479"/>
      </c>
      <c r="BJ1120" s="800">
        <f t="shared" si="2479"/>
      </c>
      <c r="BK1120" s="800">
        <f t="shared" si="2480"/>
      </c>
      <c r="BL1120" s="800">
        <f t="shared" si="2480"/>
      </c>
      <c r="BM1120" s="800">
        <f t="shared" si="2480"/>
      </c>
      <c r="BN1120" s="1005">
        <f t="shared" si="2481"/>
      </c>
      <c r="BO1120" s="800">
        <f t="shared" si="2481"/>
      </c>
      <c r="BP1120" s="800">
        <f t="shared" si="2482"/>
      </c>
      <c r="BQ1120" s="800">
        <f t="shared" si="2483"/>
      </c>
      <c r="BR1120" s="800">
        <f t="shared" si="2484"/>
      </c>
      <c r="BS1120" s="1005">
        <f t="shared" si="2485"/>
      </c>
      <c r="BT1120" s="808">
        <f t="shared" si="2486"/>
      </c>
      <c r="BU1120" s="761">
        <f>+BU942+BU943-BU934</f>
      </c>
      <c r="BV1120" s="761">
        <f>+BV942+BV943-BV934</f>
      </c>
      <c r="BW1120" s="761">
        <f>+BW942+BW943-BW934</f>
      </c>
      <c r="BX1120" s="984">
        <f t="shared" si="2487"/>
      </c>
      <c r="BY1120" s="761">
        <f>+BY942+BY943-BY934</f>
      </c>
      <c r="BZ1120" s="761">
        <f>+BZ942+BZ943-BZ934</f>
      </c>
      <c r="CA1120" s="761">
        <f>+CA942+CA943-CA934</f>
      </c>
      <c r="CB1120" s="761">
        <f>+CB942+CB943-CB934</f>
      </c>
      <c r="CC1120" s="984">
        <f t="shared" si="2488"/>
      </c>
      <c r="CD1120" s="984">
        <f>+CD942+CD943-CD934</f>
      </c>
      <c r="CE1120" s="984">
        <f>+CE942+CE943-CE934</f>
      </c>
      <c r="CF1120" s="984">
        <f>+CF942+CF943-CF934</f>
      </c>
      <c r="CG1120" s="459"/>
    </row>
    <row r="1121" spans="1:85" x14ac:dyDescent="0.3">
      <c r="A1121" s="2" t="str">
        <f t="shared" si="2415"/>
      </c>
      <c r="B1121" s="422"/>
      <c r="C1121" s="986">
        <f t="shared" ref="C1121:AH1121" si="2489">SUM(C1114:C1120)</f>
      </c>
      <c r="D1121" s="986">
        <f t="shared" si="2489"/>
      </c>
      <c r="E1121" s="986">
        <f t="shared" si="2489"/>
      </c>
      <c r="F1121" s="986">
        <f t="shared" si="2489"/>
      </c>
      <c r="G1121" s="792">
        <f t="shared" si="2489"/>
      </c>
      <c r="H1121" s="792">
        <f t="shared" si="2489"/>
      </c>
      <c r="I1121" s="792">
        <f t="shared" si="2489"/>
      </c>
      <c r="J1121" s="792">
        <f t="shared" si="2489"/>
      </c>
      <c r="K1121" s="986">
        <f t="shared" si="2489"/>
      </c>
      <c r="L1121" s="792">
        <f t="shared" si="2489"/>
      </c>
      <c r="M1121" s="792">
        <f t="shared" si="2489"/>
      </c>
      <c r="N1121" s="792">
        <f t="shared" si="2489"/>
      </c>
      <c r="O1121" s="792">
        <f t="shared" si="2489"/>
      </c>
      <c r="P1121" s="986">
        <f t="shared" si="2489"/>
      </c>
      <c r="Q1121" s="792">
        <f t="shared" si="2489"/>
      </c>
      <c r="R1121" s="792">
        <f t="shared" si="2489"/>
      </c>
      <c r="S1121" s="792">
        <f t="shared" si="2489"/>
      </c>
      <c r="T1121" s="792">
        <f t="shared" si="2489"/>
      </c>
      <c r="U1121" s="986">
        <f t="shared" si="2489"/>
      </c>
      <c r="V1121" s="792">
        <f t="shared" si="2489"/>
      </c>
      <c r="W1121" s="792">
        <f t="shared" si="2489"/>
      </c>
      <c r="X1121" s="792">
        <f t="shared" si="2489"/>
      </c>
      <c r="Y1121" s="792">
        <f t="shared" si="2489"/>
      </c>
      <c r="Z1121" s="986">
        <f t="shared" si="2489"/>
      </c>
      <c r="AA1121" s="792">
        <f t="shared" si="2489"/>
      </c>
      <c r="AB1121" s="792">
        <f t="shared" si="2489"/>
      </c>
      <c r="AC1121" s="792">
        <f t="shared" si="2489"/>
      </c>
      <c r="AD1121" s="792">
        <f t="shared" si="2489"/>
      </c>
      <c r="AE1121" s="986">
        <f t="shared" si="2489"/>
      </c>
      <c r="AF1121" s="792">
        <f t="shared" si="2489"/>
      </c>
      <c r="AG1121" s="792">
        <f t="shared" si="2489"/>
      </c>
      <c r="AH1121" s="792">
        <f t="shared" si="2489"/>
      </c>
      <c r="AI1121" s="792">
        <f t="shared" ref="AI1121:AQ1121" si="2490">SUM(AI1114:AI1120)</f>
      </c>
      <c r="AJ1121" s="986">
        <f t="shared" si="2490"/>
      </c>
      <c r="AK1121" s="792">
        <f t="shared" si="2490"/>
      </c>
      <c r="AL1121" s="792">
        <f t="shared" si="2490"/>
      </c>
      <c r="AM1121" s="792">
        <f t="shared" si="2490"/>
      </c>
      <c r="AN1121" s="792">
        <f t="shared" si="2490"/>
      </c>
      <c r="AO1121" s="986">
        <f t="shared" si="2490"/>
      </c>
      <c r="AP1121" s="792">
        <f t="shared" si="2490"/>
      </c>
      <c r="AQ1121" s="792">
        <f t="shared" si="2490"/>
      </c>
      <c r="AR1121" s="792">
        <f>SUM(AR1114:AR1120)</f>
      </c>
      <c r="AS1121" s="792">
        <f>SUM(AS1114:AS1120)</f>
      </c>
      <c r="AT1121" s="986">
        <f>SUM(AT1114:AT1120)</f>
      </c>
      <c r="AU1121" s="792">
        <f t="shared" ref="AU1121" si="2491">SUM(AU1114:AU1120)</f>
      </c>
      <c r="AV1121" s="792">
        <f t="shared" ref="AV1121:BA1121" si="2492">SUM(AV1114:AV1120)</f>
      </c>
      <c r="AW1121" s="792">
        <f t="shared" si="2492"/>
      </c>
      <c r="AX1121" s="792">
        <f t="shared" si="2492"/>
      </c>
      <c r="AY1121" s="986">
        <f t="shared" si="2492"/>
      </c>
      <c r="AZ1121" s="792">
        <f t="shared" si="2492"/>
      </c>
      <c r="BA1121" s="792">
        <f t="shared" si="2492"/>
      </c>
      <c r="BB1121" s="792">
        <f t="shared" ref="BB1121:BD1121" si="2493">SUM(BB1114:BB1120)</f>
      </c>
      <c r="BC1121" s="792">
        <f t="shared" si="2493"/>
      </c>
      <c r="BD1121" s="986">
        <f t="shared" si="2493"/>
      </c>
      <c r="BE1121" s="792">
        <f t="shared" ref="BE1121:BI1121" si="2494">SUM(BE1114:BE1120)</f>
      </c>
      <c r="BF1121" s="792">
        <f t="shared" si="2494"/>
      </c>
      <c r="BG1121" s="792">
        <f t="shared" si="2494"/>
      </c>
      <c r="BH1121" s="792">
        <f t="shared" si="2494"/>
      </c>
      <c r="BI1121" s="986">
        <f t="shared" si="2494"/>
      </c>
      <c r="BJ1121" s="792">
        <f t="shared" ref="BJ1121:BX1121" si="2495">SUM(BJ1114:BJ1120)</f>
      </c>
      <c r="BK1121" s="792">
        <f t="shared" si="2495"/>
      </c>
      <c r="BL1121" s="792">
        <f t="shared" si="2495"/>
      </c>
      <c r="BM1121" s="792">
        <f t="shared" si="2495"/>
      </c>
      <c r="BN1121" s="986">
        <f t="shared" si="2495"/>
      </c>
      <c r="BO1121" s="792">
        <f t="shared" ref="BO1121:BW1121" si="2496">SUM(BO1114:BO1120)</f>
      </c>
      <c r="BP1121" s="792">
        <f t="shared" si="2496"/>
      </c>
      <c r="BQ1121" s="792">
        <f t="shared" si="2496"/>
      </c>
      <c r="BR1121" s="792">
        <f t="shared" si="2496"/>
      </c>
      <c r="BS1121" s="986">
        <f t="shared" si="2496"/>
      </c>
      <c r="BT1121" s="793">
        <f>SUM(BT1114:BT1120)</f>
      </c>
      <c r="BU1121" s="791">
        <f t="shared" si="2496"/>
      </c>
      <c r="BV1121" s="791">
        <f t="shared" si="2496"/>
      </c>
      <c r="BW1121" s="791">
        <f t="shared" si="2496"/>
      </c>
      <c r="BX1121" s="965">
        <f t="shared" si="2495"/>
      </c>
      <c r="BY1121" s="791">
        <f t="shared" ref="BY1121:CF1121" si="2497">SUM(BY1114:BY1120)</f>
      </c>
      <c r="BZ1121" s="791">
        <f t="shared" si="2497"/>
      </c>
      <c r="CA1121" s="791">
        <f t="shared" si="2497"/>
      </c>
      <c r="CB1121" s="791">
        <f t="shared" si="2497"/>
      </c>
      <c r="CC1121" s="965">
        <f t="shared" si="2497"/>
      </c>
      <c r="CD1121" s="965">
        <f t="shared" si="2497"/>
      </c>
      <c r="CE1121" s="965">
        <f t="shared" si="2497"/>
      </c>
      <c r="CF1121" s="965">
        <f t="shared" si="2497"/>
      </c>
      <c r="CG1121" s="183"/>
    </row>
    <row r="1122" spans="1:85" x14ac:dyDescent="0.3">
      <c r="A1122" s="429"/>
      <c r="B1122" s="428"/>
      <c r="C1122" s="969"/>
      <c r="D1122" s="969"/>
      <c r="E1122" s="969"/>
      <c r="F1122" s="969"/>
      <c r="G1122" s="759"/>
      <c r="H1122" s="759"/>
      <c r="I1122" s="759"/>
      <c r="J1122" s="759"/>
      <c r="K1122" s="969"/>
      <c r="L1122" s="759"/>
      <c r="M1122" s="759"/>
      <c r="N1122" s="759"/>
      <c r="O1122" s="759"/>
      <c r="P1122" s="969"/>
      <c r="Q1122" s="759"/>
      <c r="R1122" s="759"/>
      <c r="S1122" s="759"/>
      <c r="T1122" s="759"/>
      <c r="U1122" s="969"/>
      <c r="V1122" s="759"/>
      <c r="W1122" s="759"/>
      <c r="X1122" s="759"/>
      <c r="Y1122" s="759"/>
      <c r="Z1122" s="969"/>
      <c r="AA1122" s="759"/>
      <c r="AB1122" s="759"/>
      <c r="AC1122" s="759"/>
      <c r="AD1122" s="759"/>
      <c r="AE1122" s="969"/>
      <c r="AF1122" s="759"/>
      <c r="AG1122" s="759"/>
      <c r="AH1122" s="759"/>
      <c r="AI1122" s="759"/>
      <c r="AJ1122" s="969"/>
      <c r="AK1122" s="759"/>
      <c r="AL1122" s="759"/>
      <c r="AM1122" s="759"/>
      <c r="AN1122" s="759"/>
      <c r="AO1122" s="969"/>
      <c r="AP1122" s="759"/>
      <c r="AQ1122" s="759"/>
      <c r="AR1122" s="759"/>
      <c r="AS1122" s="759"/>
      <c r="AT1122" s="969"/>
      <c r="AU1122" s="759"/>
      <c r="AV1122" s="759"/>
      <c r="AW1122" s="759"/>
      <c r="AX1122" s="759"/>
      <c r="AY1122" s="969"/>
      <c r="AZ1122" s="759"/>
      <c r="BA1122" s="759"/>
      <c r="BB1122" s="759"/>
      <c r="BC1122" s="759"/>
      <c r="BD1122" s="969"/>
      <c r="BE1122" s="759"/>
      <c r="BF1122" s="759"/>
      <c r="BG1122" s="759"/>
      <c r="BH1122" s="759"/>
      <c r="BI1122" s="969"/>
      <c r="BJ1122" s="759"/>
      <c r="BK1122" s="759"/>
      <c r="BL1122" s="759"/>
      <c r="BM1122" s="759"/>
      <c r="BN1122" s="969"/>
      <c r="BO1122" s="759"/>
      <c r="BP1122" s="759"/>
      <c r="BQ1122" s="759"/>
      <c r="BR1122" s="759"/>
      <c r="BS1122" s="969"/>
      <c r="BT1122" s="760"/>
      <c r="BU1122" s="759"/>
      <c r="BV1122" s="759"/>
      <c r="BW1122" s="759"/>
      <c r="BX1122" s="969"/>
      <c r="BY1122" s="759"/>
      <c r="BZ1122" s="759"/>
      <c r="CA1122" s="759"/>
      <c r="CB1122" s="759"/>
      <c r="CC1122" s="969"/>
      <c r="CD1122" s="969"/>
      <c r="CE1122" s="969"/>
      <c r="CF1122" s="969"/>
      <c r="CG1122" s="183"/>
    </row>
    <row r="1123" spans="1:85" x14ac:dyDescent="0.3">
      <c r="A1123" s="4" t="str">
        <f t="shared" ref="A1123:A1135" si="2498">A1056</f>
      </c>
      <c r="B1123" s="428"/>
      <c r="C1123" s="969"/>
      <c r="D1123" s="969"/>
      <c r="E1123" s="969"/>
      <c r="F1123" s="969"/>
      <c r="G1123" s="759"/>
      <c r="H1123" s="759"/>
      <c r="I1123" s="759"/>
      <c r="J1123" s="759"/>
      <c r="K1123" s="969"/>
      <c r="L1123" s="759"/>
      <c r="M1123" s="759"/>
      <c r="N1123" s="759"/>
      <c r="O1123" s="759"/>
      <c r="P1123" s="969"/>
      <c r="Q1123" s="759"/>
      <c r="R1123" s="759"/>
      <c r="S1123" s="759"/>
      <c r="T1123" s="759"/>
      <c r="U1123" s="969"/>
      <c r="V1123" s="759"/>
      <c r="W1123" s="759"/>
      <c r="X1123" s="759"/>
      <c r="Y1123" s="759"/>
      <c r="Z1123" s="969"/>
      <c r="AA1123" s="759"/>
      <c r="AB1123" s="759"/>
      <c r="AC1123" s="759"/>
      <c r="AD1123" s="759"/>
      <c r="AE1123" s="969"/>
      <c r="AF1123" s="759"/>
      <c r="AG1123" s="759"/>
      <c r="AH1123" s="759"/>
      <c r="AI1123" s="759"/>
      <c r="AJ1123" s="969"/>
      <c r="AK1123" s="759"/>
      <c r="AL1123" s="759"/>
      <c r="AM1123" s="759"/>
      <c r="AN1123" s="759"/>
      <c r="AO1123" s="969"/>
      <c r="AP1123" s="759"/>
      <c r="AQ1123" s="759"/>
      <c r="AR1123" s="759"/>
      <c r="AS1123" s="759"/>
      <c r="AT1123" s="969"/>
      <c r="AU1123" s="759"/>
      <c r="AV1123" s="759"/>
      <c r="AW1123" s="759"/>
      <c r="AX1123" s="759"/>
      <c r="AY1123" s="969"/>
      <c r="AZ1123" s="759"/>
      <c r="BA1123" s="759"/>
      <c r="BB1123" s="759"/>
      <c r="BC1123" s="759"/>
      <c r="BD1123" s="969"/>
      <c r="BE1123" s="759"/>
      <c r="BF1123" s="759"/>
      <c r="BG1123" s="759"/>
      <c r="BH1123" s="759"/>
      <c r="BI1123" s="969"/>
      <c r="BJ1123" s="759"/>
      <c r="BK1123" s="759"/>
      <c r="BL1123" s="759"/>
      <c r="BM1123" s="759"/>
      <c r="BN1123" s="969"/>
      <c r="BO1123" s="759"/>
      <c r="BP1123" s="759"/>
      <c r="BQ1123" s="759"/>
      <c r="BR1123" s="759"/>
      <c r="BS1123" s="969"/>
      <c r="BT1123" s="760"/>
      <c r="BU1123" s="759"/>
      <c r="BV1123" s="759"/>
      <c r="BW1123" s="759"/>
      <c r="BX1123" s="969"/>
      <c r="BY1123" s="759"/>
      <c r="BZ1123" s="759"/>
      <c r="CA1123" s="759"/>
      <c r="CB1123" s="759"/>
      <c r="CC1123" s="969"/>
      <c r="CD1123" s="969"/>
      <c r="CE1123" s="969"/>
      <c r="CF1123" s="969"/>
      <c r="CG1123" s="183"/>
    </row>
    <row r="1124" spans="1:85" x14ac:dyDescent="0.3">
      <c r="A1124" s="182" t="str">
        <f t="shared" si="2498"/>
      </c>
      <c r="B1124" s="757"/>
      <c r="C1124" s="964">
        <f t="shared" ref="C1124:G1134" si="2499">C1057</f>
      </c>
      <c r="D1124" s="964">
        <f t="shared" si="2499"/>
      </c>
      <c r="E1124" s="964">
        <f t="shared" si="2499"/>
      </c>
      <c r="F1124" s="964">
        <f t="shared" si="2499"/>
      </c>
      <c r="G1124" s="459">
        <f t="shared" si="2499"/>
      </c>
      <c r="H1124" s="459">
        <f t="shared" ref="H1124:J1134" si="2500">H1057-G1057</f>
      </c>
      <c r="I1124" s="459">
        <f t="shared" si="2500"/>
      </c>
      <c r="J1124" s="459">
        <f t="shared" si="2500"/>
      </c>
      <c r="K1124" s="964">
        <f t="shared" ref="K1124:L1134" si="2501">K1057</f>
      </c>
      <c r="L1124" s="459">
        <f t="shared" si="2501"/>
      </c>
      <c r="M1124" s="459">
        <f t="shared" ref="M1124:O1134" si="2502">M1057-L1057</f>
      </c>
      <c r="N1124" s="459">
        <f t="shared" si="2502"/>
      </c>
      <c r="O1124" s="459">
        <f t="shared" si="2502"/>
      </c>
      <c r="P1124" s="964">
        <f t="shared" ref="P1124:Q1134" si="2503">P1057</f>
      </c>
      <c r="Q1124" s="459">
        <f t="shared" si="2503"/>
      </c>
      <c r="R1124" s="459">
        <f t="shared" ref="R1124:T1134" si="2504">R1057-Q1057</f>
      </c>
      <c r="S1124" s="459">
        <f t="shared" si="2504"/>
      </c>
      <c r="T1124" s="459">
        <f t="shared" si="2504"/>
      </c>
      <c r="U1124" s="964">
        <f t="shared" ref="U1124:V1134" si="2505">U1057</f>
      </c>
      <c r="V1124" s="459">
        <f t="shared" si="2505"/>
      </c>
      <c r="W1124" s="459">
        <f t="shared" ref="W1124:Y1134" si="2506">W1057-V1057</f>
      </c>
      <c r="X1124" s="459">
        <f t="shared" si="2506"/>
      </c>
      <c r="Y1124" s="459">
        <f t="shared" si="2506"/>
      </c>
      <c r="Z1124" s="964">
        <f t="shared" ref="Z1124:AA1134" si="2507">Z1057</f>
      </c>
      <c r="AA1124" s="459">
        <f t="shared" si="2507"/>
      </c>
      <c r="AB1124" s="459">
        <f t="shared" ref="AB1124:AD1134" si="2508">AB1057-AA1057</f>
      </c>
      <c r="AC1124" s="459">
        <f t="shared" si="2508"/>
      </c>
      <c r="AD1124" s="459">
        <f t="shared" si="2508"/>
      </c>
      <c r="AE1124" s="964">
        <f t="shared" ref="AE1124:AF1134" si="2509">AE1057</f>
      </c>
      <c r="AF1124" s="459">
        <f t="shared" si="2509"/>
      </c>
      <c r="AG1124" s="459">
        <f t="shared" ref="AG1124:AI1134" si="2510">AG1057-AF1057</f>
      </c>
      <c r="AH1124" s="459">
        <f t="shared" si="2510"/>
      </c>
      <c r="AI1124" s="459">
        <f t="shared" si="2510"/>
      </c>
      <c r="AJ1124" s="964">
        <f t="shared" ref="AJ1124:AK1134" si="2511">AJ1057</f>
      </c>
      <c r="AK1124" s="459">
        <f t="shared" si="2511"/>
      </c>
      <c r="AL1124" s="459">
        <f t="shared" ref="AL1124:AN1134" si="2512">AL1057-AK1057</f>
      </c>
      <c r="AM1124" s="459">
        <f t="shared" si="2512"/>
      </c>
      <c r="AN1124" s="459">
        <f t="shared" si="2512"/>
      </c>
      <c r="AO1124" s="964">
        <f t="shared" ref="AO1124:AP1134" si="2513">AO1057</f>
      </c>
      <c r="AP1124" s="459">
        <f t="shared" si="2513"/>
      </c>
      <c r="AQ1124" s="459">
        <f t="shared" ref="AQ1124:AS1134" si="2514">AQ1057-AP1057</f>
      </c>
      <c r="AR1124" s="459">
        <f t="shared" si="2514"/>
      </c>
      <c r="AS1124" s="459">
        <f t="shared" si="2514"/>
      </c>
      <c r="AT1124" s="964">
        <f t="shared" ref="AT1124:AU1134" si="2515">AT1057</f>
      </c>
      <c r="AU1124" s="459">
        <f t="shared" si="2515"/>
      </c>
      <c r="AV1124" s="459">
        <f t="shared" ref="AV1124:AX1134" si="2516">AV1057-AU1057</f>
      </c>
      <c r="AW1124" s="459">
        <f t="shared" si="2516"/>
      </c>
      <c r="AX1124" s="459">
        <f t="shared" si="2516"/>
      </c>
      <c r="AY1124" s="964">
        <f t="shared" ref="AY1124:AZ1134" si="2517">AY1057</f>
      </c>
      <c r="AZ1124" s="459">
        <f t="shared" si="2517"/>
      </c>
      <c r="BA1124" s="459">
        <f t="shared" ref="BA1124:BC1134" si="2518">BA1057-AZ1057</f>
      </c>
      <c r="BB1124" s="459">
        <f t="shared" si="2518"/>
      </c>
      <c r="BC1124" s="459">
        <f t="shared" si="2518"/>
      </c>
      <c r="BD1124" s="964">
        <f t="shared" ref="BD1124:BE1134" si="2519">BD1057</f>
      </c>
      <c r="BE1124" s="459">
        <f t="shared" si="2519"/>
      </c>
      <c r="BF1124" s="459">
        <f t="shared" ref="BF1124:BH1134" si="2520">BF1057-BE1057</f>
      </c>
      <c r="BG1124" s="459">
        <f t="shared" si="2520"/>
      </c>
      <c r="BH1124" s="459">
        <f t="shared" si="2520"/>
      </c>
      <c r="BI1124" s="964">
        <f t="shared" ref="BI1124:BJ1134" si="2521">BI1057</f>
      </c>
      <c r="BJ1124" s="459">
        <f t="shared" si="2521"/>
      </c>
      <c r="BK1124" s="459">
        <f t="shared" ref="BK1124:BM1134" si="2522">BK1057-BJ1057</f>
      </c>
      <c r="BL1124" s="459">
        <f t="shared" si="2522"/>
      </c>
      <c r="BM1124" s="459">
        <f t="shared" si="2522"/>
      </c>
      <c r="BN1124" s="964">
        <f t="shared" ref="BN1124:BO1134" si="2523">BN1057</f>
      </c>
      <c r="BO1124" s="459">
        <f t="shared" si="2523"/>
      </c>
      <c r="BP1124" s="459">
        <f t="shared" ref="BP1124:BP1134" si="2524">BP1057-BO1057</f>
      </c>
      <c r="BQ1124" s="459">
        <f t="shared" ref="BQ1124:BQ1134" si="2525">BQ1057-BP1057</f>
      </c>
      <c r="BR1124" s="459">
        <f t="shared" ref="BR1124:BR1134" si="2526">BR1057-BQ1057</f>
      </c>
      <c r="BS1124" s="964">
        <f t="shared" ref="BS1124:BS1134" si="2527">BS1057</f>
      </c>
      <c r="BT1124" s="795">
        <f t="shared" ref="BT1124:BT1134" si="2528">BT1057</f>
      </c>
      <c r="BU1124" s="757"/>
      <c r="BV1124" s="757"/>
      <c r="BW1124" s="757"/>
      <c r="BX1124" s="962">
        <f t="shared" ref="BX1124:BX1134" si="2529">SUM(BT1124,BU1124,BV1124,BW1124)</f>
      </c>
      <c r="BY1124" s="757"/>
      <c r="BZ1124" s="757"/>
      <c r="CA1124" s="757"/>
      <c r="CB1124" s="757"/>
      <c r="CC1124" s="962">
        <f t="shared" ref="CC1124:CC1134" si="2530">SUM(BY1124,BZ1124,CA1124,CB1124)</f>
      </c>
      <c r="CD1124" s="962"/>
      <c r="CE1124" s="962"/>
      <c r="CF1124" s="962"/>
      <c r="CG1124" s="459"/>
    </row>
    <row r="1125" spans="1:85" x14ac:dyDescent="0.3">
      <c r="A1125" s="436" t="str">
        <f t="shared" si="2498"/>
      </c>
      <c r="B1125" s="757"/>
      <c r="C1125" s="962">
        <f t="shared" si="2499"/>
      </c>
      <c r="D1125" s="962">
        <f t="shared" si="2499"/>
      </c>
      <c r="E1125" s="962">
        <f t="shared" si="2499"/>
      </c>
      <c r="F1125" s="962">
        <f t="shared" si="2499"/>
      </c>
      <c r="G1125" s="757">
        <f t="shared" si="2499"/>
      </c>
      <c r="H1125" s="757">
        <f t="shared" si="2500"/>
      </c>
      <c r="I1125" s="757">
        <f t="shared" si="2500"/>
      </c>
      <c r="J1125" s="757">
        <f t="shared" si="2500"/>
      </c>
      <c r="K1125" s="962">
        <f t="shared" si="2501"/>
      </c>
      <c r="L1125" s="757">
        <f t="shared" si="2501"/>
      </c>
      <c r="M1125" s="757">
        <f t="shared" si="2502"/>
      </c>
      <c r="N1125" s="757">
        <f t="shared" si="2502"/>
      </c>
      <c r="O1125" s="757">
        <f t="shared" si="2502"/>
      </c>
      <c r="P1125" s="962">
        <f t="shared" si="2503"/>
      </c>
      <c r="Q1125" s="757">
        <f t="shared" si="2503"/>
      </c>
      <c r="R1125" s="757">
        <f t="shared" si="2504"/>
      </c>
      <c r="S1125" s="757">
        <f t="shared" si="2504"/>
      </c>
      <c r="T1125" s="757">
        <f t="shared" si="2504"/>
      </c>
      <c r="U1125" s="962">
        <f t="shared" si="2505"/>
      </c>
      <c r="V1125" s="757">
        <f t="shared" si="2505"/>
      </c>
      <c r="W1125" s="757">
        <f t="shared" si="2506"/>
      </c>
      <c r="X1125" s="757">
        <f t="shared" si="2506"/>
      </c>
      <c r="Y1125" s="757">
        <f t="shared" si="2506"/>
      </c>
      <c r="Z1125" s="962">
        <f t="shared" si="2507"/>
      </c>
      <c r="AA1125" s="757">
        <f t="shared" si="2507"/>
      </c>
      <c r="AB1125" s="757">
        <f t="shared" si="2508"/>
      </c>
      <c r="AC1125" s="757">
        <f t="shared" si="2508"/>
      </c>
      <c r="AD1125" s="757">
        <f t="shared" si="2508"/>
      </c>
      <c r="AE1125" s="962">
        <f t="shared" si="2509"/>
      </c>
      <c r="AF1125" s="757">
        <f t="shared" si="2509"/>
      </c>
      <c r="AG1125" s="757">
        <f t="shared" si="2510"/>
      </c>
      <c r="AH1125" s="757">
        <f t="shared" si="2510"/>
      </c>
      <c r="AI1125" s="757">
        <f t="shared" si="2510"/>
      </c>
      <c r="AJ1125" s="962">
        <f t="shared" si="2511"/>
      </c>
      <c r="AK1125" s="757">
        <f t="shared" si="2511"/>
      </c>
      <c r="AL1125" s="757">
        <f t="shared" si="2512"/>
      </c>
      <c r="AM1125" s="757">
        <f t="shared" si="2512"/>
      </c>
      <c r="AN1125" s="757">
        <f t="shared" si="2512"/>
      </c>
      <c r="AO1125" s="962">
        <f t="shared" si="2513"/>
      </c>
      <c r="AP1125" s="757">
        <f t="shared" si="2513"/>
      </c>
      <c r="AQ1125" s="757">
        <f t="shared" si="2514"/>
      </c>
      <c r="AR1125" s="757">
        <f t="shared" si="2514"/>
      </c>
      <c r="AS1125" s="757">
        <f t="shared" si="2514"/>
      </c>
      <c r="AT1125" s="962">
        <f t="shared" si="2515"/>
      </c>
      <c r="AU1125" s="757">
        <f t="shared" si="2515"/>
      </c>
      <c r="AV1125" s="757">
        <f t="shared" si="2516"/>
      </c>
      <c r="AW1125" s="757">
        <f t="shared" si="2516"/>
      </c>
      <c r="AX1125" s="757">
        <f t="shared" si="2516"/>
      </c>
      <c r="AY1125" s="962">
        <f t="shared" si="2517"/>
      </c>
      <c r="AZ1125" s="757">
        <f t="shared" si="2517"/>
      </c>
      <c r="BA1125" s="459">
        <f t="shared" si="2518"/>
      </c>
      <c r="BB1125" s="757">
        <f t="shared" si="2518"/>
      </c>
      <c r="BC1125" s="757">
        <f t="shared" si="2518"/>
      </c>
      <c r="BD1125" s="962">
        <f t="shared" si="2519"/>
      </c>
      <c r="BE1125" s="757">
        <f t="shared" si="2519"/>
      </c>
      <c r="BF1125" s="459">
        <f t="shared" si="2520"/>
      </c>
      <c r="BG1125" s="757">
        <f t="shared" si="2520"/>
      </c>
      <c r="BH1125" s="757">
        <f t="shared" si="2520"/>
      </c>
      <c r="BI1125" s="962">
        <f t="shared" si="2521"/>
      </c>
      <c r="BJ1125" s="757">
        <f t="shared" si="2521"/>
      </c>
      <c r="BK1125" s="459">
        <f t="shared" si="2522"/>
      </c>
      <c r="BL1125" s="757">
        <f t="shared" si="2522"/>
      </c>
      <c r="BM1125" s="757">
        <f t="shared" si="2522"/>
      </c>
      <c r="BN1125" s="962">
        <f t="shared" si="2523"/>
      </c>
      <c r="BO1125" s="757">
        <f t="shared" si="2523"/>
      </c>
      <c r="BP1125" s="459">
        <f t="shared" si="2524"/>
      </c>
      <c r="BQ1125" s="757">
        <f t="shared" si="2525"/>
      </c>
      <c r="BR1125" s="757">
        <f t="shared" si="2526"/>
      </c>
      <c r="BS1125" s="962">
        <f t="shared" si="2527"/>
      </c>
      <c r="BT1125" s="758">
        <f t="shared" si="2528"/>
      </c>
      <c r="BU1125" s="757">
        <f>BU726</f>
      </c>
      <c r="BV1125" s="757">
        <f>BV726</f>
      </c>
      <c r="BW1125" s="757">
        <f>BW726</f>
      </c>
      <c r="BX1125" s="962">
        <f t="shared" si="2529"/>
      </c>
      <c r="BY1125" s="757">
        <f>BY726</f>
      </c>
      <c r="BZ1125" s="757">
        <f>BZ726</f>
      </c>
      <c r="CA1125" s="757">
        <f>CA726</f>
      </c>
      <c r="CB1125" s="757">
        <f>CB726</f>
      </c>
      <c r="CC1125" s="962">
        <f t="shared" si="2530"/>
      </c>
      <c r="CD1125" s="962">
        <f>CD726</f>
      </c>
      <c r="CE1125" s="962">
        <f>CE726</f>
      </c>
      <c r="CF1125" s="962">
        <f>CF726</f>
      </c>
      <c r="CG1125" s="459"/>
    </row>
    <row r="1126" spans="1:85" x14ac:dyDescent="0.3">
      <c r="A1126" s="182" t="str">
        <f t="shared" si="2498"/>
      </c>
      <c r="B1126" s="757"/>
      <c r="C1126" s="964">
        <f t="shared" si="2499"/>
      </c>
      <c r="D1126" s="964">
        <f t="shared" si="2499"/>
      </c>
      <c r="E1126" s="964">
        <f t="shared" si="2499"/>
      </c>
      <c r="F1126" s="964">
        <f t="shared" si="2499"/>
      </c>
      <c r="G1126" s="459">
        <f t="shared" si="2499"/>
      </c>
      <c r="H1126" s="459">
        <f t="shared" si="2500"/>
      </c>
      <c r="I1126" s="459">
        <f t="shared" si="2500"/>
      </c>
      <c r="J1126" s="459">
        <f t="shared" si="2500"/>
      </c>
      <c r="K1126" s="964">
        <f t="shared" si="2501"/>
      </c>
      <c r="L1126" s="459">
        <f t="shared" si="2501"/>
      </c>
      <c r="M1126" s="459">
        <f t="shared" si="2502"/>
      </c>
      <c r="N1126" s="459">
        <f t="shared" si="2502"/>
      </c>
      <c r="O1126" s="459">
        <f t="shared" si="2502"/>
      </c>
      <c r="P1126" s="964">
        <f t="shared" si="2503"/>
      </c>
      <c r="Q1126" s="459">
        <f t="shared" si="2503"/>
      </c>
      <c r="R1126" s="459">
        <f t="shared" si="2504"/>
      </c>
      <c r="S1126" s="459">
        <f t="shared" si="2504"/>
      </c>
      <c r="T1126" s="459">
        <f t="shared" si="2504"/>
      </c>
      <c r="U1126" s="964">
        <f t="shared" si="2505"/>
      </c>
      <c r="V1126" s="459">
        <f t="shared" si="2505"/>
      </c>
      <c r="W1126" s="459">
        <f t="shared" si="2506"/>
      </c>
      <c r="X1126" s="459">
        <f t="shared" si="2506"/>
      </c>
      <c r="Y1126" s="459">
        <f t="shared" si="2506"/>
      </c>
      <c r="Z1126" s="964">
        <f t="shared" si="2507"/>
      </c>
      <c r="AA1126" s="459">
        <f t="shared" si="2507"/>
      </c>
      <c r="AB1126" s="459">
        <f t="shared" si="2508"/>
      </c>
      <c r="AC1126" s="459">
        <f t="shared" si="2508"/>
      </c>
      <c r="AD1126" s="459">
        <f t="shared" si="2508"/>
      </c>
      <c r="AE1126" s="964">
        <f t="shared" si="2509"/>
      </c>
      <c r="AF1126" s="459">
        <f t="shared" si="2509"/>
      </c>
      <c r="AG1126" s="459">
        <f t="shared" si="2510"/>
      </c>
      <c r="AH1126" s="459">
        <f t="shared" si="2510"/>
      </c>
      <c r="AI1126" s="459">
        <f t="shared" si="2510"/>
      </c>
      <c r="AJ1126" s="964">
        <f t="shared" si="2511"/>
      </c>
      <c r="AK1126" s="459">
        <f t="shared" si="2511"/>
      </c>
      <c r="AL1126" s="459">
        <f t="shared" si="2512"/>
      </c>
      <c r="AM1126" s="459">
        <f t="shared" si="2512"/>
      </c>
      <c r="AN1126" s="459">
        <f t="shared" si="2512"/>
      </c>
      <c r="AO1126" s="964">
        <f t="shared" si="2513"/>
      </c>
      <c r="AP1126" s="459">
        <f t="shared" si="2513"/>
      </c>
      <c r="AQ1126" s="459">
        <f t="shared" si="2514"/>
      </c>
      <c r="AR1126" s="459">
        <f t="shared" si="2514"/>
      </c>
      <c r="AS1126" s="459">
        <f t="shared" si="2514"/>
      </c>
      <c r="AT1126" s="964">
        <f t="shared" si="2515"/>
      </c>
      <c r="AU1126" s="459">
        <f t="shared" si="2515"/>
      </c>
      <c r="AV1126" s="459">
        <f t="shared" si="2516"/>
      </c>
      <c r="AW1126" s="459">
        <f t="shared" si="2516"/>
      </c>
      <c r="AX1126" s="459">
        <f t="shared" si="2516"/>
      </c>
      <c r="AY1126" s="964">
        <f t="shared" si="2517"/>
      </c>
      <c r="AZ1126" s="459">
        <f t="shared" si="2517"/>
      </c>
      <c r="BA1126" s="459">
        <f t="shared" si="2518"/>
      </c>
      <c r="BB1126" s="459">
        <f t="shared" si="2518"/>
      </c>
      <c r="BC1126" s="459">
        <f t="shared" si="2518"/>
      </c>
      <c r="BD1126" s="964">
        <f t="shared" si="2519"/>
      </c>
      <c r="BE1126" s="459">
        <f t="shared" si="2519"/>
      </c>
      <c r="BF1126" s="459">
        <f t="shared" si="2520"/>
      </c>
      <c r="BG1126" s="459">
        <f t="shared" si="2520"/>
      </c>
      <c r="BH1126" s="459">
        <f t="shared" si="2520"/>
      </c>
      <c r="BI1126" s="964">
        <f t="shared" si="2521"/>
      </c>
      <c r="BJ1126" s="459">
        <f t="shared" si="2521"/>
      </c>
      <c r="BK1126" s="459">
        <f t="shared" si="2522"/>
      </c>
      <c r="BL1126" s="459">
        <f t="shared" si="2522"/>
      </c>
      <c r="BM1126" s="459">
        <f t="shared" si="2522"/>
      </c>
      <c r="BN1126" s="964">
        <f t="shared" si="2523"/>
      </c>
      <c r="BO1126" s="459">
        <f t="shared" si="2523"/>
      </c>
      <c r="BP1126" s="459">
        <f t="shared" si="2524"/>
      </c>
      <c r="BQ1126" s="459">
        <f t="shared" si="2525"/>
      </c>
      <c r="BR1126" s="459">
        <f t="shared" si="2526"/>
      </c>
      <c r="BS1126" s="964">
        <f t="shared" si="2527"/>
      </c>
      <c r="BT1126" s="795">
        <f t="shared" si="2528"/>
      </c>
      <c r="BU1126" s="757"/>
      <c r="BV1126" s="757"/>
      <c r="BW1126" s="757"/>
      <c r="BX1126" s="962">
        <f t="shared" si="2529"/>
      </c>
      <c r="BY1126" s="757"/>
      <c r="BZ1126" s="757"/>
      <c r="CA1126" s="757"/>
      <c r="CB1126" s="757"/>
      <c r="CC1126" s="962">
        <f t="shared" si="2530"/>
      </c>
      <c r="CD1126" s="962"/>
      <c r="CE1126" s="962"/>
      <c r="CF1126" s="962"/>
      <c r="CG1126" s="459"/>
    </row>
    <row r="1127" spans="1:85" x14ac:dyDescent="0.3">
      <c r="A1127" s="182" t="str">
        <f t="shared" si="2498"/>
      </c>
      <c r="B1127" s="757"/>
      <c r="C1127" s="964">
        <f t="shared" si="2499"/>
      </c>
      <c r="D1127" s="964">
        <f t="shared" si="2499"/>
      </c>
      <c r="E1127" s="964">
        <f t="shared" si="2499"/>
      </c>
      <c r="F1127" s="964">
        <f t="shared" si="2499"/>
      </c>
      <c r="G1127" s="459">
        <f t="shared" si="2499"/>
      </c>
      <c r="H1127" s="459">
        <f t="shared" si="2500"/>
      </c>
      <c r="I1127" s="459">
        <f t="shared" si="2500"/>
      </c>
      <c r="J1127" s="459">
        <f t="shared" si="2500"/>
      </c>
      <c r="K1127" s="964">
        <f t="shared" si="2501"/>
      </c>
      <c r="L1127" s="459">
        <f t="shared" si="2501"/>
      </c>
      <c r="M1127" s="459">
        <f t="shared" si="2502"/>
      </c>
      <c r="N1127" s="459">
        <f t="shared" si="2502"/>
      </c>
      <c r="O1127" s="459">
        <f t="shared" si="2502"/>
      </c>
      <c r="P1127" s="964">
        <f t="shared" si="2503"/>
      </c>
      <c r="Q1127" s="459">
        <f t="shared" si="2503"/>
      </c>
      <c r="R1127" s="459">
        <f t="shared" si="2504"/>
      </c>
      <c r="S1127" s="459">
        <f t="shared" si="2504"/>
      </c>
      <c r="T1127" s="459">
        <f t="shared" si="2504"/>
      </c>
      <c r="U1127" s="964">
        <f t="shared" si="2505"/>
      </c>
      <c r="V1127" s="459">
        <f t="shared" si="2505"/>
      </c>
      <c r="W1127" s="459">
        <f t="shared" si="2506"/>
      </c>
      <c r="X1127" s="459">
        <f t="shared" si="2506"/>
      </c>
      <c r="Y1127" s="459">
        <f t="shared" si="2506"/>
      </c>
      <c r="Z1127" s="964">
        <f t="shared" si="2507"/>
      </c>
      <c r="AA1127" s="459">
        <f t="shared" si="2507"/>
      </c>
      <c r="AB1127" s="459">
        <f t="shared" si="2508"/>
      </c>
      <c r="AC1127" s="459">
        <f t="shared" si="2508"/>
      </c>
      <c r="AD1127" s="459">
        <f t="shared" si="2508"/>
      </c>
      <c r="AE1127" s="964">
        <f t="shared" si="2509"/>
      </c>
      <c r="AF1127" s="459">
        <f t="shared" si="2509"/>
      </c>
      <c r="AG1127" s="459">
        <f t="shared" si="2510"/>
      </c>
      <c r="AH1127" s="459">
        <f t="shared" si="2510"/>
      </c>
      <c r="AI1127" s="459">
        <f t="shared" si="2510"/>
      </c>
      <c r="AJ1127" s="964">
        <f t="shared" si="2511"/>
      </c>
      <c r="AK1127" s="459">
        <f t="shared" si="2511"/>
      </c>
      <c r="AL1127" s="459">
        <f t="shared" si="2512"/>
      </c>
      <c r="AM1127" s="459">
        <f t="shared" si="2512"/>
      </c>
      <c r="AN1127" s="459">
        <f t="shared" si="2512"/>
      </c>
      <c r="AO1127" s="964">
        <f t="shared" si="2513"/>
      </c>
      <c r="AP1127" s="459">
        <f t="shared" si="2513"/>
      </c>
      <c r="AQ1127" s="459">
        <f t="shared" si="2514"/>
      </c>
      <c r="AR1127" s="459">
        <f t="shared" si="2514"/>
      </c>
      <c r="AS1127" s="459">
        <f t="shared" si="2514"/>
      </c>
      <c r="AT1127" s="964">
        <f t="shared" si="2515"/>
      </c>
      <c r="AU1127" s="459">
        <f t="shared" si="2515"/>
      </c>
      <c r="AV1127" s="459">
        <f t="shared" si="2516"/>
      </c>
      <c r="AW1127" s="459">
        <f t="shared" si="2516"/>
      </c>
      <c r="AX1127" s="459">
        <f t="shared" si="2516"/>
      </c>
      <c r="AY1127" s="964">
        <f t="shared" si="2517"/>
      </c>
      <c r="AZ1127" s="459">
        <f t="shared" si="2517"/>
      </c>
      <c r="BA1127" s="459">
        <f t="shared" si="2518"/>
      </c>
      <c r="BB1127" s="459">
        <f t="shared" si="2518"/>
      </c>
      <c r="BC1127" s="459">
        <f t="shared" si="2518"/>
      </c>
      <c r="BD1127" s="964">
        <f t="shared" si="2519"/>
      </c>
      <c r="BE1127" s="459">
        <f t="shared" si="2519"/>
      </c>
      <c r="BF1127" s="459">
        <f t="shared" si="2520"/>
      </c>
      <c r="BG1127" s="459">
        <f t="shared" si="2520"/>
      </c>
      <c r="BH1127" s="459">
        <f t="shared" si="2520"/>
      </c>
      <c r="BI1127" s="964">
        <f t="shared" si="2521"/>
      </c>
      <c r="BJ1127" s="459">
        <f t="shared" si="2521"/>
      </c>
      <c r="BK1127" s="459">
        <f t="shared" si="2522"/>
      </c>
      <c r="BL1127" s="459">
        <f t="shared" si="2522"/>
      </c>
      <c r="BM1127" s="459">
        <f t="shared" si="2522"/>
      </c>
      <c r="BN1127" s="964">
        <f t="shared" si="2523"/>
      </c>
      <c r="BO1127" s="459">
        <f t="shared" si="2523"/>
      </c>
      <c r="BP1127" s="459">
        <f t="shared" si="2524"/>
      </c>
      <c r="BQ1127" s="459">
        <f t="shared" si="2525"/>
      </c>
      <c r="BR1127" s="459">
        <f t="shared" si="2526"/>
      </c>
      <c r="BS1127" s="964">
        <f t="shared" si="2527"/>
      </c>
      <c r="BT1127" s="795">
        <f t="shared" si="2528"/>
      </c>
      <c r="BU1127" s="757"/>
      <c r="BV1127" s="757"/>
      <c r="BW1127" s="757"/>
      <c r="BX1127" s="962">
        <f t="shared" si="2529"/>
      </c>
      <c r="BY1127" s="757"/>
      <c r="BZ1127" s="757"/>
      <c r="CA1127" s="757"/>
      <c r="CB1127" s="757"/>
      <c r="CC1127" s="962">
        <f t="shared" si="2530"/>
      </c>
      <c r="CD1127" s="962"/>
      <c r="CE1127" s="962"/>
      <c r="CF1127" s="962"/>
      <c r="CG1127" s="459"/>
    </row>
    <row r="1128" spans="1:85" x14ac:dyDescent="0.3">
      <c r="A1128" s="182" t="str">
        <f t="shared" si="2498"/>
      </c>
      <c r="B1128" s="757"/>
      <c r="C1128" s="964">
        <f t="shared" si="2499"/>
      </c>
      <c r="D1128" s="964">
        <f t="shared" si="2499"/>
      </c>
      <c r="E1128" s="964">
        <f t="shared" si="2499"/>
      </c>
      <c r="F1128" s="964">
        <f t="shared" si="2499"/>
      </c>
      <c r="G1128" s="459">
        <f t="shared" si="2499"/>
      </c>
      <c r="H1128" s="459">
        <f t="shared" si="2500"/>
      </c>
      <c r="I1128" s="459">
        <f t="shared" si="2500"/>
      </c>
      <c r="J1128" s="459">
        <f t="shared" si="2500"/>
      </c>
      <c r="K1128" s="964">
        <f t="shared" si="2501"/>
      </c>
      <c r="L1128" s="459">
        <f t="shared" si="2501"/>
      </c>
      <c r="M1128" s="459">
        <f t="shared" si="2502"/>
      </c>
      <c r="N1128" s="459">
        <f t="shared" si="2502"/>
      </c>
      <c r="O1128" s="459">
        <f t="shared" si="2502"/>
      </c>
      <c r="P1128" s="964">
        <f t="shared" si="2503"/>
      </c>
      <c r="Q1128" s="459">
        <f t="shared" si="2503"/>
      </c>
      <c r="R1128" s="459">
        <f t="shared" si="2504"/>
      </c>
      <c r="S1128" s="459">
        <f t="shared" si="2504"/>
      </c>
      <c r="T1128" s="459">
        <f t="shared" si="2504"/>
      </c>
      <c r="U1128" s="964">
        <f t="shared" si="2505"/>
      </c>
      <c r="V1128" s="459">
        <f t="shared" si="2505"/>
      </c>
      <c r="W1128" s="459">
        <f t="shared" si="2506"/>
      </c>
      <c r="X1128" s="459">
        <f t="shared" si="2506"/>
      </c>
      <c r="Y1128" s="459">
        <f t="shared" si="2506"/>
      </c>
      <c r="Z1128" s="964">
        <f t="shared" si="2507"/>
      </c>
      <c r="AA1128" s="459">
        <f t="shared" si="2507"/>
      </c>
      <c r="AB1128" s="459">
        <f t="shared" si="2508"/>
      </c>
      <c r="AC1128" s="459">
        <f t="shared" si="2508"/>
      </c>
      <c r="AD1128" s="459">
        <f t="shared" si="2508"/>
      </c>
      <c r="AE1128" s="964">
        <f t="shared" si="2509"/>
      </c>
      <c r="AF1128" s="459">
        <f t="shared" si="2509"/>
      </c>
      <c r="AG1128" s="459">
        <f t="shared" si="2510"/>
      </c>
      <c r="AH1128" s="459">
        <f t="shared" si="2510"/>
      </c>
      <c r="AI1128" s="459">
        <f t="shared" si="2510"/>
      </c>
      <c r="AJ1128" s="964">
        <f t="shared" si="2511"/>
      </c>
      <c r="AK1128" s="459">
        <f t="shared" si="2511"/>
      </c>
      <c r="AL1128" s="459">
        <f t="shared" si="2512"/>
      </c>
      <c r="AM1128" s="459">
        <f t="shared" si="2512"/>
      </c>
      <c r="AN1128" s="459">
        <f t="shared" si="2512"/>
      </c>
      <c r="AO1128" s="964">
        <f t="shared" si="2513"/>
      </c>
      <c r="AP1128" s="459">
        <f t="shared" si="2513"/>
      </c>
      <c r="AQ1128" s="459">
        <f t="shared" si="2514"/>
      </c>
      <c r="AR1128" s="459">
        <f t="shared" si="2514"/>
      </c>
      <c r="AS1128" s="459">
        <f t="shared" si="2514"/>
      </c>
      <c r="AT1128" s="964">
        <f t="shared" si="2515"/>
      </c>
      <c r="AU1128" s="459">
        <f t="shared" si="2515"/>
      </c>
      <c r="AV1128" s="459">
        <f t="shared" si="2516"/>
      </c>
      <c r="AW1128" s="459">
        <f t="shared" si="2516"/>
      </c>
      <c r="AX1128" s="459">
        <f t="shared" si="2516"/>
      </c>
      <c r="AY1128" s="964">
        <f t="shared" si="2517"/>
      </c>
      <c r="AZ1128" s="459">
        <f t="shared" si="2517"/>
      </c>
      <c r="BA1128" s="459">
        <f t="shared" si="2518"/>
      </c>
      <c r="BB1128" s="459">
        <f t="shared" si="2518"/>
      </c>
      <c r="BC1128" s="459">
        <f t="shared" si="2518"/>
      </c>
      <c r="BD1128" s="964">
        <f t="shared" si="2519"/>
      </c>
      <c r="BE1128" s="459">
        <f t="shared" si="2519"/>
      </c>
      <c r="BF1128" s="459">
        <f t="shared" si="2520"/>
      </c>
      <c r="BG1128" s="459">
        <f t="shared" si="2520"/>
      </c>
      <c r="BH1128" s="459">
        <f t="shared" si="2520"/>
      </c>
      <c r="BI1128" s="964">
        <f t="shared" si="2521"/>
      </c>
      <c r="BJ1128" s="459">
        <f t="shared" si="2521"/>
      </c>
      <c r="BK1128" s="459">
        <f t="shared" si="2522"/>
      </c>
      <c r="BL1128" s="459">
        <f t="shared" si="2522"/>
      </c>
      <c r="BM1128" s="459">
        <f t="shared" si="2522"/>
      </c>
      <c r="BN1128" s="964">
        <f t="shared" si="2523"/>
      </c>
      <c r="BO1128" s="459">
        <f t="shared" si="2523"/>
      </c>
      <c r="BP1128" s="459">
        <f t="shared" si="2524"/>
      </c>
      <c r="BQ1128" s="459">
        <f t="shared" si="2525"/>
      </c>
      <c r="BR1128" s="459">
        <f t="shared" si="2526"/>
      </c>
      <c r="BS1128" s="964">
        <f t="shared" si="2527"/>
      </c>
      <c r="BT1128" s="795">
        <f t="shared" si="2528"/>
      </c>
      <c r="BU1128" s="757">
        <f>BU729</f>
      </c>
      <c r="BV1128" s="757">
        <f>BV729</f>
      </c>
      <c r="BW1128" s="757">
        <f>BW729</f>
      </c>
      <c r="BX1128" s="962">
        <f t="shared" si="2529"/>
      </c>
      <c r="BY1128" s="757">
        <f>BY729</f>
      </c>
      <c r="BZ1128" s="757">
        <f>BZ729</f>
      </c>
      <c r="CA1128" s="757">
        <f>CA729</f>
      </c>
      <c r="CB1128" s="757">
        <f>CB729</f>
      </c>
      <c r="CC1128" s="962">
        <f t="shared" si="2530"/>
      </c>
      <c r="CD1128" s="962">
        <f>CD729</f>
      </c>
      <c r="CE1128" s="962">
        <f>CE729</f>
      </c>
      <c r="CF1128" s="962">
        <f>CF729</f>
      </c>
      <c r="CG1128" s="459"/>
    </row>
    <row r="1129" spans="1:85" x14ac:dyDescent="0.3">
      <c r="A1129" s="182" t="str">
        <f t="shared" si="2498"/>
      </c>
      <c r="B1129" s="757"/>
      <c r="C1129" s="964">
        <f t="shared" si="2499"/>
      </c>
      <c r="D1129" s="964">
        <f t="shared" si="2499"/>
      </c>
      <c r="E1129" s="964">
        <f t="shared" si="2499"/>
      </c>
      <c r="F1129" s="964">
        <f t="shared" si="2499"/>
      </c>
      <c r="G1129" s="459">
        <f t="shared" si="2499"/>
      </c>
      <c r="H1129" s="459">
        <f t="shared" si="2500"/>
      </c>
      <c r="I1129" s="459">
        <f t="shared" si="2500"/>
      </c>
      <c r="J1129" s="459">
        <f t="shared" si="2500"/>
      </c>
      <c r="K1129" s="964">
        <f t="shared" si="2501"/>
      </c>
      <c r="L1129" s="459">
        <f t="shared" si="2501"/>
      </c>
      <c r="M1129" s="459">
        <f t="shared" si="2502"/>
      </c>
      <c r="N1129" s="459">
        <f t="shared" si="2502"/>
      </c>
      <c r="O1129" s="459">
        <f t="shared" si="2502"/>
      </c>
      <c r="P1129" s="964">
        <f t="shared" si="2503"/>
      </c>
      <c r="Q1129" s="459">
        <f t="shared" si="2503"/>
      </c>
      <c r="R1129" s="459">
        <f t="shared" si="2504"/>
      </c>
      <c r="S1129" s="459">
        <f t="shared" si="2504"/>
      </c>
      <c r="T1129" s="459">
        <f t="shared" si="2504"/>
      </c>
      <c r="U1129" s="964">
        <f t="shared" si="2505"/>
      </c>
      <c r="V1129" s="459">
        <f t="shared" si="2505"/>
      </c>
      <c r="W1129" s="459">
        <f t="shared" si="2506"/>
      </c>
      <c r="X1129" s="459">
        <f t="shared" si="2506"/>
      </c>
      <c r="Y1129" s="459">
        <f t="shared" si="2506"/>
      </c>
      <c r="Z1129" s="964">
        <f t="shared" si="2507"/>
      </c>
      <c r="AA1129" s="459">
        <f t="shared" si="2507"/>
      </c>
      <c r="AB1129" s="459">
        <f t="shared" si="2508"/>
      </c>
      <c r="AC1129" s="459">
        <f t="shared" si="2508"/>
      </c>
      <c r="AD1129" s="459">
        <f t="shared" si="2508"/>
      </c>
      <c r="AE1129" s="964">
        <f t="shared" si="2509"/>
      </c>
      <c r="AF1129" s="459">
        <f t="shared" si="2509"/>
      </c>
      <c r="AG1129" s="459">
        <f t="shared" si="2510"/>
      </c>
      <c r="AH1129" s="459">
        <f t="shared" si="2510"/>
      </c>
      <c r="AI1129" s="459">
        <f t="shared" si="2510"/>
      </c>
      <c r="AJ1129" s="964">
        <f t="shared" si="2511"/>
      </c>
      <c r="AK1129" s="459">
        <f t="shared" si="2511"/>
      </c>
      <c r="AL1129" s="459">
        <f t="shared" si="2512"/>
      </c>
      <c r="AM1129" s="459">
        <f t="shared" si="2512"/>
      </c>
      <c r="AN1129" s="459">
        <f t="shared" si="2512"/>
      </c>
      <c r="AO1129" s="964">
        <f t="shared" si="2513"/>
      </c>
      <c r="AP1129" s="459">
        <f t="shared" si="2513"/>
      </c>
      <c r="AQ1129" s="459">
        <f t="shared" si="2514"/>
      </c>
      <c r="AR1129" s="459">
        <f t="shared" si="2514"/>
      </c>
      <c r="AS1129" s="459">
        <f t="shared" si="2514"/>
      </c>
      <c r="AT1129" s="964">
        <f t="shared" si="2515"/>
      </c>
      <c r="AU1129" s="459">
        <f t="shared" si="2515"/>
      </c>
      <c r="AV1129" s="459">
        <f t="shared" si="2516"/>
      </c>
      <c r="AW1129" s="459">
        <f t="shared" si="2516"/>
      </c>
      <c r="AX1129" s="459">
        <f t="shared" si="2516"/>
      </c>
      <c r="AY1129" s="964">
        <f t="shared" si="2517"/>
      </c>
      <c r="AZ1129" s="459">
        <f t="shared" si="2517"/>
      </c>
      <c r="BA1129" s="459">
        <f t="shared" si="2518"/>
      </c>
      <c r="BB1129" s="459">
        <f t="shared" si="2518"/>
      </c>
      <c r="BC1129" s="459">
        <f t="shared" si="2518"/>
      </c>
      <c r="BD1129" s="964">
        <f t="shared" si="2519"/>
      </c>
      <c r="BE1129" s="459">
        <f t="shared" si="2519"/>
      </c>
      <c r="BF1129" s="459">
        <f t="shared" si="2520"/>
      </c>
      <c r="BG1129" s="459">
        <f t="shared" si="2520"/>
      </c>
      <c r="BH1129" s="459">
        <f t="shared" si="2520"/>
      </c>
      <c r="BI1129" s="964">
        <f t="shared" si="2521"/>
      </c>
      <c r="BJ1129" s="459">
        <f t="shared" si="2521"/>
      </c>
      <c r="BK1129" s="459">
        <f t="shared" si="2522"/>
      </c>
      <c r="BL1129" s="459">
        <f t="shared" si="2522"/>
      </c>
      <c r="BM1129" s="459">
        <f t="shared" si="2522"/>
      </c>
      <c r="BN1129" s="964">
        <f t="shared" si="2523"/>
      </c>
      <c r="BO1129" s="459">
        <f t="shared" si="2523"/>
      </c>
      <c r="BP1129" s="459">
        <f t="shared" si="2524"/>
      </c>
      <c r="BQ1129" s="459">
        <f t="shared" si="2525"/>
      </c>
      <c r="BR1129" s="459">
        <f t="shared" si="2526"/>
      </c>
      <c r="BS1129" s="964">
        <f t="shared" si="2527"/>
      </c>
      <c r="BT1129" s="795">
        <f t="shared" si="2528"/>
      </c>
      <c r="BU1129" s="757"/>
      <c r="BV1129" s="757"/>
      <c r="BW1129" s="757"/>
      <c r="BX1129" s="962">
        <f t="shared" si="2529"/>
      </c>
      <c r="BY1129" s="757"/>
      <c r="BZ1129" s="757"/>
      <c r="CA1129" s="757"/>
      <c r="CB1129" s="757"/>
      <c r="CC1129" s="962">
        <f t="shared" si="2530"/>
      </c>
      <c r="CD1129" s="962"/>
      <c r="CE1129" s="962"/>
      <c r="CF1129" s="962"/>
      <c r="CG1129" s="459"/>
    </row>
    <row r="1130" spans="1:85" x14ac:dyDescent="0.3">
      <c r="A1130" s="182" t="str">
        <f t="shared" si="2498"/>
      </c>
      <c r="B1130" s="757"/>
      <c r="C1130" s="964">
        <f t="shared" si="2499"/>
      </c>
      <c r="D1130" s="964">
        <f t="shared" si="2499"/>
      </c>
      <c r="E1130" s="964">
        <f t="shared" si="2499"/>
      </c>
      <c r="F1130" s="964">
        <f t="shared" si="2499"/>
      </c>
      <c r="G1130" s="459">
        <f t="shared" si="2499"/>
      </c>
      <c r="H1130" s="459">
        <f t="shared" si="2500"/>
      </c>
      <c r="I1130" s="459">
        <f t="shared" si="2500"/>
      </c>
      <c r="J1130" s="459">
        <f t="shared" si="2500"/>
      </c>
      <c r="K1130" s="964">
        <f t="shared" si="2501"/>
      </c>
      <c r="L1130" s="459">
        <f t="shared" si="2501"/>
      </c>
      <c r="M1130" s="459">
        <f t="shared" si="2502"/>
      </c>
      <c r="N1130" s="459">
        <f t="shared" si="2502"/>
      </c>
      <c r="O1130" s="459">
        <f t="shared" si="2502"/>
      </c>
      <c r="P1130" s="964">
        <f t="shared" si="2503"/>
      </c>
      <c r="Q1130" s="459">
        <f t="shared" si="2503"/>
      </c>
      <c r="R1130" s="459">
        <f t="shared" si="2504"/>
      </c>
      <c r="S1130" s="459">
        <f t="shared" si="2504"/>
      </c>
      <c r="T1130" s="459">
        <f t="shared" si="2504"/>
      </c>
      <c r="U1130" s="964">
        <f t="shared" si="2505"/>
      </c>
      <c r="V1130" s="459">
        <f t="shared" si="2505"/>
      </c>
      <c r="W1130" s="459">
        <f t="shared" si="2506"/>
      </c>
      <c r="X1130" s="459">
        <f t="shared" si="2506"/>
      </c>
      <c r="Y1130" s="459">
        <f t="shared" si="2506"/>
      </c>
      <c r="Z1130" s="964">
        <f t="shared" si="2507"/>
      </c>
      <c r="AA1130" s="459">
        <f t="shared" si="2507"/>
      </c>
      <c r="AB1130" s="459">
        <f t="shared" si="2508"/>
      </c>
      <c r="AC1130" s="459">
        <f t="shared" si="2508"/>
      </c>
      <c r="AD1130" s="459">
        <f t="shared" si="2508"/>
      </c>
      <c r="AE1130" s="964">
        <f t="shared" si="2509"/>
      </c>
      <c r="AF1130" s="459">
        <f t="shared" si="2509"/>
      </c>
      <c r="AG1130" s="459">
        <f t="shared" si="2510"/>
      </c>
      <c r="AH1130" s="459">
        <f t="shared" si="2510"/>
      </c>
      <c r="AI1130" s="459">
        <f t="shared" si="2510"/>
      </c>
      <c r="AJ1130" s="964">
        <f t="shared" si="2511"/>
      </c>
      <c r="AK1130" s="459">
        <f t="shared" si="2511"/>
      </c>
      <c r="AL1130" s="459">
        <f t="shared" si="2512"/>
      </c>
      <c r="AM1130" s="459">
        <f t="shared" si="2512"/>
      </c>
      <c r="AN1130" s="459">
        <f t="shared" si="2512"/>
      </c>
      <c r="AO1130" s="964">
        <f t="shared" si="2513"/>
      </c>
      <c r="AP1130" s="459">
        <f t="shared" si="2513"/>
      </c>
      <c r="AQ1130" s="459">
        <f t="shared" si="2514"/>
      </c>
      <c r="AR1130" s="459">
        <f t="shared" si="2514"/>
      </c>
      <c r="AS1130" s="459">
        <f t="shared" si="2514"/>
      </c>
      <c r="AT1130" s="964">
        <f t="shared" si="2515"/>
      </c>
      <c r="AU1130" s="459">
        <f t="shared" si="2515"/>
      </c>
      <c r="AV1130" s="459">
        <f t="shared" si="2516"/>
      </c>
      <c r="AW1130" s="459">
        <f t="shared" si="2516"/>
      </c>
      <c r="AX1130" s="459">
        <f t="shared" si="2516"/>
      </c>
      <c r="AY1130" s="964">
        <f t="shared" si="2517"/>
      </c>
      <c r="AZ1130" s="459">
        <f t="shared" si="2517"/>
      </c>
      <c r="BA1130" s="459">
        <f t="shared" si="2518"/>
      </c>
      <c r="BB1130" s="459">
        <f t="shared" si="2518"/>
      </c>
      <c r="BC1130" s="459">
        <f t="shared" si="2518"/>
      </c>
      <c r="BD1130" s="964">
        <f t="shared" si="2519"/>
      </c>
      <c r="BE1130" s="459">
        <f t="shared" si="2519"/>
      </c>
      <c r="BF1130" s="459">
        <f t="shared" si="2520"/>
      </c>
      <c r="BG1130" s="459">
        <f t="shared" si="2520"/>
      </c>
      <c r="BH1130" s="459">
        <f t="shared" si="2520"/>
      </c>
      <c r="BI1130" s="964">
        <f t="shared" si="2521"/>
      </c>
      <c r="BJ1130" s="459">
        <f t="shared" si="2521"/>
      </c>
      <c r="BK1130" s="459">
        <f t="shared" si="2522"/>
      </c>
      <c r="BL1130" s="459">
        <f t="shared" si="2522"/>
      </c>
      <c r="BM1130" s="459">
        <f t="shared" si="2522"/>
      </c>
      <c r="BN1130" s="964">
        <f t="shared" si="2523"/>
      </c>
      <c r="BO1130" s="459">
        <f t="shared" si="2523"/>
      </c>
      <c r="BP1130" s="459">
        <f t="shared" si="2524"/>
      </c>
      <c r="BQ1130" s="459">
        <f t="shared" si="2525"/>
      </c>
      <c r="BR1130" s="459">
        <f t="shared" si="2526"/>
      </c>
      <c r="BS1130" s="964">
        <f t="shared" si="2527"/>
      </c>
      <c r="BT1130" s="795">
        <f t="shared" si="2528"/>
      </c>
      <c r="BU1130" s="757">
        <f>BU728</f>
      </c>
      <c r="BV1130" s="757">
        <f>BV728</f>
      </c>
      <c r="BW1130" s="757">
        <f>BW728</f>
      </c>
      <c r="BX1130" s="962">
        <f t="shared" si="2529"/>
      </c>
      <c r="BY1130" s="757">
        <f>BY728</f>
      </c>
      <c r="BZ1130" s="757">
        <f>BZ728</f>
      </c>
      <c r="CA1130" s="757">
        <f>CA728</f>
      </c>
      <c r="CB1130" s="757">
        <f>CB728</f>
      </c>
      <c r="CC1130" s="962">
        <f t="shared" si="2530"/>
      </c>
      <c r="CD1130" s="962">
        <f>CD728</f>
      </c>
      <c r="CE1130" s="962">
        <f>CE728</f>
      </c>
      <c r="CF1130" s="962">
        <f>CF728</f>
      </c>
      <c r="CG1130" s="459"/>
    </row>
    <row r="1131" spans="1:85" x14ac:dyDescent="0.3">
      <c r="A1131" s="182" t="str">
        <f t="shared" si="2498"/>
      </c>
      <c r="B1131" s="757"/>
      <c r="C1131" s="964">
        <f t="shared" si="2499"/>
      </c>
      <c r="D1131" s="964">
        <f t="shared" si="2499"/>
      </c>
      <c r="E1131" s="964">
        <f t="shared" si="2499"/>
      </c>
      <c r="F1131" s="964">
        <f t="shared" si="2499"/>
      </c>
      <c r="G1131" s="459">
        <f t="shared" si="2499"/>
      </c>
      <c r="H1131" s="459">
        <f t="shared" si="2500"/>
      </c>
      <c r="I1131" s="459">
        <f t="shared" si="2500"/>
      </c>
      <c r="J1131" s="459">
        <f t="shared" si="2500"/>
      </c>
      <c r="K1131" s="964">
        <f t="shared" si="2501"/>
      </c>
      <c r="L1131" s="459">
        <f t="shared" si="2501"/>
      </c>
      <c r="M1131" s="459">
        <f t="shared" si="2502"/>
      </c>
      <c r="N1131" s="459">
        <f t="shared" si="2502"/>
      </c>
      <c r="O1131" s="459">
        <f t="shared" si="2502"/>
      </c>
      <c r="P1131" s="964">
        <f t="shared" si="2503"/>
      </c>
      <c r="Q1131" s="459">
        <f t="shared" si="2503"/>
      </c>
      <c r="R1131" s="459">
        <f t="shared" si="2504"/>
      </c>
      <c r="S1131" s="459">
        <f t="shared" si="2504"/>
      </c>
      <c r="T1131" s="459">
        <f t="shared" si="2504"/>
      </c>
      <c r="U1131" s="964">
        <f t="shared" si="2505"/>
      </c>
      <c r="V1131" s="459">
        <f t="shared" si="2505"/>
      </c>
      <c r="W1131" s="459">
        <f t="shared" si="2506"/>
      </c>
      <c r="X1131" s="459">
        <f t="shared" si="2506"/>
      </c>
      <c r="Y1131" s="459">
        <f t="shared" si="2506"/>
      </c>
      <c r="Z1131" s="964">
        <f t="shared" si="2507"/>
      </c>
      <c r="AA1131" s="459">
        <f t="shared" si="2507"/>
      </c>
      <c r="AB1131" s="459">
        <f t="shared" si="2508"/>
      </c>
      <c r="AC1131" s="459">
        <f t="shared" si="2508"/>
      </c>
      <c r="AD1131" s="459">
        <f t="shared" si="2508"/>
      </c>
      <c r="AE1131" s="964">
        <f t="shared" si="2509"/>
      </c>
      <c r="AF1131" s="459">
        <f t="shared" si="2509"/>
      </c>
      <c r="AG1131" s="459">
        <f t="shared" si="2510"/>
      </c>
      <c r="AH1131" s="459">
        <f t="shared" si="2510"/>
      </c>
      <c r="AI1131" s="459">
        <f t="shared" si="2510"/>
      </c>
      <c r="AJ1131" s="964">
        <f t="shared" si="2511"/>
      </c>
      <c r="AK1131" s="459">
        <f t="shared" si="2511"/>
      </c>
      <c r="AL1131" s="459">
        <f t="shared" si="2512"/>
      </c>
      <c r="AM1131" s="459">
        <f t="shared" si="2512"/>
      </c>
      <c r="AN1131" s="459">
        <f t="shared" si="2512"/>
      </c>
      <c r="AO1131" s="964">
        <f t="shared" si="2513"/>
      </c>
      <c r="AP1131" s="459">
        <f t="shared" si="2513"/>
      </c>
      <c r="AQ1131" s="459">
        <f t="shared" si="2514"/>
      </c>
      <c r="AR1131" s="459">
        <f t="shared" si="2514"/>
      </c>
      <c r="AS1131" s="459">
        <f t="shared" si="2514"/>
      </c>
      <c r="AT1131" s="964">
        <f t="shared" si="2515"/>
      </c>
      <c r="AU1131" s="459">
        <f t="shared" si="2515"/>
      </c>
      <c r="AV1131" s="459">
        <f t="shared" si="2516"/>
      </c>
      <c r="AW1131" s="459">
        <f t="shared" si="2516"/>
      </c>
      <c r="AX1131" s="459">
        <f t="shared" si="2516"/>
      </c>
      <c r="AY1131" s="964">
        <f t="shared" si="2517"/>
      </c>
      <c r="AZ1131" s="459">
        <f t="shared" si="2517"/>
      </c>
      <c r="BA1131" s="459">
        <f t="shared" si="2518"/>
      </c>
      <c r="BB1131" s="459">
        <f t="shared" si="2518"/>
      </c>
      <c r="BC1131" s="459">
        <f t="shared" si="2518"/>
      </c>
      <c r="BD1131" s="964">
        <f t="shared" si="2519"/>
      </c>
      <c r="BE1131" s="459">
        <f t="shared" si="2519"/>
      </c>
      <c r="BF1131" s="459">
        <f t="shared" si="2520"/>
      </c>
      <c r="BG1131" s="459">
        <f t="shared" si="2520"/>
      </c>
      <c r="BH1131" s="459">
        <f t="shared" si="2520"/>
      </c>
      <c r="BI1131" s="964">
        <f t="shared" si="2521"/>
      </c>
      <c r="BJ1131" s="459">
        <f t="shared" si="2521"/>
      </c>
      <c r="BK1131" s="459">
        <f t="shared" si="2522"/>
      </c>
      <c r="BL1131" s="459">
        <f t="shared" si="2522"/>
      </c>
      <c r="BM1131" s="459">
        <f t="shared" si="2522"/>
      </c>
      <c r="BN1131" s="964">
        <f t="shared" si="2523"/>
      </c>
      <c r="BO1131" s="459">
        <f t="shared" si="2523"/>
      </c>
      <c r="BP1131" s="459">
        <f t="shared" si="2524"/>
      </c>
      <c r="BQ1131" s="459">
        <f t="shared" si="2525"/>
      </c>
      <c r="BR1131" s="459">
        <f t="shared" si="2526"/>
      </c>
      <c r="BS1131" s="964">
        <f t="shared" si="2527"/>
      </c>
      <c r="BT1131" s="795">
        <f t="shared" si="2528"/>
      </c>
      <c r="BU1131" s="757"/>
      <c r="BV1131" s="757"/>
      <c r="BW1131" s="757"/>
      <c r="BX1131" s="962">
        <f t="shared" si="2529"/>
      </c>
      <c r="BY1131" s="757"/>
      <c r="BZ1131" s="757"/>
      <c r="CA1131" s="757"/>
      <c r="CB1131" s="757"/>
      <c r="CC1131" s="962">
        <f t="shared" si="2530"/>
      </c>
      <c r="CD1131" s="962"/>
      <c r="CE1131" s="962"/>
      <c r="CF1131" s="962"/>
      <c r="CG1131" s="459"/>
    </row>
    <row r="1132" spans="1:85" x14ac:dyDescent="0.3">
      <c r="A1132" s="182" t="str">
        <f t="shared" si="2498"/>
      </c>
      <c r="B1132" s="757"/>
      <c r="C1132" s="964">
        <f t="shared" si="2499"/>
      </c>
      <c r="D1132" s="964">
        <f t="shared" si="2499"/>
      </c>
      <c r="E1132" s="964">
        <f t="shared" si="2499"/>
      </c>
      <c r="F1132" s="964">
        <f t="shared" si="2499"/>
      </c>
      <c r="G1132" s="459">
        <f t="shared" si="2499"/>
      </c>
      <c r="H1132" s="459">
        <f t="shared" si="2500"/>
      </c>
      <c r="I1132" s="459">
        <f t="shared" si="2500"/>
      </c>
      <c r="J1132" s="459">
        <f t="shared" si="2500"/>
      </c>
      <c r="K1132" s="964">
        <f t="shared" si="2501"/>
      </c>
      <c r="L1132" s="459">
        <f t="shared" si="2501"/>
      </c>
      <c r="M1132" s="459">
        <f t="shared" si="2502"/>
      </c>
      <c r="N1132" s="459">
        <f t="shared" si="2502"/>
      </c>
      <c r="O1132" s="459">
        <f t="shared" si="2502"/>
      </c>
      <c r="P1132" s="964">
        <f t="shared" si="2503"/>
      </c>
      <c r="Q1132" s="459">
        <f t="shared" si="2503"/>
      </c>
      <c r="R1132" s="459">
        <f t="shared" si="2504"/>
      </c>
      <c r="S1132" s="459">
        <f t="shared" si="2504"/>
      </c>
      <c r="T1132" s="459">
        <f t="shared" si="2504"/>
      </c>
      <c r="U1132" s="964">
        <f t="shared" si="2505"/>
      </c>
      <c r="V1132" s="459">
        <f t="shared" si="2505"/>
      </c>
      <c r="W1132" s="459">
        <f t="shared" si="2506"/>
      </c>
      <c r="X1132" s="459">
        <f t="shared" si="2506"/>
      </c>
      <c r="Y1132" s="459">
        <f t="shared" si="2506"/>
      </c>
      <c r="Z1132" s="964">
        <f t="shared" si="2507"/>
      </c>
      <c r="AA1132" s="459">
        <f t="shared" si="2507"/>
      </c>
      <c r="AB1132" s="459">
        <f t="shared" si="2508"/>
      </c>
      <c r="AC1132" s="459">
        <f t="shared" si="2508"/>
      </c>
      <c r="AD1132" s="459">
        <f t="shared" si="2508"/>
      </c>
      <c r="AE1132" s="964">
        <f t="shared" si="2509"/>
      </c>
      <c r="AF1132" s="459">
        <f t="shared" si="2509"/>
      </c>
      <c r="AG1132" s="459">
        <f t="shared" si="2510"/>
      </c>
      <c r="AH1132" s="459">
        <f t="shared" si="2510"/>
      </c>
      <c r="AI1132" s="459">
        <f t="shared" si="2510"/>
      </c>
      <c r="AJ1132" s="964">
        <f t="shared" si="2511"/>
      </c>
      <c r="AK1132" s="459">
        <f t="shared" si="2511"/>
      </c>
      <c r="AL1132" s="459">
        <f t="shared" si="2512"/>
      </c>
      <c r="AM1132" s="459">
        <f t="shared" si="2512"/>
      </c>
      <c r="AN1132" s="459">
        <f t="shared" si="2512"/>
      </c>
      <c r="AO1132" s="964">
        <f t="shared" si="2513"/>
      </c>
      <c r="AP1132" s="459">
        <f t="shared" si="2513"/>
      </c>
      <c r="AQ1132" s="459">
        <f t="shared" si="2514"/>
      </c>
      <c r="AR1132" s="459">
        <f t="shared" si="2514"/>
      </c>
      <c r="AS1132" s="459">
        <f t="shared" si="2514"/>
      </c>
      <c r="AT1132" s="964">
        <f t="shared" si="2515"/>
      </c>
      <c r="AU1132" s="459">
        <f t="shared" si="2515"/>
      </c>
      <c r="AV1132" s="459">
        <f t="shared" si="2516"/>
      </c>
      <c r="AW1132" s="459">
        <f t="shared" si="2516"/>
      </c>
      <c r="AX1132" s="459">
        <f t="shared" si="2516"/>
      </c>
      <c r="AY1132" s="964">
        <f t="shared" si="2517"/>
      </c>
      <c r="AZ1132" s="459">
        <f t="shared" si="2517"/>
      </c>
      <c r="BA1132" s="459">
        <f t="shared" si="2518"/>
      </c>
      <c r="BB1132" s="459">
        <f t="shared" si="2518"/>
      </c>
      <c r="BC1132" s="459">
        <f t="shared" si="2518"/>
      </c>
      <c r="BD1132" s="964">
        <f t="shared" si="2519"/>
      </c>
      <c r="BE1132" s="459">
        <f t="shared" si="2519"/>
      </c>
      <c r="BF1132" s="459">
        <f t="shared" si="2520"/>
      </c>
      <c r="BG1132" s="459">
        <f t="shared" si="2520"/>
      </c>
      <c r="BH1132" s="459">
        <f t="shared" si="2520"/>
      </c>
      <c r="BI1132" s="964">
        <f t="shared" si="2521"/>
      </c>
      <c r="BJ1132" s="459">
        <f t="shared" si="2521"/>
      </c>
      <c r="BK1132" s="459">
        <f t="shared" si="2522"/>
      </c>
      <c r="BL1132" s="459">
        <f t="shared" si="2522"/>
      </c>
      <c r="BM1132" s="459">
        <f t="shared" si="2522"/>
      </c>
      <c r="BN1132" s="964">
        <f t="shared" si="2523"/>
      </c>
      <c r="BO1132" s="459">
        <f t="shared" si="2523"/>
      </c>
      <c r="BP1132" s="459">
        <f t="shared" si="2524"/>
      </c>
      <c r="BQ1132" s="459">
        <f t="shared" si="2525"/>
      </c>
      <c r="BR1132" s="459">
        <f t="shared" si="2526"/>
      </c>
      <c r="BS1132" s="964">
        <f t="shared" si="2527"/>
      </c>
      <c r="BT1132" s="795">
        <f t="shared" si="2528"/>
      </c>
      <c r="BU1132" s="757"/>
      <c r="BV1132" s="757"/>
      <c r="BW1132" s="757"/>
      <c r="BX1132" s="962">
        <f t="shared" si="2529"/>
      </c>
      <c r="BY1132" s="757"/>
      <c r="BZ1132" s="757"/>
      <c r="CA1132" s="757"/>
      <c r="CB1132" s="757"/>
      <c r="CC1132" s="962">
        <f t="shared" si="2530"/>
      </c>
      <c r="CD1132" s="962"/>
      <c r="CE1132" s="962"/>
      <c r="CF1132" s="962"/>
      <c r="CG1132" s="459"/>
    </row>
    <row r="1133" spans="1:85" x14ac:dyDescent="0.3">
      <c r="A1133" s="182" t="str">
        <f t="shared" si="2498"/>
      </c>
      <c r="B1133" s="757"/>
      <c r="C1133" s="964">
        <f t="shared" si="2499"/>
      </c>
      <c r="D1133" s="964">
        <f t="shared" si="2499"/>
      </c>
      <c r="E1133" s="964">
        <f t="shared" si="2499"/>
      </c>
      <c r="F1133" s="964">
        <f t="shared" si="2499"/>
      </c>
      <c r="G1133" s="459">
        <f t="shared" si="2499"/>
      </c>
      <c r="H1133" s="459">
        <f t="shared" si="2500"/>
      </c>
      <c r="I1133" s="459">
        <f t="shared" si="2500"/>
      </c>
      <c r="J1133" s="459">
        <f t="shared" si="2500"/>
      </c>
      <c r="K1133" s="964">
        <f t="shared" si="2501"/>
      </c>
      <c r="L1133" s="459">
        <f t="shared" si="2501"/>
      </c>
      <c r="M1133" s="459">
        <f t="shared" si="2502"/>
      </c>
      <c r="N1133" s="459">
        <f t="shared" si="2502"/>
      </c>
      <c r="O1133" s="459">
        <f t="shared" si="2502"/>
      </c>
      <c r="P1133" s="964">
        <f t="shared" si="2503"/>
      </c>
      <c r="Q1133" s="459">
        <f t="shared" si="2503"/>
      </c>
      <c r="R1133" s="459">
        <f t="shared" si="2504"/>
      </c>
      <c r="S1133" s="459">
        <f t="shared" si="2504"/>
      </c>
      <c r="T1133" s="459">
        <f t="shared" si="2504"/>
      </c>
      <c r="U1133" s="964">
        <f t="shared" si="2505"/>
      </c>
      <c r="V1133" s="459">
        <f t="shared" si="2505"/>
      </c>
      <c r="W1133" s="459">
        <f t="shared" si="2506"/>
      </c>
      <c r="X1133" s="459">
        <f t="shared" si="2506"/>
      </c>
      <c r="Y1133" s="459">
        <f t="shared" si="2506"/>
      </c>
      <c r="Z1133" s="964">
        <f t="shared" si="2507"/>
      </c>
      <c r="AA1133" s="459">
        <f t="shared" si="2507"/>
      </c>
      <c r="AB1133" s="459">
        <f t="shared" si="2508"/>
      </c>
      <c r="AC1133" s="459">
        <f t="shared" si="2508"/>
      </c>
      <c r="AD1133" s="459">
        <f t="shared" si="2508"/>
      </c>
      <c r="AE1133" s="964">
        <f t="shared" si="2509"/>
      </c>
      <c r="AF1133" s="459">
        <f t="shared" si="2509"/>
      </c>
      <c r="AG1133" s="459">
        <f t="shared" si="2510"/>
      </c>
      <c r="AH1133" s="459">
        <f t="shared" si="2510"/>
      </c>
      <c r="AI1133" s="459">
        <f t="shared" si="2510"/>
      </c>
      <c r="AJ1133" s="964">
        <f t="shared" si="2511"/>
      </c>
      <c r="AK1133" s="459">
        <f t="shared" si="2511"/>
      </c>
      <c r="AL1133" s="459">
        <f t="shared" si="2512"/>
      </c>
      <c r="AM1133" s="459">
        <f t="shared" si="2512"/>
      </c>
      <c r="AN1133" s="459">
        <f t="shared" si="2512"/>
      </c>
      <c r="AO1133" s="964">
        <f t="shared" si="2513"/>
      </c>
      <c r="AP1133" s="459">
        <f t="shared" si="2513"/>
      </c>
      <c r="AQ1133" s="459">
        <f t="shared" si="2514"/>
      </c>
      <c r="AR1133" s="459">
        <f t="shared" si="2514"/>
      </c>
      <c r="AS1133" s="459">
        <f t="shared" si="2514"/>
      </c>
      <c r="AT1133" s="964">
        <f t="shared" si="2515"/>
      </c>
      <c r="AU1133" s="459">
        <f t="shared" si="2515"/>
      </c>
      <c r="AV1133" s="459">
        <f t="shared" si="2516"/>
      </c>
      <c r="AW1133" s="459">
        <f t="shared" si="2516"/>
      </c>
      <c r="AX1133" s="459">
        <f t="shared" si="2516"/>
      </c>
      <c r="AY1133" s="964">
        <f t="shared" si="2517"/>
      </c>
      <c r="AZ1133" s="459">
        <f t="shared" si="2517"/>
      </c>
      <c r="BA1133" s="459">
        <f t="shared" si="2518"/>
      </c>
      <c r="BB1133" s="459">
        <f t="shared" si="2518"/>
      </c>
      <c r="BC1133" s="459">
        <f t="shared" si="2518"/>
      </c>
      <c r="BD1133" s="964">
        <f t="shared" si="2519"/>
      </c>
      <c r="BE1133" s="459">
        <f t="shared" si="2519"/>
      </c>
      <c r="BF1133" s="459">
        <f t="shared" si="2520"/>
      </c>
      <c r="BG1133" s="459">
        <f t="shared" si="2520"/>
      </c>
      <c r="BH1133" s="459">
        <f t="shared" si="2520"/>
      </c>
      <c r="BI1133" s="964">
        <f t="shared" si="2521"/>
      </c>
      <c r="BJ1133" s="459">
        <f t="shared" si="2521"/>
      </c>
      <c r="BK1133" s="459">
        <f t="shared" si="2522"/>
      </c>
      <c r="BL1133" s="459">
        <f t="shared" si="2522"/>
      </c>
      <c r="BM1133" s="459">
        <f t="shared" si="2522"/>
      </c>
      <c r="BN1133" s="964">
        <f t="shared" si="2523"/>
      </c>
      <c r="BO1133" s="459">
        <f t="shared" si="2523"/>
      </c>
      <c r="BP1133" s="459">
        <f t="shared" si="2524"/>
      </c>
      <c r="BQ1133" s="459">
        <f t="shared" si="2525"/>
      </c>
      <c r="BR1133" s="459">
        <f t="shared" si="2526"/>
      </c>
      <c r="BS1133" s="964">
        <f t="shared" si="2527"/>
      </c>
      <c r="BT1133" s="795">
        <f t="shared" si="2528"/>
      </c>
      <c r="BU1133" s="757"/>
      <c r="BV1133" s="757"/>
      <c r="BW1133" s="757"/>
      <c r="BX1133" s="962">
        <f t="shared" si="2529"/>
      </c>
      <c r="BY1133" s="757"/>
      <c r="BZ1133" s="757"/>
      <c r="CA1133" s="757"/>
      <c r="CB1133" s="757"/>
      <c r="CC1133" s="962">
        <f t="shared" si="2530"/>
      </c>
      <c r="CD1133" s="962"/>
      <c r="CE1133" s="962"/>
      <c r="CF1133" s="962"/>
      <c r="CG1133" s="459"/>
    </row>
    <row r="1134" spans="1:85" x14ac:dyDescent="0.3">
      <c r="A1134" s="30" t="str">
        <f t="shared" si="2498"/>
      </c>
      <c r="B1134" s="761"/>
      <c r="C1134" s="1005">
        <f t="shared" si="2499"/>
      </c>
      <c r="D1134" s="1005">
        <f t="shared" si="2499"/>
      </c>
      <c r="E1134" s="1005">
        <f t="shared" si="2499"/>
      </c>
      <c r="F1134" s="1005">
        <f t="shared" si="2499"/>
      </c>
      <c r="G1134" s="800">
        <f t="shared" si="2499"/>
      </c>
      <c r="H1134" s="800">
        <f t="shared" si="2500"/>
      </c>
      <c r="I1134" s="800">
        <f t="shared" si="2500"/>
      </c>
      <c r="J1134" s="800">
        <f t="shared" si="2500"/>
      </c>
      <c r="K1134" s="1005">
        <f t="shared" si="2501"/>
      </c>
      <c r="L1134" s="800">
        <f t="shared" si="2501"/>
      </c>
      <c r="M1134" s="800">
        <f t="shared" si="2502"/>
      </c>
      <c r="N1134" s="800">
        <f t="shared" si="2502"/>
      </c>
      <c r="O1134" s="800">
        <f t="shared" si="2502"/>
      </c>
      <c r="P1134" s="1005">
        <f t="shared" si="2503"/>
      </c>
      <c r="Q1134" s="800">
        <f t="shared" si="2503"/>
      </c>
      <c r="R1134" s="800">
        <f t="shared" si="2504"/>
      </c>
      <c r="S1134" s="800">
        <f t="shared" si="2504"/>
      </c>
      <c r="T1134" s="800">
        <f t="shared" si="2504"/>
      </c>
      <c r="U1134" s="1005">
        <f t="shared" si="2505"/>
      </c>
      <c r="V1134" s="800">
        <f t="shared" si="2505"/>
      </c>
      <c r="W1134" s="800">
        <f t="shared" si="2506"/>
      </c>
      <c r="X1134" s="800">
        <f t="shared" si="2506"/>
      </c>
      <c r="Y1134" s="800">
        <f t="shared" si="2506"/>
      </c>
      <c r="Z1134" s="1005">
        <f t="shared" si="2507"/>
      </c>
      <c r="AA1134" s="800">
        <f t="shared" si="2507"/>
      </c>
      <c r="AB1134" s="800">
        <f t="shared" si="2508"/>
      </c>
      <c r="AC1134" s="800">
        <f t="shared" si="2508"/>
      </c>
      <c r="AD1134" s="800">
        <f t="shared" si="2508"/>
      </c>
      <c r="AE1134" s="1005">
        <f t="shared" si="2509"/>
      </c>
      <c r="AF1134" s="800">
        <f t="shared" si="2509"/>
      </c>
      <c r="AG1134" s="800">
        <f t="shared" si="2510"/>
      </c>
      <c r="AH1134" s="800">
        <f t="shared" si="2510"/>
      </c>
      <c r="AI1134" s="800">
        <f t="shared" si="2510"/>
      </c>
      <c r="AJ1134" s="1005">
        <f t="shared" si="2511"/>
      </c>
      <c r="AK1134" s="800">
        <f t="shared" si="2511"/>
      </c>
      <c r="AL1134" s="800">
        <f t="shared" si="2512"/>
      </c>
      <c r="AM1134" s="800">
        <f t="shared" si="2512"/>
      </c>
      <c r="AN1134" s="800">
        <f t="shared" si="2512"/>
      </c>
      <c r="AO1134" s="1005">
        <f t="shared" si="2513"/>
      </c>
      <c r="AP1134" s="800">
        <f t="shared" si="2513"/>
      </c>
      <c r="AQ1134" s="800">
        <f t="shared" si="2514"/>
      </c>
      <c r="AR1134" s="800">
        <f t="shared" si="2514"/>
      </c>
      <c r="AS1134" s="800">
        <f t="shared" si="2514"/>
      </c>
      <c r="AT1134" s="1005">
        <f t="shared" si="2515"/>
      </c>
      <c r="AU1134" s="800">
        <f t="shared" si="2515"/>
      </c>
      <c r="AV1134" s="800">
        <f t="shared" si="2516"/>
      </c>
      <c r="AW1134" s="800">
        <f t="shared" si="2516"/>
      </c>
      <c r="AX1134" s="800">
        <f t="shared" si="2516"/>
      </c>
      <c r="AY1134" s="1005">
        <f t="shared" si="2517"/>
      </c>
      <c r="AZ1134" s="800">
        <f t="shared" si="2517"/>
      </c>
      <c r="BA1134" s="800">
        <f t="shared" si="2518"/>
      </c>
      <c r="BB1134" s="800">
        <f t="shared" si="2518"/>
      </c>
      <c r="BC1134" s="800">
        <f t="shared" si="2518"/>
      </c>
      <c r="BD1134" s="1005">
        <f t="shared" si="2519"/>
      </c>
      <c r="BE1134" s="800">
        <f t="shared" si="2519"/>
      </c>
      <c r="BF1134" s="800">
        <f t="shared" si="2520"/>
      </c>
      <c r="BG1134" s="800">
        <f t="shared" si="2520"/>
      </c>
      <c r="BH1134" s="800">
        <f t="shared" si="2520"/>
      </c>
      <c r="BI1134" s="1005">
        <f t="shared" si="2521"/>
      </c>
      <c r="BJ1134" s="800">
        <f t="shared" si="2521"/>
      </c>
      <c r="BK1134" s="800">
        <f t="shared" si="2522"/>
      </c>
      <c r="BL1134" s="800">
        <f t="shared" si="2522"/>
      </c>
      <c r="BM1134" s="800">
        <f t="shared" si="2522"/>
      </c>
      <c r="BN1134" s="1005">
        <f t="shared" si="2523"/>
      </c>
      <c r="BO1134" s="800">
        <f t="shared" si="2523"/>
      </c>
      <c r="BP1134" s="800">
        <f t="shared" si="2524"/>
      </c>
      <c r="BQ1134" s="800">
        <f t="shared" si="2525"/>
      </c>
      <c r="BR1134" s="800">
        <f t="shared" si="2526"/>
      </c>
      <c r="BS1134" s="1005">
        <f t="shared" si="2527"/>
      </c>
      <c r="BT1134" s="808">
        <f t="shared" si="2528"/>
      </c>
      <c r="BU1134" s="761"/>
      <c r="BV1134" s="761"/>
      <c r="BW1134" s="761"/>
      <c r="BX1134" s="984">
        <f t="shared" si="2529"/>
      </c>
      <c r="BY1134" s="761"/>
      <c r="BZ1134" s="761"/>
      <c r="CA1134" s="761"/>
      <c r="CB1134" s="761"/>
      <c r="CC1134" s="984">
        <f t="shared" si="2530"/>
      </c>
      <c r="CD1134" s="984"/>
      <c r="CE1134" s="984"/>
      <c r="CF1134" s="984"/>
      <c r="CG1134" s="459"/>
    </row>
    <row r="1135" spans="1:85" x14ac:dyDescent="0.3">
      <c r="A1135" s="2" t="str">
        <f t="shared" si="2498"/>
      </c>
      <c r="B1135" s="422"/>
      <c r="C1135" s="986">
        <f t="shared" ref="C1135:E1135" si="2531">SUM(C1124:C1133)</f>
      </c>
      <c r="D1135" s="986">
        <f t="shared" si="2531"/>
      </c>
      <c r="E1135" s="986">
        <f t="shared" si="2531"/>
      </c>
      <c r="F1135" s="986">
        <f t="shared" ref="F1135:BO1135" si="2532">SUM(F1124:F1134)</f>
      </c>
      <c r="G1135" s="792">
        <f t="shared" si="2532"/>
      </c>
      <c r="H1135" s="792">
        <f t="shared" si="2532"/>
      </c>
      <c r="I1135" s="792">
        <f t="shared" si="2532"/>
      </c>
      <c r="J1135" s="792">
        <f t="shared" si="2532"/>
      </c>
      <c r="K1135" s="986">
        <f t="shared" si="2532"/>
      </c>
      <c r="L1135" s="792">
        <f t="shared" si="2532"/>
      </c>
      <c r="M1135" s="792">
        <f t="shared" si="2532"/>
      </c>
      <c r="N1135" s="792">
        <f t="shared" si="2532"/>
      </c>
      <c r="O1135" s="792">
        <f t="shared" si="2532"/>
      </c>
      <c r="P1135" s="986">
        <f t="shared" si="2532"/>
      </c>
      <c r="Q1135" s="792">
        <f t="shared" si="2532"/>
      </c>
      <c r="R1135" s="792">
        <f t="shared" si="2532"/>
      </c>
      <c r="S1135" s="792">
        <f t="shared" si="2532"/>
      </c>
      <c r="T1135" s="792">
        <f t="shared" si="2532"/>
      </c>
      <c r="U1135" s="986">
        <f t="shared" si="2532"/>
      </c>
      <c r="V1135" s="792">
        <f t="shared" si="2532"/>
      </c>
      <c r="W1135" s="792">
        <f t="shared" si="2532"/>
      </c>
      <c r="X1135" s="792">
        <f t="shared" si="2532"/>
      </c>
      <c r="Y1135" s="792">
        <f t="shared" si="2532"/>
      </c>
      <c r="Z1135" s="986">
        <f t="shared" si="2532"/>
      </c>
      <c r="AA1135" s="792">
        <f t="shared" si="2532"/>
      </c>
      <c r="AB1135" s="792">
        <f t="shared" si="2532"/>
      </c>
      <c r="AC1135" s="792">
        <f t="shared" si="2532"/>
      </c>
      <c r="AD1135" s="792">
        <f t="shared" si="2532"/>
      </c>
      <c r="AE1135" s="986">
        <f t="shared" si="2532"/>
      </c>
      <c r="AF1135" s="792">
        <f t="shared" si="2532"/>
      </c>
      <c r="AG1135" s="792">
        <f t="shared" si="2532"/>
      </c>
      <c r="AH1135" s="792">
        <f t="shared" si="2532"/>
      </c>
      <c r="AI1135" s="792">
        <f t="shared" si="2532"/>
      </c>
      <c r="AJ1135" s="986">
        <f t="shared" si="2532"/>
      </c>
      <c r="AK1135" s="792">
        <f t="shared" si="2532"/>
      </c>
      <c r="AL1135" s="792">
        <f t="shared" si="2532"/>
      </c>
      <c r="AM1135" s="792">
        <f t="shared" si="2532"/>
      </c>
      <c r="AN1135" s="792">
        <f t="shared" si="2532"/>
      </c>
      <c r="AO1135" s="986">
        <f t="shared" si="2532"/>
      </c>
      <c r="AP1135" s="792">
        <f t="shared" si="2532"/>
      </c>
      <c r="AQ1135" s="792">
        <f t="shared" si="2532"/>
      </c>
      <c r="AR1135" s="792">
        <f t="shared" si="2532"/>
      </c>
      <c r="AS1135" s="792">
        <f t="shared" si="2532"/>
      </c>
      <c r="AT1135" s="986">
        <f t="shared" si="2532"/>
      </c>
      <c r="AU1135" s="792">
        <f t="shared" si="2532"/>
      </c>
      <c r="AV1135" s="792">
        <f t="shared" si="2532"/>
      </c>
      <c r="AW1135" s="792">
        <f t="shared" si="2532"/>
      </c>
      <c r="AX1135" s="792">
        <f t="shared" si="2532"/>
      </c>
      <c r="AY1135" s="986">
        <f t="shared" si="2532"/>
      </c>
      <c r="AZ1135" s="792">
        <f t="shared" si="2532"/>
      </c>
      <c r="BA1135" s="792">
        <f t="shared" si="2532"/>
      </c>
      <c r="BB1135" s="792">
        <f t="shared" si="2532"/>
      </c>
      <c r="BC1135" s="792">
        <f t="shared" si="2532"/>
      </c>
      <c r="BD1135" s="986">
        <f t="shared" si="2532"/>
      </c>
      <c r="BE1135" s="792">
        <f t="shared" si="2532"/>
      </c>
      <c r="BF1135" s="792">
        <f t="shared" si="2532"/>
      </c>
      <c r="BG1135" s="792">
        <f t="shared" si="2532"/>
      </c>
      <c r="BH1135" s="792">
        <f t="shared" si="2532"/>
      </c>
      <c r="BI1135" s="986">
        <f t="shared" si="2532"/>
      </c>
      <c r="BJ1135" s="792">
        <f t="shared" si="2532"/>
      </c>
      <c r="BK1135" s="792">
        <f t="shared" si="2532"/>
      </c>
      <c r="BL1135" s="792">
        <f t="shared" si="2532"/>
      </c>
      <c r="BM1135" s="792">
        <f t="shared" si="2532"/>
      </c>
      <c r="BN1135" s="986">
        <f t="shared" si="2532"/>
      </c>
      <c r="BO1135" s="792">
        <f t="shared" si="2532"/>
      </c>
      <c r="BP1135" s="792">
        <f t="shared" ref="BP1135:BW1135" si="2533">SUM(BP1124:BP1134)</f>
      </c>
      <c r="BQ1135" s="792">
        <f t="shared" si="2533"/>
      </c>
      <c r="BR1135" s="792">
        <f t="shared" si="2533"/>
      </c>
      <c r="BS1135" s="986">
        <f t="shared" si="2533"/>
      </c>
      <c r="BT1135" s="793">
        <f>SUM(BT1124:BT1134)</f>
      </c>
      <c r="BU1135" s="791">
        <f t="shared" si="2533"/>
      </c>
      <c r="BV1135" s="791">
        <f t="shared" si="2533"/>
      </c>
      <c r="BW1135" s="791">
        <f t="shared" si="2533"/>
      </c>
      <c r="BX1135" s="965">
        <f t="shared" ref="BX1135" si="2534">SUM(BX1124:BX1134)</f>
      </c>
      <c r="BY1135" s="791">
        <f t="shared" ref="BY1135:CF1135" si="2535">SUM(BY1124:BY1134)</f>
      </c>
      <c r="BZ1135" s="791">
        <f t="shared" si="2535"/>
      </c>
      <c r="CA1135" s="791">
        <f t="shared" si="2535"/>
      </c>
      <c r="CB1135" s="791">
        <f t="shared" si="2535"/>
      </c>
      <c r="CC1135" s="965">
        <f t="shared" si="2535"/>
      </c>
      <c r="CD1135" s="965">
        <f t="shared" si="2535"/>
      </c>
      <c r="CE1135" s="965">
        <f t="shared" si="2535"/>
      </c>
      <c r="CF1135" s="965">
        <f t="shared" si="2535"/>
      </c>
      <c r="CG1135" s="183"/>
    </row>
    <row r="1136" spans="1:85" x14ac:dyDescent="0.3">
      <c r="A1136" s="429"/>
      <c r="B1136" s="428"/>
      <c r="C1136" s="969"/>
      <c r="D1136" s="969"/>
      <c r="E1136" s="969"/>
      <c r="F1136" s="969"/>
      <c r="G1136" s="759"/>
      <c r="H1136" s="759"/>
      <c r="I1136" s="759"/>
      <c r="J1136" s="759"/>
      <c r="K1136" s="969"/>
      <c r="L1136" s="759"/>
      <c r="M1136" s="759"/>
      <c r="N1136" s="759"/>
      <c r="O1136" s="759"/>
      <c r="P1136" s="969"/>
      <c r="Q1136" s="759"/>
      <c r="R1136" s="759"/>
      <c r="S1136" s="759"/>
      <c r="T1136" s="759"/>
      <c r="U1136" s="969"/>
      <c r="V1136" s="759"/>
      <c r="W1136" s="759"/>
      <c r="X1136" s="759"/>
      <c r="Y1136" s="759"/>
      <c r="Z1136" s="969"/>
      <c r="AA1136" s="759"/>
      <c r="AB1136" s="759"/>
      <c r="AC1136" s="759"/>
      <c r="AD1136" s="759"/>
      <c r="AE1136" s="969"/>
      <c r="AF1136" s="759"/>
      <c r="AG1136" s="759"/>
      <c r="AH1136" s="759"/>
      <c r="AI1136" s="759"/>
      <c r="AJ1136" s="969"/>
      <c r="AK1136" s="759"/>
      <c r="AL1136" s="759"/>
      <c r="AM1136" s="759"/>
      <c r="AN1136" s="759"/>
      <c r="AO1136" s="969"/>
      <c r="AP1136" s="759"/>
      <c r="AQ1136" s="759"/>
      <c r="AR1136" s="759"/>
      <c r="AS1136" s="759"/>
      <c r="AT1136" s="969"/>
      <c r="AU1136" s="759"/>
      <c r="AV1136" s="759"/>
      <c r="AW1136" s="759"/>
      <c r="AX1136" s="759"/>
      <c r="AY1136" s="969"/>
      <c r="AZ1136" s="759"/>
      <c r="BA1136" s="759"/>
      <c r="BB1136" s="759"/>
      <c r="BC1136" s="759"/>
      <c r="BD1136" s="969"/>
      <c r="BE1136" s="759"/>
      <c r="BF1136" s="759"/>
      <c r="BG1136" s="759"/>
      <c r="BH1136" s="759"/>
      <c r="BI1136" s="969"/>
      <c r="BJ1136" s="759"/>
      <c r="BK1136" s="759"/>
      <c r="BL1136" s="759"/>
      <c r="BM1136" s="759"/>
      <c r="BN1136" s="969"/>
      <c r="BO1136" s="759"/>
      <c r="BP1136" s="759"/>
      <c r="BQ1136" s="759"/>
      <c r="BR1136" s="759"/>
      <c r="BS1136" s="969"/>
      <c r="BT1136" s="760"/>
      <c r="BU1136" s="759"/>
      <c r="BV1136" s="759"/>
      <c r="BW1136" s="759"/>
      <c r="BX1136" s="969"/>
      <c r="BY1136" s="759"/>
      <c r="BZ1136" s="759"/>
      <c r="CA1136" s="759"/>
      <c r="CB1136" s="759"/>
      <c r="CC1136" s="969"/>
      <c r="CD1136" s="969"/>
      <c r="CE1136" s="969"/>
      <c r="CF1136" s="969"/>
      <c r="CG1136" s="183"/>
    </row>
    <row r="1137" spans="1:85" x14ac:dyDescent="0.3">
      <c r="A1137" s="4" t="str">
        <f t="shared" ref="A1137:A1153" si="2536">A1070</f>
      </c>
      <c r="B1137" s="428"/>
      <c r="C1137" s="969"/>
      <c r="D1137" s="969"/>
      <c r="E1137" s="969"/>
      <c r="F1137" s="969"/>
      <c r="G1137" s="759"/>
      <c r="H1137" s="759"/>
      <c r="I1137" s="759"/>
      <c r="J1137" s="759"/>
      <c r="K1137" s="969"/>
      <c r="L1137" s="759"/>
      <c r="M1137" s="759"/>
      <c r="N1137" s="759"/>
      <c r="O1137" s="759"/>
      <c r="P1137" s="969"/>
      <c r="Q1137" s="759"/>
      <c r="R1137" s="759"/>
      <c r="S1137" s="759"/>
      <c r="T1137" s="759"/>
      <c r="U1137" s="969"/>
      <c r="V1137" s="759"/>
      <c r="W1137" s="759"/>
      <c r="X1137" s="759"/>
      <c r="Y1137" s="759"/>
      <c r="Z1137" s="969"/>
      <c r="AA1137" s="759"/>
      <c r="AB1137" s="759"/>
      <c r="AC1137" s="759"/>
      <c r="AD1137" s="759"/>
      <c r="AE1137" s="969"/>
      <c r="AF1137" s="759"/>
      <c r="AG1137" s="759"/>
      <c r="AH1137" s="759"/>
      <c r="AI1137" s="759"/>
      <c r="AJ1137" s="969"/>
      <c r="AK1137" s="759"/>
      <c r="AL1137" s="759"/>
      <c r="AM1137" s="759"/>
      <c r="AN1137" s="759"/>
      <c r="AO1137" s="969"/>
      <c r="AP1137" s="759"/>
      <c r="AQ1137" s="759"/>
      <c r="AR1137" s="759"/>
      <c r="AS1137" s="759"/>
      <c r="AT1137" s="969"/>
      <c r="AU1137" s="759"/>
      <c r="AV1137" s="759"/>
      <c r="AW1137" s="759"/>
      <c r="AX1137" s="759"/>
      <c r="AY1137" s="969"/>
      <c r="AZ1137" s="759"/>
      <c r="BA1137" s="759"/>
      <c r="BB1137" s="759"/>
      <c r="BC1137" s="759"/>
      <c r="BD1137" s="969"/>
      <c r="BE1137" s="759"/>
      <c r="BF1137" s="759"/>
      <c r="BG1137" s="759"/>
      <c r="BH1137" s="759"/>
      <c r="BI1137" s="969"/>
      <c r="BJ1137" s="759"/>
      <c r="BK1137" s="759"/>
      <c r="BL1137" s="759"/>
      <c r="BM1137" s="759"/>
      <c r="BN1137" s="969"/>
      <c r="BO1137" s="759"/>
      <c r="BP1137" s="759"/>
      <c r="BQ1137" s="759"/>
      <c r="BR1137" s="759"/>
      <c r="BS1137" s="969"/>
      <c r="BT1137" s="760"/>
      <c r="BU1137" s="759"/>
      <c r="BV1137" s="759"/>
      <c r="BW1137" s="759"/>
      <c r="BX1137" s="969"/>
      <c r="BY1137" s="759"/>
      <c r="BZ1137" s="759"/>
      <c r="CA1137" s="759"/>
      <c r="CB1137" s="759"/>
      <c r="CC1137" s="969"/>
      <c r="CD1137" s="969"/>
      <c r="CE1137" s="969"/>
      <c r="CF1137" s="969"/>
      <c r="CG1137" s="183"/>
    </row>
    <row r="1138" spans="1:85" x14ac:dyDescent="0.3">
      <c r="A1138" s="182" t="str">
        <f t="shared" si="2536"/>
      </c>
      <c r="B1138" s="757"/>
      <c r="C1138" s="964">
        <f t="shared" ref="C1138:G1152" si="2537">C1071</f>
      </c>
      <c r="D1138" s="964">
        <f t="shared" si="2537"/>
      </c>
      <c r="E1138" s="964">
        <f t="shared" si="2537"/>
      </c>
      <c r="F1138" s="964">
        <f t="shared" si="2537"/>
      </c>
      <c r="G1138" s="459">
        <f t="shared" si="2537"/>
      </c>
      <c r="H1138" s="459">
        <f t="shared" ref="H1138:J1152" si="2538">H1071-G1071</f>
      </c>
      <c r="I1138" s="459">
        <f t="shared" si="2538"/>
      </c>
      <c r="J1138" s="459">
        <f t="shared" si="2538"/>
      </c>
      <c r="K1138" s="964">
        <f t="shared" ref="K1138:L1152" si="2539">K1071</f>
      </c>
      <c r="L1138" s="459">
        <f t="shared" si="2539"/>
      </c>
      <c r="M1138" s="459">
        <f t="shared" ref="M1138:O1152" si="2540">M1071-L1071</f>
      </c>
      <c r="N1138" s="459">
        <f t="shared" si="2540"/>
      </c>
      <c r="O1138" s="459">
        <f t="shared" si="2540"/>
      </c>
      <c r="P1138" s="964">
        <f t="shared" ref="P1138:Q1152" si="2541">P1071</f>
      </c>
      <c r="Q1138" s="459">
        <f t="shared" si="2541"/>
      </c>
      <c r="R1138" s="459">
        <f t="shared" ref="R1138:T1152" si="2542">R1071-Q1071</f>
      </c>
      <c r="S1138" s="459">
        <f t="shared" si="2542"/>
      </c>
      <c r="T1138" s="459">
        <f t="shared" si="2542"/>
      </c>
      <c r="U1138" s="964">
        <f t="shared" ref="U1138:V1152" si="2543">U1071</f>
      </c>
      <c r="V1138" s="459">
        <f t="shared" si="2543"/>
      </c>
      <c r="W1138" s="459">
        <f t="shared" ref="W1138:Y1152" si="2544">W1071-V1071</f>
      </c>
      <c r="X1138" s="459">
        <f t="shared" si="2544"/>
      </c>
      <c r="Y1138" s="459">
        <f t="shared" si="2544"/>
      </c>
      <c r="Z1138" s="964">
        <f t="shared" ref="Z1138:AA1152" si="2545">Z1071</f>
      </c>
      <c r="AA1138" s="459">
        <f t="shared" si="2545"/>
      </c>
      <c r="AB1138" s="459">
        <f t="shared" ref="AB1138:AD1152" si="2546">AB1071-AA1071</f>
      </c>
      <c r="AC1138" s="459">
        <f t="shared" si="2546"/>
      </c>
      <c r="AD1138" s="459">
        <f t="shared" si="2546"/>
      </c>
      <c r="AE1138" s="964">
        <f t="shared" ref="AE1138:AF1152" si="2547">AE1071</f>
      </c>
      <c r="AF1138" s="459">
        <f t="shared" si="2547"/>
      </c>
      <c r="AG1138" s="459">
        <f t="shared" ref="AG1138:AI1152" si="2548">AG1071-AF1071</f>
      </c>
      <c r="AH1138" s="459">
        <f t="shared" si="2548"/>
      </c>
      <c r="AI1138" s="459">
        <f t="shared" si="2548"/>
      </c>
      <c r="AJ1138" s="964">
        <f t="shared" ref="AJ1138:AK1152" si="2549">AJ1071</f>
      </c>
      <c r="AK1138" s="459">
        <f t="shared" si="2549"/>
      </c>
      <c r="AL1138" s="459">
        <f t="shared" ref="AL1138:AN1152" si="2550">AL1071-AK1071</f>
      </c>
      <c r="AM1138" s="459">
        <f t="shared" si="2550"/>
      </c>
      <c r="AN1138" s="459">
        <f t="shared" si="2550"/>
      </c>
      <c r="AO1138" s="964">
        <f t="shared" ref="AO1138:AP1152" si="2551">AO1071</f>
      </c>
      <c r="AP1138" s="459">
        <f t="shared" si="2551"/>
      </c>
      <c r="AQ1138" s="459">
        <f t="shared" ref="AQ1138:AS1152" si="2552">AQ1071-AP1071</f>
      </c>
      <c r="AR1138" s="459">
        <f t="shared" si="2552"/>
      </c>
      <c r="AS1138" s="459">
        <f t="shared" si="2552"/>
      </c>
      <c r="AT1138" s="964">
        <f t="shared" ref="AT1138:AU1152" si="2553">AT1071</f>
      </c>
      <c r="AU1138" s="459">
        <f t="shared" si="2553"/>
      </c>
      <c r="AV1138" s="459">
        <f t="shared" ref="AV1138:AX1152" si="2554">AV1071-AU1071</f>
      </c>
      <c r="AW1138" s="459">
        <f t="shared" si="2554"/>
      </c>
      <c r="AX1138" s="459">
        <f t="shared" si="2554"/>
      </c>
      <c r="AY1138" s="964">
        <f t="shared" ref="AY1138:AZ1152" si="2555">AY1071</f>
      </c>
      <c r="AZ1138" s="459">
        <f t="shared" si="2555"/>
      </c>
      <c r="BA1138" s="459">
        <f t="shared" ref="BA1138:BC1152" si="2556">BA1071-AZ1071</f>
      </c>
      <c r="BB1138" s="459">
        <f t="shared" si="2556"/>
      </c>
      <c r="BC1138" s="459">
        <f t="shared" si="2556"/>
      </c>
      <c r="BD1138" s="964">
        <f t="shared" ref="BD1138:BE1152" si="2557">BD1071</f>
      </c>
      <c r="BE1138" s="459">
        <f t="shared" si="2557"/>
      </c>
      <c r="BF1138" s="459">
        <f t="shared" ref="BF1138:BH1152" si="2558">BF1071-BE1071</f>
      </c>
      <c r="BG1138" s="459">
        <f t="shared" si="2558"/>
      </c>
      <c r="BH1138" s="459">
        <f t="shared" si="2558"/>
      </c>
      <c r="BI1138" s="964">
        <f t="shared" ref="BI1138:BJ1152" si="2559">BI1071</f>
      </c>
      <c r="BJ1138" s="459">
        <f t="shared" si="2559"/>
      </c>
      <c r="BK1138" s="459">
        <f t="shared" ref="BK1138:BM1152" si="2560">BK1071-BJ1071</f>
      </c>
      <c r="BL1138" s="459">
        <f t="shared" si="2560"/>
      </c>
      <c r="BM1138" s="459">
        <f t="shared" si="2560"/>
      </c>
      <c r="BN1138" s="964">
        <f t="shared" ref="BN1138:BO1152" si="2561">BN1071</f>
      </c>
      <c r="BO1138" s="459">
        <f t="shared" si="2561"/>
      </c>
      <c r="BP1138" s="459">
        <f t="shared" ref="BP1138:BP1152" si="2562">BP1071-BO1071</f>
      </c>
      <c r="BQ1138" s="459">
        <f t="shared" ref="BQ1138:BQ1152" si="2563">BQ1071-BP1071</f>
      </c>
      <c r="BR1138" s="459">
        <f t="shared" ref="BR1138:BR1152" si="2564">BR1071-BQ1071</f>
      </c>
      <c r="BS1138" s="964">
        <f t="shared" ref="BS1138:BS1152" si="2565">BS1071</f>
      </c>
      <c r="BT1138" s="795">
        <f t="shared" ref="BT1138:BT1152" si="2566">BT1071</f>
      </c>
      <c r="BU1138" s="757"/>
      <c r="BV1138" s="757"/>
      <c r="BW1138" s="757"/>
      <c r="BX1138" s="962">
        <f t="shared" ref="BX1138:BX1152" si="2567">SUM(BT1138,BU1138,BV1138,BW1138)</f>
      </c>
      <c r="BY1138" s="757"/>
      <c r="BZ1138" s="757"/>
      <c r="CA1138" s="757"/>
      <c r="CB1138" s="757"/>
      <c r="CC1138" s="962">
        <f t="shared" ref="CC1138:CC1152" si="2568">SUM(BY1138,BZ1138,CA1138,CB1138)</f>
      </c>
      <c r="CD1138" s="962"/>
      <c r="CE1138" s="962"/>
      <c r="CF1138" s="962"/>
      <c r="CG1138" s="459"/>
    </row>
    <row r="1139" spans="1:85" x14ac:dyDescent="0.3">
      <c r="A1139" s="182" t="str">
        <f t="shared" si="2536"/>
      </c>
      <c r="B1139" s="757"/>
      <c r="C1139" s="964">
        <f t="shared" si="2537"/>
      </c>
      <c r="D1139" s="964">
        <f t="shared" si="2537"/>
      </c>
      <c r="E1139" s="964">
        <f t="shared" si="2537"/>
      </c>
      <c r="F1139" s="964">
        <f t="shared" si="2537"/>
      </c>
      <c r="G1139" s="459">
        <f t="shared" si="2537"/>
      </c>
      <c r="H1139" s="459">
        <f t="shared" si="2538"/>
      </c>
      <c r="I1139" s="459">
        <f t="shared" si="2538"/>
      </c>
      <c r="J1139" s="459">
        <f t="shared" si="2538"/>
      </c>
      <c r="K1139" s="964">
        <f t="shared" si="2539"/>
      </c>
      <c r="L1139" s="459">
        <f t="shared" si="2539"/>
      </c>
      <c r="M1139" s="459">
        <f t="shared" si="2540"/>
      </c>
      <c r="N1139" s="459">
        <f t="shared" si="2540"/>
      </c>
      <c r="O1139" s="459">
        <f t="shared" si="2540"/>
      </c>
      <c r="P1139" s="964">
        <f t="shared" si="2541"/>
      </c>
      <c r="Q1139" s="459">
        <f t="shared" si="2541"/>
      </c>
      <c r="R1139" s="459">
        <f t="shared" si="2542"/>
      </c>
      <c r="S1139" s="459">
        <f t="shared" si="2542"/>
      </c>
      <c r="T1139" s="459">
        <f t="shared" si="2542"/>
      </c>
      <c r="U1139" s="964">
        <f t="shared" si="2543"/>
      </c>
      <c r="V1139" s="459">
        <f t="shared" si="2543"/>
      </c>
      <c r="W1139" s="459">
        <f t="shared" si="2544"/>
      </c>
      <c r="X1139" s="459">
        <f t="shared" si="2544"/>
      </c>
      <c r="Y1139" s="459">
        <f t="shared" si="2544"/>
      </c>
      <c r="Z1139" s="964">
        <f t="shared" si="2545"/>
      </c>
      <c r="AA1139" s="459">
        <f t="shared" si="2545"/>
      </c>
      <c r="AB1139" s="459">
        <f t="shared" si="2546"/>
      </c>
      <c r="AC1139" s="459">
        <f t="shared" si="2546"/>
      </c>
      <c r="AD1139" s="459">
        <f t="shared" si="2546"/>
      </c>
      <c r="AE1139" s="964">
        <f t="shared" si="2547"/>
      </c>
      <c r="AF1139" s="459">
        <f t="shared" si="2547"/>
      </c>
      <c r="AG1139" s="459">
        <f t="shared" si="2548"/>
      </c>
      <c r="AH1139" s="459">
        <f t="shared" si="2548"/>
      </c>
      <c r="AI1139" s="459">
        <f t="shared" si="2548"/>
      </c>
      <c r="AJ1139" s="964">
        <f t="shared" si="2549"/>
      </c>
      <c r="AK1139" s="459">
        <f t="shared" si="2549"/>
      </c>
      <c r="AL1139" s="459">
        <f t="shared" si="2550"/>
      </c>
      <c r="AM1139" s="459">
        <f t="shared" si="2550"/>
      </c>
      <c r="AN1139" s="459">
        <f t="shared" si="2550"/>
      </c>
      <c r="AO1139" s="964">
        <f t="shared" si="2551"/>
      </c>
      <c r="AP1139" s="459">
        <f t="shared" si="2551"/>
      </c>
      <c r="AQ1139" s="459">
        <f t="shared" si="2552"/>
      </c>
      <c r="AR1139" s="459">
        <f t="shared" si="2552"/>
      </c>
      <c r="AS1139" s="459">
        <f t="shared" si="2552"/>
      </c>
      <c r="AT1139" s="964">
        <f t="shared" si="2553"/>
      </c>
      <c r="AU1139" s="459">
        <f t="shared" si="2553"/>
      </c>
      <c r="AV1139" s="459">
        <f t="shared" si="2554"/>
      </c>
      <c r="AW1139" s="459">
        <f t="shared" si="2554"/>
      </c>
      <c r="AX1139" s="459">
        <f t="shared" si="2554"/>
      </c>
      <c r="AY1139" s="964">
        <f t="shared" si="2555"/>
      </c>
      <c r="AZ1139" s="459">
        <f t="shared" si="2555"/>
      </c>
      <c r="BA1139" s="459">
        <f t="shared" si="2556"/>
      </c>
      <c r="BB1139" s="459">
        <f t="shared" si="2556"/>
      </c>
      <c r="BC1139" s="459">
        <f t="shared" si="2556"/>
      </c>
      <c r="BD1139" s="964">
        <f t="shared" si="2557"/>
      </c>
      <c r="BE1139" s="459">
        <f t="shared" si="2557"/>
      </c>
      <c r="BF1139" s="459">
        <f t="shared" si="2558"/>
      </c>
      <c r="BG1139" s="459">
        <f t="shared" si="2558"/>
      </c>
      <c r="BH1139" s="459">
        <f t="shared" si="2558"/>
      </c>
      <c r="BI1139" s="964">
        <f t="shared" si="2559"/>
      </c>
      <c r="BJ1139" s="459">
        <f t="shared" si="2559"/>
      </c>
      <c r="BK1139" s="459">
        <f t="shared" si="2560"/>
      </c>
      <c r="BL1139" s="459">
        <f t="shared" si="2560"/>
      </c>
      <c r="BM1139" s="459">
        <f t="shared" si="2560"/>
      </c>
      <c r="BN1139" s="964">
        <f t="shared" si="2561"/>
      </c>
      <c r="BO1139" s="459">
        <f t="shared" si="2561"/>
      </c>
      <c r="BP1139" s="459">
        <f t="shared" si="2562"/>
      </c>
      <c r="BQ1139" s="459">
        <f t="shared" si="2563"/>
      </c>
      <c r="BR1139" s="459">
        <f t="shared" si="2564"/>
      </c>
      <c r="BS1139" s="964">
        <f t="shared" si="2565"/>
      </c>
      <c r="BT1139" s="795">
        <f t="shared" si="2566"/>
      </c>
      <c r="BU1139" s="757"/>
      <c r="BV1139" s="757"/>
      <c r="BW1139" s="757"/>
      <c r="BX1139" s="962">
        <f t="shared" si="2567"/>
      </c>
      <c r="BY1139" s="757"/>
      <c r="BZ1139" s="757"/>
      <c r="CA1139" s="757"/>
      <c r="CB1139" s="757"/>
      <c r="CC1139" s="962">
        <f t="shared" si="2568"/>
      </c>
      <c r="CD1139" s="962"/>
      <c r="CE1139" s="962"/>
      <c r="CF1139" s="962"/>
      <c r="CG1139" s="459"/>
    </row>
    <row r="1140" spans="1:85" x14ac:dyDescent="0.3">
      <c r="A1140" s="436" t="str">
        <f t="shared" si="2536"/>
      </c>
      <c r="B1140" s="757"/>
      <c r="C1140" s="962">
        <f t="shared" si="2537"/>
      </c>
      <c r="D1140" s="962">
        <f t="shared" si="2537"/>
      </c>
      <c r="E1140" s="962">
        <f t="shared" si="2537"/>
      </c>
      <c r="F1140" s="962">
        <f t="shared" si="2537"/>
      </c>
      <c r="G1140" s="757">
        <f t="shared" si="2537"/>
      </c>
      <c r="H1140" s="757">
        <f t="shared" si="2538"/>
      </c>
      <c r="I1140" s="757">
        <f t="shared" si="2538"/>
      </c>
      <c r="J1140" s="757">
        <f t="shared" si="2538"/>
      </c>
      <c r="K1140" s="962">
        <f t="shared" si="2539"/>
      </c>
      <c r="L1140" s="757">
        <f t="shared" si="2539"/>
      </c>
      <c r="M1140" s="757">
        <f t="shared" si="2540"/>
      </c>
      <c r="N1140" s="757">
        <f t="shared" si="2540"/>
      </c>
      <c r="O1140" s="757">
        <f t="shared" si="2540"/>
      </c>
      <c r="P1140" s="962">
        <f t="shared" si="2541"/>
      </c>
      <c r="Q1140" s="757">
        <f t="shared" si="2541"/>
      </c>
      <c r="R1140" s="757">
        <f t="shared" si="2542"/>
      </c>
      <c r="S1140" s="757">
        <f t="shared" si="2542"/>
      </c>
      <c r="T1140" s="757">
        <f t="shared" si="2542"/>
      </c>
      <c r="U1140" s="962">
        <f t="shared" si="2543"/>
      </c>
      <c r="V1140" s="757">
        <f t="shared" si="2543"/>
      </c>
      <c r="W1140" s="757">
        <f t="shared" si="2544"/>
      </c>
      <c r="X1140" s="757">
        <f t="shared" si="2544"/>
      </c>
      <c r="Y1140" s="757">
        <f t="shared" si="2544"/>
      </c>
      <c r="Z1140" s="962">
        <f t="shared" si="2545"/>
      </c>
      <c r="AA1140" s="757">
        <f t="shared" si="2545"/>
      </c>
      <c r="AB1140" s="757">
        <f t="shared" si="2546"/>
      </c>
      <c r="AC1140" s="757">
        <f t="shared" si="2546"/>
      </c>
      <c r="AD1140" s="757">
        <f t="shared" si="2546"/>
      </c>
      <c r="AE1140" s="962">
        <f t="shared" si="2547"/>
      </c>
      <c r="AF1140" s="757">
        <f t="shared" si="2547"/>
      </c>
      <c r="AG1140" s="757">
        <f t="shared" si="2548"/>
      </c>
      <c r="AH1140" s="757">
        <f t="shared" si="2548"/>
      </c>
      <c r="AI1140" s="757">
        <f t="shared" si="2548"/>
      </c>
      <c r="AJ1140" s="962">
        <f t="shared" si="2549"/>
      </c>
      <c r="AK1140" s="757">
        <f t="shared" si="2549"/>
      </c>
      <c r="AL1140" s="757">
        <f t="shared" si="2550"/>
      </c>
      <c r="AM1140" s="757">
        <f t="shared" si="2550"/>
      </c>
      <c r="AN1140" s="757">
        <f t="shared" si="2550"/>
      </c>
      <c r="AO1140" s="962">
        <f t="shared" si="2551"/>
      </c>
      <c r="AP1140" s="757">
        <f t="shared" si="2551"/>
      </c>
      <c r="AQ1140" s="757">
        <f t="shared" si="2552"/>
      </c>
      <c r="AR1140" s="757">
        <f t="shared" si="2552"/>
      </c>
      <c r="AS1140" s="757">
        <f t="shared" si="2552"/>
      </c>
      <c r="AT1140" s="962">
        <f t="shared" si="2553"/>
      </c>
      <c r="AU1140" s="757">
        <f t="shared" si="2553"/>
      </c>
      <c r="AV1140" s="757">
        <f t="shared" si="2554"/>
      </c>
      <c r="AW1140" s="757">
        <f t="shared" si="2554"/>
      </c>
      <c r="AX1140" s="757">
        <f t="shared" si="2554"/>
      </c>
      <c r="AY1140" s="962">
        <f t="shared" si="2555"/>
      </c>
      <c r="AZ1140" s="757">
        <f t="shared" si="2555"/>
      </c>
      <c r="BA1140" s="459">
        <f t="shared" si="2556"/>
      </c>
      <c r="BB1140" s="757">
        <f t="shared" si="2556"/>
      </c>
      <c r="BC1140" s="757">
        <f t="shared" si="2556"/>
      </c>
      <c r="BD1140" s="962">
        <f t="shared" si="2557"/>
      </c>
      <c r="BE1140" s="757">
        <f t="shared" si="2557"/>
      </c>
      <c r="BF1140" s="459">
        <f t="shared" si="2558"/>
      </c>
      <c r="BG1140" s="757">
        <f t="shared" si="2558"/>
      </c>
      <c r="BH1140" s="757">
        <f t="shared" si="2558"/>
      </c>
      <c r="BI1140" s="962">
        <f t="shared" si="2559"/>
      </c>
      <c r="BJ1140" s="757">
        <f t="shared" si="2559"/>
      </c>
      <c r="BK1140" s="459">
        <f t="shared" si="2560"/>
      </c>
      <c r="BL1140" s="757">
        <f t="shared" si="2560"/>
      </c>
      <c r="BM1140" s="757">
        <f t="shared" si="2560"/>
      </c>
      <c r="BN1140" s="962">
        <f t="shared" si="2561"/>
      </c>
      <c r="BO1140" s="757">
        <f t="shared" si="2561"/>
      </c>
      <c r="BP1140" s="459">
        <f t="shared" si="2562"/>
      </c>
      <c r="BQ1140" s="757">
        <f t="shared" si="2563"/>
      </c>
      <c r="BR1140" s="757">
        <f t="shared" si="2564"/>
      </c>
      <c r="BS1140" s="962">
        <f t="shared" si="2565"/>
      </c>
      <c r="BT1140" s="758">
        <f t="shared" si="2566"/>
      </c>
      <c r="BU1140" s="757">
        <f>BU733</f>
      </c>
      <c r="BV1140" s="757">
        <f>BV733</f>
      </c>
      <c r="BW1140" s="757">
        <f>BW733</f>
      </c>
      <c r="BX1140" s="962">
        <f t="shared" si="2567"/>
      </c>
      <c r="BY1140" s="757">
        <f>BY733</f>
      </c>
      <c r="BZ1140" s="757">
        <f>BZ733</f>
      </c>
      <c r="CA1140" s="757">
        <f>CA733</f>
      </c>
      <c r="CB1140" s="757">
        <f>CB733</f>
      </c>
      <c r="CC1140" s="962">
        <f t="shared" si="2568"/>
      </c>
      <c r="CD1140" s="962">
        <f>CD733</f>
      </c>
      <c r="CE1140" s="962">
        <f>CE733</f>
      </c>
      <c r="CF1140" s="962">
        <f>CF733</f>
      </c>
      <c r="CG1140" s="459"/>
    </row>
    <row r="1141" spans="1:85" x14ac:dyDescent="0.3">
      <c r="A1141" s="182" t="str">
        <f t="shared" si="2536"/>
      </c>
      <c r="B1141" s="757"/>
      <c r="C1141" s="964">
        <f t="shared" si="2537"/>
      </c>
      <c r="D1141" s="964">
        <f t="shared" si="2537"/>
      </c>
      <c r="E1141" s="964">
        <f t="shared" si="2537"/>
      </c>
      <c r="F1141" s="964">
        <f t="shared" si="2537"/>
      </c>
      <c r="G1141" s="459">
        <f t="shared" si="2537"/>
      </c>
      <c r="H1141" s="459">
        <f t="shared" si="2538"/>
      </c>
      <c r="I1141" s="459">
        <f t="shared" si="2538"/>
      </c>
      <c r="J1141" s="459">
        <f t="shared" si="2538"/>
      </c>
      <c r="K1141" s="964">
        <f t="shared" si="2539"/>
      </c>
      <c r="L1141" s="459">
        <f t="shared" si="2539"/>
      </c>
      <c r="M1141" s="459">
        <f t="shared" si="2540"/>
      </c>
      <c r="N1141" s="459">
        <f t="shared" si="2540"/>
      </c>
      <c r="O1141" s="459">
        <f t="shared" si="2540"/>
      </c>
      <c r="P1141" s="964">
        <f t="shared" si="2541"/>
      </c>
      <c r="Q1141" s="459">
        <f t="shared" si="2541"/>
      </c>
      <c r="R1141" s="459">
        <f t="shared" si="2542"/>
      </c>
      <c r="S1141" s="459">
        <f t="shared" si="2542"/>
      </c>
      <c r="T1141" s="459">
        <f t="shared" si="2542"/>
      </c>
      <c r="U1141" s="964">
        <f t="shared" si="2543"/>
      </c>
      <c r="V1141" s="459">
        <f t="shared" si="2543"/>
      </c>
      <c r="W1141" s="459">
        <f t="shared" si="2544"/>
      </c>
      <c r="X1141" s="459">
        <f t="shared" si="2544"/>
      </c>
      <c r="Y1141" s="459">
        <f t="shared" si="2544"/>
      </c>
      <c r="Z1141" s="964">
        <f t="shared" si="2545"/>
      </c>
      <c r="AA1141" s="459">
        <f t="shared" si="2545"/>
      </c>
      <c r="AB1141" s="459">
        <f t="shared" si="2546"/>
      </c>
      <c r="AC1141" s="459">
        <f t="shared" si="2546"/>
      </c>
      <c r="AD1141" s="459">
        <f t="shared" si="2546"/>
      </c>
      <c r="AE1141" s="964">
        <f t="shared" si="2547"/>
      </c>
      <c r="AF1141" s="459">
        <f t="shared" si="2547"/>
      </c>
      <c r="AG1141" s="459">
        <f t="shared" si="2548"/>
      </c>
      <c r="AH1141" s="459">
        <f t="shared" si="2548"/>
      </c>
      <c r="AI1141" s="459">
        <f t="shared" si="2548"/>
      </c>
      <c r="AJ1141" s="964">
        <f t="shared" si="2549"/>
      </c>
      <c r="AK1141" s="459">
        <f t="shared" si="2549"/>
      </c>
      <c r="AL1141" s="459">
        <f t="shared" si="2550"/>
      </c>
      <c r="AM1141" s="459">
        <f t="shared" si="2550"/>
      </c>
      <c r="AN1141" s="459">
        <f t="shared" si="2550"/>
      </c>
      <c r="AO1141" s="964">
        <f t="shared" si="2551"/>
      </c>
      <c r="AP1141" s="459">
        <f t="shared" si="2551"/>
      </c>
      <c r="AQ1141" s="459">
        <f t="shared" si="2552"/>
      </c>
      <c r="AR1141" s="459">
        <f t="shared" si="2552"/>
      </c>
      <c r="AS1141" s="459">
        <f t="shared" si="2552"/>
      </c>
      <c r="AT1141" s="964">
        <f t="shared" si="2553"/>
      </c>
      <c r="AU1141" s="459">
        <f t="shared" si="2553"/>
      </c>
      <c r="AV1141" s="459">
        <f t="shared" si="2554"/>
      </c>
      <c r="AW1141" s="459">
        <f t="shared" si="2554"/>
      </c>
      <c r="AX1141" s="459">
        <f t="shared" si="2554"/>
      </c>
      <c r="AY1141" s="964">
        <f t="shared" si="2555"/>
      </c>
      <c r="AZ1141" s="459">
        <f t="shared" si="2555"/>
      </c>
      <c r="BA1141" s="459">
        <f t="shared" si="2556"/>
      </c>
      <c r="BB1141" s="459">
        <f t="shared" si="2556"/>
      </c>
      <c r="BC1141" s="459">
        <f t="shared" si="2556"/>
      </c>
      <c r="BD1141" s="964">
        <f t="shared" si="2557"/>
      </c>
      <c r="BE1141" s="459">
        <f t="shared" si="2557"/>
      </c>
      <c r="BF1141" s="459">
        <f t="shared" si="2558"/>
      </c>
      <c r="BG1141" s="459">
        <f t="shared" si="2558"/>
      </c>
      <c r="BH1141" s="459">
        <f t="shared" si="2558"/>
      </c>
      <c r="BI1141" s="964">
        <f t="shared" si="2559"/>
      </c>
      <c r="BJ1141" s="459">
        <f t="shared" si="2559"/>
      </c>
      <c r="BK1141" s="459">
        <f t="shared" si="2560"/>
      </c>
      <c r="BL1141" s="459">
        <f t="shared" si="2560"/>
      </c>
      <c r="BM1141" s="459">
        <f t="shared" si="2560"/>
      </c>
      <c r="BN1141" s="964">
        <f t="shared" si="2561"/>
      </c>
      <c r="BO1141" s="459">
        <f t="shared" si="2561"/>
      </c>
      <c r="BP1141" s="459">
        <f t="shared" si="2562"/>
      </c>
      <c r="BQ1141" s="459">
        <f t="shared" si="2563"/>
      </c>
      <c r="BR1141" s="459">
        <f t="shared" si="2564"/>
      </c>
      <c r="BS1141" s="964">
        <f t="shared" si="2565"/>
      </c>
      <c r="BT1141" s="795">
        <f t="shared" si="2566"/>
      </c>
      <c r="BU1141" s="757"/>
      <c r="BV1141" s="757"/>
      <c r="BW1141" s="757"/>
      <c r="BX1141" s="962">
        <f t="shared" si="2567"/>
      </c>
      <c r="BY1141" s="757"/>
      <c r="BZ1141" s="757"/>
      <c r="CA1141" s="757"/>
      <c r="CB1141" s="757"/>
      <c r="CC1141" s="962">
        <f t="shared" si="2568"/>
      </c>
      <c r="CD1141" s="962"/>
      <c r="CE1141" s="962"/>
      <c r="CF1141" s="962"/>
      <c r="CG1141" s="459"/>
    </row>
    <row r="1142" spans="1:85" x14ac:dyDescent="0.3">
      <c r="A1142" s="182" t="str">
        <f t="shared" si="2536"/>
      </c>
      <c r="B1142" s="757"/>
      <c r="C1142" s="964">
        <f t="shared" si="2537"/>
      </c>
      <c r="D1142" s="964">
        <f t="shared" si="2537"/>
      </c>
      <c r="E1142" s="964">
        <f t="shared" si="2537"/>
      </c>
      <c r="F1142" s="964">
        <f t="shared" si="2537"/>
      </c>
      <c r="G1142" s="459">
        <f t="shared" si="2537"/>
      </c>
      <c r="H1142" s="459">
        <f t="shared" si="2538"/>
      </c>
      <c r="I1142" s="459">
        <f t="shared" si="2538"/>
      </c>
      <c r="J1142" s="459">
        <f t="shared" si="2538"/>
      </c>
      <c r="K1142" s="964">
        <f t="shared" si="2539"/>
      </c>
      <c r="L1142" s="459">
        <f t="shared" si="2539"/>
      </c>
      <c r="M1142" s="459">
        <f t="shared" si="2540"/>
      </c>
      <c r="N1142" s="459">
        <f t="shared" si="2540"/>
      </c>
      <c r="O1142" s="459">
        <f t="shared" si="2540"/>
      </c>
      <c r="P1142" s="964">
        <f t="shared" si="2541"/>
      </c>
      <c r="Q1142" s="459">
        <f t="shared" si="2541"/>
      </c>
      <c r="R1142" s="459">
        <f t="shared" si="2542"/>
      </c>
      <c r="S1142" s="459">
        <f t="shared" si="2542"/>
      </c>
      <c r="T1142" s="459">
        <f t="shared" si="2542"/>
      </c>
      <c r="U1142" s="964">
        <f t="shared" si="2543"/>
      </c>
      <c r="V1142" s="459">
        <f t="shared" si="2543"/>
      </c>
      <c r="W1142" s="459">
        <f t="shared" si="2544"/>
      </c>
      <c r="X1142" s="459">
        <f t="shared" si="2544"/>
      </c>
      <c r="Y1142" s="459">
        <f t="shared" si="2544"/>
      </c>
      <c r="Z1142" s="964">
        <f t="shared" si="2545"/>
      </c>
      <c r="AA1142" s="459">
        <f t="shared" si="2545"/>
      </c>
      <c r="AB1142" s="459">
        <f t="shared" si="2546"/>
      </c>
      <c r="AC1142" s="459">
        <f t="shared" si="2546"/>
      </c>
      <c r="AD1142" s="459">
        <f t="shared" si="2546"/>
      </c>
      <c r="AE1142" s="964">
        <f t="shared" si="2547"/>
      </c>
      <c r="AF1142" s="459">
        <f t="shared" si="2547"/>
      </c>
      <c r="AG1142" s="459">
        <f t="shared" si="2548"/>
      </c>
      <c r="AH1142" s="459">
        <f t="shared" si="2548"/>
      </c>
      <c r="AI1142" s="459">
        <f t="shared" si="2548"/>
      </c>
      <c r="AJ1142" s="964">
        <f t="shared" si="2549"/>
      </c>
      <c r="AK1142" s="459">
        <f t="shared" si="2549"/>
      </c>
      <c r="AL1142" s="459">
        <f t="shared" si="2550"/>
      </c>
      <c r="AM1142" s="459">
        <f t="shared" si="2550"/>
      </c>
      <c r="AN1142" s="459">
        <f t="shared" si="2550"/>
      </c>
      <c r="AO1142" s="964">
        <f t="shared" si="2551"/>
      </c>
      <c r="AP1142" s="459">
        <f t="shared" si="2551"/>
      </c>
      <c r="AQ1142" s="459">
        <f t="shared" si="2552"/>
      </c>
      <c r="AR1142" s="459">
        <f t="shared" si="2552"/>
      </c>
      <c r="AS1142" s="459">
        <f t="shared" si="2552"/>
      </c>
      <c r="AT1142" s="964">
        <f t="shared" si="2553"/>
      </c>
      <c r="AU1142" s="459">
        <f t="shared" si="2553"/>
      </c>
      <c r="AV1142" s="459">
        <f t="shared" si="2554"/>
      </c>
      <c r="AW1142" s="459">
        <f t="shared" si="2554"/>
      </c>
      <c r="AX1142" s="459">
        <f t="shared" si="2554"/>
      </c>
      <c r="AY1142" s="964">
        <f t="shared" si="2555"/>
      </c>
      <c r="AZ1142" s="459">
        <f t="shared" si="2555"/>
      </c>
      <c r="BA1142" s="459">
        <f t="shared" si="2556"/>
      </c>
      <c r="BB1142" s="459">
        <f t="shared" si="2556"/>
      </c>
      <c r="BC1142" s="459">
        <f t="shared" si="2556"/>
      </c>
      <c r="BD1142" s="964">
        <f t="shared" si="2557"/>
      </c>
      <c r="BE1142" s="459">
        <f t="shared" si="2557"/>
      </c>
      <c r="BF1142" s="459">
        <f t="shared" si="2558"/>
      </c>
      <c r="BG1142" s="459">
        <f t="shared" si="2558"/>
      </c>
      <c r="BH1142" s="459">
        <f t="shared" si="2558"/>
      </c>
      <c r="BI1142" s="964">
        <f t="shared" si="2559"/>
      </c>
      <c r="BJ1142" s="459">
        <f t="shared" si="2559"/>
      </c>
      <c r="BK1142" s="459">
        <f t="shared" si="2560"/>
      </c>
      <c r="BL1142" s="459">
        <f t="shared" si="2560"/>
      </c>
      <c r="BM1142" s="459">
        <f t="shared" si="2560"/>
      </c>
      <c r="BN1142" s="964">
        <f t="shared" si="2561"/>
      </c>
      <c r="BO1142" s="459">
        <f t="shared" si="2561"/>
      </c>
      <c r="BP1142" s="459">
        <f t="shared" si="2562"/>
      </c>
      <c r="BQ1142" s="459">
        <f t="shared" si="2563"/>
      </c>
      <c r="BR1142" s="459">
        <f t="shared" si="2564"/>
      </c>
      <c r="BS1142" s="964">
        <f t="shared" si="2565"/>
      </c>
      <c r="BT1142" s="795">
        <f t="shared" si="2566"/>
      </c>
      <c r="BU1142" s="757"/>
      <c r="BV1142" s="757"/>
      <c r="BW1142" s="757"/>
      <c r="BX1142" s="962">
        <f t="shared" si="2567"/>
      </c>
      <c r="BY1142" s="757"/>
      <c r="BZ1142" s="757"/>
      <c r="CA1142" s="757"/>
      <c r="CB1142" s="757"/>
      <c r="CC1142" s="962">
        <f t="shared" si="2568"/>
      </c>
      <c r="CD1142" s="962"/>
      <c r="CE1142" s="962"/>
      <c r="CF1142" s="962"/>
      <c r="CG1142" s="459"/>
    </row>
    <row r="1143" spans="1:85" x14ac:dyDescent="0.3">
      <c r="A1143" s="182" t="str">
        <f t="shared" si="2536"/>
      </c>
      <c r="B1143" s="757"/>
      <c r="C1143" s="964">
        <f t="shared" si="2537"/>
      </c>
      <c r="D1143" s="964">
        <f t="shared" si="2537"/>
      </c>
      <c r="E1143" s="964">
        <f t="shared" si="2537"/>
      </c>
      <c r="F1143" s="964">
        <f t="shared" si="2537"/>
      </c>
      <c r="G1143" s="459">
        <f t="shared" si="2537"/>
      </c>
      <c r="H1143" s="459">
        <f t="shared" si="2538"/>
      </c>
      <c r="I1143" s="459">
        <f t="shared" si="2538"/>
      </c>
      <c r="J1143" s="459">
        <f t="shared" si="2538"/>
      </c>
      <c r="K1143" s="964">
        <f t="shared" si="2539"/>
      </c>
      <c r="L1143" s="459">
        <f t="shared" si="2539"/>
      </c>
      <c r="M1143" s="459">
        <f t="shared" si="2540"/>
      </c>
      <c r="N1143" s="459">
        <f t="shared" si="2540"/>
      </c>
      <c r="O1143" s="459">
        <f t="shared" si="2540"/>
      </c>
      <c r="P1143" s="964">
        <f t="shared" si="2541"/>
      </c>
      <c r="Q1143" s="459">
        <f t="shared" si="2541"/>
      </c>
      <c r="R1143" s="459">
        <f t="shared" si="2542"/>
      </c>
      <c r="S1143" s="459">
        <f t="shared" si="2542"/>
      </c>
      <c r="T1143" s="459">
        <f t="shared" si="2542"/>
      </c>
      <c r="U1143" s="964">
        <f t="shared" si="2543"/>
      </c>
      <c r="V1143" s="459">
        <f t="shared" si="2543"/>
      </c>
      <c r="W1143" s="459">
        <f t="shared" si="2544"/>
      </c>
      <c r="X1143" s="459">
        <f t="shared" si="2544"/>
      </c>
      <c r="Y1143" s="459">
        <f t="shared" si="2544"/>
      </c>
      <c r="Z1143" s="964">
        <f t="shared" si="2545"/>
      </c>
      <c r="AA1143" s="459">
        <f t="shared" si="2545"/>
      </c>
      <c r="AB1143" s="459">
        <f t="shared" si="2546"/>
      </c>
      <c r="AC1143" s="459">
        <f t="shared" si="2546"/>
      </c>
      <c r="AD1143" s="459">
        <f t="shared" si="2546"/>
      </c>
      <c r="AE1143" s="964">
        <f t="shared" si="2547"/>
      </c>
      <c r="AF1143" s="459">
        <f t="shared" si="2547"/>
      </c>
      <c r="AG1143" s="459">
        <f t="shared" si="2548"/>
      </c>
      <c r="AH1143" s="459">
        <f t="shared" si="2548"/>
      </c>
      <c r="AI1143" s="459">
        <f t="shared" si="2548"/>
      </c>
      <c r="AJ1143" s="964">
        <f t="shared" si="2549"/>
      </c>
      <c r="AK1143" s="459">
        <f t="shared" si="2549"/>
      </c>
      <c r="AL1143" s="459">
        <f t="shared" si="2550"/>
      </c>
      <c r="AM1143" s="459">
        <f t="shared" si="2550"/>
      </c>
      <c r="AN1143" s="459">
        <f t="shared" si="2550"/>
      </c>
      <c r="AO1143" s="964">
        <f t="shared" si="2551"/>
      </c>
      <c r="AP1143" s="459">
        <f t="shared" si="2551"/>
      </c>
      <c r="AQ1143" s="459">
        <f t="shared" si="2552"/>
      </c>
      <c r="AR1143" s="459">
        <f t="shared" si="2552"/>
      </c>
      <c r="AS1143" s="459">
        <f t="shared" si="2552"/>
      </c>
      <c r="AT1143" s="964">
        <f t="shared" si="2553"/>
      </c>
      <c r="AU1143" s="459">
        <f t="shared" si="2553"/>
      </c>
      <c r="AV1143" s="459">
        <f t="shared" si="2554"/>
      </c>
      <c r="AW1143" s="459">
        <f t="shared" si="2554"/>
      </c>
      <c r="AX1143" s="459">
        <f t="shared" si="2554"/>
      </c>
      <c r="AY1143" s="964">
        <f t="shared" si="2555"/>
      </c>
      <c r="AZ1143" s="459">
        <f t="shared" si="2555"/>
      </c>
      <c r="BA1143" s="459">
        <f t="shared" si="2556"/>
      </c>
      <c r="BB1143" s="459">
        <f t="shared" si="2556"/>
      </c>
      <c r="BC1143" s="459">
        <f t="shared" si="2556"/>
      </c>
      <c r="BD1143" s="964">
        <f t="shared" si="2557"/>
      </c>
      <c r="BE1143" s="459">
        <f t="shared" si="2557"/>
      </c>
      <c r="BF1143" s="459">
        <f t="shared" si="2558"/>
      </c>
      <c r="BG1143" s="459">
        <f t="shared" si="2558"/>
      </c>
      <c r="BH1143" s="459">
        <f t="shared" si="2558"/>
      </c>
      <c r="BI1143" s="964">
        <f t="shared" si="2559"/>
      </c>
      <c r="BJ1143" s="459">
        <f t="shared" si="2559"/>
      </c>
      <c r="BK1143" s="459">
        <f t="shared" si="2560"/>
      </c>
      <c r="BL1143" s="459">
        <f t="shared" si="2560"/>
      </c>
      <c r="BM1143" s="459">
        <f t="shared" si="2560"/>
      </c>
      <c r="BN1143" s="964">
        <f t="shared" si="2561"/>
      </c>
      <c r="BO1143" s="459">
        <f t="shared" si="2561"/>
      </c>
      <c r="BP1143" s="459">
        <f t="shared" si="2562"/>
      </c>
      <c r="BQ1143" s="459">
        <f t="shared" si="2563"/>
      </c>
      <c r="BR1143" s="459">
        <f t="shared" si="2564"/>
      </c>
      <c r="BS1143" s="964">
        <f t="shared" si="2565"/>
      </c>
      <c r="BT1143" s="795">
        <f t="shared" si="2566"/>
      </c>
      <c r="BU1143" s="757"/>
      <c r="BV1143" s="757"/>
      <c r="BW1143" s="757"/>
      <c r="BX1143" s="962">
        <f t="shared" si="2567"/>
      </c>
      <c r="BY1143" s="757"/>
      <c r="BZ1143" s="757"/>
      <c r="CA1143" s="757"/>
      <c r="CB1143" s="757"/>
      <c r="CC1143" s="962">
        <f t="shared" si="2568"/>
      </c>
      <c r="CD1143" s="962"/>
      <c r="CE1143" s="962"/>
      <c r="CF1143" s="962"/>
      <c r="CG1143" s="459"/>
    </row>
    <row r="1144" spans="1:85" x14ac:dyDescent="0.3">
      <c r="A1144" s="182" t="str">
        <f t="shared" si="2536"/>
      </c>
      <c r="B1144" s="757"/>
      <c r="C1144" s="964">
        <f t="shared" si="2537"/>
      </c>
      <c r="D1144" s="964">
        <f t="shared" si="2537"/>
      </c>
      <c r="E1144" s="964">
        <f t="shared" si="2537"/>
      </c>
      <c r="F1144" s="964">
        <f t="shared" si="2537"/>
      </c>
      <c r="G1144" s="459">
        <f t="shared" si="2537"/>
      </c>
      <c r="H1144" s="459">
        <f t="shared" si="2538"/>
      </c>
      <c r="I1144" s="459">
        <f t="shared" si="2538"/>
      </c>
      <c r="J1144" s="459">
        <f t="shared" si="2538"/>
      </c>
      <c r="K1144" s="964">
        <f t="shared" si="2539"/>
      </c>
      <c r="L1144" s="459">
        <f t="shared" si="2539"/>
      </c>
      <c r="M1144" s="459">
        <f t="shared" si="2540"/>
      </c>
      <c r="N1144" s="459">
        <f t="shared" si="2540"/>
      </c>
      <c r="O1144" s="459">
        <f t="shared" si="2540"/>
      </c>
      <c r="P1144" s="964">
        <f t="shared" si="2541"/>
      </c>
      <c r="Q1144" s="459">
        <f t="shared" si="2541"/>
      </c>
      <c r="R1144" s="459">
        <f t="shared" si="2542"/>
      </c>
      <c r="S1144" s="459">
        <f t="shared" si="2542"/>
      </c>
      <c r="T1144" s="459">
        <f t="shared" si="2542"/>
      </c>
      <c r="U1144" s="964">
        <f t="shared" si="2543"/>
      </c>
      <c r="V1144" s="459">
        <f t="shared" si="2543"/>
      </c>
      <c r="W1144" s="459">
        <f t="shared" si="2544"/>
      </c>
      <c r="X1144" s="459">
        <f t="shared" si="2544"/>
      </c>
      <c r="Y1144" s="459">
        <f t="shared" si="2544"/>
      </c>
      <c r="Z1144" s="964">
        <f t="shared" si="2545"/>
      </c>
      <c r="AA1144" s="459">
        <f t="shared" si="2545"/>
      </c>
      <c r="AB1144" s="459">
        <f t="shared" si="2546"/>
      </c>
      <c r="AC1144" s="459">
        <f t="shared" si="2546"/>
      </c>
      <c r="AD1144" s="459">
        <f t="shared" si="2546"/>
      </c>
      <c r="AE1144" s="964">
        <f t="shared" si="2547"/>
      </c>
      <c r="AF1144" s="459">
        <f t="shared" si="2547"/>
      </c>
      <c r="AG1144" s="459">
        <f t="shared" si="2548"/>
      </c>
      <c r="AH1144" s="459">
        <f t="shared" si="2548"/>
      </c>
      <c r="AI1144" s="459">
        <f t="shared" si="2548"/>
      </c>
      <c r="AJ1144" s="964">
        <f t="shared" si="2549"/>
      </c>
      <c r="AK1144" s="459">
        <f t="shared" si="2549"/>
      </c>
      <c r="AL1144" s="459">
        <f t="shared" si="2550"/>
      </c>
      <c r="AM1144" s="459">
        <f t="shared" si="2550"/>
      </c>
      <c r="AN1144" s="459">
        <f t="shared" si="2550"/>
      </c>
      <c r="AO1144" s="964">
        <f t="shared" si="2551"/>
      </c>
      <c r="AP1144" s="459">
        <f t="shared" si="2551"/>
      </c>
      <c r="AQ1144" s="459">
        <f t="shared" si="2552"/>
      </c>
      <c r="AR1144" s="459">
        <f t="shared" si="2552"/>
      </c>
      <c r="AS1144" s="459">
        <f t="shared" si="2552"/>
      </c>
      <c r="AT1144" s="964">
        <f t="shared" si="2553"/>
      </c>
      <c r="AU1144" s="459">
        <f t="shared" si="2553"/>
      </c>
      <c r="AV1144" s="459">
        <f t="shared" si="2554"/>
      </c>
      <c r="AW1144" s="459">
        <f t="shared" si="2554"/>
      </c>
      <c r="AX1144" s="459">
        <f t="shared" si="2554"/>
      </c>
      <c r="AY1144" s="964">
        <f t="shared" si="2555"/>
      </c>
      <c r="AZ1144" s="459">
        <f t="shared" si="2555"/>
      </c>
      <c r="BA1144" s="459">
        <f t="shared" si="2556"/>
      </c>
      <c r="BB1144" s="459">
        <f t="shared" si="2556"/>
      </c>
      <c r="BC1144" s="459">
        <f t="shared" si="2556"/>
      </c>
      <c r="BD1144" s="964">
        <f t="shared" si="2557"/>
      </c>
      <c r="BE1144" s="459">
        <f t="shared" si="2557"/>
      </c>
      <c r="BF1144" s="459">
        <f t="shared" si="2558"/>
      </c>
      <c r="BG1144" s="459">
        <f t="shared" si="2558"/>
      </c>
      <c r="BH1144" s="459">
        <f t="shared" si="2558"/>
      </c>
      <c r="BI1144" s="964">
        <f t="shared" si="2559"/>
      </c>
      <c r="BJ1144" s="459">
        <f t="shared" si="2559"/>
      </c>
      <c r="BK1144" s="459">
        <f t="shared" si="2560"/>
      </c>
      <c r="BL1144" s="459">
        <f t="shared" si="2560"/>
      </c>
      <c r="BM1144" s="459">
        <f t="shared" si="2560"/>
      </c>
      <c r="BN1144" s="964">
        <f t="shared" si="2561"/>
      </c>
      <c r="BO1144" s="459">
        <f t="shared" si="2561"/>
      </c>
      <c r="BP1144" s="459">
        <f t="shared" si="2562"/>
      </c>
      <c r="BQ1144" s="459">
        <f t="shared" si="2563"/>
      </c>
      <c r="BR1144" s="459">
        <f t="shared" si="2564"/>
      </c>
      <c r="BS1144" s="964">
        <f t="shared" si="2565"/>
      </c>
      <c r="BT1144" s="795">
        <f t="shared" si="2566"/>
      </c>
      <c r="BU1144" s="757"/>
      <c r="BV1144" s="757"/>
      <c r="BW1144" s="757"/>
      <c r="BX1144" s="962">
        <f t="shared" si="2567"/>
      </c>
      <c r="BY1144" s="757"/>
      <c r="BZ1144" s="757"/>
      <c r="CA1144" s="757"/>
      <c r="CB1144" s="757"/>
      <c r="CC1144" s="962">
        <f t="shared" si="2568"/>
      </c>
      <c r="CD1144" s="962"/>
      <c r="CE1144" s="962"/>
      <c r="CF1144" s="962"/>
      <c r="CG1144" s="459"/>
    </row>
    <row r="1145" spans="1:85" x14ac:dyDescent="0.3">
      <c r="A1145" s="182" t="str">
        <f t="shared" si="2536"/>
      </c>
      <c r="B1145" s="757"/>
      <c r="C1145" s="964">
        <f t="shared" si="2537"/>
      </c>
      <c r="D1145" s="964">
        <f t="shared" si="2537"/>
      </c>
      <c r="E1145" s="964">
        <f t="shared" si="2537"/>
      </c>
      <c r="F1145" s="964">
        <f t="shared" si="2537"/>
      </c>
      <c r="G1145" s="459">
        <f t="shared" si="2537"/>
      </c>
      <c r="H1145" s="459">
        <f t="shared" si="2538"/>
      </c>
      <c r="I1145" s="459">
        <f t="shared" si="2538"/>
      </c>
      <c r="J1145" s="459">
        <f t="shared" si="2538"/>
      </c>
      <c r="K1145" s="964">
        <f t="shared" si="2539"/>
      </c>
      <c r="L1145" s="459">
        <f t="shared" si="2539"/>
      </c>
      <c r="M1145" s="459">
        <f t="shared" si="2540"/>
      </c>
      <c r="N1145" s="459">
        <f t="shared" si="2540"/>
      </c>
      <c r="O1145" s="459">
        <f t="shared" si="2540"/>
      </c>
      <c r="P1145" s="964">
        <f t="shared" si="2541"/>
      </c>
      <c r="Q1145" s="459">
        <f t="shared" si="2541"/>
      </c>
      <c r="R1145" s="459">
        <f t="shared" si="2542"/>
      </c>
      <c r="S1145" s="459">
        <f t="shared" si="2542"/>
      </c>
      <c r="T1145" s="459">
        <f t="shared" si="2542"/>
      </c>
      <c r="U1145" s="964">
        <f t="shared" si="2543"/>
      </c>
      <c r="V1145" s="459">
        <f t="shared" si="2543"/>
      </c>
      <c r="W1145" s="459">
        <f t="shared" si="2544"/>
      </c>
      <c r="X1145" s="459">
        <f t="shared" si="2544"/>
      </c>
      <c r="Y1145" s="459">
        <f t="shared" si="2544"/>
      </c>
      <c r="Z1145" s="964">
        <f t="shared" si="2545"/>
      </c>
      <c r="AA1145" s="459">
        <f t="shared" si="2545"/>
      </c>
      <c r="AB1145" s="459">
        <f t="shared" si="2546"/>
      </c>
      <c r="AC1145" s="459">
        <f t="shared" si="2546"/>
      </c>
      <c r="AD1145" s="459">
        <f t="shared" si="2546"/>
      </c>
      <c r="AE1145" s="964">
        <f t="shared" si="2547"/>
      </c>
      <c r="AF1145" s="459">
        <f t="shared" si="2547"/>
      </c>
      <c r="AG1145" s="459">
        <f t="shared" si="2548"/>
      </c>
      <c r="AH1145" s="459">
        <f t="shared" si="2548"/>
      </c>
      <c r="AI1145" s="459">
        <f t="shared" si="2548"/>
      </c>
      <c r="AJ1145" s="964">
        <f t="shared" si="2549"/>
      </c>
      <c r="AK1145" s="459">
        <f t="shared" si="2549"/>
      </c>
      <c r="AL1145" s="459">
        <f t="shared" si="2550"/>
      </c>
      <c r="AM1145" s="459">
        <f t="shared" si="2550"/>
      </c>
      <c r="AN1145" s="459">
        <f t="shared" si="2550"/>
      </c>
      <c r="AO1145" s="964">
        <f t="shared" si="2551"/>
      </c>
      <c r="AP1145" s="459">
        <f t="shared" si="2551"/>
      </c>
      <c r="AQ1145" s="459">
        <f t="shared" si="2552"/>
      </c>
      <c r="AR1145" s="459">
        <f t="shared" si="2552"/>
      </c>
      <c r="AS1145" s="459">
        <f t="shared" si="2552"/>
      </c>
      <c r="AT1145" s="964">
        <f t="shared" si="2553"/>
      </c>
      <c r="AU1145" s="459">
        <f t="shared" si="2553"/>
      </c>
      <c r="AV1145" s="459">
        <f t="shared" si="2554"/>
      </c>
      <c r="AW1145" s="459">
        <f t="shared" si="2554"/>
      </c>
      <c r="AX1145" s="459">
        <f t="shared" si="2554"/>
      </c>
      <c r="AY1145" s="964">
        <f t="shared" si="2555"/>
      </c>
      <c r="AZ1145" s="459">
        <f t="shared" si="2555"/>
      </c>
      <c r="BA1145" s="459">
        <f t="shared" si="2556"/>
      </c>
      <c r="BB1145" s="459">
        <f t="shared" si="2556"/>
      </c>
      <c r="BC1145" s="459">
        <f t="shared" si="2556"/>
      </c>
      <c r="BD1145" s="964">
        <f t="shared" si="2557"/>
      </c>
      <c r="BE1145" s="459">
        <f t="shared" si="2557"/>
      </c>
      <c r="BF1145" s="459">
        <f t="shared" si="2558"/>
      </c>
      <c r="BG1145" s="459">
        <f t="shared" si="2558"/>
      </c>
      <c r="BH1145" s="459">
        <f t="shared" si="2558"/>
      </c>
      <c r="BI1145" s="964">
        <f t="shared" si="2559"/>
      </c>
      <c r="BJ1145" s="459">
        <f t="shared" si="2559"/>
      </c>
      <c r="BK1145" s="459">
        <f t="shared" si="2560"/>
      </c>
      <c r="BL1145" s="459">
        <f t="shared" si="2560"/>
      </c>
      <c r="BM1145" s="459">
        <f t="shared" si="2560"/>
      </c>
      <c r="BN1145" s="964">
        <f t="shared" si="2561"/>
      </c>
      <c r="BO1145" s="459">
        <f t="shared" si="2561"/>
      </c>
      <c r="BP1145" s="459">
        <f t="shared" si="2562"/>
      </c>
      <c r="BQ1145" s="459">
        <f t="shared" si="2563"/>
      </c>
      <c r="BR1145" s="459">
        <f t="shared" si="2564"/>
      </c>
      <c r="BS1145" s="964">
        <f t="shared" si="2565"/>
      </c>
      <c r="BT1145" s="795">
        <f t="shared" si="2566"/>
      </c>
      <c r="BU1145" s="757"/>
      <c r="BV1145" s="757"/>
      <c r="BW1145" s="757"/>
      <c r="BX1145" s="962">
        <f t="shared" si="2567"/>
      </c>
      <c r="BY1145" s="757"/>
      <c r="BZ1145" s="757"/>
      <c r="CA1145" s="757"/>
      <c r="CB1145" s="757"/>
      <c r="CC1145" s="962">
        <f t="shared" si="2568"/>
      </c>
      <c r="CD1145" s="962"/>
      <c r="CE1145" s="962"/>
      <c r="CF1145" s="962"/>
      <c r="CG1145" s="459"/>
    </row>
    <row r="1146" spans="1:85" x14ac:dyDescent="0.3">
      <c r="A1146" s="182" t="str">
        <f t="shared" si="2536"/>
      </c>
      <c r="B1146" s="757"/>
      <c r="C1146" s="964">
        <f t="shared" si="2537"/>
      </c>
      <c r="D1146" s="964">
        <f t="shared" si="2537"/>
      </c>
      <c r="E1146" s="964">
        <f t="shared" si="2537"/>
      </c>
      <c r="F1146" s="964">
        <f t="shared" si="2537"/>
      </c>
      <c r="G1146" s="459">
        <f t="shared" si="2537"/>
      </c>
      <c r="H1146" s="459">
        <f t="shared" si="2538"/>
      </c>
      <c r="I1146" s="459">
        <f t="shared" si="2538"/>
      </c>
      <c r="J1146" s="459">
        <f t="shared" si="2538"/>
      </c>
      <c r="K1146" s="964">
        <f t="shared" si="2539"/>
      </c>
      <c r="L1146" s="459">
        <f t="shared" si="2539"/>
      </c>
      <c r="M1146" s="459">
        <f t="shared" si="2540"/>
      </c>
      <c r="N1146" s="459">
        <f t="shared" si="2540"/>
      </c>
      <c r="O1146" s="459">
        <f t="shared" si="2540"/>
      </c>
      <c r="P1146" s="964">
        <f t="shared" si="2541"/>
      </c>
      <c r="Q1146" s="459">
        <f t="shared" si="2541"/>
      </c>
      <c r="R1146" s="459">
        <f t="shared" si="2542"/>
      </c>
      <c r="S1146" s="459">
        <f t="shared" si="2542"/>
      </c>
      <c r="T1146" s="459">
        <f t="shared" si="2542"/>
      </c>
      <c r="U1146" s="964">
        <f t="shared" si="2543"/>
      </c>
      <c r="V1146" s="459">
        <f t="shared" si="2543"/>
      </c>
      <c r="W1146" s="459">
        <f t="shared" si="2544"/>
      </c>
      <c r="X1146" s="459">
        <f t="shared" si="2544"/>
      </c>
      <c r="Y1146" s="459">
        <f t="shared" si="2544"/>
      </c>
      <c r="Z1146" s="964">
        <f t="shared" si="2545"/>
      </c>
      <c r="AA1146" s="459">
        <f t="shared" si="2545"/>
      </c>
      <c r="AB1146" s="459">
        <f t="shared" si="2546"/>
      </c>
      <c r="AC1146" s="459">
        <f t="shared" si="2546"/>
      </c>
      <c r="AD1146" s="459">
        <f t="shared" si="2546"/>
      </c>
      <c r="AE1146" s="964">
        <f t="shared" si="2547"/>
      </c>
      <c r="AF1146" s="459">
        <f t="shared" si="2547"/>
      </c>
      <c r="AG1146" s="459">
        <f t="shared" si="2548"/>
      </c>
      <c r="AH1146" s="459">
        <f t="shared" si="2548"/>
      </c>
      <c r="AI1146" s="459">
        <f t="shared" si="2548"/>
      </c>
      <c r="AJ1146" s="964">
        <f t="shared" si="2549"/>
      </c>
      <c r="AK1146" s="459">
        <f t="shared" si="2549"/>
      </c>
      <c r="AL1146" s="459">
        <f t="shared" si="2550"/>
      </c>
      <c r="AM1146" s="459">
        <f t="shared" si="2550"/>
      </c>
      <c r="AN1146" s="459">
        <f t="shared" si="2550"/>
      </c>
      <c r="AO1146" s="964">
        <f t="shared" si="2551"/>
      </c>
      <c r="AP1146" s="459">
        <f t="shared" si="2551"/>
      </c>
      <c r="AQ1146" s="459">
        <f t="shared" si="2552"/>
      </c>
      <c r="AR1146" s="459">
        <f t="shared" si="2552"/>
      </c>
      <c r="AS1146" s="459">
        <f t="shared" si="2552"/>
      </c>
      <c r="AT1146" s="964">
        <f t="shared" si="2553"/>
      </c>
      <c r="AU1146" s="459">
        <f t="shared" si="2553"/>
      </c>
      <c r="AV1146" s="459">
        <f t="shared" si="2554"/>
      </c>
      <c r="AW1146" s="459">
        <f t="shared" si="2554"/>
      </c>
      <c r="AX1146" s="459">
        <f t="shared" si="2554"/>
      </c>
      <c r="AY1146" s="964">
        <f t="shared" si="2555"/>
      </c>
      <c r="AZ1146" s="459">
        <f t="shared" si="2555"/>
      </c>
      <c r="BA1146" s="459">
        <f t="shared" si="2556"/>
      </c>
      <c r="BB1146" s="459">
        <f t="shared" si="2556"/>
      </c>
      <c r="BC1146" s="459">
        <f t="shared" si="2556"/>
      </c>
      <c r="BD1146" s="964">
        <f t="shared" si="2557"/>
      </c>
      <c r="BE1146" s="459">
        <f t="shared" si="2557"/>
      </c>
      <c r="BF1146" s="459">
        <f t="shared" si="2558"/>
      </c>
      <c r="BG1146" s="459">
        <f t="shared" si="2558"/>
      </c>
      <c r="BH1146" s="459">
        <f t="shared" si="2558"/>
      </c>
      <c r="BI1146" s="964">
        <f t="shared" si="2559"/>
      </c>
      <c r="BJ1146" s="459">
        <f t="shared" si="2559"/>
      </c>
      <c r="BK1146" s="459">
        <f t="shared" si="2560"/>
      </c>
      <c r="BL1146" s="459">
        <f t="shared" si="2560"/>
      </c>
      <c r="BM1146" s="459">
        <f t="shared" si="2560"/>
      </c>
      <c r="BN1146" s="964">
        <f t="shared" si="2561"/>
      </c>
      <c r="BO1146" s="459">
        <f t="shared" si="2561"/>
      </c>
      <c r="BP1146" s="459">
        <f t="shared" si="2562"/>
      </c>
      <c r="BQ1146" s="459">
        <f t="shared" si="2563"/>
      </c>
      <c r="BR1146" s="459">
        <f t="shared" si="2564"/>
      </c>
      <c r="BS1146" s="964">
        <f t="shared" si="2565"/>
      </c>
      <c r="BT1146" s="795">
        <f t="shared" si="2566"/>
      </c>
      <c r="BU1146" s="757"/>
      <c r="BV1146" s="757"/>
      <c r="BW1146" s="757"/>
      <c r="BX1146" s="962">
        <f t="shared" si="2567"/>
      </c>
      <c r="BY1146" s="757"/>
      <c r="BZ1146" s="757"/>
      <c r="CA1146" s="757"/>
      <c r="CB1146" s="757"/>
      <c r="CC1146" s="962">
        <f t="shared" si="2568"/>
      </c>
      <c r="CD1146" s="962"/>
      <c r="CE1146" s="962"/>
      <c r="CF1146" s="962"/>
      <c r="CG1146" s="459"/>
    </row>
    <row r="1147" spans="1:85" x14ac:dyDescent="0.3">
      <c r="A1147" s="436" t="str">
        <f t="shared" si="2536"/>
      </c>
      <c r="B1147" s="757"/>
      <c r="C1147" s="962">
        <f t="shared" si="2537"/>
      </c>
      <c r="D1147" s="962">
        <f t="shared" si="2537"/>
      </c>
      <c r="E1147" s="962">
        <f t="shared" si="2537"/>
      </c>
      <c r="F1147" s="962">
        <f t="shared" si="2537"/>
      </c>
      <c r="G1147" s="757">
        <f t="shared" si="2537"/>
      </c>
      <c r="H1147" s="757">
        <f t="shared" si="2538"/>
      </c>
      <c r="I1147" s="757">
        <f t="shared" si="2538"/>
      </c>
      <c r="J1147" s="757">
        <f t="shared" si="2538"/>
      </c>
      <c r="K1147" s="962">
        <f t="shared" si="2539"/>
      </c>
      <c r="L1147" s="757">
        <f t="shared" si="2539"/>
      </c>
      <c r="M1147" s="757">
        <f t="shared" si="2540"/>
      </c>
      <c r="N1147" s="757">
        <f t="shared" si="2540"/>
      </c>
      <c r="O1147" s="757">
        <f t="shared" si="2540"/>
      </c>
      <c r="P1147" s="962">
        <f t="shared" si="2541"/>
      </c>
      <c r="Q1147" s="757">
        <f t="shared" si="2541"/>
      </c>
      <c r="R1147" s="757">
        <f t="shared" si="2542"/>
      </c>
      <c r="S1147" s="757">
        <f t="shared" si="2542"/>
      </c>
      <c r="T1147" s="757">
        <f t="shared" si="2542"/>
      </c>
      <c r="U1147" s="962">
        <f t="shared" si="2543"/>
      </c>
      <c r="V1147" s="757">
        <f t="shared" si="2543"/>
      </c>
      <c r="W1147" s="757">
        <f t="shared" si="2544"/>
      </c>
      <c r="X1147" s="757">
        <f t="shared" si="2544"/>
      </c>
      <c r="Y1147" s="757">
        <f t="shared" si="2544"/>
      </c>
      <c r="Z1147" s="962">
        <f t="shared" si="2545"/>
      </c>
      <c r="AA1147" s="757">
        <f t="shared" si="2545"/>
      </c>
      <c r="AB1147" s="757">
        <f t="shared" si="2546"/>
      </c>
      <c r="AC1147" s="757">
        <f t="shared" si="2546"/>
      </c>
      <c r="AD1147" s="757">
        <f t="shared" si="2546"/>
      </c>
      <c r="AE1147" s="962">
        <f t="shared" si="2547"/>
      </c>
      <c r="AF1147" s="757">
        <f t="shared" si="2547"/>
      </c>
      <c r="AG1147" s="757">
        <f t="shared" si="2548"/>
      </c>
      <c r="AH1147" s="757">
        <f t="shared" si="2548"/>
      </c>
      <c r="AI1147" s="757">
        <f t="shared" si="2548"/>
      </c>
      <c r="AJ1147" s="962">
        <f t="shared" si="2549"/>
      </c>
      <c r="AK1147" s="757">
        <f t="shared" si="2549"/>
      </c>
      <c r="AL1147" s="757">
        <f t="shared" si="2550"/>
      </c>
      <c r="AM1147" s="757">
        <f t="shared" si="2550"/>
      </c>
      <c r="AN1147" s="757">
        <f t="shared" si="2550"/>
      </c>
      <c r="AO1147" s="962">
        <f t="shared" si="2551"/>
      </c>
      <c r="AP1147" s="757">
        <f t="shared" si="2551"/>
      </c>
      <c r="AQ1147" s="757">
        <f t="shared" si="2552"/>
      </c>
      <c r="AR1147" s="757">
        <f t="shared" si="2552"/>
      </c>
      <c r="AS1147" s="757">
        <f t="shared" si="2552"/>
      </c>
      <c r="AT1147" s="962">
        <f t="shared" si="2553"/>
      </c>
      <c r="AU1147" s="757">
        <f t="shared" si="2553"/>
      </c>
      <c r="AV1147" s="757">
        <f t="shared" si="2554"/>
      </c>
      <c r="AW1147" s="757">
        <f t="shared" si="2554"/>
      </c>
      <c r="AX1147" s="757">
        <f t="shared" si="2554"/>
      </c>
      <c r="AY1147" s="962">
        <f t="shared" si="2555"/>
      </c>
      <c r="AZ1147" s="757">
        <f t="shared" si="2555"/>
      </c>
      <c r="BA1147" s="459">
        <f t="shared" si="2556"/>
      </c>
      <c r="BB1147" s="757">
        <f t="shared" si="2556"/>
      </c>
      <c r="BC1147" s="757">
        <f t="shared" si="2556"/>
      </c>
      <c r="BD1147" s="962">
        <f t="shared" si="2557"/>
      </c>
      <c r="BE1147" s="757">
        <f t="shared" si="2557"/>
      </c>
      <c r="BF1147" s="459">
        <f t="shared" si="2558"/>
      </c>
      <c r="BG1147" s="757">
        <f t="shared" si="2558"/>
      </c>
      <c r="BH1147" s="757">
        <f t="shared" si="2558"/>
      </c>
      <c r="BI1147" s="962">
        <f t="shared" si="2559"/>
      </c>
      <c r="BJ1147" s="757">
        <f t="shared" si="2559"/>
      </c>
      <c r="BK1147" s="459">
        <f t="shared" si="2560"/>
      </c>
      <c r="BL1147" s="757">
        <f t="shared" si="2560"/>
      </c>
      <c r="BM1147" s="757">
        <f t="shared" si="2560"/>
      </c>
      <c r="BN1147" s="962">
        <f t="shared" si="2561"/>
      </c>
      <c r="BO1147" s="757">
        <f t="shared" si="2561"/>
      </c>
      <c r="BP1147" s="459">
        <f t="shared" si="2562"/>
      </c>
      <c r="BQ1147" s="757">
        <f t="shared" si="2563"/>
      </c>
      <c r="BR1147" s="757">
        <f t="shared" si="2564"/>
      </c>
      <c r="BS1147" s="962">
        <f t="shared" si="2565"/>
      </c>
      <c r="BT1147" s="758">
        <f t="shared" si="2566"/>
      </c>
      <c r="BU1147" s="757">
        <f>BU734</f>
      </c>
      <c r="BV1147" s="757">
        <f>BV734</f>
      </c>
      <c r="BW1147" s="757">
        <f>BW734</f>
      </c>
      <c r="BX1147" s="962">
        <f t="shared" si="2567"/>
      </c>
      <c r="BY1147" s="757">
        <f>BY734</f>
      </c>
      <c r="BZ1147" s="757">
        <f>BZ734</f>
      </c>
      <c r="CA1147" s="757">
        <f>CA734</f>
      </c>
      <c r="CB1147" s="757">
        <f>CB734</f>
      </c>
      <c r="CC1147" s="962">
        <f t="shared" si="2568"/>
      </c>
      <c r="CD1147" s="962">
        <f>CD734</f>
      </c>
      <c r="CE1147" s="962">
        <f>CE734</f>
      </c>
      <c r="CF1147" s="962">
        <f>CF734</f>
      </c>
      <c r="CG1147" s="459"/>
    </row>
    <row r="1148" spans="1:85" x14ac:dyDescent="0.3">
      <c r="A1148" s="182" t="str">
        <f t="shared" si="2536"/>
      </c>
      <c r="B1148" s="757"/>
      <c r="C1148" s="964">
        <f t="shared" si="2537"/>
      </c>
      <c r="D1148" s="964">
        <f t="shared" si="2537"/>
      </c>
      <c r="E1148" s="964">
        <f t="shared" si="2537"/>
      </c>
      <c r="F1148" s="964">
        <f t="shared" si="2537"/>
      </c>
      <c r="G1148" s="459">
        <f t="shared" si="2537"/>
      </c>
      <c r="H1148" s="459">
        <f t="shared" si="2538"/>
      </c>
      <c r="I1148" s="459">
        <f t="shared" si="2538"/>
      </c>
      <c r="J1148" s="459">
        <f t="shared" si="2538"/>
      </c>
      <c r="K1148" s="964">
        <f t="shared" si="2539"/>
      </c>
      <c r="L1148" s="459">
        <f t="shared" si="2539"/>
      </c>
      <c r="M1148" s="459">
        <f t="shared" si="2540"/>
      </c>
      <c r="N1148" s="459">
        <f t="shared" si="2540"/>
      </c>
      <c r="O1148" s="459">
        <f t="shared" si="2540"/>
      </c>
      <c r="P1148" s="964">
        <f t="shared" si="2541"/>
      </c>
      <c r="Q1148" s="459">
        <f t="shared" si="2541"/>
      </c>
      <c r="R1148" s="459">
        <f t="shared" si="2542"/>
      </c>
      <c r="S1148" s="459">
        <f t="shared" si="2542"/>
      </c>
      <c r="T1148" s="459">
        <f t="shared" si="2542"/>
      </c>
      <c r="U1148" s="964">
        <f t="shared" si="2543"/>
      </c>
      <c r="V1148" s="459">
        <f t="shared" si="2543"/>
      </c>
      <c r="W1148" s="459">
        <f t="shared" si="2544"/>
      </c>
      <c r="X1148" s="459">
        <f t="shared" si="2544"/>
      </c>
      <c r="Y1148" s="459">
        <f t="shared" si="2544"/>
      </c>
      <c r="Z1148" s="964">
        <f t="shared" si="2545"/>
      </c>
      <c r="AA1148" s="459">
        <f t="shared" si="2545"/>
      </c>
      <c r="AB1148" s="459">
        <f t="shared" si="2546"/>
      </c>
      <c r="AC1148" s="459">
        <f t="shared" si="2546"/>
      </c>
      <c r="AD1148" s="459">
        <f t="shared" si="2546"/>
      </c>
      <c r="AE1148" s="964">
        <f t="shared" si="2547"/>
      </c>
      <c r="AF1148" s="459">
        <f t="shared" si="2547"/>
      </c>
      <c r="AG1148" s="459">
        <f t="shared" si="2548"/>
      </c>
      <c r="AH1148" s="459">
        <f t="shared" si="2548"/>
      </c>
      <c r="AI1148" s="459">
        <f t="shared" si="2548"/>
      </c>
      <c r="AJ1148" s="964">
        <f t="shared" si="2549"/>
      </c>
      <c r="AK1148" s="459">
        <f t="shared" si="2549"/>
      </c>
      <c r="AL1148" s="459">
        <f t="shared" si="2550"/>
      </c>
      <c r="AM1148" s="459">
        <f t="shared" si="2550"/>
      </c>
      <c r="AN1148" s="459">
        <f t="shared" si="2550"/>
      </c>
      <c r="AO1148" s="964">
        <f t="shared" si="2551"/>
      </c>
      <c r="AP1148" s="459">
        <f t="shared" si="2551"/>
      </c>
      <c r="AQ1148" s="459">
        <f t="shared" si="2552"/>
      </c>
      <c r="AR1148" s="459">
        <f t="shared" si="2552"/>
      </c>
      <c r="AS1148" s="459">
        <f t="shared" si="2552"/>
      </c>
      <c r="AT1148" s="964">
        <f t="shared" si="2553"/>
      </c>
      <c r="AU1148" s="459">
        <f t="shared" si="2553"/>
      </c>
      <c r="AV1148" s="459">
        <f t="shared" si="2554"/>
      </c>
      <c r="AW1148" s="459">
        <f t="shared" si="2554"/>
      </c>
      <c r="AX1148" s="459">
        <f t="shared" si="2554"/>
      </c>
      <c r="AY1148" s="964">
        <f t="shared" si="2555"/>
      </c>
      <c r="AZ1148" s="459">
        <f t="shared" si="2555"/>
      </c>
      <c r="BA1148" s="459">
        <f t="shared" si="2556"/>
      </c>
      <c r="BB1148" s="459">
        <f t="shared" si="2556"/>
      </c>
      <c r="BC1148" s="459">
        <f t="shared" si="2556"/>
      </c>
      <c r="BD1148" s="964">
        <f t="shared" si="2557"/>
      </c>
      <c r="BE1148" s="459">
        <f t="shared" si="2557"/>
      </c>
      <c r="BF1148" s="459">
        <f t="shared" si="2558"/>
      </c>
      <c r="BG1148" s="459">
        <f t="shared" si="2558"/>
      </c>
      <c r="BH1148" s="459">
        <f t="shared" si="2558"/>
      </c>
      <c r="BI1148" s="964">
        <f t="shared" si="2559"/>
      </c>
      <c r="BJ1148" s="459">
        <f t="shared" si="2559"/>
      </c>
      <c r="BK1148" s="459">
        <f t="shared" si="2560"/>
      </c>
      <c r="BL1148" s="459">
        <f t="shared" si="2560"/>
      </c>
      <c r="BM1148" s="459">
        <f t="shared" si="2560"/>
      </c>
      <c r="BN1148" s="964">
        <f t="shared" si="2561"/>
      </c>
      <c r="BO1148" s="459">
        <f t="shared" si="2561"/>
      </c>
      <c r="BP1148" s="459">
        <f t="shared" si="2562"/>
      </c>
      <c r="BQ1148" s="459">
        <f t="shared" si="2563"/>
      </c>
      <c r="BR1148" s="459">
        <f t="shared" si="2564"/>
      </c>
      <c r="BS1148" s="964">
        <f t="shared" si="2565"/>
      </c>
      <c r="BT1148" s="795">
        <f t="shared" si="2566"/>
      </c>
      <c r="BU1148" s="757"/>
      <c r="BV1148" s="757"/>
      <c r="BW1148" s="757"/>
      <c r="BX1148" s="962">
        <f t="shared" si="2567"/>
      </c>
      <c r="BY1148" s="757"/>
      <c r="BZ1148" s="757"/>
      <c r="CA1148" s="757"/>
      <c r="CB1148" s="757"/>
      <c r="CC1148" s="962">
        <f t="shared" si="2568"/>
      </c>
      <c r="CD1148" s="962"/>
      <c r="CE1148" s="962"/>
      <c r="CF1148" s="962"/>
      <c r="CG1148" s="459"/>
    </row>
    <row r="1149" spans="1:85" x14ac:dyDescent="0.3">
      <c r="A1149" s="182" t="str">
        <f t="shared" si="2536"/>
      </c>
      <c r="B1149" s="757"/>
      <c r="C1149" s="964">
        <f t="shared" si="2537"/>
      </c>
      <c r="D1149" s="964">
        <f t="shared" si="2537"/>
      </c>
      <c r="E1149" s="964">
        <f t="shared" si="2537"/>
      </c>
      <c r="F1149" s="964">
        <f t="shared" si="2537"/>
      </c>
      <c r="G1149" s="459">
        <f t="shared" si="2537"/>
      </c>
      <c r="H1149" s="459">
        <f t="shared" si="2538"/>
      </c>
      <c r="I1149" s="459">
        <f t="shared" si="2538"/>
      </c>
      <c r="J1149" s="459">
        <f t="shared" si="2538"/>
      </c>
      <c r="K1149" s="964">
        <f t="shared" si="2539"/>
      </c>
      <c r="L1149" s="459">
        <f t="shared" si="2539"/>
      </c>
      <c r="M1149" s="459">
        <f t="shared" si="2540"/>
      </c>
      <c r="N1149" s="459">
        <f t="shared" si="2540"/>
      </c>
      <c r="O1149" s="459">
        <f t="shared" si="2540"/>
      </c>
      <c r="P1149" s="964">
        <f t="shared" si="2541"/>
      </c>
      <c r="Q1149" s="459">
        <f t="shared" si="2541"/>
      </c>
      <c r="R1149" s="459">
        <f t="shared" si="2542"/>
      </c>
      <c r="S1149" s="459">
        <f t="shared" si="2542"/>
      </c>
      <c r="T1149" s="459">
        <f t="shared" si="2542"/>
      </c>
      <c r="U1149" s="964">
        <f t="shared" si="2543"/>
      </c>
      <c r="V1149" s="459">
        <f t="shared" si="2543"/>
      </c>
      <c r="W1149" s="459">
        <f t="shared" si="2544"/>
      </c>
      <c r="X1149" s="459">
        <f t="shared" si="2544"/>
      </c>
      <c r="Y1149" s="459">
        <f t="shared" si="2544"/>
      </c>
      <c r="Z1149" s="964">
        <f t="shared" si="2545"/>
      </c>
      <c r="AA1149" s="459">
        <f t="shared" si="2545"/>
      </c>
      <c r="AB1149" s="459">
        <f t="shared" si="2546"/>
      </c>
      <c r="AC1149" s="459">
        <f t="shared" si="2546"/>
      </c>
      <c r="AD1149" s="459">
        <f t="shared" si="2546"/>
      </c>
      <c r="AE1149" s="964">
        <f t="shared" si="2547"/>
      </c>
      <c r="AF1149" s="459">
        <f t="shared" si="2547"/>
      </c>
      <c r="AG1149" s="459">
        <f t="shared" si="2548"/>
      </c>
      <c r="AH1149" s="459">
        <f t="shared" si="2548"/>
      </c>
      <c r="AI1149" s="459">
        <f t="shared" si="2548"/>
      </c>
      <c r="AJ1149" s="964">
        <f t="shared" si="2549"/>
      </c>
      <c r="AK1149" s="459">
        <f t="shared" si="2549"/>
      </c>
      <c r="AL1149" s="459">
        <f t="shared" si="2550"/>
      </c>
      <c r="AM1149" s="459">
        <f t="shared" si="2550"/>
      </c>
      <c r="AN1149" s="459">
        <f t="shared" si="2550"/>
      </c>
      <c r="AO1149" s="964">
        <f t="shared" si="2551"/>
      </c>
      <c r="AP1149" s="459">
        <f t="shared" si="2551"/>
      </c>
      <c r="AQ1149" s="459">
        <f t="shared" si="2552"/>
      </c>
      <c r="AR1149" s="459">
        <f t="shared" si="2552"/>
      </c>
      <c r="AS1149" s="459">
        <f t="shared" si="2552"/>
      </c>
      <c r="AT1149" s="964">
        <f t="shared" si="2553"/>
      </c>
      <c r="AU1149" s="459">
        <f t="shared" si="2553"/>
      </c>
      <c r="AV1149" s="459">
        <f t="shared" si="2554"/>
      </c>
      <c r="AW1149" s="459">
        <f t="shared" si="2554"/>
      </c>
      <c r="AX1149" s="459">
        <f t="shared" si="2554"/>
      </c>
      <c r="AY1149" s="964">
        <f t="shared" si="2555"/>
      </c>
      <c r="AZ1149" s="459">
        <f t="shared" si="2555"/>
      </c>
      <c r="BA1149" s="459">
        <f t="shared" si="2556"/>
      </c>
      <c r="BB1149" s="459">
        <f t="shared" si="2556"/>
      </c>
      <c r="BC1149" s="459">
        <f t="shared" si="2556"/>
      </c>
      <c r="BD1149" s="964">
        <f t="shared" si="2557"/>
      </c>
      <c r="BE1149" s="459">
        <f t="shared" si="2557"/>
      </c>
      <c r="BF1149" s="459">
        <f t="shared" si="2558"/>
      </c>
      <c r="BG1149" s="459">
        <f t="shared" si="2558"/>
      </c>
      <c r="BH1149" s="459">
        <f t="shared" si="2558"/>
      </c>
      <c r="BI1149" s="964">
        <f t="shared" si="2559"/>
      </c>
      <c r="BJ1149" s="459">
        <f t="shared" si="2559"/>
      </c>
      <c r="BK1149" s="459">
        <f t="shared" si="2560"/>
      </c>
      <c r="BL1149" s="459">
        <f t="shared" si="2560"/>
      </c>
      <c r="BM1149" s="459">
        <f t="shared" si="2560"/>
      </c>
      <c r="BN1149" s="964">
        <f t="shared" si="2561"/>
      </c>
      <c r="BO1149" s="459">
        <f t="shared" si="2561"/>
      </c>
      <c r="BP1149" s="459">
        <f t="shared" si="2562"/>
      </c>
      <c r="BQ1149" s="459">
        <f t="shared" si="2563"/>
      </c>
      <c r="BR1149" s="459">
        <f t="shared" si="2564"/>
      </c>
      <c r="BS1149" s="964">
        <f t="shared" si="2565"/>
      </c>
      <c r="BT1149" s="795">
        <f t="shared" si="2566"/>
      </c>
      <c r="BU1149" s="757"/>
      <c r="BV1149" s="757"/>
      <c r="BW1149" s="757"/>
      <c r="BX1149" s="962">
        <f t="shared" si="2567"/>
      </c>
      <c r="BY1149" s="757"/>
      <c r="BZ1149" s="757"/>
      <c r="CA1149" s="757"/>
      <c r="CB1149" s="757"/>
      <c r="CC1149" s="962">
        <f t="shared" si="2568"/>
      </c>
      <c r="CD1149" s="962"/>
      <c r="CE1149" s="962"/>
      <c r="CF1149" s="962"/>
      <c r="CG1149" s="459"/>
    </row>
    <row r="1150" spans="1:85" x14ac:dyDescent="0.3">
      <c r="A1150" s="182" t="str">
        <f t="shared" si="2536"/>
      </c>
      <c r="B1150" s="757"/>
      <c r="C1150" s="964">
        <f t="shared" si="2537"/>
      </c>
      <c r="D1150" s="964">
        <f t="shared" si="2537"/>
      </c>
      <c r="E1150" s="964">
        <f t="shared" si="2537"/>
      </c>
      <c r="F1150" s="964">
        <f t="shared" si="2537"/>
      </c>
      <c r="G1150" s="459">
        <f t="shared" si="2537"/>
      </c>
      <c r="H1150" s="459">
        <f t="shared" si="2538"/>
      </c>
      <c r="I1150" s="459">
        <f t="shared" si="2538"/>
      </c>
      <c r="J1150" s="459">
        <f t="shared" si="2538"/>
      </c>
      <c r="K1150" s="964">
        <f t="shared" si="2539"/>
      </c>
      <c r="L1150" s="459">
        <f t="shared" si="2539"/>
      </c>
      <c r="M1150" s="459">
        <f t="shared" si="2540"/>
      </c>
      <c r="N1150" s="459">
        <f t="shared" si="2540"/>
      </c>
      <c r="O1150" s="459">
        <f t="shared" si="2540"/>
      </c>
      <c r="P1150" s="964">
        <f t="shared" si="2541"/>
      </c>
      <c r="Q1150" s="459">
        <f t="shared" si="2541"/>
      </c>
      <c r="R1150" s="459">
        <f t="shared" si="2542"/>
      </c>
      <c r="S1150" s="459">
        <f t="shared" si="2542"/>
      </c>
      <c r="T1150" s="459">
        <f t="shared" si="2542"/>
      </c>
      <c r="U1150" s="964">
        <f t="shared" si="2543"/>
      </c>
      <c r="V1150" s="459">
        <f t="shared" si="2543"/>
      </c>
      <c r="W1150" s="459">
        <f t="shared" si="2544"/>
      </c>
      <c r="X1150" s="459">
        <f t="shared" si="2544"/>
      </c>
      <c r="Y1150" s="459">
        <f t="shared" si="2544"/>
      </c>
      <c r="Z1150" s="964">
        <f t="shared" si="2545"/>
      </c>
      <c r="AA1150" s="459">
        <f t="shared" si="2545"/>
      </c>
      <c r="AB1150" s="459">
        <f t="shared" si="2546"/>
      </c>
      <c r="AC1150" s="459">
        <f t="shared" si="2546"/>
      </c>
      <c r="AD1150" s="459">
        <f t="shared" si="2546"/>
      </c>
      <c r="AE1150" s="964">
        <f t="shared" si="2547"/>
      </c>
      <c r="AF1150" s="459">
        <f t="shared" si="2547"/>
      </c>
      <c r="AG1150" s="459">
        <f t="shared" si="2548"/>
      </c>
      <c r="AH1150" s="459">
        <f t="shared" si="2548"/>
      </c>
      <c r="AI1150" s="459">
        <f t="shared" si="2548"/>
      </c>
      <c r="AJ1150" s="964">
        <f t="shared" si="2549"/>
      </c>
      <c r="AK1150" s="459">
        <f t="shared" si="2549"/>
      </c>
      <c r="AL1150" s="459">
        <f t="shared" si="2550"/>
      </c>
      <c r="AM1150" s="459">
        <f t="shared" si="2550"/>
      </c>
      <c r="AN1150" s="459">
        <f t="shared" si="2550"/>
      </c>
      <c r="AO1150" s="964">
        <f t="shared" si="2551"/>
      </c>
      <c r="AP1150" s="459">
        <f t="shared" si="2551"/>
      </c>
      <c r="AQ1150" s="459">
        <f t="shared" si="2552"/>
      </c>
      <c r="AR1150" s="459">
        <f t="shared" si="2552"/>
      </c>
      <c r="AS1150" s="459">
        <f t="shared" si="2552"/>
      </c>
      <c r="AT1150" s="964">
        <f t="shared" si="2553"/>
      </c>
      <c r="AU1150" s="459">
        <f t="shared" si="2553"/>
      </c>
      <c r="AV1150" s="459">
        <f t="shared" si="2554"/>
      </c>
      <c r="AW1150" s="459">
        <f t="shared" si="2554"/>
      </c>
      <c r="AX1150" s="459">
        <f t="shared" si="2554"/>
      </c>
      <c r="AY1150" s="964">
        <f t="shared" si="2555"/>
      </c>
      <c r="AZ1150" s="459">
        <f t="shared" si="2555"/>
      </c>
      <c r="BA1150" s="459">
        <f t="shared" si="2556"/>
      </c>
      <c r="BB1150" s="459">
        <f t="shared" si="2556"/>
      </c>
      <c r="BC1150" s="459">
        <f t="shared" si="2556"/>
      </c>
      <c r="BD1150" s="964">
        <f t="shared" si="2557"/>
      </c>
      <c r="BE1150" s="459">
        <f t="shared" si="2557"/>
      </c>
      <c r="BF1150" s="459">
        <f t="shared" si="2558"/>
      </c>
      <c r="BG1150" s="459">
        <f t="shared" si="2558"/>
      </c>
      <c r="BH1150" s="459">
        <f t="shared" si="2558"/>
      </c>
      <c r="BI1150" s="964">
        <f t="shared" si="2559"/>
      </c>
      <c r="BJ1150" s="459">
        <f t="shared" si="2559"/>
      </c>
      <c r="BK1150" s="459">
        <f t="shared" si="2560"/>
      </c>
      <c r="BL1150" s="459">
        <f t="shared" si="2560"/>
      </c>
      <c r="BM1150" s="459">
        <f t="shared" si="2560"/>
      </c>
      <c r="BN1150" s="964">
        <f t="shared" si="2561"/>
      </c>
      <c r="BO1150" s="459">
        <f t="shared" si="2561"/>
      </c>
      <c r="BP1150" s="459">
        <f t="shared" si="2562"/>
      </c>
      <c r="BQ1150" s="459">
        <f t="shared" si="2563"/>
      </c>
      <c r="BR1150" s="459">
        <f t="shared" si="2564"/>
      </c>
      <c r="BS1150" s="964">
        <f t="shared" si="2565"/>
      </c>
      <c r="BT1150" s="795">
        <f t="shared" si="2566"/>
      </c>
      <c r="BU1150" s="757">
        <f>BU730</f>
      </c>
      <c r="BV1150" s="757">
        <f>BV730</f>
      </c>
      <c r="BW1150" s="757">
        <f>BW730</f>
      </c>
      <c r="BX1150" s="962">
        <f t="shared" si="2567"/>
      </c>
      <c r="BY1150" s="757">
        <f>BY730</f>
      </c>
      <c r="BZ1150" s="757">
        <f>BZ730</f>
      </c>
      <c r="CA1150" s="757">
        <f>CA730</f>
      </c>
      <c r="CB1150" s="757">
        <f>CB730</f>
      </c>
      <c r="CC1150" s="962">
        <f t="shared" si="2568"/>
      </c>
      <c r="CD1150" s="962">
        <f>CD730</f>
      </c>
      <c r="CE1150" s="962">
        <f>CE730</f>
      </c>
      <c r="CF1150" s="962">
        <f>CF730</f>
      </c>
      <c r="CG1150" s="459"/>
    </row>
    <row r="1151" spans="1:85" x14ac:dyDescent="0.3">
      <c r="A1151" s="182" t="str">
        <f t="shared" si="2536"/>
      </c>
      <c r="B1151" s="757"/>
      <c r="C1151" s="964">
        <f t="shared" si="2537"/>
      </c>
      <c r="D1151" s="964">
        <f t="shared" si="2537"/>
      </c>
      <c r="E1151" s="964">
        <f t="shared" si="2537"/>
      </c>
      <c r="F1151" s="964">
        <f t="shared" si="2537"/>
      </c>
      <c r="G1151" s="459">
        <f t="shared" si="2537"/>
      </c>
      <c r="H1151" s="459">
        <f t="shared" si="2538"/>
      </c>
      <c r="I1151" s="459">
        <f t="shared" si="2538"/>
      </c>
      <c r="J1151" s="459">
        <f t="shared" si="2538"/>
      </c>
      <c r="K1151" s="964">
        <f t="shared" si="2539"/>
      </c>
      <c r="L1151" s="459">
        <f t="shared" si="2539"/>
      </c>
      <c r="M1151" s="459">
        <f t="shared" si="2540"/>
      </c>
      <c r="N1151" s="459">
        <f t="shared" si="2540"/>
      </c>
      <c r="O1151" s="459">
        <f t="shared" si="2540"/>
      </c>
      <c r="P1151" s="964">
        <f t="shared" si="2541"/>
      </c>
      <c r="Q1151" s="459">
        <f t="shared" si="2541"/>
      </c>
      <c r="R1151" s="459">
        <f t="shared" si="2542"/>
      </c>
      <c r="S1151" s="459">
        <f t="shared" si="2542"/>
      </c>
      <c r="T1151" s="459">
        <f t="shared" si="2542"/>
      </c>
      <c r="U1151" s="964">
        <f t="shared" si="2543"/>
      </c>
      <c r="V1151" s="459">
        <f t="shared" si="2543"/>
      </c>
      <c r="W1151" s="459">
        <f t="shared" si="2544"/>
      </c>
      <c r="X1151" s="459">
        <f t="shared" si="2544"/>
      </c>
      <c r="Y1151" s="459">
        <f t="shared" si="2544"/>
      </c>
      <c r="Z1151" s="964">
        <f t="shared" si="2545"/>
      </c>
      <c r="AA1151" s="459">
        <f t="shared" si="2545"/>
      </c>
      <c r="AB1151" s="459">
        <f t="shared" si="2546"/>
      </c>
      <c r="AC1151" s="459">
        <f t="shared" si="2546"/>
      </c>
      <c r="AD1151" s="459">
        <f t="shared" si="2546"/>
      </c>
      <c r="AE1151" s="964">
        <f t="shared" si="2547"/>
      </c>
      <c r="AF1151" s="459">
        <f t="shared" si="2547"/>
      </c>
      <c r="AG1151" s="459">
        <f t="shared" si="2548"/>
      </c>
      <c r="AH1151" s="459">
        <f t="shared" si="2548"/>
      </c>
      <c r="AI1151" s="459">
        <f t="shared" si="2548"/>
      </c>
      <c r="AJ1151" s="964">
        <f t="shared" si="2549"/>
      </c>
      <c r="AK1151" s="459">
        <f t="shared" si="2549"/>
      </c>
      <c r="AL1151" s="459">
        <f t="shared" si="2550"/>
      </c>
      <c r="AM1151" s="459">
        <f t="shared" si="2550"/>
      </c>
      <c r="AN1151" s="459">
        <f t="shared" si="2550"/>
      </c>
      <c r="AO1151" s="964">
        <f t="shared" si="2551"/>
      </c>
      <c r="AP1151" s="459">
        <f t="shared" si="2551"/>
      </c>
      <c r="AQ1151" s="459">
        <f t="shared" si="2552"/>
      </c>
      <c r="AR1151" s="459">
        <f t="shared" si="2552"/>
      </c>
      <c r="AS1151" s="459">
        <f t="shared" si="2552"/>
      </c>
      <c r="AT1151" s="964">
        <f t="shared" si="2553"/>
      </c>
      <c r="AU1151" s="459">
        <f t="shared" si="2553"/>
      </c>
      <c r="AV1151" s="459">
        <f t="shared" si="2554"/>
      </c>
      <c r="AW1151" s="459">
        <f t="shared" si="2554"/>
      </c>
      <c r="AX1151" s="459">
        <f t="shared" si="2554"/>
      </c>
      <c r="AY1151" s="964">
        <f t="shared" si="2555"/>
      </c>
      <c r="AZ1151" s="459">
        <f t="shared" si="2555"/>
      </c>
      <c r="BA1151" s="459">
        <f t="shared" si="2556"/>
      </c>
      <c r="BB1151" s="459">
        <f t="shared" si="2556"/>
      </c>
      <c r="BC1151" s="459">
        <f t="shared" si="2556"/>
      </c>
      <c r="BD1151" s="964">
        <f t="shared" si="2557"/>
      </c>
      <c r="BE1151" s="459">
        <f t="shared" si="2557"/>
      </c>
      <c r="BF1151" s="459">
        <f t="shared" si="2558"/>
      </c>
      <c r="BG1151" s="459">
        <f t="shared" si="2558"/>
      </c>
      <c r="BH1151" s="459">
        <f t="shared" si="2558"/>
      </c>
      <c r="BI1151" s="964">
        <f t="shared" si="2559"/>
      </c>
      <c r="BJ1151" s="459">
        <f t="shared" si="2559"/>
      </c>
      <c r="BK1151" s="459">
        <f t="shared" si="2560"/>
      </c>
      <c r="BL1151" s="459">
        <f t="shared" si="2560"/>
      </c>
      <c r="BM1151" s="459">
        <f t="shared" si="2560"/>
      </c>
      <c r="BN1151" s="964">
        <f t="shared" si="2561"/>
      </c>
      <c r="BO1151" s="459">
        <f t="shared" si="2561"/>
      </c>
      <c r="BP1151" s="459">
        <f t="shared" si="2562"/>
      </c>
      <c r="BQ1151" s="459">
        <f t="shared" si="2563"/>
      </c>
      <c r="BR1151" s="459">
        <f t="shared" si="2564"/>
      </c>
      <c r="BS1151" s="964">
        <f t="shared" si="2565"/>
      </c>
      <c r="BT1151" s="795">
        <f t="shared" si="2566"/>
      </c>
      <c r="BU1151" s="757"/>
      <c r="BV1151" s="757"/>
      <c r="BW1151" s="757"/>
      <c r="BX1151" s="962">
        <f t="shared" si="2567"/>
      </c>
      <c r="BY1151" s="757"/>
      <c r="BZ1151" s="757"/>
      <c r="CA1151" s="757"/>
      <c r="CB1151" s="757"/>
      <c r="CC1151" s="962">
        <f t="shared" si="2568"/>
      </c>
      <c r="CD1151" s="962"/>
      <c r="CE1151" s="962"/>
      <c r="CF1151" s="962"/>
      <c r="CG1151" s="459"/>
    </row>
    <row r="1152" spans="1:85" x14ac:dyDescent="0.3">
      <c r="A1152" s="30" t="str">
        <f t="shared" si="2536"/>
      </c>
      <c r="B1152" s="761"/>
      <c r="C1152" s="1005">
        <f t="shared" si="2537"/>
      </c>
      <c r="D1152" s="1005">
        <f t="shared" si="2537"/>
      </c>
      <c r="E1152" s="1005">
        <f t="shared" si="2537"/>
      </c>
      <c r="F1152" s="1005">
        <f t="shared" si="2537"/>
      </c>
      <c r="G1152" s="800">
        <f t="shared" si="2537"/>
      </c>
      <c r="H1152" s="800">
        <f t="shared" si="2538"/>
      </c>
      <c r="I1152" s="800">
        <f t="shared" si="2538"/>
      </c>
      <c r="J1152" s="800">
        <f t="shared" si="2538"/>
      </c>
      <c r="K1152" s="1005">
        <f t="shared" si="2539"/>
      </c>
      <c r="L1152" s="800">
        <f t="shared" si="2539"/>
      </c>
      <c r="M1152" s="800">
        <f t="shared" si="2540"/>
      </c>
      <c r="N1152" s="800">
        <f t="shared" si="2540"/>
      </c>
      <c r="O1152" s="800">
        <f t="shared" si="2540"/>
      </c>
      <c r="P1152" s="1005">
        <f t="shared" si="2541"/>
      </c>
      <c r="Q1152" s="800">
        <f t="shared" si="2541"/>
      </c>
      <c r="R1152" s="800">
        <f t="shared" si="2542"/>
      </c>
      <c r="S1152" s="800">
        <f t="shared" si="2542"/>
      </c>
      <c r="T1152" s="800">
        <f t="shared" si="2542"/>
      </c>
      <c r="U1152" s="1005">
        <f t="shared" si="2543"/>
      </c>
      <c r="V1152" s="800">
        <f t="shared" si="2543"/>
      </c>
      <c r="W1152" s="800">
        <f t="shared" si="2544"/>
      </c>
      <c r="X1152" s="800">
        <f t="shared" si="2544"/>
      </c>
      <c r="Y1152" s="800">
        <f t="shared" si="2544"/>
      </c>
      <c r="Z1152" s="1005">
        <f t="shared" si="2545"/>
      </c>
      <c r="AA1152" s="800">
        <f t="shared" si="2545"/>
      </c>
      <c r="AB1152" s="800">
        <f t="shared" si="2546"/>
      </c>
      <c r="AC1152" s="800">
        <f t="shared" si="2546"/>
      </c>
      <c r="AD1152" s="800">
        <f t="shared" si="2546"/>
      </c>
      <c r="AE1152" s="1005">
        <f t="shared" si="2547"/>
      </c>
      <c r="AF1152" s="800">
        <f t="shared" si="2547"/>
      </c>
      <c r="AG1152" s="800">
        <f t="shared" si="2548"/>
      </c>
      <c r="AH1152" s="800">
        <f t="shared" si="2548"/>
      </c>
      <c r="AI1152" s="800">
        <f t="shared" si="2548"/>
      </c>
      <c r="AJ1152" s="1005">
        <f t="shared" si="2549"/>
      </c>
      <c r="AK1152" s="800">
        <f t="shared" si="2549"/>
      </c>
      <c r="AL1152" s="800">
        <f t="shared" si="2550"/>
      </c>
      <c r="AM1152" s="800">
        <f t="shared" si="2550"/>
      </c>
      <c r="AN1152" s="800">
        <f t="shared" si="2550"/>
      </c>
      <c r="AO1152" s="1005">
        <f t="shared" si="2551"/>
      </c>
      <c r="AP1152" s="800">
        <f t="shared" si="2551"/>
      </c>
      <c r="AQ1152" s="800">
        <f t="shared" si="2552"/>
      </c>
      <c r="AR1152" s="800">
        <f t="shared" si="2552"/>
      </c>
      <c r="AS1152" s="800">
        <f t="shared" si="2552"/>
      </c>
      <c r="AT1152" s="1005">
        <f t="shared" si="2553"/>
      </c>
      <c r="AU1152" s="800">
        <f t="shared" si="2553"/>
      </c>
      <c r="AV1152" s="800">
        <f t="shared" si="2554"/>
      </c>
      <c r="AW1152" s="800">
        <f t="shared" si="2554"/>
      </c>
      <c r="AX1152" s="800">
        <f t="shared" si="2554"/>
      </c>
      <c r="AY1152" s="1005">
        <f t="shared" si="2555"/>
      </c>
      <c r="AZ1152" s="800">
        <f t="shared" si="2555"/>
      </c>
      <c r="BA1152" s="800">
        <f t="shared" si="2556"/>
      </c>
      <c r="BB1152" s="800">
        <f t="shared" si="2556"/>
      </c>
      <c r="BC1152" s="800">
        <f t="shared" si="2556"/>
      </c>
      <c r="BD1152" s="1005">
        <f t="shared" si="2557"/>
      </c>
      <c r="BE1152" s="800">
        <f t="shared" si="2557"/>
      </c>
      <c r="BF1152" s="800">
        <f t="shared" si="2558"/>
      </c>
      <c r="BG1152" s="800">
        <f t="shared" si="2558"/>
      </c>
      <c r="BH1152" s="800">
        <f t="shared" si="2558"/>
      </c>
      <c r="BI1152" s="1005">
        <f t="shared" si="2559"/>
      </c>
      <c r="BJ1152" s="800">
        <f t="shared" si="2559"/>
      </c>
      <c r="BK1152" s="800">
        <f t="shared" si="2560"/>
      </c>
      <c r="BL1152" s="800">
        <f t="shared" si="2560"/>
      </c>
      <c r="BM1152" s="800">
        <f t="shared" si="2560"/>
      </c>
      <c r="BN1152" s="1005">
        <f t="shared" si="2561"/>
      </c>
      <c r="BO1152" s="800">
        <f t="shared" si="2561"/>
      </c>
      <c r="BP1152" s="800">
        <f t="shared" si="2562"/>
      </c>
      <c r="BQ1152" s="800">
        <f t="shared" si="2563"/>
      </c>
      <c r="BR1152" s="800">
        <f t="shared" si="2564"/>
      </c>
      <c r="BS1152" s="1005">
        <f t="shared" si="2565"/>
      </c>
      <c r="BT1152" s="808">
        <f t="shared" si="2566"/>
      </c>
      <c r="BU1152" s="761"/>
      <c r="BV1152" s="761"/>
      <c r="BW1152" s="761"/>
      <c r="BX1152" s="984">
        <f t="shared" si="2567"/>
      </c>
      <c r="BY1152" s="761"/>
      <c r="BZ1152" s="761"/>
      <c r="CA1152" s="761"/>
      <c r="CB1152" s="761"/>
      <c r="CC1152" s="984">
        <f t="shared" si="2568"/>
      </c>
      <c r="CD1152" s="984"/>
      <c r="CE1152" s="984"/>
      <c r="CF1152" s="984"/>
      <c r="CG1152" s="459"/>
    </row>
    <row r="1153" spans="1:85" x14ac:dyDescent="0.3">
      <c r="A1153" s="2" t="str">
        <f t="shared" si="2536"/>
      </c>
      <c r="B1153" s="422"/>
      <c r="C1153" s="986">
        <f t="shared" ref="C1153:AH1153" si="2569">SUM(C1138:C1152)</f>
      </c>
      <c r="D1153" s="986">
        <f t="shared" si="2569"/>
      </c>
      <c r="E1153" s="986">
        <f t="shared" si="2569"/>
      </c>
      <c r="F1153" s="986">
        <f t="shared" si="2569"/>
      </c>
      <c r="G1153" s="792">
        <f t="shared" si="2569"/>
      </c>
      <c r="H1153" s="792">
        <f t="shared" si="2569"/>
      </c>
      <c r="I1153" s="792">
        <f t="shared" si="2569"/>
      </c>
      <c r="J1153" s="792">
        <f t="shared" si="2569"/>
      </c>
      <c r="K1153" s="986">
        <f t="shared" si="2569"/>
      </c>
      <c r="L1153" s="792">
        <f t="shared" si="2569"/>
      </c>
      <c r="M1153" s="792">
        <f t="shared" si="2569"/>
      </c>
      <c r="N1153" s="792">
        <f t="shared" si="2569"/>
      </c>
      <c r="O1153" s="792">
        <f t="shared" si="2569"/>
      </c>
      <c r="P1153" s="986">
        <f t="shared" si="2569"/>
      </c>
      <c r="Q1153" s="792">
        <f t="shared" si="2569"/>
      </c>
      <c r="R1153" s="792">
        <f t="shared" si="2569"/>
      </c>
      <c r="S1153" s="792">
        <f t="shared" si="2569"/>
      </c>
      <c r="T1153" s="792">
        <f t="shared" si="2569"/>
      </c>
      <c r="U1153" s="986">
        <f t="shared" si="2569"/>
      </c>
      <c r="V1153" s="792">
        <f t="shared" si="2569"/>
      </c>
      <c r="W1153" s="792">
        <f t="shared" si="2569"/>
      </c>
      <c r="X1153" s="792">
        <f t="shared" si="2569"/>
      </c>
      <c r="Y1153" s="792">
        <f t="shared" si="2569"/>
      </c>
      <c r="Z1153" s="986">
        <f t="shared" si="2569"/>
      </c>
      <c r="AA1153" s="792">
        <f t="shared" si="2569"/>
      </c>
      <c r="AB1153" s="792">
        <f t="shared" si="2569"/>
      </c>
      <c r="AC1153" s="792">
        <f t="shared" si="2569"/>
      </c>
      <c r="AD1153" s="792">
        <f t="shared" si="2569"/>
      </c>
      <c r="AE1153" s="986">
        <f t="shared" si="2569"/>
      </c>
      <c r="AF1153" s="792">
        <f t="shared" si="2569"/>
      </c>
      <c r="AG1153" s="792">
        <f t="shared" si="2569"/>
      </c>
      <c r="AH1153" s="792">
        <f t="shared" si="2569"/>
      </c>
      <c r="AI1153" s="792">
        <f t="shared" ref="AI1153:AQ1153" si="2570">SUM(AI1138:AI1152)</f>
      </c>
      <c r="AJ1153" s="986">
        <f t="shared" si="2570"/>
      </c>
      <c r="AK1153" s="792">
        <f t="shared" si="2570"/>
      </c>
      <c r="AL1153" s="792">
        <f t="shared" si="2570"/>
      </c>
      <c r="AM1153" s="792">
        <f t="shared" si="2570"/>
      </c>
      <c r="AN1153" s="792">
        <f t="shared" si="2570"/>
      </c>
      <c r="AO1153" s="986">
        <f t="shared" si="2570"/>
      </c>
      <c r="AP1153" s="792">
        <f t="shared" si="2570"/>
      </c>
      <c r="AQ1153" s="792">
        <f t="shared" si="2570"/>
      </c>
      <c r="AR1153" s="792">
        <f>SUM(AR1138:AR1152)</f>
      </c>
      <c r="AS1153" s="792">
        <f>SUM(AS1138:AS1152)</f>
      </c>
      <c r="AT1153" s="986">
        <f>SUM(AT1138:AT1152)</f>
      </c>
      <c r="AU1153" s="792">
        <f t="shared" ref="AU1153" si="2571">SUM(AU1138:AU1152)</f>
      </c>
      <c r="AV1153" s="792">
        <f t="shared" ref="AV1153:BA1153" si="2572">SUM(AV1138:AV1152)</f>
      </c>
      <c r="AW1153" s="792">
        <f t="shared" si="2572"/>
      </c>
      <c r="AX1153" s="792">
        <f t="shared" si="2572"/>
      </c>
      <c r="AY1153" s="986">
        <f t="shared" si="2572"/>
      </c>
      <c r="AZ1153" s="792">
        <f t="shared" si="2572"/>
      </c>
      <c r="BA1153" s="792">
        <f t="shared" si="2572"/>
      </c>
      <c r="BB1153" s="792">
        <f t="shared" ref="BB1153:BD1153" si="2573">SUM(BB1138:BB1152)</f>
      </c>
      <c r="BC1153" s="792">
        <f t="shared" si="2573"/>
      </c>
      <c r="BD1153" s="986">
        <f t="shared" si="2573"/>
      </c>
      <c r="BE1153" s="792">
        <f t="shared" ref="BE1153:BI1153" si="2574">SUM(BE1138:BE1152)</f>
      </c>
      <c r="BF1153" s="792">
        <f t="shared" si="2574"/>
      </c>
      <c r="BG1153" s="792">
        <f t="shared" si="2574"/>
      </c>
      <c r="BH1153" s="792">
        <f t="shared" si="2574"/>
      </c>
      <c r="BI1153" s="986">
        <f t="shared" si="2574"/>
      </c>
      <c r="BJ1153" s="792">
        <f t="shared" ref="BJ1153:BX1153" si="2575">SUM(BJ1138:BJ1152)</f>
      </c>
      <c r="BK1153" s="792">
        <f t="shared" si="2575"/>
      </c>
      <c r="BL1153" s="792">
        <f t="shared" si="2575"/>
      </c>
      <c r="BM1153" s="792">
        <f t="shared" si="2575"/>
      </c>
      <c r="BN1153" s="986">
        <f t="shared" si="2575"/>
      </c>
      <c r="BO1153" s="792">
        <f t="shared" ref="BO1153:BW1153" si="2576">SUM(BO1138:BO1152)</f>
      </c>
      <c r="BP1153" s="792">
        <f t="shared" si="2576"/>
      </c>
      <c r="BQ1153" s="792">
        <f t="shared" si="2576"/>
      </c>
      <c r="BR1153" s="792">
        <f t="shared" si="2576"/>
      </c>
      <c r="BS1153" s="986">
        <f t="shared" si="2576"/>
      </c>
      <c r="BT1153" s="793">
        <f>SUM(BT1138:BT1152)</f>
      </c>
      <c r="BU1153" s="791">
        <f t="shared" si="2576"/>
      </c>
      <c r="BV1153" s="791">
        <f t="shared" si="2576"/>
      </c>
      <c r="BW1153" s="791">
        <f t="shared" si="2576"/>
      </c>
      <c r="BX1153" s="965">
        <f t="shared" si="2575"/>
      </c>
      <c r="BY1153" s="791">
        <f t="shared" ref="BY1153:CF1153" si="2577">SUM(BY1138:BY1152)</f>
      </c>
      <c r="BZ1153" s="791">
        <f t="shared" si="2577"/>
      </c>
      <c r="CA1153" s="791">
        <f t="shared" si="2577"/>
      </c>
      <c r="CB1153" s="791">
        <f t="shared" si="2577"/>
      </c>
      <c r="CC1153" s="965">
        <f t="shared" si="2577"/>
      </c>
      <c r="CD1153" s="965">
        <f t="shared" si="2577"/>
      </c>
      <c r="CE1153" s="965">
        <f t="shared" si="2577"/>
      </c>
      <c r="CF1153" s="965">
        <f t="shared" si="2577"/>
      </c>
      <c r="CG1153" s="183"/>
    </row>
    <row r="1154" spans="1:85" x14ac:dyDescent="0.3">
      <c r="A1154" s="429"/>
      <c r="B1154" s="428"/>
      <c r="C1154" s="969"/>
      <c r="D1154" s="969"/>
      <c r="E1154" s="969"/>
      <c r="F1154" s="969"/>
      <c r="G1154" s="759"/>
      <c r="H1154" s="759"/>
      <c r="I1154" s="759"/>
      <c r="J1154" s="759"/>
      <c r="K1154" s="969"/>
      <c r="L1154" s="759"/>
      <c r="M1154" s="759"/>
      <c r="N1154" s="759"/>
      <c r="O1154" s="759"/>
      <c r="P1154" s="969"/>
      <c r="Q1154" s="759"/>
      <c r="R1154" s="759"/>
      <c r="S1154" s="759"/>
      <c r="T1154" s="759"/>
      <c r="U1154" s="969"/>
      <c r="V1154" s="759"/>
      <c r="W1154" s="759"/>
      <c r="X1154" s="759"/>
      <c r="Y1154" s="759"/>
      <c r="Z1154" s="969"/>
      <c r="AA1154" s="759"/>
      <c r="AB1154" s="759"/>
      <c r="AC1154" s="759"/>
      <c r="AD1154" s="759"/>
      <c r="AE1154" s="969"/>
      <c r="AF1154" s="759"/>
      <c r="AG1154" s="759"/>
      <c r="AH1154" s="759"/>
      <c r="AI1154" s="759"/>
      <c r="AJ1154" s="969"/>
      <c r="AK1154" s="759"/>
      <c r="AL1154" s="759"/>
      <c r="AM1154" s="759"/>
      <c r="AN1154" s="759"/>
      <c r="AO1154" s="969"/>
      <c r="AP1154" s="759"/>
      <c r="AQ1154" s="759"/>
      <c r="AR1154" s="759"/>
      <c r="AS1154" s="759"/>
      <c r="AT1154" s="969"/>
      <c r="AU1154" s="759"/>
      <c r="AV1154" s="759"/>
      <c r="AW1154" s="759"/>
      <c r="AX1154" s="759"/>
      <c r="AY1154" s="969"/>
      <c r="AZ1154" s="759"/>
      <c r="BA1154" s="759"/>
      <c r="BB1154" s="759"/>
      <c r="BC1154" s="759"/>
      <c r="BD1154" s="969"/>
      <c r="BE1154" s="759"/>
      <c r="BF1154" s="759"/>
      <c r="BG1154" s="759"/>
      <c r="BH1154" s="759"/>
      <c r="BI1154" s="969"/>
      <c r="BJ1154" s="759"/>
      <c r="BK1154" s="759"/>
      <c r="BL1154" s="759"/>
      <c r="BM1154" s="759"/>
      <c r="BN1154" s="969"/>
      <c r="BO1154" s="759"/>
      <c r="BP1154" s="759"/>
      <c r="BQ1154" s="759"/>
      <c r="BR1154" s="759"/>
      <c r="BS1154" s="969"/>
      <c r="BT1154" s="760"/>
      <c r="BU1154" s="759"/>
      <c r="BV1154" s="759"/>
      <c r="BW1154" s="759"/>
      <c r="BX1154" s="969"/>
      <c r="BY1154" s="759"/>
      <c r="BZ1154" s="759"/>
      <c r="CA1154" s="759"/>
      <c r="CB1154" s="759"/>
      <c r="CC1154" s="969"/>
      <c r="CD1154" s="969"/>
      <c r="CE1154" s="969"/>
      <c r="CF1154" s="969"/>
      <c r="CG1154" s="183"/>
    </row>
    <row r="1155" spans="1:85" x14ac:dyDescent="0.3">
      <c r="A1155" s="6" t="str">
        <f>A1088</f>
      </c>
      <c r="B1155" s="414"/>
      <c r="C1155" s="964">
        <f>C1088</f>
      </c>
      <c r="D1155" s="964">
        <f>D1088</f>
      </c>
      <c r="E1155" s="964">
        <f>E1088</f>
      </c>
      <c r="F1155" s="964">
        <f>F1088</f>
      </c>
      <c r="G1155" s="459">
        <f>G1088</f>
      </c>
      <c r="H1155" s="459">
        <f>H1088-G1088</f>
      </c>
      <c r="I1155" s="459">
        <f>I1088-H1088</f>
      </c>
      <c r="J1155" s="459">
        <f>J1088-I1088</f>
      </c>
      <c r="K1155" s="964">
        <f>K1088</f>
      </c>
      <c r="L1155" s="459">
        <f>L1088</f>
      </c>
      <c r="M1155" s="459">
        <f>M1088-L1088</f>
      </c>
      <c r="N1155" s="459">
        <f>N1088-M1088</f>
      </c>
      <c r="O1155" s="459">
        <f>O1088-N1088</f>
      </c>
      <c r="P1155" s="964">
        <f>P1088</f>
      </c>
      <c r="Q1155" s="459">
        <f>Q1088</f>
      </c>
      <c r="R1155" s="459">
        <f>R1088-Q1088</f>
      </c>
      <c r="S1155" s="459">
        <f>S1088-R1088</f>
      </c>
      <c r="T1155" s="459">
        <f>T1088-S1088</f>
      </c>
      <c r="U1155" s="964">
        <f>U1088</f>
      </c>
      <c r="V1155" s="459">
        <f>V1088</f>
      </c>
      <c r="W1155" s="459">
        <f>W1088-V1088</f>
      </c>
      <c r="X1155" s="459">
        <f>X1088-W1088</f>
      </c>
      <c r="Y1155" s="459">
        <f>Y1088-X1088</f>
      </c>
      <c r="Z1155" s="964">
        <f>Z1088</f>
      </c>
      <c r="AA1155" s="459">
        <f>AA1088</f>
      </c>
      <c r="AB1155" s="459">
        <f>AB1088-AA1088</f>
      </c>
      <c r="AC1155" s="459">
        <f>AC1088-AB1088</f>
      </c>
      <c r="AD1155" s="459">
        <f>AD1088-AC1088</f>
      </c>
      <c r="AE1155" s="964">
        <f>AE1088</f>
      </c>
      <c r="AF1155" s="459">
        <f>AF1088</f>
      </c>
      <c r="AG1155" s="459">
        <f>AG1088-AF1088</f>
      </c>
      <c r="AH1155" s="459">
        <f>AH1088-AG1088</f>
      </c>
      <c r="AI1155" s="459">
        <f>AI1088-AH1088</f>
      </c>
      <c r="AJ1155" s="964">
        <f>AJ1088</f>
      </c>
      <c r="AK1155" s="459">
        <f>AK1088</f>
      </c>
      <c r="AL1155" s="459">
        <f>AL1088-AK1088</f>
      </c>
      <c r="AM1155" s="459">
        <f>AM1088-AL1088</f>
      </c>
      <c r="AN1155" s="459">
        <f>AN1088-AM1088</f>
      </c>
      <c r="AO1155" s="964">
        <f>AO1088</f>
      </c>
      <c r="AP1155" s="459">
        <f>AP1088</f>
      </c>
      <c r="AQ1155" s="459">
        <f>AQ1088-AP1088</f>
      </c>
      <c r="AR1155" s="459">
        <f>AR1088-AQ1088</f>
      </c>
      <c r="AS1155" s="459">
        <f>AS1088-AR1088</f>
      </c>
      <c r="AT1155" s="964">
        <f>AT1088</f>
      </c>
      <c r="AU1155" s="459">
        <f>AU1088</f>
      </c>
      <c r="AV1155" s="459">
        <f>AV1088-AU1088</f>
      </c>
      <c r="AW1155" s="459">
        <f>AW1088-AV1088</f>
      </c>
      <c r="AX1155" s="459">
        <f>AX1088-AW1088</f>
      </c>
      <c r="AY1155" s="964">
        <f>AY1088</f>
      </c>
      <c r="AZ1155" s="459">
        <f>AZ1088</f>
      </c>
      <c r="BA1155" s="459">
        <f>BA1088-AZ1088</f>
      </c>
      <c r="BB1155" s="459">
        <f>BB1088-BA1088</f>
      </c>
      <c r="BC1155" s="459">
        <f>BC1088-BB1088</f>
      </c>
      <c r="BD1155" s="964">
        <f>BD1088</f>
      </c>
      <c r="BE1155" s="459">
        <f>BE1088</f>
      </c>
      <c r="BF1155" s="459">
        <f>BF1088-BE1088</f>
      </c>
      <c r="BG1155" s="459">
        <f>BG1088-BF1088</f>
      </c>
      <c r="BH1155" s="459">
        <f>BH1088-BG1088</f>
      </c>
      <c r="BI1155" s="964">
        <f>BI1088</f>
      </c>
      <c r="BJ1155" s="459">
        <f>BJ1088</f>
      </c>
      <c r="BK1155" s="459">
        <f>BK1088-BJ1088</f>
      </c>
      <c r="BL1155" s="459">
        <f>BL1088-BK1088</f>
      </c>
      <c r="BM1155" s="459">
        <f>BM1088-BL1088</f>
      </c>
      <c r="BN1155" s="964">
        <f>BN1088</f>
      </c>
      <c r="BO1155" s="459">
        <f>BO1088</f>
      </c>
      <c r="BP1155" s="459">
        <f>BP1088-BO1088</f>
      </c>
      <c r="BQ1155" s="459">
        <f>BQ1088-BP1088</f>
      </c>
      <c r="BR1155" s="459">
        <f>BR1088-BQ1088</f>
      </c>
      <c r="BS1155" s="964">
        <f>BS1088</f>
      </c>
      <c r="BT1155" s="795">
        <f>BT1088</f>
      </c>
      <c r="BU1155" s="857">
        <v>0</v>
      </c>
      <c r="BV1155" s="857">
        <v>0</v>
      </c>
      <c r="BW1155" s="857">
        <v>0</v>
      </c>
      <c r="BX1155" s="962">
        <f>SUM(BT1155,BU1155,BV1155,BW1155)</f>
      </c>
      <c r="BY1155" s="857">
        <v>0</v>
      </c>
      <c r="BZ1155" s="857">
        <v>0</v>
      </c>
      <c r="CA1155" s="857">
        <v>0</v>
      </c>
      <c r="CB1155" s="857">
        <v>0</v>
      </c>
      <c r="CC1155" s="962">
        <f>SUM(BY1155,BZ1155,CA1155,CB1155)</f>
      </c>
      <c r="CD1155" s="963">
        <v>0</v>
      </c>
      <c r="CE1155" s="963">
        <v>0</v>
      </c>
      <c r="CF1155" s="963">
        <v>0</v>
      </c>
      <c r="CG1155" s="459"/>
    </row>
    <row r="1156" spans="1:85" x14ac:dyDescent="0.3">
      <c r="A1156" s="4" t="str">
        <f>A1089</f>
      </c>
      <c r="B1156" s="428"/>
      <c r="C1156" s="985">
        <f t="shared" ref="C1156:AH1156" si="2578">C1153+C1135+C1121+C1155</f>
      </c>
      <c r="D1156" s="985">
        <f t="shared" si="2578"/>
      </c>
      <c r="E1156" s="985">
        <f t="shared" si="2578"/>
      </c>
      <c r="F1156" s="985">
        <f t="shared" si="2578"/>
      </c>
      <c r="G1156" s="183">
        <f t="shared" si="2578"/>
      </c>
      <c r="H1156" s="183">
        <f t="shared" si="2578"/>
      </c>
      <c r="I1156" s="183">
        <f t="shared" si="2578"/>
      </c>
      <c r="J1156" s="183">
        <f t="shared" si="2578"/>
      </c>
      <c r="K1156" s="985">
        <f t="shared" si="2578"/>
      </c>
      <c r="L1156" s="183">
        <f t="shared" si="2578"/>
      </c>
      <c r="M1156" s="183">
        <f t="shared" si="2578"/>
      </c>
      <c r="N1156" s="183">
        <f t="shared" si="2578"/>
      </c>
      <c r="O1156" s="183">
        <f t="shared" si="2578"/>
      </c>
      <c r="P1156" s="985">
        <f t="shared" si="2578"/>
      </c>
      <c r="Q1156" s="183">
        <f t="shared" si="2578"/>
      </c>
      <c r="R1156" s="183">
        <f t="shared" si="2578"/>
      </c>
      <c r="S1156" s="183">
        <f t="shared" si="2578"/>
      </c>
      <c r="T1156" s="183">
        <f t="shared" si="2578"/>
      </c>
      <c r="U1156" s="985">
        <f t="shared" si="2578"/>
      </c>
      <c r="V1156" s="183">
        <f t="shared" si="2578"/>
      </c>
      <c r="W1156" s="183">
        <f t="shared" si="2578"/>
      </c>
      <c r="X1156" s="183">
        <f t="shared" si="2578"/>
      </c>
      <c r="Y1156" s="183">
        <f t="shared" si="2578"/>
      </c>
      <c r="Z1156" s="985">
        <f t="shared" si="2578"/>
      </c>
      <c r="AA1156" s="183">
        <f t="shared" si="2578"/>
      </c>
      <c r="AB1156" s="183">
        <f t="shared" si="2578"/>
      </c>
      <c r="AC1156" s="183">
        <f t="shared" si="2578"/>
      </c>
      <c r="AD1156" s="183">
        <f t="shared" si="2578"/>
      </c>
      <c r="AE1156" s="985">
        <f t="shared" si="2578"/>
      </c>
      <c r="AF1156" s="183">
        <f t="shared" si="2578"/>
      </c>
      <c r="AG1156" s="183">
        <f t="shared" si="2578"/>
      </c>
      <c r="AH1156" s="183">
        <f t="shared" si="2578"/>
      </c>
      <c r="AI1156" s="183">
        <f t="shared" ref="AI1156:AQ1156" si="2579">AI1153+AI1135+AI1121+AI1155</f>
      </c>
      <c r="AJ1156" s="985">
        <f t="shared" si="2579"/>
      </c>
      <c r="AK1156" s="183">
        <f t="shared" si="2579"/>
      </c>
      <c r="AL1156" s="183">
        <f t="shared" si="2579"/>
      </c>
      <c r="AM1156" s="183">
        <f t="shared" si="2579"/>
      </c>
      <c r="AN1156" s="183">
        <f t="shared" si="2579"/>
      </c>
      <c r="AO1156" s="985">
        <f t="shared" si="2579"/>
      </c>
      <c r="AP1156" s="183">
        <f t="shared" si="2579"/>
      </c>
      <c r="AQ1156" s="183">
        <f t="shared" si="2579"/>
      </c>
      <c r="AR1156" s="183">
        <f>AR1153+AR1135+AR1121+AR1155</f>
      </c>
      <c r="AS1156" s="183">
        <f>AS1153+AS1135+AS1121+AS1155</f>
      </c>
      <c r="AT1156" s="985">
        <f>AT1153+AT1135+AT1121+AT1155</f>
      </c>
      <c r="AU1156" s="183">
        <f t="shared" ref="AU1156" si="2580">AU1153+AU1135+AU1121+AU1155</f>
      </c>
      <c r="AV1156" s="183">
        <f t="shared" ref="AV1156:BB1156" si="2581">AV1153+AV1135+AV1121+AV1155</f>
      </c>
      <c r="AW1156" s="183">
        <f t="shared" si="2581"/>
      </c>
      <c r="AX1156" s="183">
        <f t="shared" si="2581"/>
      </c>
      <c r="AY1156" s="985">
        <f t="shared" si="2581"/>
      </c>
      <c r="AZ1156" s="183">
        <f t="shared" si="2581"/>
      </c>
      <c r="BA1156" s="183">
        <f t="shared" si="2581"/>
      </c>
      <c r="BB1156" s="183">
        <f t="shared" si="2581"/>
      </c>
      <c r="BC1156" s="183">
        <f t="shared" ref="BC1156:BD1156" si="2582">BC1153+BC1135+BC1121+BC1155</f>
      </c>
      <c r="BD1156" s="985">
        <f t="shared" si="2582"/>
      </c>
      <c r="BE1156" s="183">
        <f t="shared" ref="BE1156:BI1156" si="2583">BE1153+BE1135+BE1121+BE1155</f>
      </c>
      <c r="BF1156" s="183">
        <f t="shared" si="2583"/>
      </c>
      <c r="BG1156" s="183">
        <f t="shared" si="2583"/>
      </c>
      <c r="BH1156" s="183">
        <f t="shared" si="2583"/>
      </c>
      <c r="BI1156" s="985">
        <f t="shared" si="2583"/>
      </c>
      <c r="BJ1156" s="183">
        <f t="shared" ref="BJ1156:BX1156" si="2584">BJ1153+BJ1135+BJ1121+BJ1155</f>
      </c>
      <c r="BK1156" s="183">
        <f t="shared" si="2584"/>
      </c>
      <c r="BL1156" s="183">
        <f t="shared" si="2584"/>
      </c>
      <c r="BM1156" s="183">
        <f t="shared" si="2584"/>
      </c>
      <c r="BN1156" s="985">
        <f t="shared" si="2584"/>
      </c>
      <c r="BO1156" s="183">
        <f t="shared" ref="BO1156:BW1156" si="2585">BO1153+BO1135+BO1121+BO1155</f>
      </c>
      <c r="BP1156" s="183">
        <f t="shared" si="2585"/>
      </c>
      <c r="BQ1156" s="183">
        <f t="shared" si="2585"/>
      </c>
      <c r="BR1156" s="183">
        <f t="shared" si="2585"/>
      </c>
      <c r="BS1156" s="985">
        <f t="shared" si="2585"/>
      </c>
      <c r="BT1156" s="794">
        <f>BT1153+BT1135+BT1121+BT1155</f>
      </c>
      <c r="BU1156" s="759">
        <f t="shared" si="2585"/>
      </c>
      <c r="BV1156" s="759">
        <f t="shared" si="2585"/>
      </c>
      <c r="BW1156" s="759">
        <f t="shared" si="2585"/>
      </c>
      <c r="BX1156" s="969">
        <f t="shared" si="2584"/>
      </c>
      <c r="BY1156" s="759">
        <f t="shared" ref="BY1156:CF1156" si="2586">BY1153+BY1135+BY1121+BY1155</f>
      </c>
      <c r="BZ1156" s="759">
        <f t="shared" si="2586"/>
      </c>
      <c r="CA1156" s="759">
        <f t="shared" si="2586"/>
      </c>
      <c r="CB1156" s="759">
        <f t="shared" si="2586"/>
      </c>
      <c r="CC1156" s="969">
        <f t="shared" si="2586"/>
      </c>
      <c r="CD1156" s="969">
        <f t="shared" si="2586"/>
      </c>
      <c r="CE1156" s="969">
        <f t="shared" si="2586"/>
      </c>
      <c r="CF1156" s="969">
        <f t="shared" si="2586"/>
      </c>
      <c r="CG1156" s="183"/>
    </row>
    <row r="1157" spans="1:85" x14ac:dyDescent="0.3">
      <c r="A1157" s="429"/>
      <c r="B1157" s="428"/>
      <c r="C1157" s="969"/>
      <c r="D1157" s="969"/>
      <c r="E1157" s="969"/>
      <c r="F1157" s="969"/>
      <c r="G1157" s="759"/>
      <c r="H1157" s="759"/>
      <c r="I1157" s="759"/>
      <c r="J1157" s="759"/>
      <c r="K1157" s="969"/>
      <c r="L1157" s="759"/>
      <c r="M1157" s="759"/>
      <c r="N1157" s="759"/>
      <c r="O1157" s="759"/>
      <c r="P1157" s="969"/>
      <c r="Q1157" s="759"/>
      <c r="R1157" s="759"/>
      <c r="S1157" s="759"/>
      <c r="T1157" s="759"/>
      <c r="U1157" s="969"/>
      <c r="V1157" s="759"/>
      <c r="W1157" s="759"/>
      <c r="X1157" s="759"/>
      <c r="Y1157" s="759"/>
      <c r="Z1157" s="969"/>
      <c r="AA1157" s="759"/>
      <c r="AB1157" s="759"/>
      <c r="AC1157" s="759"/>
      <c r="AD1157" s="759"/>
      <c r="AE1157" s="969"/>
      <c r="AF1157" s="759"/>
      <c r="AG1157" s="759"/>
      <c r="AH1157" s="759"/>
      <c r="AI1157" s="759"/>
      <c r="AJ1157" s="969"/>
      <c r="AK1157" s="759"/>
      <c r="AL1157" s="759"/>
      <c r="AM1157" s="759"/>
      <c r="AN1157" s="759"/>
      <c r="AO1157" s="969"/>
      <c r="AP1157" s="759"/>
      <c r="AQ1157" s="759"/>
      <c r="AR1157" s="759"/>
      <c r="AS1157" s="759"/>
      <c r="AT1157" s="969"/>
      <c r="AU1157" s="759"/>
      <c r="AV1157" s="759"/>
      <c r="AW1157" s="759"/>
      <c r="AX1157" s="759"/>
      <c r="AY1157" s="969"/>
      <c r="AZ1157" s="759"/>
      <c r="BA1157" s="759"/>
      <c r="BB1157" s="759"/>
      <c r="BC1157" s="759"/>
      <c r="BD1157" s="969"/>
      <c r="BE1157" s="759"/>
      <c r="BF1157" s="759"/>
      <c r="BG1157" s="759"/>
      <c r="BH1157" s="759"/>
      <c r="BI1157" s="969"/>
      <c r="BJ1157" s="759"/>
      <c r="BK1157" s="759"/>
      <c r="BL1157" s="759"/>
      <c r="BM1157" s="759"/>
      <c r="BN1157" s="969"/>
      <c r="BO1157" s="759"/>
      <c r="BP1157" s="759"/>
      <c r="BQ1157" s="759"/>
      <c r="BR1157" s="759"/>
      <c r="BS1157" s="969"/>
      <c r="BT1157" s="760"/>
      <c r="BU1157" s="759"/>
      <c r="BV1157" s="759"/>
      <c r="BW1157" s="759"/>
      <c r="BX1157" s="969"/>
      <c r="BY1157" s="759"/>
      <c r="BZ1157" s="759"/>
      <c r="CA1157" s="759"/>
      <c r="CB1157" s="759"/>
      <c r="CC1157" s="969"/>
      <c r="CD1157" s="969"/>
      <c r="CE1157" s="969"/>
      <c r="CF1157" s="969"/>
      <c r="CG1157" s="183"/>
    </row>
    <row r="1158" spans="1:85" x14ac:dyDescent="0.3">
      <c r="A1158" s="4" t="str">
        <f>A1091</f>
      </c>
      <c r="B1158" s="428"/>
      <c r="C1158" s="985">
        <f>C1091</f>
      </c>
      <c r="D1158" s="985">
        <f t="shared" ref="D1158:J1158" si="2587">C1159</f>
      </c>
      <c r="E1158" s="985">
        <f t="shared" si="2587"/>
      </c>
      <c r="F1158" s="985">
        <f t="shared" si="2587"/>
      </c>
      <c r="G1158" s="183">
        <f t="shared" si="2587"/>
      </c>
      <c r="H1158" s="183">
        <f t="shared" si="2587"/>
      </c>
      <c r="I1158" s="183">
        <f t="shared" si="2587"/>
      </c>
      <c r="J1158" s="183">
        <f t="shared" si="2587"/>
      </c>
      <c r="K1158" s="985">
        <f>F1159</f>
      </c>
      <c r="L1158" s="183">
        <f>K1159</f>
      </c>
      <c r="M1158" s="183">
        <f>L1159</f>
      </c>
      <c r="N1158" s="183">
        <f>M1159</f>
      </c>
      <c r="O1158" s="183">
        <f>N1159</f>
      </c>
      <c r="P1158" s="985">
        <f>K1159</f>
      </c>
      <c r="Q1158" s="183">
        <f>P1159</f>
      </c>
      <c r="R1158" s="183">
        <f>Q1159</f>
      </c>
      <c r="S1158" s="183">
        <f>R1159</f>
      </c>
      <c r="T1158" s="183">
        <f>S1159</f>
      </c>
      <c r="U1158" s="985">
        <f>P1159</f>
      </c>
      <c r="V1158" s="183">
        <f>U1159</f>
      </c>
      <c r="W1158" s="183">
        <f>V1159</f>
      </c>
      <c r="X1158" s="183">
        <f>W1159</f>
      </c>
      <c r="Y1158" s="183">
        <f>X1159</f>
      </c>
      <c r="Z1158" s="985">
        <f>U1159</f>
      </c>
      <c r="AA1158" s="183">
        <f>Z1159</f>
      </c>
      <c r="AB1158" s="183">
        <f>AA1159</f>
      </c>
      <c r="AC1158" s="183">
        <f>AB1159</f>
      </c>
      <c r="AD1158" s="183">
        <f>AC1159</f>
      </c>
      <c r="AE1158" s="985">
        <f>Z1159</f>
      </c>
      <c r="AF1158" s="183">
        <f>AE1159</f>
      </c>
      <c r="AG1158" s="183">
        <f>AF1159</f>
      </c>
      <c r="AH1158" s="183">
        <f>AG1159</f>
      </c>
      <c r="AI1158" s="183">
        <f>AH1159</f>
      </c>
      <c r="AJ1158" s="985">
        <f>AE1159</f>
      </c>
      <c r="AK1158" s="183">
        <f>AJ1159</f>
      </c>
      <c r="AL1158" s="183">
        <f>AK1159</f>
      </c>
      <c r="AM1158" s="183">
        <f>AL1159</f>
      </c>
      <c r="AN1158" s="183">
        <f>AM1159</f>
      </c>
      <c r="AO1158" s="985">
        <f>AJ1159</f>
      </c>
      <c r="AP1158" s="183">
        <f>AO1159</f>
      </c>
      <c r="AQ1158" s="183">
        <f>AP1159</f>
      </c>
      <c r="AR1158" s="183">
        <f>AQ1159</f>
      </c>
      <c r="AS1158" s="183">
        <f>AR1159</f>
      </c>
      <c r="AT1158" s="985">
        <f>AO1159</f>
      </c>
      <c r="AU1158" s="183">
        <f>AT1159</f>
      </c>
      <c r="AV1158" s="183">
        <f>AU1159</f>
      </c>
      <c r="AW1158" s="183">
        <f>AV1159</f>
      </c>
      <c r="AX1158" s="183">
        <f>AW1159</f>
      </c>
      <c r="AY1158" s="985">
        <f>AT1159</f>
      </c>
      <c r="AZ1158" s="183">
        <f>AY1159</f>
      </c>
      <c r="BA1158" s="183">
        <f>AZ1159</f>
      </c>
      <c r="BB1158" s="183">
        <f>BA1159</f>
      </c>
      <c r="BC1158" s="183">
        <f>BB1159</f>
      </c>
      <c r="BD1158" s="985">
        <f>AY1159</f>
      </c>
      <c r="BE1158" s="183">
        <f>BD1159</f>
      </c>
      <c r="BF1158" s="183">
        <f>BE1159</f>
      </c>
      <c r="BG1158" s="183">
        <f>BF1159</f>
      </c>
      <c r="BH1158" s="183">
        <f>BG1159</f>
      </c>
      <c r="BI1158" s="985">
        <f>BD1159</f>
      </c>
      <c r="BJ1158" s="183">
        <f>BI1159</f>
      </c>
      <c r="BK1158" s="183">
        <f>BJ1159</f>
      </c>
      <c r="BL1158" s="183">
        <f>BK1159</f>
      </c>
      <c r="BM1158" s="183">
        <f>BL1159</f>
      </c>
      <c r="BN1158" s="985">
        <f>BI1159</f>
      </c>
      <c r="BO1158" s="183">
        <f>BN1159</f>
      </c>
      <c r="BP1158" s="183">
        <f>BO1159</f>
      </c>
      <c r="BQ1158" s="183">
        <f>BP1159</f>
      </c>
      <c r="BR1158" s="183">
        <f>BQ1159</f>
      </c>
      <c r="BS1158" s="985">
        <f>BN1159</f>
      </c>
      <c r="BT1158" s="794">
        <f>BS1159</f>
      </c>
      <c r="BU1158" s="759">
        <f>BT1159</f>
      </c>
      <c r="BV1158" s="759">
        <f>BU1159</f>
      </c>
      <c r="BW1158" s="759">
        <f>BV1159</f>
      </c>
      <c r="BX1158" s="969">
        <f>BS1159</f>
      </c>
      <c r="BY1158" s="759">
        <f>BX1159</f>
      </c>
      <c r="BZ1158" s="759">
        <f>BY1159</f>
      </c>
      <c r="CA1158" s="759">
        <f>BZ1159</f>
      </c>
      <c r="CB1158" s="759">
        <f>CA1159</f>
      </c>
      <c r="CC1158" s="969">
        <f>BX1159</f>
      </c>
      <c r="CD1158" s="969">
        <f>CC1159</f>
      </c>
      <c r="CE1158" s="969">
        <f>CD1159</f>
      </c>
      <c r="CF1158" s="969">
        <f>CE1159</f>
      </c>
      <c r="CG1158" s="183"/>
    </row>
    <row r="1159" spans="1:85" x14ac:dyDescent="0.3">
      <c r="A1159" s="4" t="str">
        <f>A1092</f>
      </c>
      <c r="B1159" s="428"/>
      <c r="C1159" s="985">
        <f t="shared" ref="C1159:AH1159" si="2588">C1158+C1156</f>
      </c>
      <c r="D1159" s="985">
        <f t="shared" si="2588"/>
      </c>
      <c r="E1159" s="985">
        <f t="shared" si="2588"/>
      </c>
      <c r="F1159" s="985">
        <f t="shared" si="2588"/>
      </c>
      <c r="G1159" s="183">
        <f t="shared" si="2588"/>
      </c>
      <c r="H1159" s="183">
        <f t="shared" si="2588"/>
      </c>
      <c r="I1159" s="183">
        <f t="shared" si="2588"/>
      </c>
      <c r="J1159" s="183">
        <f t="shared" si="2588"/>
      </c>
      <c r="K1159" s="985">
        <f t="shared" si="2588"/>
      </c>
      <c r="L1159" s="183">
        <f t="shared" si="2588"/>
      </c>
      <c r="M1159" s="183">
        <f t="shared" si="2588"/>
      </c>
      <c r="N1159" s="183">
        <f t="shared" si="2588"/>
      </c>
      <c r="O1159" s="183">
        <f t="shared" si="2588"/>
      </c>
      <c r="P1159" s="985">
        <f t="shared" si="2588"/>
      </c>
      <c r="Q1159" s="183">
        <f t="shared" si="2588"/>
      </c>
      <c r="R1159" s="183">
        <f t="shared" si="2588"/>
      </c>
      <c r="S1159" s="183">
        <f t="shared" si="2588"/>
      </c>
      <c r="T1159" s="183">
        <f t="shared" si="2588"/>
      </c>
      <c r="U1159" s="985">
        <f t="shared" si="2588"/>
      </c>
      <c r="V1159" s="183">
        <f t="shared" si="2588"/>
      </c>
      <c r="W1159" s="183">
        <f t="shared" si="2588"/>
      </c>
      <c r="X1159" s="183">
        <f t="shared" si="2588"/>
      </c>
      <c r="Y1159" s="183">
        <f t="shared" si="2588"/>
      </c>
      <c r="Z1159" s="985">
        <f t="shared" si="2588"/>
      </c>
      <c r="AA1159" s="183">
        <f t="shared" si="2588"/>
      </c>
      <c r="AB1159" s="183">
        <f t="shared" si="2588"/>
      </c>
      <c r="AC1159" s="183">
        <f t="shared" si="2588"/>
      </c>
      <c r="AD1159" s="183">
        <f t="shared" si="2588"/>
      </c>
      <c r="AE1159" s="985">
        <f t="shared" si="2588"/>
      </c>
      <c r="AF1159" s="183">
        <f t="shared" si="2588"/>
      </c>
      <c r="AG1159" s="183">
        <f t="shared" si="2588"/>
      </c>
      <c r="AH1159" s="183">
        <f t="shared" si="2588"/>
      </c>
      <c r="AI1159" s="183">
        <f t="shared" ref="AI1159:AQ1159" si="2589">AI1158+AI1156</f>
      </c>
      <c r="AJ1159" s="985">
        <f t="shared" si="2589"/>
      </c>
      <c r="AK1159" s="183">
        <f t="shared" si="2589"/>
      </c>
      <c r="AL1159" s="183">
        <f t="shared" si="2589"/>
      </c>
      <c r="AM1159" s="183">
        <f t="shared" si="2589"/>
      </c>
      <c r="AN1159" s="183">
        <f t="shared" si="2589"/>
      </c>
      <c r="AO1159" s="985">
        <f t="shared" si="2589"/>
      </c>
      <c r="AP1159" s="183">
        <f t="shared" si="2589"/>
      </c>
      <c r="AQ1159" s="183">
        <f t="shared" si="2589"/>
      </c>
      <c r="AR1159" s="183">
        <f>AR1158+AR1156</f>
      </c>
      <c r="AS1159" s="183">
        <f>AS1158+AS1156</f>
      </c>
      <c r="AT1159" s="985">
        <f>AT1158+AT1156</f>
      </c>
      <c r="AU1159" s="183">
        <f t="shared" ref="AU1159" si="2590">AU1158+AU1156</f>
      </c>
      <c r="AV1159" s="183">
        <f t="shared" ref="AV1159:BB1159" si="2591">AV1158+AV1156</f>
      </c>
      <c r="AW1159" s="183">
        <f t="shared" si="2591"/>
      </c>
      <c r="AX1159" s="183">
        <f t="shared" si="2591"/>
      </c>
      <c r="AY1159" s="985">
        <f t="shared" si="2591"/>
      </c>
      <c r="AZ1159" s="183">
        <f t="shared" si="2591"/>
      </c>
      <c r="BA1159" s="183">
        <f t="shared" si="2591"/>
      </c>
      <c r="BB1159" s="183">
        <f t="shared" si="2591"/>
      </c>
      <c r="BC1159" s="183">
        <f t="shared" ref="BC1159:BD1159" si="2592">BC1158+BC1156</f>
      </c>
      <c r="BD1159" s="985">
        <f t="shared" si="2592"/>
      </c>
      <c r="BE1159" s="183">
        <f t="shared" ref="BE1159:BI1159" si="2593">BE1158+BE1156</f>
      </c>
      <c r="BF1159" s="183">
        <f t="shared" si="2593"/>
      </c>
      <c r="BG1159" s="183">
        <f t="shared" si="2593"/>
      </c>
      <c r="BH1159" s="183">
        <f t="shared" si="2593"/>
      </c>
      <c r="BI1159" s="985">
        <f t="shared" si="2593"/>
      </c>
      <c r="BJ1159" s="183">
        <f t="shared" ref="BJ1159:BX1159" si="2594">BJ1158+BJ1156</f>
      </c>
      <c r="BK1159" s="183">
        <f t="shared" si="2594"/>
      </c>
      <c r="BL1159" s="183">
        <f t="shared" si="2594"/>
      </c>
      <c r="BM1159" s="183">
        <f t="shared" si="2594"/>
      </c>
      <c r="BN1159" s="985">
        <f t="shared" si="2594"/>
      </c>
      <c r="BO1159" s="183">
        <f t="shared" ref="BO1159:BW1159" si="2595">BO1158+BO1156</f>
      </c>
      <c r="BP1159" s="183">
        <f t="shared" si="2595"/>
      </c>
      <c r="BQ1159" s="183">
        <f t="shared" si="2595"/>
      </c>
      <c r="BR1159" s="183">
        <f t="shared" si="2595"/>
      </c>
      <c r="BS1159" s="985">
        <f t="shared" si="2595"/>
      </c>
      <c r="BT1159" s="794">
        <f>BT1158+BT1156</f>
      </c>
      <c r="BU1159" s="759">
        <f t="shared" si="2595"/>
      </c>
      <c r="BV1159" s="759">
        <f t="shared" si="2595"/>
      </c>
      <c r="BW1159" s="759">
        <f t="shared" si="2595"/>
      </c>
      <c r="BX1159" s="969">
        <f t="shared" si="2594"/>
      </c>
      <c r="BY1159" s="759">
        <f t="shared" ref="BY1159:CF1159" si="2596">BY1158+BY1156</f>
      </c>
      <c r="BZ1159" s="759">
        <f t="shared" si="2596"/>
      </c>
      <c r="CA1159" s="759">
        <f t="shared" si="2596"/>
      </c>
      <c r="CB1159" s="759">
        <f t="shared" si="2596"/>
      </c>
      <c r="CC1159" s="969">
        <f t="shared" si="2596"/>
      </c>
      <c r="CD1159" s="969">
        <f t="shared" si="2596"/>
      </c>
      <c r="CE1159" s="969">
        <f t="shared" si="2596"/>
      </c>
      <c r="CF1159" s="969">
        <f t="shared" si="2596"/>
      </c>
      <c r="CG1159" s="183"/>
    </row>
    <row r="1160" spans="1:85" x14ac:dyDescent="0.3">
      <c r="A1160" s="429"/>
      <c r="B1160" s="428"/>
      <c r="C1160" s="969"/>
      <c r="D1160" s="969"/>
      <c r="E1160" s="969"/>
      <c r="F1160" s="969"/>
      <c r="G1160" s="759"/>
      <c r="H1160" s="759"/>
      <c r="I1160" s="759"/>
      <c r="J1160" s="759"/>
      <c r="K1160" s="969"/>
      <c r="L1160" s="759"/>
      <c r="M1160" s="759"/>
      <c r="N1160" s="759"/>
      <c r="O1160" s="759"/>
      <c r="P1160" s="969"/>
      <c r="Q1160" s="759"/>
      <c r="R1160" s="759"/>
      <c r="S1160" s="759"/>
      <c r="T1160" s="759"/>
      <c r="U1160" s="969"/>
      <c r="V1160" s="759"/>
      <c r="W1160" s="759"/>
      <c r="X1160" s="759"/>
      <c r="Y1160" s="759"/>
      <c r="Z1160" s="969"/>
      <c r="AA1160" s="759"/>
      <c r="AB1160" s="759"/>
      <c r="AC1160" s="759"/>
      <c r="AD1160" s="759"/>
      <c r="AE1160" s="969"/>
      <c r="AF1160" s="759"/>
      <c r="AG1160" s="759"/>
      <c r="AH1160" s="759"/>
      <c r="AI1160" s="759"/>
      <c r="AJ1160" s="969"/>
      <c r="AK1160" s="759"/>
      <c r="AL1160" s="759"/>
      <c r="AM1160" s="759"/>
      <c r="AN1160" s="759"/>
      <c r="AO1160" s="969"/>
      <c r="AP1160" s="759"/>
      <c r="AQ1160" s="759"/>
      <c r="AR1160" s="759"/>
      <c r="AS1160" s="759"/>
      <c r="AT1160" s="969"/>
      <c r="AU1160" s="759"/>
      <c r="AV1160" s="759"/>
      <c r="AW1160" s="759"/>
      <c r="AX1160" s="759"/>
      <c r="AY1160" s="969"/>
      <c r="AZ1160" s="759"/>
      <c r="BA1160" s="759"/>
      <c r="BB1160" s="759"/>
      <c r="BC1160" s="759"/>
      <c r="BD1160" s="969"/>
      <c r="BE1160" s="759"/>
      <c r="BF1160" s="759"/>
      <c r="BG1160" s="759"/>
      <c r="BH1160" s="759"/>
      <c r="BI1160" s="969"/>
      <c r="BJ1160" s="759"/>
      <c r="BK1160" s="759"/>
      <c r="BL1160" s="759"/>
      <c r="BM1160" s="759"/>
      <c r="BN1160" s="969"/>
      <c r="BO1160" s="759"/>
      <c r="BP1160" s="759"/>
      <c r="BQ1160" s="759"/>
      <c r="BR1160" s="759"/>
      <c r="BS1160" s="969"/>
      <c r="BT1160" s="760"/>
      <c r="BU1160" s="759"/>
      <c r="BV1160" s="759"/>
      <c r="BW1160" s="759"/>
      <c r="BX1160" s="969"/>
      <c r="BY1160" s="759"/>
      <c r="BZ1160" s="759"/>
      <c r="CA1160" s="759"/>
      <c r="CB1160" s="759"/>
      <c r="CC1160" s="969"/>
      <c r="CD1160" s="969"/>
      <c r="CE1160" s="969"/>
      <c r="CF1160" s="969"/>
      <c r="CG1160" s="183"/>
    </row>
    <row r="1161" spans="1:85" x14ac:dyDescent="0.3">
      <c r="A1161" s="6" t="s">
        <v>853</v>
      </c>
      <c r="B1161" s="414"/>
      <c r="C1161" s="964">
        <f t="shared" ref="C1161:F1162" si="2597">+C1094</f>
      </c>
      <c r="D1161" s="964">
        <f t="shared" si="2597"/>
      </c>
      <c r="E1161" s="964">
        <f t="shared" si="2597"/>
      </c>
      <c r="F1161" s="964">
        <f t="shared" si="2597"/>
      </c>
      <c r="G1161" s="757"/>
      <c r="H1161" s="757"/>
      <c r="I1161" s="757"/>
      <c r="J1161" s="757"/>
      <c r="K1161" s="964">
        <f>+K1094</f>
      </c>
      <c r="L1161" s="757"/>
      <c r="M1161" s="757"/>
      <c r="N1161" s="757"/>
      <c r="O1161" s="757"/>
      <c r="P1161" s="964">
        <f>+P1094</f>
      </c>
      <c r="Q1161" s="757"/>
      <c r="R1161" s="757"/>
      <c r="S1161" s="757"/>
      <c r="T1161" s="757"/>
      <c r="U1161" s="964">
        <f>+U1094</f>
      </c>
      <c r="V1161" s="757"/>
      <c r="W1161" s="757"/>
      <c r="X1161" s="757"/>
      <c r="Y1161" s="757"/>
      <c r="Z1161" s="964">
        <f>+Z1094</f>
      </c>
      <c r="AA1161" s="757"/>
      <c r="AB1161" s="757"/>
      <c r="AC1161" s="757"/>
      <c r="AD1161" s="757"/>
      <c r="AE1161" s="964">
        <f>+AE1094</f>
      </c>
      <c r="AF1161" s="757"/>
      <c r="AG1161" s="757"/>
      <c r="AH1161" s="757"/>
      <c r="AI1161" s="757"/>
      <c r="AJ1161" s="964">
        <f>+AJ1094</f>
      </c>
      <c r="AK1161" s="757"/>
      <c r="AL1161" s="757"/>
      <c r="AM1161" s="757"/>
      <c r="AN1161" s="757"/>
      <c r="AO1161" s="964">
        <f>+AO1094</f>
      </c>
      <c r="AP1161" s="757"/>
      <c r="AQ1161" s="757"/>
      <c r="AR1161" s="757"/>
      <c r="AS1161" s="757"/>
      <c r="AT1161" s="964">
        <f>+AT1094</f>
      </c>
      <c r="AU1161" s="757"/>
      <c r="AV1161" s="757"/>
      <c r="AW1161" s="757"/>
      <c r="AX1161" s="757"/>
      <c r="AY1161" s="964">
        <f>+AY1094</f>
      </c>
      <c r="AZ1161" s="757"/>
      <c r="BA1161" s="757"/>
      <c r="BB1161" s="757"/>
      <c r="BC1161" s="757"/>
      <c r="BD1161" s="964">
        <f>+BD1094</f>
      </c>
      <c r="BE1161" s="757"/>
      <c r="BF1161" s="757"/>
      <c r="BG1161" s="757"/>
      <c r="BH1161" s="757"/>
      <c r="BI1161" s="964">
        <f>+BI1094</f>
      </c>
      <c r="BJ1161" s="757"/>
      <c r="BK1161" s="757"/>
      <c r="BL1161" s="757"/>
      <c r="BM1161" s="757"/>
      <c r="BN1161" s="964">
        <f>+BN1094</f>
      </c>
      <c r="BO1161" s="757"/>
      <c r="BP1161" s="757"/>
      <c r="BQ1161" s="757"/>
      <c r="BR1161" s="757"/>
      <c r="BS1161" s="964">
        <f>+BS1094</f>
      </c>
      <c r="BT1161" s="758"/>
      <c r="BU1161" s="757"/>
      <c r="BV1161" s="757"/>
      <c r="BW1161" s="757"/>
      <c r="BX1161" s="962"/>
      <c r="BY1161" s="757"/>
      <c r="BZ1161" s="757"/>
      <c r="CA1161" s="757"/>
      <c r="CB1161" s="757"/>
      <c r="CC1161" s="962"/>
      <c r="CD1161" s="962"/>
      <c r="CE1161" s="962"/>
      <c r="CF1161" s="962"/>
      <c r="CG1161" s="459"/>
    </row>
    <row r="1162" spans="1:85" x14ac:dyDescent="0.3">
      <c r="A1162" s="6" t="s">
        <v>854</v>
      </c>
      <c r="B1162" s="414"/>
      <c r="C1162" s="964">
        <f t="shared" si="2597"/>
      </c>
      <c r="D1162" s="964">
        <f t="shared" si="2597"/>
      </c>
      <c r="E1162" s="964">
        <f t="shared" si="2597"/>
      </c>
      <c r="F1162" s="964">
        <f t="shared" si="2597"/>
      </c>
      <c r="G1162" s="757"/>
      <c r="H1162" s="757"/>
      <c r="I1162" s="757"/>
      <c r="J1162" s="757"/>
      <c r="K1162" s="964">
        <f>+K1095</f>
      </c>
      <c r="L1162" s="757"/>
      <c r="M1162" s="757"/>
      <c r="N1162" s="757"/>
      <c r="O1162" s="757"/>
      <c r="P1162" s="964">
        <f>+P1095</f>
      </c>
      <c r="Q1162" s="757"/>
      <c r="R1162" s="757"/>
      <c r="S1162" s="757"/>
      <c r="T1162" s="757"/>
      <c r="U1162" s="964">
        <f>+U1095</f>
      </c>
      <c r="V1162" s="757"/>
      <c r="W1162" s="757"/>
      <c r="X1162" s="757"/>
      <c r="Y1162" s="757"/>
      <c r="Z1162" s="964">
        <f>+Z1095</f>
      </c>
      <c r="AA1162" s="757"/>
      <c r="AB1162" s="757"/>
      <c r="AC1162" s="757"/>
      <c r="AD1162" s="757"/>
      <c r="AE1162" s="964">
        <f>+AE1095</f>
      </c>
      <c r="AF1162" s="757"/>
      <c r="AG1162" s="757"/>
      <c r="AH1162" s="757"/>
      <c r="AI1162" s="757"/>
      <c r="AJ1162" s="964">
        <f>+AJ1095</f>
      </c>
      <c r="AK1162" s="757"/>
      <c r="AL1162" s="757"/>
      <c r="AM1162" s="757"/>
      <c r="AN1162" s="757"/>
      <c r="AO1162" s="964">
        <f>+AO1095</f>
      </c>
      <c r="AP1162" s="757"/>
      <c r="AQ1162" s="757"/>
      <c r="AR1162" s="757"/>
      <c r="AS1162" s="757"/>
      <c r="AT1162" s="964">
        <f>+AT1095</f>
      </c>
      <c r="AU1162" s="757"/>
      <c r="AV1162" s="757"/>
      <c r="AW1162" s="757"/>
      <c r="AX1162" s="757"/>
      <c r="AY1162" s="964">
        <f>+AY1095</f>
      </c>
      <c r="AZ1162" s="757"/>
      <c r="BA1162" s="757"/>
      <c r="BB1162" s="757"/>
      <c r="BC1162" s="757"/>
      <c r="BD1162" s="964">
        <f>+BD1095</f>
      </c>
      <c r="BE1162" s="757"/>
      <c r="BF1162" s="757"/>
      <c r="BG1162" s="757"/>
      <c r="BH1162" s="757"/>
      <c r="BI1162" s="964">
        <f>+BI1095</f>
      </c>
      <c r="BJ1162" s="757"/>
      <c r="BK1162" s="757"/>
      <c r="BL1162" s="757"/>
      <c r="BM1162" s="757"/>
      <c r="BN1162" s="964">
        <f>+BN1095</f>
      </c>
      <c r="BO1162" s="757"/>
      <c r="BP1162" s="757"/>
      <c r="BQ1162" s="757"/>
      <c r="BR1162" s="757"/>
      <c r="BS1162" s="964">
        <f>+BS1095</f>
      </c>
      <c r="BT1162" s="758"/>
      <c r="BU1162" s="757"/>
      <c r="BV1162" s="757"/>
      <c r="BW1162" s="757"/>
      <c r="BX1162" s="962"/>
      <c r="BY1162" s="757"/>
      <c r="BZ1162" s="757"/>
      <c r="CA1162" s="757"/>
      <c r="CB1162" s="757"/>
      <c r="CC1162" s="962"/>
      <c r="CD1162" s="962"/>
      <c r="CE1162" s="962"/>
      <c r="CF1162" s="962"/>
      <c r="CG1162" s="459"/>
    </row>
    <row r="1163" spans="1:85" x14ac:dyDescent="0.3">
      <c r="A1163" s="429"/>
      <c r="B1163" s="428"/>
      <c r="C1163" s="969"/>
      <c r="D1163" s="969"/>
      <c r="E1163" s="969"/>
      <c r="F1163" s="969"/>
      <c r="G1163" s="759"/>
      <c r="H1163" s="759"/>
      <c r="I1163" s="759"/>
      <c r="J1163" s="759"/>
      <c r="K1163" s="969"/>
      <c r="L1163" s="759"/>
      <c r="M1163" s="759"/>
      <c r="N1163" s="759"/>
      <c r="O1163" s="759"/>
      <c r="P1163" s="969"/>
      <c r="Q1163" s="759"/>
      <c r="R1163" s="759"/>
      <c r="S1163" s="759"/>
      <c r="T1163" s="759"/>
      <c r="U1163" s="969"/>
      <c r="V1163" s="759"/>
      <c r="W1163" s="759"/>
      <c r="X1163" s="759"/>
      <c r="Y1163" s="759"/>
      <c r="Z1163" s="969"/>
      <c r="AA1163" s="759"/>
      <c r="AB1163" s="759"/>
      <c r="AC1163" s="759"/>
      <c r="AD1163" s="759"/>
      <c r="AE1163" s="969"/>
      <c r="AF1163" s="759"/>
      <c r="AG1163" s="759"/>
      <c r="AH1163" s="759"/>
      <c r="AI1163" s="759"/>
      <c r="AJ1163" s="969"/>
      <c r="AK1163" s="759"/>
      <c r="AL1163" s="759"/>
      <c r="AM1163" s="759"/>
      <c r="AN1163" s="759"/>
      <c r="AO1163" s="969"/>
      <c r="AP1163" s="759"/>
      <c r="AQ1163" s="759"/>
      <c r="AR1163" s="759"/>
      <c r="AS1163" s="759"/>
      <c r="AT1163" s="969"/>
      <c r="AU1163" s="759"/>
      <c r="AV1163" s="759"/>
      <c r="AW1163" s="759"/>
      <c r="AX1163" s="759"/>
      <c r="AY1163" s="969"/>
      <c r="AZ1163" s="759"/>
      <c r="BA1163" s="759"/>
      <c r="BB1163" s="759"/>
      <c r="BC1163" s="759"/>
      <c r="BD1163" s="969"/>
      <c r="BE1163" s="759"/>
      <c r="BF1163" s="759"/>
      <c r="BG1163" s="759"/>
      <c r="BH1163" s="759"/>
      <c r="BI1163" s="969"/>
      <c r="BJ1163" s="759"/>
      <c r="BK1163" s="759"/>
      <c r="BL1163" s="759"/>
      <c r="BM1163" s="759"/>
      <c r="BN1163" s="969"/>
      <c r="BO1163" s="759"/>
      <c r="BP1163" s="759"/>
      <c r="BQ1163" s="759"/>
      <c r="BR1163" s="759"/>
      <c r="BS1163" s="969"/>
      <c r="BT1163" s="760"/>
      <c r="BU1163" s="759"/>
      <c r="BV1163" s="759"/>
      <c r="BW1163" s="759"/>
      <c r="BX1163" s="969"/>
      <c r="BY1163" s="759"/>
      <c r="BZ1163" s="759"/>
      <c r="CA1163" s="759"/>
      <c r="CB1163" s="759"/>
      <c r="CC1163" s="969"/>
      <c r="CD1163" s="969"/>
      <c r="CE1163" s="969"/>
      <c r="CF1163" s="969"/>
      <c r="CG1163" s="183"/>
    </row>
    <row r="1164" spans="1:85" x14ac:dyDescent="0.3">
      <c r="A1164" s="656" t="s">
        <v>177</v>
      </c>
      <c r="B1164" s="656"/>
      <c r="C1164" s="830">
        <f t="shared" ref="C1164:AE1164" si="2598">ROUND(C1159-C1198,6)</f>
      </c>
      <c r="D1164" s="830">
        <f t="shared" si="2598"/>
      </c>
      <c r="E1164" s="830">
        <f t="shared" si="2598"/>
      </c>
      <c r="F1164" s="830">
        <f t="shared" si="2598"/>
      </c>
      <c r="G1164" s="830">
        <f t="shared" si="2598"/>
      </c>
      <c r="H1164" s="830">
        <f t="shared" si="2598"/>
      </c>
      <c r="I1164" s="830">
        <f t="shared" si="2598"/>
      </c>
      <c r="J1164" s="830">
        <f t="shared" si="2598"/>
      </c>
      <c r="K1164" s="830">
        <f t="shared" si="2598"/>
      </c>
      <c r="L1164" s="830">
        <f t="shared" si="2598"/>
      </c>
      <c r="M1164" s="830">
        <f t="shared" si="2598"/>
      </c>
      <c r="N1164" s="830">
        <f t="shared" si="2598"/>
      </c>
      <c r="O1164" s="830">
        <f t="shared" si="2598"/>
      </c>
      <c r="P1164" s="830">
        <f t="shared" si="2598"/>
      </c>
      <c r="Q1164" s="830">
        <f t="shared" si="2598"/>
      </c>
      <c r="R1164" s="830">
        <f t="shared" si="2598"/>
      </c>
      <c r="S1164" s="830">
        <f t="shared" si="2598"/>
      </c>
      <c r="T1164" s="830">
        <f t="shared" si="2598"/>
      </c>
      <c r="U1164" s="830">
        <f t="shared" si="2598"/>
      </c>
      <c r="V1164" s="830">
        <f t="shared" si="2598"/>
      </c>
      <c r="W1164" s="830">
        <f t="shared" si="2598"/>
      </c>
      <c r="X1164" s="830">
        <f t="shared" si="2598"/>
      </c>
      <c r="Y1164" s="830">
        <f t="shared" si="2598"/>
      </c>
      <c r="Z1164" s="830">
        <f t="shared" si="2598"/>
      </c>
      <c r="AA1164" s="830">
        <f t="shared" si="2598"/>
      </c>
      <c r="AB1164" s="830">
        <f t="shared" si="2598"/>
      </c>
      <c r="AC1164" s="830">
        <f t="shared" si="2598"/>
      </c>
      <c r="AD1164" s="830">
        <f t="shared" si="2598"/>
      </c>
      <c r="AE1164" s="830">
        <f t="shared" si="2598"/>
      </c>
      <c r="AF1164" s="830">
        <f t="shared" ref="AF1164:AM1164" si="2599">ROUND(AF1159-AF1198-AF1219,6)</f>
      </c>
      <c r="AG1164" s="830">
        <f t="shared" si="2599"/>
      </c>
      <c r="AH1164" s="830">
        <f t="shared" si="2599"/>
      </c>
      <c r="AI1164" s="830">
        <f t="shared" si="2599"/>
      </c>
      <c r="AJ1164" s="830">
        <f t="shared" si="2599"/>
      </c>
      <c r="AK1164" s="830">
        <f t="shared" si="2599"/>
      </c>
      <c r="AL1164" s="830">
        <f t="shared" si="2599"/>
      </c>
      <c r="AM1164" s="830">
        <f t="shared" si="2599"/>
      </c>
      <c r="AN1164" s="830">
        <f t="shared" ref="AN1164:BG1164" si="2600">ROUND(AN1159-AN1198-AN1219-AN1205,6)</f>
      </c>
      <c r="AO1164" s="830">
        <f t="shared" si="2600"/>
      </c>
      <c r="AP1164" s="830">
        <f t="shared" si="2600"/>
      </c>
      <c r="AQ1164" s="830">
        <f t="shared" si="2600"/>
      </c>
      <c r="AR1164" s="830">
        <f t="shared" si="2600"/>
      </c>
      <c r="AS1164" s="830">
        <f t="shared" si="2600"/>
      </c>
      <c r="AT1164" s="830">
        <f t="shared" si="2600"/>
      </c>
      <c r="AU1164" s="830">
        <f t="shared" si="2600"/>
      </c>
      <c r="AV1164" s="830">
        <f t="shared" si="2600"/>
      </c>
      <c r="AW1164" s="830">
        <f t="shared" si="2600"/>
      </c>
      <c r="AX1164" s="830">
        <f t="shared" si="2600"/>
      </c>
      <c r="AY1164" s="830">
        <f t="shared" si="2600"/>
      </c>
      <c r="AZ1164" s="830">
        <f t="shared" si="2600"/>
      </c>
      <c r="BA1164" s="830">
        <f t="shared" si="2600"/>
      </c>
      <c r="BB1164" s="830">
        <f t="shared" si="2600"/>
      </c>
      <c r="BC1164" s="830">
        <f t="shared" si="2600"/>
      </c>
      <c r="BD1164" s="830">
        <f t="shared" si="2600"/>
      </c>
      <c r="BE1164" s="830">
        <f t="shared" si="2600"/>
      </c>
      <c r="BF1164" s="830">
        <f t="shared" si="2600"/>
      </c>
      <c r="BG1164" s="830">
        <f t="shared" si="2600"/>
      </c>
      <c r="BH1164" s="830">
        <f t="shared" ref="BH1164:BI1164" si="2601">ROUND(BH1159-BH1198-BH1219-BH1205,6)</f>
      </c>
      <c r="BI1164" s="830">
        <f t="shared" si="2601"/>
      </c>
      <c r="BJ1164" s="830">
        <f t="shared" ref="BJ1164:BX1164" si="2602">ROUND(BJ1159-BJ1198-BJ1219-BJ1205,6)</f>
      </c>
      <c r="BK1164" s="830">
        <f t="shared" si="2602"/>
      </c>
      <c r="BL1164" s="830">
        <f t="shared" si="2602"/>
      </c>
      <c r="BM1164" s="830">
        <f t="shared" si="2602"/>
      </c>
      <c r="BN1164" s="830">
        <f t="shared" si="2602"/>
      </c>
      <c r="BO1164" s="830">
        <f t="shared" ref="BO1164:BW1164" si="2603">ROUND(BO1159-BO1198-BO1219-BO1205,6)</f>
      </c>
      <c r="BP1164" s="830">
        <f t="shared" si="2603"/>
      </c>
      <c r="BQ1164" s="830">
        <f t="shared" si="2603"/>
      </c>
      <c r="BR1164" s="830">
        <f t="shared" si="2603"/>
      </c>
      <c r="BS1164" s="830">
        <f t="shared" si="2603"/>
      </c>
      <c r="BT1164" s="831">
        <f>ROUND(BT1159-BT1198-BT1219-BT1205,6)</f>
      </c>
      <c r="BU1164" s="830">
        <f t="shared" si="2603"/>
      </c>
      <c r="BV1164" s="830">
        <f t="shared" si="2603"/>
      </c>
      <c r="BW1164" s="830">
        <f t="shared" si="2603"/>
      </c>
      <c r="BX1164" s="830">
        <f t="shared" si="2602"/>
      </c>
      <c r="BY1164" s="830">
        <f t="shared" ref="BY1164:CF1164" si="2604">ROUND(BY1159-BY1198-BY1219-BY1205,6)</f>
      </c>
      <c r="BZ1164" s="830">
        <f t="shared" si="2604"/>
      </c>
      <c r="CA1164" s="830">
        <f t="shared" si="2604"/>
      </c>
      <c r="CB1164" s="830">
        <f t="shared" si="2604"/>
      </c>
      <c r="CC1164" s="830">
        <f t="shared" si="2604"/>
      </c>
      <c r="CD1164" s="830">
        <f t="shared" si="2604"/>
      </c>
      <c r="CE1164" s="830">
        <f t="shared" si="2604"/>
      </c>
      <c r="CF1164" s="830">
        <f t="shared" si="2604"/>
      </c>
      <c r="CG1164" s="459"/>
    </row>
    <row r="1165" spans="1:85" x14ac:dyDescent="0.3">
      <c r="A1165" s="429"/>
      <c r="B1165" s="428"/>
      <c r="C1165" s="969"/>
      <c r="D1165" s="969"/>
      <c r="E1165" s="969"/>
      <c r="F1165" s="969"/>
      <c r="G1165" s="759"/>
      <c r="H1165" s="759"/>
      <c r="I1165" s="759"/>
      <c r="J1165" s="759"/>
      <c r="K1165" s="969"/>
      <c r="L1165" s="759"/>
      <c r="M1165" s="759"/>
      <c r="N1165" s="759"/>
      <c r="O1165" s="759"/>
      <c r="P1165" s="969"/>
      <c r="Q1165" s="759"/>
      <c r="R1165" s="759"/>
      <c r="S1165" s="759"/>
      <c r="T1165" s="759"/>
      <c r="U1165" s="969"/>
      <c r="V1165" s="759"/>
      <c r="W1165" s="759"/>
      <c r="X1165" s="759"/>
      <c r="Y1165" s="759"/>
      <c r="Z1165" s="969"/>
      <c r="AA1165" s="759"/>
      <c r="AB1165" s="759"/>
      <c r="AC1165" s="759"/>
      <c r="AD1165" s="759"/>
      <c r="AE1165" s="969"/>
      <c r="AF1165" s="759"/>
      <c r="AG1165" s="759"/>
      <c r="AH1165" s="759"/>
      <c r="AI1165" s="759"/>
      <c r="AJ1165" s="969"/>
      <c r="AK1165" s="759"/>
      <c r="AL1165" s="759"/>
      <c r="AM1165" s="759"/>
      <c r="AN1165" s="759"/>
      <c r="AO1165" s="969"/>
      <c r="AP1165" s="759"/>
      <c r="AQ1165" s="759"/>
      <c r="AR1165" s="759"/>
      <c r="AS1165" s="759"/>
      <c r="AT1165" s="969"/>
      <c r="AU1165" s="759"/>
      <c r="AV1165" s="759"/>
      <c r="AW1165" s="759"/>
      <c r="AX1165" s="759"/>
      <c r="AY1165" s="969"/>
      <c r="AZ1165" s="759"/>
      <c r="BA1165" s="759"/>
      <c r="BB1165" s="759"/>
      <c r="BC1165" s="759"/>
      <c r="BD1165" s="969"/>
      <c r="BE1165" s="759"/>
      <c r="BF1165" s="759"/>
      <c r="BG1165" s="759"/>
      <c r="BH1165" s="759"/>
      <c r="BI1165" s="969"/>
      <c r="BJ1165" s="759"/>
      <c r="BK1165" s="759"/>
      <c r="BL1165" s="759"/>
      <c r="BM1165" s="759"/>
      <c r="BN1165" s="969"/>
      <c r="BO1165" s="759"/>
      <c r="BP1165" s="759"/>
      <c r="BQ1165" s="759"/>
      <c r="BR1165" s="759"/>
      <c r="BS1165" s="969"/>
      <c r="BT1165" s="760"/>
      <c r="BU1165" s="759"/>
      <c r="BV1165" s="759"/>
      <c r="BW1165" s="759"/>
      <c r="BX1165" s="969"/>
      <c r="BY1165" s="759"/>
      <c r="BZ1165" s="759"/>
      <c r="CA1165" s="759"/>
      <c r="CB1165" s="759"/>
      <c r="CC1165" s="969"/>
      <c r="CD1165" s="969"/>
      <c r="CE1165" s="969"/>
      <c r="CF1165" s="969"/>
      <c r="CG1165" s="183"/>
    </row>
    <row r="1166" spans="1:85" x14ac:dyDescent="0.3">
      <c r="A1166" s="412" t="s">
        <v>482</v>
      </c>
      <c r="B1166" s="136"/>
      <c r="C1166" s="824"/>
      <c r="D1166" s="824"/>
      <c r="E1166" s="824"/>
      <c r="F1166" s="824"/>
      <c r="G1166" s="824"/>
      <c r="H1166" s="824"/>
      <c r="I1166" s="824"/>
      <c r="J1166" s="824"/>
      <c r="K1166" s="824"/>
      <c r="L1166" s="824"/>
      <c r="M1166" s="824"/>
      <c r="N1166" s="824"/>
      <c r="O1166" s="824"/>
      <c r="P1166" s="824"/>
      <c r="Q1166" s="824"/>
      <c r="R1166" s="824"/>
      <c r="S1166" s="824"/>
      <c r="T1166" s="824"/>
      <c r="U1166" s="824"/>
      <c r="V1166" s="824"/>
      <c r="W1166" s="824"/>
      <c r="X1166" s="824"/>
      <c r="Y1166" s="824"/>
      <c r="Z1166" s="824"/>
      <c r="AA1166" s="824"/>
      <c r="AB1166" s="824"/>
      <c r="AC1166" s="824"/>
      <c r="AD1166" s="824"/>
      <c r="AE1166" s="824"/>
      <c r="AF1166" s="824"/>
      <c r="AG1166" s="824"/>
      <c r="AH1166" s="824"/>
      <c r="AI1166" s="824"/>
      <c r="AJ1166" s="824"/>
      <c r="AK1166" s="824"/>
      <c r="AL1166" s="824"/>
      <c r="AM1166" s="824"/>
      <c r="AN1166" s="824"/>
      <c r="AO1166" s="824"/>
      <c r="AP1166" s="824"/>
      <c r="AQ1166" s="824"/>
      <c r="AR1166" s="824"/>
      <c r="AS1166" s="824"/>
      <c r="AT1166" s="824"/>
      <c r="AU1166" s="824"/>
      <c r="AV1166" s="824"/>
      <c r="AW1166" s="824"/>
      <c r="AX1166" s="824"/>
      <c r="AY1166" s="824"/>
      <c r="AZ1166" s="824"/>
      <c r="BA1166" s="824"/>
      <c r="BB1166" s="824"/>
      <c r="BC1166" s="824"/>
      <c r="BD1166" s="824"/>
      <c r="BE1166" s="824"/>
      <c r="BF1166" s="824"/>
      <c r="BG1166" s="824"/>
      <c r="BH1166" s="824"/>
      <c r="BI1166" s="824"/>
      <c r="BJ1166" s="824"/>
      <c r="BK1166" s="824"/>
      <c r="BL1166" s="824"/>
      <c r="BM1166" s="824"/>
      <c r="BN1166" s="824"/>
      <c r="BO1166" s="824"/>
      <c r="BP1166" s="824"/>
      <c r="BQ1166" s="824"/>
      <c r="BR1166" s="824"/>
      <c r="BS1166" s="824"/>
      <c r="BT1166" s="825"/>
      <c r="BU1166" s="824"/>
      <c r="BV1166" s="824"/>
      <c r="BW1166" s="824"/>
      <c r="BX1166" s="824"/>
      <c r="BY1166" s="824"/>
      <c r="BZ1166" s="824"/>
      <c r="CA1166" s="824"/>
      <c r="CB1166" s="824"/>
      <c r="CC1166" s="824"/>
      <c r="CD1166" s="824"/>
      <c r="CE1166" s="824"/>
      <c r="CF1166" s="824"/>
      <c r="CG1166" s="183"/>
    </row>
    <row r="1167" spans="1:85" x14ac:dyDescent="0.3">
      <c r="A1167" s="4" t="s">
        <v>484</v>
      </c>
      <c r="B1167" s="428"/>
      <c r="C1167" s="940"/>
      <c r="D1167" s="1078">
        <f t="shared" ref="D1167:J1167" si="2605">C1171</f>
      </c>
      <c r="E1167" s="1078">
        <f t="shared" si="2605"/>
      </c>
      <c r="F1167" s="1078">
        <f t="shared" si="2605"/>
      </c>
      <c r="G1167" s="823">
        <f t="shared" si="2605"/>
      </c>
      <c r="H1167" s="823">
        <f t="shared" si="2605"/>
      </c>
      <c r="I1167" s="823">
        <f t="shared" si="2605"/>
      </c>
      <c r="J1167" s="823">
        <f t="shared" si="2605"/>
      </c>
      <c r="K1167" s="1078">
        <f>F1171</f>
      </c>
      <c r="L1167" s="823">
        <f>K1171</f>
      </c>
      <c r="M1167" s="823">
        <f>L1171</f>
      </c>
      <c r="N1167" s="823">
        <f>M1171</f>
      </c>
      <c r="O1167" s="823">
        <f>N1171</f>
      </c>
      <c r="P1167" s="1078">
        <f>K1171</f>
      </c>
      <c r="Q1167" s="823">
        <f>P1171</f>
      </c>
      <c r="R1167" s="823">
        <f>Q1171</f>
      </c>
      <c r="S1167" s="823">
        <f>R1171</f>
      </c>
      <c r="T1167" s="823">
        <f>S1171</f>
      </c>
      <c r="U1167" s="1078">
        <f>P1171</f>
      </c>
      <c r="V1167" s="823">
        <f>U1171</f>
      </c>
      <c r="W1167" s="823">
        <f>V1171</f>
      </c>
      <c r="X1167" s="823">
        <f>W1171</f>
      </c>
      <c r="Y1167" s="823">
        <f>X1171</f>
      </c>
      <c r="Z1167" s="1078">
        <f>U1171</f>
      </c>
      <c r="AA1167" s="823">
        <f>Z1171</f>
      </c>
      <c r="AB1167" s="823">
        <f>AA1171</f>
      </c>
      <c r="AC1167" s="823">
        <f>AB1171</f>
      </c>
      <c r="AD1167" s="823">
        <f>AC1171</f>
      </c>
      <c r="AE1167" s="1078">
        <f>Z1171</f>
      </c>
      <c r="AF1167" s="823">
        <f>AE1171</f>
      </c>
      <c r="AG1167" s="823">
        <f>AF1171</f>
      </c>
      <c r="AH1167" s="823">
        <f>AG1171</f>
      </c>
      <c r="AI1167" s="823">
        <f>AH1171</f>
      </c>
      <c r="AJ1167" s="1078">
        <f>AE1171</f>
      </c>
      <c r="AK1167" s="823">
        <f>AJ1171</f>
      </c>
      <c r="AL1167" s="823">
        <f>AK1171</f>
      </c>
      <c r="AM1167" s="823">
        <f>AL1171</f>
      </c>
      <c r="AN1167" s="823">
        <f>AM1171</f>
      </c>
      <c r="AO1167" s="1078">
        <f>AJ1171</f>
      </c>
      <c r="AP1167" s="823">
        <f>AO1171</f>
      </c>
      <c r="AQ1167" s="823">
        <f>AP1171</f>
      </c>
      <c r="AR1167" s="823">
        <f>AQ1171</f>
      </c>
      <c r="AS1167" s="823">
        <f>AR1171</f>
      </c>
      <c r="AT1167" s="1078">
        <f>AO1171</f>
      </c>
      <c r="AU1167" s="823">
        <f>AT1171</f>
      </c>
      <c r="AV1167" s="823">
        <f>AU1171</f>
      </c>
      <c r="AW1167" s="823">
        <f>AV1171</f>
      </c>
      <c r="AX1167" s="823">
        <f>AW1171</f>
      </c>
      <c r="AY1167" s="1078">
        <f>AT1171</f>
      </c>
      <c r="AZ1167" s="823">
        <f>AY1171</f>
      </c>
      <c r="BA1167" s="778">
        <f>AZ1171</f>
      </c>
      <c r="BB1167" s="823">
        <f>BA1171</f>
      </c>
      <c r="BC1167" s="823">
        <f>BB1171</f>
      </c>
      <c r="BD1167" s="1078">
        <f>AY1171</f>
      </c>
      <c r="BE1167" s="823">
        <f>BD1171</f>
      </c>
      <c r="BF1167" s="778">
        <f>BE1171</f>
      </c>
      <c r="BG1167" s="823">
        <f>BF1171</f>
      </c>
      <c r="BH1167" s="823">
        <f>BG1171</f>
      </c>
      <c r="BI1167" s="1078">
        <f>BD1171</f>
      </c>
      <c r="BJ1167" s="823">
        <f>BI1171</f>
      </c>
      <c r="BK1167" s="778">
        <f>BJ1171</f>
      </c>
      <c r="BL1167" s="823">
        <f>BK1171</f>
      </c>
      <c r="BM1167" s="823">
        <f>BL1171</f>
      </c>
      <c r="BN1167" s="1078">
        <f>BI1171</f>
      </c>
      <c r="BO1167" s="823">
        <f>BN1171</f>
      </c>
      <c r="BP1167" s="778">
        <f>BO1171</f>
      </c>
      <c r="BQ1167" s="823">
        <f>BP1171</f>
      </c>
      <c r="BR1167" s="823">
        <f>BQ1171</f>
      </c>
      <c r="BS1167" s="1078">
        <f>BN1171</f>
      </c>
      <c r="BT1167" s="826">
        <f>BS1171</f>
      </c>
      <c r="BU1167" s="778">
        <f>BT1171</f>
      </c>
      <c r="BV1167" s="778">
        <f>BU1171</f>
      </c>
      <c r="BW1167" s="778">
        <f>BV1171</f>
      </c>
      <c r="BX1167" s="940">
        <f>BS1171</f>
      </c>
      <c r="BY1167" s="778">
        <f>BX1171</f>
      </c>
      <c r="BZ1167" s="778">
        <f>BY1171</f>
      </c>
      <c r="CA1167" s="778">
        <f>BZ1171</f>
      </c>
      <c r="CB1167" s="778">
        <f>CA1171</f>
      </c>
      <c r="CC1167" s="940">
        <f>BX1171</f>
      </c>
      <c r="CD1167" s="940">
        <f>CC1171</f>
      </c>
      <c r="CE1167" s="940">
        <f>CD1171</f>
      </c>
      <c r="CF1167" s="940">
        <f>CE1171</f>
      </c>
      <c r="CG1167" s="183"/>
    </row>
    <row r="1168" spans="1:85" x14ac:dyDescent="0.3">
      <c r="A1168" s="182" t="s">
        <v>485</v>
      </c>
      <c r="B1168" s="414"/>
      <c r="C1168" s="943"/>
      <c r="D1168" s="945">
        <f t="shared" ref="D1168:AI1168" si="2606">-D477</f>
      </c>
      <c r="E1168" s="945">
        <f t="shared" si="2606"/>
      </c>
      <c r="F1168" s="945">
        <f t="shared" si="2606"/>
      </c>
      <c r="G1168" s="782">
        <f t="shared" si="2606"/>
      </c>
      <c r="H1168" s="782">
        <f t="shared" si="2606"/>
      </c>
      <c r="I1168" s="782">
        <f t="shared" si="2606"/>
      </c>
      <c r="J1168" s="782">
        <f t="shared" si="2606"/>
      </c>
      <c r="K1168" s="945">
        <f t="shared" si="2606"/>
      </c>
      <c r="L1168" s="782">
        <f t="shared" si="2606"/>
      </c>
      <c r="M1168" s="782">
        <f t="shared" si="2606"/>
      </c>
      <c r="N1168" s="782">
        <f t="shared" si="2606"/>
      </c>
      <c r="O1168" s="782">
        <f t="shared" si="2606"/>
      </c>
      <c r="P1168" s="945">
        <f t="shared" si="2606"/>
      </c>
      <c r="Q1168" s="782">
        <f t="shared" si="2606"/>
      </c>
      <c r="R1168" s="782">
        <f t="shared" si="2606"/>
      </c>
      <c r="S1168" s="782">
        <f t="shared" si="2606"/>
      </c>
      <c r="T1168" s="782">
        <f t="shared" si="2606"/>
      </c>
      <c r="U1168" s="945">
        <f t="shared" si="2606"/>
      </c>
      <c r="V1168" s="782">
        <f t="shared" si="2606"/>
      </c>
      <c r="W1168" s="782">
        <f t="shared" si="2606"/>
      </c>
      <c r="X1168" s="782">
        <f t="shared" si="2606"/>
      </c>
      <c r="Y1168" s="782">
        <f t="shared" si="2606"/>
      </c>
      <c r="Z1168" s="945">
        <f t="shared" si="2606"/>
      </c>
      <c r="AA1168" s="782">
        <f t="shared" si="2606"/>
      </c>
      <c r="AB1168" s="782">
        <f t="shared" si="2606"/>
      </c>
      <c r="AC1168" s="782">
        <f t="shared" si="2606"/>
      </c>
      <c r="AD1168" s="782">
        <f t="shared" si="2606"/>
      </c>
      <c r="AE1168" s="945">
        <f t="shared" si="2606"/>
      </c>
      <c r="AF1168" s="782">
        <f t="shared" si="2606"/>
      </c>
      <c r="AG1168" s="782">
        <f t="shared" si="2606"/>
      </c>
      <c r="AH1168" s="782">
        <f t="shared" si="2606"/>
      </c>
      <c r="AI1168" s="782">
        <f t="shared" si="2606"/>
      </c>
      <c r="AJ1168" s="945">
        <f t="shared" ref="AJ1168:BJ1168" si="2607">-AJ477</f>
      </c>
      <c r="AK1168" s="782">
        <f t="shared" si="2607"/>
      </c>
      <c r="AL1168" s="782">
        <f t="shared" si="2607"/>
      </c>
      <c r="AM1168" s="782">
        <f t="shared" si="2607"/>
      </c>
      <c r="AN1168" s="782">
        <f t="shared" si="2607"/>
      </c>
      <c r="AO1168" s="945">
        <f t="shared" si="2607"/>
      </c>
      <c r="AP1168" s="782">
        <f t="shared" si="2607"/>
      </c>
      <c r="AQ1168" s="782">
        <f t="shared" si="2607"/>
      </c>
      <c r="AR1168" s="782">
        <f t="shared" si="2607"/>
      </c>
      <c r="AS1168" s="782">
        <f t="shared" si="2607"/>
      </c>
      <c r="AT1168" s="945">
        <f t="shared" si="2607"/>
      </c>
      <c r="AU1168" s="782">
        <f t="shared" si="2607"/>
      </c>
      <c r="AV1168" s="782">
        <f t="shared" si="2607"/>
      </c>
      <c r="AW1168" s="782">
        <f t="shared" si="2607"/>
      </c>
      <c r="AX1168" s="782">
        <f t="shared" si="2607"/>
      </c>
      <c r="AY1168" s="945">
        <f t="shared" si="2607"/>
      </c>
      <c r="AZ1168" s="782">
        <f t="shared" si="2607"/>
      </c>
      <c r="BA1168" s="753">
        <f t="shared" si="2607"/>
      </c>
      <c r="BB1168" s="782">
        <f t="shared" si="2607"/>
      </c>
      <c r="BC1168" s="782">
        <f t="shared" si="2607"/>
      </c>
      <c r="BD1168" s="945">
        <f t="shared" si="2607"/>
      </c>
      <c r="BE1168" s="782">
        <f t="shared" si="2607"/>
      </c>
      <c r="BF1168" s="753">
        <f t="shared" si="2607"/>
      </c>
      <c r="BG1168" s="782">
        <f t="shared" si="2607"/>
      </c>
      <c r="BH1168" s="782">
        <f t="shared" si="2607"/>
      </c>
      <c r="BI1168" s="945">
        <f t="shared" si="2607"/>
      </c>
      <c r="BJ1168" s="782">
        <f t="shared" si="2607"/>
      </c>
      <c r="BK1168" s="753">
        <f t="shared" ref="BK1168:BP1168" si="2608">-BK477</f>
      </c>
      <c r="BL1168" s="782">
        <f t="shared" si="2608"/>
      </c>
      <c r="BM1168" s="782">
        <f t="shared" si="2608"/>
      </c>
      <c r="BN1168" s="945">
        <f t="shared" si="2608"/>
      </c>
      <c r="BO1168" s="782">
        <f t="shared" si="2608"/>
      </c>
      <c r="BP1168" s="753">
        <f t="shared" si="2608"/>
      </c>
      <c r="BQ1168" s="782">
        <f>-BQ477</f>
      </c>
      <c r="BR1168" s="782">
        <f>-BR477</f>
      </c>
      <c r="BS1168" s="945">
        <f>-BS477</f>
      </c>
      <c r="BT1168" s="783">
        <f>-BT477</f>
      </c>
      <c r="BU1168" s="753">
        <f>-BU1167*BU1179*BU3/BX3</f>
      </c>
      <c r="BV1168" s="753">
        <f>-BV1167*BV1179*BV3/BX3</f>
      </c>
      <c r="BW1168" s="753">
        <f>-BW1167*BW1179*BW3/BX3</f>
      </c>
      <c r="BX1168" s="943">
        <f>IF(OR(ISBLANK(BT1168),ISBLANK(BU1168),ISBLANK(BV1168),ISBLANK(BW1168)),"n/a",SUM(BT1168,BU1168,BV1168,BW1168))</f>
      </c>
      <c r="BY1168" s="753">
        <f>-BY1167*BY1179*BY3/CC3</f>
      </c>
      <c r="BZ1168" s="753">
        <f>-BZ1167*BZ1179*BZ3/CC3</f>
      </c>
      <c r="CA1168" s="753">
        <f>-CA1167*CA1179*CA3/CC3</f>
      </c>
      <c r="CB1168" s="753">
        <f>-CB1167*CB1179*CB3/CC3</f>
      </c>
      <c r="CC1168" s="943">
        <f>IF(OR(ISBLANK(BY1168),ISBLANK(BZ1168),ISBLANK(CA1168),ISBLANK(CB1168)),"n/a",SUM(BY1168,BZ1168,CA1168,CB1168))</f>
      </c>
      <c r="CD1168" s="943">
        <f>-CD1167*CD1179</f>
      </c>
      <c r="CE1168" s="943">
        <f>-CE1167*CE1179</f>
      </c>
      <c r="CF1168" s="943">
        <f>-CF1167*CF1179</f>
      </c>
      <c r="CG1168" s="183"/>
    </row>
    <row r="1169" spans="1:85" x14ac:dyDescent="0.3">
      <c r="A1169" s="182" t="s">
        <v>487</v>
      </c>
      <c r="B1169" s="414"/>
      <c r="C1169" s="943"/>
      <c r="D1169" s="945">
        <f t="shared" ref="D1169:BJ1169" si="2609">-D1125</f>
      </c>
      <c r="E1169" s="945">
        <f t="shared" si="2609"/>
      </c>
      <c r="F1169" s="945">
        <f t="shared" si="2609"/>
      </c>
      <c r="G1169" s="782">
        <f t="shared" si="2609"/>
      </c>
      <c r="H1169" s="782">
        <f t="shared" si="2609"/>
      </c>
      <c r="I1169" s="782">
        <f t="shared" si="2609"/>
      </c>
      <c r="J1169" s="782">
        <f t="shared" si="2609"/>
      </c>
      <c r="K1169" s="945">
        <f t="shared" si="2609"/>
      </c>
      <c r="L1169" s="782">
        <f t="shared" si="2609"/>
      </c>
      <c r="M1169" s="782">
        <f t="shared" si="2609"/>
      </c>
      <c r="N1169" s="782">
        <f t="shared" si="2609"/>
      </c>
      <c r="O1169" s="782">
        <f t="shared" si="2609"/>
      </c>
      <c r="P1169" s="945">
        <f t="shared" si="2609"/>
      </c>
      <c r="Q1169" s="782">
        <f t="shared" si="2609"/>
      </c>
      <c r="R1169" s="782">
        <f t="shared" si="2609"/>
      </c>
      <c r="S1169" s="782">
        <f t="shared" si="2609"/>
      </c>
      <c r="T1169" s="782">
        <f t="shared" si="2609"/>
      </c>
      <c r="U1169" s="945">
        <f t="shared" si="2609"/>
      </c>
      <c r="V1169" s="782">
        <f t="shared" si="2609"/>
      </c>
      <c r="W1169" s="782">
        <f t="shared" si="2609"/>
      </c>
      <c r="X1169" s="782">
        <f t="shared" si="2609"/>
      </c>
      <c r="Y1169" s="782">
        <f t="shared" si="2609"/>
      </c>
      <c r="Z1169" s="945">
        <f t="shared" si="2609"/>
      </c>
      <c r="AA1169" s="782">
        <f t="shared" si="2609"/>
      </c>
      <c r="AB1169" s="782">
        <f t="shared" si="2609"/>
      </c>
      <c r="AC1169" s="782">
        <f t="shared" si="2609"/>
      </c>
      <c r="AD1169" s="782">
        <f t="shared" si="2609"/>
      </c>
      <c r="AE1169" s="945">
        <f t="shared" si="2609"/>
      </c>
      <c r="AF1169" s="782">
        <f t="shared" si="2609"/>
      </c>
      <c r="AG1169" s="782">
        <f t="shared" si="2609"/>
      </c>
      <c r="AH1169" s="782">
        <f t="shared" si="2609"/>
      </c>
      <c r="AI1169" s="782">
        <f t="shared" si="2609"/>
      </c>
      <c r="AJ1169" s="945">
        <f t="shared" si="2609"/>
      </c>
      <c r="AK1169" s="782">
        <f t="shared" si="2609"/>
      </c>
      <c r="AL1169" s="782">
        <f t="shared" si="2609"/>
      </c>
      <c r="AM1169" s="782">
        <f t="shared" si="2609"/>
      </c>
      <c r="AN1169" s="782">
        <f t="shared" si="2609"/>
      </c>
      <c r="AO1169" s="945">
        <f t="shared" si="2609"/>
      </c>
      <c r="AP1169" s="782">
        <f t="shared" si="2609"/>
      </c>
      <c r="AQ1169" s="782">
        <f t="shared" si="2609"/>
      </c>
      <c r="AR1169" s="782">
        <f t="shared" si="2609"/>
      </c>
      <c r="AS1169" s="782">
        <f t="shared" si="2609"/>
      </c>
      <c r="AT1169" s="945">
        <f t="shared" si="2609"/>
      </c>
      <c r="AU1169" s="782">
        <f t="shared" si="2609"/>
      </c>
      <c r="AV1169" s="782">
        <f t="shared" si="2609"/>
      </c>
      <c r="AW1169" s="782">
        <f t="shared" si="2609"/>
      </c>
      <c r="AX1169" s="782">
        <f t="shared" si="2609"/>
      </c>
      <c r="AY1169" s="945">
        <f t="shared" si="2609"/>
      </c>
      <c r="AZ1169" s="782">
        <f t="shared" si="2609"/>
      </c>
      <c r="BA1169" s="753">
        <f t="shared" si="2609"/>
      </c>
      <c r="BB1169" s="782">
        <f t="shared" si="2609"/>
      </c>
      <c r="BC1169" s="782">
        <f t="shared" si="2609"/>
      </c>
      <c r="BD1169" s="945">
        <f t="shared" si="2609"/>
      </c>
      <c r="BE1169" s="782">
        <f t="shared" si="2609"/>
      </c>
      <c r="BF1169" s="753">
        <f t="shared" si="2609"/>
      </c>
      <c r="BG1169" s="782">
        <f t="shared" si="2609"/>
      </c>
      <c r="BH1169" s="782">
        <f t="shared" si="2609"/>
      </c>
      <c r="BI1169" s="945">
        <f t="shared" si="2609"/>
      </c>
      <c r="BJ1169" s="782">
        <f t="shared" si="2609"/>
      </c>
      <c r="BK1169" s="753">
        <f t="shared" ref="BK1169:BP1169" si="2610">-BK1125</f>
      </c>
      <c r="BL1169" s="782">
        <f t="shared" si="2610"/>
      </c>
      <c r="BM1169" s="782">
        <f t="shared" si="2610"/>
      </c>
      <c r="BN1169" s="945">
        <f t="shared" si="2610"/>
      </c>
      <c r="BO1169" s="782">
        <f t="shared" si="2610"/>
      </c>
      <c r="BP1169" s="753">
        <f t="shared" si="2610"/>
      </c>
      <c r="BQ1169" s="782">
        <f>-BQ1125</f>
      </c>
      <c r="BR1169" s="782">
        <f>-BR1125</f>
      </c>
      <c r="BS1169" s="945">
        <f>-BS1125</f>
      </c>
      <c r="BT1169" s="783">
        <f>-BT1125</f>
      </c>
      <c r="BU1169" s="753">
        <f>BU1185</f>
      </c>
      <c r="BV1169" s="753">
        <f>BV1185</f>
      </c>
      <c r="BW1169" s="753">
        <f>BW1185</f>
      </c>
      <c r="BX1169" s="943">
        <f>IF(OR(ISBLANK(BT1169),ISBLANK(BU1169),ISBLANK(BV1169),ISBLANK(BW1169)),"n/a",SUM(BT1169,BU1169,BV1169,BW1169))</f>
      </c>
      <c r="BY1169" s="753">
        <f>BY1185</f>
      </c>
      <c r="BZ1169" s="753">
        <f>BZ1185</f>
      </c>
      <c r="CA1169" s="753">
        <f>CA1185</f>
      </c>
      <c r="CB1169" s="753">
        <f>CB1185</f>
      </c>
      <c r="CC1169" s="943">
        <f>IF(OR(ISBLANK(BY1169),ISBLANK(BZ1169),ISBLANK(CA1169),ISBLANK(CB1169)),"n/a",SUM(BY1169,BZ1169,CA1169,CB1169))</f>
      </c>
      <c r="CD1169" s="943">
        <f>CD1185</f>
      </c>
      <c r="CE1169" s="943">
        <f>CE1185</f>
      </c>
      <c r="CF1169" s="943">
        <f>CF1185</f>
      </c>
      <c r="CG1169" s="183"/>
    </row>
    <row r="1170" spans="1:85" x14ac:dyDescent="0.3">
      <c r="A1170" s="182" t="s">
        <v>488</v>
      </c>
      <c r="B1170" s="414"/>
      <c r="C1170" s="943"/>
      <c r="D1170" s="945">
        <f t="shared" ref="D1170:AQ1170" si="2611">ROUND(D1171-D1167-D1168-D1169,6)</f>
      </c>
      <c r="E1170" s="945">
        <f t="shared" si="2611"/>
      </c>
      <c r="F1170" s="945">
        <f t="shared" si="2611"/>
      </c>
      <c r="G1170" s="782">
        <f t="shared" si="2611"/>
      </c>
      <c r="H1170" s="782">
        <f t="shared" si="2611"/>
      </c>
      <c r="I1170" s="782">
        <f t="shared" si="2611"/>
      </c>
      <c r="J1170" s="782">
        <f t="shared" si="2611"/>
      </c>
      <c r="K1170" s="945">
        <f t="shared" si="2611"/>
      </c>
      <c r="L1170" s="782">
        <f t="shared" si="2611"/>
      </c>
      <c r="M1170" s="782">
        <f t="shared" si="2611"/>
      </c>
      <c r="N1170" s="782">
        <f t="shared" si="2611"/>
      </c>
      <c r="O1170" s="782">
        <f t="shared" si="2611"/>
      </c>
      <c r="P1170" s="945">
        <f t="shared" si="2611"/>
      </c>
      <c r="Q1170" s="782">
        <f t="shared" si="2611"/>
      </c>
      <c r="R1170" s="782">
        <f t="shared" si="2611"/>
      </c>
      <c r="S1170" s="782">
        <f t="shared" si="2611"/>
      </c>
      <c r="T1170" s="782">
        <f t="shared" si="2611"/>
      </c>
      <c r="U1170" s="945">
        <f t="shared" si="2611"/>
      </c>
      <c r="V1170" s="782">
        <f t="shared" si="2611"/>
      </c>
      <c r="W1170" s="782">
        <f t="shared" si="2611"/>
      </c>
      <c r="X1170" s="782">
        <f t="shared" si="2611"/>
      </c>
      <c r="Y1170" s="782">
        <f t="shared" si="2611"/>
      </c>
      <c r="Z1170" s="945">
        <f t="shared" si="2611"/>
      </c>
      <c r="AA1170" s="782">
        <f t="shared" si="2611"/>
      </c>
      <c r="AB1170" s="782">
        <f t="shared" si="2611"/>
      </c>
      <c r="AC1170" s="782">
        <f t="shared" si="2611"/>
      </c>
      <c r="AD1170" s="782">
        <f t="shared" si="2611"/>
      </c>
      <c r="AE1170" s="945">
        <f t="shared" si="2611"/>
      </c>
      <c r="AF1170" s="782">
        <f t="shared" si="2611"/>
      </c>
      <c r="AG1170" s="782">
        <f t="shared" si="2611"/>
      </c>
      <c r="AH1170" s="782">
        <f t="shared" si="2611"/>
      </c>
      <c r="AI1170" s="782">
        <f t="shared" si="2611"/>
      </c>
      <c r="AJ1170" s="945">
        <f t="shared" si="2611"/>
      </c>
      <c r="AK1170" s="782">
        <f t="shared" si="2611"/>
      </c>
      <c r="AL1170" s="782">
        <f t="shared" si="2611"/>
      </c>
      <c r="AM1170" s="782">
        <f t="shared" si="2611"/>
      </c>
      <c r="AN1170" s="782">
        <f t="shared" si="2611"/>
      </c>
      <c r="AO1170" s="945">
        <f t="shared" si="2611"/>
      </c>
      <c r="AP1170" s="782">
        <f t="shared" si="2611"/>
      </c>
      <c r="AQ1170" s="782">
        <f t="shared" si="2611"/>
      </c>
      <c r="AR1170" s="782">
        <f t="shared" ref="AR1170:AU1170" si="2612">ROUND(AR1171-AR1167-AR1168-AR1169,6)</f>
      </c>
      <c r="AS1170" s="782">
        <f t="shared" si="2612"/>
      </c>
      <c r="AT1170" s="945">
        <f t="shared" si="2612"/>
      </c>
      <c r="AU1170" s="782">
        <f t="shared" si="2612"/>
      </c>
      <c r="AV1170" s="782">
        <f t="shared" ref="AV1170:AY1170" si="2613">ROUND(AV1171-AV1167-AV1168-AV1169,6)</f>
      </c>
      <c r="AW1170" s="782">
        <f t="shared" si="2613"/>
      </c>
      <c r="AX1170" s="782">
        <f t="shared" si="2613"/>
      </c>
      <c r="AY1170" s="945">
        <f t="shared" si="2613"/>
      </c>
      <c r="AZ1170" s="782">
        <f>ROUND(AZ1171-AZ1167-AZ1168-AZ1169,6)</f>
      </c>
      <c r="BA1170" s="753">
        <f t="shared" ref="BA1170" si="2614">ROUND(BA1171-BA1167-BA1168-BA1169,6)</f>
      </c>
      <c r="BB1170" s="782">
        <f t="shared" ref="BB1170:BD1170" si="2615">ROUND(BB1171-BB1167-BB1168-BB1169,6)</f>
      </c>
      <c r="BC1170" s="782">
        <f t="shared" si="2615"/>
      </c>
      <c r="BD1170" s="945">
        <f t="shared" si="2615"/>
      </c>
      <c r="BE1170" s="782">
        <f t="shared" ref="BE1170:BI1170" si="2616">ROUND(BE1171-BE1167-BE1168-BE1169,6)</f>
      </c>
      <c r="BF1170" s="753">
        <f t="shared" si="2616"/>
      </c>
      <c r="BG1170" s="782">
        <f t="shared" si="2616"/>
      </c>
      <c r="BH1170" s="782">
        <f t="shared" si="2616"/>
      </c>
      <c r="BI1170" s="945">
        <f t="shared" si="2616"/>
      </c>
      <c r="BJ1170" s="782">
        <f t="shared" ref="BJ1170:BN1170" si="2617">ROUND(BJ1171-BJ1167-BJ1168-BJ1169,6)</f>
      </c>
      <c r="BK1170" s="753">
        <f t="shared" si="2617"/>
      </c>
      <c r="BL1170" s="782">
        <f t="shared" si="2617"/>
      </c>
      <c r="BM1170" s="782">
        <f t="shared" si="2617"/>
      </c>
      <c r="BN1170" s="945">
        <f t="shared" si="2617"/>
      </c>
      <c r="BO1170" s="782">
        <f t="shared" ref="BO1170:BW1170" si="2618">ROUND(BO1171-BO1167-BO1168-BO1169,6)</f>
      </c>
      <c r="BP1170" s="753">
        <f t="shared" si="2618"/>
      </c>
      <c r="BQ1170" s="782">
        <f t="shared" si="2618"/>
      </c>
      <c r="BR1170" s="782">
        <f t="shared" si="2618"/>
      </c>
      <c r="BS1170" s="945">
        <f t="shared" si="2618"/>
      </c>
      <c r="BT1170" s="783">
        <f>ROUND(BT1171-BT1167-BT1168-BT1169,6)</f>
      </c>
      <c r="BU1170" s="753">
        <f t="shared" si="2618"/>
      </c>
      <c r="BV1170" s="753">
        <f t="shared" si="2618"/>
      </c>
      <c r="BW1170" s="753">
        <f t="shared" si="2618"/>
      </c>
      <c r="BX1170" s="943">
        <f>ROUND(BX1171-BX1167-IF(ISNUMBER(BX1168),BX1168,0)-IF(ISNUMBER(BX1169),BX1169,0),6)</f>
      </c>
      <c r="BY1170" s="753">
        <f>ROUND(BY1171-BY1167-BY1168-BY1169,6)</f>
      </c>
      <c r="BZ1170" s="753">
        <f>ROUND(BZ1171-BZ1167-BZ1168-BZ1169,6)</f>
      </c>
      <c r="CA1170" s="753">
        <f>ROUND(CA1171-CA1167-CA1168-CA1169,6)</f>
      </c>
      <c r="CB1170" s="753">
        <f>ROUND(CB1171-CB1167-CB1168-CB1169,6)</f>
      </c>
      <c r="CC1170" s="943">
        <f>ROUND(CC1171-CC1167-IF(ISNUMBER(CC1168),CC1168,0)-IF(ISNUMBER(CC1169),CC1169,0),6)</f>
      </c>
      <c r="CD1170" s="943">
        <f>ROUND(CD1171-CD1167-CD1168-CD1169,6)</f>
      </c>
      <c r="CE1170" s="943">
        <f>ROUND(CE1171-CE1167-CE1168-CE1169,6)</f>
      </c>
      <c r="CF1170" s="943">
        <f>ROUND(CF1171-CF1167-CF1168-CF1169,6)</f>
      </c>
      <c r="CG1170" s="183"/>
    </row>
    <row r="1171" spans="1:85" x14ac:dyDescent="0.3">
      <c r="A1171" s="213" t="s">
        <v>483</v>
      </c>
      <c r="B1171" s="283"/>
      <c r="C1171" s="1079">
        <f t="shared" ref="C1171:AH1171" si="2619">C1217</f>
      </c>
      <c r="D1171" s="1079">
        <f t="shared" si="2619"/>
      </c>
      <c r="E1171" s="1079">
        <f t="shared" si="2619"/>
      </c>
      <c r="F1171" s="1079">
        <f t="shared" si="2619"/>
      </c>
      <c r="G1171" s="827">
        <f t="shared" si="2619"/>
      </c>
      <c r="H1171" s="827">
        <f t="shared" si="2619"/>
      </c>
      <c r="I1171" s="827">
        <f t="shared" si="2619"/>
      </c>
      <c r="J1171" s="827">
        <f t="shared" si="2619"/>
      </c>
      <c r="K1171" s="1079">
        <f t="shared" si="2619"/>
      </c>
      <c r="L1171" s="827">
        <f t="shared" si="2619"/>
      </c>
      <c r="M1171" s="827">
        <f t="shared" si="2619"/>
      </c>
      <c r="N1171" s="827">
        <f t="shared" si="2619"/>
      </c>
      <c r="O1171" s="827">
        <f t="shared" si="2619"/>
      </c>
      <c r="P1171" s="1079">
        <f t="shared" si="2619"/>
      </c>
      <c r="Q1171" s="827">
        <f t="shared" si="2619"/>
      </c>
      <c r="R1171" s="827">
        <f t="shared" si="2619"/>
      </c>
      <c r="S1171" s="827">
        <f t="shared" si="2619"/>
      </c>
      <c r="T1171" s="827">
        <f t="shared" si="2619"/>
      </c>
      <c r="U1171" s="1079">
        <f t="shared" si="2619"/>
      </c>
      <c r="V1171" s="827">
        <f t="shared" si="2619"/>
      </c>
      <c r="W1171" s="827">
        <f t="shared" si="2619"/>
      </c>
      <c r="X1171" s="827">
        <f t="shared" si="2619"/>
      </c>
      <c r="Y1171" s="827">
        <f t="shared" si="2619"/>
      </c>
      <c r="Z1171" s="1079">
        <f t="shared" si="2619"/>
      </c>
      <c r="AA1171" s="827">
        <f t="shared" si="2619"/>
      </c>
      <c r="AB1171" s="827">
        <f t="shared" si="2619"/>
      </c>
      <c r="AC1171" s="827">
        <f t="shared" si="2619"/>
      </c>
      <c r="AD1171" s="827">
        <f t="shared" si="2619"/>
      </c>
      <c r="AE1171" s="1079">
        <f t="shared" si="2619"/>
      </c>
      <c r="AF1171" s="827">
        <f t="shared" si="2619"/>
      </c>
      <c r="AG1171" s="827">
        <f t="shared" si="2619"/>
      </c>
      <c r="AH1171" s="827">
        <f t="shared" si="2619"/>
      </c>
      <c r="AI1171" s="827">
        <f t="shared" ref="AI1171:AQ1171" si="2620">AI1217</f>
      </c>
      <c r="AJ1171" s="1079">
        <f t="shared" si="2620"/>
      </c>
      <c r="AK1171" s="827">
        <f t="shared" si="2620"/>
      </c>
      <c r="AL1171" s="827">
        <f t="shared" si="2620"/>
      </c>
      <c r="AM1171" s="827">
        <f t="shared" si="2620"/>
      </c>
      <c r="AN1171" s="827">
        <f t="shared" si="2620"/>
      </c>
      <c r="AO1171" s="1079">
        <f t="shared" si="2620"/>
      </c>
      <c r="AP1171" s="827">
        <f t="shared" si="2620"/>
      </c>
      <c r="AQ1171" s="827">
        <f t="shared" si="2620"/>
      </c>
      <c r="AR1171" s="827">
        <f>AR1217</f>
      </c>
      <c r="AS1171" s="827">
        <f>AS1217</f>
      </c>
      <c r="AT1171" s="1079">
        <f>AT1217</f>
      </c>
      <c r="AU1171" s="827">
        <f t="shared" ref="AU1171" si="2621">AU1217</f>
      </c>
      <c r="AV1171" s="827">
        <f t="shared" ref="AV1171:BA1171" si="2622">AV1217</f>
      </c>
      <c r="AW1171" s="827">
        <f t="shared" si="2622"/>
      </c>
      <c r="AX1171" s="827">
        <f t="shared" si="2622"/>
      </c>
      <c r="AY1171" s="1079">
        <f t="shared" si="2622"/>
      </c>
      <c r="AZ1171" s="827">
        <f t="shared" si="2622"/>
      </c>
      <c r="BA1171" s="828">
        <f t="shared" si="2622"/>
      </c>
      <c r="BB1171" s="827">
        <f t="shared" ref="BB1171:BD1171" si="2623">BB1217</f>
      </c>
      <c r="BC1171" s="827">
        <f t="shared" si="2623"/>
      </c>
      <c r="BD1171" s="1079">
        <f t="shared" si="2623"/>
      </c>
      <c r="BE1171" s="827">
        <f t="shared" ref="BE1171:BI1171" si="2624">BE1217</f>
      </c>
      <c r="BF1171" s="828">
        <f t="shared" si="2624"/>
      </c>
      <c r="BG1171" s="827">
        <f t="shared" si="2624"/>
      </c>
      <c r="BH1171" s="827">
        <f t="shared" si="2624"/>
      </c>
      <c r="BI1171" s="1079">
        <f t="shared" si="2624"/>
      </c>
      <c r="BJ1171" s="827">
        <f t="shared" ref="BJ1171:BX1171" si="2625">BJ1217</f>
      </c>
      <c r="BK1171" s="828">
        <f t="shared" si="2625"/>
      </c>
      <c r="BL1171" s="827">
        <f t="shared" si="2625"/>
      </c>
      <c r="BM1171" s="827">
        <f t="shared" si="2625"/>
      </c>
      <c r="BN1171" s="1079">
        <f t="shared" si="2625"/>
      </c>
      <c r="BO1171" s="827">
        <f t="shared" ref="BO1171:BW1171" si="2626">BO1217</f>
      </c>
      <c r="BP1171" s="828">
        <f t="shared" si="2626"/>
      </c>
      <c r="BQ1171" s="827">
        <f t="shared" si="2626"/>
      </c>
      <c r="BR1171" s="827">
        <f t="shared" si="2626"/>
      </c>
      <c r="BS1171" s="1079">
        <f t="shared" si="2626"/>
      </c>
      <c r="BT1171" s="829">
        <f>BT1217</f>
      </c>
      <c r="BU1171" s="828">
        <f t="shared" si="2626"/>
      </c>
      <c r="BV1171" s="828">
        <f t="shared" si="2626"/>
      </c>
      <c r="BW1171" s="828">
        <f t="shared" si="2626"/>
      </c>
      <c r="BX1171" s="1080">
        <f t="shared" si="2625"/>
      </c>
      <c r="BY1171" s="828">
        <f t="shared" ref="BY1171:CF1171" si="2627">BY1217</f>
      </c>
      <c r="BZ1171" s="828">
        <f t="shared" si="2627"/>
      </c>
      <c r="CA1171" s="828">
        <f t="shared" si="2627"/>
      </c>
      <c r="CB1171" s="828">
        <f t="shared" si="2627"/>
      </c>
      <c r="CC1171" s="1080">
        <f t="shared" si="2627"/>
      </c>
      <c r="CD1171" s="1080">
        <f t="shared" si="2627"/>
      </c>
      <c r="CE1171" s="1080">
        <f t="shared" si="2627"/>
      </c>
      <c r="CF1171" s="1080">
        <f t="shared" si="2627"/>
      </c>
      <c r="CG1171" s="183"/>
    </row>
    <row r="1172" spans="1:85" x14ac:dyDescent="0.3">
      <c r="A1172" s="436"/>
      <c r="B1172" s="414"/>
      <c r="C1172" s="943"/>
      <c r="D1172" s="943"/>
      <c r="E1172" s="943"/>
      <c r="F1172" s="943"/>
      <c r="G1172" s="753"/>
      <c r="H1172" s="753"/>
      <c r="I1172" s="753"/>
      <c r="J1172" s="753"/>
      <c r="K1172" s="943"/>
      <c r="L1172" s="753"/>
      <c r="M1172" s="753"/>
      <c r="N1172" s="753"/>
      <c r="O1172" s="753"/>
      <c r="P1172" s="943"/>
      <c r="Q1172" s="753"/>
      <c r="R1172" s="753"/>
      <c r="S1172" s="753"/>
      <c r="T1172" s="753"/>
      <c r="U1172" s="943"/>
      <c r="V1172" s="753"/>
      <c r="W1172" s="753"/>
      <c r="X1172" s="753"/>
      <c r="Y1172" s="753"/>
      <c r="Z1172" s="943"/>
      <c r="AA1172" s="753"/>
      <c r="AB1172" s="753"/>
      <c r="AC1172" s="753"/>
      <c r="AD1172" s="753"/>
      <c r="AE1172" s="943"/>
      <c r="AF1172" s="753"/>
      <c r="AG1172" s="753"/>
      <c r="AH1172" s="753"/>
      <c r="AI1172" s="753"/>
      <c r="AJ1172" s="943"/>
      <c r="AK1172" s="753"/>
      <c r="AL1172" s="753"/>
      <c r="AM1172" s="753"/>
      <c r="AN1172" s="753"/>
      <c r="AO1172" s="943"/>
      <c r="AP1172" s="753"/>
      <c r="AQ1172" s="753"/>
      <c r="AR1172" s="753"/>
      <c r="AS1172" s="753"/>
      <c r="AT1172" s="943"/>
      <c r="AU1172" s="753"/>
      <c r="AV1172" s="753"/>
      <c r="AW1172" s="753"/>
      <c r="AX1172" s="753"/>
      <c r="AY1172" s="943"/>
      <c r="AZ1172" s="753"/>
      <c r="BA1172" s="753"/>
      <c r="BB1172" s="753"/>
      <c r="BC1172" s="753"/>
      <c r="BD1172" s="943"/>
      <c r="BE1172" s="753"/>
      <c r="BF1172" s="753"/>
      <c r="BG1172" s="753"/>
      <c r="BH1172" s="753"/>
      <c r="BI1172" s="943"/>
      <c r="BJ1172" s="753"/>
      <c r="BK1172" s="753"/>
      <c r="BL1172" s="753"/>
      <c r="BM1172" s="753"/>
      <c r="BN1172" s="943"/>
      <c r="BO1172" s="753"/>
      <c r="BP1172" s="753"/>
      <c r="BQ1172" s="753"/>
      <c r="BR1172" s="753"/>
      <c r="BS1172" s="943"/>
      <c r="BT1172" s="756"/>
      <c r="BU1172" s="753"/>
      <c r="BV1172" s="753"/>
      <c r="BW1172" s="753"/>
      <c r="BX1172" s="943"/>
      <c r="BY1172" s="753"/>
      <c r="BZ1172" s="753"/>
      <c r="CA1172" s="753"/>
      <c r="CB1172" s="753"/>
      <c r="CC1172" s="943"/>
      <c r="CD1172" s="943"/>
      <c r="CE1172" s="943"/>
      <c r="CF1172" s="943"/>
      <c r="CG1172" s="183"/>
    </row>
    <row r="1173" spans="1:85" x14ac:dyDescent="0.3">
      <c r="A1173" s="4" t="s">
        <v>490</v>
      </c>
      <c r="B1173" s="428"/>
      <c r="C1173" s="940"/>
      <c r="D1173" s="1078">
        <f t="shared" ref="D1173:J1173" si="2628">C1177</f>
      </c>
      <c r="E1173" s="1078">
        <f t="shared" si="2628"/>
      </c>
      <c r="F1173" s="1078">
        <f t="shared" si="2628"/>
      </c>
      <c r="G1173" s="823">
        <f t="shared" si="2628"/>
      </c>
      <c r="H1173" s="823">
        <f t="shared" si="2628"/>
      </c>
      <c r="I1173" s="823">
        <f t="shared" si="2628"/>
      </c>
      <c r="J1173" s="823">
        <f t="shared" si="2628"/>
      </c>
      <c r="K1173" s="1078">
        <f>F1177</f>
      </c>
      <c r="L1173" s="823">
        <f>K1177</f>
      </c>
      <c r="M1173" s="823">
        <f>L1177</f>
      </c>
      <c r="N1173" s="823">
        <f>M1177</f>
      </c>
      <c r="O1173" s="823">
        <f>N1177</f>
      </c>
      <c r="P1173" s="1078">
        <f>K1177</f>
      </c>
      <c r="Q1173" s="823">
        <f>P1177</f>
      </c>
      <c r="R1173" s="823">
        <f>Q1177</f>
      </c>
      <c r="S1173" s="823">
        <f>R1177</f>
      </c>
      <c r="T1173" s="823">
        <f>S1177</f>
      </c>
      <c r="U1173" s="1078">
        <f>P1177</f>
      </c>
      <c r="V1173" s="823">
        <f>U1177</f>
      </c>
      <c r="W1173" s="823">
        <f>V1177</f>
      </c>
      <c r="X1173" s="823">
        <f>W1177</f>
      </c>
      <c r="Y1173" s="823">
        <f>X1177</f>
      </c>
      <c r="Z1173" s="1078">
        <f>U1177</f>
      </c>
      <c r="AA1173" s="823">
        <f>Z1177</f>
      </c>
      <c r="AB1173" s="823">
        <f>AA1177</f>
      </c>
      <c r="AC1173" s="823">
        <f>AB1177</f>
      </c>
      <c r="AD1173" s="823">
        <f>AC1177</f>
      </c>
      <c r="AE1173" s="1078">
        <f>Z1177</f>
      </c>
      <c r="AF1173" s="823">
        <f>AE1177</f>
      </c>
      <c r="AG1173" s="823">
        <f>AF1177</f>
      </c>
      <c r="AH1173" s="823">
        <f>AG1177</f>
      </c>
      <c r="AI1173" s="823">
        <f>AH1177</f>
      </c>
      <c r="AJ1173" s="1078">
        <f>AE1177</f>
      </c>
      <c r="AK1173" s="823">
        <f>AJ1177</f>
      </c>
      <c r="AL1173" s="823">
        <f>AK1177</f>
      </c>
      <c r="AM1173" s="823">
        <f>AL1177</f>
      </c>
      <c r="AN1173" s="823">
        <f>AM1177</f>
      </c>
      <c r="AO1173" s="1078">
        <f>AJ1177</f>
      </c>
      <c r="AP1173" s="823">
        <f>AO1177</f>
      </c>
      <c r="AQ1173" s="823">
        <f>AP1177</f>
      </c>
      <c r="AR1173" s="823">
        <f>AQ1177</f>
      </c>
      <c r="AS1173" s="823">
        <f>AR1177</f>
      </c>
      <c r="AT1173" s="1078">
        <f>AO1177</f>
      </c>
      <c r="AU1173" s="823">
        <f>AT1177</f>
      </c>
      <c r="AV1173" s="823">
        <f>AU1177</f>
      </c>
      <c r="AW1173" s="823">
        <f>AV1177</f>
      </c>
      <c r="AX1173" s="823">
        <f>AW1177</f>
      </c>
      <c r="AY1173" s="1078">
        <f>AT1177</f>
      </c>
      <c r="AZ1173" s="823">
        <f>AY1177</f>
      </c>
      <c r="BA1173" s="778">
        <f>AZ1177</f>
      </c>
      <c r="BB1173" s="823">
        <f>BA1177</f>
      </c>
      <c r="BC1173" s="823">
        <f>BB1177</f>
      </c>
      <c r="BD1173" s="1078">
        <f>AY1177</f>
      </c>
      <c r="BE1173" s="823">
        <f>BD1177</f>
      </c>
      <c r="BF1173" s="778">
        <f>BE1177</f>
      </c>
      <c r="BG1173" s="823">
        <f>BF1177</f>
      </c>
      <c r="BH1173" s="823">
        <f>BG1177</f>
      </c>
      <c r="BI1173" s="1078">
        <f>BD1177</f>
      </c>
      <c r="BJ1173" s="823">
        <f>BI1177</f>
      </c>
      <c r="BK1173" s="778">
        <f>BJ1177</f>
      </c>
      <c r="BL1173" s="823">
        <f>BK1177</f>
      </c>
      <c r="BM1173" s="823">
        <f>BL1177</f>
      </c>
      <c r="BN1173" s="1078">
        <f>BI1177</f>
      </c>
      <c r="BO1173" s="823">
        <f>BN1177</f>
      </c>
      <c r="BP1173" s="778">
        <f>BO1177</f>
      </c>
      <c r="BQ1173" s="823">
        <f>BP1177</f>
      </c>
      <c r="BR1173" s="823">
        <f>BQ1177</f>
      </c>
      <c r="BS1173" s="1078">
        <f>BN1177</f>
      </c>
      <c r="BT1173" s="826">
        <f>BS1177</f>
      </c>
      <c r="BU1173" s="778">
        <f>BT1177</f>
      </c>
      <c r="BV1173" s="778">
        <f>BU1177</f>
      </c>
      <c r="BW1173" s="778">
        <f>BV1177</f>
      </c>
      <c r="BX1173" s="940">
        <f>BS1177</f>
      </c>
      <c r="BY1173" s="778">
        <f>BX1177</f>
      </c>
      <c r="BZ1173" s="778">
        <f>BY1177</f>
      </c>
      <c r="CA1173" s="778">
        <f>BZ1177</f>
      </c>
      <c r="CB1173" s="778">
        <f>CA1177</f>
      </c>
      <c r="CC1173" s="940">
        <f>BX1177</f>
      </c>
      <c r="CD1173" s="940">
        <f>CC1177</f>
      </c>
      <c r="CE1173" s="940">
        <f>CD1177</f>
      </c>
      <c r="CF1173" s="940">
        <f>CE1177</f>
      </c>
      <c r="CG1173" s="183"/>
    </row>
    <row r="1174" spans="1:85" x14ac:dyDescent="0.3">
      <c r="A1174" s="182" t="s">
        <v>491</v>
      </c>
      <c r="B1174" s="414"/>
      <c r="C1174" s="943"/>
      <c r="D1174" s="945">
        <f t="shared" ref="D1174:AI1174" si="2629">-D1102-D1103</f>
      </c>
      <c r="E1174" s="945">
        <f t="shared" si="2629"/>
      </c>
      <c r="F1174" s="945">
        <f t="shared" si="2629"/>
      </c>
      <c r="G1174" s="782">
        <f t="shared" si="2629"/>
      </c>
      <c r="H1174" s="782">
        <f t="shared" si="2629"/>
      </c>
      <c r="I1174" s="782">
        <f t="shared" si="2629"/>
      </c>
      <c r="J1174" s="782">
        <f t="shared" si="2629"/>
      </c>
      <c r="K1174" s="945">
        <f t="shared" si="2629"/>
      </c>
      <c r="L1174" s="782">
        <f t="shared" si="2629"/>
      </c>
      <c r="M1174" s="782">
        <f t="shared" si="2629"/>
      </c>
      <c r="N1174" s="782">
        <f t="shared" si="2629"/>
      </c>
      <c r="O1174" s="782">
        <f t="shared" si="2629"/>
      </c>
      <c r="P1174" s="945">
        <f t="shared" si="2629"/>
      </c>
      <c r="Q1174" s="782">
        <f t="shared" si="2629"/>
      </c>
      <c r="R1174" s="782">
        <f t="shared" si="2629"/>
      </c>
      <c r="S1174" s="782">
        <f t="shared" si="2629"/>
      </c>
      <c r="T1174" s="782">
        <f t="shared" si="2629"/>
      </c>
      <c r="U1174" s="945">
        <f t="shared" si="2629"/>
      </c>
      <c r="V1174" s="782">
        <f t="shared" si="2629"/>
      </c>
      <c r="W1174" s="782">
        <f t="shared" si="2629"/>
      </c>
      <c r="X1174" s="782">
        <f t="shared" si="2629"/>
      </c>
      <c r="Y1174" s="782">
        <f t="shared" si="2629"/>
      </c>
      <c r="Z1174" s="945">
        <f t="shared" si="2629"/>
      </c>
      <c r="AA1174" s="782">
        <f t="shared" si="2629"/>
      </c>
      <c r="AB1174" s="782">
        <f t="shared" si="2629"/>
      </c>
      <c r="AC1174" s="782">
        <f t="shared" si="2629"/>
      </c>
      <c r="AD1174" s="782">
        <f t="shared" si="2629"/>
      </c>
      <c r="AE1174" s="945">
        <f t="shared" si="2629"/>
      </c>
      <c r="AF1174" s="782">
        <f t="shared" si="2629"/>
      </c>
      <c r="AG1174" s="782">
        <f t="shared" si="2629"/>
      </c>
      <c r="AH1174" s="782">
        <f t="shared" si="2629"/>
      </c>
      <c r="AI1174" s="782">
        <f t="shared" si="2629"/>
      </c>
      <c r="AJ1174" s="945">
        <f t="shared" ref="AJ1174:BG1174" si="2630">-AJ1102-AJ1103</f>
      </c>
      <c r="AK1174" s="782">
        <f t="shared" si="2630"/>
      </c>
      <c r="AL1174" s="782">
        <f t="shared" si="2630"/>
      </c>
      <c r="AM1174" s="782">
        <f t="shared" si="2630"/>
      </c>
      <c r="AN1174" s="782">
        <f t="shared" si="2630"/>
      </c>
      <c r="AO1174" s="945">
        <f t="shared" si="2630"/>
      </c>
      <c r="AP1174" s="782">
        <f t="shared" si="2630"/>
      </c>
      <c r="AQ1174" s="782">
        <f t="shared" si="2630"/>
      </c>
      <c r="AR1174" s="782">
        <f t="shared" si="2630"/>
      </c>
      <c r="AS1174" s="782">
        <f t="shared" si="2630"/>
      </c>
      <c r="AT1174" s="945">
        <f t="shared" si="2630"/>
      </c>
      <c r="AU1174" s="782">
        <f t="shared" si="2630"/>
      </c>
      <c r="AV1174" s="782">
        <f t="shared" si="2630"/>
      </c>
      <c r="AW1174" s="782">
        <f t="shared" si="2630"/>
      </c>
      <c r="AX1174" s="782">
        <f t="shared" si="2630"/>
      </c>
      <c r="AY1174" s="945">
        <f t="shared" si="2630"/>
      </c>
      <c r="AZ1174" s="782">
        <f t="shared" si="2630"/>
      </c>
      <c r="BA1174" s="753">
        <f t="shared" si="2630"/>
      </c>
      <c r="BB1174" s="782">
        <f t="shared" si="2630"/>
      </c>
      <c r="BC1174" s="782">
        <f t="shared" si="2630"/>
      </c>
      <c r="BD1174" s="945">
        <f t="shared" si="2630"/>
      </c>
      <c r="BE1174" s="782">
        <f t="shared" si="2630"/>
      </c>
      <c r="BF1174" s="753">
        <f t="shared" si="2630"/>
      </c>
      <c r="BG1174" s="782">
        <f t="shared" si="2630"/>
      </c>
      <c r="BH1174" s="782">
        <f t="shared" ref="BH1174:BN1174" si="2631">-BH1102-BH1103</f>
      </c>
      <c r="BI1174" s="945">
        <f t="shared" si="2631"/>
      </c>
      <c r="BJ1174" s="782">
        <f t="shared" si="2631"/>
      </c>
      <c r="BK1174" s="753">
        <f t="shared" si="2631"/>
      </c>
      <c r="BL1174" s="782">
        <f t="shared" si="2631"/>
      </c>
      <c r="BM1174" s="782">
        <f t="shared" si="2631"/>
      </c>
      <c r="BN1174" s="945">
        <f t="shared" si="2631"/>
      </c>
      <c r="BO1174" s="782">
        <f t="shared" ref="BO1174:BT1174" si="2632">-BO1102-BO1103</f>
      </c>
      <c r="BP1174" s="753">
        <f t="shared" si="2632"/>
      </c>
      <c r="BQ1174" s="782">
        <f t="shared" si="2632"/>
      </c>
      <c r="BR1174" s="782">
        <f t="shared" si="2632"/>
      </c>
      <c r="BS1174" s="945">
        <f t="shared" si="2632"/>
      </c>
      <c r="BT1174" s="783">
        <f t="shared" si="2632"/>
      </c>
      <c r="BU1174" s="753">
        <f>-BU1173*BU1180*BU3/BX3</f>
      </c>
      <c r="BV1174" s="753">
        <f>-BV1173*BV1180*BV3/BX3</f>
      </c>
      <c r="BW1174" s="753">
        <f>-BW1173*BW1180*BW3/BX3</f>
      </c>
      <c r="BX1174" s="943">
        <f>IF(OR(ISBLANK(BT1174),ISBLANK(BU1174),ISBLANK(BV1174),ISBLANK(BW1174)),"n/a",SUM(BT1174,BU1174,BV1174,BW1174))</f>
      </c>
      <c r="BY1174" s="753">
        <f>-BY1173*BY1180*BY3/CC3</f>
      </c>
      <c r="BZ1174" s="753">
        <f>-BZ1173*BZ1180*BZ3/CC3</f>
      </c>
      <c r="CA1174" s="753">
        <f>-CA1173*CA1180*CA3/CC3</f>
      </c>
      <c r="CB1174" s="753">
        <f>-CB1173*CB1180*CB3/CC3</f>
      </c>
      <c r="CC1174" s="943">
        <f>IF(OR(ISBLANK(BY1174),ISBLANK(BZ1174),ISBLANK(CA1174),ISBLANK(CB1174)),"n/a",SUM(BY1174,BZ1174,CA1174,CB1174))</f>
      </c>
      <c r="CD1174" s="943">
        <f>-CD1173*CD1180</f>
      </c>
      <c r="CE1174" s="943">
        <f>-CE1173*CE1180</f>
      </c>
      <c r="CF1174" s="943">
        <f>-CF1173*CF1180</f>
      </c>
      <c r="CG1174" s="183"/>
    </row>
    <row r="1175" spans="1:85" x14ac:dyDescent="0.3">
      <c r="A1175" s="436" t="s">
        <v>493</v>
      </c>
      <c r="B1175" s="414"/>
      <c r="C1175" s="943"/>
      <c r="D1175" s="943">
        <f>-D1100-D1124</f>
      </c>
      <c r="E1175" s="943">
        <f t="shared" ref="E1175:AN1175" si="2633">-E1100-E1124</f>
      </c>
      <c r="F1175" s="943">
        <f t="shared" si="2633"/>
      </c>
      <c r="G1175" s="753">
        <f t="shared" si="2633"/>
      </c>
      <c r="H1175" s="753">
        <f t="shared" si="2633"/>
      </c>
      <c r="I1175" s="753">
        <f t="shared" si="2633"/>
      </c>
      <c r="J1175" s="753">
        <f t="shared" si="2633"/>
      </c>
      <c r="K1175" s="943">
        <f t="shared" si="2633"/>
      </c>
      <c r="L1175" s="753">
        <f t="shared" si="2633"/>
      </c>
      <c r="M1175" s="753">
        <f t="shared" si="2633"/>
      </c>
      <c r="N1175" s="753">
        <f t="shared" si="2633"/>
      </c>
      <c r="O1175" s="753">
        <f t="shared" si="2633"/>
      </c>
      <c r="P1175" s="943">
        <f t="shared" si="2633"/>
      </c>
      <c r="Q1175" s="753">
        <f t="shared" si="2633"/>
      </c>
      <c r="R1175" s="753">
        <f t="shared" si="2633"/>
      </c>
      <c r="S1175" s="753">
        <f t="shared" si="2633"/>
      </c>
      <c r="T1175" s="753">
        <f t="shared" si="2633"/>
      </c>
      <c r="U1175" s="943">
        <f t="shared" si="2633"/>
      </c>
      <c r="V1175" s="753">
        <f t="shared" si="2633"/>
      </c>
      <c r="W1175" s="753">
        <f t="shared" si="2633"/>
      </c>
      <c r="X1175" s="753">
        <f t="shared" si="2633"/>
      </c>
      <c r="Y1175" s="753">
        <f t="shared" si="2633"/>
      </c>
      <c r="Z1175" s="943">
        <f t="shared" si="2633"/>
      </c>
      <c r="AA1175" s="753">
        <f t="shared" si="2633"/>
      </c>
      <c r="AB1175" s="753">
        <f t="shared" si="2633"/>
      </c>
      <c r="AC1175" s="753">
        <f t="shared" si="2633"/>
      </c>
      <c r="AD1175" s="753">
        <f t="shared" si="2633"/>
      </c>
      <c r="AE1175" s="943">
        <f t="shared" si="2633"/>
      </c>
      <c r="AF1175" s="753">
        <f t="shared" si="2633"/>
      </c>
      <c r="AG1175" s="753">
        <f t="shared" si="2633"/>
      </c>
      <c r="AH1175" s="753">
        <f t="shared" si="2633"/>
      </c>
      <c r="AI1175" s="753">
        <f t="shared" si="2633"/>
      </c>
      <c r="AJ1175" s="943">
        <f t="shared" si="2633"/>
      </c>
      <c r="AK1175" s="753">
        <f t="shared" si="2633"/>
      </c>
      <c r="AL1175" s="753">
        <f t="shared" si="2633"/>
      </c>
      <c r="AM1175" s="753">
        <f t="shared" si="2633"/>
      </c>
      <c r="AN1175" s="753">
        <f t="shared" si="2633"/>
      </c>
      <c r="AO1175" s="943">
        <f t="shared" ref="AO1175:BG1175" si="2634">-AO1100</f>
      </c>
      <c r="AP1175" s="753">
        <f t="shared" si="2634"/>
      </c>
      <c r="AQ1175" s="753">
        <f t="shared" si="2634"/>
      </c>
      <c r="AR1175" s="753">
        <f t="shared" si="2634"/>
      </c>
      <c r="AS1175" s="753">
        <f t="shared" si="2634"/>
      </c>
      <c r="AT1175" s="943">
        <f t="shared" si="2634"/>
      </c>
      <c r="AU1175" s="753">
        <f t="shared" si="2634"/>
      </c>
      <c r="AV1175" s="753">
        <f t="shared" si="2634"/>
      </c>
      <c r="AW1175" s="753">
        <f t="shared" si="2634"/>
      </c>
      <c r="AX1175" s="753">
        <f t="shared" si="2634"/>
      </c>
      <c r="AY1175" s="943">
        <f t="shared" si="2634"/>
      </c>
      <c r="AZ1175" s="753">
        <f t="shared" si="2634"/>
      </c>
      <c r="BA1175" s="782">
        <f t="shared" si="2634"/>
      </c>
      <c r="BB1175" s="753">
        <f t="shared" si="2634"/>
      </c>
      <c r="BC1175" s="753">
        <f t="shared" si="2634"/>
      </c>
      <c r="BD1175" s="943">
        <f t="shared" si="2634"/>
      </c>
      <c r="BE1175" s="753">
        <f t="shared" si="2634"/>
      </c>
      <c r="BF1175" s="782">
        <f t="shared" si="2634"/>
      </c>
      <c r="BG1175" s="753">
        <f t="shared" si="2634"/>
      </c>
      <c r="BH1175" s="753">
        <f t="shared" ref="BH1175:BN1175" si="2635">-BH1100</f>
      </c>
      <c r="BI1175" s="943">
        <f t="shared" si="2635"/>
      </c>
      <c r="BJ1175" s="753">
        <f t="shared" si="2635"/>
      </c>
      <c r="BK1175" s="782">
        <f t="shared" si="2635"/>
      </c>
      <c r="BL1175" s="753">
        <f t="shared" si="2635"/>
      </c>
      <c r="BM1175" s="753">
        <f t="shared" si="2635"/>
      </c>
      <c r="BN1175" s="943">
        <f t="shared" si="2635"/>
      </c>
      <c r="BO1175" s="753">
        <f t="shared" ref="BO1175:BT1175" si="2636">-BO1100</f>
      </c>
      <c r="BP1175" s="782">
        <f t="shared" si="2636"/>
      </c>
      <c r="BQ1175" s="753">
        <f t="shared" si="2636"/>
      </c>
      <c r="BR1175" s="753">
        <f t="shared" si="2636"/>
      </c>
      <c r="BS1175" s="943">
        <f t="shared" si="2636"/>
      </c>
      <c r="BT1175" s="756">
        <f t="shared" si="2636"/>
      </c>
      <c r="BU1175" s="849">
        <v>3000</v>
      </c>
      <c r="BV1175" s="849">
        <v>3000</v>
      </c>
      <c r="BW1175" s="849">
        <v>3000</v>
      </c>
      <c r="BX1175" s="943">
        <f>IF(OR(ISBLANK(BT1175),ISBLANK(BU1175),ISBLANK(BV1175),ISBLANK(BW1175)),"n/a",SUM(BT1175,BU1175,BV1175,BW1175))</f>
      </c>
      <c r="BY1175" s="849">
        <v>3000</v>
      </c>
      <c r="BZ1175" s="849">
        <v>3000</v>
      </c>
      <c r="CA1175" s="849">
        <v>3000</v>
      </c>
      <c r="CB1175" s="849">
        <v>3000</v>
      </c>
      <c r="CC1175" s="943">
        <f>IF(OR(ISBLANK(BY1175),ISBLANK(BZ1175),ISBLANK(CA1175),ISBLANK(CB1175)),"n/a",SUM(BY1175,BZ1175,CA1175,CB1175))</f>
      </c>
      <c r="CD1175" s="944">
        <v>12000</v>
      </c>
      <c r="CE1175" s="944">
        <v>12000</v>
      </c>
      <c r="CF1175" s="944">
        <v>12000</v>
      </c>
      <c r="CG1175" s="183"/>
    </row>
    <row r="1176" spans="1:85" x14ac:dyDescent="0.3">
      <c r="A1176" s="182" t="s">
        <v>494</v>
      </c>
      <c r="B1176" s="414"/>
      <c r="C1176" s="943"/>
      <c r="D1176" s="945">
        <f t="shared" ref="D1176:AQ1176" si="2637">ROUND(D1177-D1173-D1174-D1175,6)</f>
      </c>
      <c r="E1176" s="945">
        <f t="shared" si="2637"/>
      </c>
      <c r="F1176" s="945">
        <f t="shared" si="2637"/>
      </c>
      <c r="G1176" s="782">
        <f t="shared" si="2637"/>
      </c>
      <c r="H1176" s="782">
        <f t="shared" si="2637"/>
      </c>
      <c r="I1176" s="782">
        <f t="shared" si="2637"/>
      </c>
      <c r="J1176" s="782">
        <f t="shared" si="2637"/>
      </c>
      <c r="K1176" s="945">
        <f t="shared" si="2637"/>
      </c>
      <c r="L1176" s="782">
        <f t="shared" si="2637"/>
      </c>
      <c r="M1176" s="782">
        <f t="shared" si="2637"/>
      </c>
      <c r="N1176" s="782">
        <f t="shared" si="2637"/>
      </c>
      <c r="O1176" s="782">
        <f t="shared" si="2637"/>
      </c>
      <c r="P1176" s="945">
        <f t="shared" si="2637"/>
      </c>
      <c r="Q1176" s="782">
        <f t="shared" si="2637"/>
      </c>
      <c r="R1176" s="782">
        <f t="shared" si="2637"/>
      </c>
      <c r="S1176" s="782">
        <f t="shared" si="2637"/>
      </c>
      <c r="T1176" s="782">
        <f t="shared" si="2637"/>
      </c>
      <c r="U1176" s="945">
        <f t="shared" si="2637"/>
      </c>
      <c r="V1176" s="782">
        <f t="shared" si="2637"/>
      </c>
      <c r="W1176" s="782">
        <f t="shared" si="2637"/>
      </c>
      <c r="X1176" s="782">
        <f t="shared" si="2637"/>
      </c>
      <c r="Y1176" s="782">
        <f t="shared" si="2637"/>
      </c>
      <c r="Z1176" s="945">
        <f t="shared" si="2637"/>
      </c>
      <c r="AA1176" s="782">
        <f t="shared" si="2637"/>
      </c>
      <c r="AB1176" s="782">
        <f t="shared" si="2637"/>
      </c>
      <c r="AC1176" s="782">
        <f t="shared" si="2637"/>
      </c>
      <c r="AD1176" s="782">
        <f t="shared" si="2637"/>
      </c>
      <c r="AE1176" s="945">
        <f t="shared" si="2637"/>
      </c>
      <c r="AF1176" s="782">
        <f t="shared" si="2637"/>
      </c>
      <c r="AG1176" s="782">
        <f t="shared" si="2637"/>
      </c>
      <c r="AH1176" s="782">
        <f t="shared" si="2637"/>
      </c>
      <c r="AI1176" s="782">
        <f t="shared" si="2637"/>
      </c>
      <c r="AJ1176" s="945">
        <f t="shared" si="2637"/>
      </c>
      <c r="AK1176" s="782">
        <f t="shared" si="2637"/>
      </c>
      <c r="AL1176" s="782">
        <f t="shared" si="2637"/>
      </c>
      <c r="AM1176" s="782">
        <f t="shared" si="2637"/>
      </c>
      <c r="AN1176" s="782">
        <f t="shared" si="2637"/>
      </c>
      <c r="AO1176" s="945">
        <f t="shared" si="2637"/>
      </c>
      <c r="AP1176" s="782">
        <f t="shared" si="2637"/>
      </c>
      <c r="AQ1176" s="782">
        <f t="shared" si="2637"/>
      </c>
      <c r="AR1176" s="782">
        <f t="shared" ref="AR1176:AU1176" si="2638">ROUND(AR1177-AR1173-AR1174-AR1175,6)</f>
      </c>
      <c r="AS1176" s="782">
        <f t="shared" si="2638"/>
      </c>
      <c r="AT1176" s="945">
        <f t="shared" si="2638"/>
      </c>
      <c r="AU1176" s="782">
        <f t="shared" si="2638"/>
      </c>
      <c r="AV1176" s="782">
        <f t="shared" ref="AV1176:AY1176" si="2639">ROUND(AV1177-AV1173-AV1174-AV1175,6)</f>
      </c>
      <c r="AW1176" s="782">
        <f t="shared" si="2639"/>
      </c>
      <c r="AX1176" s="782">
        <f t="shared" si="2639"/>
      </c>
      <c r="AY1176" s="945">
        <f t="shared" si="2639"/>
      </c>
      <c r="AZ1176" s="782">
        <f>ROUND(AZ1177-AZ1173-AZ1174-AZ1175,6)</f>
      </c>
      <c r="BA1176" s="753">
        <f t="shared" ref="BA1176" si="2640">ROUND(BA1177-BA1173-BA1174-BA1175,6)</f>
      </c>
      <c r="BB1176" s="782">
        <f t="shared" ref="BB1176:BD1176" si="2641">ROUND(BB1177-BB1173-BB1174-BB1175,6)</f>
      </c>
      <c r="BC1176" s="782">
        <f t="shared" si="2641"/>
      </c>
      <c r="BD1176" s="945">
        <f t="shared" si="2641"/>
      </c>
      <c r="BE1176" s="782">
        <f t="shared" ref="BE1176:BI1176" si="2642">ROUND(BE1177-BE1173-BE1174-BE1175,6)</f>
      </c>
      <c r="BF1176" s="753">
        <f t="shared" si="2642"/>
      </c>
      <c r="BG1176" s="782">
        <f t="shared" si="2642"/>
      </c>
      <c r="BH1176" s="782">
        <f t="shared" si="2642"/>
      </c>
      <c r="BI1176" s="945">
        <f t="shared" si="2642"/>
      </c>
      <c r="BJ1176" s="782">
        <f t="shared" ref="BJ1176:BN1176" si="2643">ROUND(BJ1177-BJ1173-BJ1174-BJ1175,6)</f>
      </c>
      <c r="BK1176" s="753">
        <f t="shared" si="2643"/>
      </c>
      <c r="BL1176" s="782">
        <f t="shared" si="2643"/>
      </c>
      <c r="BM1176" s="782">
        <f t="shared" si="2643"/>
      </c>
      <c r="BN1176" s="945">
        <f t="shared" si="2643"/>
      </c>
      <c r="BO1176" s="782">
        <f t="shared" ref="BO1176:BW1176" si="2644">ROUND(BO1177-BO1173-BO1174-BO1175,6)</f>
      </c>
      <c r="BP1176" s="753">
        <f t="shared" si="2644"/>
      </c>
      <c r="BQ1176" s="782">
        <f t="shared" si="2644"/>
      </c>
      <c r="BR1176" s="782">
        <f t="shared" si="2644"/>
      </c>
      <c r="BS1176" s="945">
        <f t="shared" si="2644"/>
      </c>
      <c r="BT1176" s="783">
        <f>ROUND(BT1177-BT1173-BT1174-BT1175,6)</f>
      </c>
      <c r="BU1176" s="753">
        <f t="shared" si="2644"/>
      </c>
      <c r="BV1176" s="753">
        <f t="shared" si="2644"/>
      </c>
      <c r="BW1176" s="753">
        <f t="shared" si="2644"/>
      </c>
      <c r="BX1176" s="943">
        <f>ROUND(BX1177-BX1173-IF(ISNUMBER(BX1174),BX1174,0)-IF(ISNUMBER(BX1175),BX1175,0),6)</f>
      </c>
      <c r="BY1176" s="753">
        <f>ROUND(BY1177-BY1173-BY1174-BY1175,6)</f>
      </c>
      <c r="BZ1176" s="753">
        <f>ROUND(BZ1177-BZ1173-BZ1174-BZ1175,6)</f>
      </c>
      <c r="CA1176" s="753">
        <f>ROUND(CA1177-CA1173-CA1174-CA1175,6)</f>
      </c>
      <c r="CB1176" s="753">
        <f>ROUND(CB1177-CB1173-CB1174-CB1175,6)</f>
      </c>
      <c r="CC1176" s="943">
        <f>ROUND(CC1177-CC1173-IF(ISNUMBER(CC1174),CC1174,0)-IF(ISNUMBER(CC1175),CC1175,0),6)</f>
      </c>
      <c r="CD1176" s="943">
        <f>ROUND(CD1177-CD1173-CD1174-CD1175,6)</f>
      </c>
      <c r="CE1176" s="943">
        <f>ROUND(CE1177-CE1173-CE1174-CE1175,6)</f>
      </c>
      <c r="CF1176" s="943">
        <f>ROUND(CF1177-CF1173-CF1174-CF1175,6)</f>
      </c>
      <c r="CG1176" s="183"/>
    </row>
    <row r="1177" spans="1:85" x14ac:dyDescent="0.3">
      <c r="A1177" s="213" t="s">
        <v>489</v>
      </c>
      <c r="B1177" s="283"/>
      <c r="C1177" s="1079">
        <f t="shared" ref="C1177:AI1177" si="2645">C1216+C1202</f>
      </c>
      <c r="D1177" s="1079">
        <f t="shared" si="2645"/>
      </c>
      <c r="E1177" s="1079">
        <f t="shared" si="2645"/>
      </c>
      <c r="F1177" s="1079">
        <f t="shared" si="2645"/>
      </c>
      <c r="G1177" s="827">
        <f t="shared" si="2645"/>
      </c>
      <c r="H1177" s="827">
        <f t="shared" si="2645"/>
      </c>
      <c r="I1177" s="827">
        <f t="shared" si="2645"/>
      </c>
      <c r="J1177" s="827">
        <f t="shared" si="2645"/>
      </c>
      <c r="K1177" s="1079">
        <f t="shared" si="2645"/>
      </c>
      <c r="L1177" s="827">
        <f t="shared" si="2645"/>
      </c>
      <c r="M1177" s="827">
        <f t="shared" si="2645"/>
      </c>
      <c r="N1177" s="827">
        <f t="shared" si="2645"/>
      </c>
      <c r="O1177" s="827">
        <f t="shared" si="2645"/>
      </c>
      <c r="P1177" s="1079">
        <f t="shared" si="2645"/>
      </c>
      <c r="Q1177" s="827">
        <f t="shared" si="2645"/>
      </c>
      <c r="R1177" s="827">
        <f t="shared" si="2645"/>
      </c>
      <c r="S1177" s="827">
        <f t="shared" si="2645"/>
      </c>
      <c r="T1177" s="827">
        <f t="shared" si="2645"/>
      </c>
      <c r="U1177" s="1079">
        <f t="shared" si="2645"/>
      </c>
      <c r="V1177" s="827">
        <f t="shared" si="2645"/>
      </c>
      <c r="W1177" s="827">
        <f t="shared" si="2645"/>
      </c>
      <c r="X1177" s="827">
        <f t="shared" si="2645"/>
      </c>
      <c r="Y1177" s="827">
        <f t="shared" si="2645"/>
      </c>
      <c r="Z1177" s="1079">
        <f t="shared" si="2645"/>
      </c>
      <c r="AA1177" s="827">
        <f t="shared" si="2645"/>
      </c>
      <c r="AB1177" s="827">
        <f t="shared" si="2645"/>
      </c>
      <c r="AC1177" s="827">
        <f t="shared" si="2645"/>
      </c>
      <c r="AD1177" s="827">
        <f t="shared" si="2645"/>
      </c>
      <c r="AE1177" s="1079">
        <f t="shared" si="2645"/>
      </c>
      <c r="AF1177" s="827">
        <f t="shared" si="2645"/>
      </c>
      <c r="AG1177" s="827">
        <f t="shared" si="2645"/>
      </c>
      <c r="AH1177" s="827">
        <f t="shared" si="2645"/>
      </c>
      <c r="AI1177" s="827">
        <f t="shared" si="2645"/>
      </c>
      <c r="AJ1177" s="1079">
        <f>AJ1216+AJ1202</f>
      </c>
      <c r="AK1177" s="827">
        <f t="shared" ref="AK1177:AQ1177" si="2646">AK1216+AK1202</f>
      </c>
      <c r="AL1177" s="827">
        <f t="shared" si="2646"/>
      </c>
      <c r="AM1177" s="827">
        <f t="shared" si="2646"/>
      </c>
      <c r="AN1177" s="827">
        <f t="shared" si="2646"/>
      </c>
      <c r="AO1177" s="1079">
        <f t="shared" si="2646"/>
      </c>
      <c r="AP1177" s="827">
        <f t="shared" si="2646"/>
      </c>
      <c r="AQ1177" s="827">
        <f t="shared" si="2646"/>
      </c>
      <c r="AR1177" s="827">
        <f>AR1216+AR1202</f>
      </c>
      <c r="AS1177" s="827">
        <f>AS1216+AS1202</f>
      </c>
      <c r="AT1177" s="1079">
        <f>AT1216+AT1202</f>
      </c>
      <c r="AU1177" s="827">
        <f t="shared" ref="AU1177" si="2647">AU1216+AU1202</f>
      </c>
      <c r="AV1177" s="827">
        <f t="shared" ref="AV1177:BA1177" si="2648">AV1216+AV1202</f>
      </c>
      <c r="AW1177" s="827">
        <f t="shared" si="2648"/>
      </c>
      <c r="AX1177" s="827">
        <f t="shared" si="2648"/>
      </c>
      <c r="AY1177" s="1079">
        <f t="shared" si="2648"/>
      </c>
      <c r="AZ1177" s="827">
        <f t="shared" si="2648"/>
      </c>
      <c r="BA1177" s="828">
        <f t="shared" si="2648"/>
      </c>
      <c r="BB1177" s="827">
        <f t="shared" ref="BB1177:BG1177" si="2649">BB1216+BB1202</f>
      </c>
      <c r="BC1177" s="827">
        <f t="shared" si="2649"/>
      </c>
      <c r="BD1177" s="1079">
        <f t="shared" si="2649"/>
      </c>
      <c r="BE1177" s="827">
        <f t="shared" si="2649"/>
      </c>
      <c r="BF1177" s="828">
        <f t="shared" si="2649"/>
      </c>
      <c r="BG1177" s="827">
        <f t="shared" si="2649"/>
      </c>
      <c r="BH1177" s="827">
        <f t="shared" ref="BH1177:BN1177" si="2650">BH1216+BH1202</f>
      </c>
      <c r="BI1177" s="1079">
        <f t="shared" si="2650"/>
      </c>
      <c r="BJ1177" s="827">
        <f t="shared" si="2650"/>
      </c>
      <c r="BK1177" s="828">
        <f t="shared" si="2650"/>
      </c>
      <c r="BL1177" s="827">
        <f t="shared" si="2650"/>
      </c>
      <c r="BM1177" s="827">
        <f t="shared" si="2650"/>
      </c>
      <c r="BN1177" s="1079">
        <f t="shared" si="2650"/>
      </c>
      <c r="BO1177" s="827">
        <f t="shared" ref="BO1177:BT1177" si="2651">BO1216+BO1202</f>
      </c>
      <c r="BP1177" s="828">
        <f t="shared" si="2651"/>
      </c>
      <c r="BQ1177" s="827">
        <f t="shared" si="2651"/>
      </c>
      <c r="BR1177" s="827">
        <f t="shared" si="2651"/>
      </c>
      <c r="BS1177" s="1079">
        <f t="shared" si="2651"/>
      </c>
      <c r="BT1177" s="829">
        <f t="shared" si="2651"/>
      </c>
      <c r="BU1177" s="828">
        <f>BU1216</f>
      </c>
      <c r="BV1177" s="828">
        <f>BV1216</f>
      </c>
      <c r="BW1177" s="828">
        <f>BW1216</f>
      </c>
      <c r="BX1177" s="1080">
        <f t="shared" ref="BX1177" si="2652">BX1216</f>
      </c>
      <c r="BY1177" s="828">
        <f t="shared" ref="BY1177:CF1177" si="2653">BY1216</f>
      </c>
      <c r="BZ1177" s="828">
        <f t="shared" si="2653"/>
      </c>
      <c r="CA1177" s="828">
        <f t="shared" si="2653"/>
      </c>
      <c r="CB1177" s="828">
        <f t="shared" si="2653"/>
      </c>
      <c r="CC1177" s="1080">
        <f t="shared" si="2653"/>
      </c>
      <c r="CD1177" s="1080">
        <f t="shared" si="2653"/>
      </c>
      <c r="CE1177" s="1080">
        <f t="shared" si="2653"/>
      </c>
      <c r="CF1177" s="1080">
        <f t="shared" si="2653"/>
      </c>
      <c r="CG1177" s="183"/>
    </row>
    <row r="1178" spans="1:85" x14ac:dyDescent="0.3">
      <c r="A1178" s="436"/>
      <c r="B1178" s="414"/>
      <c r="C1178" s="943"/>
      <c r="D1178" s="943"/>
      <c r="E1178" s="943"/>
      <c r="F1178" s="943"/>
      <c r="G1178" s="753"/>
      <c r="H1178" s="753"/>
      <c r="I1178" s="753"/>
      <c r="J1178" s="753"/>
      <c r="K1178" s="943"/>
      <c r="L1178" s="753"/>
      <c r="M1178" s="753"/>
      <c r="N1178" s="753"/>
      <c r="O1178" s="753"/>
      <c r="P1178" s="943"/>
      <c r="Q1178" s="753"/>
      <c r="R1178" s="753"/>
      <c r="S1178" s="753"/>
      <c r="T1178" s="753"/>
      <c r="U1178" s="943"/>
      <c r="V1178" s="753"/>
      <c r="W1178" s="753"/>
      <c r="X1178" s="753"/>
      <c r="Y1178" s="753"/>
      <c r="Z1178" s="943"/>
      <c r="AA1178" s="753"/>
      <c r="AB1178" s="753"/>
      <c r="AC1178" s="753"/>
      <c r="AD1178" s="753"/>
      <c r="AE1178" s="943"/>
      <c r="AF1178" s="753"/>
      <c r="AG1178" s="753"/>
      <c r="AH1178" s="753"/>
      <c r="AI1178" s="753"/>
      <c r="AJ1178" s="943"/>
      <c r="AK1178" s="753"/>
      <c r="AL1178" s="753"/>
      <c r="AM1178" s="753"/>
      <c r="AN1178" s="753"/>
      <c r="AO1178" s="943"/>
      <c r="AP1178" s="753"/>
      <c r="AQ1178" s="753"/>
      <c r="AR1178" s="753"/>
      <c r="AS1178" s="753"/>
      <c r="AT1178" s="943"/>
      <c r="AU1178" s="753"/>
      <c r="AV1178" s="753"/>
      <c r="AW1178" s="753"/>
      <c r="AX1178" s="753"/>
      <c r="AY1178" s="943"/>
      <c r="AZ1178" s="753"/>
      <c r="BA1178" s="753"/>
      <c r="BB1178" s="753"/>
      <c r="BC1178" s="753"/>
      <c r="BD1178" s="943"/>
      <c r="BE1178" s="753"/>
      <c r="BF1178" s="753"/>
      <c r="BG1178" s="753"/>
      <c r="BH1178" s="753"/>
      <c r="BI1178" s="943"/>
      <c r="BJ1178" s="753"/>
      <c r="BK1178" s="753"/>
      <c r="BL1178" s="753"/>
      <c r="BM1178" s="753"/>
      <c r="BN1178" s="943"/>
      <c r="BO1178" s="753"/>
      <c r="BP1178" s="753"/>
      <c r="BQ1178" s="753"/>
      <c r="BR1178" s="753"/>
      <c r="BS1178" s="943"/>
      <c r="BT1178" s="756"/>
      <c r="BU1178" s="753"/>
      <c r="BV1178" s="753"/>
      <c r="BW1178" s="753"/>
      <c r="BX1178" s="943"/>
      <c r="BY1178" s="753"/>
      <c r="BZ1178" s="753"/>
      <c r="CA1178" s="753"/>
      <c r="CB1178" s="753"/>
      <c r="CC1178" s="943"/>
      <c r="CD1178" s="943"/>
      <c r="CE1178" s="943"/>
      <c r="CF1178" s="943"/>
      <c r="CG1178" s="183"/>
    </row>
    <row r="1179" spans="1:85" x14ac:dyDescent="0.3">
      <c r="A1179" s="214" t="s">
        <v>486</v>
      </c>
      <c r="B1179" s="770"/>
      <c r="C1179" s="936"/>
      <c r="D1179" s="937">
        <f>IFERROR(-D1168/D1167,"n/a")</f>
      </c>
      <c r="E1179" s="937">
        <f>IFERROR(-E1168/E1167,"n/a")</f>
      </c>
      <c r="F1179" s="937">
        <f>IFERROR(-F1168/F1167,"n/a")</f>
      </c>
      <c r="G1179" s="619">
        <f>IFERROR(-G1168/G1167*K3/G3,"n/a")</f>
      </c>
      <c r="H1179" s="619">
        <f>IFERROR(-H1168/H1167*K3/H3,"n/a")</f>
      </c>
      <c r="I1179" s="619">
        <f>IFERROR(-I1168/I1167*K3/I3,"n/a")</f>
      </c>
      <c r="J1179" s="619">
        <f>IFERROR(-J1168/J1167*K3/J3,"n/a")</f>
      </c>
      <c r="K1179" s="937">
        <f>IFERROR(-K1168/K1167,"n/a")</f>
      </c>
      <c r="L1179" s="619">
        <f>IFERROR(-L1168/L1167*P3/L3,"n/a")</f>
      </c>
      <c r="M1179" s="619">
        <f>IFERROR(-M1168/M1167*P3/M3,"n/a")</f>
      </c>
      <c r="N1179" s="619">
        <f>IFERROR(-N1168/N1167*P3/N3,"n/a")</f>
      </c>
      <c r="O1179" s="619">
        <f>IFERROR(-O1168/O1167*P3/O3,"n/a")</f>
      </c>
      <c r="P1179" s="937">
        <f>IFERROR(-P1168/P1167,"n/a")</f>
      </c>
      <c r="Q1179" s="619">
        <f>IFERROR(-Q1168/Q1167*U3/Q3,"n/a")</f>
      </c>
      <c r="R1179" s="619">
        <f>IFERROR(-R1168/R1167*U3/R3,"n/a")</f>
      </c>
      <c r="S1179" s="619">
        <f>IFERROR(-S1168/S1167*U3/S3,"n/a")</f>
      </c>
      <c r="T1179" s="619">
        <f>IFERROR(-T1168/T1167*U3/T3,"n/a")</f>
      </c>
      <c r="U1179" s="937">
        <f>IFERROR(-U1168/U1167,"n/a")</f>
      </c>
      <c r="V1179" s="619">
        <f>IFERROR(-V1168/V1167*Z3/V3,"n/a")</f>
      </c>
      <c r="W1179" s="619">
        <f>IFERROR(-W1168/W1167*Z3/W3,"n/a")</f>
      </c>
      <c r="X1179" s="619">
        <f>IFERROR(-X1168/X1167*Z3/X3,"n/a")</f>
      </c>
      <c r="Y1179" s="619">
        <f>IFERROR(-Y1168/Y1167*Z3/Y3,"n/a")</f>
      </c>
      <c r="Z1179" s="937">
        <f>IFERROR(-Z1168/Z1167,"n/a")</f>
      </c>
      <c r="AA1179" s="619">
        <f>IFERROR(-AA1168/AA1167*AE3/AA3,"n/a")</f>
      </c>
      <c r="AB1179" s="619">
        <f>IFERROR(-AB1168/AB1167*AE3/AB3,"n/a")</f>
      </c>
      <c r="AC1179" s="619">
        <f>IFERROR(-AC1168/AC1167*AE3/AC3,"n/a")</f>
      </c>
      <c r="AD1179" s="619">
        <f>IFERROR(-AD1168/AD1167*AE3/AD3,"n/a")</f>
      </c>
      <c r="AE1179" s="937">
        <f>IFERROR(-AE1168/AE1167,"n/a")</f>
      </c>
      <c r="AF1179" s="619">
        <f>IFERROR(-AF1168/AF1167*AJ3/AF3,"n/a")</f>
      </c>
      <c r="AG1179" s="619">
        <f>IFERROR(-AG1168/AG1167*AJ3/AG3,"n/a")</f>
      </c>
      <c r="AH1179" s="619">
        <f>IFERROR(-AH1168/AH1167*AJ3/AH3,"n/a")</f>
      </c>
      <c r="AI1179" s="619">
        <f>IFERROR(-AI1168/AI1167*AJ3/AI3,"n/a")</f>
      </c>
      <c r="AJ1179" s="937">
        <f>IFERROR(-AJ1168/AJ1167,"n/a")</f>
      </c>
      <c r="AK1179" s="619">
        <f>IFERROR(-AK1168/AK1167*AO3/AK3,"n/a")</f>
      </c>
      <c r="AL1179" s="619">
        <f>IFERROR(-AL1168/AL1167*AO3/AL3,"n/a")</f>
      </c>
      <c r="AM1179" s="619">
        <f>IFERROR(-AM1168/AM1167*AO3/AM3,"n/a")</f>
      </c>
      <c r="AN1179" s="619">
        <f>IFERROR(-AN1168/AN1167*AO3/AN3,"n/a")</f>
      </c>
      <c r="AO1179" s="937">
        <f>IFERROR(-AO1168/AO1167,"n/a")</f>
      </c>
      <c r="AP1179" s="619">
        <f>IFERROR(-AP1168/AP1167*AT3/AP3,"n/a")</f>
      </c>
      <c r="AQ1179" s="619">
        <f>IFERROR(-AQ1168/AQ1167*AT3/AQ3,"n/a")</f>
      </c>
      <c r="AR1179" s="619">
        <f>IFERROR(-AR1168/AR1167*AT3/AR3,"n/a")</f>
      </c>
      <c r="AS1179" s="619">
        <f>IFERROR(-AS1168/AS1167*AT3/AS3,"n/a")</f>
      </c>
      <c r="AT1179" s="937">
        <f>IFERROR(-AT1168/AT1167,"n/a")</f>
      </c>
      <c r="AU1179" s="619">
        <f>IFERROR(-AU1168/AU1167*AY3/AU3,"n/a")</f>
      </c>
      <c r="AV1179" s="619">
        <f>IFERROR(-AV1168/AV1167*AY3/AV3,"n/a")</f>
      </c>
      <c r="AW1179" s="619">
        <f>IFERROR(-AW1168/AW1167*AY3/AW3,"n/a")</f>
      </c>
      <c r="AX1179" s="619">
        <f>IFERROR(-AX1168/AX1167*AY3/AX3,"n/a")</f>
      </c>
      <c r="AY1179" s="937">
        <f>IFERROR(-AY1168/AY1167,"n/a")</f>
      </c>
      <c r="AZ1179" s="619">
        <f>IFERROR(-AZ1168/AZ1167*BD3/AZ3,"n/a")</f>
      </c>
      <c r="BA1179" s="619">
        <f>IFERROR(-BA1168/BA1167*BD3/BA3,"n/a")</f>
      </c>
      <c r="BB1179" s="619">
        <f>IFERROR(-BB1168/BB1167*BD3/BB3,"n/a")</f>
      </c>
      <c r="BC1179" s="619">
        <f>IFERROR(-BC1168/BC1167*BD3/BC3,"n/a")</f>
      </c>
      <c r="BD1179" s="937">
        <f>IFERROR(-BD1168/BD1167,"n/a")</f>
      </c>
      <c r="BE1179" s="619">
        <f>IFERROR(-BE1168/BE1167*BI3/BE3,"n/a")</f>
      </c>
      <c r="BF1179" s="619">
        <f>IFERROR(-BF1168/BF1167*BI3/BF3,"n/a")</f>
      </c>
      <c r="BG1179" s="619">
        <f>IFERROR(-BG1168/BG1167*BI3/BG3,"n/a")</f>
      </c>
      <c r="BH1179" s="619">
        <f>IFERROR(-BH1168/BH1167*BI3/BH3,"n/a")</f>
      </c>
      <c r="BI1179" s="937">
        <f>IFERROR(-BI1168/BI1167,"n/a")</f>
      </c>
      <c r="BJ1179" s="619">
        <f>IFERROR(-BJ1168/BJ1167*BN3/BJ3,"n/a")</f>
      </c>
      <c r="BK1179" s="619">
        <f>IFERROR(-BK1168/BK1167*BN3/BK3,"n/a")</f>
      </c>
      <c r="BL1179" s="619">
        <f>IFERROR(-BL1168/BL1167*BN3/BL3,"n/a")</f>
      </c>
      <c r="BM1179" s="619">
        <f>IFERROR(-BM1168/BM1167*BN3/BM3,"n/a")</f>
      </c>
      <c r="BN1179" s="937">
        <f>IFERROR(-BN1168/BN1167,"n/a")</f>
      </c>
      <c r="BO1179" s="619">
        <f>IFERROR(-BO1168/BO1167*BS3/BO3,"n/a")</f>
      </c>
      <c r="BP1179" s="619">
        <f>IFERROR(-BP1168/BP1167*BS3/BP3,"n/a")</f>
      </c>
      <c r="BQ1179" s="619">
        <f>IFERROR(-BQ1168/BQ1167*BS3/BQ3,"n/a")</f>
      </c>
      <c r="BR1179" s="619">
        <f>IFERROR(-BR1168/BR1167*BS3/BR3,"n/a")</f>
      </c>
      <c r="BS1179" s="937">
        <f>IFERROR(-BS1168/BS1167,"n/a")</f>
      </c>
      <c r="BT1179" s="664">
        <f>IFERROR(-BT1168/BT1167*BX3/BT3,"n/a")</f>
      </c>
      <c r="BU1179" s="848">
        <v>0.2</v>
      </c>
      <c r="BV1179" s="848">
        <v>0.2</v>
      </c>
      <c r="BW1179" s="848">
        <v>0.2</v>
      </c>
      <c r="BX1179" s="936">
        <f>AVERAGE(BT1179,BU1179,BV1179,BW1179)</f>
      </c>
      <c r="BY1179" s="848">
        <v>0.2</v>
      </c>
      <c r="BZ1179" s="848">
        <v>0.2</v>
      </c>
      <c r="CA1179" s="848">
        <v>0.2</v>
      </c>
      <c r="CB1179" s="848">
        <v>0.2</v>
      </c>
      <c r="CC1179" s="936">
        <f>AVERAGE(BY1179,BZ1179,CA1179,CB1179)</f>
      </c>
      <c r="CD1179" s="955">
        <v>0.2</v>
      </c>
      <c r="CE1179" s="955">
        <v>0.2</v>
      </c>
      <c r="CF1179" s="955">
        <v>0.2</v>
      </c>
      <c r="CG1179" s="183"/>
    </row>
    <row r="1180" spans="1:85" x14ac:dyDescent="0.3">
      <c r="A1180" s="214" t="s">
        <v>492</v>
      </c>
      <c r="B1180" s="770"/>
      <c r="C1180" s="936"/>
      <c r="D1180" s="937">
        <f>IFERROR(-D1174/D1173,"n/a")</f>
      </c>
      <c r="E1180" s="937">
        <f>IFERROR(-E1174/E1173,"n/a")</f>
      </c>
      <c r="F1180" s="937">
        <f>IFERROR(-F1174/F1173,"n/a")</f>
      </c>
      <c r="G1180" s="619">
        <f>IFERROR(-G1174/G1173*K3/G3,"n/a")</f>
      </c>
      <c r="H1180" s="619">
        <f>IFERROR(-H1174/H1173*K3/H3,"n/a")</f>
      </c>
      <c r="I1180" s="619">
        <f>IFERROR(-I1174/I1173*K3/I3,"n/a")</f>
      </c>
      <c r="J1180" s="619">
        <f>IFERROR(-J1174/J1173*K3/J3,"n/a")</f>
      </c>
      <c r="K1180" s="937">
        <f>IFERROR(-K1174/K1173,"n/a")</f>
      </c>
      <c r="L1180" s="619">
        <f>IFERROR(-L1174/L1173*P3/L3,"n/a")</f>
      </c>
      <c r="M1180" s="619">
        <f>IFERROR(-M1174/M1173*P3/M3,"n/a")</f>
      </c>
      <c r="N1180" s="619">
        <f>IFERROR(-N1174/N1173*P3/N3,"n/a")</f>
      </c>
      <c r="O1180" s="619">
        <f>IFERROR(-O1174/O1173*P3/O3,"n/a")</f>
      </c>
      <c r="P1180" s="937">
        <f>IFERROR(-P1174/P1173,"n/a")</f>
      </c>
      <c r="Q1180" s="619">
        <f>IFERROR(-Q1174/Q1173*U3/Q3,"n/a")</f>
      </c>
      <c r="R1180" s="619">
        <f>IFERROR(-R1174/R1173*U3/R3,"n/a")</f>
      </c>
      <c r="S1180" s="619">
        <f>IFERROR(-S1174/S1173*U3/S3,"n/a")</f>
      </c>
      <c r="T1180" s="619">
        <f>IFERROR(-T1174/T1173*U3/T3,"n/a")</f>
      </c>
      <c r="U1180" s="937">
        <f>IFERROR(-U1174/U1173,"n/a")</f>
      </c>
      <c r="V1180" s="619">
        <f>IFERROR(-V1174/V1173*Z3/V3,"n/a")</f>
      </c>
      <c r="W1180" s="619">
        <f>IFERROR(-W1174/W1173*Z3/W3,"n/a")</f>
      </c>
      <c r="X1180" s="619">
        <f>IFERROR(-X1174/X1173*Z3/X3,"n/a")</f>
      </c>
      <c r="Y1180" s="619">
        <f>IFERROR(-Y1174/Y1173*Z3/Y3,"n/a")</f>
      </c>
      <c r="Z1180" s="937">
        <f>IFERROR(-Z1174/Z1173,"n/a")</f>
      </c>
      <c r="AA1180" s="619">
        <f>IFERROR(-AA1174/AA1173*AE3/AA3,"n/a")</f>
      </c>
      <c r="AB1180" s="619">
        <f>IFERROR(-AB1174/AB1173*AE3/AB3,"n/a")</f>
      </c>
      <c r="AC1180" s="619">
        <f>IFERROR(-AC1174/AC1173*AE3/AC3,"n/a")</f>
      </c>
      <c r="AD1180" s="619">
        <f>IFERROR(-AD1174/AD1173*AE3/AD3,"n/a")</f>
      </c>
      <c r="AE1180" s="937">
        <f>IFERROR(-AE1174/AE1173,"n/a")</f>
      </c>
      <c r="AF1180" s="619">
        <f>IFERROR(-AF1174/AF1173*AJ3/AF3,"n/a")</f>
      </c>
      <c r="AG1180" s="619">
        <f>IFERROR(-AG1174/AG1173*AJ3/AG3,"n/a")</f>
      </c>
      <c r="AH1180" s="619">
        <f>IFERROR(-AH1174/AH1173*AJ3/AH3,"n/a")</f>
      </c>
      <c r="AI1180" s="619">
        <f>IFERROR(-AI1174/AI1173*AJ3/AI3,"n/a")</f>
      </c>
      <c r="AJ1180" s="937">
        <f>IFERROR(-AJ1174/AJ1173,"n/a")</f>
      </c>
      <c r="AK1180" s="619">
        <f>IFERROR(-AK1174/AK1173*AO3/AK3,"n/a")</f>
      </c>
      <c r="AL1180" s="619">
        <f>IFERROR(-AL1174/AL1173*AO3/AL3,"n/a")</f>
      </c>
      <c r="AM1180" s="619">
        <f>IFERROR(-AM1174/AM1173*AO3/AM3,"n/a")</f>
      </c>
      <c r="AN1180" s="619">
        <f>IFERROR(-AN1174/AN1173*AO3/AN3,"n/a")</f>
      </c>
      <c r="AO1180" s="937">
        <f>IFERROR(-AO1174/AO1173,"n/a")</f>
      </c>
      <c r="AP1180" s="619">
        <f>IFERROR(-AP1174/AP1173*AT3/AP3,"n/a")</f>
      </c>
      <c r="AQ1180" s="619">
        <f>IFERROR(-AQ1174/AQ1173*AT3/AQ3,"n/a")</f>
      </c>
      <c r="AR1180" s="619">
        <f>IFERROR(-AR1174/AR1173*AT3/AR3,"n/a")</f>
      </c>
      <c r="AS1180" s="619">
        <f>IFERROR(-AS1174/AS1173*AT3/AS3,"n/a")</f>
      </c>
      <c r="AT1180" s="937">
        <f>IFERROR(-AT1174/AT1173,"n/a")</f>
      </c>
      <c r="AU1180" s="619">
        <f>IFERROR(-AU1174/AU1173*AY3/AU3,"n/a")</f>
      </c>
      <c r="AV1180" s="619">
        <f>IFERROR(-AV1174/AV1173*AY3/AV3,"n/a")</f>
      </c>
      <c r="AW1180" s="619">
        <f>IFERROR(-AW1174/AW1173*AY3/AW3,"n/a")</f>
      </c>
      <c r="AX1180" s="619">
        <f>IFERROR(-AX1174/AX1173*AY3/AX3,"n/a")</f>
      </c>
      <c r="AY1180" s="937">
        <f>IFERROR(-AY1174/AY1173,"n/a")</f>
      </c>
      <c r="AZ1180" s="619">
        <f>IFERROR(-AZ1174/AZ1173*BD3/AZ3,"n/a")</f>
      </c>
      <c r="BA1180" s="619">
        <f>IFERROR(-BA1174/BA1173*BD3/BA3,"n/a")</f>
      </c>
      <c r="BB1180" s="619">
        <f>IFERROR(-BB1174/BB1173*BD3/BB3,"n/a")</f>
      </c>
      <c r="BC1180" s="619">
        <f>IFERROR(-BC1174/BC1173*BD3/BC3,"n/a")</f>
      </c>
      <c r="BD1180" s="937">
        <f>IFERROR(-BD1174/BD1173,"n/a")</f>
      </c>
      <c r="BE1180" s="619">
        <f>IFERROR(-BE1174/BE1173*BI3/BE3,"n/a")</f>
      </c>
      <c r="BF1180" s="619">
        <f>IFERROR(-BF1174/BF1173*BI3/BF3,"n/a")</f>
      </c>
      <c r="BG1180" s="619">
        <f>IFERROR(-BG1174/BG1173*BI3/BG3,"n/a")</f>
      </c>
      <c r="BH1180" s="619">
        <f>IFERROR(-BH1174/BH1173*BI3/BH3,"n/a")</f>
      </c>
      <c r="BI1180" s="937">
        <f>IFERROR(-BI1174/BI1173,"n/a")</f>
      </c>
      <c r="BJ1180" s="619">
        <f>IFERROR(-BJ1174/BJ1173*BN3/BJ3,"n/a")</f>
      </c>
      <c r="BK1180" s="619">
        <f>IFERROR(-BK1174/BK1173*BN3/BK3,"n/a")</f>
      </c>
      <c r="BL1180" s="619">
        <f>IFERROR(-BL1174/BL1173*BN3/BL3,"n/a")</f>
      </c>
      <c r="BM1180" s="619">
        <f>IFERROR(-BM1174/BM1173*BN3/BM3,"n/a")</f>
      </c>
      <c r="BN1180" s="937">
        <f>IFERROR(-BN1174/BN1173,"n/a")</f>
      </c>
      <c r="BO1180" s="619">
        <f>IFERROR(-BO1174/BO1173*BS3/BO3,"n/a")</f>
      </c>
      <c r="BP1180" s="619">
        <f>IFERROR(-BP1174/BP1173*BS3/BP3,"n/a")</f>
      </c>
      <c r="BQ1180" s="619">
        <f>IFERROR(-BQ1174/BQ1173*BS3/BQ3,"n/a")</f>
      </c>
      <c r="BR1180" s="619">
        <f>IFERROR(-BR1174/BR1173*BS3/BR3,"n/a")</f>
      </c>
      <c r="BS1180" s="937">
        <f>IFERROR(-BS1174/BS1173,"n/a")</f>
      </c>
      <c r="BT1180" s="664">
        <f>IFERROR(-BT1174/BT1173*BX3/BT3,"n/a")</f>
      </c>
      <c r="BU1180" s="848">
        <v>0.48</v>
      </c>
      <c r="BV1180" s="848">
        <v>0.48</v>
      </c>
      <c r="BW1180" s="848">
        <v>0.48</v>
      </c>
      <c r="BX1180" s="936">
        <f>AVERAGE(BT1180,BU1180,BV1180,BW1180)</f>
      </c>
      <c r="BY1180" s="848">
        <v>0.48</v>
      </c>
      <c r="BZ1180" s="848">
        <v>0.48</v>
      </c>
      <c r="CA1180" s="848">
        <v>0.48</v>
      </c>
      <c r="CB1180" s="848">
        <v>0.48</v>
      </c>
      <c r="CC1180" s="936">
        <f>AVERAGE(BY1180,BZ1180,CA1180,CB1180)</f>
      </c>
      <c r="CD1180" s="955">
        <v>0.48</v>
      </c>
      <c r="CE1180" s="955">
        <v>0.48</v>
      </c>
      <c r="CF1180" s="955">
        <v>0.48</v>
      </c>
      <c r="CG1180" s="183"/>
    </row>
    <row r="1181" spans="1:85" x14ac:dyDescent="0.3">
      <c r="A1181" s="4" t="s">
        <v>495</v>
      </c>
      <c r="B1181" s="428"/>
      <c r="C1181" s="931"/>
      <c r="D1181" s="1081">
        <f>IFERROR(-D1167/D1168,"n/a")</f>
      </c>
      <c r="E1181" s="1081">
        <f>IFERROR(-E1167/E1168,"n/a")</f>
      </c>
      <c r="F1181" s="1081">
        <f>IFERROR(-F1167/F1168,"n/a")</f>
      </c>
      <c r="G1181" s="628">
        <f>IFERROR(-G1167/G1168*G3/K3,"n/a")</f>
      </c>
      <c r="H1181" s="628">
        <f>IFERROR(-H1167/H1168*H3/K3,"n/a")</f>
      </c>
      <c r="I1181" s="628">
        <f>IFERROR(-I1167/I1168*I3/K3,"n/a")</f>
      </c>
      <c r="J1181" s="628">
        <f>IFERROR(-J1167/J1168*J3/K3,"n/a")</f>
      </c>
      <c r="K1181" s="1081">
        <f>IFERROR(-K1167/K1168,"n/a")</f>
      </c>
      <c r="L1181" s="628">
        <f>IFERROR(-L1167/L1168*L3/P3,"n/a")</f>
      </c>
      <c r="M1181" s="628">
        <f>IFERROR(-M1167/M1168*M3/P3,"n/a")</f>
      </c>
      <c r="N1181" s="628">
        <f>IFERROR(-N1167/N1168*N3/P3,"n/a")</f>
      </c>
      <c r="O1181" s="628">
        <f>IFERROR(-O1167/O1168*O3/P3,"n/a")</f>
      </c>
      <c r="P1181" s="1081">
        <f>IFERROR(-P1167/P1168,"n/a")</f>
      </c>
      <c r="Q1181" s="628">
        <f>IFERROR(-Q1167/Q1168*Q3/U3,"n/a")</f>
      </c>
      <c r="R1181" s="628">
        <f>IFERROR(-R1167/R1168*R3/U3,"n/a")</f>
      </c>
      <c r="S1181" s="628">
        <f>IFERROR(-S1167/S1168*S3/U3,"n/a")</f>
      </c>
      <c r="T1181" s="628">
        <f>IFERROR(-T1167/T1168*T3/U3,"n/a")</f>
      </c>
      <c r="U1181" s="1081">
        <f>IFERROR(-U1167/U1168,"n/a")</f>
      </c>
      <c r="V1181" s="628">
        <f>IFERROR(-V1167/V1168*V3/Z3,"n/a")</f>
      </c>
      <c r="W1181" s="628">
        <f>IFERROR(-W1167/W1168*W3/Z3,"n/a")</f>
      </c>
      <c r="X1181" s="628">
        <f>IFERROR(-X1167/X1168*X3/Z3,"n/a")</f>
      </c>
      <c r="Y1181" s="628">
        <f>IFERROR(-Y1167/Y1168*Y3/Z3,"n/a")</f>
      </c>
      <c r="Z1181" s="1081">
        <f>IFERROR(-Z1167/Z1168,"n/a")</f>
      </c>
      <c r="AA1181" s="628">
        <f>IFERROR(-AA1167/AA1168*AA3/AE3,"n/a")</f>
      </c>
      <c r="AB1181" s="628">
        <f>IFERROR(-AB1167/AB1168*AB3/AE3,"n/a")</f>
      </c>
      <c r="AC1181" s="628">
        <f>IFERROR(-AC1167/AC1168*AC3/AE3,"n/a")</f>
      </c>
      <c r="AD1181" s="628">
        <f>IFERROR(-AD1167/AD1168*AD3/AE3,"n/a")</f>
      </c>
      <c r="AE1181" s="1081">
        <f>IFERROR(-AE1167/AE1168,"n/a")</f>
      </c>
      <c r="AF1181" s="628">
        <f>IFERROR(-AF1167/AF1168*AF3/AJ3,"n/a")</f>
      </c>
      <c r="AG1181" s="628">
        <f>IFERROR(-AG1167/AG1168*AG3/AJ3,"n/a")</f>
      </c>
      <c r="AH1181" s="628">
        <f>IFERROR(-AH1167/AH1168*AH3/AJ3,"n/a")</f>
      </c>
      <c r="AI1181" s="628">
        <f>IFERROR(-AI1167/AI1168*AI3/AJ3,"n/a")</f>
      </c>
      <c r="AJ1181" s="1081">
        <f>IFERROR(-AJ1167/AJ1168,"n/a")</f>
      </c>
      <c r="AK1181" s="628">
        <f>IFERROR(-AK1167/AK1168*AK3/AO3,"n/a")</f>
      </c>
      <c r="AL1181" s="628">
        <f>IFERROR(-AL1167/AL1168*AL3/AO3,"n/a")</f>
      </c>
      <c r="AM1181" s="628">
        <f>IFERROR(-AM1167/AM1168*AM3/AO3,"n/a")</f>
      </c>
      <c r="AN1181" s="628">
        <f>IFERROR(-AN1167/AN1168*AN3/AO3,"n/a")</f>
      </c>
      <c r="AO1181" s="1081">
        <f>IFERROR(-AO1167/AO1168,"n/a")</f>
      </c>
      <c r="AP1181" s="628">
        <f>IFERROR(-AP1167/AP1168*AP3/AT3,"n/a")</f>
      </c>
      <c r="AQ1181" s="628">
        <f>IFERROR(-AQ1167/AQ1168*AQ3/AT3,"n/a")</f>
      </c>
      <c r="AR1181" s="628">
        <f>IFERROR(-AR1167/AR1168*AR3/AT3,"n/a")</f>
      </c>
      <c r="AS1181" s="628">
        <f>IFERROR(-AS1167/AS1168*AS3/AT3,"n/a")</f>
      </c>
      <c r="AT1181" s="1081">
        <f>IFERROR(-AT1167/AT1168,"n/a")</f>
      </c>
      <c r="AU1181" s="628">
        <f>IFERROR(-AU1167/AU1168*AU3/AY3,"n/a")</f>
      </c>
      <c r="AV1181" s="628">
        <f>IFERROR(-AV1167/AV1168*AV3/AY3,"n/a")</f>
      </c>
      <c r="AW1181" s="628">
        <f>IFERROR(-AW1167/AW1168*AW3/AY3,"n/a")</f>
      </c>
      <c r="AX1181" s="628">
        <f>IFERROR(-AX1167/AX1168*AX3/AY3,"n/a")</f>
      </c>
      <c r="AY1181" s="1081">
        <f>IFERROR(-AY1167/AY1168,"n/a")</f>
      </c>
      <c r="AZ1181" s="628">
        <f>IFERROR(-AZ1167/AZ1168*AZ3/BD3,"n/a")</f>
      </c>
      <c r="BA1181" s="628">
        <f>IFERROR(-BA1167/BA1168*BA3/BD3,"n/a")</f>
      </c>
      <c r="BB1181" s="628">
        <f>IFERROR(-BB1167/BB1168*BB3/BD3,"n/a")</f>
      </c>
      <c r="BC1181" s="628">
        <f>IFERROR(-BC1167/BC1168*BC3/BD3,"n/a")</f>
      </c>
      <c r="BD1181" s="1081">
        <f>IFERROR(-BD1167/BD1168,"n/a")</f>
      </c>
      <c r="BE1181" s="628">
        <f>IFERROR(-BE1167/BE1168*BE3/BI3,"n/a")</f>
      </c>
      <c r="BF1181" s="628">
        <f>IFERROR(-BF1167/BF1168*BF3/BI3,"n/a")</f>
      </c>
      <c r="BG1181" s="628">
        <f>IFERROR(-BG1167/BG1168*BG3/BI3,"n/a")</f>
      </c>
      <c r="BH1181" s="628">
        <f>IFERROR(-BH1167/BH1168*BH3/BI3,"n/a")</f>
      </c>
      <c r="BI1181" s="1081">
        <f>IFERROR(-BI1167/BI1168,"n/a")</f>
      </c>
      <c r="BJ1181" s="628">
        <f>IFERROR(-BJ1167/BJ1168*BJ3/BN3,"n/a")</f>
      </c>
      <c r="BK1181" s="628">
        <f>IFERROR(-BK1167/BK1168*BK3/BN3,"n/a")</f>
      </c>
      <c r="BL1181" s="628">
        <f>IFERROR(-BL1167/BL1168*BL3/BN3,"n/a")</f>
      </c>
      <c r="BM1181" s="628">
        <f>IFERROR(-BM1167/BM1168*BM3/BN3,"n/a")</f>
      </c>
      <c r="BN1181" s="1081">
        <f>IFERROR(-BN1167/BN1168,"n/a")</f>
      </c>
      <c r="BO1181" s="628">
        <f>IFERROR(-BO1167/BO1168*BO3/BS3,"n/a")</f>
      </c>
      <c r="BP1181" s="628">
        <f>IFERROR(-BP1167/BP1168*BP3/BS3,"n/a")</f>
      </c>
      <c r="BQ1181" s="628">
        <f>IFERROR(-BQ1167/BQ1168*BQ3/BS3,"n/a")</f>
      </c>
      <c r="BR1181" s="628">
        <f>IFERROR(-BR1167/BR1168*BR3/BS3,"n/a")</f>
      </c>
      <c r="BS1181" s="1081">
        <f>IFERROR(-BS1167/BS1168,"n/a")</f>
      </c>
      <c r="BT1181" s="720">
        <f>IFERROR(-BT1167/BT1168*BT3/BX3,"n/a")</f>
      </c>
      <c r="BU1181" s="215">
        <f>IFERROR(-BU1167/BU1168*BU3/BX3,"n/a")</f>
      </c>
      <c r="BV1181" s="215">
        <f>IFERROR(-BV1167/BV1168*BV3/BX3,"n/a")</f>
      </c>
      <c r="BW1181" s="215">
        <f>IFERROR(-BW1167/BW1168*BW3/BX3,"n/a")</f>
      </c>
      <c r="BX1181" s="931">
        <f>AVERAGE(BT1181,BU1181,BV1181,BW1181)</f>
      </c>
      <c r="BY1181" s="215">
        <f>IFERROR(-BY1167/BY1168*BY3/CC3,"n/a")</f>
      </c>
      <c r="BZ1181" s="215">
        <f>IFERROR(-BZ1167/BZ1168*BZ3/CC3,"n/a")</f>
      </c>
      <c r="CA1181" s="215">
        <f>IFERROR(-CA1167/CA1168*CA3/CC3,"n/a")</f>
      </c>
      <c r="CB1181" s="215">
        <f>IFERROR(-CB1167/CB1168*CB3/CC3,"n/a")</f>
      </c>
      <c r="CC1181" s="931">
        <f>AVERAGE(BY1181,BZ1181,CA1181,CB1181)</f>
      </c>
      <c r="CD1181" s="931">
        <f>IFERROR(-CD1167/CD1168,"n/a")</f>
      </c>
      <c r="CE1181" s="931">
        <f>IFERROR(-CE1167/CE1168,"n/a")</f>
      </c>
      <c r="CF1181" s="931">
        <f>IFERROR(-CF1167/CF1168,"n/a")</f>
      </c>
      <c r="CG1181" s="183"/>
    </row>
    <row r="1182" spans="1:85" x14ac:dyDescent="0.3">
      <c r="A1182" s="4" t="s">
        <v>496</v>
      </c>
      <c r="B1182" s="428"/>
      <c r="C1182" s="931"/>
      <c r="D1182" s="1081">
        <f>IFERROR(-D1173/D1174,"n/a")</f>
      </c>
      <c r="E1182" s="1081">
        <f>IFERROR(-E1173/E1174,"n/a")</f>
      </c>
      <c r="F1182" s="1081">
        <f>IFERROR(-F1173/F1174,"n/a")</f>
      </c>
      <c r="G1182" s="628">
        <f>IFERROR(-G1173/G1174*G3/K3,"n/a")</f>
      </c>
      <c r="H1182" s="628">
        <f>IFERROR(-H1173/H1174*H3/K3,"n/a")</f>
      </c>
      <c r="I1182" s="628">
        <f>IFERROR(-I1173/I1174*I3/K3,"n/a")</f>
      </c>
      <c r="J1182" s="628">
        <f>IFERROR(-J1173/J1174*J3/K3,"n/a")</f>
      </c>
      <c r="K1182" s="1081">
        <f>IFERROR(-K1173/K1174,"n/a")</f>
      </c>
      <c r="L1182" s="628">
        <f>IFERROR(-L1173/L1174*L3/P3,"n/a")</f>
      </c>
      <c r="M1182" s="628">
        <f>IFERROR(-M1173/M1174*M3/P3,"n/a")</f>
      </c>
      <c r="N1182" s="628">
        <f>IFERROR(-N1173/N1174*N3/P3,"n/a")</f>
      </c>
      <c r="O1182" s="628">
        <f>IFERROR(-O1173/O1174*O3/P3,"n/a")</f>
      </c>
      <c r="P1182" s="1081">
        <f>IFERROR(-P1173/P1174,"n/a")</f>
      </c>
      <c r="Q1182" s="628">
        <f>IFERROR(-Q1173/Q1174*Q3/U3,"n/a")</f>
      </c>
      <c r="R1182" s="628">
        <f>IFERROR(-R1173/R1174*R3/U3,"n/a")</f>
      </c>
      <c r="S1182" s="628">
        <f>IFERROR(-S1173/S1174*S3/U3,"n/a")</f>
      </c>
      <c r="T1182" s="628">
        <f>IFERROR(-T1173/T1174*T3/U3,"n/a")</f>
      </c>
      <c r="U1182" s="1081">
        <f>IFERROR(-U1173/U1174,"n/a")</f>
      </c>
      <c r="V1182" s="628">
        <f>IFERROR(-V1173/V1174*V3/Z3,"n/a")</f>
      </c>
      <c r="W1182" s="628">
        <f>IFERROR(-W1173/W1174*W3/Z3,"n/a")</f>
      </c>
      <c r="X1182" s="628">
        <f>IFERROR(-X1173/X1174*X3/Z3,"n/a")</f>
      </c>
      <c r="Y1182" s="628">
        <f>IFERROR(-Y1173/Y1174*Y3/Z3,"n/a")</f>
      </c>
      <c r="Z1182" s="1081">
        <f>IFERROR(-Z1173/Z1174,"n/a")</f>
      </c>
      <c r="AA1182" s="628">
        <f>IFERROR(-AA1173/AA1174*AA3/AE3,"n/a")</f>
      </c>
      <c r="AB1182" s="628">
        <f>IFERROR(-AB1173/AB1174*AB3/AE3,"n/a")</f>
      </c>
      <c r="AC1182" s="628">
        <f>IFERROR(-AC1173/AC1174*AC3/AE3,"n/a")</f>
      </c>
      <c r="AD1182" s="628">
        <f>IFERROR(-AD1173/AD1174*AD3/AE3,"n/a")</f>
      </c>
      <c r="AE1182" s="1081">
        <f>IFERROR(-AE1173/AE1174,"n/a")</f>
      </c>
      <c r="AF1182" s="628">
        <f>IFERROR(-AF1173/AF1174*AF3/AJ3,"n/a")</f>
      </c>
      <c r="AG1182" s="628">
        <f>IFERROR(-AG1173/AG1174*AG3/AJ3,"n/a")</f>
      </c>
      <c r="AH1182" s="628">
        <f>IFERROR(-AH1173/AH1174*AH3/AJ3,"n/a")</f>
      </c>
      <c r="AI1182" s="628">
        <f>IFERROR(-AI1173/AI1174*AI3/AJ3,"n/a")</f>
      </c>
      <c r="AJ1182" s="1081">
        <f>IFERROR(-AJ1173/AJ1174,"n/a")</f>
      </c>
      <c r="AK1182" s="628">
        <f>IFERROR(-AK1173/AK1174*AK3/AO3,"n/a")</f>
      </c>
      <c r="AL1182" s="628">
        <f>IFERROR(-AL1173/AL1174*AL3/AO3,"n/a")</f>
      </c>
      <c r="AM1182" s="628">
        <f>IFERROR(-AM1173/AM1174*AM3/AO3,"n/a")</f>
      </c>
      <c r="AN1182" s="628">
        <f>IFERROR(-AN1173/AN1174*AN3/AO3,"n/a")</f>
      </c>
      <c r="AO1182" s="1081">
        <f>IFERROR(-AO1173/AO1174,"n/a")</f>
      </c>
      <c r="AP1182" s="628">
        <f>IFERROR(-AP1173/AP1174*AP3/AT3,"n/a")</f>
      </c>
      <c r="AQ1182" s="628">
        <f>IFERROR(-AQ1173/AQ1174*AQ3/AT3,"n/a")</f>
      </c>
      <c r="AR1182" s="628">
        <f>IFERROR(-AR1173/AR1174*AR3/AT3,"n/a")</f>
      </c>
      <c r="AS1182" s="628">
        <f>IFERROR(-AS1173/AS1174*AS3/AT3,"n/a")</f>
      </c>
      <c r="AT1182" s="1081">
        <f>IFERROR(-AT1173/AT1174,"n/a")</f>
      </c>
      <c r="AU1182" s="628">
        <f>IFERROR(-AU1173/AU1174*AU3/AY3,"n/a")</f>
      </c>
      <c r="AV1182" s="628">
        <f>IFERROR(-AV1173/AV1174*AV3/AY3,"n/a")</f>
      </c>
      <c r="AW1182" s="628">
        <f>IFERROR(-AW1173/AW1174*AW3/AY3,"n/a")</f>
      </c>
      <c r="AX1182" s="628">
        <f>IFERROR(-AX1173/AX1174*AX3/AY3,"n/a")</f>
      </c>
      <c r="AY1182" s="1081">
        <f>IFERROR(-AY1173/AY1174,"n/a")</f>
      </c>
      <c r="AZ1182" s="628">
        <f>IFERROR(-AZ1173/AZ1174*AZ3/BD3,"n/a")</f>
      </c>
      <c r="BA1182" s="628">
        <f>IFERROR(-BA1173/BA1174*BA3/BD3,"n/a")</f>
      </c>
      <c r="BB1182" s="628">
        <f>IFERROR(-BB1173/BB1174*BB3/BD3,"n/a")</f>
      </c>
      <c r="BC1182" s="628">
        <f>IFERROR(-BC1173/BC1174*BC3/BD3,"n/a")</f>
      </c>
      <c r="BD1182" s="1081">
        <f>IFERROR(-BD1173/BD1174,"n/a")</f>
      </c>
      <c r="BE1182" s="628">
        <f>IFERROR(-BE1173/BE1174*BE3/BI3,"n/a")</f>
      </c>
      <c r="BF1182" s="628">
        <f>IFERROR(-BF1173/BF1174*BF3/BI3,"n/a")</f>
      </c>
      <c r="BG1182" s="628">
        <f>IFERROR(-BG1173/BG1174*BG3/BI3,"n/a")</f>
      </c>
      <c r="BH1182" s="628">
        <f>IFERROR(-BH1173/BH1174*BH3/BI3,"n/a")</f>
      </c>
      <c r="BI1182" s="1081">
        <f>IFERROR(-BI1173/BI1174,"n/a")</f>
      </c>
      <c r="BJ1182" s="628">
        <f>IFERROR(-BJ1173/BJ1174*BJ3/BN3,"n/a")</f>
      </c>
      <c r="BK1182" s="628">
        <f>IFERROR(-BK1173/BK1174*BK3/BN3,"n/a")</f>
      </c>
      <c r="BL1182" s="628">
        <f>IFERROR(-BL1173/BL1174*BL3/BN3,"n/a")</f>
      </c>
      <c r="BM1182" s="628">
        <f>IFERROR(-BM1173/BM1174*BM3/BN3,"n/a")</f>
      </c>
      <c r="BN1182" s="1081">
        <f>IFERROR(-BN1173/BN1174,"n/a")</f>
      </c>
      <c r="BO1182" s="628">
        <f>IFERROR(-BO1173/BO1174*BO3/BS3,"n/a")</f>
      </c>
      <c r="BP1182" s="628">
        <f>IFERROR(-BP1173/BP1174*BP3/BS3,"n/a")</f>
      </c>
      <c r="BQ1182" s="628">
        <f>IFERROR(-BQ1173/BQ1174*BQ3/BS3,"n/a")</f>
      </c>
      <c r="BR1182" s="628">
        <f>IFERROR(-BR1173/BR1174*BR3/BS3,"n/a")</f>
      </c>
      <c r="BS1182" s="1081">
        <f>IFERROR(-BS1173/BS1174,"n/a")</f>
      </c>
      <c r="BT1182" s="720">
        <f>IFERROR(-BT1173/BT1174*BT3/BX3,"n/a")</f>
      </c>
      <c r="BU1182" s="215">
        <f>IFERROR(-BU1173/BU1174*BU3/BX3,"n/a")</f>
      </c>
      <c r="BV1182" s="215">
        <f>IFERROR(-BV1173/BV1174*BV3/BX3,"n/a")</f>
      </c>
      <c r="BW1182" s="215">
        <f>IFERROR(-BW1173/BW1174*BW3/BX3,"n/a")</f>
      </c>
      <c r="BX1182" s="931">
        <f>AVERAGE(BT1182,BU1182,BV1182,BW1182)</f>
      </c>
      <c r="BY1182" s="215">
        <f>IFERROR(-BY1173/BY1174*BY3/CC3,"n/a")</f>
      </c>
      <c r="BZ1182" s="215">
        <f>IFERROR(-BZ1173/BZ1174*BZ3/CC3,"n/a")</f>
      </c>
      <c r="CA1182" s="215">
        <f>IFERROR(-CA1173/CA1174*CA3/CC3,"n/a")</f>
      </c>
      <c r="CB1182" s="215">
        <f>IFERROR(-CB1173/CB1174*CB3/CC3,"n/a")</f>
      </c>
      <c r="CC1182" s="931">
        <f>AVERAGE(BY1182,BZ1182,CA1182,CB1182)</f>
      </c>
      <c r="CD1182" s="931">
        <f>IFERROR(-CD1173/CD1174,"n/a")</f>
      </c>
      <c r="CE1182" s="931">
        <f>IFERROR(-CE1173/CE1174,"n/a")</f>
      </c>
      <c r="CF1182" s="931">
        <f>IFERROR(-CF1173/CF1174,"n/a")</f>
      </c>
      <c r="CG1182" s="183"/>
    </row>
    <row r="1183" spans="1:85" x14ac:dyDescent="0.3">
      <c r="A1183" s="436"/>
      <c r="B1183" s="414"/>
      <c r="C1183" s="943"/>
      <c r="D1183" s="943"/>
      <c r="E1183" s="943"/>
      <c r="F1183" s="943"/>
      <c r="G1183" s="753"/>
      <c r="H1183" s="753"/>
      <c r="I1183" s="753"/>
      <c r="J1183" s="753"/>
      <c r="K1183" s="943"/>
      <c r="L1183" s="753"/>
      <c r="M1183" s="753"/>
      <c r="N1183" s="753"/>
      <c r="O1183" s="753"/>
      <c r="P1183" s="943"/>
      <c r="Q1183" s="753"/>
      <c r="R1183" s="753"/>
      <c r="S1183" s="753"/>
      <c r="T1183" s="753"/>
      <c r="U1183" s="943"/>
      <c r="V1183" s="753"/>
      <c r="W1183" s="753"/>
      <c r="X1183" s="753"/>
      <c r="Y1183" s="753"/>
      <c r="Z1183" s="943"/>
      <c r="AA1183" s="753"/>
      <c r="AB1183" s="753"/>
      <c r="AC1183" s="753"/>
      <c r="AD1183" s="753"/>
      <c r="AE1183" s="943"/>
      <c r="AF1183" s="753"/>
      <c r="AG1183" s="753"/>
      <c r="AH1183" s="753"/>
      <c r="AI1183" s="753"/>
      <c r="AJ1183" s="943"/>
      <c r="AK1183" s="753"/>
      <c r="AL1183" s="753"/>
      <c r="AM1183" s="753"/>
      <c r="AN1183" s="753"/>
      <c r="AO1183" s="943"/>
      <c r="AP1183" s="753"/>
      <c r="AQ1183" s="753"/>
      <c r="AR1183" s="753"/>
      <c r="AS1183" s="753"/>
      <c r="AT1183" s="943"/>
      <c r="AU1183" s="753"/>
      <c r="AV1183" s="753"/>
      <c r="AW1183" s="753"/>
      <c r="AX1183" s="753"/>
      <c r="AY1183" s="943"/>
      <c r="AZ1183" s="753"/>
      <c r="BA1183" s="753"/>
      <c r="BB1183" s="753"/>
      <c r="BC1183" s="753"/>
      <c r="BD1183" s="943"/>
      <c r="BE1183" s="753"/>
      <c r="BF1183" s="753"/>
      <c r="BG1183" s="753"/>
      <c r="BH1183" s="753"/>
      <c r="BI1183" s="943"/>
      <c r="BJ1183" s="753"/>
      <c r="BK1183" s="753"/>
      <c r="BL1183" s="753"/>
      <c r="BM1183" s="753"/>
      <c r="BN1183" s="943"/>
      <c r="BO1183" s="753"/>
      <c r="BP1183" s="753"/>
      <c r="BQ1183" s="753"/>
      <c r="BR1183" s="753"/>
      <c r="BS1183" s="943"/>
      <c r="BT1183" s="756"/>
      <c r="BU1183" s="753"/>
      <c r="BV1183" s="753"/>
      <c r="BW1183" s="753"/>
      <c r="BX1183" s="943"/>
      <c r="BY1183" s="753"/>
      <c r="BZ1183" s="753"/>
      <c r="CA1183" s="753"/>
      <c r="CB1183" s="753"/>
      <c r="CC1183" s="943"/>
      <c r="CD1183" s="943"/>
      <c r="CE1183" s="943"/>
      <c r="CF1183" s="943"/>
      <c r="CG1183" s="183"/>
    </row>
    <row r="1184" spans="1:85" x14ac:dyDescent="0.3">
      <c r="A1184" s="4" t="s">
        <v>497</v>
      </c>
      <c r="B1184" s="428"/>
      <c r="C1184" s="1078">
        <f t="shared" ref="C1184:AH1184" si="2654">C477+C1102+C1103</f>
      </c>
      <c r="D1184" s="1078">
        <f t="shared" si="2654"/>
      </c>
      <c r="E1184" s="1078">
        <f t="shared" si="2654"/>
      </c>
      <c r="F1184" s="1078">
        <f t="shared" si="2654"/>
      </c>
      <c r="G1184" s="823">
        <f t="shared" si="2654"/>
      </c>
      <c r="H1184" s="823">
        <f t="shared" si="2654"/>
      </c>
      <c r="I1184" s="823">
        <f t="shared" si="2654"/>
      </c>
      <c r="J1184" s="823">
        <f t="shared" si="2654"/>
      </c>
      <c r="K1184" s="1078">
        <f t="shared" si="2654"/>
      </c>
      <c r="L1184" s="823">
        <f t="shared" si="2654"/>
      </c>
      <c r="M1184" s="823">
        <f t="shared" si="2654"/>
      </c>
      <c r="N1184" s="823">
        <f t="shared" si="2654"/>
      </c>
      <c r="O1184" s="823">
        <f t="shared" si="2654"/>
      </c>
      <c r="P1184" s="1078">
        <f t="shared" si="2654"/>
      </c>
      <c r="Q1184" s="823">
        <f t="shared" si="2654"/>
      </c>
      <c r="R1184" s="823">
        <f t="shared" si="2654"/>
      </c>
      <c r="S1184" s="823">
        <f t="shared" si="2654"/>
      </c>
      <c r="T1184" s="823">
        <f t="shared" si="2654"/>
      </c>
      <c r="U1184" s="1078">
        <f t="shared" si="2654"/>
      </c>
      <c r="V1184" s="823">
        <f t="shared" si="2654"/>
      </c>
      <c r="W1184" s="823">
        <f t="shared" si="2654"/>
      </c>
      <c r="X1184" s="823">
        <f t="shared" si="2654"/>
      </c>
      <c r="Y1184" s="823">
        <f t="shared" si="2654"/>
      </c>
      <c r="Z1184" s="1078">
        <f t="shared" si="2654"/>
      </c>
      <c r="AA1184" s="823">
        <f t="shared" si="2654"/>
      </c>
      <c r="AB1184" s="823">
        <f t="shared" si="2654"/>
      </c>
      <c r="AC1184" s="823">
        <f t="shared" si="2654"/>
      </c>
      <c r="AD1184" s="823">
        <f t="shared" si="2654"/>
      </c>
      <c r="AE1184" s="1078">
        <f t="shared" si="2654"/>
      </c>
      <c r="AF1184" s="823">
        <f t="shared" si="2654"/>
      </c>
      <c r="AG1184" s="823">
        <f t="shared" si="2654"/>
      </c>
      <c r="AH1184" s="823">
        <f t="shared" si="2654"/>
      </c>
      <c r="AI1184" s="823">
        <f t="shared" ref="AI1184:BJ1184" si="2655">AI477+AI1102+AI1103</f>
      </c>
      <c r="AJ1184" s="1078">
        <f t="shared" si="2655"/>
      </c>
      <c r="AK1184" s="823">
        <f t="shared" si="2655"/>
      </c>
      <c r="AL1184" s="823">
        <f t="shared" si="2655"/>
      </c>
      <c r="AM1184" s="823">
        <f t="shared" si="2655"/>
      </c>
      <c r="AN1184" s="823">
        <f t="shared" si="2655"/>
      </c>
      <c r="AO1184" s="1078">
        <f t="shared" si="2655"/>
      </c>
      <c r="AP1184" s="823">
        <f t="shared" si="2655"/>
      </c>
      <c r="AQ1184" s="823">
        <f t="shared" si="2655"/>
      </c>
      <c r="AR1184" s="823">
        <f t="shared" si="2655"/>
      </c>
      <c r="AS1184" s="823">
        <f t="shared" si="2655"/>
      </c>
      <c r="AT1184" s="1078">
        <f t="shared" si="2655"/>
      </c>
      <c r="AU1184" s="823">
        <f t="shared" si="2655"/>
      </c>
      <c r="AV1184" s="823">
        <f t="shared" si="2655"/>
      </c>
      <c r="AW1184" s="823">
        <f t="shared" si="2655"/>
      </c>
      <c r="AX1184" s="823">
        <f t="shared" si="2655"/>
      </c>
      <c r="AY1184" s="1078">
        <f t="shared" si="2655"/>
      </c>
      <c r="AZ1184" s="823">
        <f t="shared" si="2655"/>
      </c>
      <c r="BA1184" s="823">
        <f t="shared" si="2655"/>
      </c>
      <c r="BB1184" s="823">
        <f t="shared" si="2655"/>
      </c>
      <c r="BC1184" s="823">
        <f t="shared" si="2655"/>
      </c>
      <c r="BD1184" s="1078">
        <f t="shared" si="2655"/>
      </c>
      <c r="BE1184" s="823">
        <f t="shared" si="2655"/>
      </c>
      <c r="BF1184" s="823">
        <f t="shared" si="2655"/>
      </c>
      <c r="BG1184" s="823">
        <f t="shared" si="2655"/>
      </c>
      <c r="BH1184" s="823">
        <f t="shared" si="2655"/>
      </c>
      <c r="BI1184" s="1078">
        <f t="shared" si="2655"/>
      </c>
      <c r="BJ1184" s="823">
        <f t="shared" si="2655"/>
      </c>
      <c r="BK1184" s="823">
        <f t="shared" ref="BK1184:BP1184" si="2656">BK477+BK1102+BK1103</f>
      </c>
      <c r="BL1184" s="823">
        <f t="shared" si="2656"/>
      </c>
      <c r="BM1184" s="823">
        <f t="shared" si="2656"/>
      </c>
      <c r="BN1184" s="1078">
        <f t="shared" si="2656"/>
      </c>
      <c r="BO1184" s="823">
        <f t="shared" si="2656"/>
      </c>
      <c r="BP1184" s="823">
        <f t="shared" si="2656"/>
      </c>
      <c r="BQ1184" s="823">
        <f>BQ477+BQ1102+BQ1103</f>
      </c>
      <c r="BR1184" s="823">
        <f>BR477+BR1102+BR1103</f>
      </c>
      <c r="BS1184" s="1078">
        <f>BS477+BS1102+BS1103</f>
      </c>
      <c r="BT1184" s="826">
        <f>BT477+BT1102+BT1103</f>
      </c>
      <c r="BU1184" s="778">
        <f t="shared" ref="BU1184:CF1184" si="2657">BU477+BU1102</f>
      </c>
      <c r="BV1184" s="778">
        <f t="shared" si="2657"/>
      </c>
      <c r="BW1184" s="778">
        <f t="shared" si="2657"/>
      </c>
      <c r="BX1184" s="940">
        <f t="shared" si="2657"/>
      </c>
      <c r="BY1184" s="778">
        <f t="shared" si="2657"/>
      </c>
      <c r="BZ1184" s="778">
        <f t="shared" si="2657"/>
      </c>
      <c r="CA1184" s="778">
        <f t="shared" si="2657"/>
      </c>
      <c r="CB1184" s="778">
        <f t="shared" si="2657"/>
      </c>
      <c r="CC1184" s="940">
        <f t="shared" si="2657"/>
      </c>
      <c r="CD1184" s="940">
        <f t="shared" si="2657"/>
      </c>
      <c r="CE1184" s="940">
        <f t="shared" si="2657"/>
      </c>
      <c r="CF1184" s="940">
        <f t="shared" si="2657"/>
      </c>
      <c r="CG1184" s="183"/>
    </row>
    <row r="1185" spans="1:85" x14ac:dyDescent="0.3">
      <c r="A1185" s="4" t="s">
        <v>498</v>
      </c>
      <c r="B1185" s="428"/>
      <c r="C1185" s="1078">
        <f t="shared" ref="C1185:AH1185" si="2658">-C726</f>
      </c>
      <c r="D1185" s="1078">
        <f t="shared" si="2658"/>
      </c>
      <c r="E1185" s="1078">
        <f t="shared" si="2658"/>
      </c>
      <c r="F1185" s="1078">
        <f t="shared" si="2658"/>
      </c>
      <c r="G1185" s="823">
        <f t="shared" si="2658"/>
      </c>
      <c r="H1185" s="823">
        <f t="shared" si="2658"/>
      </c>
      <c r="I1185" s="823">
        <f t="shared" si="2658"/>
      </c>
      <c r="J1185" s="823">
        <f t="shared" si="2658"/>
      </c>
      <c r="K1185" s="1078">
        <f t="shared" si="2658"/>
      </c>
      <c r="L1185" s="823">
        <f t="shared" si="2658"/>
      </c>
      <c r="M1185" s="823">
        <f t="shared" si="2658"/>
      </c>
      <c r="N1185" s="823">
        <f t="shared" si="2658"/>
      </c>
      <c r="O1185" s="823">
        <f t="shared" si="2658"/>
      </c>
      <c r="P1185" s="1078">
        <f t="shared" si="2658"/>
      </c>
      <c r="Q1185" s="823">
        <f t="shared" si="2658"/>
      </c>
      <c r="R1185" s="823">
        <f t="shared" si="2658"/>
      </c>
      <c r="S1185" s="823">
        <f t="shared" si="2658"/>
      </c>
      <c r="T1185" s="823">
        <f t="shared" si="2658"/>
      </c>
      <c r="U1185" s="1078">
        <f t="shared" si="2658"/>
      </c>
      <c r="V1185" s="823">
        <f t="shared" si="2658"/>
      </c>
      <c r="W1185" s="823">
        <f t="shared" si="2658"/>
      </c>
      <c r="X1185" s="823">
        <f t="shared" si="2658"/>
      </c>
      <c r="Y1185" s="823">
        <f t="shared" si="2658"/>
      </c>
      <c r="Z1185" s="1078">
        <f t="shared" si="2658"/>
      </c>
      <c r="AA1185" s="823">
        <f t="shared" si="2658"/>
      </c>
      <c r="AB1185" s="823">
        <f t="shared" si="2658"/>
      </c>
      <c r="AC1185" s="823">
        <f t="shared" si="2658"/>
      </c>
      <c r="AD1185" s="823">
        <f t="shared" si="2658"/>
      </c>
      <c r="AE1185" s="1078">
        <f t="shared" si="2658"/>
      </c>
      <c r="AF1185" s="823">
        <f t="shared" si="2658"/>
      </c>
      <c r="AG1185" s="823">
        <f t="shared" si="2658"/>
      </c>
      <c r="AH1185" s="823">
        <f t="shared" si="2658"/>
      </c>
      <c r="AI1185" s="823">
        <f t="shared" ref="AI1185:BG1185" si="2659">-AI726</f>
      </c>
      <c r="AJ1185" s="1078">
        <f t="shared" si="2659"/>
      </c>
      <c r="AK1185" s="823">
        <f t="shared" si="2659"/>
      </c>
      <c r="AL1185" s="823">
        <f t="shared" si="2659"/>
      </c>
      <c r="AM1185" s="823">
        <f t="shared" si="2659"/>
      </c>
      <c r="AN1185" s="823">
        <f t="shared" si="2659"/>
      </c>
      <c r="AO1185" s="1078">
        <f t="shared" si="2659"/>
      </c>
      <c r="AP1185" s="823">
        <f t="shared" si="2659"/>
      </c>
      <c r="AQ1185" s="823">
        <f t="shared" si="2659"/>
      </c>
      <c r="AR1185" s="823">
        <f t="shared" si="2659"/>
      </c>
      <c r="AS1185" s="823">
        <f t="shared" si="2659"/>
      </c>
      <c r="AT1185" s="1078">
        <f t="shared" si="2659"/>
      </c>
      <c r="AU1185" s="823">
        <f t="shared" si="2659"/>
      </c>
      <c r="AV1185" s="823">
        <f t="shared" si="2659"/>
      </c>
      <c r="AW1185" s="823">
        <f t="shared" si="2659"/>
      </c>
      <c r="AX1185" s="823">
        <f t="shared" si="2659"/>
      </c>
      <c r="AY1185" s="1078">
        <f t="shared" si="2659"/>
      </c>
      <c r="AZ1185" s="823">
        <f t="shared" si="2659"/>
      </c>
      <c r="BA1185" s="823">
        <f t="shared" si="2659"/>
      </c>
      <c r="BB1185" s="823">
        <f t="shared" si="2659"/>
      </c>
      <c r="BC1185" s="823">
        <f t="shared" si="2659"/>
      </c>
      <c r="BD1185" s="1078">
        <f t="shared" si="2659"/>
      </c>
      <c r="BE1185" s="823">
        <f t="shared" si="2659"/>
      </c>
      <c r="BF1185" s="823">
        <f t="shared" si="2659"/>
      </c>
      <c r="BG1185" s="823">
        <f t="shared" si="2659"/>
      </c>
      <c r="BH1185" s="823">
        <f t="shared" ref="BH1185:BI1185" si="2660">-BH726</f>
      </c>
      <c r="BI1185" s="1078">
        <f t="shared" si="2660"/>
      </c>
      <c r="BJ1185" s="823">
        <f t="shared" ref="BJ1185:BX1185" si="2661">-BJ726</f>
      </c>
      <c r="BK1185" s="823">
        <f t="shared" si="2661"/>
      </c>
      <c r="BL1185" s="823">
        <f t="shared" si="2661"/>
      </c>
      <c r="BM1185" s="823">
        <f t="shared" si="2661"/>
      </c>
      <c r="BN1185" s="1078">
        <f t="shared" si="2661"/>
      </c>
      <c r="BO1185" s="823">
        <f t="shared" ref="BO1185:BW1185" si="2662">-BO726</f>
      </c>
      <c r="BP1185" s="823">
        <f t="shared" si="2662"/>
      </c>
      <c r="BQ1185" s="823">
        <f t="shared" si="2662"/>
      </c>
      <c r="BR1185" s="823">
        <f t="shared" si="2662"/>
      </c>
      <c r="BS1185" s="1078">
        <f t="shared" si="2662"/>
      </c>
      <c r="BT1185" s="826">
        <f>-BT726</f>
      </c>
      <c r="BU1185" s="778">
        <f t="shared" si="2662"/>
      </c>
      <c r="BV1185" s="778">
        <f t="shared" si="2662"/>
      </c>
      <c r="BW1185" s="778">
        <f t="shared" si="2662"/>
      </c>
      <c r="BX1185" s="940">
        <f t="shared" si="2661"/>
      </c>
      <c r="BY1185" s="778">
        <f t="shared" ref="BY1185:CF1185" si="2663">-BY726</f>
      </c>
      <c r="BZ1185" s="778">
        <f t="shared" si="2663"/>
      </c>
      <c r="CA1185" s="778">
        <f t="shared" si="2663"/>
      </c>
      <c r="CB1185" s="778">
        <f t="shared" si="2663"/>
      </c>
      <c r="CC1185" s="940">
        <f t="shared" si="2663"/>
      </c>
      <c r="CD1185" s="940">
        <f t="shared" si="2663"/>
      </c>
      <c r="CE1185" s="940">
        <f t="shared" si="2663"/>
      </c>
      <c r="CF1185" s="940">
        <f t="shared" si="2663"/>
      </c>
      <c r="CG1185" s="183"/>
    </row>
    <row r="1186" spans="1:85" x14ac:dyDescent="0.3">
      <c r="A1186" s="436"/>
      <c r="B1186" s="414"/>
      <c r="C1186" s="943"/>
      <c r="D1186" s="943"/>
      <c r="E1186" s="943"/>
      <c r="F1186" s="943"/>
      <c r="G1186" s="753"/>
      <c r="H1186" s="753"/>
      <c r="I1186" s="753"/>
      <c r="J1186" s="753"/>
      <c r="K1186" s="943"/>
      <c r="L1186" s="753"/>
      <c r="M1186" s="753"/>
      <c r="N1186" s="753"/>
      <c r="O1186" s="753"/>
      <c r="P1186" s="943"/>
      <c r="Q1186" s="753"/>
      <c r="R1186" s="753"/>
      <c r="S1186" s="753"/>
      <c r="T1186" s="753"/>
      <c r="U1186" s="943"/>
      <c r="V1186" s="753"/>
      <c r="W1186" s="753"/>
      <c r="X1186" s="753"/>
      <c r="Y1186" s="753"/>
      <c r="Z1186" s="943"/>
      <c r="AA1186" s="753"/>
      <c r="AB1186" s="753"/>
      <c r="AC1186" s="753"/>
      <c r="AD1186" s="753"/>
      <c r="AE1186" s="943"/>
      <c r="AF1186" s="753"/>
      <c r="AG1186" s="753"/>
      <c r="AH1186" s="753"/>
      <c r="AI1186" s="753"/>
      <c r="AJ1186" s="943"/>
      <c r="AK1186" s="753"/>
      <c r="AL1186" s="753"/>
      <c r="AM1186" s="753"/>
      <c r="AN1186" s="753"/>
      <c r="AO1186" s="943"/>
      <c r="AP1186" s="753"/>
      <c r="AQ1186" s="753"/>
      <c r="AR1186" s="753"/>
      <c r="AS1186" s="753"/>
      <c r="AT1186" s="943"/>
      <c r="AU1186" s="753"/>
      <c r="AV1186" s="753"/>
      <c r="AW1186" s="753"/>
      <c r="AX1186" s="753"/>
      <c r="AY1186" s="943"/>
      <c r="AZ1186" s="753"/>
      <c r="BA1186" s="753"/>
      <c r="BB1186" s="753"/>
      <c r="BC1186" s="753"/>
      <c r="BD1186" s="943"/>
      <c r="BE1186" s="753"/>
      <c r="BF1186" s="753"/>
      <c r="BG1186" s="753"/>
      <c r="BH1186" s="753"/>
      <c r="BI1186" s="943"/>
      <c r="BJ1186" s="753"/>
      <c r="BK1186" s="753"/>
      <c r="BL1186" s="753"/>
      <c r="BM1186" s="753"/>
      <c r="BN1186" s="943"/>
      <c r="BO1186" s="753"/>
      <c r="BP1186" s="753"/>
      <c r="BQ1186" s="753"/>
      <c r="BR1186" s="753"/>
      <c r="BS1186" s="943"/>
      <c r="BT1186" s="756"/>
      <c r="BU1186" s="753"/>
      <c r="BV1186" s="753"/>
      <c r="BW1186" s="753"/>
      <c r="BX1186" s="943"/>
      <c r="BY1186" s="753"/>
      <c r="BZ1186" s="753"/>
      <c r="CA1186" s="753"/>
      <c r="CB1186" s="753"/>
      <c r="CC1186" s="943"/>
      <c r="CD1186" s="943"/>
      <c r="CE1186" s="943"/>
      <c r="CF1186" s="943"/>
      <c r="CG1186" s="183"/>
    </row>
    <row r="1187" spans="1:85" x14ac:dyDescent="0.3">
      <c r="A1187" s="412" t="s">
        <v>178</v>
      </c>
      <c r="B1187" s="136"/>
      <c r="C1187" s="754"/>
      <c r="D1187" s="754"/>
      <c r="E1187" s="754"/>
      <c r="F1187" s="754"/>
      <c r="G1187" s="754"/>
      <c r="H1187" s="754"/>
      <c r="I1187" s="754"/>
      <c r="J1187" s="754"/>
      <c r="K1187" s="754"/>
      <c r="L1187" s="754"/>
      <c r="M1187" s="754"/>
      <c r="N1187" s="754"/>
      <c r="O1187" s="754"/>
      <c r="P1187" s="754"/>
      <c r="Q1187" s="754"/>
      <c r="R1187" s="754"/>
      <c r="S1187" s="754"/>
      <c r="T1187" s="754"/>
      <c r="U1187" s="754"/>
      <c r="V1187" s="754"/>
      <c r="W1187" s="754"/>
      <c r="X1187" s="754"/>
      <c r="Y1187" s="754"/>
      <c r="Z1187" s="754"/>
      <c r="AA1187" s="754"/>
      <c r="AB1187" s="754"/>
      <c r="AC1187" s="754"/>
      <c r="AD1187" s="754"/>
      <c r="AE1187" s="754"/>
      <c r="AF1187" s="754"/>
      <c r="AG1187" s="754"/>
      <c r="AH1187" s="754"/>
      <c r="AI1187" s="754"/>
      <c r="AJ1187" s="754"/>
      <c r="AK1187" s="754"/>
      <c r="AL1187" s="754"/>
      <c r="AM1187" s="754"/>
      <c r="AN1187" s="754"/>
      <c r="AO1187" s="754"/>
      <c r="AP1187" s="754"/>
      <c r="AQ1187" s="754"/>
      <c r="AR1187" s="754"/>
      <c r="AS1187" s="754"/>
      <c r="AT1187" s="754"/>
      <c r="AU1187" s="754"/>
      <c r="AV1187" s="754"/>
      <c r="AW1187" s="754"/>
      <c r="AX1187" s="754"/>
      <c r="AY1187" s="754"/>
      <c r="AZ1187" s="754"/>
      <c r="BA1187" s="754"/>
      <c r="BB1187" s="754"/>
      <c r="BC1187" s="754"/>
      <c r="BD1187" s="754"/>
      <c r="BE1187" s="754"/>
      <c r="BF1187" s="754"/>
      <c r="BG1187" s="754"/>
      <c r="BH1187" s="754"/>
      <c r="BI1187" s="754"/>
      <c r="BJ1187" s="754"/>
      <c r="BK1187" s="754"/>
      <c r="BL1187" s="754"/>
      <c r="BM1187" s="754"/>
      <c r="BN1187" s="754"/>
      <c r="BO1187" s="754"/>
      <c r="BP1187" s="754"/>
      <c r="BQ1187" s="754"/>
      <c r="BR1187" s="754"/>
      <c r="BS1187" s="754"/>
      <c r="BT1187" s="755"/>
      <c r="BU1187" s="754"/>
      <c r="BV1187" s="754"/>
      <c r="BW1187" s="754"/>
      <c r="BX1187" s="754"/>
      <c r="BY1187" s="754"/>
      <c r="BZ1187" s="754"/>
      <c r="CA1187" s="754"/>
      <c r="CB1187" s="754"/>
      <c r="CC1187" s="754"/>
      <c r="CD1187" s="754"/>
      <c r="CE1187" s="754"/>
      <c r="CF1187" s="754"/>
      <c r="CG1187" s="183"/>
    </row>
    <row r="1188" spans="1:85" s="590" customFormat="1" x14ac:dyDescent="0.3">
      <c r="A1188" s="61" t="s">
        <v>179</v>
      </c>
      <c r="B1188" s="267"/>
      <c r="C1188" s="987">
        <f>C1206/C$462</f>
      </c>
      <c r="D1188" s="987">
        <f>D1206/D$462</f>
      </c>
      <c r="E1188" s="987">
        <f>E1206/E$462</f>
      </c>
      <c r="F1188" s="987">
        <f>F1206/F$462</f>
      </c>
      <c r="G1188" s="184"/>
      <c r="H1188" s="184"/>
      <c r="I1188" s="184"/>
      <c r="J1188" s="184"/>
      <c r="K1188" s="987">
        <f>K1206/K$462</f>
      </c>
      <c r="L1188" s="11">
        <f>L1206/(L$462+J$462+I$462+H$462)</f>
      </c>
      <c r="M1188" s="11">
        <f>M1206/(M$462+L$462+J$462+I$462)</f>
      </c>
      <c r="N1188" s="11">
        <f>N1206/(N$462+M$462+L$462+J$462)</f>
      </c>
      <c r="O1188" s="11">
        <f>O1206/(O$462+N$462+M$462+L$462)</f>
      </c>
      <c r="P1188" s="987">
        <f>P1206/P$462</f>
      </c>
      <c r="Q1188" s="11">
        <f>Q1206/(Q$462+O$462+N$462+M$462)</f>
      </c>
      <c r="R1188" s="11">
        <f>R1206/(R$462+Q$462+O$462+N$462)</f>
      </c>
      <c r="S1188" s="11">
        <f>S1206/(S$462+R$462+Q$462+O$462)</f>
      </c>
      <c r="T1188" s="11">
        <f>T1206/(T$462+S$462+R$462+Q$462)</f>
      </c>
      <c r="U1188" s="987">
        <f>U1206/U$462</f>
      </c>
      <c r="V1188" s="11">
        <f>V1206/(V$462+T$462+S$462+R$462)</f>
      </c>
      <c r="W1188" s="11">
        <f>W1206/(W$462+V$462+T$462+S$462)</f>
      </c>
      <c r="X1188" s="11">
        <f>X1206/(X$462+W$462+V$462+T$462)</f>
      </c>
      <c r="Y1188" s="11">
        <f>Y1206/(Y$462+X$462+W$462+V$462)</f>
      </c>
      <c r="Z1188" s="987">
        <f>Z1206/Z$462</f>
      </c>
      <c r="AA1188" s="11">
        <f>AA1206/(AA$462+Y$462+X$462+W$462)</f>
      </c>
      <c r="AB1188" s="11">
        <f>AB1206/(AB$462+AA$462+Y$462+X$462)</f>
      </c>
      <c r="AC1188" s="11">
        <f>AC1206/(AC$462+AB$462+AA$462+Y$462)</f>
      </c>
      <c r="AD1188" s="11">
        <f>AD1206/(AD$462+AC$462+AB$462+AA$462)</f>
      </c>
      <c r="AE1188" s="987">
        <f>AE1206/AE$462</f>
      </c>
      <c r="AF1188" s="11">
        <f>AF1206/(AF$462+AD$462+AC$462+AB$462)</f>
      </c>
      <c r="AG1188" s="11">
        <f>AG1206/(AG$462+AF$462+AD$462+AC$462)</f>
      </c>
      <c r="AH1188" s="11">
        <f>AH1206/(AH$462+AG$462+AF$462+AD$462)</f>
      </c>
      <c r="AI1188" s="11">
        <f>AI1206/(AI$462+AH$462+AG$462+AF$462)</f>
      </c>
      <c r="AJ1188" s="987">
        <f>AJ1206/AJ$462</f>
      </c>
      <c r="AK1188" s="11">
        <f>AK1206/(AK$462+AI$462+AH$462+AG$462)</f>
      </c>
      <c r="AL1188" s="11">
        <f>AL1206/(AL$462+AK$462+AI$462+AH$462)</f>
      </c>
      <c r="AM1188" s="11">
        <f>AM1206/(AM$462+AL$462+AK$462+AI$462)</f>
      </c>
      <c r="AN1188" s="11">
        <f>AN1206/(AN$462+AM$462+AL$462+AK$462)</f>
      </c>
      <c r="AO1188" s="987">
        <f>AO1206/AO$462</f>
      </c>
      <c r="AP1188" s="11">
        <f>AP1206/(AP$462+AN$462+AM$462+AL$462)</f>
      </c>
      <c r="AQ1188" s="11">
        <f>AQ1206/(AQ$462+AP$462+AN$462+AM$462)</f>
      </c>
      <c r="AR1188" s="11">
        <f>AR1206/(AR$462+AQ$462+AP$462+AN$462)</f>
      </c>
      <c r="AS1188" s="11">
        <f>AS1206/(AS$462+AR$462+AQ$462+AP$462)</f>
      </c>
      <c r="AT1188" s="987">
        <f>AT1206/AT$462</f>
      </c>
      <c r="AU1188" s="11">
        <f>AU1206/(AU$462+AS$462+AR$462+AQ$462)</f>
      </c>
      <c r="AV1188" s="11">
        <f>AV1206/(AV$462+AU$462+AS$462+AR$462)</f>
      </c>
      <c r="AW1188" s="11">
        <f>AW1206/(AW$462+AV$462+AU$462+AS$462)</f>
      </c>
      <c r="AX1188" s="11">
        <f>AX1206/(AX$462+AW$462+AV$462+AU$462)</f>
      </c>
      <c r="AY1188" s="987">
        <f>AY1206/AY$462</f>
      </c>
      <c r="AZ1188" s="11">
        <f>AZ1206/(AZ$462+AX$462+AW$462+AV$462)</f>
      </c>
      <c r="BA1188" s="11">
        <f>BA1206/(BA$462+AZ$462+AX$462+AW$462)</f>
      </c>
      <c r="BB1188" s="11">
        <f>BB1206/(BB$462+BA$462+AZ$462+AX$462)</f>
      </c>
      <c r="BC1188" s="11">
        <f>BC1206/(BC$462+BB$462+BA$462+AZ$462)</f>
      </c>
      <c r="BD1188" s="987">
        <f>BD1206/BD$462</f>
      </c>
      <c r="BE1188" s="11">
        <f>BE1206/(BE$462+BC$462+BB$462+BA$462)</f>
      </c>
      <c r="BF1188" s="11">
        <f>BF1206/(BF$462+BE$462+BC$462+BB$462)</f>
      </c>
      <c r="BG1188" s="11">
        <f>BG1206/(BG$462+BF$462+BE$462+BC$462)</f>
      </c>
      <c r="BH1188" s="11">
        <f>BH1206/(BH$462+BG$462+BF$462+BE$462)</f>
      </c>
      <c r="BI1188" s="987">
        <f>BI1206/BI$462</f>
      </c>
      <c r="BJ1188" s="11">
        <f>BJ1206/(BJ$462+BH$462+BG$462+BF$462)</f>
      </c>
      <c r="BK1188" s="11">
        <f>BK1206/(BK$462+BJ$462+BH$462+BG$462)</f>
      </c>
      <c r="BL1188" s="11">
        <f>BL1206/(BL$462+BK$462+BJ$462+BH$462)</f>
      </c>
      <c r="BM1188" s="11">
        <f>BM1206/(BM$462+BL$462+BK$462+BJ$462)</f>
      </c>
      <c r="BN1188" s="987">
        <f>BN1206/BN$462</f>
      </c>
      <c r="BO1188" s="11">
        <f>BO1206/(BO$462+BM$462+BL$462+BK$462)</f>
      </c>
      <c r="BP1188" s="11">
        <f>BP1206/(BP$462+BO$462+BM$462+BL$462)</f>
      </c>
      <c r="BQ1188" s="11">
        <f>BQ1206/(BQ$462+BP$462+BO$462+BM$462)</f>
      </c>
      <c r="BR1188" s="11">
        <f>BR1206/(BR$462+BQ$462+BP$462+BO$462)</f>
      </c>
      <c r="BS1188" s="987">
        <f>BS1206/BS$462</f>
      </c>
      <c r="BT1188" s="685">
        <f>BT1206/(BT$462+BR$462+BQ$462+BP$462)</f>
      </c>
      <c r="BU1188" s="184">
        <f t="shared" ref="BU1188:BW1190" si="2664">BP1188+BU1192</f>
      </c>
      <c r="BV1188" s="184">
        <f t="shared" si="2664"/>
      </c>
      <c r="BW1188" s="184">
        <f t="shared" si="2664"/>
      </c>
      <c r="BX1188" s="977">
        <f>BX1206/BX$462</f>
      </c>
      <c r="BY1188" s="184">
        <f t="shared" ref="BY1188:CB1190" si="2665">BT1188+BY1192</f>
      </c>
      <c r="BZ1188" s="184">
        <f t="shared" si="2665"/>
      </c>
      <c r="CA1188" s="184">
        <f t="shared" si="2665"/>
      </c>
      <c r="CB1188" s="184">
        <f t="shared" si="2665"/>
      </c>
      <c r="CC1188" s="977">
        <f>CC1206/CC$462</f>
      </c>
      <c r="CD1188" s="977">
        <f t="shared" ref="CD1188:CF1190" si="2666">CC1188+CD1192</f>
      </c>
      <c r="CE1188" s="977">
        <f t="shared" si="2666"/>
      </c>
      <c r="CF1188" s="977">
        <f t="shared" si="2666"/>
      </c>
      <c r="CG1188" s="11"/>
    </row>
    <row r="1189" spans="1:85" s="590" customFormat="1" x14ac:dyDescent="0.3">
      <c r="A1189" s="61" t="s">
        <v>180</v>
      </c>
      <c r="B1189" s="267"/>
      <c r="C1189" s="987">
        <f>C1227/C$462</f>
      </c>
      <c r="D1189" s="987">
        <f>D1227/D$462</f>
      </c>
      <c r="E1189" s="987">
        <f>E1227/E$462</f>
      </c>
      <c r="F1189" s="987">
        <f>F1227/F$462</f>
      </c>
      <c r="G1189" s="184"/>
      <c r="H1189" s="184"/>
      <c r="I1189" s="184"/>
      <c r="J1189" s="184"/>
      <c r="K1189" s="987">
        <f>K1227/K$462</f>
      </c>
      <c r="L1189" s="11">
        <f>L1227/(L$462+J$462+I$462+H$462)</f>
      </c>
      <c r="M1189" s="11">
        <f>M1227/(M$462+L$462+J$462+I$462)</f>
      </c>
      <c r="N1189" s="11">
        <f>N1227/(N$462+M$462+L$462+J$462)</f>
      </c>
      <c r="O1189" s="11">
        <f>O1227/(O$462+N$462+M$462+L$462)</f>
      </c>
      <c r="P1189" s="987">
        <f>P1227/P$462</f>
      </c>
      <c r="Q1189" s="11">
        <f>Q1227/(Q$462+O$462+N$462+M$462)</f>
      </c>
      <c r="R1189" s="11">
        <f>R1227/(R$462+Q$462+O$462+N$462)</f>
      </c>
      <c r="S1189" s="11">
        <f>S1227/(S$462+R$462+Q$462+O$462)</f>
      </c>
      <c r="T1189" s="11">
        <f>T1227/(T$462+S$462+R$462+Q$462)</f>
      </c>
      <c r="U1189" s="987">
        <f>U1227/U$462</f>
      </c>
      <c r="V1189" s="11">
        <f>V1227/(V$462+T$462+S$462+R$462)</f>
      </c>
      <c r="W1189" s="11">
        <f>W1227/(W$462+V$462+T$462+S$462)</f>
      </c>
      <c r="X1189" s="11">
        <f>X1227/(X$462+W$462+V$462+T$462)</f>
      </c>
      <c r="Y1189" s="11">
        <f>Y1227/(Y$462+X$462+W$462+V$462)</f>
      </c>
      <c r="Z1189" s="987">
        <f>Z1227/Z$462</f>
      </c>
      <c r="AA1189" s="11">
        <f>AA1227/(AA$462+Y$462+X$462+W$462)</f>
      </c>
      <c r="AB1189" s="11">
        <f>AB1227/(AB$462+AA$462+Y$462+X$462)</f>
      </c>
      <c r="AC1189" s="11">
        <f>AC1227/(AC$462+AB$462+AA$462+Y$462)</f>
      </c>
      <c r="AD1189" s="11">
        <f>AD1227/(AD$462+AC$462+AB$462+AA$462)</f>
      </c>
      <c r="AE1189" s="987">
        <f>AE1227/AE$462</f>
      </c>
      <c r="AF1189" s="11">
        <f>AF1227/(AF$462+AD$462+AC$462+AB$462)</f>
      </c>
      <c r="AG1189" s="11">
        <f>AG1227/(AG$462+AF$462+AD$462+AC$462)</f>
      </c>
      <c r="AH1189" s="11">
        <f>AH1227/(AH$462+AG$462+AF$462+AD$462)</f>
      </c>
      <c r="AI1189" s="11">
        <f>AI1227/(AI$462+AH$462+AG$462+AF$462)</f>
      </c>
      <c r="AJ1189" s="987">
        <f>AJ1227/AJ$462</f>
      </c>
      <c r="AK1189" s="11">
        <f>AK1227/(AK$462+AI$462+AH$462+AG$462)</f>
      </c>
      <c r="AL1189" s="11">
        <f>AL1227/(AL$462+AK$462+AI$462+AH$462)</f>
      </c>
      <c r="AM1189" s="11">
        <f>AM1227/(AM$462+AL$462+AK$462+AI$462)</f>
      </c>
      <c r="AN1189" s="11">
        <f>AN1227/(AN$462+AM$462+AL$462+AK$462)</f>
      </c>
      <c r="AO1189" s="987">
        <f>AO1227/AO$462</f>
      </c>
      <c r="AP1189" s="11">
        <f>AP1227/(AP$462+AN$462+AM$462+AL$462)</f>
      </c>
      <c r="AQ1189" s="11">
        <f>AQ1227/(AQ$462+AP$462+AN$462+AM$462)</f>
      </c>
      <c r="AR1189" s="11">
        <f>AR1227/(AR$462+AQ$462+AP$462+AN$462)</f>
      </c>
      <c r="AS1189" s="11">
        <f>AS1227/(AS$462+AR$462+AQ$462+AP$462)</f>
      </c>
      <c r="AT1189" s="987">
        <f>AT1227/AT$462</f>
      </c>
      <c r="AU1189" s="11">
        <f>AU1227/(AU$462+AS$462+AR$462+AQ$462)</f>
      </c>
      <c r="AV1189" s="11">
        <f>AV1227/(AV$462+AU$462+AS$462+AR$462)</f>
      </c>
      <c r="AW1189" s="11">
        <f>AW1227/(AW$462+AV$462+AU$462+AS$462)</f>
      </c>
      <c r="AX1189" s="11">
        <f>AX1227/(AX$462+AW$462+AV$462+AU$462)</f>
      </c>
      <c r="AY1189" s="987">
        <f>AY1227/AY$462</f>
      </c>
      <c r="AZ1189" s="11">
        <f>AZ1227/(AZ$462+AX$462+AW$462+AV$462)</f>
      </c>
      <c r="BA1189" s="11">
        <f>BA1227/(BA$462+AZ$462+AX$462+AW$462)</f>
      </c>
      <c r="BB1189" s="11">
        <f>BB1227/(BB$462+BA$462+AZ$462+AX$462)</f>
      </c>
      <c r="BC1189" s="11">
        <f>BC1227/(BC$462+BB$462+BA$462+AZ$462)</f>
      </c>
      <c r="BD1189" s="987">
        <f>BD1227/BD$462</f>
      </c>
      <c r="BE1189" s="11">
        <f>BE1227/(BE$462+BC$462+BB$462+BA$462)</f>
      </c>
      <c r="BF1189" s="11">
        <f>BF1227/(BF$462+BE$462+BC$462+BB$462)</f>
      </c>
      <c r="BG1189" s="11">
        <f>BG1227/(BG$462+BF$462+BE$462+BC$462)</f>
      </c>
      <c r="BH1189" s="11">
        <f>BH1227/(BH$462+BG$462+BF$462+BE$462)</f>
      </c>
      <c r="BI1189" s="987">
        <f>BI1227/BI$462</f>
      </c>
      <c r="BJ1189" s="11">
        <f>BJ1227/(BJ$462+BH$462+BG$462+BF$462)</f>
      </c>
      <c r="BK1189" s="11">
        <f>BK1227/(BK$462+BJ$462+BH$462+BG$462)</f>
      </c>
      <c r="BL1189" s="11">
        <f>BL1227/(BL$462+BK$462+BJ$462+BH$462)</f>
      </c>
      <c r="BM1189" s="11">
        <f>BM1227/(BM$462+BL$462+BK$462+BJ$462)</f>
      </c>
      <c r="BN1189" s="987">
        <f>BN1227/BN$462</f>
      </c>
      <c r="BO1189" s="11">
        <f>BO1227/(BO$462+BM$462+BL$462+BK$462)</f>
      </c>
      <c r="BP1189" s="11">
        <f>BP1227/(BP$462+BO$462+BM$462+BL$462)</f>
      </c>
      <c r="BQ1189" s="11">
        <f>BQ1227/(BQ$462+BP$462+BO$462+BM$462)</f>
      </c>
      <c r="BR1189" s="11">
        <f>BR1227/(BR$462+BQ$462+BP$462+BO$462)</f>
      </c>
      <c r="BS1189" s="987">
        <f>BS1227/BS$462</f>
      </c>
      <c r="BT1189" s="685">
        <f>BT1227/(BT$462+BR$462+BQ$462+BP$462)</f>
      </c>
      <c r="BU1189" s="184">
        <f t="shared" si="2664"/>
      </c>
      <c r="BV1189" s="184">
        <f t="shared" si="2664"/>
      </c>
      <c r="BW1189" s="184">
        <f t="shared" si="2664"/>
      </c>
      <c r="BX1189" s="977">
        <f>BX1227/BX$462</f>
      </c>
      <c r="BY1189" s="184">
        <f t="shared" si="2665"/>
      </c>
      <c r="BZ1189" s="184">
        <f t="shared" si="2665"/>
      </c>
      <c r="CA1189" s="184">
        <f t="shared" si="2665"/>
      </c>
      <c r="CB1189" s="184">
        <f t="shared" si="2665"/>
      </c>
      <c r="CC1189" s="977">
        <f>CC1227/CC$462</f>
      </c>
      <c r="CD1189" s="977">
        <f t="shared" si="2666"/>
      </c>
      <c r="CE1189" s="977">
        <f t="shared" si="2666"/>
      </c>
      <c r="CF1189" s="977">
        <f t="shared" si="2666"/>
      </c>
      <c r="CG1189" s="11"/>
    </row>
    <row r="1190" spans="1:85" s="590" customFormat="1" x14ac:dyDescent="0.3">
      <c r="A1190" s="61" t="s">
        <v>181</v>
      </c>
      <c r="B1190" s="267"/>
      <c r="C1190" s="987">
        <f>C1233/C$462</f>
      </c>
      <c r="D1190" s="987">
        <f>D1233/D$462</f>
      </c>
      <c r="E1190" s="987">
        <f>E1233/E$462</f>
      </c>
      <c r="F1190" s="987">
        <f>F1233/F$462</f>
      </c>
      <c r="G1190" s="184"/>
      <c r="H1190" s="184"/>
      <c r="I1190" s="184"/>
      <c r="J1190" s="184"/>
      <c r="K1190" s="987">
        <f>K1233/K$462</f>
      </c>
      <c r="L1190" s="11">
        <f>L1233/(L$462+J$462+I$462+H$462)</f>
      </c>
      <c r="M1190" s="11">
        <f>M1233/(M$462+L$462+J$462+I$462)</f>
      </c>
      <c r="N1190" s="11">
        <f>N1233/(N$462+M$462+L$462+J$462)</f>
      </c>
      <c r="O1190" s="11">
        <f>O1233/(O$462+N$462+M$462+L$462)</f>
      </c>
      <c r="P1190" s="987">
        <f>P1233/P$462</f>
      </c>
      <c r="Q1190" s="11">
        <f>Q1233/(Q$462+O$462+N$462+M$462)</f>
      </c>
      <c r="R1190" s="11">
        <f>R1233/(R$462+Q$462+O$462+N$462)</f>
      </c>
      <c r="S1190" s="11">
        <f>S1233/(S$462+R$462+Q$462+O$462)</f>
      </c>
      <c r="T1190" s="11">
        <f>T1233/(T$462+S$462+R$462+Q$462)</f>
      </c>
      <c r="U1190" s="987">
        <f>U1233/U$462</f>
      </c>
      <c r="V1190" s="11">
        <f>V1233/(V$462+T$462+S$462+R$462)</f>
      </c>
      <c r="W1190" s="11">
        <f>W1233/(W$462+V$462+T$462+S$462)</f>
      </c>
      <c r="X1190" s="11">
        <f>X1233/(X$462+W$462+V$462+T$462)</f>
      </c>
      <c r="Y1190" s="11">
        <f>Y1233/(Y$462+X$462+W$462+V$462)</f>
      </c>
      <c r="Z1190" s="987">
        <f>Z1233/Z$462</f>
      </c>
      <c r="AA1190" s="11">
        <f>AA1233/(AA$462+Y$462+X$462+W$462)</f>
      </c>
      <c r="AB1190" s="11">
        <f>AB1233/(AB$462+AA$462+Y$462+X$462)</f>
      </c>
      <c r="AC1190" s="11">
        <f>AC1233/(AC$462+AB$462+AA$462+Y$462)</f>
      </c>
      <c r="AD1190" s="11">
        <f>AD1233/(AD$462+AC$462+AB$462+AA$462)</f>
      </c>
      <c r="AE1190" s="987">
        <f>AE1233/AE$462</f>
      </c>
      <c r="AF1190" s="11">
        <f>AF1233/(AF$462+AD$462+AC$462+AB$462)</f>
      </c>
      <c r="AG1190" s="11">
        <f>AG1233/(AG$462+AF$462+AD$462+AC$462)</f>
      </c>
      <c r="AH1190" s="11">
        <f>AH1233/(AH$462+AG$462+AF$462+AD$462)</f>
      </c>
      <c r="AI1190" s="11">
        <f>AI1233/(AI$462+AH$462+AG$462+AF$462)</f>
      </c>
      <c r="AJ1190" s="987">
        <f>AJ1233/AJ$462</f>
      </c>
      <c r="AK1190" s="11">
        <f>AK1233/(AK$462+AI$462+AH$462+AG$462)</f>
      </c>
      <c r="AL1190" s="11">
        <f>AL1233/(AL$462+AK$462+AI$462+AH$462)</f>
      </c>
      <c r="AM1190" s="11">
        <f>AM1233/(AM$462+AL$462+AK$462+AI$462)</f>
      </c>
      <c r="AN1190" s="11">
        <f>AN1233/(AN$462+AM$462+AL$462+AK$462)</f>
      </c>
      <c r="AO1190" s="987">
        <f>AO1233/AO$462</f>
      </c>
      <c r="AP1190" s="11">
        <f>AP1233/(AP$462+AN$462+AM$462+AL$462)</f>
      </c>
      <c r="AQ1190" s="11">
        <f>AQ1233/(AQ$462+AP$462+AN$462+AM$462)</f>
      </c>
      <c r="AR1190" s="11">
        <f>AR1233/(AR$462+AQ$462+AP$462+AN$462)</f>
      </c>
      <c r="AS1190" s="11">
        <f>AS1233/(AS$462+AR$462+AQ$462+AP$462)</f>
      </c>
      <c r="AT1190" s="987">
        <f>AT1233/AT$462</f>
      </c>
      <c r="AU1190" s="11">
        <f>AU1233/(AU$462+AS$462+AR$462+AQ$462)</f>
      </c>
      <c r="AV1190" s="11">
        <f>AV1233/(AV$462+AU$462+AS$462+AR$462)</f>
      </c>
      <c r="AW1190" s="11">
        <f>AW1233/(AW$462+AV$462+AU$462+AS$462)</f>
      </c>
      <c r="AX1190" s="11">
        <f>AX1233/(AX$462+AW$462+AV$462+AU$462)</f>
      </c>
      <c r="AY1190" s="987">
        <f>AY1233/AY$462</f>
      </c>
      <c r="AZ1190" s="11">
        <f>AZ1233/(AZ$462+AX$462+AW$462+AV$462)</f>
      </c>
      <c r="BA1190" s="11">
        <f>BA1233/(BA$462+AZ$462+AX$462+AW$462)</f>
      </c>
      <c r="BB1190" s="11">
        <f>BB1233/(BB$462+BA$462+AZ$462+AX$462)</f>
      </c>
      <c r="BC1190" s="11">
        <f>BC1233/(BC$462+BB$462+BA$462+AZ$462)</f>
      </c>
      <c r="BD1190" s="987">
        <f>BD1233/BD$462</f>
      </c>
      <c r="BE1190" s="11">
        <f>BE1233/(BE$462+BC$462+BB$462+BA$462)</f>
      </c>
      <c r="BF1190" s="11">
        <f>BF1233/(BF$462+BE$462+BC$462+BB$462)</f>
      </c>
      <c r="BG1190" s="11">
        <f>BG1233/(BG$462+BF$462+BE$462+BC$462)</f>
      </c>
      <c r="BH1190" s="11">
        <f>BH1233/(BH$462+BG$462+BF$462+BE$462)</f>
      </c>
      <c r="BI1190" s="987">
        <f>BI1233/BI$462</f>
      </c>
      <c r="BJ1190" s="11">
        <f>BJ1233/(BJ$462+BH$462+BG$462+BF$462)</f>
      </c>
      <c r="BK1190" s="11">
        <f>BK1233/(BK$462+BJ$462+BH$462+BG$462)</f>
      </c>
      <c r="BL1190" s="11">
        <f>BL1233/(BL$462+BK$462+BJ$462+BH$462)</f>
      </c>
      <c r="BM1190" s="11">
        <f>BM1233/(BM$462+BL$462+BK$462+BJ$462)</f>
      </c>
      <c r="BN1190" s="987">
        <f>BN1233/BN$462</f>
      </c>
      <c r="BO1190" s="11">
        <f>BO1233/(BO$462+BM$462+BL$462+BK$462)</f>
      </c>
      <c r="BP1190" s="11">
        <f>BP1233/(BP$462+BO$462+BM$462+BL$462)</f>
      </c>
      <c r="BQ1190" s="11">
        <f>BQ1233/(BQ$462+BP$462+BO$462+BM$462)</f>
      </c>
      <c r="BR1190" s="11">
        <f>BR1233/(BR$462+BQ$462+BP$462+BO$462)</f>
      </c>
      <c r="BS1190" s="987">
        <f>BS1233/BS$462</f>
      </c>
      <c r="BT1190" s="685">
        <f>BT1233/(BT$462+BR$462+BQ$462+BP$462)</f>
      </c>
      <c r="BU1190" s="184">
        <f t="shared" si="2664"/>
      </c>
      <c r="BV1190" s="184">
        <f t="shared" si="2664"/>
      </c>
      <c r="BW1190" s="184">
        <f t="shared" si="2664"/>
      </c>
      <c r="BX1190" s="977">
        <f>BX1233/BX$462</f>
      </c>
      <c r="BY1190" s="184">
        <f t="shared" si="2665"/>
      </c>
      <c r="BZ1190" s="184">
        <f t="shared" si="2665"/>
      </c>
      <c r="CA1190" s="184">
        <f t="shared" si="2665"/>
      </c>
      <c r="CB1190" s="184">
        <f t="shared" si="2665"/>
      </c>
      <c r="CC1190" s="977">
        <f>CC1233/CC$462</f>
      </c>
      <c r="CD1190" s="977">
        <f t="shared" si="2666"/>
      </c>
      <c r="CE1190" s="977">
        <f t="shared" si="2666"/>
      </c>
      <c r="CF1190" s="977">
        <f t="shared" si="2666"/>
      </c>
      <c r="CG1190" s="11"/>
    </row>
    <row r="1191" spans="1:85" x14ac:dyDescent="0.3">
      <c r="A1191" s="429"/>
      <c r="B1191" s="428"/>
      <c r="C1191" s="1082"/>
      <c r="D1191" s="1082"/>
      <c r="E1191" s="1082"/>
      <c r="F1191" s="1082"/>
      <c r="G1191" s="281"/>
      <c r="H1191" s="281"/>
      <c r="I1191" s="281"/>
      <c r="J1191" s="281"/>
      <c r="K1191" s="1082"/>
      <c r="L1191" s="281"/>
      <c r="M1191" s="281"/>
      <c r="N1191" s="281"/>
      <c r="O1191" s="281"/>
      <c r="P1191" s="1082"/>
      <c r="Q1191" s="281"/>
      <c r="R1191" s="281"/>
      <c r="S1191" s="281"/>
      <c r="T1191" s="281"/>
      <c r="U1191" s="1082"/>
      <c r="V1191" s="281"/>
      <c r="W1191" s="281"/>
      <c r="X1191" s="281"/>
      <c r="Y1191" s="281"/>
      <c r="Z1191" s="1082"/>
      <c r="AA1191" s="281"/>
      <c r="AB1191" s="281"/>
      <c r="AC1191" s="281"/>
      <c r="AD1191" s="281"/>
      <c r="AE1191" s="1082"/>
      <c r="AF1191" s="281"/>
      <c r="AG1191" s="281"/>
      <c r="AH1191" s="281"/>
      <c r="AI1191" s="281"/>
      <c r="AJ1191" s="1082"/>
      <c r="AK1191" s="281"/>
      <c r="AL1191" s="281"/>
      <c r="AM1191" s="281"/>
      <c r="AN1191" s="281"/>
      <c r="AO1191" s="1082"/>
      <c r="AP1191" s="281"/>
      <c r="AQ1191" s="281"/>
      <c r="AR1191" s="281"/>
      <c r="AS1191" s="281"/>
      <c r="AT1191" s="1082"/>
      <c r="AU1191" s="281"/>
      <c r="AV1191" s="281"/>
      <c r="AW1191" s="281"/>
      <c r="AX1191" s="281"/>
      <c r="AY1191" s="1082"/>
      <c r="AZ1191" s="281"/>
      <c r="BA1191" s="281"/>
      <c r="BB1191" s="281"/>
      <c r="BC1191" s="281"/>
      <c r="BD1191" s="1082"/>
      <c r="BE1191" s="281"/>
      <c r="BF1191" s="281"/>
      <c r="BG1191" s="281"/>
      <c r="BH1191" s="281"/>
      <c r="BI1191" s="1082"/>
      <c r="BJ1191" s="281"/>
      <c r="BK1191" s="281"/>
      <c r="BL1191" s="281"/>
      <c r="BM1191" s="281"/>
      <c r="BN1191" s="1082"/>
      <c r="BO1191" s="281"/>
      <c r="BP1191" s="281"/>
      <c r="BQ1191" s="281"/>
      <c r="BR1191" s="281"/>
      <c r="BS1191" s="1082"/>
      <c r="BT1191" s="721"/>
      <c r="BU1191" s="281"/>
      <c r="BV1191" s="281"/>
      <c r="BW1191" s="281"/>
      <c r="BX1191" s="1082"/>
      <c r="BY1191" s="281"/>
      <c r="BZ1191" s="281"/>
      <c r="CA1191" s="281"/>
      <c r="CB1191" s="281"/>
      <c r="CC1191" s="1082"/>
      <c r="CD1191" s="1082"/>
      <c r="CE1191" s="1082"/>
      <c r="CF1191" s="1082"/>
      <c r="CG1191" s="183"/>
    </row>
    <row r="1192" spans="1:85" s="590" customFormat="1" x14ac:dyDescent="0.3">
      <c r="A1192" s="498" t="s">
        <v>182</v>
      </c>
      <c r="B1192" s="282"/>
      <c r="C1192" s="1033"/>
      <c r="D1192" s="1083">
        <f t="shared" ref="D1192:F1194" si="2667">D1188-C1188</f>
      </c>
      <c r="E1192" s="1083">
        <f t="shared" si="2667"/>
      </c>
      <c r="F1192" s="1083">
        <f t="shared" si="2667"/>
      </c>
      <c r="G1192" s="549"/>
      <c r="H1192" s="549"/>
      <c r="I1192" s="549"/>
      <c r="J1192" s="549"/>
      <c r="K1192" s="1083">
        <f>K1188-F1188</f>
      </c>
      <c r="L1192" s="549"/>
      <c r="M1192" s="549"/>
      <c r="N1192" s="549"/>
      <c r="O1192" s="549"/>
      <c r="P1192" s="1083">
        <f t="shared" ref="P1192:Y1194" si="2668">P1188-K1188</f>
      </c>
      <c r="Q1192" s="191">
        <f t="shared" si="2668"/>
      </c>
      <c r="R1192" s="191">
        <f t="shared" si="2668"/>
      </c>
      <c r="S1192" s="191">
        <f t="shared" si="2668"/>
      </c>
      <c r="T1192" s="191">
        <f t="shared" si="2668"/>
      </c>
      <c r="U1192" s="1083">
        <f t="shared" si="2668"/>
      </c>
      <c r="V1192" s="191">
        <f t="shared" si="2668"/>
      </c>
      <c r="W1192" s="191">
        <f t="shared" si="2668"/>
      </c>
      <c r="X1192" s="191">
        <f t="shared" si="2668"/>
      </c>
      <c r="Y1192" s="191">
        <f t="shared" si="2668"/>
      </c>
      <c r="Z1192" s="1083">
        <f t="shared" ref="Z1192:AI1194" si="2669">Z1188-U1188</f>
      </c>
      <c r="AA1192" s="191">
        <f t="shared" si="2669"/>
      </c>
      <c r="AB1192" s="191">
        <f t="shared" si="2669"/>
      </c>
      <c r="AC1192" s="191">
        <f t="shared" si="2669"/>
      </c>
      <c r="AD1192" s="191">
        <f t="shared" si="2669"/>
      </c>
      <c r="AE1192" s="1083">
        <f t="shared" si="2669"/>
      </c>
      <c r="AF1192" s="191">
        <f t="shared" si="2669"/>
      </c>
      <c r="AG1192" s="191">
        <f t="shared" si="2669"/>
      </c>
      <c r="AH1192" s="191">
        <f t="shared" si="2669"/>
      </c>
      <c r="AI1192" s="191">
        <f t="shared" si="2669"/>
      </c>
      <c r="AJ1192" s="1083">
        <f t="shared" ref="AJ1192:AS1194" si="2670">AJ1188-AE1188</f>
      </c>
      <c r="AK1192" s="191">
        <f t="shared" si="2670"/>
      </c>
      <c r="AL1192" s="191">
        <f t="shared" si="2670"/>
      </c>
      <c r="AM1192" s="191">
        <f t="shared" si="2670"/>
      </c>
      <c r="AN1192" s="191">
        <f t="shared" si="2670"/>
      </c>
      <c r="AO1192" s="1083">
        <f t="shared" si="2670"/>
      </c>
      <c r="AP1192" s="191">
        <f t="shared" si="2670"/>
      </c>
      <c r="AQ1192" s="191">
        <f t="shared" si="2670"/>
      </c>
      <c r="AR1192" s="191">
        <f t="shared" si="2670"/>
      </c>
      <c r="AS1192" s="191">
        <f t="shared" si="2670"/>
      </c>
      <c r="AT1192" s="1083">
        <f t="shared" ref="AT1192:BA1194" si="2671">AT1188-AO1188</f>
      </c>
      <c r="AU1192" s="191">
        <f t="shared" si="2671"/>
      </c>
      <c r="AV1192" s="191">
        <f t="shared" si="2671"/>
      </c>
      <c r="AW1192" s="191">
        <f t="shared" si="2671"/>
      </c>
      <c r="AX1192" s="191">
        <f t="shared" si="2671"/>
      </c>
      <c r="AY1192" s="1083">
        <f t="shared" si="2671"/>
      </c>
      <c r="AZ1192" s="191">
        <f t="shared" si="2671"/>
      </c>
      <c r="BA1192" s="191">
        <f t="shared" si="2671"/>
      </c>
      <c r="BB1192" s="191">
        <f>BB1188-AW1188</f>
      </c>
      <c r="BC1192" s="191">
        <f t="shared" ref="BC1192:BD1194" si="2672">BC1188-AX1188</f>
      </c>
      <c r="BD1192" s="1083">
        <f t="shared" si="2672"/>
      </c>
      <c r="BE1192" s="191">
        <f t="shared" ref="BE1192:BF1194" si="2673">BE1188-AZ1188</f>
      </c>
      <c r="BF1192" s="191">
        <f t="shared" si="2673"/>
      </c>
      <c r="BG1192" s="191">
        <f t="shared" ref="BG1192:BI1194" si="2674">BG1188-BB1188</f>
      </c>
      <c r="BH1192" s="191">
        <f t="shared" si="2674"/>
      </c>
      <c r="BI1192" s="1083">
        <f t="shared" si="2674"/>
      </c>
      <c r="BJ1192" s="191">
        <f t="shared" ref="BJ1192:BK1194" si="2675">BJ1188-BE1188</f>
      </c>
      <c r="BK1192" s="191">
        <f t="shared" si="2675"/>
      </c>
      <c r="BL1192" s="191">
        <f t="shared" ref="BL1192:BN1194" si="2676">BL1188-BG1188</f>
      </c>
      <c r="BM1192" s="191">
        <f t="shared" si="2676"/>
      </c>
      <c r="BN1192" s="1083">
        <f t="shared" si="2676"/>
      </c>
      <c r="BO1192" s="191">
        <f t="shared" ref="BO1192:BP1194" si="2677">BO1188-BJ1188</f>
      </c>
      <c r="BP1192" s="191">
        <f t="shared" si="2677"/>
      </c>
      <c r="BQ1192" s="191">
        <f t="shared" ref="BQ1192:BS1194" si="2678">BQ1188-BL1188</f>
      </c>
      <c r="BR1192" s="191">
        <f t="shared" si="2678"/>
      </c>
      <c r="BS1192" s="1083">
        <f t="shared" si="2678"/>
      </c>
      <c r="BT1192" s="722">
        <f>BT1188-BO1188</f>
      </c>
      <c r="BU1192" s="908">
        <v>0</v>
      </c>
      <c r="BV1192" s="908">
        <v>0</v>
      </c>
      <c r="BW1192" s="908">
        <v>0</v>
      </c>
      <c r="BX1192" s="1033">
        <f>BX1188-BS1188</f>
      </c>
      <c r="BY1192" s="908">
        <v>0</v>
      </c>
      <c r="BZ1192" s="908">
        <v>0</v>
      </c>
      <c r="CA1192" s="908">
        <v>0</v>
      </c>
      <c r="CB1192" s="908">
        <v>0</v>
      </c>
      <c r="CC1192" s="1033">
        <f>CC1188-BX1188</f>
      </c>
      <c r="CD1192" s="1084">
        <v>0</v>
      </c>
      <c r="CE1192" s="1084">
        <v>0</v>
      </c>
      <c r="CF1192" s="1084">
        <v>0</v>
      </c>
      <c r="CG1192" s="11"/>
    </row>
    <row r="1193" spans="1:85" s="590" customFormat="1" x14ac:dyDescent="0.3">
      <c r="A1193" s="498" t="s">
        <v>183</v>
      </c>
      <c r="B1193" s="282"/>
      <c r="C1193" s="1033"/>
      <c r="D1193" s="1083">
        <f t="shared" si="2667"/>
      </c>
      <c r="E1193" s="1083">
        <f t="shared" si="2667"/>
      </c>
      <c r="F1193" s="1083">
        <f t="shared" si="2667"/>
      </c>
      <c r="G1193" s="549"/>
      <c r="H1193" s="549"/>
      <c r="I1193" s="549"/>
      <c r="J1193" s="549"/>
      <c r="K1193" s="1083">
        <f>K1189-F1189</f>
      </c>
      <c r="L1193" s="549"/>
      <c r="M1193" s="549"/>
      <c r="N1193" s="549"/>
      <c r="O1193" s="549"/>
      <c r="P1193" s="1083">
        <f t="shared" si="2668"/>
      </c>
      <c r="Q1193" s="191">
        <f t="shared" si="2668"/>
      </c>
      <c r="R1193" s="191">
        <f t="shared" si="2668"/>
      </c>
      <c r="S1193" s="191">
        <f t="shared" si="2668"/>
      </c>
      <c r="T1193" s="191">
        <f t="shared" si="2668"/>
      </c>
      <c r="U1193" s="1083">
        <f t="shared" si="2668"/>
      </c>
      <c r="V1193" s="191">
        <f t="shared" si="2668"/>
      </c>
      <c r="W1193" s="191">
        <f t="shared" si="2668"/>
      </c>
      <c r="X1193" s="191">
        <f t="shared" si="2668"/>
      </c>
      <c r="Y1193" s="191">
        <f t="shared" si="2668"/>
      </c>
      <c r="Z1193" s="1083">
        <f t="shared" si="2669"/>
      </c>
      <c r="AA1193" s="191">
        <f t="shared" si="2669"/>
      </c>
      <c r="AB1193" s="191">
        <f t="shared" si="2669"/>
      </c>
      <c r="AC1193" s="191">
        <f t="shared" si="2669"/>
      </c>
      <c r="AD1193" s="191">
        <f t="shared" si="2669"/>
      </c>
      <c r="AE1193" s="1083">
        <f t="shared" si="2669"/>
      </c>
      <c r="AF1193" s="191">
        <f t="shared" si="2669"/>
      </c>
      <c r="AG1193" s="191">
        <f t="shared" si="2669"/>
      </c>
      <c r="AH1193" s="191">
        <f t="shared" si="2669"/>
      </c>
      <c r="AI1193" s="191">
        <f t="shared" si="2669"/>
      </c>
      <c r="AJ1193" s="1083">
        <f t="shared" si="2670"/>
      </c>
      <c r="AK1193" s="191">
        <f t="shared" si="2670"/>
      </c>
      <c r="AL1193" s="191">
        <f t="shared" si="2670"/>
      </c>
      <c r="AM1193" s="191">
        <f t="shared" si="2670"/>
      </c>
      <c r="AN1193" s="191">
        <f t="shared" si="2670"/>
      </c>
      <c r="AO1193" s="1083">
        <f t="shared" si="2670"/>
      </c>
      <c r="AP1193" s="191">
        <f t="shared" si="2670"/>
      </c>
      <c r="AQ1193" s="191">
        <f t="shared" si="2670"/>
      </c>
      <c r="AR1193" s="191">
        <f t="shared" si="2670"/>
      </c>
      <c r="AS1193" s="191">
        <f t="shared" si="2670"/>
      </c>
      <c r="AT1193" s="1083">
        <f t="shared" si="2671"/>
      </c>
      <c r="AU1193" s="191">
        <f t="shared" si="2671"/>
      </c>
      <c r="AV1193" s="191">
        <f t="shared" si="2671"/>
      </c>
      <c r="AW1193" s="191">
        <f t="shared" si="2671"/>
      </c>
      <c r="AX1193" s="191">
        <f t="shared" si="2671"/>
      </c>
      <c r="AY1193" s="1083">
        <f t="shared" si="2671"/>
      </c>
      <c r="AZ1193" s="191">
        <f t="shared" si="2671"/>
      </c>
      <c r="BA1193" s="191">
        <f t="shared" si="2671"/>
      </c>
      <c r="BB1193" s="191">
        <f>BB1189-AW1189</f>
      </c>
      <c r="BC1193" s="191">
        <f t="shared" si="2672"/>
      </c>
      <c r="BD1193" s="1083">
        <f t="shared" si="2672"/>
      </c>
      <c r="BE1193" s="191">
        <f t="shared" si="2673"/>
      </c>
      <c r="BF1193" s="191">
        <f t="shared" si="2673"/>
      </c>
      <c r="BG1193" s="191">
        <f t="shared" si="2674"/>
      </c>
      <c r="BH1193" s="191">
        <f t="shared" si="2674"/>
      </c>
      <c r="BI1193" s="1083">
        <f t="shared" si="2674"/>
      </c>
      <c r="BJ1193" s="191">
        <f t="shared" si="2675"/>
      </c>
      <c r="BK1193" s="191">
        <f t="shared" si="2675"/>
      </c>
      <c r="BL1193" s="191">
        <f t="shared" si="2676"/>
      </c>
      <c r="BM1193" s="191">
        <f t="shared" si="2676"/>
      </c>
      <c r="BN1193" s="1083">
        <f t="shared" si="2676"/>
      </c>
      <c r="BO1193" s="191">
        <f t="shared" si="2677"/>
      </c>
      <c r="BP1193" s="191">
        <f t="shared" si="2677"/>
      </c>
      <c r="BQ1193" s="191">
        <f t="shared" si="2678"/>
      </c>
      <c r="BR1193" s="191">
        <f t="shared" si="2678"/>
      </c>
      <c r="BS1193" s="1083">
        <f t="shared" si="2678"/>
      </c>
      <c r="BT1193" s="722">
        <f>BT1189-BO1189</f>
      </c>
      <c r="BU1193" s="908">
        <v>0</v>
      </c>
      <c r="BV1193" s="908">
        <v>0</v>
      </c>
      <c r="BW1193" s="908">
        <v>0</v>
      </c>
      <c r="BX1193" s="1033">
        <f>BX1189-BS1189</f>
      </c>
      <c r="BY1193" s="908">
        <v>0</v>
      </c>
      <c r="BZ1193" s="908">
        <v>0</v>
      </c>
      <c r="CA1193" s="908">
        <v>0</v>
      </c>
      <c r="CB1193" s="908">
        <v>0</v>
      </c>
      <c r="CC1193" s="1033">
        <f>CC1189-BX1189</f>
      </c>
      <c r="CD1193" s="1084">
        <v>0</v>
      </c>
      <c r="CE1193" s="1084">
        <v>0</v>
      </c>
      <c r="CF1193" s="1084">
        <v>0</v>
      </c>
      <c r="CG1193" s="11"/>
    </row>
    <row r="1194" spans="1:85" s="590" customFormat="1" x14ac:dyDescent="0.3">
      <c r="A1194" s="498" t="s">
        <v>184</v>
      </c>
      <c r="B1194" s="282"/>
      <c r="C1194" s="1033"/>
      <c r="D1194" s="1083">
        <f t="shared" si="2667"/>
      </c>
      <c r="E1194" s="1083">
        <f t="shared" si="2667"/>
      </c>
      <c r="F1194" s="1083">
        <f t="shared" si="2667"/>
      </c>
      <c r="G1194" s="549"/>
      <c r="H1194" s="549"/>
      <c r="I1194" s="549"/>
      <c r="J1194" s="549"/>
      <c r="K1194" s="1083">
        <f>K1190-F1190</f>
      </c>
      <c r="L1194" s="549"/>
      <c r="M1194" s="549"/>
      <c r="N1194" s="549"/>
      <c r="O1194" s="549"/>
      <c r="P1194" s="1083">
        <f t="shared" si="2668"/>
      </c>
      <c r="Q1194" s="191">
        <f t="shared" si="2668"/>
      </c>
      <c r="R1194" s="191">
        <f t="shared" si="2668"/>
      </c>
      <c r="S1194" s="191">
        <f t="shared" si="2668"/>
      </c>
      <c r="T1194" s="191">
        <f t="shared" si="2668"/>
      </c>
      <c r="U1194" s="1083">
        <f t="shared" si="2668"/>
      </c>
      <c r="V1194" s="191">
        <f t="shared" si="2668"/>
      </c>
      <c r="W1194" s="191">
        <f t="shared" si="2668"/>
      </c>
      <c r="X1194" s="191">
        <f t="shared" si="2668"/>
      </c>
      <c r="Y1194" s="191">
        <f t="shared" si="2668"/>
      </c>
      <c r="Z1194" s="1083">
        <f t="shared" si="2669"/>
      </c>
      <c r="AA1194" s="191">
        <f t="shared" si="2669"/>
      </c>
      <c r="AB1194" s="191">
        <f t="shared" si="2669"/>
      </c>
      <c r="AC1194" s="191">
        <f t="shared" si="2669"/>
      </c>
      <c r="AD1194" s="191">
        <f t="shared" si="2669"/>
      </c>
      <c r="AE1194" s="1083">
        <f t="shared" si="2669"/>
      </c>
      <c r="AF1194" s="191">
        <f t="shared" si="2669"/>
      </c>
      <c r="AG1194" s="191">
        <f t="shared" si="2669"/>
      </c>
      <c r="AH1194" s="191">
        <f t="shared" si="2669"/>
      </c>
      <c r="AI1194" s="191">
        <f t="shared" si="2669"/>
      </c>
      <c r="AJ1194" s="1083">
        <f t="shared" si="2670"/>
      </c>
      <c r="AK1194" s="191">
        <f t="shared" si="2670"/>
      </c>
      <c r="AL1194" s="191">
        <f t="shared" si="2670"/>
      </c>
      <c r="AM1194" s="191">
        <f t="shared" si="2670"/>
      </c>
      <c r="AN1194" s="191">
        <f t="shared" si="2670"/>
      </c>
      <c r="AO1194" s="1083">
        <f t="shared" si="2670"/>
      </c>
      <c r="AP1194" s="191">
        <f t="shared" si="2670"/>
      </c>
      <c r="AQ1194" s="191">
        <f t="shared" si="2670"/>
      </c>
      <c r="AR1194" s="191">
        <f t="shared" si="2670"/>
      </c>
      <c r="AS1194" s="191">
        <f t="shared" si="2670"/>
      </c>
      <c r="AT1194" s="1083">
        <f t="shared" si="2671"/>
      </c>
      <c r="AU1194" s="191">
        <f t="shared" si="2671"/>
      </c>
      <c r="AV1194" s="191">
        <f t="shared" si="2671"/>
      </c>
      <c r="AW1194" s="191">
        <f t="shared" si="2671"/>
      </c>
      <c r="AX1194" s="191">
        <f t="shared" si="2671"/>
      </c>
      <c r="AY1194" s="1083">
        <f t="shared" si="2671"/>
      </c>
      <c r="AZ1194" s="191">
        <f t="shared" si="2671"/>
      </c>
      <c r="BA1194" s="191">
        <f t="shared" si="2671"/>
      </c>
      <c r="BB1194" s="191">
        <f>BB1190-AW1190</f>
      </c>
      <c r="BC1194" s="191">
        <f t="shared" si="2672"/>
      </c>
      <c r="BD1194" s="1083">
        <f t="shared" si="2672"/>
      </c>
      <c r="BE1194" s="191">
        <f t="shared" si="2673"/>
      </c>
      <c r="BF1194" s="191">
        <f t="shared" si="2673"/>
      </c>
      <c r="BG1194" s="191">
        <f t="shared" si="2674"/>
      </c>
      <c r="BH1194" s="191">
        <f t="shared" si="2674"/>
      </c>
      <c r="BI1194" s="1083">
        <f t="shared" si="2674"/>
      </c>
      <c r="BJ1194" s="191">
        <f t="shared" si="2675"/>
      </c>
      <c r="BK1194" s="191">
        <f t="shared" si="2675"/>
      </c>
      <c r="BL1194" s="191">
        <f t="shared" si="2676"/>
      </c>
      <c r="BM1194" s="191">
        <f t="shared" si="2676"/>
      </c>
      <c r="BN1194" s="1083">
        <f t="shared" si="2676"/>
      </c>
      <c r="BO1194" s="191">
        <f t="shared" si="2677"/>
      </c>
      <c r="BP1194" s="191">
        <f t="shared" si="2677"/>
      </c>
      <c r="BQ1194" s="191">
        <f t="shared" si="2678"/>
      </c>
      <c r="BR1194" s="191">
        <f t="shared" si="2678"/>
      </c>
      <c r="BS1194" s="1083">
        <f t="shared" si="2678"/>
      </c>
      <c r="BT1194" s="722">
        <f>BT1190-BO1190</f>
      </c>
      <c r="BU1194" s="908">
        <v>0</v>
      </c>
      <c r="BV1194" s="908">
        <v>0</v>
      </c>
      <c r="BW1194" s="908">
        <v>0</v>
      </c>
      <c r="BX1194" s="1033">
        <f>BX1190-BS1190</f>
      </c>
      <c r="BY1194" s="908">
        <v>0</v>
      </c>
      <c r="BZ1194" s="908">
        <v>0</v>
      </c>
      <c r="CA1194" s="908">
        <v>0</v>
      </c>
      <c r="CB1194" s="908">
        <v>0</v>
      </c>
      <c r="CC1194" s="1033">
        <f>CC1190-BX1190</f>
      </c>
      <c r="CD1194" s="1084">
        <v>0</v>
      </c>
      <c r="CE1194" s="1084">
        <v>0</v>
      </c>
      <c r="CF1194" s="1084">
        <v>0</v>
      </c>
      <c r="CG1194" s="11"/>
    </row>
    <row r="1195" spans="1:85" x14ac:dyDescent="0.3">
      <c r="A1195" s="436"/>
      <c r="B1195" s="414"/>
      <c r="C1195" s="943"/>
      <c r="D1195" s="943"/>
      <c r="E1195" s="943"/>
      <c r="F1195" s="943"/>
      <c r="G1195" s="753"/>
      <c r="H1195" s="753"/>
      <c r="I1195" s="753"/>
      <c r="J1195" s="753"/>
      <c r="K1195" s="943"/>
      <c r="L1195" s="753"/>
      <c r="M1195" s="753"/>
      <c r="N1195" s="753"/>
      <c r="O1195" s="753"/>
      <c r="P1195" s="943"/>
      <c r="Q1195" s="753"/>
      <c r="R1195" s="753"/>
      <c r="S1195" s="753"/>
      <c r="T1195" s="753"/>
      <c r="U1195" s="943"/>
      <c r="V1195" s="753"/>
      <c r="W1195" s="753"/>
      <c r="X1195" s="753"/>
      <c r="Y1195" s="753"/>
      <c r="Z1195" s="943"/>
      <c r="AA1195" s="753"/>
      <c r="AB1195" s="753"/>
      <c r="AC1195" s="753"/>
      <c r="AD1195" s="753"/>
      <c r="AE1195" s="943"/>
      <c r="AF1195" s="753"/>
      <c r="AG1195" s="753"/>
      <c r="AH1195" s="753"/>
      <c r="AI1195" s="753"/>
      <c r="AJ1195" s="943"/>
      <c r="AK1195" s="753"/>
      <c r="AL1195" s="753"/>
      <c r="AM1195" s="753"/>
      <c r="AN1195" s="753"/>
      <c r="AO1195" s="943"/>
      <c r="AP1195" s="753"/>
      <c r="AQ1195" s="753"/>
      <c r="AR1195" s="753"/>
      <c r="AS1195" s="753"/>
      <c r="AT1195" s="943"/>
      <c r="AU1195" s="753"/>
      <c r="AV1195" s="753"/>
      <c r="AW1195" s="753"/>
      <c r="AX1195" s="753"/>
      <c r="AY1195" s="943"/>
      <c r="AZ1195" s="753"/>
      <c r="BA1195" s="753"/>
      <c r="BB1195" s="753"/>
      <c r="BC1195" s="753"/>
      <c r="BD1195" s="943"/>
      <c r="BE1195" s="753"/>
      <c r="BF1195" s="753"/>
      <c r="BG1195" s="753"/>
      <c r="BH1195" s="753"/>
      <c r="BI1195" s="943"/>
      <c r="BJ1195" s="753"/>
      <c r="BK1195" s="753"/>
      <c r="BL1195" s="753"/>
      <c r="BM1195" s="753"/>
      <c r="BN1195" s="943"/>
      <c r="BO1195" s="753"/>
      <c r="BP1195" s="753"/>
      <c r="BQ1195" s="753"/>
      <c r="BR1195" s="753"/>
      <c r="BS1195" s="943"/>
      <c r="BT1195" s="756"/>
      <c r="BU1195" s="753"/>
      <c r="BV1195" s="753"/>
      <c r="BW1195" s="753"/>
      <c r="BX1195" s="943"/>
      <c r="BY1195" s="753"/>
      <c r="BZ1195" s="753"/>
      <c r="CA1195" s="753"/>
      <c r="CB1195" s="753"/>
      <c r="CC1195" s="943"/>
      <c r="CD1195" s="943"/>
      <c r="CE1195" s="943"/>
      <c r="CF1195" s="943"/>
      <c r="CG1195" s="183"/>
    </row>
    <row r="1196" spans="1:85" x14ac:dyDescent="0.3">
      <c r="A1196" s="754" t="s">
        <v>657</v>
      </c>
      <c r="B1196" s="754"/>
      <c r="C1196" s="754"/>
      <c r="D1196" s="754"/>
      <c r="E1196" s="754"/>
      <c r="F1196" s="754"/>
      <c r="G1196" s="754"/>
      <c r="H1196" s="754"/>
      <c r="I1196" s="754"/>
      <c r="J1196" s="754"/>
      <c r="K1196" s="754"/>
      <c r="L1196" s="754"/>
      <c r="M1196" s="754"/>
      <c r="N1196" s="754"/>
      <c r="O1196" s="754"/>
      <c r="P1196" s="754"/>
      <c r="Q1196" s="754"/>
      <c r="R1196" s="754"/>
      <c r="S1196" s="754"/>
      <c r="T1196" s="754"/>
      <c r="U1196" s="754"/>
      <c r="V1196" s="754"/>
      <c r="W1196" s="754"/>
      <c r="X1196" s="754"/>
      <c r="Y1196" s="754"/>
      <c r="Z1196" s="754"/>
      <c r="AA1196" s="754"/>
      <c r="AB1196" s="754"/>
      <c r="AC1196" s="754"/>
      <c r="AD1196" s="754"/>
      <c r="AE1196" s="754"/>
      <c r="AF1196" s="754"/>
      <c r="AG1196" s="754"/>
      <c r="AH1196" s="754"/>
      <c r="AI1196" s="754"/>
      <c r="AJ1196" s="754"/>
      <c r="AK1196" s="754"/>
      <c r="AL1196" s="754"/>
      <c r="AM1196" s="754"/>
      <c r="AN1196" s="754"/>
      <c r="AO1196" s="754"/>
      <c r="AP1196" s="754"/>
      <c r="AQ1196" s="754"/>
      <c r="AR1196" s="754"/>
      <c r="AS1196" s="754"/>
      <c r="AT1196" s="754"/>
      <c r="AU1196" s="754"/>
      <c r="AV1196" s="754"/>
      <c r="AW1196" s="754"/>
      <c r="AX1196" s="754"/>
      <c r="AY1196" s="754"/>
      <c r="AZ1196" s="754"/>
      <c r="BA1196" s="754"/>
      <c r="BB1196" s="754"/>
      <c r="BC1196" s="754"/>
      <c r="BD1196" s="754"/>
      <c r="BE1196" s="754"/>
      <c r="BF1196" s="754"/>
      <c r="BG1196" s="754"/>
      <c r="BH1196" s="754"/>
      <c r="BI1196" s="754"/>
      <c r="BJ1196" s="754"/>
      <c r="BK1196" s="754"/>
      <c r="BL1196" s="754"/>
      <c r="BM1196" s="754"/>
      <c r="BN1196" s="754"/>
      <c r="BO1196" s="754"/>
      <c r="BP1196" s="754"/>
      <c r="BQ1196" s="754"/>
      <c r="BR1196" s="754"/>
      <c r="BS1196" s="754"/>
      <c r="BT1196" s="755"/>
      <c r="BU1196" s="754"/>
      <c r="BV1196" s="754"/>
      <c r="BW1196" s="754"/>
      <c r="BX1196" s="754"/>
      <c r="BY1196" s="754"/>
      <c r="BZ1196" s="754"/>
      <c r="CA1196" s="754"/>
      <c r="CB1196" s="754"/>
      <c r="CC1196" s="754"/>
      <c r="CD1196" s="754"/>
      <c r="CE1196" s="754"/>
      <c r="CF1196" s="754"/>
      <c r="CG1196" s="183"/>
    </row>
    <row r="1197" spans="1:85" s="587" customFormat="1" x14ac:dyDescent="0.3">
      <c r="A1197" s="4" t="s">
        <v>185</v>
      </c>
      <c r="B1197" s="428"/>
      <c r="C1197" s="969"/>
      <c r="D1197" s="969"/>
      <c r="E1197" s="969"/>
      <c r="F1197" s="969"/>
      <c r="G1197" s="759"/>
      <c r="H1197" s="759"/>
      <c r="I1197" s="759"/>
      <c r="J1197" s="759"/>
      <c r="K1197" s="969"/>
      <c r="L1197" s="759"/>
      <c r="M1197" s="759"/>
      <c r="N1197" s="759"/>
      <c r="O1197" s="759"/>
      <c r="P1197" s="969"/>
      <c r="Q1197" s="759"/>
      <c r="R1197" s="759"/>
      <c r="S1197" s="759"/>
      <c r="T1197" s="759"/>
      <c r="U1197" s="969"/>
      <c r="V1197" s="759"/>
      <c r="W1197" s="759"/>
      <c r="X1197" s="759"/>
      <c r="Y1197" s="759"/>
      <c r="Z1197" s="969"/>
      <c r="AA1197" s="759"/>
      <c r="AB1197" s="759"/>
      <c r="AC1197" s="759"/>
      <c r="AD1197" s="759"/>
      <c r="AE1197" s="969"/>
      <c r="AF1197" s="759"/>
      <c r="AG1197" s="759"/>
      <c r="AH1197" s="759"/>
      <c r="AI1197" s="759"/>
      <c r="AJ1197" s="969"/>
      <c r="AK1197" s="759"/>
      <c r="AL1197" s="759"/>
      <c r="AM1197" s="759"/>
      <c r="AN1197" s="759"/>
      <c r="AO1197" s="969"/>
      <c r="AP1197" s="759"/>
      <c r="AQ1197" s="759"/>
      <c r="AR1197" s="759"/>
      <c r="AS1197" s="759"/>
      <c r="AT1197" s="969"/>
      <c r="AU1197" s="759"/>
      <c r="AV1197" s="759"/>
      <c r="AW1197" s="759"/>
      <c r="AX1197" s="759"/>
      <c r="AY1197" s="969"/>
      <c r="AZ1197" s="759"/>
      <c r="BA1197" s="759"/>
      <c r="BB1197" s="759"/>
      <c r="BC1197" s="759"/>
      <c r="BD1197" s="969"/>
      <c r="BE1197" s="759"/>
      <c r="BF1197" s="759"/>
      <c r="BG1197" s="759"/>
      <c r="BH1197" s="759"/>
      <c r="BI1197" s="969"/>
      <c r="BJ1197" s="759"/>
      <c r="BK1197" s="759"/>
      <c r="BL1197" s="759"/>
      <c r="BM1197" s="759"/>
      <c r="BN1197" s="969"/>
      <c r="BO1197" s="759"/>
      <c r="BP1197" s="759"/>
      <c r="BQ1197" s="759"/>
      <c r="BR1197" s="759"/>
      <c r="BS1197" s="969"/>
      <c r="BT1197" s="760"/>
      <c r="BU1197" s="759"/>
      <c r="BV1197" s="759"/>
      <c r="BW1197" s="759"/>
      <c r="BX1197" s="969"/>
      <c r="BY1197" s="759"/>
      <c r="BZ1197" s="759"/>
      <c r="CA1197" s="759"/>
      <c r="CB1197" s="759"/>
      <c r="CC1197" s="969"/>
      <c r="CD1197" s="969"/>
      <c r="CE1197" s="969"/>
      <c r="CF1197" s="969"/>
      <c r="CG1197" s="183"/>
    </row>
    <row r="1198" spans="1:85" s="587" customFormat="1" x14ac:dyDescent="0.3">
      <c r="A1198" s="182" t="s">
        <v>186</v>
      </c>
      <c r="B1198" s="414"/>
      <c r="C1198" s="963">
        <v>134.22399999999999</v>
      </c>
      <c r="D1198" s="963">
        <v>194.499</v>
      </c>
      <c r="E1198" s="963">
        <v>508.053</v>
      </c>
      <c r="F1198" s="963">
        <v>290.291</v>
      </c>
      <c r="G1198" s="857">
        <v>418.05099999999999</v>
      </c>
      <c r="H1198" s="857">
        <v>370.678</v>
      </c>
      <c r="I1198" s="857">
        <v>439.05599999999998</v>
      </c>
      <c r="J1198" s="857">
        <v>604.96500000000003</v>
      </c>
      <c r="K1198" s="963">
        <v>604.96500000000003</v>
      </c>
      <c r="L1198" s="857">
        <v>1157.45</v>
      </c>
      <c r="M1198" s="857">
        <v>1214.2439999999999</v>
      </c>
      <c r="N1198" s="857">
        <v>1183.2170000000001</v>
      </c>
      <c r="O1198" s="857">
        <v>1113.6079999999999</v>
      </c>
      <c r="P1198" s="963">
        <v>1113.6079999999999</v>
      </c>
      <c r="Q1198" s="857">
        <v>2454.777</v>
      </c>
      <c r="R1198" s="857">
        <v>2293.8719999999998</v>
      </c>
      <c r="S1198" s="857">
        <v>2115.4369999999999</v>
      </c>
      <c r="T1198" s="857">
        <v>1809.33</v>
      </c>
      <c r="U1198" s="963">
        <v>1809.33</v>
      </c>
      <c r="V1198" s="857">
        <v>1605.2439999999999</v>
      </c>
      <c r="W1198" s="857">
        <v>1390.925</v>
      </c>
      <c r="X1198" s="857">
        <v>969.15800000000002</v>
      </c>
      <c r="Y1198" s="757">
        <f t="shared" ref="Y1198:Y1204" si="2679">Z1198</f>
      </c>
      <c r="Z1198" s="963">
        <v>1467.576</v>
      </c>
      <c r="AA1198" s="857">
        <v>1077.8240000000001</v>
      </c>
      <c r="AB1198" s="857">
        <v>1918.777</v>
      </c>
      <c r="AC1198" s="857">
        <v>1746.4690000000001</v>
      </c>
      <c r="AD1198" s="757">
        <f t="shared" ref="AD1198:AD1204" si="2680">AE1198</f>
      </c>
      <c r="AE1198" s="963">
        <v>2822.7950000000001</v>
      </c>
      <c r="AF1198" s="857">
        <v>2593.6660000000002</v>
      </c>
      <c r="AG1198" s="857">
        <v>3906.357</v>
      </c>
      <c r="AH1198" s="857">
        <v>3067.5340000000001</v>
      </c>
      <c r="AI1198" s="757">
        <f t="shared" ref="AI1198:AI1204" si="2681">AJ1198</f>
      </c>
      <c r="AJ1198" s="963">
        <v>3794.4830000000002</v>
      </c>
      <c r="AK1198" s="857">
        <v>3348.5569999999998</v>
      </c>
      <c r="AL1198" s="857">
        <v>5004.2470000000003</v>
      </c>
      <c r="AM1198" s="857">
        <v>4435.018</v>
      </c>
      <c r="AN1198" s="757">
        <f t="shared" ref="AN1198:AN1206" si="2682">AO1198</f>
      </c>
      <c r="AO1198" s="963">
        <v>5018.4369999999999</v>
      </c>
      <c r="AP1198" s="857">
        <v>5151.884</v>
      </c>
      <c r="AQ1198" s="857">
        <v>7153.2479999999996</v>
      </c>
      <c r="AR1198" s="857">
        <v>8392.3909999999996</v>
      </c>
      <c r="AS1198" s="757">
        <f t="shared" ref="AS1198:AS1206" si="2683">AT1198</f>
      </c>
      <c r="AT1198" s="963">
        <v>8205.5499999999993</v>
      </c>
      <c r="AU1198" s="857">
        <v>8403.7049999999999</v>
      </c>
      <c r="AV1198" s="857">
        <v>7777.53</v>
      </c>
      <c r="AW1198" s="857">
        <v>7526.6809999999996</v>
      </c>
      <c r="AX1198" s="757">
        <f t="shared" ref="AX1198:AX1206" si="2684">AY1198</f>
      </c>
      <c r="AY1198" s="963">
        <v>6027.8040000000001</v>
      </c>
      <c r="AZ1198" s="857">
        <v>6008.9459999999999</v>
      </c>
      <c r="BA1198" s="857">
        <v>5819.4489999999996</v>
      </c>
      <c r="BB1198" s="857">
        <v>6113.7330000000002</v>
      </c>
      <c r="BC1198" s="757">
        <f t="shared" ref="BC1198:BC1206" si="2685">BD1198</f>
      </c>
      <c r="BD1198" s="963">
        <v>5147.1760000000004</v>
      </c>
      <c r="BE1198" s="857">
        <v>6714.5940000000001</v>
      </c>
      <c r="BF1198" s="857">
        <v>7662.7879999999996</v>
      </c>
      <c r="BG1198" s="857">
        <v>7353.2449999999999</v>
      </c>
      <c r="BH1198" s="757">
        <f t="shared" ref="BH1198:BH1206" si="2686">BI1198</f>
      </c>
      <c r="BI1198" s="963">
        <v>7116.9129999999996</v>
      </c>
      <c r="BJ1198" s="857">
        <v>7024.7659999999996</v>
      </c>
      <c r="BK1198" s="857">
        <v>6624.9390000000003</v>
      </c>
      <c r="BL1198" s="857">
        <v>7457.0249999999996</v>
      </c>
      <c r="BM1198" s="757">
        <f t="shared" ref="BM1198:BM1206" si="2687">BN1198</f>
      </c>
      <c r="BN1198" s="963">
        <v>7804.7330000000002</v>
      </c>
      <c r="BO1198" s="857">
        <v>7199.848</v>
      </c>
      <c r="BP1198" s="857">
        <v>8177.4049999999997</v>
      </c>
      <c r="BQ1198" s="857">
        <v>9287.2870000000003</v>
      </c>
      <c r="BR1198" s="757">
        <f t="shared" ref="BR1198:BR1206" si="2688">BS1198</f>
      </c>
      <c r="BS1198" s="963">
        <v>9033.6810000000005</v>
      </c>
      <c r="BT1198" s="864">
        <v>12259.772000000001</v>
      </c>
      <c r="BU1198" s="757">
        <f>BT1198+BU1156</f>
      </c>
      <c r="BV1198" s="757">
        <f>BU1198+BV1156</f>
      </c>
      <c r="BW1198" s="757">
        <f>BV1198+BW1156</f>
      </c>
      <c r="BX1198" s="962">
        <f t="shared" ref="BX1198:BX1206" si="2689">BW1198</f>
      </c>
      <c r="BY1198" s="757">
        <f>BX1198+BY1156</f>
      </c>
      <c r="BZ1198" s="757">
        <f>BY1198+BZ1156</f>
      </c>
      <c r="CA1198" s="757">
        <f>BZ1198+CA1156</f>
      </c>
      <c r="CB1198" s="757">
        <f>CA1198+CB1156</f>
      </c>
      <c r="CC1198" s="962">
        <f t="shared" ref="CC1198:CC1206" si="2690">CB1198</f>
      </c>
      <c r="CD1198" s="962">
        <f>CC1198+CD1156</f>
      </c>
      <c r="CE1198" s="962">
        <f>CD1198+CE1156</f>
      </c>
      <c r="CF1198" s="962">
        <f>CE1198+CF1156</f>
      </c>
      <c r="CG1198" s="459"/>
    </row>
    <row r="1199" spans="1:85" s="587" customFormat="1" x14ac:dyDescent="0.3">
      <c r="A1199" s="182" t="s">
        <v>187</v>
      </c>
      <c r="B1199" s="414"/>
      <c r="C1199" s="963">
        <v>186.018</v>
      </c>
      <c r="D1199" s="963">
        <v>155.88800000000001</v>
      </c>
      <c r="E1199" s="963">
        <v>289.75799999999998</v>
      </c>
      <c r="F1199" s="963">
        <v>457.78699999999998</v>
      </c>
      <c r="G1199" s="857">
        <v>607.82100000000003</v>
      </c>
      <c r="H1199" s="857">
        <v>709.43200000000002</v>
      </c>
      <c r="I1199" s="857">
        <v>695.93100000000004</v>
      </c>
      <c r="J1199" s="857">
        <v>595.44000000000005</v>
      </c>
      <c r="K1199" s="963">
        <v>595.44000000000005</v>
      </c>
      <c r="L1199" s="857">
        <v>510.79300000000001</v>
      </c>
      <c r="M1199" s="857">
        <v>500.12099999999998</v>
      </c>
      <c r="N1199" s="857">
        <v>483.60199999999998</v>
      </c>
      <c r="O1199" s="857">
        <v>494.88799999999998</v>
      </c>
      <c r="P1199" s="963">
        <v>494.88799999999998</v>
      </c>
      <c r="Q1199" s="857">
        <v>502.93099999999998</v>
      </c>
      <c r="R1199" s="857">
        <v>502.88600000000002</v>
      </c>
      <c r="S1199" s="857">
        <v>494.20499999999998</v>
      </c>
      <c r="T1199" s="857">
        <v>501.38499999999999</v>
      </c>
      <c r="U1199" s="963">
        <v>501.38499999999999</v>
      </c>
      <c r="V1199" s="857">
        <v>467.22699999999998</v>
      </c>
      <c r="W1199" s="857">
        <v>443.303</v>
      </c>
      <c r="X1199" s="857">
        <v>374.09800000000001</v>
      </c>
      <c r="Y1199" s="757">
        <f t="shared" si="2679"/>
      </c>
      <c r="Z1199" s="963">
        <v>266.20600000000002</v>
      </c>
      <c r="AA1199" s="857">
        <v>263.40499999999997</v>
      </c>
      <c r="AB1199" s="857">
        <v>246.125</v>
      </c>
      <c r="AC1199" s="757"/>
      <c r="AD1199" s="757">
        <f t="shared" si="2680"/>
      </c>
      <c r="AE1199" s="962"/>
      <c r="AF1199" s="757"/>
      <c r="AG1199" s="757"/>
      <c r="AH1199" s="757"/>
      <c r="AI1199" s="757">
        <f t="shared" si="2681"/>
      </c>
      <c r="AJ1199" s="962"/>
      <c r="AK1199" s="757"/>
      <c r="AL1199" s="757"/>
      <c r="AM1199" s="757"/>
      <c r="AN1199" s="757">
        <f t="shared" si="2682"/>
      </c>
      <c r="AO1199" s="962"/>
      <c r="AP1199" s="757"/>
      <c r="AQ1199" s="757"/>
      <c r="AR1199" s="757"/>
      <c r="AS1199" s="757">
        <f t="shared" si="2683"/>
      </c>
      <c r="AT1199" s="962"/>
      <c r="AU1199" s="757"/>
      <c r="AV1199" s="757"/>
      <c r="AW1199" s="757"/>
      <c r="AX1199" s="757">
        <f t="shared" si="2684"/>
      </c>
      <c r="AY1199" s="962"/>
      <c r="AZ1199" s="757"/>
      <c r="BA1199" s="757"/>
      <c r="BB1199" s="757"/>
      <c r="BC1199" s="757">
        <f t="shared" si="2685"/>
      </c>
      <c r="BD1199" s="963">
        <v>911.27599999999995</v>
      </c>
      <c r="BE1199" s="857">
        <v>1112.9100000000001</v>
      </c>
      <c r="BF1199" s="857">
        <v>914.20100000000002</v>
      </c>
      <c r="BG1199" s="857">
        <v>514.20100000000002</v>
      </c>
      <c r="BH1199" s="757">
        <f t="shared" si="2686"/>
      </c>
      <c r="BI1199" s="963">
        <v>20.972999999999999</v>
      </c>
      <c r="BJ1199" s="857">
        <v>20.972999999999999</v>
      </c>
      <c r="BK1199" s="857">
        <v>30.972999999999999</v>
      </c>
      <c r="BL1199" s="857">
        <v>1766.902</v>
      </c>
      <c r="BM1199" s="757">
        <f t="shared" si="2687"/>
      </c>
      <c r="BN1199" s="963">
        <v>1779.0060000000001</v>
      </c>
      <c r="BO1199" s="857">
        <v>1171.1420000000001</v>
      </c>
      <c r="BP1199" s="857">
        <v>213.11500000000001</v>
      </c>
      <c r="BQ1199" s="857">
        <v>37.104999999999997</v>
      </c>
      <c r="BR1199" s="757">
        <f t="shared" si="2688"/>
      </c>
      <c r="BS1199" s="963">
        <v>28.678000000000001</v>
      </c>
      <c r="BT1199" s="864">
        <v>28.678000000000001</v>
      </c>
      <c r="BU1199" s="757">
        <f t="shared" ref="BU1199:BW1205" si="2691">BT1199</f>
      </c>
      <c r="BV1199" s="757">
        <f t="shared" si="2691"/>
      </c>
      <c r="BW1199" s="757">
        <f t="shared" si="2691"/>
      </c>
      <c r="BX1199" s="962">
        <f t="shared" si="2689"/>
      </c>
      <c r="BY1199" s="757">
        <f t="shared" ref="BY1199:CB1205" si="2692">BX1199</f>
      </c>
      <c r="BZ1199" s="757">
        <f t="shared" si="2692"/>
      </c>
      <c r="CA1199" s="757">
        <f t="shared" si="2692"/>
      </c>
      <c r="CB1199" s="757">
        <f t="shared" si="2692"/>
      </c>
      <c r="CC1199" s="962">
        <f t="shared" si="2690"/>
      </c>
      <c r="CD1199" s="962">
        <f t="shared" ref="CD1199:CF1205" si="2693">CC1199</f>
      </c>
      <c r="CE1199" s="962">
        <f t="shared" si="2693"/>
      </c>
      <c r="CF1199" s="962">
        <f t="shared" si="2693"/>
      </c>
      <c r="CG1199" s="459"/>
    </row>
    <row r="1200" spans="1:85" s="587" customFormat="1" hidden="1" outlineLevel="1" x14ac:dyDescent="0.3">
      <c r="A1200" s="182" t="s">
        <v>188</v>
      </c>
      <c r="B1200" s="414"/>
      <c r="C1200" s="963">
        <v>12.491</v>
      </c>
      <c r="D1200" s="963">
        <v>0</v>
      </c>
      <c r="E1200" s="963">
        <v>0</v>
      </c>
      <c r="F1200" s="963">
        <v>0</v>
      </c>
      <c r="G1200" s="857">
        <v>0</v>
      </c>
      <c r="H1200" s="857">
        <v>0</v>
      </c>
      <c r="I1200" s="857">
        <v>0</v>
      </c>
      <c r="J1200" s="857">
        <v>0</v>
      </c>
      <c r="K1200" s="963">
        <v>0</v>
      </c>
      <c r="L1200" s="857">
        <v>0</v>
      </c>
      <c r="M1200" s="857">
        <v>0</v>
      </c>
      <c r="N1200" s="857">
        <v>0</v>
      </c>
      <c r="O1200" s="857">
        <v>0</v>
      </c>
      <c r="P1200" s="963">
        <v>0</v>
      </c>
      <c r="Q1200" s="857">
        <v>0</v>
      </c>
      <c r="R1200" s="857">
        <v>0</v>
      </c>
      <c r="S1200" s="857">
        <v>0</v>
      </c>
      <c r="T1200" s="857">
        <v>0</v>
      </c>
      <c r="U1200" s="963">
        <v>0</v>
      </c>
      <c r="V1200" s="757"/>
      <c r="W1200" s="757"/>
      <c r="X1200" s="757"/>
      <c r="Y1200" s="757">
        <f t="shared" si="2679"/>
      </c>
      <c r="Z1200" s="962"/>
      <c r="AA1200" s="757"/>
      <c r="AB1200" s="757"/>
      <c r="AC1200" s="757"/>
      <c r="AD1200" s="757">
        <f t="shared" si="2680"/>
      </c>
      <c r="AE1200" s="962"/>
      <c r="AF1200" s="757"/>
      <c r="AG1200" s="757"/>
      <c r="AH1200" s="757"/>
      <c r="AI1200" s="757">
        <f t="shared" si="2681"/>
      </c>
      <c r="AJ1200" s="962"/>
      <c r="AK1200" s="757"/>
      <c r="AL1200" s="757"/>
      <c r="AM1200" s="757"/>
      <c r="AN1200" s="757">
        <f t="shared" si="2682"/>
      </c>
      <c r="AO1200" s="962"/>
      <c r="AP1200" s="757"/>
      <c r="AQ1200" s="757"/>
      <c r="AR1200" s="757"/>
      <c r="AS1200" s="757">
        <f t="shared" si="2683"/>
      </c>
      <c r="AT1200" s="962"/>
      <c r="AU1200" s="757"/>
      <c r="AV1200" s="757"/>
      <c r="AW1200" s="757"/>
      <c r="AX1200" s="757">
        <f t="shared" si="2684"/>
      </c>
      <c r="AY1200" s="962"/>
      <c r="AZ1200" s="757"/>
      <c r="BA1200" s="757"/>
      <c r="BB1200" s="757"/>
      <c r="BC1200" s="757">
        <f t="shared" si="2685"/>
      </c>
      <c r="BD1200" s="962"/>
      <c r="BE1200" s="757"/>
      <c r="BF1200" s="757"/>
      <c r="BG1200" s="757"/>
      <c r="BH1200" s="757">
        <f t="shared" si="2686"/>
      </c>
      <c r="BI1200" s="962"/>
      <c r="BJ1200" s="757"/>
      <c r="BK1200" s="757"/>
      <c r="BL1200" s="757"/>
      <c r="BM1200" s="757">
        <f t="shared" si="2687"/>
      </c>
      <c r="BN1200" s="962"/>
      <c r="BO1200" s="757"/>
      <c r="BP1200" s="757"/>
      <c r="BQ1200" s="757"/>
      <c r="BR1200" s="757">
        <f t="shared" si="2688"/>
      </c>
      <c r="BS1200" s="962"/>
      <c r="BT1200" s="758"/>
      <c r="BU1200" s="757">
        <f t="shared" si="2691"/>
      </c>
      <c r="BV1200" s="757">
        <f t="shared" si="2691"/>
      </c>
      <c r="BW1200" s="757">
        <f t="shared" si="2691"/>
      </c>
      <c r="BX1200" s="962">
        <f t="shared" si="2689"/>
      </c>
      <c r="BY1200" s="757">
        <f t="shared" si="2692"/>
      </c>
      <c r="BZ1200" s="757">
        <f t="shared" si="2692"/>
      </c>
      <c r="CA1200" s="757">
        <f t="shared" si="2692"/>
      </c>
      <c r="CB1200" s="757">
        <f t="shared" si="2692"/>
      </c>
      <c r="CC1200" s="962">
        <f t="shared" si="2690"/>
      </c>
      <c r="CD1200" s="962">
        <f t="shared" si="2693"/>
      </c>
      <c r="CE1200" s="962">
        <f t="shared" si="2693"/>
      </c>
      <c r="CF1200" s="962">
        <f t="shared" si="2693"/>
      </c>
      <c r="CG1200" s="459"/>
    </row>
    <row r="1201" spans="1:85" s="587" customFormat="1" hidden="1" outlineLevel="1" x14ac:dyDescent="0.3">
      <c r="A1201" s="182" t="s">
        <v>189</v>
      </c>
      <c r="B1201" s="414"/>
      <c r="C1201" s="963">
        <v>17.132999999999999</v>
      </c>
      <c r="D1201" s="963">
        <v>0</v>
      </c>
      <c r="E1201" s="963">
        <v>0</v>
      </c>
      <c r="F1201" s="963">
        <v>0</v>
      </c>
      <c r="G1201" s="857">
        <v>0</v>
      </c>
      <c r="H1201" s="857">
        <v>0</v>
      </c>
      <c r="I1201" s="857">
        <v>0</v>
      </c>
      <c r="J1201" s="857">
        <v>0</v>
      </c>
      <c r="K1201" s="963">
        <v>0</v>
      </c>
      <c r="L1201" s="857">
        <v>0</v>
      </c>
      <c r="M1201" s="857">
        <v>0</v>
      </c>
      <c r="N1201" s="857">
        <v>0</v>
      </c>
      <c r="O1201" s="857">
        <v>0</v>
      </c>
      <c r="P1201" s="963">
        <v>0</v>
      </c>
      <c r="Q1201" s="857">
        <v>0</v>
      </c>
      <c r="R1201" s="857">
        <v>0</v>
      </c>
      <c r="S1201" s="857">
        <v>0</v>
      </c>
      <c r="T1201" s="857">
        <v>0</v>
      </c>
      <c r="U1201" s="963">
        <v>0</v>
      </c>
      <c r="V1201" s="757"/>
      <c r="W1201" s="757"/>
      <c r="X1201" s="757"/>
      <c r="Y1201" s="757">
        <f t="shared" si="2679"/>
      </c>
      <c r="Z1201" s="962"/>
      <c r="AA1201" s="757"/>
      <c r="AB1201" s="757"/>
      <c r="AC1201" s="757"/>
      <c r="AD1201" s="757">
        <f t="shared" si="2680"/>
      </c>
      <c r="AE1201" s="962"/>
      <c r="AF1201" s="757"/>
      <c r="AG1201" s="757"/>
      <c r="AH1201" s="757"/>
      <c r="AI1201" s="757">
        <f t="shared" si="2681"/>
      </c>
      <c r="AJ1201" s="962"/>
      <c r="AK1201" s="757"/>
      <c r="AL1201" s="757"/>
      <c r="AM1201" s="757"/>
      <c r="AN1201" s="757">
        <f t="shared" si="2682"/>
      </c>
      <c r="AO1201" s="962"/>
      <c r="AP1201" s="757"/>
      <c r="AQ1201" s="757"/>
      <c r="AR1201" s="757"/>
      <c r="AS1201" s="757">
        <f t="shared" si="2683"/>
      </c>
      <c r="AT1201" s="962"/>
      <c r="AU1201" s="757"/>
      <c r="AV1201" s="757"/>
      <c r="AW1201" s="757"/>
      <c r="AX1201" s="757">
        <f t="shared" si="2684"/>
      </c>
      <c r="AY1201" s="962"/>
      <c r="AZ1201" s="757"/>
      <c r="BA1201" s="757"/>
      <c r="BB1201" s="757"/>
      <c r="BC1201" s="757">
        <f t="shared" si="2685"/>
      </c>
      <c r="BD1201" s="962"/>
      <c r="BE1201" s="757"/>
      <c r="BF1201" s="757"/>
      <c r="BG1201" s="757"/>
      <c r="BH1201" s="757">
        <f t="shared" si="2686"/>
      </c>
      <c r="BI1201" s="962"/>
      <c r="BJ1201" s="757"/>
      <c r="BK1201" s="757"/>
      <c r="BL1201" s="757"/>
      <c r="BM1201" s="757">
        <f t="shared" si="2687"/>
      </c>
      <c r="BN1201" s="962"/>
      <c r="BO1201" s="757"/>
      <c r="BP1201" s="757"/>
      <c r="BQ1201" s="757"/>
      <c r="BR1201" s="757">
        <f t="shared" si="2688"/>
      </c>
      <c r="BS1201" s="962"/>
      <c r="BT1201" s="758"/>
      <c r="BU1201" s="757">
        <f t="shared" si="2691"/>
      </c>
      <c r="BV1201" s="757">
        <f t="shared" si="2691"/>
      </c>
      <c r="BW1201" s="757">
        <f t="shared" si="2691"/>
      </c>
      <c r="BX1201" s="962">
        <f t="shared" si="2689"/>
      </c>
      <c r="BY1201" s="757">
        <f t="shared" si="2692"/>
      </c>
      <c r="BZ1201" s="757">
        <f t="shared" si="2692"/>
      </c>
      <c r="CA1201" s="757">
        <f t="shared" si="2692"/>
      </c>
      <c r="CB1201" s="757">
        <f t="shared" si="2692"/>
      </c>
      <c r="CC1201" s="962">
        <f t="shared" si="2690"/>
      </c>
      <c r="CD1201" s="962">
        <f t="shared" si="2693"/>
      </c>
      <c r="CE1201" s="962">
        <f t="shared" si="2693"/>
      </c>
      <c r="CF1201" s="962">
        <f t="shared" si="2693"/>
      </c>
      <c r="CG1201" s="459"/>
    </row>
    <row r="1202" spans="1:85" s="587" customFormat="1" hidden="1" outlineLevel="1" x14ac:dyDescent="0.3">
      <c r="A1202" s="182" t="s">
        <v>190</v>
      </c>
      <c r="B1202" s="414"/>
      <c r="C1202" s="963">
        <v>37.329000000000001</v>
      </c>
      <c r="D1202" s="963">
        <v>181.006</v>
      </c>
      <c r="E1202" s="963">
        <v>919.70899999999995</v>
      </c>
      <c r="F1202" s="963">
        <v>1368.162</v>
      </c>
      <c r="G1202" s="857">
        <v>1391.5050000000001</v>
      </c>
      <c r="H1202" s="857">
        <v>1363.6089999999999</v>
      </c>
      <c r="I1202" s="857">
        <v>1577.5139999999999</v>
      </c>
      <c r="J1202" s="857">
        <v>1706.421</v>
      </c>
      <c r="K1202" s="963">
        <v>1706.421</v>
      </c>
      <c r="L1202" s="857">
        <v>1771.41</v>
      </c>
      <c r="M1202" s="857">
        <v>1786.3409999999999</v>
      </c>
      <c r="N1202" s="857">
        <v>2006.981</v>
      </c>
      <c r="O1202" s="857">
        <v>2125.7020000000002</v>
      </c>
      <c r="P1202" s="963">
        <v>2125.7020000000002</v>
      </c>
      <c r="Q1202" s="857">
        <v>2370.4470000000001</v>
      </c>
      <c r="R1202" s="857">
        <v>2510.9459999999999</v>
      </c>
      <c r="S1202" s="857">
        <v>2695.1840000000002</v>
      </c>
      <c r="T1202" s="857">
        <v>2905.998</v>
      </c>
      <c r="U1202" s="963">
        <v>2905.998</v>
      </c>
      <c r="V1202" s="857">
        <v>3258.6410000000001</v>
      </c>
      <c r="W1202" s="857">
        <v>3349.2620000000002</v>
      </c>
      <c r="X1202" s="857">
        <v>3632.3989999999999</v>
      </c>
      <c r="Y1202" s="757">
        <f t="shared" si="2679"/>
      </c>
      <c r="Z1202" s="963">
        <v>3726.3069999999998</v>
      </c>
      <c r="AA1202" s="857">
        <v>4026.6149999999998</v>
      </c>
      <c r="AB1202" s="857">
        <v>4149.1109999999999</v>
      </c>
      <c r="AC1202" s="857">
        <v>4223.3869999999997</v>
      </c>
      <c r="AD1202" s="757">
        <f t="shared" si="2680"/>
      </c>
      <c r="AE1202" s="963">
        <v>4310.9340000000002</v>
      </c>
      <c r="AF1202" s="857">
        <v>4626.5219999999999</v>
      </c>
      <c r="AG1202" s="857">
        <v>4803.6629999999996</v>
      </c>
      <c r="AH1202" s="857">
        <v>4987.9160000000002</v>
      </c>
      <c r="AI1202" s="757">
        <f t="shared" si="2681"/>
      </c>
      <c r="AJ1202" s="963">
        <v>5151.1859999999997</v>
      </c>
      <c r="AK1202" s="857">
        <v>0</v>
      </c>
      <c r="AL1202" s="757"/>
      <c r="AM1202" s="757"/>
      <c r="AN1202" s="757">
        <f t="shared" si="2682"/>
      </c>
      <c r="AO1202" s="962"/>
      <c r="AP1202" s="757"/>
      <c r="AQ1202" s="757"/>
      <c r="AR1202" s="757"/>
      <c r="AS1202" s="757">
        <f t="shared" si="2683"/>
      </c>
      <c r="AT1202" s="962"/>
      <c r="AU1202" s="757"/>
      <c r="AV1202" s="757"/>
      <c r="AW1202" s="757"/>
      <c r="AX1202" s="757">
        <f t="shared" si="2684"/>
      </c>
      <c r="AY1202" s="962"/>
      <c r="AZ1202" s="757"/>
      <c r="BA1202" s="757"/>
      <c r="BB1202" s="757"/>
      <c r="BC1202" s="757">
        <f t="shared" si="2685"/>
      </c>
      <c r="BD1202" s="962"/>
      <c r="BE1202" s="757"/>
      <c r="BF1202" s="757"/>
      <c r="BG1202" s="757"/>
      <c r="BH1202" s="757">
        <f t="shared" si="2686"/>
      </c>
      <c r="BI1202" s="962"/>
      <c r="BJ1202" s="757"/>
      <c r="BK1202" s="757"/>
      <c r="BL1202" s="757"/>
      <c r="BM1202" s="757">
        <f t="shared" si="2687"/>
      </c>
      <c r="BN1202" s="962"/>
      <c r="BO1202" s="757"/>
      <c r="BP1202" s="757"/>
      <c r="BQ1202" s="757"/>
      <c r="BR1202" s="757">
        <f t="shared" si="2688"/>
      </c>
      <c r="BS1202" s="962"/>
      <c r="BT1202" s="758"/>
      <c r="BU1202" s="757">
        <f t="shared" si="2691"/>
      </c>
      <c r="BV1202" s="757">
        <f t="shared" si="2691"/>
      </c>
      <c r="BW1202" s="757">
        <f t="shared" si="2691"/>
      </c>
      <c r="BX1202" s="962">
        <f t="shared" si="2689"/>
      </c>
      <c r="BY1202" s="757">
        <f t="shared" si="2692"/>
      </c>
      <c r="BZ1202" s="757">
        <f t="shared" si="2692"/>
      </c>
      <c r="CA1202" s="757">
        <f t="shared" si="2692"/>
      </c>
      <c r="CB1202" s="757">
        <f t="shared" si="2692"/>
      </c>
      <c r="CC1202" s="962">
        <f t="shared" si="2690"/>
      </c>
      <c r="CD1202" s="962">
        <f t="shared" si="2693"/>
      </c>
      <c r="CE1202" s="962">
        <f t="shared" si="2693"/>
      </c>
      <c r="CF1202" s="962">
        <f t="shared" si="2693"/>
      </c>
      <c r="CG1202" s="459"/>
    </row>
    <row r="1203" spans="1:85" s="587" customFormat="1" hidden="1" outlineLevel="1" x14ac:dyDescent="0.3">
      <c r="A1203" s="182" t="s">
        <v>191</v>
      </c>
      <c r="B1203" s="414"/>
      <c r="C1203" s="963">
        <v>0</v>
      </c>
      <c r="D1203" s="963">
        <v>0</v>
      </c>
      <c r="E1203" s="963">
        <v>0</v>
      </c>
      <c r="F1203" s="963">
        <v>0</v>
      </c>
      <c r="G1203" s="857">
        <v>0</v>
      </c>
      <c r="H1203" s="857">
        <v>0</v>
      </c>
      <c r="I1203" s="857">
        <v>0</v>
      </c>
      <c r="J1203" s="857">
        <v>0</v>
      </c>
      <c r="K1203" s="963">
        <v>0</v>
      </c>
      <c r="L1203" s="857">
        <v>0</v>
      </c>
      <c r="M1203" s="857">
        <v>0</v>
      </c>
      <c r="N1203" s="857">
        <v>0</v>
      </c>
      <c r="O1203" s="857">
        <v>0</v>
      </c>
      <c r="P1203" s="963">
        <v>0</v>
      </c>
      <c r="Q1203" s="857">
        <v>0</v>
      </c>
      <c r="R1203" s="857">
        <v>0</v>
      </c>
      <c r="S1203" s="857">
        <v>0</v>
      </c>
      <c r="T1203" s="857">
        <v>0</v>
      </c>
      <c r="U1203" s="963">
        <v>0</v>
      </c>
      <c r="V1203" s="757"/>
      <c r="W1203" s="757"/>
      <c r="X1203" s="757"/>
      <c r="Y1203" s="757">
        <f t="shared" si="2679"/>
      </c>
      <c r="Z1203" s="962"/>
      <c r="AA1203" s="757"/>
      <c r="AB1203" s="757"/>
      <c r="AC1203" s="757"/>
      <c r="AD1203" s="757">
        <f t="shared" si="2680"/>
      </c>
      <c r="AE1203" s="962"/>
      <c r="AF1203" s="757"/>
      <c r="AG1203" s="757"/>
      <c r="AH1203" s="757"/>
      <c r="AI1203" s="757">
        <f t="shared" si="2681"/>
      </c>
      <c r="AJ1203" s="962"/>
      <c r="AK1203" s="757"/>
      <c r="AL1203" s="757"/>
      <c r="AM1203" s="757"/>
      <c r="AN1203" s="757">
        <f t="shared" si="2682"/>
      </c>
      <c r="AO1203" s="962"/>
      <c r="AP1203" s="757"/>
      <c r="AQ1203" s="757"/>
      <c r="AR1203" s="757"/>
      <c r="AS1203" s="757">
        <f t="shared" si="2683"/>
      </c>
      <c r="AT1203" s="962"/>
      <c r="AU1203" s="757"/>
      <c r="AV1203" s="757"/>
      <c r="AW1203" s="757"/>
      <c r="AX1203" s="757">
        <f t="shared" si="2684"/>
      </c>
      <c r="AY1203" s="962"/>
      <c r="AZ1203" s="757"/>
      <c r="BA1203" s="757"/>
      <c r="BB1203" s="757"/>
      <c r="BC1203" s="757">
        <f t="shared" si="2685"/>
      </c>
      <c r="BD1203" s="962"/>
      <c r="BE1203" s="757"/>
      <c r="BF1203" s="757"/>
      <c r="BG1203" s="757"/>
      <c r="BH1203" s="757">
        <f t="shared" si="2686"/>
      </c>
      <c r="BI1203" s="962"/>
      <c r="BJ1203" s="757"/>
      <c r="BK1203" s="757"/>
      <c r="BL1203" s="757"/>
      <c r="BM1203" s="757">
        <f t="shared" si="2687"/>
      </c>
      <c r="BN1203" s="962"/>
      <c r="BO1203" s="757"/>
      <c r="BP1203" s="757"/>
      <c r="BQ1203" s="757"/>
      <c r="BR1203" s="757">
        <f t="shared" si="2688"/>
      </c>
      <c r="BS1203" s="962"/>
      <c r="BT1203" s="758"/>
      <c r="BU1203" s="757">
        <f t="shared" si="2691"/>
      </c>
      <c r="BV1203" s="757">
        <f t="shared" si="2691"/>
      </c>
      <c r="BW1203" s="757">
        <f t="shared" si="2691"/>
      </c>
      <c r="BX1203" s="962">
        <f t="shared" si="2689"/>
      </c>
      <c r="BY1203" s="757">
        <f t="shared" si="2692"/>
      </c>
      <c r="BZ1203" s="757">
        <f t="shared" si="2692"/>
      </c>
      <c r="CA1203" s="757">
        <f t="shared" si="2692"/>
      </c>
      <c r="CB1203" s="757">
        <f t="shared" si="2692"/>
      </c>
      <c r="CC1203" s="962">
        <f t="shared" si="2690"/>
      </c>
      <c r="CD1203" s="962">
        <f t="shared" si="2693"/>
      </c>
      <c r="CE1203" s="962">
        <f t="shared" si="2693"/>
      </c>
      <c r="CF1203" s="962">
        <f t="shared" si="2693"/>
      </c>
      <c r="CG1203" s="459"/>
    </row>
    <row r="1204" spans="1:85" s="587" customFormat="1" hidden="1" outlineLevel="1" x14ac:dyDescent="0.3">
      <c r="A1204" s="182" t="s">
        <v>139</v>
      </c>
      <c r="B1204" s="414"/>
      <c r="C1204" s="962"/>
      <c r="D1204" s="963">
        <v>62.216999999999999</v>
      </c>
      <c r="E1204" s="963">
        <v>56.006999999999998</v>
      </c>
      <c r="F1204" s="963">
        <v>59.929000000000002</v>
      </c>
      <c r="G1204" s="857">
        <v>57.253999999999998</v>
      </c>
      <c r="H1204" s="857">
        <v>32.064</v>
      </c>
      <c r="I1204" s="857">
        <v>30.521999999999998</v>
      </c>
      <c r="J1204" s="857">
        <v>0</v>
      </c>
      <c r="K1204" s="963">
        <v>0</v>
      </c>
      <c r="L1204" s="857">
        <v>0</v>
      </c>
      <c r="M1204" s="857">
        <v>0</v>
      </c>
      <c r="N1204" s="857">
        <v>0</v>
      </c>
      <c r="O1204" s="857">
        <v>0</v>
      </c>
      <c r="P1204" s="963">
        <v>0</v>
      </c>
      <c r="Q1204" s="857">
        <v>0</v>
      </c>
      <c r="R1204" s="857">
        <v>0</v>
      </c>
      <c r="S1204" s="857">
        <v>0</v>
      </c>
      <c r="T1204" s="857">
        <v>0</v>
      </c>
      <c r="U1204" s="963">
        <v>0</v>
      </c>
      <c r="V1204" s="757"/>
      <c r="W1204" s="757"/>
      <c r="X1204" s="757"/>
      <c r="Y1204" s="757">
        <f t="shared" si="2679"/>
      </c>
      <c r="Z1204" s="962"/>
      <c r="AA1204" s="757"/>
      <c r="AB1204" s="757"/>
      <c r="AC1204" s="757"/>
      <c r="AD1204" s="757">
        <f t="shared" si="2680"/>
      </c>
      <c r="AE1204" s="962"/>
      <c r="AF1204" s="757"/>
      <c r="AG1204" s="757"/>
      <c r="AH1204" s="757"/>
      <c r="AI1204" s="757">
        <f t="shared" si="2681"/>
      </c>
      <c r="AJ1204" s="962"/>
      <c r="AK1204" s="757"/>
      <c r="AL1204" s="757"/>
      <c r="AM1204" s="757"/>
      <c r="AN1204" s="757">
        <f t="shared" si="2682"/>
      </c>
      <c r="AO1204" s="962"/>
      <c r="AP1204" s="757"/>
      <c r="AQ1204" s="757"/>
      <c r="AR1204" s="757"/>
      <c r="AS1204" s="757">
        <f t="shared" si="2683"/>
      </c>
      <c r="AT1204" s="962"/>
      <c r="AU1204" s="757"/>
      <c r="AV1204" s="757"/>
      <c r="AW1204" s="757"/>
      <c r="AX1204" s="757">
        <f t="shared" si="2684"/>
      </c>
      <c r="AY1204" s="962"/>
      <c r="AZ1204" s="757"/>
      <c r="BA1204" s="757"/>
      <c r="BB1204" s="757"/>
      <c r="BC1204" s="757">
        <f t="shared" si="2685"/>
      </c>
      <c r="BD1204" s="962"/>
      <c r="BE1204" s="757"/>
      <c r="BF1204" s="757"/>
      <c r="BG1204" s="757"/>
      <c r="BH1204" s="757">
        <f t="shared" si="2686"/>
      </c>
      <c r="BI1204" s="962"/>
      <c r="BJ1204" s="757"/>
      <c r="BK1204" s="757"/>
      <c r="BL1204" s="757"/>
      <c r="BM1204" s="757">
        <f t="shared" si="2687"/>
      </c>
      <c r="BN1204" s="962"/>
      <c r="BO1204" s="757"/>
      <c r="BP1204" s="757"/>
      <c r="BQ1204" s="757"/>
      <c r="BR1204" s="757">
        <f t="shared" si="2688"/>
      </c>
      <c r="BS1204" s="962"/>
      <c r="BT1204" s="758"/>
      <c r="BU1204" s="757">
        <f t="shared" si="2691"/>
      </c>
      <c r="BV1204" s="757">
        <f t="shared" si="2691"/>
      </c>
      <c r="BW1204" s="757">
        <f t="shared" si="2691"/>
      </c>
      <c r="BX1204" s="962">
        <f t="shared" si="2689"/>
      </c>
      <c r="BY1204" s="757">
        <f t="shared" si="2692"/>
      </c>
      <c r="BZ1204" s="757">
        <f t="shared" si="2692"/>
      </c>
      <c r="CA1204" s="757">
        <f t="shared" si="2692"/>
      </c>
      <c r="CB1204" s="757">
        <f t="shared" si="2692"/>
      </c>
      <c r="CC1204" s="962">
        <f t="shared" si="2690"/>
      </c>
      <c r="CD1204" s="962">
        <f t="shared" si="2693"/>
      </c>
      <c r="CE1204" s="962">
        <f t="shared" si="2693"/>
      </c>
      <c r="CF1204" s="962">
        <f t="shared" si="2693"/>
      </c>
      <c r="CG1204" s="459"/>
    </row>
    <row r="1205" spans="1:85" s="587" customFormat="1" collapsed="1" x14ac:dyDescent="0.3">
      <c r="A1205" s="436" t="s">
        <v>713</v>
      </c>
      <c r="B1205" s="414"/>
      <c r="C1205" s="962"/>
      <c r="D1205" s="962"/>
      <c r="E1205" s="962"/>
      <c r="F1205" s="962"/>
      <c r="G1205" s="757"/>
      <c r="H1205" s="757"/>
      <c r="I1205" s="757"/>
      <c r="J1205" s="757"/>
      <c r="K1205" s="962"/>
      <c r="L1205" s="757"/>
      <c r="M1205" s="757"/>
      <c r="N1205" s="757"/>
      <c r="O1205" s="757"/>
      <c r="P1205" s="962"/>
      <c r="Q1205" s="757"/>
      <c r="R1205" s="757"/>
      <c r="S1205" s="757"/>
      <c r="T1205" s="757"/>
      <c r="U1205" s="962"/>
      <c r="V1205" s="757"/>
      <c r="W1205" s="757"/>
      <c r="X1205" s="757"/>
      <c r="Y1205" s="757"/>
      <c r="Z1205" s="962"/>
      <c r="AA1205" s="757"/>
      <c r="AB1205" s="757"/>
      <c r="AC1205" s="757"/>
      <c r="AD1205" s="757"/>
      <c r="AE1205" s="962"/>
      <c r="AF1205" s="757"/>
      <c r="AG1205" s="757"/>
      <c r="AH1205" s="757"/>
      <c r="AI1205" s="757"/>
      <c r="AJ1205" s="962"/>
      <c r="AK1205" s="757"/>
      <c r="AL1205" s="757"/>
      <c r="AM1205" s="757"/>
      <c r="AN1205" s="757">
        <f t="shared" si="2682"/>
      </c>
      <c r="AO1205" s="963">
        <v>1.863</v>
      </c>
      <c r="AP1205" s="857">
        <v>2.5139999999999998</v>
      </c>
      <c r="AQ1205" s="857">
        <v>2.4830000000000001</v>
      </c>
      <c r="AR1205" s="857">
        <v>2.7610000000000001</v>
      </c>
      <c r="AS1205" s="757">
        <f t="shared" si="2683"/>
      </c>
      <c r="AT1205" s="963">
        <v>1.7829999999999999</v>
      </c>
      <c r="AU1205" s="857">
        <v>2.1589999999999998</v>
      </c>
      <c r="AV1205" s="857">
        <v>2.6890000000000001</v>
      </c>
      <c r="AW1205" s="857">
        <v>1.98</v>
      </c>
      <c r="AX1205" s="757">
        <f t="shared" si="2684"/>
      </c>
      <c r="AY1205" s="963">
        <v>3.1890000000000001</v>
      </c>
      <c r="AZ1205" s="857">
        <v>0.95499999999999996</v>
      </c>
      <c r="BA1205" s="857">
        <v>0.90400000000000003</v>
      </c>
      <c r="BB1205" s="857">
        <v>2.819</v>
      </c>
      <c r="BC1205" s="757">
        <f t="shared" si="2685"/>
      </c>
      <c r="BD1205" s="963">
        <v>3.41</v>
      </c>
      <c r="BE1205" s="857">
        <v>3.8889999999999998</v>
      </c>
      <c r="BF1205" s="857">
        <v>1.7629999999999999</v>
      </c>
      <c r="BG1205" s="857">
        <v>1.9330000000000001</v>
      </c>
      <c r="BH1205" s="757">
        <f t="shared" si="2686"/>
      </c>
      <c r="BI1205" s="963">
        <v>1.466</v>
      </c>
      <c r="BJ1205" s="857">
        <v>1.69</v>
      </c>
      <c r="BK1205" s="857">
        <v>1.9730000000000001</v>
      </c>
      <c r="BL1205" s="857">
        <v>1.923</v>
      </c>
      <c r="BM1205" s="757">
        <f t="shared" si="2687"/>
      </c>
      <c r="BN1205" s="963">
        <v>2.472</v>
      </c>
      <c r="BO1205" s="857">
        <v>4.0439999999999996</v>
      </c>
      <c r="BP1205" s="857">
        <v>3.024</v>
      </c>
      <c r="BQ1205" s="857">
        <v>3.4369999999999998</v>
      </c>
      <c r="BR1205" s="757">
        <f t="shared" si="2688"/>
      </c>
      <c r="BS1205" s="963">
        <v>5.3689999999999998</v>
      </c>
      <c r="BT1205" s="864">
        <v>6.9569999999999999</v>
      </c>
      <c r="BU1205" s="757">
        <f t="shared" si="2691"/>
      </c>
      <c r="BV1205" s="757">
        <f t="shared" si="2691"/>
      </c>
      <c r="BW1205" s="757">
        <f t="shared" si="2691"/>
      </c>
      <c r="BX1205" s="962">
        <f t="shared" si="2689"/>
      </c>
      <c r="BY1205" s="757">
        <f t="shared" si="2692"/>
      </c>
      <c r="BZ1205" s="757">
        <f t="shared" si="2692"/>
      </c>
      <c r="CA1205" s="757">
        <f t="shared" si="2692"/>
      </c>
      <c r="CB1205" s="757">
        <f t="shared" si="2692"/>
      </c>
      <c r="CC1205" s="962">
        <f t="shared" si="2690"/>
      </c>
      <c r="CD1205" s="962">
        <f t="shared" si="2693"/>
      </c>
      <c r="CE1205" s="962">
        <f t="shared" si="2693"/>
      </c>
      <c r="CF1205" s="962">
        <f t="shared" si="2693"/>
      </c>
      <c r="CG1205" s="459"/>
    </row>
    <row r="1206" spans="1:85" s="587" customFormat="1" x14ac:dyDescent="0.3">
      <c r="A1206" s="30" t="s">
        <v>140</v>
      </c>
      <c r="B1206" s="416"/>
      <c r="C1206" s="989">
        <v>23.818000000000001</v>
      </c>
      <c r="D1206" s="989">
        <v>47.356999999999999</v>
      </c>
      <c r="E1206" s="989">
        <v>57.33</v>
      </c>
      <c r="F1206" s="989">
        <v>64.622</v>
      </c>
      <c r="G1206" s="863">
        <v>82.468999999999994</v>
      </c>
      <c r="H1206" s="863">
        <v>94.539000000000001</v>
      </c>
      <c r="I1206" s="863">
        <v>106.255</v>
      </c>
      <c r="J1206" s="863">
        <v>151.93700000000001</v>
      </c>
      <c r="K1206" s="989">
        <v>151.93700000000001</v>
      </c>
      <c r="L1206" s="863">
        <v>147.131</v>
      </c>
      <c r="M1206" s="863">
        <v>167.67400000000001</v>
      </c>
      <c r="N1206" s="863">
        <v>149.68199999999999</v>
      </c>
      <c r="O1206" s="863">
        <v>206.27099999999999</v>
      </c>
      <c r="P1206" s="989">
        <v>206.27099999999999</v>
      </c>
      <c r="Q1206" s="863">
        <v>210.90100000000001</v>
      </c>
      <c r="R1206" s="863">
        <v>292.80599999999998</v>
      </c>
      <c r="S1206" s="863">
        <v>264.887</v>
      </c>
      <c r="T1206" s="863">
        <v>215.12700000000001</v>
      </c>
      <c r="U1206" s="989">
        <v>215.12700000000001</v>
      </c>
      <c r="V1206" s="863">
        <v>212.72399999999999</v>
      </c>
      <c r="W1206" s="863">
        <v>203.428</v>
      </c>
      <c r="X1206" s="863">
        <v>218.238</v>
      </c>
      <c r="Y1206" s="761">
        <f>Z1206</f>
      </c>
      <c r="Z1206" s="989">
        <v>260.202</v>
      </c>
      <c r="AA1206" s="863">
        <v>292.48599999999999</v>
      </c>
      <c r="AB1206" s="863">
        <v>386.77199999999999</v>
      </c>
      <c r="AC1206" s="863">
        <v>415.49200000000002</v>
      </c>
      <c r="AD1206" s="761">
        <f>AE1206</f>
      </c>
      <c r="AE1206" s="989">
        <v>536.245</v>
      </c>
      <c r="AF1206" s="863">
        <v>597.38800000000003</v>
      </c>
      <c r="AG1206" s="863">
        <v>636.86900000000003</v>
      </c>
      <c r="AH1206" s="863">
        <v>674.53099999999995</v>
      </c>
      <c r="AI1206" s="761">
        <f>AJ1206</f>
      </c>
      <c r="AJ1206" s="989">
        <v>748.46600000000001</v>
      </c>
      <c r="AK1206" s="863">
        <v>820.35</v>
      </c>
      <c r="AL1206" s="863">
        <v>872.91</v>
      </c>
      <c r="AM1206" s="863">
        <v>892.74</v>
      </c>
      <c r="AN1206" s="761">
        <f t="shared" si="2682"/>
      </c>
      <c r="AO1206" s="984">
        <f>1160.067-AO1205</f>
      </c>
      <c r="AP1206" s="800">
        <f>1295.897-AP1205</f>
      </c>
      <c r="AQ1206" s="800">
        <f>1410.891-AQ1205</f>
      </c>
      <c r="AR1206" s="800">
        <f>1434.089-AR1205</f>
      </c>
      <c r="AS1206" s="761">
        <f t="shared" si="2683"/>
      </c>
      <c r="AT1206" s="984">
        <f>1556.03-AT1205</f>
      </c>
      <c r="AU1206" s="800">
        <f>1703.803-AU1205</f>
      </c>
      <c r="AV1206" s="800">
        <f>1826.746-AV1205</f>
      </c>
      <c r="AW1206" s="800">
        <f>1889.106-AW1205</f>
      </c>
      <c r="AX1206" s="761">
        <f t="shared" si="2684"/>
      </c>
      <c r="AY1206" s="984">
        <f>2042.021-AY1205</f>
      </c>
      <c r="AZ1206" s="800">
        <f>2089.069-AZ1205</f>
      </c>
      <c r="BA1206" s="761">
        <f>2021.329-BA1205</f>
      </c>
      <c r="BB1206" s="800">
        <f>2703.17-BB1205</f>
      </c>
      <c r="BC1206" s="761">
        <f t="shared" si="2685"/>
      </c>
      <c r="BD1206" s="984">
        <f>3208.021-BD1205</f>
      </c>
      <c r="BE1206" s="800">
        <f>2655.119-BE1205</f>
      </c>
      <c r="BF1206" s="761">
        <f>2929.347-BF1205</f>
      </c>
      <c r="BG1206" s="800">
        <f>2912.028-BG1205</f>
      </c>
      <c r="BH1206" s="761">
        <f t="shared" si="2686"/>
      </c>
      <c r="BI1206" s="984">
        <f>2780.247-BI1205</f>
      </c>
      <c r="BJ1206" s="800">
        <f>2875.574-BJ1205</f>
      </c>
      <c r="BK1206" s="757">
        <f>2959.641-BK1205</f>
      </c>
      <c r="BL1206" s="800">
        <f>2905.172-BL1205</f>
      </c>
      <c r="BM1206" s="761">
        <f t="shared" si="2687"/>
      </c>
      <c r="BN1206" s="984">
        <f>3516.64-BN1205</f>
      </c>
      <c r="BO1206" s="800">
        <f>3326.642-BO1205</f>
      </c>
      <c r="BP1206" s="757">
        <f>3602.586-BP1205</f>
      </c>
      <c r="BQ1206" s="800">
        <f>3638.543-BQ1205</f>
      </c>
      <c r="BR1206" s="761">
        <f t="shared" si="2688"/>
      </c>
      <c r="BS1206" s="984">
        <f>3957.832-BS1205</f>
      </c>
      <c r="BT1206" s="808">
        <f>4782.532-BT1205</f>
      </c>
      <c r="BU1206" s="761">
        <f>(BU$462+BT$462+BR$462+BQ$462)*BU1188</f>
      </c>
      <c r="BV1206" s="761">
        <f>(BV$462+BU$462+BT$462+BR$462)*BV1188</f>
      </c>
      <c r="BW1206" s="761">
        <f>(BW$462+BV$462+BU$462+BT$462)*BW1188</f>
      </c>
      <c r="BX1206" s="984">
        <f t="shared" si="2689"/>
      </c>
      <c r="BY1206" s="761">
        <f>(BY$462+BW$462+BV$462+BU$462)*BY1188</f>
      </c>
      <c r="BZ1206" s="761">
        <f>(BZ$462+BY$462+BW$462+BV$462)*BZ1188</f>
      </c>
      <c r="CA1206" s="761">
        <f>(CA$462+BZ$462+BY$462+BW$462)*CA1188</f>
      </c>
      <c r="CB1206" s="761">
        <f>(CB$462+CA$462+BZ$462+BY$462)*CB1188</f>
      </c>
      <c r="CC1206" s="984">
        <f t="shared" si="2690"/>
      </c>
      <c r="CD1206" s="984">
        <f>CD462*CD1188</f>
      </c>
      <c r="CE1206" s="984">
        <f>CE462*CE1188</f>
      </c>
      <c r="CF1206" s="984">
        <f>CF462*CF1188</f>
      </c>
      <c r="CG1206" s="459"/>
    </row>
    <row r="1207" spans="1:85" s="587" customFormat="1" x14ac:dyDescent="0.3">
      <c r="A1207" s="2" t="s">
        <v>192</v>
      </c>
      <c r="B1207" s="422"/>
      <c r="C1207" s="986">
        <f t="shared" ref="C1207:AH1207" si="2694">SUM(C1198:C1206)</f>
      </c>
      <c r="D1207" s="986">
        <f t="shared" si="2694"/>
      </c>
      <c r="E1207" s="986">
        <f t="shared" si="2694"/>
      </c>
      <c r="F1207" s="986">
        <f t="shared" si="2694"/>
      </c>
      <c r="G1207" s="792">
        <f t="shared" si="2694"/>
      </c>
      <c r="H1207" s="792">
        <f t="shared" si="2694"/>
      </c>
      <c r="I1207" s="792">
        <f t="shared" si="2694"/>
      </c>
      <c r="J1207" s="792">
        <f t="shared" si="2694"/>
      </c>
      <c r="K1207" s="986">
        <f t="shared" si="2694"/>
      </c>
      <c r="L1207" s="792">
        <f t="shared" si="2694"/>
      </c>
      <c r="M1207" s="792">
        <f t="shared" si="2694"/>
      </c>
      <c r="N1207" s="792">
        <f t="shared" si="2694"/>
      </c>
      <c r="O1207" s="792">
        <f t="shared" si="2694"/>
      </c>
      <c r="P1207" s="986">
        <f t="shared" si="2694"/>
      </c>
      <c r="Q1207" s="792">
        <f t="shared" si="2694"/>
      </c>
      <c r="R1207" s="792">
        <f t="shared" si="2694"/>
      </c>
      <c r="S1207" s="792">
        <f t="shared" si="2694"/>
      </c>
      <c r="T1207" s="792">
        <f t="shared" si="2694"/>
      </c>
      <c r="U1207" s="986">
        <f t="shared" si="2694"/>
      </c>
      <c r="V1207" s="792">
        <f t="shared" si="2694"/>
      </c>
      <c r="W1207" s="792">
        <f t="shared" si="2694"/>
      </c>
      <c r="X1207" s="792">
        <f t="shared" si="2694"/>
      </c>
      <c r="Y1207" s="791">
        <f t="shared" si="2694"/>
      </c>
      <c r="Z1207" s="965">
        <f t="shared" si="2694"/>
      </c>
      <c r="AA1207" s="792">
        <f t="shared" si="2694"/>
      </c>
      <c r="AB1207" s="792">
        <f t="shared" si="2694"/>
      </c>
      <c r="AC1207" s="792">
        <f t="shared" si="2694"/>
      </c>
      <c r="AD1207" s="791">
        <f t="shared" si="2694"/>
      </c>
      <c r="AE1207" s="965">
        <f t="shared" si="2694"/>
      </c>
      <c r="AF1207" s="792">
        <f t="shared" si="2694"/>
      </c>
      <c r="AG1207" s="792">
        <f t="shared" si="2694"/>
      </c>
      <c r="AH1207" s="792">
        <f t="shared" si="2694"/>
      </c>
      <c r="AI1207" s="791">
        <f t="shared" ref="AI1207:AQ1207" si="2695">SUM(AI1198:AI1206)</f>
      </c>
      <c r="AJ1207" s="965">
        <f t="shared" si="2695"/>
      </c>
      <c r="AK1207" s="792">
        <f t="shared" si="2695"/>
      </c>
      <c r="AL1207" s="792">
        <f t="shared" si="2695"/>
      </c>
      <c r="AM1207" s="792">
        <f t="shared" si="2695"/>
      </c>
      <c r="AN1207" s="791">
        <f t="shared" si="2695"/>
      </c>
      <c r="AO1207" s="965">
        <f t="shared" si="2695"/>
      </c>
      <c r="AP1207" s="792">
        <f t="shared" si="2695"/>
      </c>
      <c r="AQ1207" s="792">
        <f t="shared" si="2695"/>
      </c>
      <c r="AR1207" s="792">
        <f>SUM(AR1198:AR1206)</f>
      </c>
      <c r="AS1207" s="791">
        <f>SUM(AS1198:AS1206)</f>
      </c>
      <c r="AT1207" s="965">
        <f>SUM(AT1198:AT1206)</f>
      </c>
      <c r="AU1207" s="792">
        <f t="shared" ref="AU1207" si="2696">SUM(AU1198:AU1206)</f>
      </c>
      <c r="AV1207" s="792">
        <f>SUM(AV1198:AV1206)</f>
      </c>
      <c r="AW1207" s="792">
        <f>SUM(AW1198:AW1206)</f>
      </c>
      <c r="AX1207" s="791">
        <f>SUM(AX1198:AX1206)</f>
      </c>
      <c r="AY1207" s="965">
        <f>SUM(AY1198:AY1206)</f>
      </c>
      <c r="AZ1207" s="792">
        <f>SUM(AZ1198:AZ1206)</f>
      </c>
      <c r="BA1207" s="791">
        <f t="shared" ref="BA1207" si="2697">SUM(BA1198:BA1206)</f>
      </c>
      <c r="BB1207" s="792">
        <f t="shared" ref="BB1207:BD1207" si="2698">SUM(BB1198:BB1206)</f>
      </c>
      <c r="BC1207" s="791">
        <f t="shared" si="2698"/>
      </c>
      <c r="BD1207" s="965">
        <f t="shared" si="2698"/>
      </c>
      <c r="BE1207" s="792">
        <f t="shared" ref="BE1207:BI1207" si="2699">SUM(BE1198:BE1206)</f>
      </c>
      <c r="BF1207" s="791">
        <f t="shared" si="2699"/>
      </c>
      <c r="BG1207" s="792">
        <f t="shared" si="2699"/>
      </c>
      <c r="BH1207" s="791">
        <f t="shared" si="2699"/>
      </c>
      <c r="BI1207" s="965">
        <f t="shared" si="2699"/>
      </c>
      <c r="BJ1207" s="792">
        <f t="shared" ref="BJ1207:BX1207" si="2700">SUM(BJ1198:BJ1206)</f>
      </c>
      <c r="BK1207" s="791">
        <f t="shared" si="2700"/>
      </c>
      <c r="BL1207" s="792">
        <f t="shared" si="2700"/>
      </c>
      <c r="BM1207" s="791">
        <f t="shared" si="2700"/>
      </c>
      <c r="BN1207" s="965">
        <f t="shared" si="2700"/>
      </c>
      <c r="BO1207" s="792">
        <f t="shared" ref="BO1207:BW1207" si="2701">SUM(BO1198:BO1206)</f>
      </c>
      <c r="BP1207" s="791">
        <f t="shared" si="2701"/>
      </c>
      <c r="BQ1207" s="792">
        <f t="shared" si="2701"/>
      </c>
      <c r="BR1207" s="791">
        <f t="shared" si="2701"/>
      </c>
      <c r="BS1207" s="965">
        <f t="shared" si="2701"/>
      </c>
      <c r="BT1207" s="793">
        <f>SUM(BT1198:BT1206)</f>
      </c>
      <c r="BU1207" s="791">
        <f t="shared" si="2701"/>
      </c>
      <c r="BV1207" s="791">
        <f t="shared" si="2701"/>
      </c>
      <c r="BW1207" s="791">
        <f t="shared" si="2701"/>
      </c>
      <c r="BX1207" s="965">
        <f t="shared" si="2700"/>
      </c>
      <c r="BY1207" s="791">
        <f t="shared" ref="BY1207:CF1207" si="2702">SUM(BY1198:BY1206)</f>
      </c>
      <c r="BZ1207" s="791">
        <f t="shared" si="2702"/>
      </c>
      <c r="CA1207" s="791">
        <f t="shared" si="2702"/>
      </c>
      <c r="CB1207" s="791">
        <f t="shared" si="2702"/>
      </c>
      <c r="CC1207" s="965">
        <f t="shared" si="2702"/>
      </c>
      <c r="CD1207" s="965">
        <f t="shared" si="2702"/>
      </c>
      <c r="CE1207" s="965">
        <f t="shared" si="2702"/>
      </c>
      <c r="CF1207" s="965">
        <f t="shared" si="2702"/>
      </c>
      <c r="CG1207" s="183"/>
    </row>
    <row r="1208" spans="1:85" s="587" customFormat="1" x14ac:dyDescent="0.3">
      <c r="A1208" s="429"/>
      <c r="B1208" s="428"/>
      <c r="C1208" s="969"/>
      <c r="D1208" s="969"/>
      <c r="E1208" s="969"/>
      <c r="F1208" s="969"/>
      <c r="G1208" s="759"/>
      <c r="H1208" s="759"/>
      <c r="I1208" s="759"/>
      <c r="J1208" s="759"/>
      <c r="K1208" s="969"/>
      <c r="L1208" s="759"/>
      <c r="M1208" s="759"/>
      <c r="N1208" s="759"/>
      <c r="O1208" s="759"/>
      <c r="P1208" s="969"/>
      <c r="Q1208" s="759"/>
      <c r="R1208" s="759"/>
      <c r="S1208" s="759"/>
      <c r="T1208" s="759"/>
      <c r="U1208" s="969"/>
      <c r="V1208" s="759"/>
      <c r="W1208" s="759"/>
      <c r="X1208" s="759"/>
      <c r="Y1208" s="759"/>
      <c r="Z1208" s="969"/>
      <c r="AA1208" s="759"/>
      <c r="AB1208" s="759"/>
      <c r="AC1208" s="759"/>
      <c r="AD1208" s="759"/>
      <c r="AE1208" s="969"/>
      <c r="AF1208" s="759"/>
      <c r="AG1208" s="759"/>
      <c r="AH1208" s="759"/>
      <c r="AI1208" s="759"/>
      <c r="AJ1208" s="969"/>
      <c r="AK1208" s="759"/>
      <c r="AL1208" s="759"/>
      <c r="AM1208" s="759"/>
      <c r="AN1208" s="759"/>
      <c r="AO1208" s="969"/>
      <c r="AP1208" s="759"/>
      <c r="AQ1208" s="759"/>
      <c r="AR1208" s="759"/>
      <c r="AS1208" s="759"/>
      <c r="AT1208" s="969"/>
      <c r="AU1208" s="759"/>
      <c r="AV1208" s="759"/>
      <c r="AW1208" s="759"/>
      <c r="AX1208" s="759"/>
      <c r="AY1208" s="969"/>
      <c r="AZ1208" s="759"/>
      <c r="BA1208" s="759"/>
      <c r="BB1208" s="759"/>
      <c r="BC1208" s="759"/>
      <c r="BD1208" s="969"/>
      <c r="BE1208" s="759"/>
      <c r="BF1208" s="759"/>
      <c r="BG1208" s="759"/>
      <c r="BH1208" s="759"/>
      <c r="BI1208" s="969"/>
      <c r="BJ1208" s="759"/>
      <c r="BK1208" s="759"/>
      <c r="BL1208" s="759"/>
      <c r="BM1208" s="759"/>
      <c r="BN1208" s="969"/>
      <c r="BO1208" s="759"/>
      <c r="BP1208" s="759"/>
      <c r="BQ1208" s="759"/>
      <c r="BR1208" s="759"/>
      <c r="BS1208" s="969"/>
      <c r="BT1208" s="760"/>
      <c r="BU1208" s="759"/>
      <c r="BV1208" s="759"/>
      <c r="BW1208" s="759"/>
      <c r="BX1208" s="969"/>
      <c r="BY1208" s="759"/>
      <c r="BZ1208" s="759"/>
      <c r="CA1208" s="759"/>
      <c r="CB1208" s="759"/>
      <c r="CC1208" s="969"/>
      <c r="CD1208" s="969"/>
      <c r="CE1208" s="969"/>
      <c r="CF1208" s="969"/>
      <c r="CG1208" s="183"/>
    </row>
    <row r="1209" spans="1:85" s="587" customFormat="1" x14ac:dyDescent="0.3">
      <c r="A1209" s="13" t="s">
        <v>193</v>
      </c>
      <c r="B1209" s="428"/>
      <c r="C1209" s="969"/>
      <c r="D1209" s="969"/>
      <c r="E1209" s="969"/>
      <c r="F1209" s="969"/>
      <c r="G1209" s="759"/>
      <c r="H1209" s="759"/>
      <c r="I1209" s="759"/>
      <c r="J1209" s="759"/>
      <c r="K1209" s="969"/>
      <c r="L1209" s="759"/>
      <c r="M1209" s="759"/>
      <c r="N1209" s="759"/>
      <c r="O1209" s="759"/>
      <c r="P1209" s="969"/>
      <c r="Q1209" s="759"/>
      <c r="R1209" s="759"/>
      <c r="S1209" s="759"/>
      <c r="T1209" s="759"/>
      <c r="U1209" s="969"/>
      <c r="V1209" s="759"/>
      <c r="W1209" s="759"/>
      <c r="X1209" s="759"/>
      <c r="Y1209" s="759"/>
      <c r="Z1209" s="969"/>
      <c r="AA1209" s="759"/>
      <c r="AB1209" s="759"/>
      <c r="AC1209" s="759"/>
      <c r="AD1209" s="759"/>
      <c r="AE1209" s="969"/>
      <c r="AF1209" s="759"/>
      <c r="AG1209" s="759"/>
      <c r="AH1209" s="759"/>
      <c r="AI1209" s="759"/>
      <c r="AJ1209" s="969"/>
      <c r="AK1209" s="759"/>
      <c r="AL1209" s="759"/>
      <c r="AM1209" s="759"/>
      <c r="AN1209" s="759"/>
      <c r="AO1209" s="969"/>
      <c r="AP1209" s="759"/>
      <c r="AQ1209" s="759"/>
      <c r="AR1209" s="759"/>
      <c r="AS1209" s="759"/>
      <c r="AT1209" s="969"/>
      <c r="AU1209" s="759"/>
      <c r="AV1209" s="759"/>
      <c r="AW1209" s="759"/>
      <c r="AX1209" s="759"/>
      <c r="AY1209" s="969"/>
      <c r="AZ1209" s="759"/>
      <c r="BA1209" s="759"/>
      <c r="BB1209" s="759"/>
      <c r="BC1209" s="759"/>
      <c r="BD1209" s="969"/>
      <c r="BE1209" s="759"/>
      <c r="BF1209" s="759"/>
      <c r="BG1209" s="759"/>
      <c r="BH1209" s="759"/>
      <c r="BI1209" s="969"/>
      <c r="BJ1209" s="759"/>
      <c r="BK1209" s="759"/>
      <c r="BL1209" s="759"/>
      <c r="BM1209" s="759"/>
      <c r="BN1209" s="969"/>
      <c r="BO1209" s="759"/>
      <c r="BP1209" s="759"/>
      <c r="BQ1209" s="759"/>
      <c r="BR1209" s="759"/>
      <c r="BS1209" s="969"/>
      <c r="BT1209" s="760"/>
      <c r="BU1209" s="759"/>
      <c r="BV1209" s="759"/>
      <c r="BW1209" s="759"/>
      <c r="BX1209" s="969"/>
      <c r="BY1209" s="759"/>
      <c r="BZ1209" s="759"/>
      <c r="CA1209" s="759"/>
      <c r="CB1209" s="759"/>
      <c r="CC1209" s="969"/>
      <c r="CD1209" s="969"/>
      <c r="CE1209" s="969"/>
      <c r="CF1209" s="969"/>
      <c r="CG1209" s="183"/>
    </row>
    <row r="1210" spans="1:85" s="587" customFormat="1" x14ac:dyDescent="0.3">
      <c r="A1210" s="208" t="s">
        <v>372</v>
      </c>
      <c r="B1210" s="414"/>
      <c r="C1210" s="962"/>
      <c r="D1210" s="962"/>
      <c r="E1210" s="962"/>
      <c r="F1210" s="962"/>
      <c r="G1210" s="757"/>
      <c r="H1210" s="757"/>
      <c r="I1210" s="757"/>
      <c r="J1210" s="757"/>
      <c r="K1210" s="962"/>
      <c r="L1210" s="757"/>
      <c r="M1210" s="757"/>
      <c r="N1210" s="757"/>
      <c r="O1210" s="757"/>
      <c r="P1210" s="962"/>
      <c r="Q1210" s="757"/>
      <c r="R1210" s="757"/>
      <c r="S1210" s="757"/>
      <c r="T1210" s="757"/>
      <c r="U1210" s="962"/>
      <c r="V1210" s="757"/>
      <c r="W1210" s="757"/>
      <c r="X1210" s="757"/>
      <c r="Y1210" s="757"/>
      <c r="Z1210" s="962"/>
      <c r="AA1210" s="757"/>
      <c r="AB1210" s="757"/>
      <c r="AC1210" s="757"/>
      <c r="AD1210" s="757"/>
      <c r="AE1210" s="962"/>
      <c r="AF1210" s="757"/>
      <c r="AG1210" s="757"/>
      <c r="AH1210" s="757"/>
      <c r="AI1210" s="757"/>
      <c r="AJ1210" s="962"/>
      <c r="AK1210" s="857">
        <v>14297.657999999999</v>
      </c>
      <c r="AL1210" s="857">
        <v>14597.282999999999</v>
      </c>
      <c r="AM1210" s="857">
        <v>14581.406999999999</v>
      </c>
      <c r="AN1210" s="757">
        <f>AO1210</f>
      </c>
      <c r="AO1210" s="963">
        <v>14703.352000000001</v>
      </c>
      <c r="AP1210" s="857">
        <v>14637.502</v>
      </c>
      <c r="AQ1210" s="857">
        <v>14632.723</v>
      </c>
      <c r="AR1210" s="857">
        <v>14297.143</v>
      </c>
      <c r="AS1210" s="757">
        <f>AT1210</f>
      </c>
      <c r="AT1210" s="963">
        <v>13747.607</v>
      </c>
      <c r="AU1210" s="857">
        <v>13351.415999999999</v>
      </c>
      <c r="AV1210" s="857">
        <v>13111.259</v>
      </c>
      <c r="AW1210" s="857">
        <v>13111.028</v>
      </c>
      <c r="AX1210" s="757">
        <f>AY1210</f>
      </c>
      <c r="AY1210" s="963">
        <v>13799.221</v>
      </c>
      <c r="AZ1210" s="857">
        <v>12923.691999999999</v>
      </c>
      <c r="BA1210" s="857">
        <v>13025.936</v>
      </c>
      <c r="BB1210" s="857">
        <v>12571.064</v>
      </c>
      <c r="BC1210" s="757">
        <f>BD1210</f>
      </c>
      <c r="BD1210" s="963">
        <v>12732.549000000001</v>
      </c>
      <c r="BE1210" s="857">
        <v>12533.388000000001</v>
      </c>
      <c r="BF1210" s="857">
        <v>12622.409</v>
      </c>
      <c r="BG1210" s="857">
        <v>12459.413</v>
      </c>
      <c r="BH1210" s="757">
        <f>BI1210</f>
      </c>
      <c r="BI1210" s="963">
        <v>12722.700999999999</v>
      </c>
      <c r="BJ1210" s="857">
        <v>12549.546</v>
      </c>
      <c r="BK1210" s="857">
        <v>12358.54</v>
      </c>
      <c r="BL1210" s="857">
        <v>12307.674000000001</v>
      </c>
      <c r="BM1210" s="757">
        <f>BN1210</f>
      </c>
      <c r="BN1210" s="963">
        <v>12422.308999999999</v>
      </c>
      <c r="BO1210" s="857">
        <v>12393.12</v>
      </c>
      <c r="BP1210" s="857">
        <v>12273.050999999999</v>
      </c>
      <c r="BQ1210" s="857">
        <v>12182.191999999999</v>
      </c>
      <c r="BR1210" s="757">
        <f>BS1210</f>
      </c>
      <c r="BS1210" s="963">
        <v>12138.578</v>
      </c>
      <c r="BT1210" s="864">
        <v>12268.097</v>
      </c>
      <c r="BU1210" s="757"/>
      <c r="BV1210" s="757"/>
      <c r="BW1210" s="757"/>
      <c r="BX1210" s="962"/>
      <c r="BY1210" s="757"/>
      <c r="BZ1210" s="757"/>
      <c r="CA1210" s="757"/>
      <c r="CB1210" s="757"/>
      <c r="CC1210" s="962"/>
      <c r="CD1210" s="962"/>
      <c r="CE1210" s="962"/>
      <c r="CF1210" s="962"/>
      <c r="CG1210" s="459"/>
    </row>
    <row r="1211" spans="1:85" s="587" customFormat="1" x14ac:dyDescent="0.3">
      <c r="A1211" s="49" t="s">
        <v>374</v>
      </c>
      <c r="B1211" s="414"/>
      <c r="C1211" s="962"/>
      <c r="D1211" s="962"/>
      <c r="E1211" s="962"/>
      <c r="F1211" s="962"/>
      <c r="G1211" s="757"/>
      <c r="H1211" s="757"/>
      <c r="I1211" s="757"/>
      <c r="J1211" s="757"/>
      <c r="K1211" s="962"/>
      <c r="L1211" s="757"/>
      <c r="M1211" s="757"/>
      <c r="N1211" s="757"/>
      <c r="O1211" s="757"/>
      <c r="P1211" s="962"/>
      <c r="Q1211" s="757"/>
      <c r="R1211" s="757"/>
      <c r="S1211" s="757"/>
      <c r="T1211" s="757"/>
      <c r="U1211" s="962"/>
      <c r="V1211" s="757"/>
      <c r="W1211" s="757"/>
      <c r="X1211" s="757"/>
      <c r="Y1211" s="757"/>
      <c r="Z1211" s="962"/>
      <c r="AA1211" s="757"/>
      <c r="AB1211" s="757"/>
      <c r="AC1211" s="757"/>
      <c r="AD1211" s="757"/>
      <c r="AE1211" s="962"/>
      <c r="AF1211" s="757"/>
      <c r="AG1211" s="757"/>
      <c r="AH1211" s="757"/>
      <c r="AI1211" s="757"/>
      <c r="AJ1211" s="962"/>
      <c r="AK1211" s="857">
        <v>2737.6770000000001</v>
      </c>
      <c r="AL1211" s="857">
        <v>3117.549</v>
      </c>
      <c r="AM1211" s="857">
        <v>3646.87</v>
      </c>
      <c r="AN1211" s="459">
        <f>AO1211</f>
      </c>
      <c r="AO1211" s="963">
        <v>4382.6850000000004</v>
      </c>
      <c r="AP1211" s="857">
        <v>4638.7359999999999</v>
      </c>
      <c r="AQ1211" s="857">
        <v>5034.1390000000001</v>
      </c>
      <c r="AR1211" s="857">
        <v>5186.2470000000003</v>
      </c>
      <c r="AS1211" s="459">
        <f>AT1211</f>
      </c>
      <c r="AT1211" s="963">
        <v>5809.6809999999996</v>
      </c>
      <c r="AU1211" s="857">
        <v>5671.1819999999998</v>
      </c>
      <c r="AV1211" s="857">
        <v>5847.3909999999996</v>
      </c>
      <c r="AW1211" s="857">
        <v>6093.87</v>
      </c>
      <c r="AX1211" s="459">
        <f>AY1211</f>
      </c>
      <c r="AY1211" s="963">
        <v>6877.7430000000004</v>
      </c>
      <c r="AZ1211" s="857">
        <v>7111.2449999999999</v>
      </c>
      <c r="BA1211" s="857">
        <v>7308.1120000000001</v>
      </c>
      <c r="BB1211" s="857">
        <v>7936.1970000000001</v>
      </c>
      <c r="BC1211" s="757">
        <f>BD1211</f>
      </c>
      <c r="BD1211" s="963">
        <v>9110.518</v>
      </c>
      <c r="BE1211" s="857">
        <v>9306.3369999999995</v>
      </c>
      <c r="BF1211" s="857">
        <v>9286.3989999999994</v>
      </c>
      <c r="BG1211" s="857">
        <v>9433.8780000000006</v>
      </c>
      <c r="BH1211" s="757">
        <f>BI1211</f>
      </c>
      <c r="BI1211" s="963">
        <v>9843.15</v>
      </c>
      <c r="BJ1211" s="857">
        <v>9917.8320000000003</v>
      </c>
      <c r="BK1211" s="857">
        <v>10033.753000000001</v>
      </c>
      <c r="BL1211" s="857">
        <v>10025.304</v>
      </c>
      <c r="BM1211" s="757">
        <f>BN1211</f>
      </c>
      <c r="BN1211" s="963">
        <v>10151.543</v>
      </c>
      <c r="BO1211" s="857">
        <v>10366.701999999999</v>
      </c>
      <c r="BP1211" s="857">
        <v>10090.174000000001</v>
      </c>
      <c r="BQ1211" s="857">
        <v>9906.1919999999991</v>
      </c>
      <c r="BR1211" s="757">
        <f>BS1211</f>
      </c>
      <c r="BS1211" s="963">
        <v>10687.444</v>
      </c>
      <c r="BT1211" s="864">
        <v>10311.880999999999</v>
      </c>
      <c r="BU1211" s="757"/>
      <c r="BV1211" s="757"/>
      <c r="BW1211" s="757"/>
      <c r="BX1211" s="962"/>
      <c r="BY1211" s="757"/>
      <c r="BZ1211" s="757"/>
      <c r="CA1211" s="757"/>
      <c r="CB1211" s="757"/>
      <c r="CC1211" s="962"/>
      <c r="CD1211" s="962"/>
      <c r="CE1211" s="962"/>
      <c r="CF1211" s="962"/>
      <c r="CG1211" s="459"/>
    </row>
    <row r="1212" spans="1:85" s="587" customFormat="1" x14ac:dyDescent="0.3">
      <c r="A1212" s="49" t="s">
        <v>375</v>
      </c>
      <c r="B1212" s="414"/>
      <c r="C1212" s="962"/>
      <c r="D1212" s="962"/>
      <c r="E1212" s="962"/>
      <c r="F1212" s="962"/>
      <c r="G1212" s="757"/>
      <c r="H1212" s="757"/>
      <c r="I1212" s="757"/>
      <c r="J1212" s="757"/>
      <c r="K1212" s="962"/>
      <c r="L1212" s="757"/>
      <c r="M1212" s="757"/>
      <c r="N1212" s="757"/>
      <c r="O1212" s="757"/>
      <c r="P1212" s="962"/>
      <c r="Q1212" s="757"/>
      <c r="R1212" s="757"/>
      <c r="S1212" s="757"/>
      <c r="T1212" s="757"/>
      <c r="U1212" s="962"/>
      <c r="V1212" s="757"/>
      <c r="W1212" s="757"/>
      <c r="X1212" s="757"/>
      <c r="Y1212" s="757"/>
      <c r="Z1212" s="962"/>
      <c r="AA1212" s="757"/>
      <c r="AB1212" s="757"/>
      <c r="AC1212" s="757"/>
      <c r="AD1212" s="757"/>
      <c r="AE1212" s="962"/>
      <c r="AF1212" s="757"/>
      <c r="AG1212" s="757"/>
      <c r="AH1212" s="757"/>
      <c r="AI1212" s="757"/>
      <c r="AJ1212" s="962"/>
      <c r="AK1212" s="857">
        <v>3494.4670000000001</v>
      </c>
      <c r="AL1212" s="857">
        <v>3743.893</v>
      </c>
      <c r="AM1212" s="857">
        <v>4411.5810000000001</v>
      </c>
      <c r="AN1212" s="459">
        <f>AO1212</f>
      </c>
      <c r="AO1212" s="963">
        <v>4750.6639999999998</v>
      </c>
      <c r="AP1212" s="857">
        <v>5282.35</v>
      </c>
      <c r="AQ1212" s="857">
        <v>4717.598</v>
      </c>
      <c r="AR1212" s="857">
        <v>4696.99</v>
      </c>
      <c r="AS1212" s="459">
        <f>AT1212</f>
      </c>
      <c r="AT1212" s="963">
        <v>4827.4549999999999</v>
      </c>
      <c r="AU1212" s="857">
        <v>6030.3490000000002</v>
      </c>
      <c r="AV1212" s="857">
        <v>7348.81</v>
      </c>
      <c r="AW1212" s="857">
        <v>8842.1219999999994</v>
      </c>
      <c r="AX1212" s="459">
        <f>AY1212</f>
      </c>
      <c r="AY1212" s="963">
        <v>9235.9750000000004</v>
      </c>
      <c r="AZ1212" s="857">
        <v>10175.959999999999</v>
      </c>
      <c r="BA1212" s="857">
        <v>11411.491</v>
      </c>
      <c r="BB1212" s="857">
        <v>11484.834999999999</v>
      </c>
      <c r="BC1212" s="757">
        <f>BD1212</f>
      </c>
      <c r="BD1212" s="963">
        <v>10255.94</v>
      </c>
      <c r="BE1212" s="857">
        <v>9872.1380000000008</v>
      </c>
      <c r="BF1212" s="857">
        <v>9796.7039999999997</v>
      </c>
      <c r="BG1212" s="857">
        <v>9052.14</v>
      </c>
      <c r="BH1212" s="757">
        <f>BI1212</f>
      </c>
      <c r="BI1212" s="963">
        <v>8247.5779999999995</v>
      </c>
      <c r="BJ1212" s="857">
        <v>8242.56</v>
      </c>
      <c r="BK1212" s="857">
        <v>8810.5439999999999</v>
      </c>
      <c r="BL1212" s="857">
        <v>9197.7150000000001</v>
      </c>
      <c r="BM1212" s="757">
        <f>BN1212</f>
      </c>
      <c r="BN1212" s="963">
        <v>9317.3670000000002</v>
      </c>
      <c r="BO1212" s="857">
        <v>8652.2780000000002</v>
      </c>
      <c r="BP1212" s="857">
        <v>8930.1959999999999</v>
      </c>
      <c r="BQ1212" s="857">
        <v>9815.0030000000006</v>
      </c>
      <c r="BR1212" s="757">
        <f>BS1212</f>
      </c>
      <c r="BS1212" s="963">
        <v>9210.7350000000006</v>
      </c>
      <c r="BT1212" s="864">
        <v>10006.694</v>
      </c>
      <c r="BU1212" s="757"/>
      <c r="BV1212" s="757"/>
      <c r="BW1212" s="757"/>
      <c r="BX1212" s="962"/>
      <c r="BY1212" s="757"/>
      <c r="BZ1212" s="757"/>
      <c r="CA1212" s="757"/>
      <c r="CB1212" s="757"/>
      <c r="CC1212" s="962"/>
      <c r="CD1212" s="962"/>
      <c r="CE1212" s="962"/>
      <c r="CF1212" s="962"/>
      <c r="CG1212" s="459"/>
    </row>
    <row r="1213" spans="1:85" s="587" customFormat="1" x14ac:dyDescent="0.3">
      <c r="A1213" s="49" t="s">
        <v>376</v>
      </c>
      <c r="B1213" s="414"/>
      <c r="C1213" s="962"/>
      <c r="D1213" s="962"/>
      <c r="E1213" s="962"/>
      <c r="F1213" s="962"/>
      <c r="G1213" s="757"/>
      <c r="H1213" s="757"/>
      <c r="I1213" s="757"/>
      <c r="J1213" s="757"/>
      <c r="K1213" s="962"/>
      <c r="L1213" s="757"/>
      <c r="M1213" s="757"/>
      <c r="N1213" s="757"/>
      <c r="O1213" s="757"/>
      <c r="P1213" s="962"/>
      <c r="Q1213" s="757"/>
      <c r="R1213" s="757"/>
      <c r="S1213" s="757"/>
      <c r="T1213" s="757"/>
      <c r="U1213" s="962"/>
      <c r="V1213" s="757"/>
      <c r="W1213" s="757"/>
      <c r="X1213" s="757"/>
      <c r="Y1213" s="757"/>
      <c r="Z1213" s="962"/>
      <c r="AA1213" s="757"/>
      <c r="AB1213" s="757"/>
      <c r="AC1213" s="757"/>
      <c r="AD1213" s="757"/>
      <c r="AE1213" s="962"/>
      <c r="AF1213" s="757"/>
      <c r="AG1213" s="757"/>
      <c r="AH1213" s="757"/>
      <c r="AI1213" s="757"/>
      <c r="AJ1213" s="962"/>
      <c r="AK1213" s="857">
        <v>348.51499999999999</v>
      </c>
      <c r="AL1213" s="857">
        <v>479.12</v>
      </c>
      <c r="AM1213" s="857">
        <v>587.91399999999999</v>
      </c>
      <c r="AN1213" s="459">
        <f>AO1213</f>
      </c>
      <c r="AO1213" s="963">
        <v>667.86599999999999</v>
      </c>
      <c r="AP1213" s="857">
        <v>708.30100000000004</v>
      </c>
      <c r="AQ1213" s="857">
        <v>770.65700000000004</v>
      </c>
      <c r="AR1213" s="857">
        <v>887.25300000000004</v>
      </c>
      <c r="AS1213" s="459">
        <f>AT1213</f>
      </c>
      <c r="AT1213" s="963">
        <v>999.20699999999999</v>
      </c>
      <c r="AU1213" s="857">
        <v>991.04399999999998</v>
      </c>
      <c r="AV1213" s="857">
        <v>984.18</v>
      </c>
      <c r="AW1213" s="857">
        <v>927.02499999999998</v>
      </c>
      <c r="AX1213" s="459">
        <f>AY1213</f>
      </c>
      <c r="AY1213" s="963">
        <v>1006.6</v>
      </c>
      <c r="AZ1213" s="857">
        <v>981.02300000000002</v>
      </c>
      <c r="BA1213" s="857">
        <v>787.66</v>
      </c>
      <c r="BB1213" s="857">
        <v>785.24400000000003</v>
      </c>
      <c r="BC1213" s="757">
        <f>BD1213</f>
      </c>
      <c r="BD1213" s="963">
        <v>637.70600000000002</v>
      </c>
      <c r="BE1213" s="857">
        <v>637.32100000000003</v>
      </c>
      <c r="BF1213" s="857">
        <v>815.26199999999994</v>
      </c>
      <c r="BG1213" s="857">
        <v>804.43</v>
      </c>
      <c r="BH1213" s="757">
        <f>BI1213</f>
      </c>
      <c r="BI1213" s="963">
        <v>844.62699999999995</v>
      </c>
      <c r="BJ1213" s="857">
        <v>952.16200000000003</v>
      </c>
      <c r="BK1213" s="857">
        <v>724.51800000000003</v>
      </c>
      <c r="BL1213" s="857">
        <v>644.68899999999996</v>
      </c>
      <c r="BM1213" s="757">
        <f>BN1213</f>
      </c>
      <c r="BN1213" s="963">
        <v>561.24300000000005</v>
      </c>
      <c r="BO1213" s="857">
        <v>628.73900000000003</v>
      </c>
      <c r="BP1213" s="857">
        <v>795.97299999999996</v>
      </c>
      <c r="BQ1213" s="857">
        <v>736.49199999999996</v>
      </c>
      <c r="BR1213" s="757">
        <f>BS1213</f>
      </c>
      <c r="BS1213" s="963">
        <v>741.63499999999999</v>
      </c>
      <c r="BT1213" s="864">
        <v>789.62300000000005</v>
      </c>
      <c r="BU1213" s="757"/>
      <c r="BV1213" s="757"/>
      <c r="BW1213" s="757"/>
      <c r="BX1213" s="962"/>
      <c r="BY1213" s="757"/>
      <c r="BZ1213" s="757"/>
      <c r="CA1213" s="757"/>
      <c r="CB1213" s="757"/>
      <c r="CC1213" s="962"/>
      <c r="CD1213" s="962"/>
      <c r="CE1213" s="962"/>
      <c r="CF1213" s="962"/>
      <c r="CG1213" s="459"/>
    </row>
    <row r="1214" spans="1:85" s="587" customFormat="1" x14ac:dyDescent="0.3">
      <c r="A1214" s="181" t="s">
        <v>373</v>
      </c>
      <c r="B1214" s="419"/>
      <c r="C1214" s="1008"/>
      <c r="D1214" s="1008"/>
      <c r="E1214" s="1008"/>
      <c r="F1214" s="1008"/>
      <c r="G1214" s="804"/>
      <c r="H1214" s="804"/>
      <c r="I1214" s="804"/>
      <c r="J1214" s="804"/>
      <c r="K1214" s="1008"/>
      <c r="L1214" s="804"/>
      <c r="M1214" s="804"/>
      <c r="N1214" s="804"/>
      <c r="O1214" s="804"/>
      <c r="P1214" s="1008"/>
      <c r="Q1214" s="804"/>
      <c r="R1214" s="804"/>
      <c r="S1214" s="804"/>
      <c r="T1214" s="804"/>
      <c r="U1214" s="1008"/>
      <c r="V1214" s="804"/>
      <c r="W1214" s="804"/>
      <c r="X1214" s="804"/>
      <c r="Y1214" s="804"/>
      <c r="Z1214" s="1008"/>
      <c r="AA1214" s="804"/>
      <c r="AB1214" s="804"/>
      <c r="AC1214" s="804"/>
      <c r="AD1214" s="804"/>
      <c r="AE1214" s="1008"/>
      <c r="AF1214" s="804"/>
      <c r="AG1214" s="804"/>
      <c r="AH1214" s="804"/>
      <c r="AI1214" s="804"/>
      <c r="AJ1214" s="1008"/>
      <c r="AK1214" s="812">
        <f t="shared" ref="AK1214:BT1214" si="2703">SUM(AK1211:AK1213)</f>
      </c>
      <c r="AL1214" s="812">
        <f t="shared" si="2703"/>
      </c>
      <c r="AM1214" s="812">
        <f t="shared" si="2703"/>
      </c>
      <c r="AN1214" s="812">
        <f t="shared" si="2703"/>
      </c>
      <c r="AO1214" s="1013">
        <f t="shared" si="2703"/>
      </c>
      <c r="AP1214" s="812">
        <f t="shared" si="2703"/>
      </c>
      <c r="AQ1214" s="812">
        <f t="shared" si="2703"/>
      </c>
      <c r="AR1214" s="812">
        <f t="shared" si="2703"/>
      </c>
      <c r="AS1214" s="812">
        <f t="shared" si="2703"/>
      </c>
      <c r="AT1214" s="1013">
        <f t="shared" si="2703"/>
      </c>
      <c r="AU1214" s="812">
        <f t="shared" si="2703"/>
      </c>
      <c r="AV1214" s="812">
        <f t="shared" si="2703"/>
      </c>
      <c r="AW1214" s="812">
        <f t="shared" si="2703"/>
      </c>
      <c r="AX1214" s="812">
        <f t="shared" si="2703"/>
      </c>
      <c r="AY1214" s="1008">
        <f t="shared" si="2703"/>
      </c>
      <c r="AZ1214" s="812">
        <f t="shared" si="2703"/>
      </c>
      <c r="BA1214" s="804">
        <f t="shared" si="2703"/>
      </c>
      <c r="BB1214" s="804">
        <f t="shared" si="2703"/>
      </c>
      <c r="BC1214" s="804">
        <f t="shared" si="2703"/>
      </c>
      <c r="BD1214" s="1008">
        <f t="shared" si="2703"/>
      </c>
      <c r="BE1214" s="812">
        <f t="shared" si="2703"/>
      </c>
      <c r="BF1214" s="804">
        <f t="shared" si="2703"/>
      </c>
      <c r="BG1214" s="804">
        <f t="shared" si="2703"/>
      </c>
      <c r="BH1214" s="804">
        <f t="shared" si="2703"/>
      </c>
      <c r="BI1214" s="1008">
        <f t="shared" si="2703"/>
      </c>
      <c r="BJ1214" s="804">
        <f t="shared" si="2703"/>
      </c>
      <c r="BK1214" s="804">
        <f t="shared" si="2703"/>
      </c>
      <c r="BL1214" s="804">
        <f t="shared" si="2703"/>
      </c>
      <c r="BM1214" s="804">
        <f t="shared" si="2703"/>
      </c>
      <c r="BN1214" s="1008">
        <f t="shared" si="2703"/>
      </c>
      <c r="BO1214" s="804">
        <f t="shared" si="2703"/>
      </c>
      <c r="BP1214" s="804">
        <f t="shared" si="2703"/>
      </c>
      <c r="BQ1214" s="804">
        <f t="shared" si="2703"/>
      </c>
      <c r="BR1214" s="804">
        <f t="shared" si="2703"/>
      </c>
      <c r="BS1214" s="1008">
        <f t="shared" si="2703"/>
      </c>
      <c r="BT1214" s="805">
        <f t="shared" si="2703"/>
      </c>
      <c r="BU1214" s="804"/>
      <c r="BV1214" s="804"/>
      <c r="BW1214" s="804"/>
      <c r="BX1214" s="1008"/>
      <c r="BY1214" s="804"/>
      <c r="BZ1214" s="804"/>
      <c r="CA1214" s="804"/>
      <c r="CB1214" s="804"/>
      <c r="CC1214" s="1008"/>
      <c r="CD1214" s="1008"/>
      <c r="CE1214" s="1008"/>
      <c r="CF1214" s="1008"/>
      <c r="CG1214" s="459"/>
    </row>
    <row r="1215" spans="1:85" s="587" customFormat="1" x14ac:dyDescent="0.3">
      <c r="A1215" s="16" t="s">
        <v>377</v>
      </c>
      <c r="B1215" s="414"/>
      <c r="C1215" s="969"/>
      <c r="D1215" s="969"/>
      <c r="E1215" s="969"/>
      <c r="F1215" s="969"/>
      <c r="G1215" s="759"/>
      <c r="H1215" s="759"/>
      <c r="I1215" s="759"/>
      <c r="J1215" s="759"/>
      <c r="K1215" s="969"/>
      <c r="L1215" s="759"/>
      <c r="M1215" s="759"/>
      <c r="N1215" s="759"/>
      <c r="O1215" s="759"/>
      <c r="P1215" s="969"/>
      <c r="Q1215" s="759"/>
      <c r="R1215" s="759"/>
      <c r="S1215" s="759"/>
      <c r="T1215" s="759"/>
      <c r="U1215" s="969"/>
      <c r="V1215" s="759"/>
      <c r="W1215" s="759"/>
      <c r="X1215" s="759"/>
      <c r="Y1215" s="759"/>
      <c r="Z1215" s="969"/>
      <c r="AA1215" s="759"/>
      <c r="AB1215" s="759"/>
      <c r="AC1215" s="759"/>
      <c r="AD1215" s="759"/>
      <c r="AE1215" s="969"/>
      <c r="AF1215" s="759"/>
      <c r="AG1215" s="759"/>
      <c r="AH1215" s="759"/>
      <c r="AI1215" s="759"/>
      <c r="AJ1215" s="969"/>
      <c r="AK1215" s="857">
        <v>10.468</v>
      </c>
      <c r="AL1215" s="857">
        <v>7.8949999999999996</v>
      </c>
      <c r="AM1215" s="857">
        <v>7.2220000000000004</v>
      </c>
      <c r="AN1215" s="759"/>
      <c r="AO1215" s="969"/>
      <c r="AP1215" s="757"/>
      <c r="AQ1215" s="757"/>
      <c r="AR1215" s="757"/>
      <c r="AS1215" s="759"/>
      <c r="AT1215" s="969"/>
      <c r="AU1215" s="757"/>
      <c r="AV1215" s="757"/>
      <c r="AW1215" s="757"/>
      <c r="AX1215" s="759"/>
      <c r="AY1215" s="969"/>
      <c r="AZ1215" s="757"/>
      <c r="BA1215" s="759"/>
      <c r="BB1215" s="757"/>
      <c r="BC1215" s="759"/>
      <c r="BD1215" s="969"/>
      <c r="BE1215" s="757"/>
      <c r="BF1215" s="759"/>
      <c r="BG1215" s="757"/>
      <c r="BH1215" s="759"/>
      <c r="BI1215" s="969"/>
      <c r="BJ1215" s="757"/>
      <c r="BK1215" s="759"/>
      <c r="BL1215" s="757"/>
      <c r="BM1215" s="759"/>
      <c r="BN1215" s="969"/>
      <c r="BO1215" s="757"/>
      <c r="BP1215" s="759"/>
      <c r="BQ1215" s="757"/>
      <c r="BR1215" s="759"/>
      <c r="BS1215" s="969"/>
      <c r="BT1215" s="758"/>
      <c r="BU1215" s="759"/>
      <c r="BV1215" s="759"/>
      <c r="BW1215" s="759"/>
      <c r="BX1215" s="969"/>
      <c r="BY1215" s="759"/>
      <c r="BZ1215" s="759"/>
      <c r="CA1215" s="759"/>
      <c r="CB1215" s="759"/>
      <c r="CC1215" s="969"/>
      <c r="CD1215" s="969"/>
      <c r="CE1215" s="969"/>
      <c r="CF1215" s="969"/>
      <c r="CG1215" s="183"/>
    </row>
    <row r="1216" spans="1:85" s="587" customFormat="1" x14ac:dyDescent="0.3">
      <c r="A1216" s="158" t="s">
        <v>194</v>
      </c>
      <c r="B1216" s="419"/>
      <c r="C1216" s="1023">
        <v>108.81</v>
      </c>
      <c r="D1216" s="1023">
        <v>180.97300000000001</v>
      </c>
      <c r="E1216" s="1023">
        <v>1046.934</v>
      </c>
      <c r="F1216" s="1023">
        <v>1506.008</v>
      </c>
      <c r="G1216" s="876">
        <v>1576.674</v>
      </c>
      <c r="H1216" s="876">
        <v>1682.202</v>
      </c>
      <c r="I1216" s="876">
        <v>1808.3869999999999</v>
      </c>
      <c r="J1216" s="876">
        <v>2091.0709999999999</v>
      </c>
      <c r="K1216" s="1023">
        <v>2091.0709999999999</v>
      </c>
      <c r="L1216" s="876">
        <v>2179.4740000000002</v>
      </c>
      <c r="M1216" s="876">
        <v>2348.7959999999998</v>
      </c>
      <c r="N1216" s="876">
        <v>2631.8820000000001</v>
      </c>
      <c r="O1216" s="876">
        <v>2773.326</v>
      </c>
      <c r="P1216" s="1023">
        <v>2773.326</v>
      </c>
      <c r="Q1216" s="876">
        <v>3312.3530000000001</v>
      </c>
      <c r="R1216" s="876">
        <v>3640.7669999999998</v>
      </c>
      <c r="S1216" s="876">
        <v>3891.79</v>
      </c>
      <c r="T1216" s="876">
        <v>4312.817</v>
      </c>
      <c r="U1216" s="1023">
        <v>4312.817</v>
      </c>
      <c r="V1216" s="876">
        <v>5260.16</v>
      </c>
      <c r="W1216" s="876">
        <v>5742.9380000000001</v>
      </c>
      <c r="X1216" s="876">
        <v>6677.674</v>
      </c>
      <c r="Y1216" s="804">
        <f>Z1216</f>
      </c>
      <c r="Z1216" s="1023">
        <v>7274.5010000000002</v>
      </c>
      <c r="AA1216" s="876">
        <v>8029.1120000000001</v>
      </c>
      <c r="AB1216" s="876">
        <v>9078.4740000000002</v>
      </c>
      <c r="AC1216" s="876">
        <v>9739.7039999999997</v>
      </c>
      <c r="AD1216" s="804">
        <f>AE1216</f>
      </c>
      <c r="AE1216" s="1023">
        <v>10371.055</v>
      </c>
      <c r="AF1216" s="876">
        <v>11314.803</v>
      </c>
      <c r="AG1216" s="876">
        <v>12292.07</v>
      </c>
      <c r="AH1216" s="876">
        <v>13408.442999999999</v>
      </c>
      <c r="AI1216" s="804">
        <f>AJ1216</f>
      </c>
      <c r="AJ1216" s="1023">
        <v>14960.954</v>
      </c>
      <c r="AK1216" s="812">
        <f t="shared" ref="AK1216:BB1216" si="2704">+AK1210+AK1214+AK1215</f>
      </c>
      <c r="AL1216" s="812">
        <f t="shared" si="2704"/>
      </c>
      <c r="AM1216" s="812">
        <f t="shared" si="2704"/>
      </c>
      <c r="AN1216" s="804">
        <f t="shared" si="2704"/>
      </c>
      <c r="AO1216" s="1008">
        <f t="shared" si="2704"/>
      </c>
      <c r="AP1216" s="812">
        <f t="shared" si="2704"/>
      </c>
      <c r="AQ1216" s="812">
        <f t="shared" si="2704"/>
      </c>
      <c r="AR1216" s="812">
        <f t="shared" si="2704"/>
      </c>
      <c r="AS1216" s="804">
        <f t="shared" si="2704"/>
      </c>
      <c r="AT1216" s="1008">
        <f t="shared" si="2704"/>
      </c>
      <c r="AU1216" s="812">
        <f t="shared" si="2704"/>
      </c>
      <c r="AV1216" s="812">
        <f t="shared" si="2704"/>
      </c>
      <c r="AW1216" s="812">
        <f t="shared" si="2704"/>
      </c>
      <c r="AX1216" s="804">
        <f t="shared" si="2704"/>
      </c>
      <c r="AY1216" s="1008">
        <f t="shared" si="2704"/>
      </c>
      <c r="AZ1216" s="812">
        <f t="shared" si="2704"/>
      </c>
      <c r="BA1216" s="804">
        <f t="shared" si="2704"/>
      </c>
      <c r="BB1216" s="804">
        <f t="shared" si="2704"/>
      </c>
      <c r="BC1216" s="804">
        <f t="shared" ref="BC1216:BC1221" si="2705">BD1216</f>
      </c>
      <c r="BD1216" s="1008">
        <f t="shared" ref="BD1216:BI1216" si="2706">+BD1210+BD1214+BD1215</f>
      </c>
      <c r="BE1216" s="812">
        <f t="shared" si="2706"/>
      </c>
      <c r="BF1216" s="804">
        <f t="shared" si="2706"/>
      </c>
      <c r="BG1216" s="804">
        <f t="shared" si="2706"/>
      </c>
      <c r="BH1216" s="804">
        <f t="shared" si="2706"/>
      </c>
      <c r="BI1216" s="1008">
        <f t="shared" si="2706"/>
      </c>
      <c r="BJ1216" s="876">
        <v>31662.1</v>
      </c>
      <c r="BK1216" s="876">
        <v>31927.355</v>
      </c>
      <c r="BL1216" s="876">
        <v>32175.382000000001</v>
      </c>
      <c r="BM1216" s="804">
        <f t="shared" ref="BM1216:BS1216" si="2707">+BM1210+BM1214+BM1215</f>
      </c>
      <c r="BN1216" s="1008">
        <f t="shared" si="2707"/>
      </c>
      <c r="BO1216" s="812">
        <f t="shared" si="2707"/>
      </c>
      <c r="BP1216" s="804">
        <f t="shared" si="2707"/>
      </c>
      <c r="BQ1216" s="804">
        <f t="shared" si="2707"/>
      </c>
      <c r="BR1216" s="804">
        <f t="shared" si="2707"/>
      </c>
      <c r="BS1216" s="1008">
        <f t="shared" si="2707"/>
      </c>
      <c r="BT1216" s="909">
        <v>33376.294999999998</v>
      </c>
      <c r="BU1216" s="804">
        <f>BT1216+BU1175+BU1174</f>
      </c>
      <c r="BV1216" s="804">
        <f>BU1216+BV1175+BV1174</f>
      </c>
      <c r="BW1216" s="804">
        <f>BV1216+BW1175+BW1174</f>
      </c>
      <c r="BX1216" s="1008">
        <f>BW1216</f>
      </c>
      <c r="BY1216" s="804">
        <f>BX1216+BY1175+BY1174</f>
      </c>
      <c r="BZ1216" s="804">
        <f>BY1216+BZ1175+BZ1174</f>
      </c>
      <c r="CA1216" s="804">
        <f>BZ1216+CA1175+CA1174</f>
      </c>
      <c r="CB1216" s="804">
        <f>CA1216+CB1175+CB1174</f>
      </c>
      <c r="CC1216" s="1008">
        <f>CB1216</f>
      </c>
      <c r="CD1216" s="1008">
        <f>CC1216+CD1175+CD1174</f>
      </c>
      <c r="CE1216" s="1008">
        <f>CD1216+CE1175+CE1174</f>
      </c>
      <c r="CF1216" s="1008">
        <f>CE1216+CF1175+CF1174</f>
      </c>
      <c r="CG1216" s="459"/>
    </row>
    <row r="1217" spans="1:85" s="587" customFormat="1" x14ac:dyDescent="0.3">
      <c r="A1217" s="182" t="s">
        <v>195</v>
      </c>
      <c r="B1217" s="414"/>
      <c r="C1217" s="963">
        <v>131.65299999999999</v>
      </c>
      <c r="D1217" s="963">
        <v>128.57</v>
      </c>
      <c r="E1217" s="963">
        <v>136.35300000000001</v>
      </c>
      <c r="F1217" s="963">
        <v>131.68100000000001</v>
      </c>
      <c r="G1217" s="857">
        <v>129.31899999999999</v>
      </c>
      <c r="H1217" s="857">
        <v>127.931</v>
      </c>
      <c r="I1217" s="857">
        <v>127.26300000000001</v>
      </c>
      <c r="J1217" s="857">
        <v>133.60499999999999</v>
      </c>
      <c r="K1217" s="963">
        <v>133.60499999999999</v>
      </c>
      <c r="L1217" s="857">
        <v>133.47300000000001</v>
      </c>
      <c r="M1217" s="857">
        <v>141.715</v>
      </c>
      <c r="N1217" s="857">
        <v>144.14699999999999</v>
      </c>
      <c r="O1217" s="857">
        <v>149.875</v>
      </c>
      <c r="P1217" s="963">
        <v>149.875</v>
      </c>
      <c r="Q1217" s="857">
        <v>145.816</v>
      </c>
      <c r="R1217" s="857">
        <v>171.39599999999999</v>
      </c>
      <c r="S1217" s="857">
        <v>181.268</v>
      </c>
      <c r="T1217" s="857">
        <v>173.41200000000001</v>
      </c>
      <c r="U1217" s="963">
        <v>173.41200000000001</v>
      </c>
      <c r="V1217" s="857">
        <v>166.25399999999999</v>
      </c>
      <c r="W1217" s="857">
        <v>162.864</v>
      </c>
      <c r="X1217" s="857">
        <v>191.876</v>
      </c>
      <c r="Y1217" s="757">
        <f>Z1217</f>
      </c>
      <c r="Z1217" s="963">
        <v>250.39500000000001</v>
      </c>
      <c r="AA1217" s="857">
        <v>275.08300000000003</v>
      </c>
      <c r="AB1217" s="857">
        <v>309.83100000000002</v>
      </c>
      <c r="AC1217" s="857">
        <v>322.42099999999999</v>
      </c>
      <c r="AD1217" s="757">
        <f>AE1217</f>
      </c>
      <c r="AE1217" s="963">
        <v>319.404</v>
      </c>
      <c r="AF1217" s="857">
        <v>341.93200000000002</v>
      </c>
      <c r="AG1217" s="857">
        <v>349.64600000000002</v>
      </c>
      <c r="AH1217" s="857">
        <v>371.15199999999999</v>
      </c>
      <c r="AI1217" s="757">
        <f>AJ1217</f>
      </c>
      <c r="AJ1217" s="963">
        <v>418.28100000000001</v>
      </c>
      <c r="AK1217" s="857">
        <v>434.37200000000001</v>
      </c>
      <c r="AL1217" s="857">
        <v>452.399</v>
      </c>
      <c r="AM1217" s="857">
        <v>481.99200000000002</v>
      </c>
      <c r="AN1217" s="757">
        <f>AO1217</f>
      </c>
      <c r="AO1217" s="963">
        <v>565.221</v>
      </c>
      <c r="AP1217" s="857">
        <v>650.45500000000004</v>
      </c>
      <c r="AQ1217" s="857">
        <v>751.94100000000003</v>
      </c>
      <c r="AR1217" s="857">
        <v>828.11800000000005</v>
      </c>
      <c r="AS1217" s="757">
        <f>AT1217</f>
      </c>
      <c r="AT1217" s="963">
        <v>960.18299999999999</v>
      </c>
      <c r="AU1217" s="857">
        <v>1015.419</v>
      </c>
      <c r="AV1217" s="857">
        <v>1107.4369999999999</v>
      </c>
      <c r="AW1217" s="857">
        <v>1220.114</v>
      </c>
      <c r="AX1217" s="757">
        <f>AY1217</f>
      </c>
      <c r="AY1217" s="963">
        <v>1323.453</v>
      </c>
      <c r="AZ1217" s="857">
        <v>1383.7629999999999</v>
      </c>
      <c r="BA1217" s="857">
        <v>1361.92</v>
      </c>
      <c r="BB1217" s="857">
        <v>1372.7539999999999</v>
      </c>
      <c r="BC1217" s="757">
        <f t="shared" si="2705"/>
      </c>
      <c r="BD1217" s="963">
        <v>1398.2570000000001</v>
      </c>
      <c r="BE1217" s="857">
        <v>1413.0940000000001</v>
      </c>
      <c r="BF1217" s="857">
        <v>1471.9680000000001</v>
      </c>
      <c r="BG1217" s="857">
        <v>1498.3910000000001</v>
      </c>
      <c r="BH1217" s="757">
        <f>BI1217</f>
      </c>
      <c r="BI1217" s="963">
        <v>1491.444</v>
      </c>
      <c r="BJ1217" s="857">
        <v>1501.1679999999999</v>
      </c>
      <c r="BK1217" s="857">
        <v>1510.9580000000001</v>
      </c>
      <c r="BL1217" s="857">
        <v>1568.212</v>
      </c>
      <c r="BM1217" s="757">
        <f>BN1217</f>
      </c>
      <c r="BN1217" s="963">
        <v>1593.7560000000001</v>
      </c>
      <c r="BO1217" s="857">
        <v>1644.346</v>
      </c>
      <c r="BP1217" s="857">
        <v>1743.566</v>
      </c>
      <c r="BQ1217" s="857">
        <v>1837.8889999999999</v>
      </c>
      <c r="BR1217" s="757">
        <f>BS1217</f>
      </c>
      <c r="BS1217" s="963">
        <v>2004.35</v>
      </c>
      <c r="BT1217" s="864">
        <v>2147.8290000000002</v>
      </c>
      <c r="BU1217" s="757">
        <f>BT1217-BU1130-BU1128+BU1169+BU1168</f>
      </c>
      <c r="BV1217" s="757">
        <f>BU1217-BV1130-BV1128+BV1169+BV1168</f>
      </c>
      <c r="BW1217" s="757">
        <f>BV1217-BW1130-BW1128+BW1169+BW1168</f>
      </c>
      <c r="BX1217" s="962">
        <f>BW1217</f>
      </c>
      <c r="BY1217" s="757">
        <f>BX1217-BY1130-BY1128+BY1169+BY1168</f>
      </c>
      <c r="BZ1217" s="757">
        <f>BY1217-BZ1130-BZ1128+BZ1169+BZ1168</f>
      </c>
      <c r="CA1217" s="757">
        <f>BZ1217-CA1130-CA1128+CA1169+CA1168</f>
      </c>
      <c r="CB1217" s="757">
        <f>CA1217-CB1130-CB1128+CB1169+CB1168</f>
      </c>
      <c r="CC1217" s="962">
        <f>CB1217</f>
      </c>
      <c r="CD1217" s="962">
        <f>CC1217-CD1130-CD1128+CD1169+CD1168</f>
      </c>
      <c r="CE1217" s="962">
        <f>CD1217-CE1130-CE1128+CE1169+CE1168</f>
      </c>
      <c r="CF1217" s="962">
        <f>CE1217-CF1130-CF1128+CF1169+CF1168</f>
      </c>
      <c r="CG1217" s="459"/>
    </row>
    <row r="1218" spans="1:85" s="587" customFormat="1" x14ac:dyDescent="0.3">
      <c r="A1218" s="182" t="s">
        <v>191</v>
      </c>
      <c r="B1218" s="414"/>
      <c r="C1218" s="963">
        <v>15.958</v>
      </c>
      <c r="D1218" s="963">
        <v>17.466999999999999</v>
      </c>
      <c r="E1218" s="963">
        <v>0</v>
      </c>
      <c r="F1218" s="963">
        <v>0</v>
      </c>
      <c r="G1218" s="857">
        <v>0</v>
      </c>
      <c r="H1218" s="857">
        <v>0</v>
      </c>
      <c r="I1218" s="857">
        <v>0</v>
      </c>
      <c r="J1218" s="857">
        <v>0</v>
      </c>
      <c r="K1218" s="963">
        <v>0</v>
      </c>
      <c r="L1218" s="857">
        <v>0</v>
      </c>
      <c r="M1218" s="857">
        <v>0</v>
      </c>
      <c r="N1218" s="857">
        <v>0</v>
      </c>
      <c r="O1218" s="857">
        <v>0</v>
      </c>
      <c r="P1218" s="963">
        <v>0</v>
      </c>
      <c r="Q1218" s="857">
        <v>0</v>
      </c>
      <c r="R1218" s="857">
        <v>0</v>
      </c>
      <c r="S1218" s="857">
        <v>0</v>
      </c>
      <c r="T1218" s="857">
        <v>0</v>
      </c>
      <c r="U1218" s="963">
        <v>0</v>
      </c>
      <c r="V1218" s="757"/>
      <c r="W1218" s="757"/>
      <c r="X1218" s="757"/>
      <c r="Y1218" s="757">
        <f>Z1218</f>
      </c>
      <c r="Z1218" s="962"/>
      <c r="AA1218" s="757"/>
      <c r="AB1218" s="757"/>
      <c r="AC1218" s="757"/>
      <c r="AD1218" s="757">
        <f>AE1218</f>
      </c>
      <c r="AE1218" s="962"/>
      <c r="AF1218" s="757"/>
      <c r="AG1218" s="757"/>
      <c r="AH1218" s="757"/>
      <c r="AI1218" s="757">
        <f>AJ1218</f>
      </c>
      <c r="AJ1218" s="962"/>
      <c r="AK1218" s="757"/>
      <c r="AL1218" s="757"/>
      <c r="AM1218" s="757"/>
      <c r="AN1218" s="757">
        <f>AO1218</f>
      </c>
      <c r="AO1218" s="962"/>
      <c r="AP1218" s="757"/>
      <c r="AQ1218" s="757"/>
      <c r="AR1218" s="757"/>
      <c r="AS1218" s="757">
        <f>AT1218</f>
      </c>
      <c r="AT1218" s="962"/>
      <c r="AU1218" s="757"/>
      <c r="AV1218" s="757"/>
      <c r="AW1218" s="757"/>
      <c r="AX1218" s="757">
        <f>AY1218</f>
      </c>
      <c r="AY1218" s="962"/>
      <c r="AZ1218" s="757"/>
      <c r="BA1218" s="757"/>
      <c r="BB1218" s="757"/>
      <c r="BC1218" s="757">
        <f t="shared" si="2705"/>
      </c>
      <c r="BD1218" s="962"/>
      <c r="BE1218" s="757"/>
      <c r="BF1218" s="757"/>
      <c r="BG1218" s="757"/>
      <c r="BH1218" s="757">
        <f>BI1218</f>
      </c>
      <c r="BI1218" s="962"/>
      <c r="BJ1218" s="757"/>
      <c r="BK1218" s="757"/>
      <c r="BL1218" s="757"/>
      <c r="BM1218" s="757">
        <f>BN1218</f>
      </c>
      <c r="BN1218" s="962"/>
      <c r="BO1218" s="757"/>
      <c r="BP1218" s="757"/>
      <c r="BQ1218" s="757"/>
      <c r="BR1218" s="757">
        <f>BS1218</f>
      </c>
      <c r="BS1218" s="962"/>
      <c r="BT1218" s="758"/>
      <c r="BU1218" s="757">
        <f>BT1218-BU1111</f>
      </c>
      <c r="BV1218" s="757">
        <f>BU1218-BV1111</f>
      </c>
      <c r="BW1218" s="757">
        <f>BV1218-BW1111</f>
      </c>
      <c r="BX1218" s="962">
        <f>BW1218</f>
      </c>
      <c r="BY1218" s="757">
        <f>BX1218-BY1111</f>
      </c>
      <c r="BZ1218" s="757">
        <f>BY1218-BZ1111</f>
      </c>
      <c r="CA1218" s="757">
        <f>BZ1218-CA1111</f>
      </c>
      <c r="CB1218" s="757">
        <f>CA1218-CB1111</f>
      </c>
      <c r="CC1218" s="962">
        <f>CB1218</f>
      </c>
      <c r="CD1218" s="962">
        <f>CC1218-CD1111</f>
      </c>
      <c r="CE1218" s="962">
        <f>CD1218-CE1111</f>
      </c>
      <c r="CF1218" s="962">
        <f>CE1218-CF1111</f>
      </c>
      <c r="CG1218" s="459"/>
    </row>
    <row r="1219" spans="1:85" s="587" customFormat="1" x14ac:dyDescent="0.3">
      <c r="A1219" s="436" t="s">
        <v>714</v>
      </c>
      <c r="B1219" s="414"/>
      <c r="C1219" s="962"/>
      <c r="D1219" s="962"/>
      <c r="E1219" s="962"/>
      <c r="F1219" s="962"/>
      <c r="G1219" s="757"/>
      <c r="H1219" s="757"/>
      <c r="I1219" s="757"/>
      <c r="J1219" s="757"/>
      <c r="K1219" s="962"/>
      <c r="L1219" s="757"/>
      <c r="M1219" s="757"/>
      <c r="N1219" s="757"/>
      <c r="O1219" s="757"/>
      <c r="P1219" s="962"/>
      <c r="Q1219" s="757"/>
      <c r="R1219" s="757"/>
      <c r="S1219" s="757"/>
      <c r="T1219" s="757"/>
      <c r="U1219" s="962"/>
      <c r="V1219" s="757"/>
      <c r="W1219" s="757"/>
      <c r="X1219" s="757"/>
      <c r="Y1219" s="757"/>
      <c r="Z1219" s="962"/>
      <c r="AA1219" s="757"/>
      <c r="AB1219" s="757"/>
      <c r="AC1219" s="757"/>
      <c r="AD1219" s="757">
        <f>AE1219</f>
      </c>
      <c r="AE1219" s="963">
        <v>4.4000000000000004</v>
      </c>
      <c r="AF1219" s="857">
        <f>4.531+1.28</f>
      </c>
      <c r="AG1219" s="857">
        <f>6.351+1.286</f>
      </c>
      <c r="AH1219" s="857">
        <f>9.739+1.291</f>
      </c>
      <c r="AI1219" s="757">
        <f>AJ1219</f>
      </c>
      <c r="AJ1219" s="963">
        <v>17.558</v>
      </c>
      <c r="AK1219" s="857">
        <v>21.54</v>
      </c>
      <c r="AL1219" s="857">
        <v>23.957999999999998</v>
      </c>
      <c r="AM1219" s="857">
        <v>24.702999999999999</v>
      </c>
      <c r="AN1219" s="757">
        <f>AO1219</f>
      </c>
      <c r="AO1219" s="963">
        <v>23.486000000000001</v>
      </c>
      <c r="AP1219" s="857">
        <v>23.789000000000001</v>
      </c>
      <c r="AQ1219" s="857">
        <v>24.315000000000001</v>
      </c>
      <c r="AR1219" s="857">
        <v>27.128</v>
      </c>
      <c r="AS1219" s="757">
        <f>AT1219</f>
      </c>
      <c r="AT1219" s="963">
        <v>31.536999999999999</v>
      </c>
      <c r="AU1219" s="857">
        <v>30.588999999999999</v>
      </c>
      <c r="AV1219" s="857">
        <v>24.399000000000001</v>
      </c>
      <c r="AW1219" s="857">
        <v>24.306999999999999</v>
      </c>
      <c r="AX1219" s="757">
        <f>AY1219</f>
      </c>
      <c r="AY1219" s="963">
        <v>24.117999999999999</v>
      </c>
      <c r="AZ1219" s="857">
        <v>24.6</v>
      </c>
      <c r="BA1219" s="857">
        <v>24.056000000000001</v>
      </c>
      <c r="BB1219" s="857">
        <v>23.762</v>
      </c>
      <c r="BC1219" s="757">
        <f t="shared" si="2705"/>
      </c>
      <c r="BD1219" s="963">
        <v>19.995999999999999</v>
      </c>
      <c r="BE1219" s="857">
        <v>19.536000000000001</v>
      </c>
      <c r="BF1219" s="857">
        <v>1.714</v>
      </c>
      <c r="BG1219" s="857">
        <v>1.6579999999999999</v>
      </c>
      <c r="BH1219" s="757">
        <f>BI1219</f>
      </c>
      <c r="BI1219" s="963">
        <v>0.13600000000000001</v>
      </c>
      <c r="BJ1219" s="857">
        <v>0.13300000000000001</v>
      </c>
      <c r="BK1219" s="857">
        <v>0.13300000000000001</v>
      </c>
      <c r="BL1219" s="857">
        <v>0.13700000000000001</v>
      </c>
      <c r="BM1219" s="757">
        <f>BN1219</f>
      </c>
      <c r="BN1219" s="963">
        <v>0.13200000000000001</v>
      </c>
      <c r="BO1219" s="857">
        <v>0.13600000000000001</v>
      </c>
      <c r="BP1219" s="857">
        <v>0.14399999999999999</v>
      </c>
      <c r="BQ1219" s="857">
        <v>0.14399999999999999</v>
      </c>
      <c r="BR1219" s="757">
        <f>BS1219</f>
      </c>
      <c r="BS1219" s="963">
        <v>0.14399999999999999</v>
      </c>
      <c r="BT1219" s="864">
        <v>0.14399999999999999</v>
      </c>
      <c r="BU1219" s="757">
        <f>BT1219</f>
      </c>
      <c r="BV1219" s="757">
        <f>BU1219</f>
      </c>
      <c r="BW1219" s="757">
        <f>BV1219</f>
      </c>
      <c r="BX1219" s="962">
        <f>BW1219</f>
      </c>
      <c r="BY1219" s="757">
        <f>BX1219</f>
      </c>
      <c r="BZ1219" s="757">
        <f>BY1219</f>
      </c>
      <c r="CA1219" s="757">
        <f>BZ1219</f>
      </c>
      <c r="CB1219" s="757">
        <f>CA1219</f>
      </c>
      <c r="CC1219" s="962">
        <f>CB1219</f>
      </c>
      <c r="CD1219" s="962">
        <f>CC1219</f>
      </c>
      <c r="CE1219" s="962">
        <f>CD1219</f>
      </c>
      <c r="CF1219" s="962">
        <f>CE1219</f>
      </c>
      <c r="CG1219" s="459"/>
    </row>
    <row r="1220" spans="1:85" s="587" customFormat="1" x14ac:dyDescent="0.3">
      <c r="A1220" s="436" t="s">
        <v>715</v>
      </c>
      <c r="B1220" s="414"/>
      <c r="C1220" s="962"/>
      <c r="D1220" s="962"/>
      <c r="E1220" s="962"/>
      <c r="F1220" s="962"/>
      <c r="G1220" s="757"/>
      <c r="H1220" s="757"/>
      <c r="I1220" s="757"/>
      <c r="J1220" s="757"/>
      <c r="K1220" s="962"/>
      <c r="L1220" s="757"/>
      <c r="M1220" s="757"/>
      <c r="N1220" s="757"/>
      <c r="O1220" s="757"/>
      <c r="P1220" s="962"/>
      <c r="Q1220" s="757"/>
      <c r="R1220" s="757"/>
      <c r="S1220" s="757"/>
      <c r="T1220" s="757"/>
      <c r="U1220" s="962"/>
      <c r="V1220" s="757"/>
      <c r="W1220" s="757"/>
      <c r="X1220" s="757"/>
      <c r="Y1220" s="757"/>
      <c r="Z1220" s="962"/>
      <c r="AA1220" s="757"/>
      <c r="AB1220" s="757"/>
      <c r="AC1220" s="757"/>
      <c r="AD1220" s="757"/>
      <c r="AE1220" s="962"/>
      <c r="AF1220" s="757"/>
      <c r="AG1220" s="757"/>
      <c r="AH1220" s="757"/>
      <c r="AI1220" s="757"/>
      <c r="AJ1220" s="962"/>
      <c r="AK1220" s="757"/>
      <c r="AL1220" s="757"/>
      <c r="AM1220" s="757"/>
      <c r="AN1220" s="757"/>
      <c r="AO1220" s="962"/>
      <c r="AP1220" s="757"/>
      <c r="AQ1220" s="757"/>
      <c r="AR1220" s="757"/>
      <c r="AS1220" s="757">
        <f>AT1220</f>
      </c>
      <c r="AT1220" s="963">
        <v>2037.7260000000001</v>
      </c>
      <c r="AU1220" s="857">
        <v>2007.729</v>
      </c>
      <c r="AV1220" s="857">
        <v>2102.6759999999999</v>
      </c>
      <c r="AW1220" s="857">
        <v>2249.4580000000001</v>
      </c>
      <c r="AX1220" s="757">
        <f>AY1220</f>
      </c>
      <c r="AY1220" s="963">
        <v>2446.5729999999999</v>
      </c>
      <c r="AZ1220" s="857">
        <v>2483.7779999999998</v>
      </c>
      <c r="BA1220" s="857">
        <v>2341.422</v>
      </c>
      <c r="BB1220" s="857">
        <v>2211.5070000000001</v>
      </c>
      <c r="BC1220" s="757">
        <f t="shared" si="2705"/>
      </c>
      <c r="BD1220" s="963">
        <v>2227.1219999999998</v>
      </c>
      <c r="BE1220" s="857">
        <v>2175.02</v>
      </c>
      <c r="BF1220" s="857">
        <v>2187.732</v>
      </c>
      <c r="BG1220" s="857">
        <v>2124.5010000000002</v>
      </c>
      <c r="BH1220" s="757">
        <f>BI1220</f>
      </c>
      <c r="BI1220" s="963">
        <v>2076.8989999999999</v>
      </c>
      <c r="BJ1220" s="857">
        <v>2159.3249999999998</v>
      </c>
      <c r="BK1220" s="857">
        <v>2223.261</v>
      </c>
      <c r="BL1220" s="857">
        <v>2214.4580000000001</v>
      </c>
      <c r="BM1220" s="757">
        <f>BN1220</f>
      </c>
      <c r="BN1220" s="963">
        <v>2102.31</v>
      </c>
      <c r="BO1220" s="857">
        <v>2095.2469999999998</v>
      </c>
      <c r="BP1220" s="857">
        <v>2175.3429999999998</v>
      </c>
      <c r="BQ1220" s="857">
        <v>2296.67</v>
      </c>
      <c r="BR1220" s="757">
        <f>BS1220</f>
      </c>
      <c r="BS1220" s="963">
        <v>2207.1610000000001</v>
      </c>
      <c r="BT1220" s="864">
        <v>2100.4699999999998</v>
      </c>
      <c r="BU1220" s="757">
        <f>+BU935</f>
      </c>
      <c r="BV1220" s="757">
        <f>+BV935</f>
      </c>
      <c r="BW1220" s="757">
        <f>+BW935</f>
      </c>
      <c r="BX1220" s="962">
        <f>+BW1220</f>
      </c>
      <c r="BY1220" s="757">
        <f>+BY935</f>
      </c>
      <c r="BZ1220" s="757">
        <f>+BZ935</f>
      </c>
      <c r="CA1220" s="757">
        <f>+CA935</f>
      </c>
      <c r="CB1220" s="757">
        <f>+CB935</f>
      </c>
      <c r="CC1220" s="962">
        <f>+CB1220</f>
      </c>
      <c r="CD1220" s="962">
        <f>+CD935</f>
      </c>
      <c r="CE1220" s="962">
        <f>+CE935</f>
      </c>
      <c r="CF1220" s="962">
        <f>+CF935</f>
      </c>
      <c r="CG1220" s="459"/>
    </row>
    <row r="1221" spans="1:85" s="587" customFormat="1" x14ac:dyDescent="0.3">
      <c r="A1221" s="30" t="s">
        <v>196</v>
      </c>
      <c r="B1221" s="416"/>
      <c r="C1221" s="989">
        <v>12.3</v>
      </c>
      <c r="D1221" s="989">
        <v>14.09</v>
      </c>
      <c r="E1221" s="989">
        <v>55.052</v>
      </c>
      <c r="F1221" s="989">
        <v>89.41</v>
      </c>
      <c r="G1221" s="863">
        <v>100.196</v>
      </c>
      <c r="H1221" s="863">
        <v>100.29600000000001</v>
      </c>
      <c r="I1221" s="863">
        <v>116.39700000000001</v>
      </c>
      <c r="J1221" s="863">
        <v>129.124</v>
      </c>
      <c r="K1221" s="989">
        <v>129.124</v>
      </c>
      <c r="L1221" s="863">
        <v>148.375</v>
      </c>
      <c r="M1221" s="863">
        <v>166.93100000000001</v>
      </c>
      <c r="N1221" s="863">
        <v>178.81800000000001</v>
      </c>
      <c r="O1221" s="863">
        <v>192.98099999999999</v>
      </c>
      <c r="P1221" s="989">
        <v>192.98099999999999</v>
      </c>
      <c r="Q1221" s="863">
        <v>243.40100000000001</v>
      </c>
      <c r="R1221" s="863">
        <v>242.18799999999999</v>
      </c>
      <c r="S1221" s="863">
        <v>273.49599999999998</v>
      </c>
      <c r="T1221" s="863">
        <v>284.80200000000002</v>
      </c>
      <c r="U1221" s="989">
        <v>284.80200000000002</v>
      </c>
      <c r="V1221" s="863">
        <v>292.024</v>
      </c>
      <c r="W1221" s="863">
        <v>300.78699999999998</v>
      </c>
      <c r="X1221" s="863">
        <v>283.89499999999998</v>
      </c>
      <c r="Y1221" s="761">
        <f>Z1221</f>
      </c>
      <c r="Z1221" s="989">
        <v>341.423</v>
      </c>
      <c r="AA1221" s="863">
        <v>394.57100000000003</v>
      </c>
      <c r="AB1221" s="863">
        <v>428.13299999999998</v>
      </c>
      <c r="AC1221" s="863">
        <v>504.06700000000001</v>
      </c>
      <c r="AD1221" s="761">
        <f>AE1221</f>
      </c>
      <c r="AE1221" s="984">
        <f>652.309-AE1219</f>
      </c>
      <c r="AF1221" s="800">
        <f>678.486-AF1219</f>
      </c>
      <c r="AG1221" s="800">
        <f>674.932-AG1219</f>
      </c>
      <c r="AH1221" s="800">
        <f>856.653-AH1219</f>
      </c>
      <c r="AI1221" s="761">
        <f>AJ1221</f>
      </c>
      <c r="AJ1221" s="984">
        <f>901.03-AJ1219</f>
      </c>
      <c r="AK1221" s="800">
        <f>1726.568-AK1219</f>
      </c>
      <c r="AL1221" s="800">
        <f>1896.043-AL1219</f>
      </c>
      <c r="AM1221" s="800">
        <f>1896.967-AM1219</f>
      </c>
      <c r="AN1221" s="761">
        <f>AO1221</f>
      </c>
      <c r="AO1221" s="984">
        <f>2727.42-AO1219</f>
      </c>
      <c r="AP1221" s="800">
        <f>2694.785-AP1219</f>
      </c>
      <c r="AQ1221" s="800">
        <f>2704.084-AQ1219</f>
      </c>
      <c r="AR1221" s="800">
        <f>2900.312-AR1219</f>
      </c>
      <c r="AS1221" s="761">
        <f>AT1221</f>
      </c>
      <c r="AT1221" s="984">
        <f>3174.646-AT1219-AT1220</f>
      </c>
      <c r="AU1221" s="800">
        <f>2956.096-AU1219-AU1220</f>
      </c>
      <c r="AV1221" s="800">
        <f>2967.616-AV1219-AV1220</f>
      </c>
      <c r="AW1221" s="800">
        <f>3129.911-AW1219-AW1220</f>
      </c>
      <c r="AX1221" s="761">
        <f>AY1221</f>
      </c>
      <c r="AY1221" s="984">
        <f>4271.846-AY1219-AY1220</f>
      </c>
      <c r="AZ1221" s="800">
        <f>4657.206-AZ1219-AZ1220</f>
      </c>
      <c r="BA1221" s="761">
        <f>4615.038-BA1219-BA1220</f>
      </c>
      <c r="BB1221" s="800">
        <f>4595.19-BB1219-BB1220</f>
      </c>
      <c r="BC1221" s="761">
        <f t="shared" si="2705"/>
      </c>
      <c r="BD1221" s="984">
        <f>5193.325-BD1219-BD1220</f>
      </c>
      <c r="BE1221" s="800">
        <f>5245.444-BE1219-BE1220</f>
      </c>
      <c r="BF1221" s="761">
        <f>5318.395-BF1219-BF1220</f>
      </c>
      <c r="BG1221" s="800">
        <f>5474.06-BG1219-BG1220</f>
      </c>
      <c r="BH1221" s="761">
        <f>BI1221</f>
      </c>
      <c r="BI1221" s="984">
        <f>5664.359-BI1219-BI1220</f>
      </c>
      <c r="BJ1221" s="800">
        <f>5743.14-BJ1220-BJ1219</f>
      </c>
      <c r="BK1221" s="761">
        <f>6045.029-BK1219-BK1220</f>
      </c>
      <c r="BL1221" s="800">
        <f>6409.151-BL1219-BL1220</f>
      </c>
      <c r="BM1221" s="761">
        <f>BN1221</f>
      </c>
      <c r="BN1221" s="984">
        <f>6483.777-BN1219-BN1220</f>
      </c>
      <c r="BO1221" s="800">
        <f>6704.827-BO1220-BO1219</f>
      </c>
      <c r="BP1221" s="761">
        <f>7273.598-BP1220-BP1219</f>
      </c>
      <c r="BQ1221" s="800">
        <f>7494.132-BQ1220-BQ1219</f>
      </c>
      <c r="BR1221" s="761">
        <f>BS1221</f>
      </c>
      <c r="BS1221" s="984">
        <f>7794.06-BS1219-BS1220</f>
      </c>
      <c r="BT1221" s="808">
        <f>8420.808-BT1220-BT1219</f>
      </c>
      <c r="BU1221" s="761">
        <f t="shared" ref="BU1221:CF1221" si="2708">BT1221</f>
      </c>
      <c r="BV1221" s="761">
        <f t="shared" si="2708"/>
      </c>
      <c r="BW1221" s="761">
        <f t="shared" si="2708"/>
      </c>
      <c r="BX1221" s="984">
        <f t="shared" si="2708"/>
      </c>
      <c r="BY1221" s="761">
        <f t="shared" si="2708"/>
      </c>
      <c r="BZ1221" s="761">
        <f t="shared" si="2708"/>
      </c>
      <c r="CA1221" s="761">
        <f t="shared" si="2708"/>
      </c>
      <c r="CB1221" s="761">
        <f t="shared" si="2708"/>
      </c>
      <c r="CC1221" s="984">
        <f t="shared" si="2708"/>
      </c>
      <c r="CD1221" s="984">
        <f t="shared" si="2708"/>
      </c>
      <c r="CE1221" s="984">
        <f t="shared" si="2708"/>
      </c>
      <c r="CF1221" s="984">
        <f t="shared" si="2708"/>
      </c>
      <c r="CG1221" s="459"/>
    </row>
    <row r="1222" spans="1:85" s="587" customFormat="1" x14ac:dyDescent="0.3">
      <c r="A1222" s="2" t="s">
        <v>197</v>
      </c>
      <c r="B1222" s="422"/>
      <c r="C1222" s="986">
        <f t="shared" ref="C1222:AH1222" si="2709">SUM(C1216:C1221)</f>
      </c>
      <c r="D1222" s="986">
        <f t="shared" si="2709"/>
      </c>
      <c r="E1222" s="986">
        <f t="shared" si="2709"/>
      </c>
      <c r="F1222" s="986">
        <f t="shared" si="2709"/>
      </c>
      <c r="G1222" s="792">
        <f t="shared" si="2709"/>
      </c>
      <c r="H1222" s="792">
        <f t="shared" si="2709"/>
      </c>
      <c r="I1222" s="792">
        <f t="shared" si="2709"/>
      </c>
      <c r="J1222" s="792">
        <f t="shared" si="2709"/>
      </c>
      <c r="K1222" s="986">
        <f t="shared" si="2709"/>
      </c>
      <c r="L1222" s="792">
        <f t="shared" si="2709"/>
      </c>
      <c r="M1222" s="792">
        <f t="shared" si="2709"/>
      </c>
      <c r="N1222" s="792">
        <f t="shared" si="2709"/>
      </c>
      <c r="O1222" s="792">
        <f t="shared" si="2709"/>
      </c>
      <c r="P1222" s="986">
        <f t="shared" si="2709"/>
      </c>
      <c r="Q1222" s="792">
        <f t="shared" si="2709"/>
      </c>
      <c r="R1222" s="792">
        <f t="shared" si="2709"/>
      </c>
      <c r="S1222" s="792">
        <f t="shared" si="2709"/>
      </c>
      <c r="T1222" s="792">
        <f t="shared" si="2709"/>
      </c>
      <c r="U1222" s="986">
        <f t="shared" si="2709"/>
      </c>
      <c r="V1222" s="792">
        <f t="shared" si="2709"/>
      </c>
      <c r="W1222" s="792">
        <f t="shared" si="2709"/>
      </c>
      <c r="X1222" s="792">
        <f t="shared" si="2709"/>
      </c>
      <c r="Y1222" s="791">
        <f t="shared" si="2709"/>
      </c>
      <c r="Z1222" s="965">
        <f t="shared" si="2709"/>
      </c>
      <c r="AA1222" s="792">
        <f t="shared" si="2709"/>
      </c>
      <c r="AB1222" s="792">
        <f t="shared" si="2709"/>
      </c>
      <c r="AC1222" s="792">
        <f t="shared" si="2709"/>
      </c>
      <c r="AD1222" s="791">
        <f t="shared" si="2709"/>
      </c>
      <c r="AE1222" s="965">
        <f t="shared" si="2709"/>
      </c>
      <c r="AF1222" s="792">
        <f t="shared" si="2709"/>
      </c>
      <c r="AG1222" s="792">
        <f t="shared" si="2709"/>
      </c>
      <c r="AH1222" s="792">
        <f t="shared" si="2709"/>
      </c>
      <c r="AI1222" s="791">
        <f t="shared" ref="AI1222:AQ1222" si="2710">SUM(AI1216:AI1221)</f>
      </c>
      <c r="AJ1222" s="965">
        <f t="shared" si="2710"/>
      </c>
      <c r="AK1222" s="792">
        <f t="shared" si="2710"/>
      </c>
      <c r="AL1222" s="792">
        <f t="shared" si="2710"/>
      </c>
      <c r="AM1222" s="792">
        <f t="shared" si="2710"/>
      </c>
      <c r="AN1222" s="791">
        <f t="shared" si="2710"/>
      </c>
      <c r="AO1222" s="965">
        <f t="shared" si="2710"/>
      </c>
      <c r="AP1222" s="792">
        <f t="shared" si="2710"/>
      </c>
      <c r="AQ1222" s="792">
        <f t="shared" si="2710"/>
      </c>
      <c r="AR1222" s="792">
        <f>SUM(AR1216:AR1221)</f>
      </c>
      <c r="AS1222" s="791">
        <f>SUM(AS1216:AS1221)</f>
      </c>
      <c r="AT1222" s="965">
        <f>SUM(AT1216:AT1221)</f>
      </c>
      <c r="AU1222" s="792">
        <f t="shared" ref="AU1222" si="2711">SUM(AU1216:AU1221)</f>
      </c>
      <c r="AV1222" s="792">
        <f>SUM(AV1216:AV1221)</f>
      </c>
      <c r="AW1222" s="792">
        <f>SUM(AW1216:AW1221)</f>
      </c>
      <c r="AX1222" s="791">
        <f>SUM(AX1216:AX1221)</f>
      </c>
      <c r="AY1222" s="965">
        <f>SUM(AY1216:AY1221)</f>
      </c>
      <c r="AZ1222" s="792">
        <f>SUM(AZ1216:AZ1221)</f>
      </c>
      <c r="BA1222" s="791">
        <f t="shared" ref="BA1222" si="2712">SUM(BA1216:BA1221)</f>
      </c>
      <c r="BB1222" s="792">
        <f t="shared" ref="BB1222:BD1222" si="2713">SUM(BB1216:BB1221)</f>
      </c>
      <c r="BC1222" s="791">
        <f t="shared" si="2713"/>
      </c>
      <c r="BD1222" s="965">
        <f t="shared" si="2713"/>
      </c>
      <c r="BE1222" s="792">
        <f t="shared" ref="BE1222:BI1222" si="2714">SUM(BE1216:BE1221)</f>
      </c>
      <c r="BF1222" s="791">
        <f t="shared" si="2714"/>
      </c>
      <c r="BG1222" s="792">
        <f t="shared" si="2714"/>
      </c>
      <c r="BH1222" s="791">
        <f t="shared" si="2714"/>
      </c>
      <c r="BI1222" s="965">
        <f t="shared" si="2714"/>
      </c>
      <c r="BJ1222" s="792">
        <f t="shared" ref="BJ1222:BX1222" si="2715">SUM(BJ1216:BJ1221)</f>
      </c>
      <c r="BK1222" s="791">
        <f t="shared" si="2715"/>
      </c>
      <c r="BL1222" s="792">
        <f t="shared" si="2715"/>
      </c>
      <c r="BM1222" s="791">
        <f t="shared" si="2715"/>
      </c>
      <c r="BN1222" s="965">
        <f t="shared" si="2715"/>
      </c>
      <c r="BO1222" s="792">
        <f t="shared" ref="BO1222:BW1222" si="2716">SUM(BO1216:BO1221)</f>
      </c>
      <c r="BP1222" s="791">
        <f t="shared" si="2716"/>
      </c>
      <c r="BQ1222" s="792">
        <f t="shared" si="2716"/>
      </c>
      <c r="BR1222" s="791">
        <f t="shared" si="2716"/>
      </c>
      <c r="BS1222" s="965">
        <f t="shared" si="2716"/>
      </c>
      <c r="BT1222" s="793">
        <f>SUM(BT1216:BT1221)</f>
      </c>
      <c r="BU1222" s="791">
        <f t="shared" si="2716"/>
      </c>
      <c r="BV1222" s="791">
        <f t="shared" si="2716"/>
      </c>
      <c r="BW1222" s="791">
        <f t="shared" si="2716"/>
      </c>
      <c r="BX1222" s="965">
        <f t="shared" si="2715"/>
      </c>
      <c r="BY1222" s="791">
        <f t="shared" ref="BY1222:CF1222" si="2717">SUM(BY1216:BY1221)</f>
      </c>
      <c r="BZ1222" s="791">
        <f t="shared" si="2717"/>
      </c>
      <c r="CA1222" s="791">
        <f t="shared" si="2717"/>
      </c>
      <c r="CB1222" s="791">
        <f t="shared" si="2717"/>
      </c>
      <c r="CC1222" s="965">
        <f t="shared" si="2717"/>
      </c>
      <c r="CD1222" s="965">
        <f t="shared" si="2717"/>
      </c>
      <c r="CE1222" s="965">
        <f t="shared" si="2717"/>
      </c>
      <c r="CF1222" s="965">
        <f t="shared" si="2717"/>
      </c>
      <c r="CG1222" s="183"/>
    </row>
    <row r="1223" spans="1:85" s="587" customFormat="1" x14ac:dyDescent="0.3">
      <c r="A1223" s="4" t="s">
        <v>198</v>
      </c>
      <c r="B1223" s="428"/>
      <c r="C1223" s="985">
        <f t="shared" ref="C1223:AH1223" si="2718">C1207+C1222</f>
      </c>
      <c r="D1223" s="985">
        <f t="shared" si="2718"/>
      </c>
      <c r="E1223" s="985">
        <f t="shared" si="2718"/>
      </c>
      <c r="F1223" s="985">
        <f t="shared" si="2718"/>
      </c>
      <c r="G1223" s="183">
        <f t="shared" si="2718"/>
      </c>
      <c r="H1223" s="183">
        <f t="shared" si="2718"/>
      </c>
      <c r="I1223" s="183">
        <f t="shared" si="2718"/>
      </c>
      <c r="J1223" s="183">
        <f t="shared" si="2718"/>
      </c>
      <c r="K1223" s="985">
        <f t="shared" si="2718"/>
      </c>
      <c r="L1223" s="183">
        <f t="shared" si="2718"/>
      </c>
      <c r="M1223" s="183">
        <f t="shared" si="2718"/>
      </c>
      <c r="N1223" s="183">
        <f t="shared" si="2718"/>
      </c>
      <c r="O1223" s="183">
        <f t="shared" si="2718"/>
      </c>
      <c r="P1223" s="985">
        <f t="shared" si="2718"/>
      </c>
      <c r="Q1223" s="183">
        <f t="shared" si="2718"/>
      </c>
      <c r="R1223" s="183">
        <f t="shared" si="2718"/>
      </c>
      <c r="S1223" s="183">
        <f t="shared" si="2718"/>
      </c>
      <c r="T1223" s="183">
        <f t="shared" si="2718"/>
      </c>
      <c r="U1223" s="985">
        <f t="shared" si="2718"/>
      </c>
      <c r="V1223" s="183">
        <f t="shared" si="2718"/>
      </c>
      <c r="W1223" s="183">
        <f t="shared" si="2718"/>
      </c>
      <c r="X1223" s="183">
        <f t="shared" si="2718"/>
      </c>
      <c r="Y1223" s="759">
        <f t="shared" si="2718"/>
      </c>
      <c r="Z1223" s="969">
        <f t="shared" si="2718"/>
      </c>
      <c r="AA1223" s="183">
        <f t="shared" si="2718"/>
      </c>
      <c r="AB1223" s="183">
        <f t="shared" si="2718"/>
      </c>
      <c r="AC1223" s="183">
        <f t="shared" si="2718"/>
      </c>
      <c r="AD1223" s="759">
        <f t="shared" si="2718"/>
      </c>
      <c r="AE1223" s="969">
        <f t="shared" si="2718"/>
      </c>
      <c r="AF1223" s="183">
        <f t="shared" si="2718"/>
      </c>
      <c r="AG1223" s="183">
        <f t="shared" si="2718"/>
      </c>
      <c r="AH1223" s="183">
        <f t="shared" si="2718"/>
      </c>
      <c r="AI1223" s="759">
        <f t="shared" ref="AI1223:AQ1223" si="2719">AI1207+AI1222</f>
      </c>
      <c r="AJ1223" s="969">
        <f t="shared" si="2719"/>
      </c>
      <c r="AK1223" s="183">
        <f t="shared" si="2719"/>
      </c>
      <c r="AL1223" s="183">
        <f t="shared" si="2719"/>
      </c>
      <c r="AM1223" s="183">
        <f t="shared" si="2719"/>
      </c>
      <c r="AN1223" s="759">
        <f t="shared" si="2719"/>
      </c>
      <c r="AO1223" s="969">
        <f t="shared" si="2719"/>
      </c>
      <c r="AP1223" s="183">
        <f t="shared" si="2719"/>
      </c>
      <c r="AQ1223" s="183">
        <f t="shared" si="2719"/>
      </c>
      <c r="AR1223" s="183">
        <f>AR1207+AR1222</f>
      </c>
      <c r="AS1223" s="759">
        <f>AS1207+AS1222</f>
      </c>
      <c r="AT1223" s="969">
        <f>AT1207+AT1222</f>
      </c>
      <c r="AU1223" s="183">
        <f t="shared" ref="AU1223" si="2720">AU1207+AU1222</f>
      </c>
      <c r="AV1223" s="183">
        <f>AV1207+AV1222</f>
      </c>
      <c r="AW1223" s="183">
        <f>AW1207+AW1222</f>
      </c>
      <c r="AX1223" s="759">
        <f>AX1207+AX1222</f>
      </c>
      <c r="AY1223" s="969">
        <f>AY1207+AY1222</f>
      </c>
      <c r="AZ1223" s="183">
        <f>AZ1207+AZ1222</f>
      </c>
      <c r="BA1223" s="759">
        <f t="shared" ref="BA1223" si="2721">BA1207+BA1222</f>
      </c>
      <c r="BB1223" s="183">
        <f t="shared" ref="BB1223:BD1223" si="2722">BB1207+BB1222</f>
      </c>
      <c r="BC1223" s="759">
        <f t="shared" si="2722"/>
      </c>
      <c r="BD1223" s="969">
        <f t="shared" si="2722"/>
      </c>
      <c r="BE1223" s="183">
        <f t="shared" ref="BE1223:BI1223" si="2723">BE1207+BE1222</f>
      </c>
      <c r="BF1223" s="759">
        <f t="shared" si="2723"/>
      </c>
      <c r="BG1223" s="183">
        <f t="shared" si="2723"/>
      </c>
      <c r="BH1223" s="759">
        <f t="shared" si="2723"/>
      </c>
      <c r="BI1223" s="969">
        <f t="shared" si="2723"/>
      </c>
      <c r="BJ1223" s="183">
        <f t="shared" ref="BJ1223:BX1223" si="2724">BJ1207+BJ1222</f>
      </c>
      <c r="BK1223" s="759">
        <f t="shared" si="2724"/>
      </c>
      <c r="BL1223" s="183">
        <f t="shared" si="2724"/>
      </c>
      <c r="BM1223" s="759">
        <f t="shared" si="2724"/>
      </c>
      <c r="BN1223" s="969">
        <f t="shared" si="2724"/>
      </c>
      <c r="BO1223" s="183">
        <f t="shared" ref="BO1223:BW1223" si="2725">BO1207+BO1222</f>
      </c>
      <c r="BP1223" s="759">
        <f t="shared" si="2725"/>
      </c>
      <c r="BQ1223" s="183">
        <f t="shared" si="2725"/>
      </c>
      <c r="BR1223" s="759">
        <f t="shared" si="2725"/>
      </c>
      <c r="BS1223" s="969">
        <f t="shared" si="2725"/>
      </c>
      <c r="BT1223" s="794">
        <f>BT1207+BT1222</f>
      </c>
      <c r="BU1223" s="759">
        <f t="shared" si="2725"/>
      </c>
      <c r="BV1223" s="759">
        <f t="shared" si="2725"/>
      </c>
      <c r="BW1223" s="759">
        <f t="shared" si="2725"/>
      </c>
      <c r="BX1223" s="969">
        <f t="shared" si="2724"/>
      </c>
      <c r="BY1223" s="759">
        <f t="shared" ref="BY1223:CF1223" si="2726">BY1207+BY1222</f>
      </c>
      <c r="BZ1223" s="759">
        <f t="shared" si="2726"/>
      </c>
      <c r="CA1223" s="759">
        <f t="shared" si="2726"/>
      </c>
      <c r="CB1223" s="759">
        <f t="shared" si="2726"/>
      </c>
      <c r="CC1223" s="969">
        <f t="shared" si="2726"/>
      </c>
      <c r="CD1223" s="969">
        <f t="shared" si="2726"/>
      </c>
      <c r="CE1223" s="969">
        <f t="shared" si="2726"/>
      </c>
      <c r="CF1223" s="969">
        <f t="shared" si="2726"/>
      </c>
      <c r="CG1223" s="183"/>
    </row>
    <row r="1224" spans="1:85" s="587" customFormat="1" x14ac:dyDescent="0.3">
      <c r="A1224" s="429"/>
      <c r="B1224" s="428"/>
      <c r="C1224" s="969"/>
      <c r="D1224" s="969"/>
      <c r="E1224" s="969"/>
      <c r="F1224" s="969"/>
      <c r="G1224" s="759"/>
      <c r="H1224" s="759"/>
      <c r="I1224" s="759"/>
      <c r="J1224" s="759"/>
      <c r="K1224" s="969"/>
      <c r="L1224" s="759"/>
      <c r="M1224" s="759"/>
      <c r="N1224" s="759"/>
      <c r="O1224" s="759"/>
      <c r="P1224" s="969"/>
      <c r="Q1224" s="759"/>
      <c r="R1224" s="759"/>
      <c r="S1224" s="759"/>
      <c r="T1224" s="759"/>
      <c r="U1224" s="969"/>
      <c r="V1224" s="759"/>
      <c r="W1224" s="759"/>
      <c r="X1224" s="759"/>
      <c r="Y1224" s="759"/>
      <c r="Z1224" s="969"/>
      <c r="AA1224" s="759"/>
      <c r="AB1224" s="759"/>
      <c r="AC1224" s="759"/>
      <c r="AD1224" s="759"/>
      <c r="AE1224" s="969"/>
      <c r="AF1224" s="759"/>
      <c r="AG1224" s="759"/>
      <c r="AH1224" s="759"/>
      <c r="AI1224" s="759"/>
      <c r="AJ1224" s="969"/>
      <c r="AK1224" s="759"/>
      <c r="AL1224" s="759"/>
      <c r="AM1224" s="759"/>
      <c r="AN1224" s="759"/>
      <c r="AO1224" s="969"/>
      <c r="AP1224" s="759"/>
      <c r="AQ1224" s="759"/>
      <c r="AR1224" s="759"/>
      <c r="AS1224" s="759"/>
      <c r="AT1224" s="969"/>
      <c r="AU1224" s="759"/>
      <c r="AV1224" s="759"/>
      <c r="AW1224" s="759"/>
      <c r="AX1224" s="759"/>
      <c r="AY1224" s="969"/>
      <c r="AZ1224" s="759"/>
      <c r="BA1224" s="759"/>
      <c r="BB1224" s="759"/>
      <c r="BC1224" s="759"/>
      <c r="BD1224" s="969"/>
      <c r="BE1224" s="759"/>
      <c r="BF1224" s="759"/>
      <c r="BG1224" s="759"/>
      <c r="BH1224" s="759"/>
      <c r="BI1224" s="969"/>
      <c r="BJ1224" s="759"/>
      <c r="BK1224" s="759"/>
      <c r="BL1224" s="759"/>
      <c r="BM1224" s="759"/>
      <c r="BN1224" s="969"/>
      <c r="BO1224" s="759"/>
      <c r="BP1224" s="759"/>
      <c r="BQ1224" s="759"/>
      <c r="BR1224" s="759"/>
      <c r="BS1224" s="969"/>
      <c r="BT1224" s="760"/>
      <c r="BU1224" s="759"/>
      <c r="BV1224" s="759"/>
      <c r="BW1224" s="759"/>
      <c r="BX1224" s="969"/>
      <c r="BY1224" s="759"/>
      <c r="BZ1224" s="759"/>
      <c r="CA1224" s="759"/>
      <c r="CB1224" s="759"/>
      <c r="CC1224" s="969"/>
      <c r="CD1224" s="969"/>
      <c r="CE1224" s="969"/>
      <c r="CF1224" s="969"/>
      <c r="CG1224" s="183"/>
    </row>
    <row r="1225" spans="1:85" s="587" customFormat="1" x14ac:dyDescent="0.3">
      <c r="A1225" s="4" t="s">
        <v>199</v>
      </c>
      <c r="B1225" s="428"/>
      <c r="C1225" s="969"/>
      <c r="D1225" s="969"/>
      <c r="E1225" s="969"/>
      <c r="F1225" s="969"/>
      <c r="G1225" s="759"/>
      <c r="H1225" s="759"/>
      <c r="I1225" s="759"/>
      <c r="J1225" s="759"/>
      <c r="K1225" s="969"/>
      <c r="L1225" s="759"/>
      <c r="M1225" s="759"/>
      <c r="N1225" s="759"/>
      <c r="O1225" s="759"/>
      <c r="P1225" s="969"/>
      <c r="Q1225" s="759"/>
      <c r="R1225" s="759"/>
      <c r="S1225" s="759"/>
      <c r="T1225" s="759"/>
      <c r="U1225" s="969"/>
      <c r="V1225" s="759"/>
      <c r="W1225" s="759"/>
      <c r="X1225" s="759"/>
      <c r="Y1225" s="759"/>
      <c r="Z1225" s="969"/>
      <c r="AA1225" s="759"/>
      <c r="AB1225" s="759"/>
      <c r="AC1225" s="759"/>
      <c r="AD1225" s="759"/>
      <c r="AE1225" s="969"/>
      <c r="AF1225" s="759"/>
      <c r="AG1225" s="759"/>
      <c r="AH1225" s="759"/>
      <c r="AI1225" s="759"/>
      <c r="AJ1225" s="969"/>
      <c r="AK1225" s="759"/>
      <c r="AL1225" s="759"/>
      <c r="AM1225" s="759"/>
      <c r="AN1225" s="759"/>
      <c r="AO1225" s="969"/>
      <c r="AP1225" s="759"/>
      <c r="AQ1225" s="759"/>
      <c r="AR1225" s="759"/>
      <c r="AS1225" s="759"/>
      <c r="AT1225" s="969"/>
      <c r="AU1225" s="759"/>
      <c r="AV1225" s="759"/>
      <c r="AW1225" s="759"/>
      <c r="AX1225" s="759"/>
      <c r="AY1225" s="969"/>
      <c r="AZ1225" s="759"/>
      <c r="BA1225" s="759"/>
      <c r="BB1225" s="759"/>
      <c r="BC1225" s="759"/>
      <c r="BD1225" s="969"/>
      <c r="BE1225" s="759"/>
      <c r="BF1225" s="759"/>
      <c r="BG1225" s="759"/>
      <c r="BH1225" s="759"/>
      <c r="BI1225" s="969"/>
      <c r="BJ1225" s="759"/>
      <c r="BK1225" s="759"/>
      <c r="BL1225" s="759"/>
      <c r="BM1225" s="759"/>
      <c r="BN1225" s="969"/>
      <c r="BO1225" s="759"/>
      <c r="BP1225" s="759"/>
      <c r="BQ1225" s="759"/>
      <c r="BR1225" s="759"/>
      <c r="BS1225" s="969"/>
      <c r="BT1225" s="760"/>
      <c r="BU1225" s="759"/>
      <c r="BV1225" s="759"/>
      <c r="BW1225" s="759"/>
      <c r="BX1225" s="969"/>
      <c r="BY1225" s="759"/>
      <c r="BZ1225" s="759"/>
      <c r="CA1225" s="759"/>
      <c r="CB1225" s="759"/>
      <c r="CC1225" s="969"/>
      <c r="CD1225" s="969"/>
      <c r="CE1225" s="969"/>
      <c r="CF1225" s="969"/>
      <c r="CG1225" s="183"/>
    </row>
    <row r="1226" spans="1:85" s="587" customFormat="1" x14ac:dyDescent="0.3">
      <c r="A1226" s="182" t="s">
        <v>200</v>
      </c>
      <c r="B1226" s="414"/>
      <c r="C1226" s="963">
        <v>0</v>
      </c>
      <c r="D1226" s="963">
        <v>168.69499999999999</v>
      </c>
      <c r="E1226" s="963">
        <v>924.70600000000002</v>
      </c>
      <c r="F1226" s="963">
        <v>1366.847</v>
      </c>
      <c r="G1226" s="857">
        <v>1355.01</v>
      </c>
      <c r="H1226" s="857">
        <v>1321.2170000000001</v>
      </c>
      <c r="I1226" s="857">
        <v>1591.981</v>
      </c>
      <c r="J1226" s="857">
        <v>1775.9829999999999</v>
      </c>
      <c r="K1226" s="963">
        <v>1775.9829999999999</v>
      </c>
      <c r="L1226" s="857">
        <v>1844.8969999999999</v>
      </c>
      <c r="M1226" s="857">
        <v>1858.02</v>
      </c>
      <c r="N1226" s="857">
        <v>2074.7660000000001</v>
      </c>
      <c r="O1226" s="857">
        <v>2117.241</v>
      </c>
      <c r="P1226" s="963">
        <v>2117.241</v>
      </c>
      <c r="Q1226" s="857">
        <v>2425.6190000000001</v>
      </c>
      <c r="R1226" s="857">
        <v>2556.1799999999998</v>
      </c>
      <c r="S1226" s="857">
        <v>2622.9639999999999</v>
      </c>
      <c r="T1226" s="857">
        <v>2789.0230000000001</v>
      </c>
      <c r="U1226" s="963">
        <v>2789.0230000000001</v>
      </c>
      <c r="V1226" s="857">
        <v>3145.8609999999999</v>
      </c>
      <c r="W1226" s="857">
        <v>3242.33</v>
      </c>
      <c r="X1226" s="857">
        <v>3497.2139999999999</v>
      </c>
      <c r="Y1226" s="757">
        <f>Z1226</f>
      </c>
      <c r="Z1226" s="963">
        <v>3632.7109999999998</v>
      </c>
      <c r="AA1226" s="857">
        <v>3861.4470000000001</v>
      </c>
      <c r="AB1226" s="857">
        <v>4095.3739999999998</v>
      </c>
      <c r="AC1226" s="857">
        <v>4142.0860000000002</v>
      </c>
      <c r="AD1226" s="757">
        <f>AE1226</f>
      </c>
      <c r="AE1226" s="963">
        <v>4173.0410000000002</v>
      </c>
      <c r="AF1226" s="857">
        <v>4466.0810000000001</v>
      </c>
      <c r="AG1226" s="857">
        <v>4541.0870000000004</v>
      </c>
      <c r="AH1226" s="857">
        <v>4613.0110000000004</v>
      </c>
      <c r="AI1226" s="757">
        <f>AJ1226</f>
      </c>
      <c r="AJ1226" s="963">
        <v>4686.0190000000002</v>
      </c>
      <c r="AK1226" s="857">
        <v>4863.3509999999997</v>
      </c>
      <c r="AL1226" s="857">
        <v>4848.201</v>
      </c>
      <c r="AM1226" s="857">
        <v>4860.5420000000004</v>
      </c>
      <c r="AN1226" s="757">
        <f>AO1226</f>
      </c>
      <c r="AO1226" s="963">
        <v>4413.5609999999997</v>
      </c>
      <c r="AP1226" s="857">
        <v>4761.585</v>
      </c>
      <c r="AQ1226" s="857">
        <v>4664.7330000000002</v>
      </c>
      <c r="AR1226" s="857">
        <v>4599.6540000000005</v>
      </c>
      <c r="AS1226" s="757">
        <f>AT1226</f>
      </c>
      <c r="AT1226" s="963">
        <v>4429.5360000000001</v>
      </c>
      <c r="AU1226" s="857">
        <v>4297.9570000000003</v>
      </c>
      <c r="AV1226" s="857">
        <v>4197.8739999999998</v>
      </c>
      <c r="AW1226" s="857">
        <v>4110.9620000000004</v>
      </c>
      <c r="AX1226" s="757">
        <f>AY1226</f>
      </c>
      <c r="AY1226" s="963">
        <v>4292.9669999999996</v>
      </c>
      <c r="AZ1226" s="857">
        <v>4066.2890000000002</v>
      </c>
      <c r="BA1226" s="857">
        <v>4174.9660000000003</v>
      </c>
      <c r="BB1226" s="857">
        <v>4225.8900000000003</v>
      </c>
      <c r="BC1226" s="757">
        <f>BD1226</f>
      </c>
      <c r="BD1226" s="963">
        <v>4480.1499999999996</v>
      </c>
      <c r="BE1226" s="857">
        <v>4344.58</v>
      </c>
      <c r="BF1226" s="857">
        <v>4440.4120000000003</v>
      </c>
      <c r="BG1226" s="857">
        <v>4259.5820000000003</v>
      </c>
      <c r="BH1226" s="757">
        <f>BI1226</f>
      </c>
      <c r="BI1226" s="963">
        <v>4466.47</v>
      </c>
      <c r="BJ1226" s="857">
        <v>4436.0209999999997</v>
      </c>
      <c r="BK1226" s="857">
        <v>4391.4369999999999</v>
      </c>
      <c r="BL1226" s="857">
        <v>4489.9709999999995</v>
      </c>
      <c r="BM1226" s="757">
        <f>BN1226</f>
      </c>
      <c r="BN1226" s="963">
        <v>4393.6809999999996</v>
      </c>
      <c r="BO1226" s="857">
        <v>4128.9049999999997</v>
      </c>
      <c r="BP1226" s="857">
        <v>4091.77</v>
      </c>
      <c r="BQ1226" s="857">
        <v>4102.6400000000003</v>
      </c>
      <c r="BR1226" s="757">
        <f>BS1226</f>
      </c>
      <c r="BS1226" s="963">
        <v>4084.8539999999998</v>
      </c>
      <c r="BT1226" s="864">
        <v>4052.2779999999998</v>
      </c>
      <c r="BU1226" s="757">
        <f t="shared" ref="BU1226:CF1226" si="2727">BT1226</f>
      </c>
      <c r="BV1226" s="757">
        <f t="shared" si="2727"/>
      </c>
      <c r="BW1226" s="757">
        <f t="shared" si="2727"/>
      </c>
      <c r="BX1226" s="962">
        <f t="shared" si="2727"/>
      </c>
      <c r="BY1226" s="757">
        <f t="shared" si="2727"/>
      </c>
      <c r="BZ1226" s="757">
        <f t="shared" si="2727"/>
      </c>
      <c r="CA1226" s="757">
        <f t="shared" si="2727"/>
      </c>
      <c r="CB1226" s="757">
        <f t="shared" si="2727"/>
      </c>
      <c r="CC1226" s="962">
        <f t="shared" si="2727"/>
      </c>
      <c r="CD1226" s="962">
        <f t="shared" si="2727"/>
      </c>
      <c r="CE1226" s="962">
        <f t="shared" si="2727"/>
      </c>
      <c r="CF1226" s="962">
        <f t="shared" si="2727"/>
      </c>
      <c r="CG1226" s="459"/>
    </row>
    <row r="1227" spans="1:85" s="587" customFormat="1" x14ac:dyDescent="0.3">
      <c r="A1227" s="182" t="s">
        <v>141</v>
      </c>
      <c r="B1227" s="414"/>
      <c r="C1227" s="963">
        <v>91.474999999999994</v>
      </c>
      <c r="D1227" s="963">
        <v>54.128999999999998</v>
      </c>
      <c r="E1227" s="963">
        <v>87.86</v>
      </c>
      <c r="F1227" s="963">
        <v>86.468000000000004</v>
      </c>
      <c r="G1227" s="857">
        <v>102.822</v>
      </c>
      <c r="H1227" s="857">
        <v>103.441</v>
      </c>
      <c r="I1227" s="857">
        <v>100.899</v>
      </c>
      <c r="J1227" s="857">
        <v>108.435</v>
      </c>
      <c r="K1227" s="963">
        <v>108.435</v>
      </c>
      <c r="L1227" s="857">
        <v>133.88300000000001</v>
      </c>
      <c r="M1227" s="857">
        <v>137.226</v>
      </c>
      <c r="N1227" s="857">
        <v>150.374</v>
      </c>
      <c r="O1227" s="857">
        <v>201.58099999999999</v>
      </c>
      <c r="P1227" s="963">
        <v>201.58099999999999</v>
      </c>
      <c r="Q1227" s="857">
        <v>190.56700000000001</v>
      </c>
      <c r="R1227" s="857">
        <v>211.72900000000001</v>
      </c>
      <c r="S1227" s="857">
        <v>209.36500000000001</v>
      </c>
      <c r="T1227" s="857">
        <v>253.49100000000001</v>
      </c>
      <c r="U1227" s="963">
        <v>253.49100000000001</v>
      </c>
      <c r="V1227" s="857">
        <v>231.91399999999999</v>
      </c>
      <c r="W1227" s="857">
        <v>240.458</v>
      </c>
      <c r="X1227" s="857">
        <v>285.75299999999999</v>
      </c>
      <c r="Y1227" s="757">
        <f>Z1227</f>
      </c>
      <c r="Z1227" s="963">
        <v>312.84199999999998</v>
      </c>
      <c r="AA1227" s="857">
        <v>294.83100000000002</v>
      </c>
      <c r="AB1227" s="857">
        <v>273.39800000000002</v>
      </c>
      <c r="AC1227" s="857">
        <v>301.44299999999998</v>
      </c>
      <c r="AD1227" s="757">
        <f>AE1227</f>
      </c>
      <c r="AE1227" s="963">
        <v>359.55500000000001</v>
      </c>
      <c r="AF1227" s="857">
        <v>436.18299999999999</v>
      </c>
      <c r="AG1227" s="857">
        <v>448.21899999999999</v>
      </c>
      <c r="AH1227" s="857">
        <v>441.42700000000002</v>
      </c>
      <c r="AI1227" s="757">
        <f>AJ1227</f>
      </c>
      <c r="AJ1227" s="963">
        <v>562.98500000000001</v>
      </c>
      <c r="AK1227" s="857">
        <v>439.49599999999998</v>
      </c>
      <c r="AL1227" s="857">
        <v>442.19400000000002</v>
      </c>
      <c r="AM1227" s="857">
        <v>444.12900000000002</v>
      </c>
      <c r="AN1227" s="757">
        <f>AO1227</f>
      </c>
      <c r="AO1227" s="963">
        <v>674.34699999999998</v>
      </c>
      <c r="AP1227" s="857">
        <v>545.48800000000006</v>
      </c>
      <c r="AQ1227" s="857">
        <v>446.66800000000001</v>
      </c>
      <c r="AR1227" s="857">
        <v>541.298</v>
      </c>
      <c r="AS1227" s="757">
        <f>AT1227</f>
      </c>
      <c r="AT1227" s="963">
        <v>656.18299999999999</v>
      </c>
      <c r="AU1227" s="857">
        <v>532.94200000000001</v>
      </c>
      <c r="AV1227" s="857">
        <v>622.93100000000004</v>
      </c>
      <c r="AW1227" s="857">
        <v>643.05899999999997</v>
      </c>
      <c r="AX1227" s="757">
        <f>AY1227</f>
      </c>
      <c r="AY1227" s="963">
        <v>837.48299999999995</v>
      </c>
      <c r="AZ1227" s="857">
        <v>617.202</v>
      </c>
      <c r="BA1227" s="857">
        <v>504.27800000000002</v>
      </c>
      <c r="BB1227" s="857">
        <v>560.15599999999995</v>
      </c>
      <c r="BC1227" s="757">
        <f>BD1227</f>
      </c>
      <c r="BD1227" s="963">
        <v>671.51300000000003</v>
      </c>
      <c r="BE1227" s="857">
        <v>591.98699999999997</v>
      </c>
      <c r="BF1227" s="857">
        <v>615.37400000000002</v>
      </c>
      <c r="BG1227" s="857">
        <v>534.42899999999997</v>
      </c>
      <c r="BH1227" s="757">
        <f>BI1227</f>
      </c>
      <c r="BI1227" s="963">
        <v>747.41200000000003</v>
      </c>
      <c r="BJ1227" s="857">
        <v>607.34799999999996</v>
      </c>
      <c r="BK1227" s="857">
        <v>598.55700000000002</v>
      </c>
      <c r="BL1227" s="857">
        <v>641.95299999999997</v>
      </c>
      <c r="BM1227" s="757">
        <f>BN1227</f>
      </c>
      <c r="BN1227" s="963">
        <v>899.90899999999999</v>
      </c>
      <c r="BO1227" s="857">
        <v>614.48900000000003</v>
      </c>
      <c r="BP1227" s="857">
        <v>632.71799999999996</v>
      </c>
      <c r="BQ1227" s="857">
        <v>793.23299999999995</v>
      </c>
      <c r="BR1227" s="757">
        <f>BS1227</f>
      </c>
      <c r="BS1227" s="963">
        <v>900.61199999999997</v>
      </c>
      <c r="BT1227" s="864">
        <v>894.68100000000004</v>
      </c>
      <c r="BU1227" s="757">
        <f>(BU$462+BT$462+BR$462+BQ$462)*BU1189</f>
      </c>
      <c r="BV1227" s="757">
        <f>(BV$462+BU$462+BT$462+BR$462)*BV1189</f>
      </c>
      <c r="BW1227" s="757">
        <f>(BW$462+BV$462+BU$462+BT$462)*BW1189</f>
      </c>
      <c r="BX1227" s="962">
        <f>BW1227</f>
      </c>
      <c r="BY1227" s="757">
        <f>(BY$462+BW$462+BV$462+BU$462)*BY1189</f>
      </c>
      <c r="BZ1227" s="757">
        <f>(BZ$462+BY$462+BW$462+BV$462)*BZ1189</f>
      </c>
      <c r="CA1227" s="757">
        <f>(CA$462+BZ$462+BY$462+BW$462)*CA1189</f>
      </c>
      <c r="CB1227" s="757">
        <f>(CB$462+CA$462+BZ$462+BY$462)*CB1189</f>
      </c>
      <c r="CC1227" s="962">
        <f>CB1227</f>
      </c>
      <c r="CD1227" s="962">
        <f>CD462*CD1189</f>
      </c>
      <c r="CE1227" s="962">
        <f>CE462*CE1189</f>
      </c>
      <c r="CF1227" s="962">
        <f>CF462*CF1189</f>
      </c>
      <c r="CG1227" s="459"/>
    </row>
    <row r="1228" spans="1:85" s="587" customFormat="1" x14ac:dyDescent="0.3">
      <c r="A1228" s="208" t="s">
        <v>379</v>
      </c>
      <c r="B1228" s="414"/>
      <c r="C1228" s="962"/>
      <c r="D1228" s="962"/>
      <c r="E1228" s="962"/>
      <c r="F1228" s="962"/>
      <c r="G1228" s="757"/>
      <c r="H1228" s="757"/>
      <c r="I1228" s="757"/>
      <c r="J1228" s="757"/>
      <c r="K1228" s="962"/>
      <c r="L1228" s="757"/>
      <c r="M1228" s="757"/>
      <c r="N1228" s="757"/>
      <c r="O1228" s="757"/>
      <c r="P1228" s="962"/>
      <c r="Q1228" s="757"/>
      <c r="R1228" s="757"/>
      <c r="S1228" s="757"/>
      <c r="T1228" s="757"/>
      <c r="U1228" s="962"/>
      <c r="V1228" s="757"/>
      <c r="W1228" s="757"/>
      <c r="X1228" s="757"/>
      <c r="Y1228" s="757"/>
      <c r="Z1228" s="962"/>
      <c r="AA1228" s="757"/>
      <c r="AB1228" s="757"/>
      <c r="AC1228" s="757"/>
      <c r="AD1228" s="757"/>
      <c r="AE1228" s="962"/>
      <c r="AF1228" s="757"/>
      <c r="AG1228" s="757"/>
      <c r="AH1228" s="757"/>
      <c r="AI1228" s="757"/>
      <c r="AJ1228" s="962"/>
      <c r="AK1228" s="857">
        <v>122.498</v>
      </c>
      <c r="AL1228" s="857">
        <v>137.62200000000001</v>
      </c>
      <c r="AM1228" s="857">
        <v>160.941</v>
      </c>
      <c r="AN1228" s="757">
        <f>AO1228</f>
      </c>
      <c r="AO1228" s="963">
        <v>190.62200000000001</v>
      </c>
      <c r="AP1228" s="857">
        <v>196</v>
      </c>
      <c r="AQ1228" s="857">
        <v>227</v>
      </c>
      <c r="AR1228" s="857">
        <v>237</v>
      </c>
      <c r="AS1228" s="757">
        <f>AT1228</f>
      </c>
      <c r="AT1228" s="963">
        <v>256.22199999999998</v>
      </c>
      <c r="AU1228" s="857">
        <v>268.08699999999999</v>
      </c>
      <c r="AV1228" s="857">
        <v>275.04000000000002</v>
      </c>
      <c r="AW1228" s="857">
        <v>291.12799999999999</v>
      </c>
      <c r="AX1228" s="757">
        <f>AY1228</f>
      </c>
      <c r="AY1228" s="963">
        <v>315.18900000000002</v>
      </c>
      <c r="AZ1228" s="857">
        <v>330.93599999999998</v>
      </c>
      <c r="BA1228" s="857">
        <v>336.92500000000001</v>
      </c>
      <c r="BB1228" s="857">
        <v>334.339</v>
      </c>
      <c r="BC1228" s="757">
        <f>BD1228</f>
      </c>
      <c r="BD1228" s="963">
        <v>355.98500000000001</v>
      </c>
      <c r="BE1228" s="857">
        <v>363.30399999999997</v>
      </c>
      <c r="BF1228" s="857">
        <v>376.84699999999998</v>
      </c>
      <c r="BG1228" s="857">
        <v>377.4</v>
      </c>
      <c r="BH1228" s="757">
        <f>BI1228</f>
      </c>
      <c r="BI1228" s="963">
        <v>383.31200000000001</v>
      </c>
      <c r="BJ1228" s="857">
        <v>397.62799999999999</v>
      </c>
      <c r="BK1228" s="857">
        <v>417.00900000000001</v>
      </c>
      <c r="BL1228" s="857">
        <v>432.661</v>
      </c>
      <c r="BM1228" s="757">
        <f>BN1228</f>
      </c>
      <c r="BN1228" s="963">
        <v>428.48200000000003</v>
      </c>
      <c r="BO1228" s="857">
        <v>437.26799999999997</v>
      </c>
      <c r="BP1228" s="857">
        <v>453.94</v>
      </c>
      <c r="BQ1228" s="857">
        <v>457.39</v>
      </c>
      <c r="BR1228" s="757">
        <f>BS1228</f>
      </c>
      <c r="BS1228" s="963">
        <v>460.47500000000002</v>
      </c>
      <c r="BT1228" s="864">
        <v>433.47800000000001</v>
      </c>
      <c r="BU1228" s="757">
        <f>BU944*BU945</f>
      </c>
      <c r="BV1228" s="757">
        <f>BV944*BV945</f>
      </c>
      <c r="BW1228" s="757">
        <f>BW944*BW945</f>
      </c>
      <c r="BX1228" s="962">
        <f>BW1228</f>
      </c>
      <c r="BY1228" s="757">
        <f>BY944*BY945</f>
      </c>
      <c r="BZ1228" s="757">
        <f>BZ944*BZ945</f>
      </c>
      <c r="CA1228" s="757">
        <f>CA944*CA945</f>
      </c>
      <c r="CB1228" s="757">
        <f>CB944*CB945</f>
      </c>
      <c r="CC1228" s="962">
        <f>CB1228</f>
      </c>
      <c r="CD1228" s="962">
        <f>CD944*CD945</f>
      </c>
      <c r="CE1228" s="962">
        <f>CE944*CE945</f>
      </c>
      <c r="CF1228" s="962">
        <f>CF944*CF945</f>
      </c>
      <c r="CG1228" s="459"/>
    </row>
    <row r="1229" spans="1:85" s="587" customFormat="1" x14ac:dyDescent="0.3">
      <c r="A1229" s="16" t="s">
        <v>380</v>
      </c>
      <c r="B1229" s="414"/>
      <c r="C1229" s="962"/>
      <c r="D1229" s="962"/>
      <c r="E1229" s="962"/>
      <c r="F1229" s="962"/>
      <c r="G1229" s="757"/>
      <c r="H1229" s="757"/>
      <c r="I1229" s="757"/>
      <c r="J1229" s="757"/>
      <c r="K1229" s="962"/>
      <c r="L1229" s="757"/>
      <c r="M1229" s="757"/>
      <c r="N1229" s="757"/>
      <c r="O1229" s="757"/>
      <c r="P1229" s="962"/>
      <c r="Q1229" s="757"/>
      <c r="R1229" s="757"/>
      <c r="S1229" s="757"/>
      <c r="T1229" s="757"/>
      <c r="U1229" s="962"/>
      <c r="V1229" s="757"/>
      <c r="W1229" s="757"/>
      <c r="X1229" s="757"/>
      <c r="Y1229" s="757"/>
      <c r="Z1229" s="962"/>
      <c r="AA1229" s="757"/>
      <c r="AB1229" s="757"/>
      <c r="AC1229" s="757"/>
      <c r="AD1229" s="757"/>
      <c r="AE1229" s="962"/>
      <c r="AF1229" s="757"/>
      <c r="AG1229" s="757"/>
      <c r="AH1229" s="757"/>
      <c r="AI1229" s="757"/>
      <c r="AJ1229" s="962"/>
      <c r="AK1229" s="459">
        <f t="shared" ref="AK1229:BB1229" si="2728">AK1230-AK1228</f>
      </c>
      <c r="AL1229" s="459">
        <f t="shared" si="2728"/>
      </c>
      <c r="AM1229" s="459">
        <f t="shared" si="2728"/>
      </c>
      <c r="AN1229" s="757">
        <f t="shared" si="2728"/>
      </c>
      <c r="AO1229" s="962">
        <f t="shared" si="2728"/>
      </c>
      <c r="AP1229" s="459">
        <f t="shared" si="2728"/>
      </c>
      <c r="AQ1229" s="459">
        <f t="shared" si="2728"/>
      </c>
      <c r="AR1229" s="459">
        <f t="shared" si="2728"/>
      </c>
      <c r="AS1229" s="757">
        <f t="shared" si="2728"/>
      </c>
      <c r="AT1229" s="962">
        <f t="shared" si="2728"/>
      </c>
      <c r="AU1229" s="459">
        <f t="shared" si="2728"/>
      </c>
      <c r="AV1229" s="459">
        <f t="shared" si="2728"/>
      </c>
      <c r="AW1229" s="459">
        <f t="shared" si="2728"/>
      </c>
      <c r="AX1229" s="757">
        <f t="shared" si="2728"/>
      </c>
      <c r="AY1229" s="962">
        <f t="shared" si="2728"/>
      </c>
      <c r="AZ1229" s="757">
        <f t="shared" si="2728"/>
      </c>
      <c r="BA1229" s="757">
        <f t="shared" si="2728"/>
      </c>
      <c r="BB1229" s="757">
        <f t="shared" si="2728"/>
      </c>
      <c r="BC1229" s="757">
        <f t="shared" ref="BC1229:BI1229" si="2729">BC1230-BC1228</f>
      </c>
      <c r="BD1229" s="962">
        <f t="shared" si="2729"/>
      </c>
      <c r="BE1229" s="757">
        <f t="shared" si="2729"/>
      </c>
      <c r="BF1229" s="757">
        <f t="shared" si="2729"/>
      </c>
      <c r="BG1229" s="757">
        <f t="shared" si="2729"/>
      </c>
      <c r="BH1229" s="757">
        <f t="shared" si="2729"/>
      </c>
      <c r="BI1229" s="962">
        <f t="shared" si="2729"/>
      </c>
      <c r="BJ1229" s="757">
        <f t="shared" ref="BJ1229:BO1229" si="2730">BJ1230-BJ1228</f>
      </c>
      <c r="BK1229" s="757">
        <f t="shared" si="2730"/>
      </c>
      <c r="BL1229" s="757">
        <f t="shared" si="2730"/>
      </c>
      <c r="BM1229" s="757">
        <f t="shared" si="2730"/>
      </c>
      <c r="BN1229" s="962">
        <f t="shared" si="2730"/>
      </c>
      <c r="BO1229" s="757">
        <f t="shared" si="2730"/>
      </c>
      <c r="BP1229" s="757">
        <f>BP1230-BP1228</f>
      </c>
      <c r="BQ1229" s="757">
        <f>BQ1230-BQ1228</f>
      </c>
      <c r="BR1229" s="757">
        <f>BR1230-BR1228</f>
      </c>
      <c r="BS1229" s="962">
        <f>BS1230-BS1228</f>
      </c>
      <c r="BT1229" s="758">
        <f>BT1230-BT1228</f>
      </c>
      <c r="BU1229" s="757">
        <f>BT1229+(BU802+BU798)+(BU803+BU489)</f>
      </c>
      <c r="BV1229" s="757">
        <f>BU1229+(BV802+BV798)+(BV803+BV489)</f>
      </c>
      <c r="BW1229" s="757">
        <f>BV1229+(BW802+BW798)+(BW803+BW489)</f>
      </c>
      <c r="BX1229" s="962">
        <f>BW1229</f>
      </c>
      <c r="BY1229" s="757">
        <f>BX1229+(BY802+BY798)+(BY803+BY489)</f>
      </c>
      <c r="BZ1229" s="757">
        <f>BY1229+(BZ802+BZ798)+(BZ803+BZ489)</f>
      </c>
      <c r="CA1229" s="757">
        <f>BZ1229+(CA802+CA798)+(CA803+CA489)</f>
      </c>
      <c r="CB1229" s="757">
        <f>CA1229+(CB802+CB798)+(CB803+CB489)</f>
      </c>
      <c r="CC1229" s="962">
        <f>CB1229</f>
      </c>
      <c r="CD1229" s="962">
        <f>CC1229+(CD802+CD798)+(CD803+CD489)</f>
      </c>
      <c r="CE1229" s="962">
        <f>CD1229+(CE802+CE798)+(CE803+CE489)</f>
      </c>
      <c r="CF1229" s="962">
        <f>CE1229+(CF802+CF798)+(CF803+CF489)</f>
      </c>
      <c r="CG1229" s="459"/>
    </row>
    <row r="1230" spans="1:85" s="587" customFormat="1" x14ac:dyDescent="0.3">
      <c r="A1230" s="158" t="s">
        <v>142</v>
      </c>
      <c r="B1230" s="419"/>
      <c r="C1230" s="1023">
        <v>33.387</v>
      </c>
      <c r="D1230" s="1023">
        <v>36.488999999999997</v>
      </c>
      <c r="E1230" s="1023">
        <v>63.692999999999998</v>
      </c>
      <c r="F1230" s="1023">
        <v>53.139000000000003</v>
      </c>
      <c r="G1230" s="876">
        <v>52.003999999999998</v>
      </c>
      <c r="H1230" s="876">
        <v>59.034999999999997</v>
      </c>
      <c r="I1230" s="876">
        <v>46.433</v>
      </c>
      <c r="J1230" s="876">
        <v>54.018000000000001</v>
      </c>
      <c r="K1230" s="1023">
        <v>54.018000000000001</v>
      </c>
      <c r="L1230" s="876">
        <v>54.857999999999997</v>
      </c>
      <c r="M1230" s="876">
        <v>98.548000000000002</v>
      </c>
      <c r="N1230" s="876">
        <v>70.558999999999997</v>
      </c>
      <c r="O1230" s="876">
        <v>69.745999999999995</v>
      </c>
      <c r="P1230" s="1023">
        <v>69.745999999999995</v>
      </c>
      <c r="Q1230" s="876">
        <v>107.32299999999999</v>
      </c>
      <c r="R1230" s="876">
        <v>150.40600000000001</v>
      </c>
      <c r="S1230" s="876">
        <v>179.35</v>
      </c>
      <c r="T1230" s="876">
        <v>140.38900000000001</v>
      </c>
      <c r="U1230" s="1023">
        <v>140.38900000000001</v>
      </c>
      <c r="V1230" s="876">
        <v>181.63399999999999</v>
      </c>
      <c r="W1230" s="876">
        <v>172.07300000000001</v>
      </c>
      <c r="X1230" s="876">
        <v>201.232</v>
      </c>
      <c r="Y1230" s="804">
        <f>Z1230</f>
      </c>
      <c r="Z1230" s="1023">
        <v>197.63200000000001</v>
      </c>
      <c r="AA1230" s="876">
        <v>296.25799999999998</v>
      </c>
      <c r="AB1230" s="876">
        <v>248.87100000000001</v>
      </c>
      <c r="AC1230" s="876">
        <v>331.72300000000001</v>
      </c>
      <c r="AD1230" s="804">
        <f>AE1230</f>
      </c>
      <c r="AE1230" s="1023">
        <v>315.09399999999999</v>
      </c>
      <c r="AF1230" s="876">
        <v>429.43099999999998</v>
      </c>
      <c r="AG1230" s="876">
        <v>392.59500000000003</v>
      </c>
      <c r="AH1230" s="876">
        <v>527.07899999999995</v>
      </c>
      <c r="AI1230" s="804">
        <f>AJ1230</f>
      </c>
      <c r="AJ1230" s="1023">
        <v>477.41699999999997</v>
      </c>
      <c r="AK1230" s="876">
        <v>746.26800000000003</v>
      </c>
      <c r="AL1230" s="876">
        <v>750.81200000000001</v>
      </c>
      <c r="AM1230" s="876">
        <v>1037.723</v>
      </c>
      <c r="AN1230" s="804">
        <f>AO1230</f>
      </c>
      <c r="AO1230" s="1023">
        <v>843.04300000000001</v>
      </c>
      <c r="AP1230" s="876">
        <v>1061.0899999999999</v>
      </c>
      <c r="AQ1230" s="876">
        <v>986.59500000000003</v>
      </c>
      <c r="AR1230" s="876">
        <v>1259.124</v>
      </c>
      <c r="AS1230" s="804">
        <f>AT1230</f>
      </c>
      <c r="AT1230" s="1023">
        <v>1102.1959999999999</v>
      </c>
      <c r="AU1230" s="876">
        <v>1291.8119999999999</v>
      </c>
      <c r="AV1230" s="876">
        <v>1125.5909999999999</v>
      </c>
      <c r="AW1230" s="876">
        <v>1413.12</v>
      </c>
      <c r="AX1230" s="804">
        <f>AY1230</f>
      </c>
      <c r="AY1230" s="1023">
        <v>1449.3510000000001</v>
      </c>
      <c r="AZ1230" s="876">
        <v>1817.117</v>
      </c>
      <c r="BA1230" s="876">
        <v>1596.0350000000001</v>
      </c>
      <c r="BB1230" s="876">
        <v>1803.5550000000001</v>
      </c>
      <c r="BC1230" s="804">
        <f>BD1230</f>
      </c>
      <c r="BD1230" s="1023">
        <v>1514.65</v>
      </c>
      <c r="BE1230" s="876">
        <v>1718.069</v>
      </c>
      <c r="BF1230" s="876">
        <v>1908.7139999999999</v>
      </c>
      <c r="BG1230" s="876">
        <v>1838.9079999999999</v>
      </c>
      <c r="BH1230" s="804">
        <f>BI1230</f>
      </c>
      <c r="BI1230" s="1023">
        <v>1803.96</v>
      </c>
      <c r="BJ1230" s="876">
        <v>1977.4280000000001</v>
      </c>
      <c r="BK1230" s="876">
        <v>1876.2439999999999</v>
      </c>
      <c r="BL1230" s="876">
        <v>2241.7579999999998</v>
      </c>
      <c r="BM1230" s="804">
        <f>BN1230</f>
      </c>
      <c r="BN1230" s="1023">
        <v>2156.5439999999999</v>
      </c>
      <c r="BO1230" s="876">
        <v>2359.518</v>
      </c>
      <c r="BP1230" s="876">
        <v>2489.4859999999999</v>
      </c>
      <c r="BQ1230" s="876">
        <v>3111.3110000000001</v>
      </c>
      <c r="BR1230" s="804">
        <f>BS1230</f>
      </c>
      <c r="BS1230" s="1023">
        <v>3220.8690000000001</v>
      </c>
      <c r="BT1230" s="909">
        <v>4441.9859999999999</v>
      </c>
      <c r="BU1230" s="804">
        <f>BU1228+BU1229</f>
      </c>
      <c r="BV1230" s="804">
        <f>BV1228+BV1229</f>
      </c>
      <c r="BW1230" s="804">
        <f>BW1228+BW1229</f>
      </c>
      <c r="BX1230" s="1008">
        <f>BW1230</f>
      </c>
      <c r="BY1230" s="804">
        <f>BY1228+BY1229</f>
      </c>
      <c r="BZ1230" s="804">
        <f>BZ1228+BZ1229</f>
      </c>
      <c r="CA1230" s="804">
        <f>CA1228+CA1229</f>
      </c>
      <c r="CB1230" s="804">
        <f>CB1228+CB1229</f>
      </c>
      <c r="CC1230" s="1008">
        <f>CB1230</f>
      </c>
      <c r="CD1230" s="1008">
        <f>CD1228+CD1229</f>
      </c>
      <c r="CE1230" s="1008">
        <f>CE1228+CE1229</f>
      </c>
      <c r="CF1230" s="1008">
        <f>CF1228+CF1229</f>
      </c>
      <c r="CG1230" s="459"/>
    </row>
    <row r="1231" spans="1:85" s="587" customFormat="1" x14ac:dyDescent="0.3">
      <c r="A1231" s="182" t="s">
        <v>201</v>
      </c>
      <c r="B1231" s="414"/>
      <c r="C1231" s="963">
        <v>1.41</v>
      </c>
      <c r="D1231" s="963">
        <v>2.0830000000000002</v>
      </c>
      <c r="E1231" s="963">
        <v>0</v>
      </c>
      <c r="F1231" s="963">
        <v>0</v>
      </c>
      <c r="G1231" s="857">
        <v>0</v>
      </c>
      <c r="H1231" s="857">
        <v>0</v>
      </c>
      <c r="I1231" s="857">
        <v>0</v>
      </c>
      <c r="J1231" s="857">
        <v>0</v>
      </c>
      <c r="K1231" s="963">
        <v>0</v>
      </c>
      <c r="L1231" s="857">
        <v>0</v>
      </c>
      <c r="M1231" s="857">
        <v>0</v>
      </c>
      <c r="N1231" s="857">
        <v>0</v>
      </c>
      <c r="O1231" s="857">
        <v>0</v>
      </c>
      <c r="P1231" s="963">
        <v>0</v>
      </c>
      <c r="Q1231" s="857">
        <v>0</v>
      </c>
      <c r="R1231" s="857">
        <v>0</v>
      </c>
      <c r="S1231" s="857">
        <v>0</v>
      </c>
      <c r="T1231" s="857">
        <v>0</v>
      </c>
      <c r="U1231" s="963">
        <v>0</v>
      </c>
      <c r="V1231" s="757"/>
      <c r="W1231" s="757"/>
      <c r="X1231" s="757"/>
      <c r="Y1231" s="757">
        <f>Z1231</f>
      </c>
      <c r="Z1231" s="962"/>
      <c r="AA1231" s="757"/>
      <c r="AB1231" s="757"/>
      <c r="AC1231" s="757"/>
      <c r="AD1231" s="757">
        <f>AE1231</f>
      </c>
      <c r="AE1231" s="962"/>
      <c r="AF1231" s="757"/>
      <c r="AG1231" s="757"/>
      <c r="AH1231" s="757"/>
      <c r="AI1231" s="757">
        <f>AJ1231</f>
      </c>
      <c r="AJ1231" s="962"/>
      <c r="AK1231" s="757"/>
      <c r="AL1231" s="757"/>
      <c r="AM1231" s="757"/>
      <c r="AN1231" s="757">
        <f>AO1231</f>
      </c>
      <c r="AO1231" s="962"/>
      <c r="AP1231" s="757"/>
      <c r="AQ1231" s="757"/>
      <c r="AR1231" s="757"/>
      <c r="AS1231" s="757">
        <f>AT1231</f>
      </c>
      <c r="AT1231" s="962"/>
      <c r="AU1231" s="757"/>
      <c r="AV1231" s="757"/>
      <c r="AW1231" s="757"/>
      <c r="AX1231" s="757">
        <f>AY1231</f>
      </c>
      <c r="AY1231" s="962"/>
      <c r="AZ1231" s="757"/>
      <c r="BA1231" s="757"/>
      <c r="BB1231" s="757"/>
      <c r="BC1231" s="757">
        <f>BD1231</f>
      </c>
      <c r="BD1231" s="962"/>
      <c r="BE1231" s="757"/>
      <c r="BF1231" s="757"/>
      <c r="BG1231" s="757"/>
      <c r="BH1231" s="757">
        <f>BI1231</f>
      </c>
      <c r="BI1231" s="962"/>
      <c r="BJ1231" s="757"/>
      <c r="BK1231" s="757"/>
      <c r="BL1231" s="757"/>
      <c r="BM1231" s="757">
        <f>BN1231</f>
      </c>
      <c r="BN1231" s="962"/>
      <c r="BO1231" s="757"/>
      <c r="BP1231" s="757"/>
      <c r="BQ1231" s="757"/>
      <c r="BR1231" s="757">
        <f>BS1231</f>
      </c>
      <c r="BS1231" s="962"/>
      <c r="BT1231" s="758"/>
      <c r="BU1231" s="757"/>
      <c r="BV1231" s="757"/>
      <c r="BW1231" s="757"/>
      <c r="BX1231" s="962"/>
      <c r="BY1231" s="757"/>
      <c r="BZ1231" s="757"/>
      <c r="CA1231" s="757"/>
      <c r="CB1231" s="757"/>
      <c r="CC1231" s="962"/>
      <c r="CD1231" s="962"/>
      <c r="CE1231" s="962"/>
      <c r="CF1231" s="962"/>
      <c r="CG1231" s="459"/>
    </row>
    <row r="1232" spans="1:85" s="587" customFormat="1" x14ac:dyDescent="0.3">
      <c r="A1232" s="182" t="s">
        <v>450</v>
      </c>
      <c r="B1232" s="414"/>
      <c r="C1232" s="962"/>
      <c r="D1232" s="962"/>
      <c r="E1232" s="962"/>
      <c r="F1232" s="962"/>
      <c r="G1232" s="757"/>
      <c r="H1232" s="757"/>
      <c r="I1232" s="757"/>
      <c r="J1232" s="757"/>
      <c r="K1232" s="962"/>
      <c r="L1232" s="757"/>
      <c r="M1232" s="757"/>
      <c r="N1232" s="757"/>
      <c r="O1232" s="757"/>
      <c r="P1232" s="962"/>
      <c r="Q1232" s="757"/>
      <c r="R1232" s="757"/>
      <c r="S1232" s="757"/>
      <c r="T1232" s="757"/>
      <c r="U1232" s="962"/>
      <c r="V1232" s="757"/>
      <c r="W1232" s="757"/>
      <c r="X1232" s="757"/>
      <c r="Y1232" s="757"/>
      <c r="Z1232" s="962"/>
      <c r="AA1232" s="757"/>
      <c r="AB1232" s="757"/>
      <c r="AC1232" s="757"/>
      <c r="AD1232" s="757"/>
      <c r="AE1232" s="962"/>
      <c r="AF1232" s="757"/>
      <c r="AG1232" s="757"/>
      <c r="AH1232" s="757"/>
      <c r="AI1232" s="757"/>
      <c r="AJ1232" s="962"/>
      <c r="AK1232" s="757"/>
      <c r="AL1232" s="757"/>
      <c r="AM1232" s="757"/>
      <c r="AN1232" s="757"/>
      <c r="AO1232" s="962"/>
      <c r="AP1232" s="857">
        <v>498.80900000000003</v>
      </c>
      <c r="AQ1232" s="857">
        <v>499.161</v>
      </c>
      <c r="AR1232" s="857">
        <v>499.517</v>
      </c>
      <c r="AS1232" s="757">
        <f>AT1232</f>
      </c>
      <c r="AT1232" s="963">
        <v>499.87799999999999</v>
      </c>
      <c r="AU1232" s="857">
        <v>698.78800000000001</v>
      </c>
      <c r="AV1232" s="857">
        <v>699.12800000000004</v>
      </c>
      <c r="AW1232" s="857">
        <v>699.47299999999996</v>
      </c>
      <c r="AX1232" s="757">
        <f>AY1232</f>
      </c>
      <c r="AY1232" s="963">
        <v>699.82299999999998</v>
      </c>
      <c r="AZ1232" s="757"/>
      <c r="BA1232" s="757"/>
      <c r="BB1232" s="757"/>
      <c r="BC1232" s="757">
        <f>BD1232</f>
      </c>
      <c r="BD1232" s="963">
        <v>0</v>
      </c>
      <c r="BE1232" s="857">
        <v>399.16300000000001</v>
      </c>
      <c r="BF1232" s="857">
        <v>399.387</v>
      </c>
      <c r="BG1232" s="857">
        <v>399.61399999999998</v>
      </c>
      <c r="BH1232" s="757">
        <f>BI1232</f>
      </c>
      <c r="BI1232" s="963">
        <v>399.84399999999999</v>
      </c>
      <c r="BJ1232" s="857">
        <v>798.93600000000004</v>
      </c>
      <c r="BK1232" s="857">
        <v>1800.0409999999999</v>
      </c>
      <c r="BL1232" s="857">
        <v>1820.396</v>
      </c>
      <c r="BM1232" s="757">
        <f>BN1232</f>
      </c>
      <c r="BN1232" s="963">
        <v>1784.453</v>
      </c>
      <c r="BO1232" s="857">
        <v>1005.881</v>
      </c>
      <c r="BP1232" s="857">
        <v>0</v>
      </c>
      <c r="BQ1232" s="857">
        <v>0</v>
      </c>
      <c r="BR1232" s="757">
        <f>BS1232</f>
      </c>
      <c r="BS1232" s="963">
        <v>998.86500000000001</v>
      </c>
      <c r="BT1232" s="864">
        <v>999.18499999999995</v>
      </c>
      <c r="BU1232" s="757">
        <f>BU751</f>
      </c>
      <c r="BV1232" s="757">
        <f>BV751</f>
      </c>
      <c r="BW1232" s="757">
        <f>BW751</f>
      </c>
      <c r="BX1232" s="962">
        <f>BW1232</f>
      </c>
      <c r="BY1232" s="757">
        <f>BY751</f>
      </c>
      <c r="BZ1232" s="757">
        <f>BZ751</f>
      </c>
      <c r="CA1232" s="757">
        <f>CA751</f>
      </c>
      <c r="CB1232" s="757">
        <f>CB751</f>
      </c>
      <c r="CC1232" s="962">
        <f>CB1232</f>
      </c>
      <c r="CD1232" s="962">
        <f>CD751</f>
      </c>
      <c r="CE1232" s="962">
        <f>CE751</f>
      </c>
      <c r="CF1232" s="962">
        <f>CF751</f>
      </c>
      <c r="CG1232" s="459"/>
    </row>
    <row r="1233" spans="1:85" s="587" customFormat="1" x14ac:dyDescent="0.3">
      <c r="A1233" s="30" t="s">
        <v>143</v>
      </c>
      <c r="B1233" s="416"/>
      <c r="C1233" s="989">
        <v>100.09699999999999</v>
      </c>
      <c r="D1233" s="989">
        <v>127.18300000000001</v>
      </c>
      <c r="E1233" s="989">
        <v>148.79599999999999</v>
      </c>
      <c r="F1233" s="989">
        <v>169.47200000000001</v>
      </c>
      <c r="G1233" s="863">
        <v>178.87799999999999</v>
      </c>
      <c r="H1233" s="863">
        <v>186.571</v>
      </c>
      <c r="I1233" s="863">
        <v>195.82300000000001</v>
      </c>
      <c r="J1233" s="863">
        <v>215.767</v>
      </c>
      <c r="K1233" s="989">
        <v>215.767</v>
      </c>
      <c r="L1233" s="863">
        <v>230.01499999999999</v>
      </c>
      <c r="M1233" s="863">
        <v>241.33</v>
      </c>
      <c r="N1233" s="863">
        <v>252.95599999999999</v>
      </c>
      <c r="O1233" s="863">
        <v>274.58600000000001</v>
      </c>
      <c r="P1233" s="989">
        <v>274.58600000000001</v>
      </c>
      <c r="Q1233" s="863">
        <v>285.33999999999997</v>
      </c>
      <c r="R1233" s="863">
        <v>301.75400000000002</v>
      </c>
      <c r="S1233" s="863">
        <v>329.73899999999998</v>
      </c>
      <c r="T1233" s="863">
        <v>346.721</v>
      </c>
      <c r="U1233" s="989">
        <v>346.721</v>
      </c>
      <c r="V1233" s="863">
        <v>374.22300000000001</v>
      </c>
      <c r="W1233" s="863">
        <v>396.976</v>
      </c>
      <c r="X1233" s="863">
        <v>427.20600000000002</v>
      </c>
      <c r="Y1233" s="761">
        <f>Z1233</f>
      </c>
      <c r="Z1233" s="989">
        <v>443.47199999999998</v>
      </c>
      <c r="AA1233" s="863">
        <v>458.69299999999998</v>
      </c>
      <c r="AB1233" s="863">
        <v>505.30200000000002</v>
      </c>
      <c r="AC1233" s="863">
        <v>535.42499999999995</v>
      </c>
      <c r="AD1233" s="761">
        <f>AE1233</f>
      </c>
      <c r="AE1233" s="989">
        <v>618.62199999999996</v>
      </c>
      <c r="AF1233" s="863">
        <v>673.89200000000005</v>
      </c>
      <c r="AG1233" s="863">
        <v>697.74</v>
      </c>
      <c r="AH1233" s="863">
        <v>716.72299999999996</v>
      </c>
      <c r="AI1233" s="761">
        <f>AJ1233</f>
      </c>
      <c r="AJ1233" s="989">
        <v>760.899</v>
      </c>
      <c r="AK1233" s="863">
        <v>808.69200000000001</v>
      </c>
      <c r="AL1233" s="863">
        <v>892.77700000000004</v>
      </c>
      <c r="AM1233" s="863">
        <v>915.50599999999997</v>
      </c>
      <c r="AN1233" s="761">
        <f>AO1233</f>
      </c>
      <c r="AO1233" s="989">
        <v>924.745</v>
      </c>
      <c r="AP1233" s="863">
        <v>986.75300000000004</v>
      </c>
      <c r="AQ1233" s="863">
        <v>1029.261</v>
      </c>
      <c r="AR1233" s="863">
        <v>1040.202</v>
      </c>
      <c r="AS1233" s="761">
        <f>AT1233</f>
      </c>
      <c r="AT1233" s="989">
        <v>1117.992</v>
      </c>
      <c r="AU1233" s="863">
        <v>1140.271</v>
      </c>
      <c r="AV1233" s="863">
        <v>1187.364</v>
      </c>
      <c r="AW1233" s="863">
        <v>1182.6320000000001</v>
      </c>
      <c r="AX1233" s="761">
        <f>AY1233</f>
      </c>
      <c r="AY1233" s="989">
        <v>1209.3420000000001</v>
      </c>
      <c r="AZ1233" s="863">
        <v>1239.048</v>
      </c>
      <c r="BA1233" s="863">
        <v>1224.7429999999999</v>
      </c>
      <c r="BB1233" s="863">
        <v>1176.3230000000001</v>
      </c>
      <c r="BC1233" s="761">
        <f>BD1233</f>
      </c>
      <c r="BD1233" s="989">
        <v>1264.6610000000001</v>
      </c>
      <c r="BE1233" s="863">
        <v>1262.271</v>
      </c>
      <c r="BF1233" s="863">
        <v>1311.9179999999999</v>
      </c>
      <c r="BG1233" s="863">
        <v>1306.1849999999999</v>
      </c>
      <c r="BH1233" s="761">
        <f>BI1233</f>
      </c>
      <c r="BI1233" s="989">
        <v>1442.9690000000001</v>
      </c>
      <c r="BJ1233" s="863">
        <v>1469.4839999999999</v>
      </c>
      <c r="BK1233" s="863">
        <v>1473.72</v>
      </c>
      <c r="BL1233" s="863">
        <v>1513.048</v>
      </c>
      <c r="BM1233" s="761">
        <f>BN1233</f>
      </c>
      <c r="BN1233" s="989">
        <v>1520.8130000000001</v>
      </c>
      <c r="BO1233" s="863">
        <v>1609.7260000000001</v>
      </c>
      <c r="BP1233" s="863">
        <v>1728.3610000000001</v>
      </c>
      <c r="BQ1233" s="863">
        <v>1724.675</v>
      </c>
      <c r="BR1233" s="761">
        <f>BS1233</f>
      </c>
      <c r="BS1233" s="989">
        <v>1775.73</v>
      </c>
      <c r="BT1233" s="873">
        <v>1743.4480000000001</v>
      </c>
      <c r="BU1233" s="761">
        <f>(BU$462+BT$462+BR$462+BQ$462)*BU1190</f>
      </c>
      <c r="BV1233" s="761">
        <f>(BV$462+BU$462+BT$462+BR$462)*BV1190</f>
      </c>
      <c r="BW1233" s="761">
        <f>(BW$462+BV$462+BU$462+BT$462)*BW1190</f>
      </c>
      <c r="BX1233" s="984">
        <f>BW1233</f>
      </c>
      <c r="BY1233" s="761">
        <f>(BY$462+BW$462+BV$462+BU$462)*BY1190</f>
      </c>
      <c r="BZ1233" s="761">
        <f>(BZ$462+BY$462+BW$462+BV$462)*BZ1190</f>
      </c>
      <c r="CA1233" s="761">
        <f>(CA$462+BZ$462+BY$462+BW$462)*CA1190</f>
      </c>
      <c r="CB1233" s="761">
        <f>(CB$462+CA$462+BZ$462+BY$462)*CB1190</f>
      </c>
      <c r="CC1233" s="984">
        <f>CB1233</f>
      </c>
      <c r="CD1233" s="984">
        <f>CD462*CD1190</f>
      </c>
      <c r="CE1233" s="984">
        <f>CE462*CE1190</f>
      </c>
      <c r="CF1233" s="984">
        <f>CF462*CF1190</f>
      </c>
      <c r="CG1233" s="459"/>
    </row>
    <row r="1234" spans="1:85" s="587" customFormat="1" x14ac:dyDescent="0.3">
      <c r="A1234" s="2" t="s">
        <v>202</v>
      </c>
      <c r="B1234" s="422"/>
      <c r="C1234" s="986">
        <f t="shared" ref="C1234:AJ1234" si="2731">SUM(C1226:C1233)</f>
      </c>
      <c r="D1234" s="986">
        <f t="shared" si="2731"/>
      </c>
      <c r="E1234" s="986">
        <f t="shared" si="2731"/>
      </c>
      <c r="F1234" s="986">
        <f t="shared" si="2731"/>
      </c>
      <c r="G1234" s="792">
        <f t="shared" si="2731"/>
      </c>
      <c r="H1234" s="792">
        <f t="shared" si="2731"/>
      </c>
      <c r="I1234" s="792">
        <f t="shared" si="2731"/>
      </c>
      <c r="J1234" s="792">
        <f t="shared" si="2731"/>
      </c>
      <c r="K1234" s="986">
        <f t="shared" si="2731"/>
      </c>
      <c r="L1234" s="792">
        <f t="shared" si="2731"/>
      </c>
      <c r="M1234" s="792">
        <f t="shared" si="2731"/>
      </c>
      <c r="N1234" s="792">
        <f t="shared" si="2731"/>
      </c>
      <c r="O1234" s="792">
        <f t="shared" si="2731"/>
      </c>
      <c r="P1234" s="986">
        <f t="shared" si="2731"/>
      </c>
      <c r="Q1234" s="792">
        <f t="shared" si="2731"/>
      </c>
      <c r="R1234" s="792">
        <f t="shared" si="2731"/>
      </c>
      <c r="S1234" s="792">
        <f t="shared" si="2731"/>
      </c>
      <c r="T1234" s="792">
        <f t="shared" si="2731"/>
      </c>
      <c r="U1234" s="986">
        <f t="shared" si="2731"/>
      </c>
      <c r="V1234" s="792">
        <f t="shared" si="2731"/>
      </c>
      <c r="W1234" s="792">
        <f t="shared" si="2731"/>
      </c>
      <c r="X1234" s="792">
        <f t="shared" si="2731"/>
      </c>
      <c r="Y1234" s="791">
        <f t="shared" si="2731"/>
      </c>
      <c r="Z1234" s="965">
        <f t="shared" si="2731"/>
      </c>
      <c r="AA1234" s="792">
        <f t="shared" si="2731"/>
      </c>
      <c r="AB1234" s="792">
        <f t="shared" si="2731"/>
      </c>
      <c r="AC1234" s="792">
        <f t="shared" si="2731"/>
      </c>
      <c r="AD1234" s="791">
        <f t="shared" si="2731"/>
      </c>
      <c r="AE1234" s="965">
        <f t="shared" si="2731"/>
      </c>
      <c r="AF1234" s="792">
        <f t="shared" si="2731"/>
      </c>
      <c r="AG1234" s="792">
        <f t="shared" si="2731"/>
      </c>
      <c r="AH1234" s="792">
        <f t="shared" si="2731"/>
      </c>
      <c r="AI1234" s="791">
        <f t="shared" si="2731"/>
      </c>
      <c r="AJ1234" s="965">
        <f t="shared" si="2731"/>
      </c>
      <c r="AK1234" s="792">
        <f t="shared" ref="AK1234:AQ1234" si="2732">SUM(AK1226:AK1227)+SUM(AK1230:AK1233)</f>
      </c>
      <c r="AL1234" s="792">
        <f t="shared" si="2732"/>
      </c>
      <c r="AM1234" s="792">
        <f t="shared" si="2732"/>
      </c>
      <c r="AN1234" s="791">
        <f t="shared" si="2732"/>
      </c>
      <c r="AO1234" s="965">
        <f t="shared" si="2732"/>
      </c>
      <c r="AP1234" s="792">
        <f t="shared" si="2732"/>
      </c>
      <c r="AQ1234" s="792">
        <f t="shared" si="2732"/>
      </c>
      <c r="AR1234" s="792">
        <f>SUM(AR1226:AR1227)+SUM(AR1230:AR1233)</f>
      </c>
      <c r="AS1234" s="791">
        <f>SUM(AS1226:AS1227)+SUM(AS1230:AS1233)</f>
      </c>
      <c r="AT1234" s="965">
        <f>SUM(AT1226:AT1227)+SUM(AT1230:AT1233)</f>
      </c>
      <c r="AU1234" s="792">
        <f t="shared" ref="AU1234" si="2733">SUM(AU1226:AU1227)+SUM(AU1230:AU1233)</f>
      </c>
      <c r="AV1234" s="792">
        <f>SUM(AV1226:AV1227)+SUM(AV1230:AV1233)</f>
      </c>
      <c r="AW1234" s="792">
        <f>SUM(AW1226:AW1227)+SUM(AW1230:AW1233)</f>
      </c>
      <c r="AX1234" s="791">
        <f>SUM(AX1226:AX1227)+SUM(AX1230:AX1233)</f>
      </c>
      <c r="AY1234" s="965">
        <f>SUM(AY1226:AY1227)+SUM(AY1230:AY1233)</f>
      </c>
      <c r="AZ1234" s="792">
        <f>SUM(AZ1226:AZ1227)+SUM(AZ1230:AZ1233)</f>
      </c>
      <c r="BA1234" s="791">
        <f t="shared" ref="BA1234" si="2734">SUM(BA1226:BA1227)+SUM(BA1230:BA1233)</f>
      </c>
      <c r="BB1234" s="792">
        <f t="shared" ref="BB1234:BD1234" si="2735">SUM(BB1226:BB1227)+SUM(BB1230:BB1233)</f>
      </c>
      <c r="BC1234" s="791">
        <f t="shared" si="2735"/>
      </c>
      <c r="BD1234" s="965">
        <f t="shared" si="2735"/>
      </c>
      <c r="BE1234" s="792">
        <f t="shared" ref="BE1234:BI1234" si="2736">SUM(BE1226:BE1227)+SUM(BE1230:BE1233)</f>
      </c>
      <c r="BF1234" s="791">
        <f t="shared" si="2736"/>
      </c>
      <c r="BG1234" s="792">
        <f t="shared" si="2736"/>
      </c>
      <c r="BH1234" s="791">
        <f t="shared" si="2736"/>
      </c>
      <c r="BI1234" s="965">
        <f t="shared" si="2736"/>
      </c>
      <c r="BJ1234" s="792">
        <f t="shared" ref="BJ1234:BX1234" si="2737">SUM(BJ1226:BJ1227)+SUM(BJ1230:BJ1233)</f>
      </c>
      <c r="BK1234" s="791">
        <f t="shared" si="2737"/>
      </c>
      <c r="BL1234" s="792">
        <f t="shared" si="2737"/>
      </c>
      <c r="BM1234" s="791">
        <f t="shared" si="2737"/>
      </c>
      <c r="BN1234" s="965">
        <f t="shared" si="2737"/>
      </c>
      <c r="BO1234" s="792">
        <f t="shared" ref="BO1234:BW1234" si="2738">SUM(BO1226:BO1227)+SUM(BO1230:BO1233)</f>
      </c>
      <c r="BP1234" s="791">
        <f t="shared" si="2738"/>
      </c>
      <c r="BQ1234" s="792">
        <f t="shared" si="2738"/>
      </c>
      <c r="BR1234" s="791">
        <f t="shared" si="2738"/>
      </c>
      <c r="BS1234" s="965">
        <f t="shared" si="2738"/>
      </c>
      <c r="BT1234" s="793">
        <f>SUM(BT1226:BT1227)+SUM(BT1230:BT1233)</f>
      </c>
      <c r="BU1234" s="791">
        <f t="shared" si="2738"/>
      </c>
      <c r="BV1234" s="791">
        <f t="shared" si="2738"/>
      </c>
      <c r="BW1234" s="791">
        <f t="shared" si="2738"/>
      </c>
      <c r="BX1234" s="965">
        <f t="shared" si="2737"/>
      </c>
      <c r="BY1234" s="791">
        <f t="shared" ref="BY1234:CF1234" si="2739">SUM(BY1226:BY1227)+SUM(BY1230:BY1233)</f>
      </c>
      <c r="BZ1234" s="791">
        <f t="shared" si="2739"/>
      </c>
      <c r="CA1234" s="791">
        <f t="shared" si="2739"/>
      </c>
      <c r="CB1234" s="791">
        <f t="shared" si="2739"/>
      </c>
      <c r="CC1234" s="965">
        <f t="shared" si="2739"/>
      </c>
      <c r="CD1234" s="965">
        <f t="shared" si="2739"/>
      </c>
      <c r="CE1234" s="965">
        <f t="shared" si="2739"/>
      </c>
      <c r="CF1234" s="965">
        <f t="shared" si="2739"/>
      </c>
      <c r="CG1234" s="183"/>
    </row>
    <row r="1235" spans="1:85" s="587" customFormat="1" x14ac:dyDescent="0.3">
      <c r="A1235" s="429"/>
      <c r="B1235" s="428"/>
      <c r="C1235" s="969"/>
      <c r="D1235" s="969"/>
      <c r="E1235" s="969"/>
      <c r="F1235" s="969"/>
      <c r="G1235" s="759"/>
      <c r="H1235" s="759"/>
      <c r="I1235" s="759"/>
      <c r="J1235" s="759"/>
      <c r="K1235" s="969"/>
      <c r="L1235" s="759"/>
      <c r="M1235" s="759"/>
      <c r="N1235" s="759"/>
      <c r="O1235" s="759"/>
      <c r="P1235" s="969"/>
      <c r="Q1235" s="759"/>
      <c r="R1235" s="759"/>
      <c r="S1235" s="759"/>
      <c r="T1235" s="759"/>
      <c r="U1235" s="969"/>
      <c r="V1235" s="759"/>
      <c r="W1235" s="759"/>
      <c r="X1235" s="759"/>
      <c r="Y1235" s="759"/>
      <c r="Z1235" s="969"/>
      <c r="AA1235" s="759"/>
      <c r="AB1235" s="759"/>
      <c r="AC1235" s="759"/>
      <c r="AD1235" s="759"/>
      <c r="AE1235" s="969"/>
      <c r="AF1235" s="759"/>
      <c r="AG1235" s="759"/>
      <c r="AH1235" s="759"/>
      <c r="AI1235" s="759"/>
      <c r="AJ1235" s="969"/>
      <c r="AK1235" s="759"/>
      <c r="AL1235" s="759"/>
      <c r="AM1235" s="759"/>
      <c r="AN1235" s="759"/>
      <c r="AO1235" s="969"/>
      <c r="AP1235" s="759"/>
      <c r="AQ1235" s="759"/>
      <c r="AR1235" s="759"/>
      <c r="AS1235" s="759"/>
      <c r="AT1235" s="969"/>
      <c r="AU1235" s="759"/>
      <c r="AV1235" s="759"/>
      <c r="AW1235" s="759"/>
      <c r="AX1235" s="759"/>
      <c r="AY1235" s="969"/>
      <c r="AZ1235" s="759"/>
      <c r="BA1235" s="759"/>
      <c r="BB1235" s="759"/>
      <c r="BC1235" s="759"/>
      <c r="BD1235" s="969"/>
      <c r="BE1235" s="759"/>
      <c r="BF1235" s="759"/>
      <c r="BG1235" s="759"/>
      <c r="BH1235" s="759"/>
      <c r="BI1235" s="969"/>
      <c r="BJ1235" s="759"/>
      <c r="BK1235" s="759"/>
      <c r="BL1235" s="759"/>
      <c r="BM1235" s="759"/>
      <c r="BN1235" s="969"/>
      <c r="BO1235" s="759"/>
      <c r="BP1235" s="759"/>
      <c r="BQ1235" s="759"/>
      <c r="BR1235" s="759"/>
      <c r="BS1235" s="969"/>
      <c r="BT1235" s="760"/>
      <c r="BU1235" s="759"/>
      <c r="BV1235" s="759"/>
      <c r="BW1235" s="759"/>
      <c r="BX1235" s="969"/>
      <c r="BY1235" s="759"/>
      <c r="BZ1235" s="759"/>
      <c r="CA1235" s="759"/>
      <c r="CB1235" s="759"/>
      <c r="CC1235" s="969"/>
      <c r="CD1235" s="969"/>
      <c r="CE1235" s="969"/>
      <c r="CF1235" s="969"/>
      <c r="CG1235" s="183"/>
    </row>
    <row r="1236" spans="1:85" s="587" customFormat="1" x14ac:dyDescent="0.3">
      <c r="A1236" s="13" t="s">
        <v>203</v>
      </c>
      <c r="B1236" s="428"/>
      <c r="C1236" s="969"/>
      <c r="D1236" s="969"/>
      <c r="E1236" s="969"/>
      <c r="F1236" s="969"/>
      <c r="G1236" s="759"/>
      <c r="H1236" s="759"/>
      <c r="I1236" s="759"/>
      <c r="J1236" s="759"/>
      <c r="K1236" s="969"/>
      <c r="L1236" s="759"/>
      <c r="M1236" s="759"/>
      <c r="N1236" s="759"/>
      <c r="O1236" s="759"/>
      <c r="P1236" s="969"/>
      <c r="Q1236" s="759"/>
      <c r="R1236" s="759"/>
      <c r="S1236" s="759"/>
      <c r="T1236" s="759"/>
      <c r="U1236" s="969"/>
      <c r="V1236" s="759"/>
      <c r="W1236" s="759"/>
      <c r="X1236" s="759"/>
      <c r="Y1236" s="759"/>
      <c r="Z1236" s="969"/>
      <c r="AA1236" s="759"/>
      <c r="AB1236" s="759"/>
      <c r="AC1236" s="759"/>
      <c r="AD1236" s="759"/>
      <c r="AE1236" s="969"/>
      <c r="AF1236" s="759"/>
      <c r="AG1236" s="759"/>
      <c r="AH1236" s="759"/>
      <c r="AI1236" s="759"/>
      <c r="AJ1236" s="969"/>
      <c r="AK1236" s="759"/>
      <c r="AL1236" s="759"/>
      <c r="AM1236" s="759"/>
      <c r="AN1236" s="759"/>
      <c r="AO1236" s="969"/>
      <c r="AP1236" s="759"/>
      <c r="AQ1236" s="759"/>
      <c r="AR1236" s="759"/>
      <c r="AS1236" s="759"/>
      <c r="AT1236" s="969"/>
      <c r="AU1236" s="759"/>
      <c r="AV1236" s="759"/>
      <c r="AW1236" s="759"/>
      <c r="AX1236" s="759"/>
      <c r="AY1236" s="969"/>
      <c r="AZ1236" s="759"/>
      <c r="BA1236" s="759"/>
      <c r="BB1236" s="759"/>
      <c r="BC1236" s="759"/>
      <c r="BD1236" s="969"/>
      <c r="BE1236" s="759"/>
      <c r="BF1236" s="759"/>
      <c r="BG1236" s="759"/>
      <c r="BH1236" s="759"/>
      <c r="BI1236" s="969"/>
      <c r="BJ1236" s="759"/>
      <c r="BK1236" s="759"/>
      <c r="BL1236" s="759"/>
      <c r="BM1236" s="759"/>
      <c r="BN1236" s="969"/>
      <c r="BO1236" s="759"/>
      <c r="BP1236" s="759"/>
      <c r="BQ1236" s="759"/>
      <c r="BR1236" s="759"/>
      <c r="BS1236" s="969"/>
      <c r="BT1236" s="760"/>
      <c r="BU1236" s="759"/>
      <c r="BV1236" s="759"/>
      <c r="BW1236" s="759"/>
      <c r="BX1236" s="969"/>
      <c r="BY1236" s="759"/>
      <c r="BZ1236" s="759"/>
      <c r="CA1236" s="759"/>
      <c r="CB1236" s="759"/>
      <c r="CC1236" s="969"/>
      <c r="CD1236" s="969"/>
      <c r="CE1236" s="969"/>
      <c r="CF1236" s="969"/>
      <c r="CG1236" s="183"/>
    </row>
    <row r="1237" spans="1:85" s="587" customFormat="1" x14ac:dyDescent="0.3">
      <c r="A1237" s="182" t="s">
        <v>204</v>
      </c>
      <c r="B1237" s="414"/>
      <c r="C1237" s="963">
        <v>0</v>
      </c>
      <c r="D1237" s="962"/>
      <c r="E1237" s="963">
        <v>739.62800000000004</v>
      </c>
      <c r="F1237" s="963">
        <v>1076.6220000000001</v>
      </c>
      <c r="G1237" s="857">
        <v>1083.4269999999999</v>
      </c>
      <c r="H1237" s="857">
        <v>1124.249</v>
      </c>
      <c r="I1237" s="857">
        <v>1179.0550000000001</v>
      </c>
      <c r="J1237" s="857">
        <v>1345.59</v>
      </c>
      <c r="K1237" s="963">
        <v>1345.59</v>
      </c>
      <c r="L1237" s="857">
        <v>1321.8789999999999</v>
      </c>
      <c r="M1237" s="857">
        <v>1390.77</v>
      </c>
      <c r="N1237" s="857">
        <v>1510.403</v>
      </c>
      <c r="O1237" s="857">
        <v>1575.8320000000001</v>
      </c>
      <c r="P1237" s="963">
        <v>1575.8320000000001</v>
      </c>
      <c r="Q1237" s="857">
        <v>1861.7909999999999</v>
      </c>
      <c r="R1237" s="857">
        <v>1942.624</v>
      </c>
      <c r="S1237" s="857">
        <v>1966.854</v>
      </c>
      <c r="T1237" s="857">
        <v>2026.36</v>
      </c>
      <c r="U1237" s="963">
        <v>2026.36</v>
      </c>
      <c r="V1237" s="857">
        <v>2586.098</v>
      </c>
      <c r="W1237" s="857">
        <v>2698.52</v>
      </c>
      <c r="X1237" s="857">
        <v>2975.1889999999999</v>
      </c>
      <c r="Y1237" s="757">
        <f>Z1237</f>
      </c>
      <c r="Z1237" s="963">
        <v>2894.654</v>
      </c>
      <c r="AA1237" s="857">
        <v>3035.43</v>
      </c>
      <c r="AB1237" s="857">
        <v>3356.09</v>
      </c>
      <c r="AC1237" s="857">
        <v>3296.5039999999999</v>
      </c>
      <c r="AD1237" s="757">
        <f>AE1237</f>
      </c>
      <c r="AE1237" s="963">
        <v>3329.7959999999998</v>
      </c>
      <c r="AF1237" s="857">
        <v>3444.4760000000001</v>
      </c>
      <c r="AG1237" s="857">
        <v>3604.1579999999999</v>
      </c>
      <c r="AH1237" s="857">
        <v>3593.8229999999999</v>
      </c>
      <c r="AI1237" s="757">
        <f>AJ1237</f>
      </c>
      <c r="AJ1237" s="963">
        <v>3759.0259999999998</v>
      </c>
      <c r="AK1237" s="857">
        <v>3560.364</v>
      </c>
      <c r="AL1237" s="857">
        <v>3564.44</v>
      </c>
      <c r="AM1237" s="857">
        <v>3419.5520000000001</v>
      </c>
      <c r="AN1237" s="757">
        <f>AO1237</f>
      </c>
      <c r="AO1237" s="963">
        <v>3334.3229999999999</v>
      </c>
      <c r="AP1237" s="857">
        <v>3206.0509999999999</v>
      </c>
      <c r="AQ1237" s="857">
        <v>3208.1640000000002</v>
      </c>
      <c r="AR1237" s="857">
        <v>2926.5740000000001</v>
      </c>
      <c r="AS1237" s="757">
        <f>AT1237</f>
      </c>
      <c r="AT1237" s="963">
        <v>2618.0839999999998</v>
      </c>
      <c r="AU1237" s="857">
        <v>2465.6260000000002</v>
      </c>
      <c r="AV1237" s="857">
        <v>2265.2860000000001</v>
      </c>
      <c r="AW1237" s="857">
        <v>2301.0259999999998</v>
      </c>
      <c r="AX1237" s="757">
        <f>AY1237</f>
      </c>
      <c r="AY1237" s="963">
        <v>3094.2130000000002</v>
      </c>
      <c r="AZ1237" s="857">
        <v>2945.221</v>
      </c>
      <c r="BA1237" s="857">
        <v>2989.9609999999998</v>
      </c>
      <c r="BB1237" s="857">
        <v>2955.3679999999999</v>
      </c>
      <c r="BC1237" s="757">
        <f>BD1237</f>
      </c>
      <c r="BD1237" s="963">
        <v>3081.277</v>
      </c>
      <c r="BE1237" s="857">
        <v>2908.029</v>
      </c>
      <c r="BF1237" s="857">
        <v>2849.3870000000002</v>
      </c>
      <c r="BG1237" s="857">
        <v>2668.4720000000002</v>
      </c>
      <c r="BH1237" s="757">
        <f>BI1237</f>
      </c>
      <c r="BI1237" s="963">
        <v>2578.1729999999998</v>
      </c>
      <c r="BJ1237" s="857">
        <v>2370.692</v>
      </c>
      <c r="BK1237" s="857">
        <v>2028.7819999999999</v>
      </c>
      <c r="BL1237" s="857">
        <v>1918.0889999999999</v>
      </c>
      <c r="BM1237" s="757">
        <f>BN1237</f>
      </c>
      <c r="BN1237" s="963">
        <v>1780.806</v>
      </c>
      <c r="BO1237" s="857">
        <v>1696.662</v>
      </c>
      <c r="BP1237" s="857">
        <v>1606.404</v>
      </c>
      <c r="BQ1237" s="857">
        <v>1591.973</v>
      </c>
      <c r="BR1237" s="757">
        <f>BS1237</f>
      </c>
      <c r="BS1237" s="963">
        <v>1579.4760000000001</v>
      </c>
      <c r="BT1237" s="864">
        <v>1626.498</v>
      </c>
      <c r="BU1237" s="757">
        <f>BT1237+BU1101</f>
      </c>
      <c r="BV1237" s="757">
        <f>BU1237+BV1101</f>
      </c>
      <c r="BW1237" s="757">
        <f>BV1237+BW1101</f>
      </c>
      <c r="BX1237" s="962">
        <f>BW1237</f>
      </c>
      <c r="BY1237" s="757">
        <f>BX1237+BY1101</f>
      </c>
      <c r="BZ1237" s="757">
        <f>BY1237+BZ1101</f>
      </c>
      <c r="CA1237" s="757">
        <f>BZ1237+CA1101</f>
      </c>
      <c r="CB1237" s="757">
        <f>CA1237+CB1101</f>
      </c>
      <c r="CC1237" s="962">
        <f>CB1237</f>
      </c>
      <c r="CD1237" s="962">
        <f>CC1237+CD1101</f>
      </c>
      <c r="CE1237" s="962">
        <f>CD1237+CE1101</f>
      </c>
      <c r="CF1237" s="962">
        <f>CE1237+CF1101</f>
      </c>
      <c r="CG1237" s="459"/>
    </row>
    <row r="1238" spans="1:85" s="587" customFormat="1" x14ac:dyDescent="0.3">
      <c r="A1238" s="182" t="s">
        <v>205</v>
      </c>
      <c r="B1238" s="414"/>
      <c r="C1238" s="963">
        <v>200</v>
      </c>
      <c r="D1238" s="963">
        <v>200</v>
      </c>
      <c r="E1238" s="963">
        <v>200</v>
      </c>
      <c r="F1238" s="963">
        <v>200</v>
      </c>
      <c r="G1238" s="857">
        <v>500</v>
      </c>
      <c r="H1238" s="857">
        <v>500</v>
      </c>
      <c r="I1238" s="857">
        <v>500</v>
      </c>
      <c r="J1238" s="857">
        <v>500</v>
      </c>
      <c r="K1238" s="963">
        <v>500</v>
      </c>
      <c r="L1238" s="857">
        <v>900</v>
      </c>
      <c r="M1238" s="857">
        <v>900</v>
      </c>
      <c r="N1238" s="857">
        <v>900</v>
      </c>
      <c r="O1238" s="857">
        <v>900</v>
      </c>
      <c r="P1238" s="963">
        <v>900</v>
      </c>
      <c r="Q1238" s="857">
        <v>2400</v>
      </c>
      <c r="R1238" s="857">
        <v>2400</v>
      </c>
      <c r="S1238" s="857">
        <v>2400</v>
      </c>
      <c r="T1238" s="857">
        <v>2371.3620000000001</v>
      </c>
      <c r="U1238" s="963">
        <v>2371.3620000000001</v>
      </c>
      <c r="V1238" s="857">
        <v>2372.2179999999998</v>
      </c>
      <c r="W1238" s="857">
        <v>2373.085</v>
      </c>
      <c r="X1238" s="857">
        <v>2373.9659999999999</v>
      </c>
      <c r="Y1238" s="757">
        <f>Z1238</f>
      </c>
      <c r="Z1238" s="963">
        <v>3364.3110000000001</v>
      </c>
      <c r="AA1238" s="857">
        <v>3365.431</v>
      </c>
      <c r="AB1238" s="857">
        <v>4836.5020000000004</v>
      </c>
      <c r="AC1238" s="857">
        <v>4888.7830000000004</v>
      </c>
      <c r="AD1238" s="757">
        <f>AE1238</f>
      </c>
      <c r="AE1238" s="963">
        <v>6499.4319999999998</v>
      </c>
      <c r="AF1238" s="857">
        <v>6542.3729999999996</v>
      </c>
      <c r="AG1238" s="857">
        <v>8342.0669999999991</v>
      </c>
      <c r="AH1238" s="857">
        <v>8336.5859999999993</v>
      </c>
      <c r="AI1238" s="757">
        <f>AJ1238</f>
      </c>
      <c r="AJ1238" s="963">
        <v>10360.058000000001</v>
      </c>
      <c r="AK1238" s="857">
        <v>10305.022999999999</v>
      </c>
      <c r="AL1238" s="857">
        <v>12594.135</v>
      </c>
      <c r="AM1238" s="857">
        <v>12425.745999999999</v>
      </c>
      <c r="AN1238" s="757">
        <f>AO1238</f>
      </c>
      <c r="AO1238" s="963">
        <v>14759.26</v>
      </c>
      <c r="AP1238" s="857">
        <v>14170.691999999999</v>
      </c>
      <c r="AQ1238" s="857">
        <v>15294.998</v>
      </c>
      <c r="AR1238" s="857">
        <v>15547.616</v>
      </c>
      <c r="AS1238" s="757">
        <f>AT1238</f>
      </c>
      <c r="AT1238" s="963">
        <v>15809.094999999999</v>
      </c>
      <c r="AU1238" s="857">
        <v>14860.552</v>
      </c>
      <c r="AV1238" s="857">
        <v>14926.888999999999</v>
      </c>
      <c r="AW1238" s="857">
        <v>14793.691000000001</v>
      </c>
      <c r="AX1238" s="757">
        <f>AY1238</f>
      </c>
      <c r="AY1238" s="963">
        <v>14693.072</v>
      </c>
      <c r="AZ1238" s="857">
        <v>14534.561</v>
      </c>
      <c r="BA1238" s="857">
        <v>14233.303</v>
      </c>
      <c r="BB1238" s="857">
        <v>13888.117</v>
      </c>
      <c r="BC1238" s="757">
        <f>BD1238</f>
      </c>
      <c r="BD1238" s="963">
        <v>14353.075999999999</v>
      </c>
      <c r="BE1238" s="857">
        <v>14037.965</v>
      </c>
      <c r="BF1238" s="857">
        <v>14070.151</v>
      </c>
      <c r="BG1238" s="857">
        <v>13900.754000000001</v>
      </c>
      <c r="BH1238" s="757">
        <f>BI1238</f>
      </c>
      <c r="BI1238" s="963">
        <v>14143.416999999999</v>
      </c>
      <c r="BJ1238" s="857">
        <v>13217.038</v>
      </c>
      <c r="BK1238" s="857">
        <v>12180.023999999999</v>
      </c>
      <c r="BL1238" s="857">
        <v>14160.932000000001</v>
      </c>
      <c r="BM1238" s="757">
        <f>BN1238</f>
      </c>
      <c r="BN1238" s="963">
        <v>13798.351000000001</v>
      </c>
      <c r="BO1238" s="857">
        <v>14011.037</v>
      </c>
      <c r="BP1238" s="857">
        <v>14453.206</v>
      </c>
      <c r="BQ1238" s="857">
        <v>14463.02</v>
      </c>
      <c r="BR1238" s="757">
        <f>BS1238</f>
      </c>
      <c r="BS1238" s="963">
        <v>13463.971</v>
      </c>
      <c r="BT1238" s="864">
        <v>13361.331</v>
      </c>
      <c r="BU1238" s="757">
        <f>BU752</f>
      </c>
      <c r="BV1238" s="757">
        <f>BV752</f>
      </c>
      <c r="BW1238" s="757">
        <f>BW752</f>
      </c>
      <c r="BX1238" s="962">
        <f>BW1238</f>
      </c>
      <c r="BY1238" s="757">
        <f>BY752</f>
      </c>
      <c r="BZ1238" s="757">
        <f>BZ752</f>
      </c>
      <c r="CA1238" s="757">
        <f>CA752</f>
      </c>
      <c r="CB1238" s="757">
        <f>CB752</f>
      </c>
      <c r="CC1238" s="962">
        <f>CB1238</f>
      </c>
      <c r="CD1238" s="962">
        <f>CD752</f>
      </c>
      <c r="CE1238" s="962">
        <f>CE752</f>
      </c>
      <c r="CF1238" s="962">
        <f>CF752</f>
      </c>
      <c r="CG1238" s="459"/>
    </row>
    <row r="1239" spans="1:85" s="587" customFormat="1" x14ac:dyDescent="0.3">
      <c r="A1239" s="182" t="s">
        <v>206</v>
      </c>
      <c r="B1239" s="414"/>
      <c r="C1239" s="963">
        <v>36.572000000000003</v>
      </c>
      <c r="D1239" s="963">
        <v>0</v>
      </c>
      <c r="E1239" s="963">
        <v>200</v>
      </c>
      <c r="F1239" s="963">
        <v>200</v>
      </c>
      <c r="G1239" s="857">
        <v>200</v>
      </c>
      <c r="H1239" s="857">
        <v>0</v>
      </c>
      <c r="I1239" s="857">
        <v>0</v>
      </c>
      <c r="J1239" s="857">
        <v>0</v>
      </c>
      <c r="K1239" s="963">
        <v>0</v>
      </c>
      <c r="L1239" s="857">
        <v>0</v>
      </c>
      <c r="M1239" s="857">
        <v>0</v>
      </c>
      <c r="N1239" s="857">
        <v>0</v>
      </c>
      <c r="O1239" s="857">
        <v>0</v>
      </c>
      <c r="P1239" s="963">
        <v>0</v>
      </c>
      <c r="Q1239" s="857">
        <v>0</v>
      </c>
      <c r="R1239" s="857">
        <v>0</v>
      </c>
      <c r="S1239" s="857">
        <v>0</v>
      </c>
      <c r="T1239" s="857">
        <v>0</v>
      </c>
      <c r="U1239" s="963">
        <v>0</v>
      </c>
      <c r="V1239" s="757"/>
      <c r="W1239" s="757"/>
      <c r="X1239" s="757"/>
      <c r="Y1239" s="757">
        <f>Z1239</f>
      </c>
      <c r="Z1239" s="962"/>
      <c r="AA1239" s="757"/>
      <c r="AB1239" s="757"/>
      <c r="AC1239" s="757"/>
      <c r="AD1239" s="757">
        <f>AE1239</f>
      </c>
      <c r="AE1239" s="962"/>
      <c r="AF1239" s="757"/>
      <c r="AG1239" s="757"/>
      <c r="AH1239" s="757"/>
      <c r="AI1239" s="757">
        <f>AJ1239</f>
      </c>
      <c r="AJ1239" s="962"/>
      <c r="AK1239" s="757"/>
      <c r="AL1239" s="757"/>
      <c r="AM1239" s="757"/>
      <c r="AN1239" s="757">
        <f>AO1239</f>
      </c>
      <c r="AO1239" s="962"/>
      <c r="AP1239" s="757"/>
      <c r="AQ1239" s="757"/>
      <c r="AR1239" s="757"/>
      <c r="AS1239" s="757">
        <f>AT1239</f>
      </c>
      <c r="AT1239" s="962"/>
      <c r="AU1239" s="757"/>
      <c r="AV1239" s="757"/>
      <c r="AW1239" s="757"/>
      <c r="AX1239" s="757">
        <f>AY1239</f>
      </c>
      <c r="AY1239" s="962"/>
      <c r="AZ1239" s="757"/>
      <c r="BA1239" s="757"/>
      <c r="BB1239" s="757"/>
      <c r="BC1239" s="757">
        <f>BD1239</f>
      </c>
      <c r="BD1239" s="962"/>
      <c r="BE1239" s="757"/>
      <c r="BF1239" s="757"/>
      <c r="BG1239" s="757"/>
      <c r="BH1239" s="757">
        <f>BI1239</f>
      </c>
      <c r="BI1239" s="962"/>
      <c r="BJ1239" s="757"/>
      <c r="BK1239" s="757"/>
      <c r="BL1239" s="757"/>
      <c r="BM1239" s="757">
        <f>BN1239</f>
      </c>
      <c r="BN1239" s="962"/>
      <c r="BO1239" s="757"/>
      <c r="BP1239" s="757"/>
      <c r="BQ1239" s="757"/>
      <c r="BR1239" s="757">
        <f>BS1239</f>
      </c>
      <c r="BS1239" s="962"/>
      <c r="BT1239" s="758"/>
      <c r="BU1239" s="757"/>
      <c r="BV1239" s="757"/>
      <c r="BW1239" s="757"/>
      <c r="BX1239" s="962"/>
      <c r="BY1239" s="757"/>
      <c r="BZ1239" s="757"/>
      <c r="CA1239" s="757"/>
      <c r="CB1239" s="757"/>
      <c r="CC1239" s="962"/>
      <c r="CD1239" s="962"/>
      <c r="CE1239" s="962"/>
      <c r="CF1239" s="962"/>
      <c r="CG1239" s="459"/>
    </row>
    <row r="1240" spans="1:85" s="587" customFormat="1" x14ac:dyDescent="0.3">
      <c r="A1240" s="208" t="s">
        <v>874</v>
      </c>
      <c r="B1240" s="414"/>
      <c r="C1240" s="962"/>
      <c r="D1240" s="963">
        <v>34.122999999999998</v>
      </c>
      <c r="E1240" s="962"/>
      <c r="F1240" s="962"/>
      <c r="G1240" s="757"/>
      <c r="H1240" s="757"/>
      <c r="I1240" s="757"/>
      <c r="J1240" s="757"/>
      <c r="K1240" s="962"/>
      <c r="L1240" s="757"/>
      <c r="M1240" s="757"/>
      <c r="N1240" s="757"/>
      <c r="O1240" s="757"/>
      <c r="P1240" s="962"/>
      <c r="Q1240" s="757"/>
      <c r="R1240" s="757"/>
      <c r="S1240" s="757"/>
      <c r="T1240" s="757"/>
      <c r="U1240" s="962"/>
      <c r="V1240" s="757"/>
      <c r="W1240" s="757"/>
      <c r="X1240" s="757"/>
      <c r="Y1240" s="757"/>
      <c r="Z1240" s="962"/>
      <c r="AA1240" s="757"/>
      <c r="AB1240" s="757"/>
      <c r="AC1240" s="757"/>
      <c r="AD1240" s="757"/>
      <c r="AE1240" s="962"/>
      <c r="AF1240" s="757"/>
      <c r="AG1240" s="757"/>
      <c r="AH1240" s="757"/>
      <c r="AI1240" s="757"/>
      <c r="AJ1240" s="962"/>
      <c r="AK1240" s="857">
        <v>765.024</v>
      </c>
      <c r="AL1240" s="857">
        <v>946.32</v>
      </c>
      <c r="AM1240" s="857">
        <v>952.678</v>
      </c>
      <c r="AN1240" s="757">
        <f>AO1240</f>
      </c>
      <c r="AO1240" s="963">
        <v>1422.6120000000001</v>
      </c>
      <c r="AP1240" s="857">
        <v>1400</v>
      </c>
      <c r="AQ1240" s="857">
        <v>1687</v>
      </c>
      <c r="AR1240" s="857">
        <v>1853</v>
      </c>
      <c r="AS1240" s="757">
        <f>AT1240</f>
      </c>
      <c r="AT1240" s="963">
        <v>1945.6310000000001</v>
      </c>
      <c r="AU1240" s="857">
        <v>1911.8920000000001</v>
      </c>
      <c r="AV1240" s="857">
        <v>2042.067</v>
      </c>
      <c r="AW1240" s="857">
        <v>2222.3159999999998</v>
      </c>
      <c r="AX1240" s="757">
        <f>AY1240</f>
      </c>
      <c r="AY1240" s="963">
        <v>2408.4859999999999</v>
      </c>
      <c r="AZ1240" s="857">
        <v>2434.078</v>
      </c>
      <c r="BA1240" s="857">
        <v>2338.8290000000002</v>
      </c>
      <c r="BB1240" s="857">
        <v>2209.7249999999999</v>
      </c>
      <c r="BC1240" s="757">
        <f>BD1240</f>
      </c>
      <c r="BD1240" s="963">
        <v>2222.5030000000002</v>
      </c>
      <c r="BE1240" s="857">
        <v>2155.415</v>
      </c>
      <c r="BF1240" s="857">
        <v>2147.306</v>
      </c>
      <c r="BG1240" s="857">
        <v>2086.48</v>
      </c>
      <c r="BH1240" s="757">
        <f>BI1240</f>
      </c>
      <c r="BI1240" s="963">
        <v>2046.8009999999999</v>
      </c>
      <c r="BJ1240" s="857">
        <v>2098.0039999999999</v>
      </c>
      <c r="BK1240" s="857">
        <v>2127.12</v>
      </c>
      <c r="BL1240" s="857">
        <v>2094.6590000000001</v>
      </c>
      <c r="BM1240" s="757">
        <f>BN1240</f>
      </c>
      <c r="BN1240" s="963">
        <v>1983.6880000000001</v>
      </c>
      <c r="BO1240" s="857">
        <v>1969.3009999999999</v>
      </c>
      <c r="BP1240" s="857">
        <v>2026.8209999999999</v>
      </c>
      <c r="BQ1240" s="857">
        <v>2163.1280000000002</v>
      </c>
      <c r="BR1240" s="757">
        <f>BS1240</f>
      </c>
      <c r="BS1240" s="963">
        <v>2052.5259999999998</v>
      </c>
      <c r="BT1240" s="864">
        <v>1948.2059999999999</v>
      </c>
      <c r="BU1240" s="757">
        <f>BU944-BU1228</f>
      </c>
      <c r="BV1240" s="757">
        <f>BV944-BV1228</f>
      </c>
      <c r="BW1240" s="757">
        <f>BW944-BW1228</f>
      </c>
      <c r="BX1240" s="962">
        <f>BW1240</f>
      </c>
      <c r="BY1240" s="757">
        <f>BY944-BY1228</f>
      </c>
      <c r="BZ1240" s="757">
        <f>BZ944-BZ1228</f>
      </c>
      <c r="CA1240" s="757">
        <f>CA944-CA1228</f>
      </c>
      <c r="CB1240" s="757">
        <f>CB944-CB1228</f>
      </c>
      <c r="CC1240" s="962">
        <f>CB1240</f>
      </c>
      <c r="CD1240" s="962">
        <f>CD944-CD1228</f>
      </c>
      <c r="CE1240" s="962">
        <f>CE944-CE1228</f>
      </c>
      <c r="CF1240" s="962">
        <f>CF944-CF1228</f>
      </c>
      <c r="CG1240" s="459"/>
    </row>
    <row r="1241" spans="1:85" s="587" customFormat="1" x14ac:dyDescent="0.3">
      <c r="A1241" s="208" t="s">
        <v>875</v>
      </c>
      <c r="B1241" s="414"/>
      <c r="C1241" s="962"/>
      <c r="D1241" s="963">
        <v>69.200999999999993</v>
      </c>
      <c r="E1241" s="962"/>
      <c r="F1241" s="962"/>
      <c r="G1241" s="757"/>
      <c r="H1241" s="757"/>
      <c r="I1241" s="757"/>
      <c r="J1241" s="757"/>
      <c r="K1241" s="962"/>
      <c r="L1241" s="757"/>
      <c r="M1241" s="757"/>
      <c r="N1241" s="757"/>
      <c r="O1241" s="757"/>
      <c r="P1241" s="962"/>
      <c r="Q1241" s="757"/>
      <c r="R1241" s="757"/>
      <c r="S1241" s="757"/>
      <c r="T1241" s="757"/>
      <c r="U1241" s="962"/>
      <c r="V1241" s="757"/>
      <c r="W1241" s="757"/>
      <c r="X1241" s="757"/>
      <c r="Y1241" s="757"/>
      <c r="Z1241" s="962"/>
      <c r="AA1241" s="757"/>
      <c r="AB1241" s="757"/>
      <c r="AC1241" s="757"/>
      <c r="AD1241" s="757"/>
      <c r="AE1241" s="962"/>
      <c r="AF1241" s="757"/>
      <c r="AG1241" s="757"/>
      <c r="AH1241" s="757"/>
      <c r="AI1241" s="757"/>
      <c r="AJ1241" s="962"/>
      <c r="AK1241" s="757">
        <f t="shared" ref="AK1241:BB1241" si="2740">AK1242-AK1240</f>
      </c>
      <c r="AL1241" s="757">
        <f t="shared" si="2740"/>
      </c>
      <c r="AM1241" s="757">
        <f t="shared" si="2740"/>
      </c>
      <c r="AN1241" s="757">
        <f t="shared" si="2740"/>
      </c>
      <c r="AO1241" s="962">
        <f t="shared" si="2740"/>
      </c>
      <c r="AP1241" s="757">
        <f t="shared" si="2740"/>
      </c>
      <c r="AQ1241" s="459">
        <f t="shared" si="2740"/>
      </c>
      <c r="AR1241" s="757">
        <f t="shared" si="2740"/>
      </c>
      <c r="AS1241" s="757">
        <f t="shared" si="2740"/>
      </c>
      <c r="AT1241" s="962">
        <f t="shared" si="2740"/>
      </c>
      <c r="AU1241" s="757">
        <f t="shared" si="2740"/>
      </c>
      <c r="AV1241" s="459">
        <f t="shared" si="2740"/>
      </c>
      <c r="AW1241" s="757">
        <f t="shared" si="2740"/>
      </c>
      <c r="AX1241" s="757">
        <f t="shared" si="2740"/>
      </c>
      <c r="AY1241" s="962">
        <f t="shared" si="2740"/>
      </c>
      <c r="AZ1241" s="757">
        <f t="shared" si="2740"/>
      </c>
      <c r="BA1241" s="757">
        <f t="shared" si="2740"/>
      </c>
      <c r="BB1241" s="757">
        <f t="shared" si="2740"/>
      </c>
      <c r="BC1241" s="757">
        <f t="shared" ref="BC1241:BI1241" si="2741">BC1242-BC1240</f>
      </c>
      <c r="BD1241" s="962">
        <f t="shared" si="2741"/>
      </c>
      <c r="BE1241" s="757">
        <f t="shared" si="2741"/>
      </c>
      <c r="BF1241" s="757">
        <f t="shared" si="2741"/>
      </c>
      <c r="BG1241" s="757">
        <f t="shared" si="2741"/>
      </c>
      <c r="BH1241" s="757">
        <f t="shared" si="2741"/>
      </c>
      <c r="BI1241" s="962">
        <f t="shared" si="2741"/>
      </c>
      <c r="BJ1241" s="757">
        <f t="shared" ref="BJ1241:BO1241" si="2742">BJ1242-BJ1240</f>
      </c>
      <c r="BK1241" s="757">
        <f t="shared" si="2742"/>
      </c>
      <c r="BL1241" s="757">
        <f t="shared" si="2742"/>
      </c>
      <c r="BM1241" s="757">
        <f t="shared" si="2742"/>
      </c>
      <c r="BN1241" s="962">
        <f t="shared" si="2742"/>
      </c>
      <c r="BO1241" s="757">
        <f t="shared" si="2742"/>
      </c>
      <c r="BP1241" s="757">
        <f>BP1242-BP1240</f>
      </c>
      <c r="BQ1241" s="757">
        <f>BQ1242-BQ1240</f>
      </c>
      <c r="BR1241" s="757">
        <f>BR1242-BR1240</f>
      </c>
      <c r="BS1241" s="962">
        <f>BS1242-BS1240</f>
      </c>
      <c r="BT1241" s="758">
        <f>BT1242-BT1240</f>
      </c>
      <c r="BU1241" s="757">
        <f>BT1241</f>
      </c>
      <c r="BV1241" s="757">
        <f>BU1241</f>
      </c>
      <c r="BW1241" s="757">
        <f>BV1241</f>
      </c>
      <c r="BX1241" s="962">
        <f>BW1241</f>
      </c>
      <c r="BY1241" s="757">
        <f>BX1241</f>
      </c>
      <c r="BZ1241" s="757">
        <f>BY1241</f>
      </c>
      <c r="CA1241" s="757">
        <f>BZ1241</f>
      </c>
      <c r="CB1241" s="757">
        <f>CA1241</f>
      </c>
      <c r="CC1241" s="962">
        <f>CB1241</f>
      </c>
      <c r="CD1241" s="962">
        <f>CC1241</f>
      </c>
      <c r="CE1241" s="962">
        <f>CD1241</f>
      </c>
      <c r="CF1241" s="962">
        <f>CE1241</f>
      </c>
      <c r="CG1241" s="459"/>
    </row>
    <row r="1242" spans="1:85" s="587" customFormat="1" x14ac:dyDescent="0.3">
      <c r="A1242" s="159" t="s">
        <v>207</v>
      </c>
      <c r="B1242" s="264"/>
      <c r="C1242" s="1085">
        <v>17.649999999999999</v>
      </c>
      <c r="D1242" s="1086">
        <f>SUM(D1240:D1241)</f>
      </c>
      <c r="E1242" s="1085">
        <v>61.703000000000003</v>
      </c>
      <c r="F1242" s="1085">
        <v>70.668999999999997</v>
      </c>
      <c r="G1242" s="910">
        <v>78.228999999999999</v>
      </c>
      <c r="H1242" s="910">
        <v>80.616</v>
      </c>
      <c r="I1242" s="910">
        <v>82.763999999999996</v>
      </c>
      <c r="J1242" s="910">
        <v>79.209000000000003</v>
      </c>
      <c r="K1242" s="1085">
        <v>79.209000000000003</v>
      </c>
      <c r="L1242" s="910">
        <v>84.215999999999994</v>
      </c>
      <c r="M1242" s="910">
        <v>90.222999999999999</v>
      </c>
      <c r="N1242" s="910">
        <v>94.397000000000006</v>
      </c>
      <c r="O1242" s="910">
        <v>59.957000000000001</v>
      </c>
      <c r="P1242" s="1085">
        <v>59.957000000000001</v>
      </c>
      <c r="Q1242" s="910">
        <v>60.771999999999998</v>
      </c>
      <c r="R1242" s="910">
        <v>60.093000000000004</v>
      </c>
      <c r="S1242" s="910">
        <v>40.677</v>
      </c>
      <c r="T1242" s="910">
        <v>52.098999999999997</v>
      </c>
      <c r="U1242" s="1085">
        <v>52.098999999999997</v>
      </c>
      <c r="V1242" s="910">
        <v>53.093000000000004</v>
      </c>
      <c r="W1242" s="910">
        <v>54.231000000000002</v>
      </c>
      <c r="X1242" s="910">
        <v>57.811999999999998</v>
      </c>
      <c r="Y1242" s="809">
        <f>Z1242</f>
      </c>
      <c r="Z1242" s="1085">
        <v>61.188000000000002</v>
      </c>
      <c r="AA1242" s="910">
        <v>73.322999999999993</v>
      </c>
      <c r="AB1242" s="910">
        <v>89.186000000000007</v>
      </c>
      <c r="AC1242" s="910">
        <v>128.215</v>
      </c>
      <c r="AD1242" s="809">
        <f>AE1242</f>
      </c>
      <c r="AE1242" s="1085">
        <v>135.24600000000001</v>
      </c>
      <c r="AF1242" s="910">
        <v>139.631</v>
      </c>
      <c r="AG1242" s="910">
        <v>141.071</v>
      </c>
      <c r="AH1242" s="910">
        <v>127.92700000000001</v>
      </c>
      <c r="AI1242" s="809">
        <f>AJ1242</f>
      </c>
      <c r="AJ1242" s="1085">
        <v>129.23099999999999</v>
      </c>
      <c r="AK1242" s="910">
        <v>792.38</v>
      </c>
      <c r="AL1242" s="910">
        <v>973.23199999999997</v>
      </c>
      <c r="AM1242" s="910">
        <v>977.00800000000004</v>
      </c>
      <c r="AN1242" s="809">
        <f>AO1242</f>
      </c>
      <c r="AO1242" s="1085">
        <v>1444.2760000000001</v>
      </c>
      <c r="AP1242" s="910">
        <v>1420.1479999999999</v>
      </c>
      <c r="AQ1242" s="910">
        <v>1710.9480000000001</v>
      </c>
      <c r="AR1242" s="910">
        <v>1875.2349999999999</v>
      </c>
      <c r="AS1242" s="809">
        <f>AT1242</f>
      </c>
      <c r="AT1242" s="1085">
        <v>1982.155</v>
      </c>
      <c r="AU1242" s="910">
        <v>1950.9860000000001</v>
      </c>
      <c r="AV1242" s="910">
        <v>2082.0349999999999</v>
      </c>
      <c r="AW1242" s="910">
        <v>2281.277</v>
      </c>
      <c r="AX1242" s="809">
        <f>AY1242</f>
      </c>
      <c r="AY1242" s="1085">
        <v>2459.1640000000002</v>
      </c>
      <c r="AZ1242" s="910">
        <v>2567.4270000000001</v>
      </c>
      <c r="BA1242" s="910">
        <v>2551.6750000000002</v>
      </c>
      <c r="BB1242" s="910">
        <v>2424.6370000000002</v>
      </c>
      <c r="BC1242" s="809">
        <f>BD1242</f>
      </c>
      <c r="BD1242" s="1085">
        <v>2452.04</v>
      </c>
      <c r="BE1242" s="910">
        <v>2400.085</v>
      </c>
      <c r="BF1242" s="910">
        <v>2389.915</v>
      </c>
      <c r="BG1242" s="910">
        <v>2486.2150000000001</v>
      </c>
      <c r="BH1242" s="809">
        <f>BI1242</f>
      </c>
      <c r="BI1242" s="1085">
        <v>2561.4340000000002</v>
      </c>
      <c r="BJ1242" s="910">
        <v>2585.364</v>
      </c>
      <c r="BK1242" s="910">
        <v>2637.3969999999999</v>
      </c>
      <c r="BL1242" s="910">
        <v>2774.9609999999998</v>
      </c>
      <c r="BM1242" s="809">
        <f>BN1242</f>
      </c>
      <c r="BN1242" s="1085">
        <v>2552.25</v>
      </c>
      <c r="BO1242" s="910">
        <v>2633.3530000000001</v>
      </c>
      <c r="BP1242" s="910">
        <v>3145.82</v>
      </c>
      <c r="BQ1242" s="910">
        <v>3193.9479999999999</v>
      </c>
      <c r="BR1242" s="809">
        <f>BS1242</f>
      </c>
      <c r="BS1242" s="1085">
        <v>2957.1280000000002</v>
      </c>
      <c r="BT1242" s="911">
        <v>2770.1080000000002</v>
      </c>
      <c r="BU1242" s="809">
        <f>+BU1241+BU1240</f>
      </c>
      <c r="BV1242" s="809">
        <f>+BV1241+BV1240</f>
      </c>
      <c r="BW1242" s="809">
        <f>+BW1241+BW1240</f>
      </c>
      <c r="BX1242" s="1012">
        <f>BW1242</f>
      </c>
      <c r="BY1242" s="809">
        <f>+BY1241+BY1240</f>
      </c>
      <c r="BZ1242" s="809">
        <f>+BZ1241+BZ1240</f>
      </c>
      <c r="CA1242" s="809">
        <f>+CA1241+CA1240</f>
      </c>
      <c r="CB1242" s="809">
        <f>+CB1241+CB1240</f>
      </c>
      <c r="CC1242" s="1012">
        <f>CB1242</f>
      </c>
      <c r="CD1242" s="1012">
        <f>+CD1241+CD1240</f>
      </c>
      <c r="CE1242" s="1012">
        <f>+CE1241+CE1240</f>
      </c>
      <c r="CF1242" s="1012">
        <f>+CF1241+CF1240</f>
      </c>
      <c r="CG1242" s="459"/>
    </row>
    <row r="1243" spans="1:85" s="587" customFormat="1" x14ac:dyDescent="0.3">
      <c r="A1243" s="2" t="s">
        <v>208</v>
      </c>
      <c r="B1243" s="422"/>
      <c r="C1243" s="986">
        <f t="shared" ref="C1243:AJ1243" si="2743">SUM(C1237:C1239)+SUM(C1242)</f>
      </c>
      <c r="D1243" s="986">
        <f t="shared" si="2743"/>
      </c>
      <c r="E1243" s="986">
        <f t="shared" si="2743"/>
      </c>
      <c r="F1243" s="986">
        <f t="shared" si="2743"/>
      </c>
      <c r="G1243" s="792">
        <f t="shared" si="2743"/>
      </c>
      <c r="H1243" s="792">
        <f t="shared" si="2743"/>
      </c>
      <c r="I1243" s="792">
        <f t="shared" si="2743"/>
      </c>
      <c r="J1243" s="792">
        <f t="shared" si="2743"/>
      </c>
      <c r="K1243" s="986">
        <f t="shared" si="2743"/>
      </c>
      <c r="L1243" s="792">
        <f t="shared" si="2743"/>
      </c>
      <c r="M1243" s="792">
        <f t="shared" si="2743"/>
      </c>
      <c r="N1243" s="792">
        <f t="shared" si="2743"/>
      </c>
      <c r="O1243" s="792">
        <f t="shared" si="2743"/>
      </c>
      <c r="P1243" s="986">
        <f t="shared" si="2743"/>
      </c>
      <c r="Q1243" s="792">
        <f t="shared" si="2743"/>
      </c>
      <c r="R1243" s="792">
        <f t="shared" si="2743"/>
      </c>
      <c r="S1243" s="792">
        <f t="shared" si="2743"/>
      </c>
      <c r="T1243" s="792">
        <f t="shared" si="2743"/>
      </c>
      <c r="U1243" s="986">
        <f t="shared" si="2743"/>
      </c>
      <c r="V1243" s="792">
        <f t="shared" si="2743"/>
      </c>
      <c r="W1243" s="792">
        <f t="shared" si="2743"/>
      </c>
      <c r="X1243" s="792">
        <f t="shared" si="2743"/>
      </c>
      <c r="Y1243" s="791">
        <f t="shared" si="2743"/>
      </c>
      <c r="Z1243" s="965">
        <f t="shared" si="2743"/>
      </c>
      <c r="AA1243" s="792">
        <f t="shared" si="2743"/>
      </c>
      <c r="AB1243" s="792">
        <f t="shared" si="2743"/>
      </c>
      <c r="AC1243" s="792">
        <f t="shared" si="2743"/>
      </c>
      <c r="AD1243" s="791">
        <f t="shared" si="2743"/>
      </c>
      <c r="AE1243" s="965">
        <f t="shared" si="2743"/>
      </c>
      <c r="AF1243" s="792">
        <f t="shared" si="2743"/>
      </c>
      <c r="AG1243" s="792">
        <f t="shared" si="2743"/>
      </c>
      <c r="AH1243" s="792">
        <f t="shared" si="2743"/>
      </c>
      <c r="AI1243" s="791">
        <f t="shared" si="2743"/>
      </c>
      <c r="AJ1243" s="965">
        <f t="shared" si="2743"/>
      </c>
      <c r="AK1243" s="792">
        <f t="shared" ref="AK1243:AQ1243" si="2744">SUM(AK1237:AK1239)+SUM(AK1242)</f>
      </c>
      <c r="AL1243" s="792">
        <f t="shared" si="2744"/>
      </c>
      <c r="AM1243" s="792">
        <f t="shared" si="2744"/>
      </c>
      <c r="AN1243" s="791">
        <f t="shared" si="2744"/>
      </c>
      <c r="AO1243" s="965">
        <f t="shared" si="2744"/>
      </c>
      <c r="AP1243" s="792">
        <f t="shared" si="2744"/>
      </c>
      <c r="AQ1243" s="792">
        <f t="shared" si="2744"/>
      </c>
      <c r="AR1243" s="792">
        <f>SUM(AR1237:AR1239)+SUM(AR1242)</f>
      </c>
      <c r="AS1243" s="791">
        <f>SUM(AS1237:AS1239)+SUM(AS1242)</f>
      </c>
      <c r="AT1243" s="965">
        <f>SUM(AT1237:AT1239)+SUM(AT1242)</f>
      </c>
      <c r="AU1243" s="792">
        <f t="shared" ref="AU1243" si="2745">SUM(AU1237:AU1239)+SUM(AU1242)</f>
      </c>
      <c r="AV1243" s="792">
        <f>SUM(AV1237:AV1239)+SUM(AV1242)</f>
      </c>
      <c r="AW1243" s="792">
        <f>SUM(AW1237:AW1239)+SUM(AW1242)</f>
      </c>
      <c r="AX1243" s="791">
        <f>SUM(AX1237:AX1239)+SUM(AX1242)</f>
      </c>
      <c r="AY1243" s="965">
        <f>SUM(AY1237:AY1239)+SUM(AY1242)</f>
      </c>
      <c r="AZ1243" s="792">
        <f>SUM(AZ1237:AZ1239)+SUM(AZ1242)</f>
      </c>
      <c r="BA1243" s="791">
        <f t="shared" ref="BA1243" si="2746">SUM(BA1237:BA1239)+SUM(BA1242)</f>
      </c>
      <c r="BB1243" s="792">
        <f t="shared" ref="BB1243:BD1243" si="2747">SUM(BB1237:BB1239)+SUM(BB1242)</f>
      </c>
      <c r="BC1243" s="791">
        <f t="shared" si="2747"/>
      </c>
      <c r="BD1243" s="965">
        <f t="shared" si="2747"/>
      </c>
      <c r="BE1243" s="792">
        <f t="shared" ref="BE1243:BI1243" si="2748">SUM(BE1237:BE1239)+SUM(BE1242)</f>
      </c>
      <c r="BF1243" s="791">
        <f t="shared" si="2748"/>
      </c>
      <c r="BG1243" s="792">
        <f t="shared" si="2748"/>
      </c>
      <c r="BH1243" s="791">
        <f t="shared" si="2748"/>
      </c>
      <c r="BI1243" s="965">
        <f t="shared" si="2748"/>
      </c>
      <c r="BJ1243" s="792">
        <f t="shared" ref="BJ1243:BX1243" si="2749">SUM(BJ1237:BJ1239)+SUM(BJ1242)</f>
      </c>
      <c r="BK1243" s="759">
        <f t="shared" si="2749"/>
      </c>
      <c r="BL1243" s="792">
        <f t="shared" si="2749"/>
      </c>
      <c r="BM1243" s="791">
        <f t="shared" si="2749"/>
      </c>
      <c r="BN1243" s="965">
        <f t="shared" si="2749"/>
      </c>
      <c r="BO1243" s="792">
        <f t="shared" ref="BO1243:BW1243" si="2750">SUM(BO1237:BO1239)+SUM(BO1242)</f>
      </c>
      <c r="BP1243" s="759">
        <f t="shared" si="2750"/>
      </c>
      <c r="BQ1243" s="792">
        <f t="shared" si="2750"/>
      </c>
      <c r="BR1243" s="791">
        <f t="shared" si="2750"/>
      </c>
      <c r="BS1243" s="965">
        <f t="shared" si="2750"/>
      </c>
      <c r="BT1243" s="793">
        <f>SUM(BT1237:BT1239)+SUM(BT1242)</f>
      </c>
      <c r="BU1243" s="791">
        <f t="shared" si="2750"/>
      </c>
      <c r="BV1243" s="791">
        <f t="shared" si="2750"/>
      </c>
      <c r="BW1243" s="791">
        <f t="shared" si="2750"/>
      </c>
      <c r="BX1243" s="965">
        <f t="shared" si="2749"/>
      </c>
      <c r="BY1243" s="791">
        <f t="shared" ref="BY1243:CF1243" si="2751">SUM(BY1237:BY1239)+SUM(BY1242)</f>
      </c>
      <c r="BZ1243" s="791">
        <f t="shared" si="2751"/>
      </c>
      <c r="CA1243" s="791">
        <f t="shared" si="2751"/>
      </c>
      <c r="CB1243" s="791">
        <f t="shared" si="2751"/>
      </c>
      <c r="CC1243" s="965">
        <f t="shared" si="2751"/>
      </c>
      <c r="CD1243" s="965">
        <f t="shared" si="2751"/>
      </c>
      <c r="CE1243" s="965">
        <f t="shared" si="2751"/>
      </c>
      <c r="CF1243" s="965">
        <f t="shared" si="2751"/>
      </c>
      <c r="CG1243" s="183"/>
    </row>
    <row r="1244" spans="1:85" s="587" customFormat="1" x14ac:dyDescent="0.3">
      <c r="A1244" s="4" t="s">
        <v>209</v>
      </c>
      <c r="B1244" s="428"/>
      <c r="C1244" s="985">
        <f t="shared" ref="C1244:AH1244" si="2752">C1234+C1243</f>
      </c>
      <c r="D1244" s="985">
        <f t="shared" si="2752"/>
      </c>
      <c r="E1244" s="985">
        <f t="shared" si="2752"/>
      </c>
      <c r="F1244" s="985">
        <f t="shared" si="2752"/>
      </c>
      <c r="G1244" s="183">
        <f t="shared" si="2752"/>
      </c>
      <c r="H1244" s="183">
        <f t="shared" si="2752"/>
      </c>
      <c r="I1244" s="183">
        <f t="shared" si="2752"/>
      </c>
      <c r="J1244" s="183">
        <f t="shared" si="2752"/>
      </c>
      <c r="K1244" s="985">
        <f t="shared" si="2752"/>
      </c>
      <c r="L1244" s="183">
        <f t="shared" si="2752"/>
      </c>
      <c r="M1244" s="183">
        <f t="shared" si="2752"/>
      </c>
      <c r="N1244" s="183">
        <f t="shared" si="2752"/>
      </c>
      <c r="O1244" s="183">
        <f t="shared" si="2752"/>
      </c>
      <c r="P1244" s="985">
        <f t="shared" si="2752"/>
      </c>
      <c r="Q1244" s="183">
        <f t="shared" si="2752"/>
      </c>
      <c r="R1244" s="183">
        <f t="shared" si="2752"/>
      </c>
      <c r="S1244" s="183">
        <f t="shared" si="2752"/>
      </c>
      <c r="T1244" s="183">
        <f t="shared" si="2752"/>
      </c>
      <c r="U1244" s="985">
        <f t="shared" si="2752"/>
      </c>
      <c r="V1244" s="183">
        <f t="shared" si="2752"/>
      </c>
      <c r="W1244" s="183">
        <f t="shared" si="2752"/>
      </c>
      <c r="X1244" s="183">
        <f t="shared" si="2752"/>
      </c>
      <c r="Y1244" s="759">
        <f t="shared" si="2752"/>
      </c>
      <c r="Z1244" s="969">
        <f t="shared" si="2752"/>
      </c>
      <c r="AA1244" s="183">
        <f t="shared" si="2752"/>
      </c>
      <c r="AB1244" s="183">
        <f t="shared" si="2752"/>
      </c>
      <c r="AC1244" s="183">
        <f t="shared" si="2752"/>
      </c>
      <c r="AD1244" s="759">
        <f t="shared" si="2752"/>
      </c>
      <c r="AE1244" s="969">
        <f t="shared" si="2752"/>
      </c>
      <c r="AF1244" s="183">
        <f t="shared" si="2752"/>
      </c>
      <c r="AG1244" s="183">
        <f t="shared" si="2752"/>
      </c>
      <c r="AH1244" s="183">
        <f t="shared" si="2752"/>
      </c>
      <c r="AI1244" s="759">
        <f t="shared" ref="AI1244:AQ1244" si="2753">AI1234+AI1243</f>
      </c>
      <c r="AJ1244" s="969">
        <f t="shared" si="2753"/>
      </c>
      <c r="AK1244" s="183">
        <f t="shared" si="2753"/>
      </c>
      <c r="AL1244" s="183">
        <f t="shared" si="2753"/>
      </c>
      <c r="AM1244" s="183">
        <f t="shared" si="2753"/>
      </c>
      <c r="AN1244" s="759">
        <f t="shared" si="2753"/>
      </c>
      <c r="AO1244" s="969">
        <f t="shared" si="2753"/>
      </c>
      <c r="AP1244" s="183">
        <f t="shared" si="2753"/>
      </c>
      <c r="AQ1244" s="183">
        <f t="shared" si="2753"/>
      </c>
      <c r="AR1244" s="183">
        <f>AR1234+AR1243</f>
      </c>
      <c r="AS1244" s="759">
        <f>AS1234+AS1243</f>
      </c>
      <c r="AT1244" s="969">
        <f>AT1234+AT1243</f>
      </c>
      <c r="AU1244" s="183">
        <f t="shared" ref="AU1244" si="2754">AU1234+AU1243</f>
      </c>
      <c r="AV1244" s="183">
        <f>AV1234+AV1243</f>
      </c>
      <c r="AW1244" s="183">
        <f>AW1234+AW1243</f>
      </c>
      <c r="AX1244" s="759">
        <f>AX1234+AX1243</f>
      </c>
      <c r="AY1244" s="969">
        <f>AY1234+AY1243</f>
      </c>
      <c r="AZ1244" s="183">
        <f>AZ1234+AZ1243</f>
      </c>
      <c r="BA1244" s="759">
        <f t="shared" ref="BA1244" si="2755">BA1234+BA1243</f>
      </c>
      <c r="BB1244" s="183">
        <f t="shared" ref="BB1244:BD1244" si="2756">BB1234+BB1243</f>
      </c>
      <c r="BC1244" s="759">
        <f t="shared" si="2756"/>
      </c>
      <c r="BD1244" s="969">
        <f t="shared" si="2756"/>
      </c>
      <c r="BE1244" s="183">
        <f t="shared" ref="BE1244:BI1244" si="2757">BE1234+BE1243</f>
      </c>
      <c r="BF1244" s="759">
        <f t="shared" si="2757"/>
      </c>
      <c r="BG1244" s="183">
        <f t="shared" si="2757"/>
      </c>
      <c r="BH1244" s="759">
        <f t="shared" si="2757"/>
      </c>
      <c r="BI1244" s="969">
        <f t="shared" si="2757"/>
      </c>
      <c r="BJ1244" s="183">
        <f t="shared" ref="BJ1244:BX1244" si="2758">BJ1234+BJ1243</f>
      </c>
      <c r="BK1244" s="759">
        <f t="shared" si="2758"/>
      </c>
      <c r="BL1244" s="183">
        <f t="shared" si="2758"/>
      </c>
      <c r="BM1244" s="759">
        <f t="shared" si="2758"/>
      </c>
      <c r="BN1244" s="969">
        <f t="shared" si="2758"/>
      </c>
      <c r="BO1244" s="183">
        <f t="shared" ref="BO1244:BW1244" si="2759">BO1234+BO1243</f>
      </c>
      <c r="BP1244" s="759">
        <f t="shared" si="2759"/>
      </c>
      <c r="BQ1244" s="183">
        <f t="shared" si="2759"/>
      </c>
      <c r="BR1244" s="759">
        <f t="shared" si="2759"/>
      </c>
      <c r="BS1244" s="969">
        <f t="shared" si="2759"/>
      </c>
      <c r="BT1244" s="794">
        <f>BT1234+BT1243</f>
      </c>
      <c r="BU1244" s="759">
        <f t="shared" si="2759"/>
      </c>
      <c r="BV1244" s="759">
        <f t="shared" si="2759"/>
      </c>
      <c r="BW1244" s="759">
        <f t="shared" si="2759"/>
      </c>
      <c r="BX1244" s="969">
        <f t="shared" si="2758"/>
      </c>
      <c r="BY1244" s="759">
        <f t="shared" ref="BY1244:CF1244" si="2760">BY1234+BY1243</f>
      </c>
      <c r="BZ1244" s="759">
        <f t="shared" si="2760"/>
      </c>
      <c r="CA1244" s="759">
        <f t="shared" si="2760"/>
      </c>
      <c r="CB1244" s="759">
        <f t="shared" si="2760"/>
      </c>
      <c r="CC1244" s="969">
        <f t="shared" si="2760"/>
      </c>
      <c r="CD1244" s="969">
        <f t="shared" si="2760"/>
      </c>
      <c r="CE1244" s="969">
        <f t="shared" si="2760"/>
      </c>
      <c r="CF1244" s="969">
        <f t="shared" si="2760"/>
      </c>
      <c r="CG1244" s="183"/>
    </row>
    <row r="1245" spans="1:85" s="587" customFormat="1" x14ac:dyDescent="0.3">
      <c r="A1245" s="429"/>
      <c r="B1245" s="428"/>
      <c r="C1245" s="969"/>
      <c r="D1245" s="969"/>
      <c r="E1245" s="969"/>
      <c r="F1245" s="969"/>
      <c r="G1245" s="759"/>
      <c r="H1245" s="759"/>
      <c r="I1245" s="759"/>
      <c r="J1245" s="759"/>
      <c r="K1245" s="969"/>
      <c r="L1245" s="759"/>
      <c r="M1245" s="759"/>
      <c r="N1245" s="759"/>
      <c r="O1245" s="759"/>
      <c r="P1245" s="969"/>
      <c r="Q1245" s="759"/>
      <c r="R1245" s="759"/>
      <c r="S1245" s="759"/>
      <c r="T1245" s="759"/>
      <c r="U1245" s="969"/>
      <c r="V1245" s="759"/>
      <c r="W1245" s="759"/>
      <c r="X1245" s="759"/>
      <c r="Y1245" s="759"/>
      <c r="Z1245" s="969"/>
      <c r="AA1245" s="759"/>
      <c r="AB1245" s="759"/>
      <c r="AC1245" s="759"/>
      <c r="AD1245" s="759"/>
      <c r="AE1245" s="969"/>
      <c r="AF1245" s="759"/>
      <c r="AG1245" s="759"/>
      <c r="AH1245" s="759"/>
      <c r="AI1245" s="759"/>
      <c r="AJ1245" s="969"/>
      <c r="AK1245" s="759"/>
      <c r="AL1245" s="759"/>
      <c r="AM1245" s="759"/>
      <c r="AN1245" s="759"/>
      <c r="AO1245" s="969"/>
      <c r="AP1245" s="759"/>
      <c r="AQ1245" s="759"/>
      <c r="AR1245" s="759"/>
      <c r="AS1245" s="759"/>
      <c r="AT1245" s="969"/>
      <c r="AU1245" s="759"/>
      <c r="AV1245" s="759"/>
      <c r="AW1245" s="759"/>
      <c r="AX1245" s="759"/>
      <c r="AY1245" s="969"/>
      <c r="AZ1245" s="759"/>
      <c r="BA1245" s="759"/>
      <c r="BB1245" s="759"/>
      <c r="BC1245" s="759"/>
      <c r="BD1245" s="969"/>
      <c r="BE1245" s="759"/>
      <c r="BF1245" s="759"/>
      <c r="BG1245" s="759"/>
      <c r="BH1245" s="759"/>
      <c r="BI1245" s="969"/>
      <c r="BJ1245" s="759"/>
      <c r="BK1245" s="759"/>
      <c r="BL1245" s="759"/>
      <c r="BM1245" s="759"/>
      <c r="BN1245" s="969"/>
      <c r="BO1245" s="759"/>
      <c r="BP1245" s="759"/>
      <c r="BQ1245" s="759"/>
      <c r="BR1245" s="759"/>
      <c r="BS1245" s="969"/>
      <c r="BT1245" s="760"/>
      <c r="BU1245" s="759"/>
      <c r="BV1245" s="759"/>
      <c r="BW1245" s="759"/>
      <c r="BX1245" s="969"/>
      <c r="BY1245" s="759"/>
      <c r="BZ1245" s="759"/>
      <c r="CA1245" s="759"/>
      <c r="CB1245" s="759"/>
      <c r="CC1245" s="969"/>
      <c r="CD1245" s="969"/>
      <c r="CE1245" s="969"/>
      <c r="CF1245" s="969"/>
      <c r="CG1245" s="183"/>
    </row>
    <row r="1246" spans="1:85" s="587" customFormat="1" x14ac:dyDescent="0.3">
      <c r="A1246" s="13" t="s">
        <v>210</v>
      </c>
      <c r="B1246" s="428"/>
      <c r="C1246" s="969"/>
      <c r="D1246" s="969"/>
      <c r="E1246" s="969"/>
      <c r="F1246" s="969"/>
      <c r="G1246" s="759"/>
      <c r="H1246" s="759"/>
      <c r="I1246" s="759"/>
      <c r="J1246" s="759"/>
      <c r="K1246" s="969"/>
      <c r="L1246" s="759"/>
      <c r="M1246" s="759"/>
      <c r="N1246" s="759"/>
      <c r="O1246" s="759"/>
      <c r="P1246" s="969"/>
      <c r="Q1246" s="759"/>
      <c r="R1246" s="759"/>
      <c r="S1246" s="759"/>
      <c r="T1246" s="759"/>
      <c r="U1246" s="969"/>
      <c r="V1246" s="759"/>
      <c r="W1246" s="759"/>
      <c r="X1246" s="759"/>
      <c r="Y1246" s="759"/>
      <c r="Z1246" s="969"/>
      <c r="AA1246" s="759"/>
      <c r="AB1246" s="759"/>
      <c r="AC1246" s="759"/>
      <c r="AD1246" s="759"/>
      <c r="AE1246" s="969"/>
      <c r="AF1246" s="759"/>
      <c r="AG1246" s="759"/>
      <c r="AH1246" s="759"/>
      <c r="AI1246" s="759"/>
      <c r="AJ1246" s="969"/>
      <c r="AK1246" s="759"/>
      <c r="AL1246" s="759"/>
      <c r="AM1246" s="759"/>
      <c r="AN1246" s="759"/>
      <c r="AO1246" s="969"/>
      <c r="AP1246" s="759"/>
      <c r="AQ1246" s="759"/>
      <c r="AR1246" s="759"/>
      <c r="AS1246" s="759"/>
      <c r="AT1246" s="969"/>
      <c r="AU1246" s="759"/>
      <c r="AV1246" s="759"/>
      <c r="AW1246" s="759"/>
      <c r="AX1246" s="759"/>
      <c r="AY1246" s="969"/>
      <c r="AZ1246" s="759"/>
      <c r="BA1246" s="759"/>
      <c r="BB1246" s="759"/>
      <c r="BC1246" s="759"/>
      <c r="BD1246" s="969"/>
      <c r="BE1246" s="759"/>
      <c r="BF1246" s="759"/>
      <c r="BG1246" s="759"/>
      <c r="BH1246" s="759"/>
      <c r="BI1246" s="969"/>
      <c r="BJ1246" s="759"/>
      <c r="BK1246" s="759"/>
      <c r="BL1246" s="759"/>
      <c r="BM1246" s="759"/>
      <c r="BN1246" s="969"/>
      <c r="BO1246" s="759"/>
      <c r="BP1246" s="759"/>
      <c r="BQ1246" s="759"/>
      <c r="BR1246" s="759"/>
      <c r="BS1246" s="969"/>
      <c r="BT1246" s="760"/>
      <c r="BU1246" s="759"/>
      <c r="BV1246" s="759"/>
      <c r="BW1246" s="759"/>
      <c r="BX1246" s="969"/>
      <c r="BY1246" s="759"/>
      <c r="BZ1246" s="759"/>
      <c r="CA1246" s="759"/>
      <c r="CB1246" s="759"/>
      <c r="CC1246" s="969"/>
      <c r="CD1246" s="969"/>
      <c r="CE1246" s="969"/>
      <c r="CF1246" s="969"/>
      <c r="CG1246" s="183"/>
    </row>
    <row r="1247" spans="1:85" s="587" customFormat="1" x14ac:dyDescent="0.3">
      <c r="A1247" s="182" t="s">
        <v>508</v>
      </c>
      <c r="B1247" s="414"/>
      <c r="C1247" s="963">
        <v>5.2999999999999999E-2</v>
      </c>
      <c r="D1247" s="963">
        <v>5.2999999999999999E-2</v>
      </c>
      <c r="E1247" s="963">
        <v>5.5E-2</v>
      </c>
      <c r="F1247" s="963">
        <v>5.6000000000000001E-2</v>
      </c>
      <c r="G1247" s="857">
        <v>5.6000000000000001E-2</v>
      </c>
      <c r="H1247" s="857">
        <v>5.8999999999999997E-2</v>
      </c>
      <c r="I1247" s="857">
        <v>5.8999999999999997E-2</v>
      </c>
      <c r="J1247" s="857">
        <v>0.06</v>
      </c>
      <c r="K1247" s="963">
        <v>0.06</v>
      </c>
      <c r="L1247" s="857">
        <v>0.06</v>
      </c>
      <c r="M1247" s="857">
        <v>0.06</v>
      </c>
      <c r="N1247" s="857">
        <v>0.06</v>
      </c>
      <c r="O1247" s="857">
        <v>1042.8699999999999</v>
      </c>
      <c r="P1247" s="963">
        <v>1042.8699999999999</v>
      </c>
      <c r="Q1247" s="857">
        <v>1109.3879999999999</v>
      </c>
      <c r="R1247" s="857">
        <v>1200.8800000000001</v>
      </c>
      <c r="S1247" s="857">
        <v>1306.461</v>
      </c>
      <c r="T1247" s="857">
        <v>1324.809</v>
      </c>
      <c r="U1247" s="963">
        <v>1324.809</v>
      </c>
      <c r="V1247" s="857">
        <v>1382.0509999999999</v>
      </c>
      <c r="W1247" s="857">
        <v>1443.7070000000001</v>
      </c>
      <c r="X1247" s="857">
        <v>1503.6410000000001</v>
      </c>
      <c r="Y1247" s="757">
        <f>Z1247</f>
      </c>
      <c r="Z1247" s="963">
        <v>1599.7619999999999</v>
      </c>
      <c r="AA1247" s="857">
        <v>1669.1320000000001</v>
      </c>
      <c r="AB1247" s="857">
        <v>1727.8579999999999</v>
      </c>
      <c r="AC1247" s="857">
        <v>1807.123</v>
      </c>
      <c r="AD1247" s="757">
        <f>AE1247</f>
      </c>
      <c r="AE1247" s="963">
        <v>1871.396</v>
      </c>
      <c r="AF1247" s="857">
        <v>1995.2249999999999</v>
      </c>
      <c r="AG1247" s="857">
        <v>2103.4369999999999</v>
      </c>
      <c r="AH1247" s="857">
        <v>2215.7359999999999</v>
      </c>
      <c r="AI1247" s="757">
        <f>AJ1247</f>
      </c>
      <c r="AJ1247" s="963">
        <v>2315.9879999999998</v>
      </c>
      <c r="AK1247" s="857">
        <v>2439.7730000000001</v>
      </c>
      <c r="AL1247" s="857">
        <v>2566.3649999999998</v>
      </c>
      <c r="AM1247" s="857">
        <v>2677.9720000000002</v>
      </c>
      <c r="AN1247" s="757">
        <f>AO1247</f>
      </c>
      <c r="AO1247" s="963">
        <v>2793.9290000000001</v>
      </c>
      <c r="AP1247" s="857">
        <v>2935.5320000000002</v>
      </c>
      <c r="AQ1247" s="857">
        <v>3127.8130000000001</v>
      </c>
      <c r="AR1247" s="857">
        <v>3303.482</v>
      </c>
      <c r="AS1247" s="757">
        <f>AT1247</f>
      </c>
      <c r="AT1247" s="963">
        <v>3447.6979999999999</v>
      </c>
      <c r="AU1247" s="857">
        <v>3600.0839999999998</v>
      </c>
      <c r="AV1247" s="857">
        <v>3721.2460000000001</v>
      </c>
      <c r="AW1247" s="857">
        <v>3852.5309999999999</v>
      </c>
      <c r="AX1247" s="757">
        <f>AY1247</f>
      </c>
      <c r="AY1247" s="963">
        <v>4024.5610000000001</v>
      </c>
      <c r="AZ1247" s="857">
        <v>4155.58</v>
      </c>
      <c r="BA1247" s="857">
        <v>4316.87</v>
      </c>
      <c r="BB1247" s="857">
        <v>4473.9620000000004</v>
      </c>
      <c r="BC1247" s="757">
        <f>BD1247</f>
      </c>
      <c r="BD1247" s="963">
        <v>4637.6009999999997</v>
      </c>
      <c r="BE1247" s="857">
        <v>4762.3950000000004</v>
      </c>
      <c r="BF1247" s="857">
        <v>4874.2079999999996</v>
      </c>
      <c r="BG1247" s="857">
        <v>5011.4269999999997</v>
      </c>
      <c r="BH1247" s="757">
        <f>BI1247</f>
      </c>
      <c r="BI1247" s="963">
        <v>5145.1719999999996</v>
      </c>
      <c r="BJ1247" s="857">
        <v>5489.85</v>
      </c>
      <c r="BK1247" s="857">
        <v>5680.0609999999997</v>
      </c>
      <c r="BL1247" s="857">
        <v>5887.9030000000002</v>
      </c>
      <c r="BM1247" s="757">
        <f>BN1247</f>
      </c>
      <c r="BN1247" s="963">
        <v>6252.1260000000002</v>
      </c>
      <c r="BO1247" s="857">
        <v>6677.4690000000001</v>
      </c>
      <c r="BP1247" s="857">
        <v>6932.8280000000004</v>
      </c>
      <c r="BQ1247" s="857">
        <v>7080.3249999999998</v>
      </c>
      <c r="BR1247" s="757">
        <f>BS1247</f>
      </c>
      <c r="BS1247" s="963">
        <v>7286.41</v>
      </c>
      <c r="BT1247" s="864">
        <v>7478.4949999999999</v>
      </c>
      <c r="BU1247" s="757">
        <f>BT1247+BU1106</f>
      </c>
      <c r="BV1247" s="757">
        <f>BU1247+BV1106</f>
      </c>
      <c r="BW1247" s="757">
        <f>BV1247+BW1106</f>
      </c>
      <c r="BX1247" s="962">
        <f>BW1247</f>
      </c>
      <c r="BY1247" s="757">
        <f>BX1247+BY1106</f>
      </c>
      <c r="BZ1247" s="757">
        <f>BY1247+BZ1106</f>
      </c>
      <c r="CA1247" s="757">
        <f>BZ1247+CA1106</f>
      </c>
      <c r="CB1247" s="757">
        <f>CA1247+CB1106</f>
      </c>
      <c r="CC1247" s="962">
        <f>CB1247</f>
      </c>
      <c r="CD1247" s="962">
        <f>CC1247+CD1106</f>
      </c>
      <c r="CE1247" s="962">
        <f>CD1247+CE1106</f>
      </c>
      <c r="CF1247" s="962">
        <f>CE1247+CF1106</f>
      </c>
      <c r="CG1247" s="459"/>
    </row>
    <row r="1248" spans="1:85" s="587" customFormat="1" x14ac:dyDescent="0.3">
      <c r="A1248" s="182" t="s">
        <v>506</v>
      </c>
      <c r="B1248" s="414"/>
      <c r="C1248" s="962"/>
      <c r="D1248" s="962"/>
      <c r="E1248" s="962"/>
      <c r="F1248" s="962"/>
      <c r="G1248" s="757"/>
      <c r="H1248" s="757"/>
      <c r="I1248" s="757"/>
      <c r="J1248" s="757"/>
      <c r="K1248" s="962"/>
      <c r="L1248" s="757"/>
      <c r="M1248" s="757"/>
      <c r="N1248" s="757"/>
      <c r="O1248" s="757"/>
      <c r="P1248" s="962"/>
      <c r="Q1248" s="757"/>
      <c r="R1248" s="757"/>
      <c r="S1248" s="757"/>
      <c r="T1248" s="757"/>
      <c r="U1248" s="962"/>
      <c r="V1248" s="757"/>
      <c r="W1248" s="757"/>
      <c r="X1248" s="757"/>
      <c r="Y1248" s="757"/>
      <c r="Z1248" s="962"/>
      <c r="AA1248" s="757"/>
      <c r="AB1248" s="757"/>
      <c r="AC1248" s="757"/>
      <c r="AD1248" s="757"/>
      <c r="AE1248" s="962"/>
      <c r="AF1248" s="757"/>
      <c r="AG1248" s="757"/>
      <c r="AH1248" s="757"/>
      <c r="AI1248" s="757"/>
      <c r="AJ1248" s="962"/>
      <c r="AK1248" s="757"/>
      <c r="AL1248" s="757"/>
      <c r="AM1248" s="757"/>
      <c r="AN1248" s="757"/>
      <c r="AO1248" s="962"/>
      <c r="AP1248" s="757"/>
      <c r="AQ1248" s="757"/>
      <c r="AR1248" s="757"/>
      <c r="AS1248" s="757"/>
      <c r="AT1248" s="962"/>
      <c r="AU1248" s="757"/>
      <c r="AV1248" s="857">
        <v>-500.02199999999999</v>
      </c>
      <c r="AW1248" s="857">
        <v>-600.02200000000005</v>
      </c>
      <c r="AX1248" s="757">
        <f>AY1248</f>
      </c>
      <c r="AY1248" s="963">
        <v>-824.19</v>
      </c>
      <c r="AZ1248" s="857">
        <v>-824.19</v>
      </c>
      <c r="BA1248" s="857">
        <v>-824.19</v>
      </c>
      <c r="BB1248" s="857">
        <v>-824.19</v>
      </c>
      <c r="BC1248" s="757">
        <f>BD1248</f>
      </c>
      <c r="BD1248" s="963">
        <v>-824.19</v>
      </c>
      <c r="BE1248" s="857">
        <v>-1228.92</v>
      </c>
      <c r="BF1248" s="857">
        <v>-1876.7529999999999</v>
      </c>
      <c r="BG1248" s="857">
        <v>-4399.6769999999997</v>
      </c>
      <c r="BH1248" s="757">
        <f>BI1248</f>
      </c>
      <c r="BI1248" s="963">
        <v>-6922.2</v>
      </c>
      <c r="BJ1248" s="857">
        <v>-8934.0560000000005</v>
      </c>
      <c r="BK1248" s="857">
        <v>-10547.055</v>
      </c>
      <c r="BL1248" s="857">
        <v>-12254.855</v>
      </c>
      <c r="BM1248" s="757">
        <f>BN1248</f>
      </c>
      <c r="BN1248" s="963">
        <v>-13171.638000000001</v>
      </c>
      <c r="BO1248" s="857">
        <v>-16754.929</v>
      </c>
      <c r="BP1248" s="857">
        <v>-18392.941999999999</v>
      </c>
      <c r="BQ1248" s="857">
        <v>-20270.631000000001</v>
      </c>
      <c r="BR1248" s="757">
        <f>BS1248</f>
      </c>
      <c r="BS1248" s="963">
        <v>-22372.657999999999</v>
      </c>
      <c r="BT1248" s="864">
        <v>-23681.973999999998</v>
      </c>
      <c r="BU1248" s="757">
        <f>BT1248+BU1147</f>
      </c>
      <c r="BV1248" s="757">
        <f>BU1248+BV1147</f>
      </c>
      <c r="BW1248" s="757">
        <f>BV1248+BW1147</f>
      </c>
      <c r="BX1248" s="962">
        <f>+BW1248</f>
      </c>
      <c r="BY1248" s="757">
        <f>BX1248+BY1147</f>
      </c>
      <c r="BZ1248" s="757">
        <f>BY1248+BZ1147</f>
      </c>
      <c r="CA1248" s="757">
        <f>BZ1248+CA1147</f>
      </c>
      <c r="CB1248" s="757">
        <f>CA1248+CB1147</f>
      </c>
      <c r="CC1248" s="962">
        <f>+CB1248</f>
      </c>
      <c r="CD1248" s="962">
        <f>CC1248+CD1147</f>
      </c>
      <c r="CE1248" s="962">
        <f>CD1248+CE1147</f>
      </c>
      <c r="CF1248" s="962">
        <f>CE1248+CF1147</f>
      </c>
      <c r="CG1248" s="459"/>
    </row>
    <row r="1249" spans="1:85" s="587" customFormat="1" x14ac:dyDescent="0.3">
      <c r="A1249" s="182" t="s">
        <v>211</v>
      </c>
      <c r="B1249" s="414"/>
      <c r="C1249" s="963">
        <v>0</v>
      </c>
      <c r="D1249" s="963">
        <v>51.622</v>
      </c>
      <c r="E1249" s="963">
        <v>219.119</v>
      </c>
      <c r="F1249" s="963">
        <v>301.61599999999999</v>
      </c>
      <c r="G1249" s="857">
        <v>369.80099999999999</v>
      </c>
      <c r="H1249" s="857">
        <v>634.98500000000001</v>
      </c>
      <c r="I1249" s="857">
        <v>698.67700000000002</v>
      </c>
      <c r="J1249" s="857">
        <v>777.44100000000003</v>
      </c>
      <c r="K1249" s="963">
        <v>777.44100000000003</v>
      </c>
      <c r="L1249" s="857">
        <v>868.19500000000005</v>
      </c>
      <c r="M1249" s="857">
        <v>926.52499999999998</v>
      </c>
      <c r="N1249" s="857">
        <v>987.25599999999997</v>
      </c>
      <c r="O1249" s="857">
        <v>0</v>
      </c>
      <c r="P1249" s="963">
        <v>0</v>
      </c>
      <c r="Q1249" s="857">
        <v>0</v>
      </c>
      <c r="R1249" s="857">
        <v>0</v>
      </c>
      <c r="S1249" s="857">
        <v>0</v>
      </c>
      <c r="T1249" s="857">
        <v>0</v>
      </c>
      <c r="U1249" s="963">
        <v>0</v>
      </c>
      <c r="V1249" s="757"/>
      <c r="W1249" s="757"/>
      <c r="X1249" s="757"/>
      <c r="Y1249" s="757">
        <f>Z1249</f>
      </c>
      <c r="Z1249" s="962"/>
      <c r="AA1249" s="757"/>
      <c r="AB1249" s="757"/>
      <c r="AC1249" s="757"/>
      <c r="AD1249" s="757">
        <f>AE1249</f>
      </c>
      <c r="AE1249" s="962"/>
      <c r="AF1249" s="757"/>
      <c r="AG1249" s="757"/>
      <c r="AH1249" s="757"/>
      <c r="AI1249" s="757">
        <f>AJ1249</f>
      </c>
      <c r="AJ1249" s="962"/>
      <c r="AK1249" s="757"/>
      <c r="AL1249" s="757"/>
      <c r="AM1249" s="757"/>
      <c r="AN1249" s="757">
        <f>AO1249</f>
      </c>
      <c r="AO1249" s="962"/>
      <c r="AP1249" s="757"/>
      <c r="AQ1249" s="757"/>
      <c r="AR1249" s="757"/>
      <c r="AS1249" s="757">
        <f>AT1249</f>
      </c>
      <c r="AT1249" s="962"/>
      <c r="AU1249" s="757"/>
      <c r="AV1249" s="757"/>
      <c r="AW1249" s="757"/>
      <c r="AX1249" s="757">
        <f>AY1249</f>
      </c>
      <c r="AY1249" s="962"/>
      <c r="AZ1249" s="757"/>
      <c r="BA1249" s="757"/>
      <c r="BB1249" s="757"/>
      <c r="BC1249" s="757">
        <f>BD1249</f>
      </c>
      <c r="BD1249" s="962"/>
      <c r="BE1249" s="757"/>
      <c r="BF1249" s="757"/>
      <c r="BG1249" s="757"/>
      <c r="BH1249" s="757">
        <f>BI1249</f>
      </c>
      <c r="BI1249" s="962"/>
      <c r="BJ1249" s="757"/>
      <c r="BK1249" s="757"/>
      <c r="BL1249" s="757"/>
      <c r="BM1249" s="757">
        <f>BN1249</f>
      </c>
      <c r="BN1249" s="962"/>
      <c r="BO1249" s="757"/>
      <c r="BP1249" s="757"/>
      <c r="BQ1249" s="757"/>
      <c r="BR1249" s="757">
        <f>BS1249</f>
      </c>
      <c r="BS1249" s="962"/>
      <c r="BT1249" s="758"/>
      <c r="BU1249" s="757">
        <f t="shared" ref="BU1249:BW1250" si="2761">BT1249</f>
      </c>
      <c r="BV1249" s="757">
        <f t="shared" si="2761"/>
      </c>
      <c r="BW1249" s="757">
        <f t="shared" si="2761"/>
      </c>
      <c r="BX1249" s="962">
        <f t="shared" ref="BX1249:BX1250" si="2762">BW1249</f>
      </c>
      <c r="BY1249" s="757">
        <f t="shared" ref="BY1249:CF1250" si="2763">BX1249</f>
      </c>
      <c r="BZ1249" s="757">
        <f t="shared" si="2763"/>
      </c>
      <c r="CA1249" s="757">
        <f t="shared" si="2763"/>
      </c>
      <c r="CB1249" s="757">
        <f t="shared" si="2763"/>
      </c>
      <c r="CC1249" s="962">
        <f t="shared" si="2763"/>
      </c>
      <c r="CD1249" s="962">
        <f t="shared" si="2763"/>
      </c>
      <c r="CE1249" s="962">
        <f t="shared" si="2763"/>
      </c>
      <c r="CF1249" s="962">
        <f t="shared" si="2763"/>
      </c>
      <c r="CG1249" s="459"/>
    </row>
    <row r="1250" spans="1:85" s="587" customFormat="1" x14ac:dyDescent="0.3">
      <c r="A1250" s="182" t="s">
        <v>212</v>
      </c>
      <c r="B1250" s="414"/>
      <c r="C1250" s="963">
        <v>0.27300000000000002</v>
      </c>
      <c r="D1250" s="963">
        <v>0.75</v>
      </c>
      <c r="E1250" s="963">
        <v>0.70599999999999996</v>
      </c>
      <c r="F1250" s="963">
        <v>2.919</v>
      </c>
      <c r="G1250" s="857">
        <v>0.29099999999999998</v>
      </c>
      <c r="H1250" s="857">
        <v>-1.6639999999999999</v>
      </c>
      <c r="I1250" s="857">
        <v>1.5699999999999998</v>
      </c>
      <c r="J1250" s="857">
        <v>3.5750000000000002</v>
      </c>
      <c r="K1250" s="963">
        <v>3.5750000000000002</v>
      </c>
      <c r="L1250" s="857">
        <v>4.5030000000000001</v>
      </c>
      <c r="M1250" s="857">
        <v>6.5019999999999998</v>
      </c>
      <c r="N1250" s="857">
        <v>1.645</v>
      </c>
      <c r="O1250" s="857">
        <v>-4.4459999999999997</v>
      </c>
      <c r="P1250" s="963">
        <v>-4.4459999999999997</v>
      </c>
      <c r="Q1250" s="857">
        <v>-43.154000000000003</v>
      </c>
      <c r="R1250" s="857">
        <v>-38.119999999999997</v>
      </c>
      <c r="S1250" s="857">
        <v>-37.89</v>
      </c>
      <c r="T1250" s="857">
        <v>-43.308</v>
      </c>
      <c r="U1250" s="963">
        <v>-43.308</v>
      </c>
      <c r="V1250" s="857">
        <v>-34.401000000000003</v>
      </c>
      <c r="W1250" s="857">
        <v>-38.210999999999999</v>
      </c>
      <c r="X1250" s="857">
        <v>-36.53</v>
      </c>
      <c r="Y1250" s="757">
        <f>Z1250</f>
      </c>
      <c r="Z1250" s="963">
        <v>-48.564999999999998</v>
      </c>
      <c r="AA1250" s="857">
        <v>-45.859000000000002</v>
      </c>
      <c r="AB1250" s="857">
        <v>-31.367999999999999</v>
      </c>
      <c r="AC1250" s="857">
        <v>-25.361999999999998</v>
      </c>
      <c r="AD1250" s="757">
        <f>AE1250</f>
      </c>
      <c r="AE1250" s="963">
        <v>-20.556999999999999</v>
      </c>
      <c r="AF1250" s="857">
        <v>4.2640000000000002</v>
      </c>
      <c r="AG1250" s="857">
        <v>-12.427</v>
      </c>
      <c r="AH1250" s="857">
        <v>-14.507999999999999</v>
      </c>
      <c r="AI1250" s="757">
        <f>AJ1250</f>
      </c>
      <c r="AJ1250" s="963">
        <v>-19.582000000000001</v>
      </c>
      <c r="AK1250" s="857">
        <v>-25.6</v>
      </c>
      <c r="AL1250" s="857">
        <v>-20.352</v>
      </c>
      <c r="AM1250" s="857">
        <v>-41.246000000000002</v>
      </c>
      <c r="AN1250" s="757">
        <f>AO1250</f>
      </c>
      <c r="AO1250" s="963">
        <v>-23.521000000000001</v>
      </c>
      <c r="AP1250" s="857">
        <v>-47.054000000000002</v>
      </c>
      <c r="AQ1250" s="857">
        <v>-34.072000000000003</v>
      </c>
      <c r="AR1250" s="857">
        <v>-1.147</v>
      </c>
      <c r="AS1250" s="757">
        <f>AT1250</f>
      </c>
      <c r="AT1250" s="963">
        <v>44.398000000000003</v>
      </c>
      <c r="AU1250" s="857">
        <v>4.1369999999999996</v>
      </c>
      <c r="AV1250" s="857">
        <v>9.7750000000000004</v>
      </c>
      <c r="AW1250" s="857">
        <v>-19.835000000000001</v>
      </c>
      <c r="AX1250" s="757">
        <f>AY1250</f>
      </c>
      <c r="AY1250" s="963">
        <v>-40.494999999999997</v>
      </c>
      <c r="AZ1250" s="857">
        <v>-74.17</v>
      </c>
      <c r="BA1250" s="857">
        <v>-144.476</v>
      </c>
      <c r="BB1250" s="857">
        <v>-247.643</v>
      </c>
      <c r="BC1250" s="757">
        <f>BD1250</f>
      </c>
      <c r="BD1250" s="963">
        <v>-217.30600000000001</v>
      </c>
      <c r="BE1250" s="857">
        <v>-191.69499999999999</v>
      </c>
      <c r="BF1250" s="857">
        <v>-139.26599999999999</v>
      </c>
      <c r="BG1250" s="857">
        <v>-155.571</v>
      </c>
      <c r="BH1250" s="757">
        <f>BI1250</f>
      </c>
      <c r="BI1250" s="963">
        <v>-223.94499999999999</v>
      </c>
      <c r="BJ1250" s="857">
        <v>-111.879</v>
      </c>
      <c r="BK1250" s="857">
        <v>-89.114000000000004</v>
      </c>
      <c r="BL1250" s="857">
        <v>-344.62200000000001</v>
      </c>
      <c r="BM1250" s="757">
        <f>BN1250</f>
      </c>
      <c r="BN1250" s="963">
        <v>362.16199999999998</v>
      </c>
      <c r="BO1250" s="857">
        <v>-85.734999999999999</v>
      </c>
      <c r="BP1250" s="857">
        <v>-904.66800000000001</v>
      </c>
      <c r="BQ1250" s="857">
        <v>-719.25599999999997</v>
      </c>
      <c r="BR1250" s="757">
        <f>BS1250</f>
      </c>
      <c r="BS1250" s="963">
        <v>-580.38199999999995</v>
      </c>
      <c r="BT1250" s="864">
        <v>-235.03100000000001</v>
      </c>
      <c r="BU1250" s="757">
        <f t="shared" si="2761"/>
      </c>
      <c r="BV1250" s="757">
        <f t="shared" si="2761"/>
      </c>
      <c r="BW1250" s="757">
        <f t="shared" si="2761"/>
      </c>
      <c r="BX1250" s="962">
        <f t="shared" si="2762"/>
      </c>
      <c r="BY1250" s="757">
        <f t="shared" si="2763"/>
      </c>
      <c r="BZ1250" s="757">
        <f t="shared" si="2763"/>
      </c>
      <c r="CA1250" s="757">
        <f t="shared" si="2763"/>
      </c>
      <c r="CB1250" s="757">
        <f t="shared" si="2763"/>
      </c>
      <c r="CC1250" s="962">
        <f t="shared" si="2763"/>
      </c>
      <c r="CD1250" s="962">
        <f t="shared" si="2763"/>
      </c>
      <c r="CE1250" s="962">
        <f t="shared" si="2763"/>
      </c>
      <c r="CF1250" s="962">
        <f t="shared" si="2763"/>
      </c>
      <c r="CG1250" s="459"/>
    </row>
    <row r="1251" spans="1:85" s="587" customFormat="1" x14ac:dyDescent="0.3">
      <c r="A1251" s="30" t="s">
        <v>213</v>
      </c>
      <c r="B1251" s="416"/>
      <c r="C1251" s="989">
        <v>198.81700000000001</v>
      </c>
      <c r="D1251" s="989">
        <v>237.739</v>
      </c>
      <c r="E1251" s="989">
        <v>422.93</v>
      </c>
      <c r="F1251" s="989">
        <v>440.08199999999999</v>
      </c>
      <c r="G1251" s="863">
        <v>442.77100000000002</v>
      </c>
      <c r="H1251" s="863">
        <v>472.24200000000002</v>
      </c>
      <c r="I1251" s="863">
        <v>504.06400000000002</v>
      </c>
      <c r="J1251" s="863">
        <v>552.48500000000001</v>
      </c>
      <c r="K1251" s="989">
        <v>552.48500000000001</v>
      </c>
      <c r="L1251" s="863">
        <v>605.6</v>
      </c>
      <c r="M1251" s="863">
        <v>676.61800000000005</v>
      </c>
      <c r="N1251" s="863">
        <v>735.91300000000001</v>
      </c>
      <c r="O1251" s="863">
        <v>819.28399999999999</v>
      </c>
      <c r="P1251" s="989">
        <v>819.28399999999999</v>
      </c>
      <c r="Q1251" s="863">
        <v>842.98</v>
      </c>
      <c r="R1251" s="863">
        <v>869.31500000000005</v>
      </c>
      <c r="S1251" s="863">
        <v>898.74699999999996</v>
      </c>
      <c r="T1251" s="863">
        <v>941.92499999999995</v>
      </c>
      <c r="U1251" s="989">
        <v>941.92499999999995</v>
      </c>
      <c r="V1251" s="863">
        <v>969.58299999999997</v>
      </c>
      <c r="W1251" s="863">
        <v>1010.338</v>
      </c>
      <c r="X1251" s="863">
        <v>1061.855</v>
      </c>
      <c r="Y1251" s="761">
        <f>Z1251</f>
      </c>
      <c r="Z1251" s="989">
        <v>1128.6030000000001</v>
      </c>
      <c r="AA1251" s="863">
        <v>1350.41</v>
      </c>
      <c r="AB1251" s="863">
        <v>1416.01</v>
      </c>
      <c r="AC1251" s="863">
        <v>1545.6</v>
      </c>
      <c r="AD1251" s="761">
        <f>AE1251</f>
      </c>
      <c r="AE1251" s="989">
        <v>1731.117</v>
      </c>
      <c r="AF1251" s="863">
        <v>2021.241</v>
      </c>
      <c r="AG1251" s="863">
        <v>2405.59</v>
      </c>
      <c r="AH1251" s="863">
        <v>2808.4250000000002</v>
      </c>
      <c r="AI1251" s="761">
        <f>AJ1251</f>
      </c>
      <c r="AJ1251" s="989">
        <v>2942.3589999999999</v>
      </c>
      <c r="AK1251" s="863">
        <v>3288.8850000000002</v>
      </c>
      <c r="AL1251" s="863">
        <v>3559.5349999999999</v>
      </c>
      <c r="AM1251" s="863">
        <v>4224.7790000000005</v>
      </c>
      <c r="AN1251" s="761">
        <f>AO1251</f>
      </c>
      <c r="AO1251" s="989">
        <v>4811.7489999999998</v>
      </c>
      <c r="AP1251" s="863">
        <v>5520.8159999999998</v>
      </c>
      <c r="AQ1251" s="863">
        <v>6241.0119999999997</v>
      </c>
      <c r="AR1251" s="863">
        <v>7030.9880000000003</v>
      </c>
      <c r="AS1251" s="761">
        <f>AT1251</f>
      </c>
      <c r="AT1251" s="989">
        <v>7573.1440000000002</v>
      </c>
      <c r="AU1251" s="863">
        <v>9279.8590000000004</v>
      </c>
      <c r="AV1251" s="863">
        <v>10632.871999999999</v>
      </c>
      <c r="AW1251" s="863">
        <v>12081.942999999999</v>
      </c>
      <c r="AX1251" s="761">
        <f>AY1251</f>
      </c>
      <c r="AY1251" s="989">
        <v>12689.371999999999</v>
      </c>
      <c r="AZ1251" s="863">
        <v>14286.819</v>
      </c>
      <c r="BA1251" s="863">
        <v>15727.77</v>
      </c>
      <c r="BB1251" s="863">
        <v>17126.011999999999</v>
      </c>
      <c r="BC1251" s="761">
        <f>BD1251</f>
      </c>
      <c r="BD1251" s="989">
        <v>17181.295999999998</v>
      </c>
      <c r="BE1251" s="863">
        <v>18486.416000000001</v>
      </c>
      <c r="BF1251" s="863">
        <v>19974.026000000002</v>
      </c>
      <c r="BG1251" s="863">
        <v>21651.448</v>
      </c>
      <c r="BH1251" s="761">
        <f>BI1251</f>
      </c>
      <c r="BI1251" s="989">
        <v>22589.286</v>
      </c>
      <c r="BJ1251" s="863">
        <v>24921.494999999999</v>
      </c>
      <c r="BK1251" s="863">
        <v>27068.800999999999</v>
      </c>
      <c r="BL1251" s="863">
        <v>29432.31</v>
      </c>
      <c r="BM1251" s="761">
        <f>BN1251</f>
      </c>
      <c r="BN1251" s="989">
        <v>31300.917000000001</v>
      </c>
      <c r="BO1251" s="863">
        <v>34191.267999999996</v>
      </c>
      <c r="BP1251" s="863">
        <v>37316.680999999997</v>
      </c>
      <c r="BQ1251" s="863">
        <v>39863.597000000002</v>
      </c>
      <c r="BR1251" s="761">
        <f>BS1251</f>
      </c>
      <c r="BS1251" s="989">
        <v>42282.118000000002</v>
      </c>
      <c r="BT1251" s="873">
        <v>47564.909</v>
      </c>
      <c r="BU1251" s="761">
        <f>BT1251+BU1150+BU1099</f>
      </c>
      <c r="BV1251" s="761">
        <f>BU1251+BV1150+BV1099</f>
      </c>
      <c r="BW1251" s="761">
        <f>BV1251+BW1150+BW1099</f>
      </c>
      <c r="BX1251" s="984">
        <f>+BW1251</f>
      </c>
      <c r="BY1251" s="761">
        <f>BX1251+BY1150+BY1099</f>
      </c>
      <c r="BZ1251" s="761">
        <f>BY1251+BZ1150+BZ1099</f>
      </c>
      <c r="CA1251" s="761">
        <f>BZ1251+CA1150+CA1099</f>
      </c>
      <c r="CB1251" s="761">
        <f>CA1251+CB1150+CB1099</f>
      </c>
      <c r="CC1251" s="984">
        <f>+CB1251</f>
      </c>
      <c r="CD1251" s="984">
        <f>CC1251+CD1150+CD1099</f>
      </c>
      <c r="CE1251" s="984">
        <f>CD1251+CE1150+CE1099</f>
      </c>
      <c r="CF1251" s="984">
        <f>CE1251+CF1150+CF1099</f>
      </c>
      <c r="CG1251" s="459"/>
    </row>
    <row r="1252" spans="1:85" s="587" customFormat="1" x14ac:dyDescent="0.3">
      <c r="A1252" s="2" t="s">
        <v>214</v>
      </c>
      <c r="B1252" s="422"/>
      <c r="C1252" s="986">
        <f t="shared" ref="C1252:AH1252" si="2764">SUM(C1247:C1251)</f>
      </c>
      <c r="D1252" s="986">
        <f t="shared" si="2764"/>
      </c>
      <c r="E1252" s="986">
        <f t="shared" si="2764"/>
      </c>
      <c r="F1252" s="986">
        <f t="shared" si="2764"/>
      </c>
      <c r="G1252" s="792">
        <f t="shared" si="2764"/>
      </c>
      <c r="H1252" s="792">
        <f t="shared" si="2764"/>
      </c>
      <c r="I1252" s="792">
        <f t="shared" si="2764"/>
      </c>
      <c r="J1252" s="792">
        <f t="shared" si="2764"/>
      </c>
      <c r="K1252" s="986">
        <f t="shared" si="2764"/>
      </c>
      <c r="L1252" s="792">
        <f t="shared" si="2764"/>
      </c>
      <c r="M1252" s="792">
        <f t="shared" si="2764"/>
      </c>
      <c r="N1252" s="792">
        <f t="shared" si="2764"/>
      </c>
      <c r="O1252" s="792">
        <f t="shared" si="2764"/>
      </c>
      <c r="P1252" s="986">
        <f t="shared" si="2764"/>
      </c>
      <c r="Q1252" s="792">
        <f t="shared" si="2764"/>
      </c>
      <c r="R1252" s="792">
        <f t="shared" si="2764"/>
      </c>
      <c r="S1252" s="792">
        <f t="shared" si="2764"/>
      </c>
      <c r="T1252" s="792">
        <f t="shared" si="2764"/>
      </c>
      <c r="U1252" s="986">
        <f t="shared" si="2764"/>
      </c>
      <c r="V1252" s="792">
        <f t="shared" si="2764"/>
      </c>
      <c r="W1252" s="792">
        <f t="shared" si="2764"/>
      </c>
      <c r="X1252" s="792">
        <f t="shared" si="2764"/>
      </c>
      <c r="Y1252" s="791">
        <f t="shared" si="2764"/>
      </c>
      <c r="Z1252" s="965">
        <f t="shared" si="2764"/>
      </c>
      <c r="AA1252" s="792">
        <f t="shared" si="2764"/>
      </c>
      <c r="AB1252" s="792">
        <f t="shared" si="2764"/>
      </c>
      <c r="AC1252" s="792">
        <f t="shared" si="2764"/>
      </c>
      <c r="AD1252" s="791">
        <f t="shared" si="2764"/>
      </c>
      <c r="AE1252" s="965">
        <f t="shared" si="2764"/>
      </c>
      <c r="AF1252" s="792">
        <f t="shared" si="2764"/>
      </c>
      <c r="AG1252" s="792">
        <f t="shared" si="2764"/>
      </c>
      <c r="AH1252" s="792">
        <f t="shared" si="2764"/>
      </c>
      <c r="AI1252" s="791">
        <f t="shared" ref="AI1252:AQ1252" si="2765">SUM(AI1247:AI1251)</f>
      </c>
      <c r="AJ1252" s="965">
        <f t="shared" si="2765"/>
      </c>
      <c r="AK1252" s="792">
        <f t="shared" si="2765"/>
      </c>
      <c r="AL1252" s="792">
        <f t="shared" si="2765"/>
      </c>
      <c r="AM1252" s="792">
        <f t="shared" si="2765"/>
      </c>
      <c r="AN1252" s="791">
        <f t="shared" si="2765"/>
      </c>
      <c r="AO1252" s="965">
        <f t="shared" si="2765"/>
      </c>
      <c r="AP1252" s="792">
        <f t="shared" si="2765"/>
      </c>
      <c r="AQ1252" s="792">
        <f t="shared" si="2765"/>
      </c>
      <c r="AR1252" s="792">
        <f>SUM(AR1247:AR1251)</f>
      </c>
      <c r="AS1252" s="791">
        <f>SUM(AS1247:AS1251)</f>
      </c>
      <c r="AT1252" s="965">
        <f>SUM(AT1247:AT1251)</f>
      </c>
      <c r="AU1252" s="792">
        <f t="shared" ref="AU1252" si="2766">SUM(AU1247:AU1251)</f>
      </c>
      <c r="AV1252" s="792">
        <f>SUM(AV1247:AV1251)</f>
      </c>
      <c r="AW1252" s="792">
        <f>SUM(AW1247:AW1251)</f>
      </c>
      <c r="AX1252" s="791">
        <f>SUM(AX1247:AX1251)</f>
      </c>
      <c r="AY1252" s="965">
        <f>SUM(AY1247:AY1251)</f>
      </c>
      <c r="AZ1252" s="792">
        <f>SUM(AZ1247:AZ1251)</f>
      </c>
      <c r="BA1252" s="791">
        <f t="shared" ref="BA1252" si="2767">SUM(BA1247:BA1251)</f>
      </c>
      <c r="BB1252" s="792">
        <f t="shared" ref="BB1252:BD1252" si="2768">SUM(BB1247:BB1251)</f>
      </c>
      <c r="BC1252" s="791">
        <f t="shared" si="2768"/>
      </c>
      <c r="BD1252" s="965">
        <f t="shared" si="2768"/>
      </c>
      <c r="BE1252" s="792">
        <f t="shared" ref="BE1252:BI1252" si="2769">SUM(BE1247:BE1251)</f>
      </c>
      <c r="BF1252" s="791">
        <f t="shared" si="2769"/>
      </c>
      <c r="BG1252" s="792">
        <f t="shared" si="2769"/>
      </c>
      <c r="BH1252" s="791">
        <f t="shared" si="2769"/>
      </c>
      <c r="BI1252" s="965">
        <f t="shared" si="2769"/>
      </c>
      <c r="BJ1252" s="792">
        <f t="shared" ref="BJ1252:BX1252" si="2770">SUM(BJ1247:BJ1251)</f>
      </c>
      <c r="BK1252" s="791">
        <f t="shared" si="2770"/>
      </c>
      <c r="BL1252" s="792">
        <f t="shared" si="2770"/>
      </c>
      <c r="BM1252" s="791">
        <f t="shared" si="2770"/>
      </c>
      <c r="BN1252" s="965">
        <f t="shared" si="2770"/>
      </c>
      <c r="BO1252" s="792">
        <f t="shared" ref="BO1252:BW1252" si="2771">SUM(BO1247:BO1251)</f>
      </c>
      <c r="BP1252" s="791">
        <f t="shared" si="2771"/>
      </c>
      <c r="BQ1252" s="792">
        <f t="shared" si="2771"/>
      </c>
      <c r="BR1252" s="791">
        <f t="shared" si="2771"/>
      </c>
      <c r="BS1252" s="965">
        <f t="shared" si="2771"/>
      </c>
      <c r="BT1252" s="793">
        <f>SUM(BT1247:BT1251)</f>
      </c>
      <c r="BU1252" s="791">
        <f t="shared" si="2771"/>
      </c>
      <c r="BV1252" s="791">
        <f t="shared" si="2771"/>
      </c>
      <c r="BW1252" s="791">
        <f t="shared" si="2771"/>
      </c>
      <c r="BX1252" s="965">
        <f t="shared" si="2770"/>
      </c>
      <c r="BY1252" s="791">
        <f t="shared" ref="BY1252:CF1252" si="2772">SUM(BY1247:BY1251)</f>
      </c>
      <c r="BZ1252" s="791">
        <f t="shared" si="2772"/>
      </c>
      <c r="CA1252" s="791">
        <f t="shared" si="2772"/>
      </c>
      <c r="CB1252" s="791">
        <f t="shared" si="2772"/>
      </c>
      <c r="CC1252" s="965">
        <f t="shared" si="2772"/>
      </c>
      <c r="CD1252" s="965">
        <f t="shared" si="2772"/>
      </c>
      <c r="CE1252" s="965">
        <f t="shared" si="2772"/>
      </c>
      <c r="CF1252" s="965">
        <f t="shared" si="2772"/>
      </c>
      <c r="CG1252" s="183"/>
    </row>
    <row r="1253" spans="1:85" s="587" customFormat="1" x14ac:dyDescent="0.3">
      <c r="A1253" s="182" t="s">
        <v>215</v>
      </c>
      <c r="B1253" s="414"/>
      <c r="C1253" s="962"/>
      <c r="D1253" s="962"/>
      <c r="E1253" s="962"/>
      <c r="F1253" s="962"/>
      <c r="G1253" s="757"/>
      <c r="H1253" s="757"/>
      <c r="I1253" s="757"/>
      <c r="J1253" s="757"/>
      <c r="K1253" s="962"/>
      <c r="L1253" s="757"/>
      <c r="M1253" s="757"/>
      <c r="N1253" s="757"/>
      <c r="O1253" s="757"/>
      <c r="P1253" s="962"/>
      <c r="Q1253" s="757"/>
      <c r="R1253" s="757"/>
      <c r="S1253" s="757"/>
      <c r="T1253" s="757"/>
      <c r="U1253" s="962"/>
      <c r="V1253" s="757"/>
      <c r="W1253" s="757"/>
      <c r="X1253" s="757"/>
      <c r="Y1253" s="757"/>
      <c r="Z1253" s="962"/>
      <c r="AA1253" s="757"/>
      <c r="AB1253" s="757"/>
      <c r="AC1253" s="757"/>
      <c r="AD1253" s="757"/>
      <c r="AE1253" s="962"/>
      <c r="AF1253" s="757"/>
      <c r="AG1253" s="757"/>
      <c r="AH1253" s="757"/>
      <c r="AI1253" s="757"/>
      <c r="AJ1253" s="962"/>
      <c r="AK1253" s="757"/>
      <c r="AL1253" s="757"/>
      <c r="AM1253" s="757"/>
      <c r="AN1253" s="757"/>
      <c r="AO1253" s="962"/>
      <c r="AP1253" s="757"/>
      <c r="AQ1253" s="757"/>
      <c r="AR1253" s="757"/>
      <c r="AS1253" s="757"/>
      <c r="AT1253" s="962"/>
      <c r="AU1253" s="757"/>
      <c r="AV1253" s="757"/>
      <c r="AW1253" s="757"/>
      <c r="AX1253" s="757"/>
      <c r="AY1253" s="962"/>
      <c r="AZ1253" s="757"/>
      <c r="BA1253" s="757"/>
      <c r="BB1253" s="757"/>
      <c r="BC1253" s="757"/>
      <c r="BD1253" s="962"/>
      <c r="BE1253" s="757"/>
      <c r="BF1253" s="757"/>
      <c r="BG1253" s="757"/>
      <c r="BH1253" s="757"/>
      <c r="BI1253" s="962"/>
      <c r="BJ1253" s="757"/>
      <c r="BK1253" s="757"/>
      <c r="BL1253" s="757"/>
      <c r="BM1253" s="757"/>
      <c r="BN1253" s="962"/>
      <c r="BO1253" s="757"/>
      <c r="BP1253" s="757"/>
      <c r="BQ1253" s="757"/>
      <c r="BR1253" s="757"/>
      <c r="BS1253" s="962"/>
      <c r="BT1253" s="758"/>
      <c r="BU1253" s="757">
        <f>BT1253</f>
      </c>
      <c r="BV1253" s="757">
        <f>BU1253</f>
      </c>
      <c r="BW1253" s="757">
        <f>BV1253</f>
      </c>
      <c r="BX1253" s="962">
        <f t="shared" ref="BX1253" si="2773">BW1253</f>
      </c>
      <c r="BY1253" s="757">
        <f t="shared" ref="BY1253:CF1253" si="2774">BX1253</f>
      </c>
      <c r="BZ1253" s="757">
        <f t="shared" si="2774"/>
      </c>
      <c r="CA1253" s="757">
        <f t="shared" si="2774"/>
      </c>
      <c r="CB1253" s="757">
        <f t="shared" si="2774"/>
      </c>
      <c r="CC1253" s="962">
        <f t="shared" si="2774"/>
      </c>
      <c r="CD1253" s="962">
        <f t="shared" si="2774"/>
      </c>
      <c r="CE1253" s="962">
        <f t="shared" si="2774"/>
      </c>
      <c r="CF1253" s="962">
        <f t="shared" si="2774"/>
      </c>
      <c r="CG1253" s="459"/>
    </row>
    <row r="1254" spans="1:85" s="587" customFormat="1" x14ac:dyDescent="0.3">
      <c r="A1254" s="4" t="s">
        <v>216</v>
      </c>
      <c r="B1254" s="428"/>
      <c r="C1254" s="985">
        <f t="shared" ref="C1254:AH1254" si="2775">C1252+C1244+C1253</f>
      </c>
      <c r="D1254" s="985">
        <f t="shared" si="2775"/>
      </c>
      <c r="E1254" s="985">
        <f t="shared" si="2775"/>
      </c>
      <c r="F1254" s="985">
        <f t="shared" si="2775"/>
      </c>
      <c r="G1254" s="183">
        <f t="shared" si="2775"/>
      </c>
      <c r="H1254" s="183">
        <f t="shared" si="2775"/>
      </c>
      <c r="I1254" s="183">
        <f t="shared" si="2775"/>
      </c>
      <c r="J1254" s="183">
        <f t="shared" si="2775"/>
      </c>
      <c r="K1254" s="985">
        <f t="shared" si="2775"/>
      </c>
      <c r="L1254" s="183">
        <f t="shared" si="2775"/>
      </c>
      <c r="M1254" s="183">
        <f t="shared" si="2775"/>
      </c>
      <c r="N1254" s="183">
        <f t="shared" si="2775"/>
      </c>
      <c r="O1254" s="183">
        <f t="shared" si="2775"/>
      </c>
      <c r="P1254" s="985">
        <f t="shared" si="2775"/>
      </c>
      <c r="Q1254" s="183">
        <f t="shared" si="2775"/>
      </c>
      <c r="R1254" s="183">
        <f t="shared" si="2775"/>
      </c>
      <c r="S1254" s="183">
        <f t="shared" si="2775"/>
      </c>
      <c r="T1254" s="183">
        <f t="shared" si="2775"/>
      </c>
      <c r="U1254" s="985">
        <f t="shared" si="2775"/>
      </c>
      <c r="V1254" s="183">
        <f t="shared" si="2775"/>
      </c>
      <c r="W1254" s="183">
        <f t="shared" si="2775"/>
      </c>
      <c r="X1254" s="183">
        <f t="shared" si="2775"/>
      </c>
      <c r="Y1254" s="759">
        <f t="shared" si="2775"/>
      </c>
      <c r="Z1254" s="969">
        <f t="shared" si="2775"/>
      </c>
      <c r="AA1254" s="183">
        <f t="shared" si="2775"/>
      </c>
      <c r="AB1254" s="183">
        <f t="shared" si="2775"/>
      </c>
      <c r="AC1254" s="183">
        <f t="shared" si="2775"/>
      </c>
      <c r="AD1254" s="759">
        <f t="shared" si="2775"/>
      </c>
      <c r="AE1254" s="969">
        <f t="shared" si="2775"/>
      </c>
      <c r="AF1254" s="183">
        <f t="shared" si="2775"/>
      </c>
      <c r="AG1254" s="183">
        <f t="shared" si="2775"/>
      </c>
      <c r="AH1254" s="183">
        <f t="shared" si="2775"/>
      </c>
      <c r="AI1254" s="759">
        <f t="shared" ref="AI1254:AQ1254" si="2776">AI1252+AI1244+AI1253</f>
      </c>
      <c r="AJ1254" s="969">
        <f t="shared" si="2776"/>
      </c>
      <c r="AK1254" s="183">
        <f t="shared" si="2776"/>
      </c>
      <c r="AL1254" s="183">
        <f t="shared" si="2776"/>
      </c>
      <c r="AM1254" s="183">
        <f t="shared" si="2776"/>
      </c>
      <c r="AN1254" s="759">
        <f t="shared" si="2776"/>
      </c>
      <c r="AO1254" s="969">
        <f t="shared" si="2776"/>
      </c>
      <c r="AP1254" s="183">
        <f t="shared" si="2776"/>
      </c>
      <c r="AQ1254" s="183">
        <f t="shared" si="2776"/>
      </c>
      <c r="AR1254" s="183">
        <f>AR1252+AR1244+AR1253</f>
      </c>
      <c r="AS1254" s="759">
        <f>AS1252+AS1244+AS1253</f>
      </c>
      <c r="AT1254" s="969">
        <f>AT1252+AT1244+AT1253</f>
      </c>
      <c r="AU1254" s="183">
        <f t="shared" ref="AU1254" si="2777">AU1252+AU1244+AU1253</f>
      </c>
      <c r="AV1254" s="183">
        <f>AV1252+AV1244+AV1253</f>
      </c>
      <c r="AW1254" s="183">
        <f>AW1252+AW1244+AW1253</f>
      </c>
      <c r="AX1254" s="759">
        <f>AX1252+AX1244+AX1253</f>
      </c>
      <c r="AY1254" s="969">
        <f>AY1252+AY1244+AY1253</f>
      </c>
      <c r="AZ1254" s="183">
        <f>AZ1252+AZ1244+AZ1253</f>
      </c>
      <c r="BA1254" s="759">
        <f t="shared" ref="BA1254" si="2778">BA1252+BA1244+BA1253</f>
      </c>
      <c r="BB1254" s="183">
        <f t="shared" ref="BB1254:BD1254" si="2779">BB1252+BB1244+BB1253</f>
      </c>
      <c r="BC1254" s="759">
        <f t="shared" si="2779"/>
      </c>
      <c r="BD1254" s="969">
        <f t="shared" si="2779"/>
      </c>
      <c r="BE1254" s="183">
        <f t="shared" ref="BE1254:BI1254" si="2780">BE1252+BE1244+BE1253</f>
      </c>
      <c r="BF1254" s="759">
        <f t="shared" si="2780"/>
      </c>
      <c r="BG1254" s="183">
        <f t="shared" si="2780"/>
      </c>
      <c r="BH1254" s="759">
        <f t="shared" si="2780"/>
      </c>
      <c r="BI1254" s="969">
        <f t="shared" si="2780"/>
      </c>
      <c r="BJ1254" s="183">
        <f t="shared" ref="BJ1254:BX1254" si="2781">BJ1252+BJ1244+BJ1253</f>
      </c>
      <c r="BK1254" s="759">
        <f t="shared" si="2781"/>
      </c>
      <c r="BL1254" s="183">
        <f t="shared" si="2781"/>
      </c>
      <c r="BM1254" s="759">
        <f t="shared" si="2781"/>
      </c>
      <c r="BN1254" s="969">
        <f t="shared" si="2781"/>
      </c>
      <c r="BO1254" s="183">
        <f t="shared" ref="BO1254:BW1254" si="2782">BO1252+BO1244+BO1253</f>
      </c>
      <c r="BP1254" s="759">
        <f t="shared" si="2782"/>
      </c>
      <c r="BQ1254" s="183">
        <f t="shared" si="2782"/>
      </c>
      <c r="BR1254" s="759">
        <f t="shared" si="2782"/>
      </c>
      <c r="BS1254" s="969">
        <f t="shared" si="2782"/>
      </c>
      <c r="BT1254" s="794">
        <f>BT1252+BT1244+BT1253</f>
      </c>
      <c r="BU1254" s="759">
        <f t="shared" si="2782"/>
      </c>
      <c r="BV1254" s="759">
        <f t="shared" si="2782"/>
      </c>
      <c r="BW1254" s="759">
        <f t="shared" si="2782"/>
      </c>
      <c r="BX1254" s="969">
        <f t="shared" si="2781"/>
      </c>
      <c r="BY1254" s="759">
        <f t="shared" ref="BY1254:CF1254" si="2783">BY1252+BY1244+BY1253</f>
      </c>
      <c r="BZ1254" s="759">
        <f t="shared" si="2783"/>
      </c>
      <c r="CA1254" s="759">
        <f t="shared" si="2783"/>
      </c>
      <c r="CB1254" s="759">
        <f t="shared" si="2783"/>
      </c>
      <c r="CC1254" s="969">
        <f t="shared" si="2783"/>
      </c>
      <c r="CD1254" s="969">
        <f t="shared" si="2783"/>
      </c>
      <c r="CE1254" s="969">
        <f t="shared" si="2783"/>
      </c>
      <c r="CF1254" s="969">
        <f t="shared" si="2783"/>
      </c>
      <c r="CG1254" s="183"/>
    </row>
    <row r="1255" spans="1:85" x14ac:dyDescent="0.3">
      <c r="A1255" s="757"/>
      <c r="B1255" s="757"/>
      <c r="C1255" s="757"/>
      <c r="D1255" s="757"/>
      <c r="E1255" s="757"/>
      <c r="F1255" s="757"/>
      <c r="G1255" s="757"/>
      <c r="H1255" s="757"/>
      <c r="I1255" s="757"/>
      <c r="J1255" s="757"/>
      <c r="K1255" s="757"/>
      <c r="L1255" s="757"/>
      <c r="M1255" s="757"/>
      <c r="N1255" s="757"/>
      <c r="O1255" s="757"/>
      <c r="P1255" s="757"/>
      <c r="Q1255" s="757"/>
      <c r="R1255" s="757"/>
      <c r="S1255" s="757"/>
      <c r="T1255" s="757"/>
      <c r="U1255" s="757"/>
      <c r="V1255" s="757"/>
      <c r="W1255" s="757"/>
      <c r="X1255" s="757"/>
      <c r="Y1255" s="757"/>
      <c r="Z1255" s="757"/>
      <c r="AA1255" s="757"/>
      <c r="AB1255" s="757"/>
      <c r="AC1255" s="757"/>
      <c r="AD1255" s="757"/>
      <c r="AE1255" s="757"/>
      <c r="AF1255" s="757"/>
      <c r="AG1255" s="757"/>
      <c r="AH1255" s="757"/>
      <c r="AI1255" s="757"/>
      <c r="AJ1255" s="757"/>
      <c r="AK1255" s="757"/>
      <c r="AL1255" s="757"/>
      <c r="AM1255" s="757"/>
      <c r="AN1255" s="757"/>
      <c r="AO1255" s="757"/>
      <c r="AP1255" s="757"/>
      <c r="AQ1255" s="757"/>
      <c r="AR1255" s="757"/>
      <c r="AS1255" s="757"/>
      <c r="AT1255" s="757"/>
      <c r="AU1255" s="757"/>
      <c r="AV1255" s="757"/>
      <c r="AW1255" s="757"/>
      <c r="AX1255" s="757"/>
      <c r="AY1255" s="757"/>
      <c r="AZ1255" s="757"/>
      <c r="BA1255" s="757"/>
      <c r="BB1255" s="757"/>
      <c r="BC1255" s="757"/>
      <c r="BD1255" s="757"/>
      <c r="BE1255" s="757"/>
      <c r="BF1255" s="757"/>
      <c r="BG1255" s="757"/>
      <c r="BH1255" s="757"/>
      <c r="BI1255" s="757"/>
      <c r="BJ1255" s="757"/>
      <c r="BK1255" s="757"/>
      <c r="BL1255" s="757"/>
      <c r="BM1255" s="757"/>
      <c r="BN1255" s="757"/>
      <c r="BO1255" s="757"/>
      <c r="BP1255" s="757"/>
      <c r="BQ1255" s="757"/>
      <c r="BR1255" s="757"/>
      <c r="BS1255" s="757"/>
      <c r="BT1255" s="758"/>
      <c r="BU1255" s="757"/>
      <c r="BV1255" s="757"/>
      <c r="BW1255" s="757"/>
      <c r="BX1255" s="757"/>
      <c r="BY1255" s="757"/>
      <c r="BZ1255" s="757"/>
      <c r="CA1255" s="757"/>
      <c r="CB1255" s="757"/>
      <c r="CC1255" s="757"/>
      <c r="CD1255" s="757"/>
      <c r="CE1255" s="757"/>
      <c r="CF1255" s="757"/>
      <c r="CG1255" s="459"/>
    </row>
    <row r="1256" spans="1:85" x14ac:dyDescent="0.3">
      <c r="A1256" s="656" t="s">
        <v>217</v>
      </c>
      <c r="B1256" s="656"/>
      <c r="C1256" s="830">
        <f t="shared" ref="C1256:AH1256" si="2784">ROUND(C1223-C1254,6)</f>
      </c>
      <c r="D1256" s="830">
        <f t="shared" si="2784"/>
      </c>
      <c r="E1256" s="830">
        <f t="shared" si="2784"/>
      </c>
      <c r="F1256" s="830">
        <f t="shared" si="2784"/>
      </c>
      <c r="G1256" s="830">
        <f t="shared" si="2784"/>
      </c>
      <c r="H1256" s="830">
        <f t="shared" si="2784"/>
      </c>
      <c r="I1256" s="830">
        <f t="shared" si="2784"/>
      </c>
      <c r="J1256" s="830">
        <f t="shared" si="2784"/>
      </c>
      <c r="K1256" s="830">
        <f t="shared" si="2784"/>
      </c>
      <c r="L1256" s="830">
        <f t="shared" si="2784"/>
      </c>
      <c r="M1256" s="830">
        <f t="shared" si="2784"/>
      </c>
      <c r="N1256" s="830">
        <f t="shared" si="2784"/>
      </c>
      <c r="O1256" s="830">
        <f t="shared" si="2784"/>
      </c>
      <c r="P1256" s="830">
        <f t="shared" si="2784"/>
      </c>
      <c r="Q1256" s="830">
        <f t="shared" si="2784"/>
      </c>
      <c r="R1256" s="830">
        <f t="shared" si="2784"/>
      </c>
      <c r="S1256" s="830">
        <f t="shared" si="2784"/>
      </c>
      <c r="T1256" s="830">
        <f t="shared" si="2784"/>
      </c>
      <c r="U1256" s="830">
        <f t="shared" si="2784"/>
      </c>
      <c r="V1256" s="830">
        <f t="shared" si="2784"/>
      </c>
      <c r="W1256" s="830">
        <f t="shared" si="2784"/>
      </c>
      <c r="X1256" s="830">
        <f t="shared" si="2784"/>
      </c>
      <c r="Y1256" s="830">
        <f t="shared" si="2784"/>
      </c>
      <c r="Z1256" s="830">
        <f t="shared" si="2784"/>
      </c>
      <c r="AA1256" s="830">
        <f t="shared" si="2784"/>
      </c>
      <c r="AB1256" s="830">
        <f t="shared" si="2784"/>
      </c>
      <c r="AC1256" s="830">
        <f t="shared" si="2784"/>
      </c>
      <c r="AD1256" s="830">
        <f t="shared" si="2784"/>
      </c>
      <c r="AE1256" s="830">
        <f t="shared" si="2784"/>
      </c>
      <c r="AF1256" s="830">
        <f t="shared" si="2784"/>
      </c>
      <c r="AG1256" s="830">
        <f t="shared" si="2784"/>
      </c>
      <c r="AH1256" s="830">
        <f t="shared" si="2784"/>
      </c>
      <c r="AI1256" s="830">
        <f t="shared" ref="AI1256:AQ1256" si="2785">ROUND(AI1223-AI1254,6)</f>
      </c>
      <c r="AJ1256" s="830">
        <f t="shared" si="2785"/>
      </c>
      <c r="AK1256" s="830">
        <f t="shared" si="2785"/>
      </c>
      <c r="AL1256" s="830">
        <f t="shared" si="2785"/>
      </c>
      <c r="AM1256" s="830">
        <f t="shared" si="2785"/>
      </c>
      <c r="AN1256" s="830">
        <f t="shared" si="2785"/>
      </c>
      <c r="AO1256" s="830">
        <f t="shared" si="2785"/>
      </c>
      <c r="AP1256" s="830">
        <f t="shared" si="2785"/>
      </c>
      <c r="AQ1256" s="830">
        <f t="shared" si="2785"/>
      </c>
      <c r="AR1256" s="830">
        <f>ROUND(AR1223-AR1254,6)</f>
      </c>
      <c r="AS1256" s="830">
        <f>ROUND(AS1223-AS1254,6)</f>
      </c>
      <c r="AT1256" s="830">
        <f>ROUND(AT1223-AT1254,6)</f>
      </c>
      <c r="AU1256" s="830">
        <f t="shared" ref="AU1256" si="2786">ROUND(AU1223-AU1254,6)</f>
      </c>
      <c r="AV1256" s="830">
        <f>ROUND(AV1223-AV1254,6)</f>
      </c>
      <c r="AW1256" s="830">
        <f>ROUND(AW1223-AW1254,6)</f>
      </c>
      <c r="AX1256" s="830">
        <f>ROUND(AX1223-AX1254,6)</f>
      </c>
      <c r="AY1256" s="830">
        <f>ROUND(AY1223-AY1254,6)</f>
      </c>
      <c r="AZ1256" s="830">
        <f>ROUND(AZ1223-AZ1254,6)</f>
      </c>
      <c r="BA1256" s="830">
        <f t="shared" ref="BA1256" si="2787">ROUND(BA1223-BA1254,6)</f>
      </c>
      <c r="BB1256" s="830">
        <f t="shared" ref="BB1256:BD1256" si="2788">ROUND(BB1223-BB1254,6)</f>
      </c>
      <c r="BC1256" s="830">
        <f t="shared" si="2788"/>
      </c>
      <c r="BD1256" s="830">
        <f t="shared" si="2788"/>
      </c>
      <c r="BE1256" s="830">
        <f t="shared" ref="BE1256:BI1256" si="2789">ROUND(BE1223-BE1254,6)</f>
      </c>
      <c r="BF1256" s="830">
        <f t="shared" si="2789"/>
      </c>
      <c r="BG1256" s="830">
        <f t="shared" si="2789"/>
      </c>
      <c r="BH1256" s="830">
        <f t="shared" si="2789"/>
      </c>
      <c r="BI1256" s="830">
        <f t="shared" si="2789"/>
      </c>
      <c r="BJ1256" s="830">
        <f t="shared" ref="BJ1256:BX1256" si="2790">ROUND(BJ1223-BJ1254,6)</f>
      </c>
      <c r="BK1256" s="830">
        <f t="shared" si="2790"/>
      </c>
      <c r="BL1256" s="830">
        <f t="shared" si="2790"/>
      </c>
      <c r="BM1256" s="830">
        <f t="shared" si="2790"/>
      </c>
      <c r="BN1256" s="830">
        <f t="shared" si="2790"/>
      </c>
      <c r="BO1256" s="830">
        <f t="shared" ref="BO1256:BW1256" si="2791">ROUND(BO1223-BO1254,6)</f>
      </c>
      <c r="BP1256" s="830">
        <f t="shared" si="2791"/>
      </c>
      <c r="BQ1256" s="830">
        <f t="shared" si="2791"/>
      </c>
      <c r="BR1256" s="830">
        <f t="shared" si="2791"/>
      </c>
      <c r="BS1256" s="830">
        <f t="shared" si="2791"/>
      </c>
      <c r="BT1256" s="831">
        <f>ROUND(BT1223-BT1254,6)</f>
      </c>
      <c r="BU1256" s="830">
        <f t="shared" si="2791"/>
      </c>
      <c r="BV1256" s="830">
        <f t="shared" si="2791"/>
      </c>
      <c r="BW1256" s="830">
        <f t="shared" si="2791"/>
      </c>
      <c r="BX1256" s="830">
        <f t="shared" si="2790"/>
      </c>
      <c r="BY1256" s="830">
        <f t="shared" ref="BY1256:CF1256" si="2792">ROUND(BY1223-BY1254,6)</f>
      </c>
      <c r="BZ1256" s="830">
        <f t="shared" si="2792"/>
      </c>
      <c r="CA1256" s="830">
        <f t="shared" si="2792"/>
      </c>
      <c r="CB1256" s="830">
        <f t="shared" si="2792"/>
      </c>
      <c r="CC1256" s="830">
        <f t="shared" si="2792"/>
      </c>
      <c r="CD1256" s="830">
        <f t="shared" si="2792"/>
      </c>
      <c r="CE1256" s="830">
        <f t="shared" si="2792"/>
      </c>
      <c r="CF1256" s="830">
        <f t="shared" si="2792"/>
      </c>
      <c r="CG1256" s="459"/>
    </row>
    <row r="1257" spans="1:85" x14ac:dyDescent="0.3">
      <c r="A1257" s="757"/>
      <c r="B1257" s="757"/>
      <c r="C1257" s="757"/>
      <c r="D1257" s="757"/>
      <c r="E1257" s="757"/>
      <c r="F1257" s="757"/>
      <c r="G1257" s="757"/>
      <c r="H1257" s="757"/>
      <c r="I1257" s="757"/>
      <c r="J1257" s="757"/>
      <c r="K1257" s="757"/>
      <c r="L1257" s="757"/>
      <c r="M1257" s="757"/>
      <c r="N1257" s="757"/>
      <c r="O1257" s="757"/>
      <c r="P1257" s="757"/>
      <c r="Q1257" s="757"/>
      <c r="R1257" s="757"/>
      <c r="S1257" s="757"/>
      <c r="T1257" s="757"/>
      <c r="U1257" s="757"/>
      <c r="V1257" s="757"/>
      <c r="W1257" s="757"/>
      <c r="X1257" s="757"/>
      <c r="Y1257" s="757"/>
      <c r="Z1257" s="757"/>
      <c r="AA1257" s="757"/>
      <c r="AB1257" s="757"/>
      <c r="AC1257" s="757"/>
      <c r="AD1257" s="757"/>
      <c r="AE1257" s="757"/>
      <c r="AF1257" s="757"/>
      <c r="AG1257" s="757"/>
      <c r="AH1257" s="757"/>
      <c r="AI1257" s="757"/>
      <c r="AJ1257" s="757"/>
      <c r="AK1257" s="757"/>
      <c r="AL1257" s="757"/>
      <c r="AM1257" s="757"/>
      <c r="AN1257" s="757"/>
      <c r="AO1257" s="757"/>
      <c r="AP1257" s="757"/>
      <c r="AQ1257" s="757"/>
      <c r="AR1257" s="757"/>
      <c r="AS1257" s="757"/>
      <c r="AT1257" s="757"/>
      <c r="AU1257" s="757"/>
      <c r="AV1257" s="757"/>
      <c r="AW1257" s="757"/>
      <c r="AX1257" s="757"/>
      <c r="AY1257" s="757"/>
      <c r="AZ1257" s="757"/>
      <c r="BA1257" s="757"/>
      <c r="BB1257" s="757"/>
      <c r="BC1257" s="757"/>
      <c r="BD1257" s="757"/>
      <c r="BE1257" s="757"/>
      <c r="BF1257" s="757"/>
      <c r="BG1257" s="757"/>
      <c r="BH1257" s="757"/>
      <c r="BI1257" s="757"/>
      <c r="BJ1257" s="757"/>
      <c r="BK1257" s="757"/>
      <c r="BL1257" s="757"/>
      <c r="BM1257" s="757"/>
      <c r="BN1257" s="757"/>
      <c r="BO1257" s="757"/>
      <c r="BP1257" s="757"/>
      <c r="BQ1257" s="757"/>
      <c r="BR1257" s="757"/>
      <c r="BS1257" s="757"/>
      <c r="BT1257" s="758"/>
      <c r="BU1257" s="757"/>
      <c r="BV1257" s="757"/>
      <c r="BW1257" s="757"/>
      <c r="BX1257" s="757"/>
      <c r="BY1257" s="757"/>
      <c r="BZ1257" s="757"/>
      <c r="CA1257" s="757"/>
      <c r="CB1257" s="757"/>
      <c r="CC1257" s="757"/>
      <c r="CD1257" s="757"/>
      <c r="CE1257" s="757"/>
      <c r="CF1257" s="757"/>
      <c r="CG1257" s="459"/>
    </row>
    <row r="1258" spans="1:85" x14ac:dyDescent="0.3">
      <c r="A1258" s="765" t="s">
        <v>218</v>
      </c>
      <c r="B1258" s="765"/>
      <c r="C1258" s="765"/>
      <c r="D1258" s="765"/>
      <c r="E1258" s="765"/>
      <c r="F1258" s="765"/>
      <c r="G1258" s="765"/>
      <c r="H1258" s="765"/>
      <c r="I1258" s="765"/>
      <c r="J1258" s="765"/>
      <c r="K1258" s="765"/>
      <c r="L1258" s="765"/>
      <c r="M1258" s="765"/>
      <c r="N1258" s="765"/>
      <c r="O1258" s="765"/>
      <c r="P1258" s="765"/>
      <c r="Q1258" s="765"/>
      <c r="R1258" s="765"/>
      <c r="S1258" s="765"/>
      <c r="T1258" s="765"/>
      <c r="U1258" s="765"/>
      <c r="V1258" s="765"/>
      <c r="W1258" s="765"/>
      <c r="X1258" s="765"/>
      <c r="Y1258" s="765"/>
      <c r="Z1258" s="765"/>
      <c r="AA1258" s="765"/>
      <c r="AB1258" s="765"/>
      <c r="AC1258" s="765"/>
      <c r="AD1258" s="765"/>
      <c r="AE1258" s="765"/>
      <c r="AF1258" s="765"/>
      <c r="AG1258" s="765"/>
      <c r="AH1258" s="765"/>
      <c r="AI1258" s="765"/>
      <c r="AJ1258" s="765"/>
      <c r="AK1258" s="765"/>
      <c r="AL1258" s="765"/>
      <c r="AM1258" s="765"/>
      <c r="AN1258" s="765"/>
      <c r="AO1258" s="765"/>
      <c r="AP1258" s="765"/>
      <c r="AQ1258" s="765"/>
      <c r="AR1258" s="765"/>
      <c r="AS1258" s="765"/>
      <c r="AT1258" s="765"/>
      <c r="AU1258" s="765"/>
      <c r="AV1258" s="765"/>
      <c r="AW1258" s="765"/>
      <c r="AX1258" s="765"/>
      <c r="AY1258" s="765"/>
      <c r="AZ1258" s="765"/>
      <c r="BA1258" s="765"/>
      <c r="BB1258" s="765"/>
      <c r="BC1258" s="765"/>
      <c r="BD1258" s="765"/>
      <c r="BE1258" s="765"/>
      <c r="BF1258" s="765"/>
      <c r="BG1258" s="765"/>
      <c r="BH1258" s="765"/>
      <c r="BI1258" s="765"/>
      <c r="BJ1258" s="765"/>
      <c r="BK1258" s="765"/>
      <c r="BL1258" s="765"/>
      <c r="BM1258" s="765"/>
      <c r="BN1258" s="765"/>
      <c r="BO1258" s="765"/>
      <c r="BP1258" s="765"/>
      <c r="BQ1258" s="765"/>
      <c r="BR1258" s="765"/>
      <c r="BS1258" s="765"/>
      <c r="BT1258" s="766"/>
      <c r="BU1258" s="765"/>
      <c r="BV1258" s="765"/>
      <c r="BW1258" s="765"/>
      <c r="BX1258" s="765"/>
      <c r="BY1258" s="765"/>
      <c r="BZ1258" s="765"/>
      <c r="CA1258" s="765"/>
      <c r="CB1258" s="765"/>
      <c r="CC1258" s="765"/>
      <c r="CD1258" s="765"/>
      <c r="CE1258" s="765"/>
      <c r="CF1258" s="765"/>
      <c r="CG1258" s="183"/>
    </row>
    <row r="1259" spans="1:85" x14ac:dyDescent="0.3">
      <c r="A1259" s="459" t="s">
        <v>219</v>
      </c>
      <c r="B1259" s="753"/>
      <c r="C1259" s="830">
        <f t="shared" ref="C1259:AH1259" si="2793">IF(ISBLANK(INDEX(MO_IS_FirstRow,0,COLUMN())),0,ROUND(C1099-C491,6))</f>
      </c>
      <c r="D1259" s="830">
        <f t="shared" si="2793"/>
      </c>
      <c r="E1259" s="830">
        <f t="shared" si="2793"/>
      </c>
      <c r="F1259" s="830">
        <f t="shared" si="2793"/>
      </c>
      <c r="G1259" s="830">
        <f t="shared" si="2793"/>
      </c>
      <c r="H1259" s="830">
        <f t="shared" si="2793"/>
      </c>
      <c r="I1259" s="830">
        <f t="shared" si="2793"/>
      </c>
      <c r="J1259" s="830">
        <f t="shared" si="2793"/>
      </c>
      <c r="K1259" s="830">
        <f t="shared" si="2793"/>
      </c>
      <c r="L1259" s="830">
        <f t="shared" si="2793"/>
      </c>
      <c r="M1259" s="830">
        <f t="shared" si="2793"/>
      </c>
      <c r="N1259" s="830">
        <f t="shared" si="2793"/>
      </c>
      <c r="O1259" s="830">
        <f t="shared" si="2793"/>
      </c>
      <c r="P1259" s="830">
        <f t="shared" si="2793"/>
      </c>
      <c r="Q1259" s="830">
        <f t="shared" si="2793"/>
      </c>
      <c r="R1259" s="830">
        <f t="shared" si="2793"/>
      </c>
      <c r="S1259" s="830">
        <f t="shared" si="2793"/>
      </c>
      <c r="T1259" s="830">
        <f t="shared" si="2793"/>
      </c>
      <c r="U1259" s="830">
        <f t="shared" si="2793"/>
      </c>
      <c r="V1259" s="830">
        <f t="shared" si="2793"/>
      </c>
      <c r="W1259" s="830">
        <f t="shared" si="2793"/>
      </c>
      <c r="X1259" s="830">
        <f t="shared" si="2793"/>
      </c>
      <c r="Y1259" s="830">
        <f t="shared" si="2793"/>
      </c>
      <c r="Z1259" s="830">
        <f t="shared" si="2793"/>
      </c>
      <c r="AA1259" s="830">
        <f t="shared" si="2793"/>
      </c>
      <c r="AB1259" s="830">
        <f t="shared" si="2793"/>
      </c>
      <c r="AC1259" s="830">
        <f t="shared" si="2793"/>
      </c>
      <c r="AD1259" s="830">
        <f t="shared" si="2793"/>
      </c>
      <c r="AE1259" s="830">
        <f t="shared" si="2793"/>
      </c>
      <c r="AF1259" s="830">
        <f t="shared" si="2793"/>
      </c>
      <c r="AG1259" s="830">
        <f t="shared" si="2793"/>
      </c>
      <c r="AH1259" s="830">
        <f t="shared" si="2793"/>
      </c>
      <c r="AI1259" s="830">
        <f t="shared" ref="AI1259:BJ1259" si="2794">IF(ISBLANK(INDEX(MO_IS_FirstRow,0,COLUMN())),0,ROUND(AI1099-AI491,6))</f>
      </c>
      <c r="AJ1259" s="830">
        <f t="shared" si="2794"/>
      </c>
      <c r="AK1259" s="830">
        <f t="shared" si="2794"/>
      </c>
      <c r="AL1259" s="830">
        <f t="shared" si="2794"/>
      </c>
      <c r="AM1259" s="830">
        <f t="shared" si="2794"/>
      </c>
      <c r="AN1259" s="830">
        <f t="shared" si="2794"/>
      </c>
      <c r="AO1259" s="830">
        <f t="shared" si="2794"/>
      </c>
      <c r="AP1259" s="830">
        <f t="shared" si="2794"/>
      </c>
      <c r="AQ1259" s="830">
        <f t="shared" si="2794"/>
      </c>
      <c r="AR1259" s="830">
        <f t="shared" si="2794"/>
      </c>
      <c r="AS1259" s="830">
        <f t="shared" si="2794"/>
      </c>
      <c r="AT1259" s="830">
        <f t="shared" si="2794"/>
      </c>
      <c r="AU1259" s="830">
        <f t="shared" si="2794"/>
      </c>
      <c r="AV1259" s="830">
        <f t="shared" si="2794"/>
      </c>
      <c r="AW1259" s="830">
        <f t="shared" si="2794"/>
      </c>
      <c r="AX1259" s="830">
        <f t="shared" si="2794"/>
      </c>
      <c r="AY1259" s="830">
        <f t="shared" si="2794"/>
      </c>
      <c r="AZ1259" s="830">
        <f t="shared" si="2794"/>
      </c>
      <c r="BA1259" s="830">
        <f t="shared" si="2794"/>
      </c>
      <c r="BB1259" s="830">
        <f t="shared" si="2794"/>
      </c>
      <c r="BC1259" s="830">
        <f t="shared" si="2794"/>
      </c>
      <c r="BD1259" s="830">
        <f t="shared" si="2794"/>
      </c>
      <c r="BE1259" s="830">
        <f t="shared" si="2794"/>
      </c>
      <c r="BF1259" s="830">
        <f t="shared" si="2794"/>
      </c>
      <c r="BG1259" s="830">
        <f t="shared" si="2794"/>
      </c>
      <c r="BH1259" s="830">
        <f t="shared" si="2794"/>
      </c>
      <c r="BI1259" s="830">
        <f t="shared" si="2794"/>
      </c>
      <c r="BJ1259" s="830">
        <f t="shared" si="2794"/>
      </c>
      <c r="BK1259" s="830">
        <f t="shared" ref="BK1259:BX1259" si="2795">IF(ISBLANK(INDEX(MO_IS_FirstRow,0,COLUMN())),0,ROUND(BK1099-BK491,6))</f>
      </c>
      <c r="BL1259" s="830">
        <f t="shared" si="2795"/>
      </c>
      <c r="BM1259" s="830">
        <f t="shared" si="2795"/>
      </c>
      <c r="BN1259" s="830">
        <f t="shared" si="2795"/>
      </c>
      <c r="BO1259" s="830">
        <f t="shared" ref="BO1259:BW1259" si="2796">IF(ISBLANK(INDEX(MO_IS_FirstRow,0,COLUMN())),0,ROUND(BO1099-BO491,6))</f>
      </c>
      <c r="BP1259" s="830">
        <f t="shared" si="2796"/>
      </c>
      <c r="BQ1259" s="830">
        <f t="shared" si="2796"/>
      </c>
      <c r="BR1259" s="830">
        <f t="shared" si="2796"/>
      </c>
      <c r="BS1259" s="830">
        <f t="shared" si="2796"/>
      </c>
      <c r="BT1259" s="831">
        <f>IF(ISBLANK(INDEX(MO_IS_FirstRow,0,COLUMN())),0,ROUND(BT1099-BT491,6))</f>
      </c>
      <c r="BU1259" s="830">
        <f t="shared" si="2796"/>
      </c>
      <c r="BV1259" s="830">
        <f t="shared" si="2796"/>
      </c>
      <c r="BW1259" s="830">
        <f t="shared" si="2796"/>
      </c>
      <c r="BX1259" s="830">
        <f t="shared" si="2795"/>
      </c>
      <c r="BY1259" s="830">
        <f t="shared" ref="BY1259:CF1259" si="2797">IF(ISBLANK(INDEX(MO_IS_FirstRow,0,COLUMN())),0,ROUND(BY1099-BY491,6))</f>
      </c>
      <c r="BZ1259" s="830">
        <f t="shared" si="2797"/>
      </c>
      <c r="CA1259" s="830">
        <f t="shared" si="2797"/>
      </c>
      <c r="CB1259" s="830">
        <f t="shared" si="2797"/>
      </c>
      <c r="CC1259" s="830">
        <f t="shared" si="2797"/>
      </c>
      <c r="CD1259" s="830">
        <f t="shared" si="2797"/>
      </c>
      <c r="CE1259" s="830">
        <f t="shared" si="2797"/>
      </c>
      <c r="CF1259" s="830">
        <f t="shared" si="2797"/>
      </c>
      <c r="CG1259" s="459"/>
    </row>
    <row r="1260" spans="1:85" x14ac:dyDescent="0.3">
      <c r="A1260" s="459" t="s">
        <v>220</v>
      </c>
      <c r="B1260" s="753"/>
      <c r="C1260" s="830">
        <f t="shared" ref="C1260:AH1260" si="2798">IF(ISBLANK(INDEX(MO_IS_FirstRow,0,COLUMN())),0,ROUND(C431-C495,6))</f>
      </c>
      <c r="D1260" s="830">
        <f t="shared" si="2798"/>
      </c>
      <c r="E1260" s="830">
        <f t="shared" si="2798"/>
      </c>
      <c r="F1260" s="830">
        <f t="shared" si="2798"/>
      </c>
      <c r="G1260" s="830">
        <f t="shared" si="2798"/>
      </c>
      <c r="H1260" s="830">
        <f t="shared" si="2798"/>
      </c>
      <c r="I1260" s="830">
        <f t="shared" si="2798"/>
      </c>
      <c r="J1260" s="830">
        <f t="shared" si="2798"/>
      </c>
      <c r="K1260" s="830">
        <f t="shared" si="2798"/>
      </c>
      <c r="L1260" s="830">
        <f t="shared" si="2798"/>
      </c>
      <c r="M1260" s="830">
        <f t="shared" si="2798"/>
      </c>
      <c r="N1260" s="830">
        <f t="shared" si="2798"/>
      </c>
      <c r="O1260" s="830">
        <f t="shared" si="2798"/>
      </c>
      <c r="P1260" s="830">
        <f t="shared" si="2798"/>
      </c>
      <c r="Q1260" s="830">
        <f t="shared" si="2798"/>
      </c>
      <c r="R1260" s="830">
        <f t="shared" si="2798"/>
      </c>
      <c r="S1260" s="830">
        <f t="shared" si="2798"/>
      </c>
      <c r="T1260" s="830">
        <f t="shared" si="2798"/>
      </c>
      <c r="U1260" s="830">
        <f t="shared" si="2798"/>
      </c>
      <c r="V1260" s="830">
        <f t="shared" si="2798"/>
      </c>
      <c r="W1260" s="830">
        <f t="shared" si="2798"/>
      </c>
      <c r="X1260" s="830">
        <f t="shared" si="2798"/>
      </c>
      <c r="Y1260" s="830">
        <f t="shared" si="2798"/>
      </c>
      <c r="Z1260" s="830">
        <f t="shared" si="2798"/>
      </c>
      <c r="AA1260" s="830">
        <f t="shared" si="2798"/>
      </c>
      <c r="AB1260" s="830">
        <f t="shared" si="2798"/>
      </c>
      <c r="AC1260" s="830">
        <f t="shared" si="2798"/>
      </c>
      <c r="AD1260" s="830">
        <f t="shared" si="2798"/>
      </c>
      <c r="AE1260" s="830">
        <f t="shared" si="2798"/>
      </c>
      <c r="AF1260" s="830">
        <f t="shared" si="2798"/>
      </c>
      <c r="AG1260" s="830">
        <f t="shared" si="2798"/>
      </c>
      <c r="AH1260" s="830">
        <f t="shared" si="2798"/>
      </c>
      <c r="AI1260" s="830">
        <f t="shared" ref="AI1260:BK1260" si="2799">IF(ISBLANK(INDEX(MO_IS_FirstRow,0,COLUMN())),0,ROUND(AI431-AI495,6))</f>
      </c>
      <c r="AJ1260" s="830">
        <f t="shared" si="2799"/>
      </c>
      <c r="AK1260" s="830">
        <f t="shared" si="2799"/>
      </c>
      <c r="AL1260" s="830">
        <f t="shared" si="2799"/>
      </c>
      <c r="AM1260" s="830">
        <f t="shared" si="2799"/>
      </c>
      <c r="AN1260" s="830">
        <f t="shared" si="2799"/>
      </c>
      <c r="AO1260" s="830">
        <f t="shared" si="2799"/>
      </c>
      <c r="AP1260" s="830">
        <f t="shared" si="2799"/>
      </c>
      <c r="AQ1260" s="830">
        <f t="shared" si="2799"/>
      </c>
      <c r="AR1260" s="830">
        <f t="shared" si="2799"/>
      </c>
      <c r="AS1260" s="830">
        <f t="shared" si="2799"/>
      </c>
      <c r="AT1260" s="830">
        <f t="shared" si="2799"/>
      </c>
      <c r="AU1260" s="830">
        <f t="shared" si="2799"/>
      </c>
      <c r="AV1260" s="830">
        <f t="shared" si="2799"/>
      </c>
      <c r="AW1260" s="830">
        <f t="shared" si="2799"/>
      </c>
      <c r="AX1260" s="830">
        <f t="shared" si="2799"/>
      </c>
      <c r="AY1260" s="830">
        <f t="shared" si="2799"/>
      </c>
      <c r="AZ1260" s="830">
        <f t="shared" si="2799"/>
      </c>
      <c r="BA1260" s="830">
        <f t="shared" si="2799"/>
      </c>
      <c r="BB1260" s="830">
        <f t="shared" si="2799"/>
      </c>
      <c r="BC1260" s="830">
        <f t="shared" si="2799"/>
      </c>
      <c r="BD1260" s="830">
        <f t="shared" si="2799"/>
      </c>
      <c r="BE1260" s="830">
        <f t="shared" si="2799"/>
      </c>
      <c r="BF1260" s="830">
        <f t="shared" si="2799"/>
      </c>
      <c r="BG1260" s="830">
        <f t="shared" si="2799"/>
      </c>
      <c r="BH1260" s="830">
        <f t="shared" si="2799"/>
      </c>
      <c r="BI1260" s="830">
        <f t="shared" si="2799"/>
      </c>
      <c r="BJ1260" s="830">
        <f t="shared" si="2799"/>
      </c>
      <c r="BK1260" s="830">
        <f t="shared" si="2799"/>
      </c>
      <c r="BL1260" s="830">
        <f t="shared" ref="BL1260:BX1260" si="2800">IF(ISBLANK(INDEX(MO_IS_FirstRow,0,COLUMN())),0,ROUND(BL431-BL495,6))</f>
      </c>
      <c r="BM1260" s="830">
        <f t="shared" si="2800"/>
      </c>
      <c r="BN1260" s="830">
        <f t="shared" si="2800"/>
      </c>
      <c r="BO1260" s="830">
        <f t="shared" ref="BO1260:BW1260" si="2801">IF(ISBLANK(INDEX(MO_IS_FirstRow,0,COLUMN())),0,ROUND(BO431-BO495,6))</f>
      </c>
      <c r="BP1260" s="830">
        <f t="shared" si="2801"/>
      </c>
      <c r="BQ1260" s="830">
        <f t="shared" si="2801"/>
      </c>
      <c r="BR1260" s="830">
        <f t="shared" si="2801"/>
      </c>
      <c r="BS1260" s="830">
        <f t="shared" si="2801"/>
      </c>
      <c r="BT1260" s="831">
        <f>IF(ISBLANK(INDEX(MO_IS_FirstRow,0,COLUMN())),0,ROUND(BT431-BT495,6))</f>
      </c>
      <c r="BU1260" s="830">
        <f t="shared" si="2801"/>
      </c>
      <c r="BV1260" s="830">
        <f t="shared" si="2801"/>
      </c>
      <c r="BW1260" s="830">
        <f t="shared" si="2801"/>
      </c>
      <c r="BX1260" s="830">
        <f t="shared" si="2800"/>
      </c>
      <c r="BY1260" s="830">
        <f t="shared" ref="BY1260:CF1260" si="2802">IF(ISBLANK(INDEX(MO_IS_FirstRow,0,COLUMN())),0,ROUND(BY431-BY495,6))</f>
      </c>
      <c r="BZ1260" s="830">
        <f t="shared" si="2802"/>
      </c>
      <c r="CA1260" s="830">
        <f t="shared" si="2802"/>
      </c>
      <c r="CB1260" s="830">
        <f t="shared" si="2802"/>
      </c>
      <c r="CC1260" s="830">
        <f t="shared" si="2802"/>
      </c>
      <c r="CD1260" s="830">
        <f t="shared" si="2802"/>
      </c>
      <c r="CE1260" s="830">
        <f t="shared" si="2802"/>
      </c>
      <c r="CF1260" s="830">
        <f t="shared" si="2802"/>
      </c>
      <c r="CG1260" s="459"/>
    </row>
    <row r="1261" spans="1:85" x14ac:dyDescent="0.3">
      <c r="A1261" s="459" t="s">
        <v>469</v>
      </c>
      <c r="B1261" s="753"/>
      <c r="C1261" s="830">
        <f t="shared" ref="C1261:AH1261" si="2803">IF(C750&lt;0,C750,0)</f>
      </c>
      <c r="D1261" s="830">
        <f t="shared" si="2803"/>
      </c>
      <c r="E1261" s="830">
        <f t="shared" si="2803"/>
      </c>
      <c r="F1261" s="830">
        <f t="shared" si="2803"/>
      </c>
      <c r="G1261" s="830">
        <f t="shared" si="2803"/>
      </c>
      <c r="H1261" s="830">
        <f t="shared" si="2803"/>
      </c>
      <c r="I1261" s="830">
        <f t="shared" si="2803"/>
      </c>
      <c r="J1261" s="830">
        <f t="shared" si="2803"/>
      </c>
      <c r="K1261" s="830">
        <f t="shared" si="2803"/>
      </c>
      <c r="L1261" s="830">
        <f t="shared" si="2803"/>
      </c>
      <c r="M1261" s="830">
        <f t="shared" si="2803"/>
      </c>
      <c r="N1261" s="830">
        <f t="shared" si="2803"/>
      </c>
      <c r="O1261" s="830">
        <f t="shared" si="2803"/>
      </c>
      <c r="P1261" s="830">
        <f t="shared" si="2803"/>
      </c>
      <c r="Q1261" s="830">
        <f t="shared" si="2803"/>
      </c>
      <c r="R1261" s="830">
        <f t="shared" si="2803"/>
      </c>
      <c r="S1261" s="830">
        <f t="shared" si="2803"/>
      </c>
      <c r="T1261" s="830">
        <f t="shared" si="2803"/>
      </c>
      <c r="U1261" s="830">
        <f t="shared" si="2803"/>
      </c>
      <c r="V1261" s="830">
        <f t="shared" si="2803"/>
      </c>
      <c r="W1261" s="830">
        <f t="shared" si="2803"/>
      </c>
      <c r="X1261" s="830">
        <f t="shared" si="2803"/>
      </c>
      <c r="Y1261" s="830">
        <f t="shared" si="2803"/>
      </c>
      <c r="Z1261" s="830">
        <f t="shared" si="2803"/>
      </c>
      <c r="AA1261" s="830">
        <f t="shared" si="2803"/>
      </c>
      <c r="AB1261" s="830">
        <f t="shared" si="2803"/>
      </c>
      <c r="AC1261" s="830">
        <f t="shared" si="2803"/>
      </c>
      <c r="AD1261" s="830">
        <f t="shared" si="2803"/>
      </c>
      <c r="AE1261" s="830">
        <f t="shared" si="2803"/>
      </c>
      <c r="AF1261" s="830">
        <f t="shared" si="2803"/>
      </c>
      <c r="AG1261" s="830">
        <f t="shared" si="2803"/>
      </c>
      <c r="AH1261" s="830">
        <f t="shared" si="2803"/>
      </c>
      <c r="AI1261" s="830">
        <f t="shared" ref="AI1261:BD1261" si="2804">IF(AI750&lt;0,AI750,0)</f>
      </c>
      <c r="AJ1261" s="830">
        <f t="shared" si="2804"/>
      </c>
      <c r="AK1261" s="830">
        <f t="shared" si="2804"/>
      </c>
      <c r="AL1261" s="830">
        <f t="shared" si="2804"/>
      </c>
      <c r="AM1261" s="830">
        <f t="shared" si="2804"/>
      </c>
      <c r="AN1261" s="830">
        <f t="shared" si="2804"/>
      </c>
      <c r="AO1261" s="830">
        <f t="shared" si="2804"/>
      </c>
      <c r="AP1261" s="830">
        <f t="shared" si="2804"/>
      </c>
      <c r="AQ1261" s="830">
        <f t="shared" si="2804"/>
      </c>
      <c r="AR1261" s="830">
        <f t="shared" si="2804"/>
      </c>
      <c r="AS1261" s="830">
        <f t="shared" si="2804"/>
      </c>
      <c r="AT1261" s="830">
        <f t="shared" si="2804"/>
      </c>
      <c r="AU1261" s="830">
        <f t="shared" si="2804"/>
      </c>
      <c r="AV1261" s="830">
        <f t="shared" si="2804"/>
      </c>
      <c r="AW1261" s="830">
        <f t="shared" si="2804"/>
      </c>
      <c r="AX1261" s="830">
        <f t="shared" si="2804"/>
      </c>
      <c r="AY1261" s="830">
        <f t="shared" si="2804"/>
      </c>
      <c r="AZ1261" s="830">
        <f t="shared" si="2804"/>
      </c>
      <c r="BA1261" s="830">
        <f t="shared" si="2804"/>
      </c>
      <c r="BB1261" s="830">
        <f t="shared" si="2804"/>
      </c>
      <c r="BC1261" s="830">
        <f t="shared" si="2804"/>
      </c>
      <c r="BD1261" s="830">
        <f t="shared" si="2804"/>
      </c>
      <c r="BE1261" s="830">
        <f t="shared" ref="BE1261:BI1261" si="2805">IF(BE750&lt;0,BE750,0)</f>
      </c>
      <c r="BF1261" s="830">
        <f t="shared" si="2805"/>
      </c>
      <c r="BG1261" s="830">
        <f t="shared" si="2805"/>
      </c>
      <c r="BH1261" s="830">
        <f t="shared" si="2805"/>
      </c>
      <c r="BI1261" s="830">
        <f t="shared" si="2805"/>
      </c>
      <c r="BJ1261" s="830">
        <f t="shared" ref="BJ1261:BX1261" si="2806">IF(BJ750&lt;0,BJ750,0)</f>
      </c>
      <c r="BK1261" s="830">
        <f t="shared" si="2806"/>
      </c>
      <c r="BL1261" s="830">
        <f t="shared" si="2806"/>
      </c>
      <c r="BM1261" s="830">
        <f t="shared" si="2806"/>
      </c>
      <c r="BN1261" s="830">
        <f t="shared" si="2806"/>
      </c>
      <c r="BO1261" s="830">
        <f t="shared" ref="BO1261:BW1261" si="2807">IF(BO750&lt;0,BO750,0)</f>
      </c>
      <c r="BP1261" s="830">
        <f t="shared" si="2807"/>
      </c>
      <c r="BQ1261" s="830">
        <f t="shared" si="2807"/>
      </c>
      <c r="BR1261" s="830">
        <f t="shared" si="2807"/>
      </c>
      <c r="BS1261" s="830">
        <f t="shared" si="2807"/>
      </c>
      <c r="BT1261" s="831">
        <f>IF(BT750&lt;0,BT750,0)</f>
      </c>
      <c r="BU1261" s="830">
        <f t="shared" si="2807"/>
      </c>
      <c r="BV1261" s="830">
        <f t="shared" si="2807"/>
      </c>
      <c r="BW1261" s="830">
        <f t="shared" si="2807"/>
      </c>
      <c r="BX1261" s="830">
        <f t="shared" si="2806"/>
      </c>
      <c r="BY1261" s="830">
        <f t="shared" ref="BY1261:CF1261" si="2808">IF(BY750&lt;0,BY750,0)</f>
      </c>
      <c r="BZ1261" s="830">
        <f t="shared" si="2808"/>
      </c>
      <c r="CA1261" s="830">
        <f t="shared" si="2808"/>
      </c>
      <c r="CB1261" s="830">
        <f t="shared" si="2808"/>
      </c>
      <c r="CC1261" s="830">
        <f t="shared" si="2808"/>
      </c>
      <c r="CD1261" s="830">
        <f t="shared" si="2808"/>
      </c>
      <c r="CE1261" s="830">
        <f t="shared" si="2808"/>
      </c>
      <c r="CF1261" s="830">
        <f t="shared" si="2808"/>
      </c>
      <c r="CG1261" s="459"/>
    </row>
    <row r="1262" spans="1:85" x14ac:dyDescent="0.3">
      <c r="A1262" s="459" t="s">
        <v>470</v>
      </c>
      <c r="B1262" s="753"/>
      <c r="C1262" s="830">
        <f t="shared" ref="C1262:AH1262" si="2809">IF(AND(C753&lt;0,ROUND(C753-C837,6)=0),C753,0)</f>
      </c>
      <c r="D1262" s="830">
        <f t="shared" si="2809"/>
      </c>
      <c r="E1262" s="830">
        <f t="shared" si="2809"/>
      </c>
      <c r="F1262" s="830">
        <f t="shared" si="2809"/>
      </c>
      <c r="G1262" s="830">
        <f t="shared" si="2809"/>
      </c>
      <c r="H1262" s="830">
        <f t="shared" si="2809"/>
      </c>
      <c r="I1262" s="830">
        <f t="shared" si="2809"/>
      </c>
      <c r="J1262" s="830">
        <f t="shared" si="2809"/>
      </c>
      <c r="K1262" s="830">
        <f t="shared" si="2809"/>
      </c>
      <c r="L1262" s="830">
        <f t="shared" si="2809"/>
      </c>
      <c r="M1262" s="830">
        <f t="shared" si="2809"/>
      </c>
      <c r="N1262" s="830">
        <f t="shared" si="2809"/>
      </c>
      <c r="O1262" s="830">
        <f t="shared" si="2809"/>
      </c>
      <c r="P1262" s="830">
        <f t="shared" si="2809"/>
      </c>
      <c r="Q1262" s="830">
        <f t="shared" si="2809"/>
      </c>
      <c r="R1262" s="830">
        <f t="shared" si="2809"/>
      </c>
      <c r="S1262" s="830">
        <f t="shared" si="2809"/>
      </c>
      <c r="T1262" s="830">
        <f t="shared" si="2809"/>
      </c>
      <c r="U1262" s="830">
        <f t="shared" si="2809"/>
      </c>
      <c r="V1262" s="830">
        <f t="shared" si="2809"/>
      </c>
      <c r="W1262" s="830">
        <f t="shared" si="2809"/>
      </c>
      <c r="X1262" s="830">
        <f t="shared" si="2809"/>
      </c>
      <c r="Y1262" s="830">
        <f t="shared" si="2809"/>
      </c>
      <c r="Z1262" s="830">
        <f t="shared" si="2809"/>
      </c>
      <c r="AA1262" s="830">
        <f t="shared" si="2809"/>
      </c>
      <c r="AB1262" s="830">
        <f t="shared" si="2809"/>
      </c>
      <c r="AC1262" s="830">
        <f t="shared" si="2809"/>
      </c>
      <c r="AD1262" s="830">
        <f t="shared" si="2809"/>
      </c>
      <c r="AE1262" s="830">
        <f t="shared" si="2809"/>
      </c>
      <c r="AF1262" s="830">
        <f t="shared" si="2809"/>
      </c>
      <c r="AG1262" s="830">
        <f t="shared" si="2809"/>
      </c>
      <c r="AH1262" s="830">
        <f t="shared" si="2809"/>
      </c>
      <c r="AI1262" s="830">
        <f t="shared" ref="AI1262:BD1262" si="2810">IF(AND(AI753&lt;0,ROUND(AI753-AI837,6)=0),AI753,0)</f>
      </c>
      <c r="AJ1262" s="830">
        <f t="shared" si="2810"/>
      </c>
      <c r="AK1262" s="830">
        <f t="shared" si="2810"/>
      </c>
      <c r="AL1262" s="830">
        <f t="shared" si="2810"/>
      </c>
      <c r="AM1262" s="830">
        <f t="shared" si="2810"/>
      </c>
      <c r="AN1262" s="830">
        <f t="shared" si="2810"/>
      </c>
      <c r="AO1262" s="830">
        <f t="shared" si="2810"/>
      </c>
      <c r="AP1262" s="830">
        <f t="shared" si="2810"/>
      </c>
      <c r="AQ1262" s="830">
        <f t="shared" si="2810"/>
      </c>
      <c r="AR1262" s="830">
        <f t="shared" si="2810"/>
      </c>
      <c r="AS1262" s="830">
        <f t="shared" si="2810"/>
      </c>
      <c r="AT1262" s="830">
        <f t="shared" si="2810"/>
      </c>
      <c r="AU1262" s="830">
        <f t="shared" si="2810"/>
      </c>
      <c r="AV1262" s="830">
        <f t="shared" si="2810"/>
      </c>
      <c r="AW1262" s="830">
        <f t="shared" si="2810"/>
      </c>
      <c r="AX1262" s="830">
        <f t="shared" si="2810"/>
      </c>
      <c r="AY1262" s="830">
        <f t="shared" si="2810"/>
      </c>
      <c r="AZ1262" s="830">
        <f t="shared" si="2810"/>
      </c>
      <c r="BA1262" s="830">
        <f t="shared" si="2810"/>
      </c>
      <c r="BB1262" s="830">
        <f t="shared" si="2810"/>
      </c>
      <c r="BC1262" s="830">
        <f t="shared" si="2810"/>
      </c>
      <c r="BD1262" s="830">
        <f t="shared" si="2810"/>
      </c>
      <c r="BE1262" s="830">
        <f t="shared" ref="BE1262:BI1262" si="2811">IF(AND(BE753&lt;0,ROUND(BE753-BE837,6)=0),BE753,0)</f>
      </c>
      <c r="BF1262" s="830">
        <f t="shared" si="2811"/>
      </c>
      <c r="BG1262" s="830">
        <f t="shared" si="2811"/>
      </c>
      <c r="BH1262" s="830">
        <f t="shared" si="2811"/>
      </c>
      <c r="BI1262" s="830">
        <f t="shared" si="2811"/>
      </c>
      <c r="BJ1262" s="830">
        <f t="shared" ref="BJ1262:BX1262" si="2812">IF(AND(BJ753&lt;0,ROUND(BJ753-BJ837,6)=0),BJ753,0)</f>
      </c>
      <c r="BK1262" s="830">
        <f t="shared" si="2812"/>
      </c>
      <c r="BL1262" s="830">
        <f t="shared" si="2812"/>
      </c>
      <c r="BM1262" s="830">
        <f t="shared" si="2812"/>
      </c>
      <c r="BN1262" s="830">
        <f t="shared" si="2812"/>
      </c>
      <c r="BO1262" s="830">
        <f t="shared" ref="BO1262:BW1262" si="2813">IF(AND(BO753&lt;0,ROUND(BO753-BO837,6)=0),BO753,0)</f>
      </c>
      <c r="BP1262" s="830">
        <f t="shared" si="2813"/>
      </c>
      <c r="BQ1262" s="830">
        <f t="shared" si="2813"/>
      </c>
      <c r="BR1262" s="830">
        <f t="shared" si="2813"/>
      </c>
      <c r="BS1262" s="830">
        <f t="shared" si="2813"/>
      </c>
      <c r="BT1262" s="831">
        <f>IF(AND(BT753&lt;0,ROUND(BT753-BT837,6)=0),BT753,0)</f>
      </c>
      <c r="BU1262" s="830">
        <f t="shared" si="2813"/>
      </c>
      <c r="BV1262" s="830">
        <f t="shared" si="2813"/>
      </c>
      <c r="BW1262" s="830">
        <f t="shared" si="2813"/>
      </c>
      <c r="BX1262" s="830">
        <f t="shared" si="2812"/>
      </c>
      <c r="BY1262" s="830">
        <f t="shared" ref="BY1262:CF1262" si="2814">IF(AND(BY753&lt;0,ROUND(BY753-BY837,6)=0),BY753,0)</f>
      </c>
      <c r="BZ1262" s="830">
        <f t="shared" si="2814"/>
      </c>
      <c r="CA1262" s="830">
        <f t="shared" si="2814"/>
      </c>
      <c r="CB1262" s="830">
        <f t="shared" si="2814"/>
      </c>
      <c r="CC1262" s="830">
        <f t="shared" si="2814"/>
      </c>
      <c r="CD1262" s="830">
        <f t="shared" si="2814"/>
      </c>
      <c r="CE1262" s="830">
        <f t="shared" si="2814"/>
      </c>
      <c r="CF1262" s="830">
        <f t="shared" si="2814"/>
      </c>
      <c r="CG1262" s="459"/>
    </row>
    <row r="1263" spans="1:85" x14ac:dyDescent="0.3">
      <c r="A1263" s="459" t="s">
        <v>877</v>
      </c>
      <c r="B1263" s="753"/>
      <c r="C1263" s="830"/>
      <c r="D1263" s="830"/>
      <c r="E1263" s="830"/>
      <c r="F1263" s="830"/>
      <c r="G1263" s="830"/>
      <c r="H1263" s="830"/>
      <c r="I1263" s="830"/>
      <c r="J1263" s="830"/>
      <c r="K1263" s="830"/>
      <c r="L1263" s="830"/>
      <c r="M1263" s="830"/>
      <c r="N1263" s="830"/>
      <c r="O1263" s="830"/>
      <c r="P1263" s="830"/>
      <c r="Q1263" s="830"/>
      <c r="R1263" s="830"/>
      <c r="S1263" s="830"/>
      <c r="T1263" s="830"/>
      <c r="U1263" s="830"/>
      <c r="V1263" s="830"/>
      <c r="W1263" s="830"/>
      <c r="X1263" s="830"/>
      <c r="Y1263" s="830"/>
      <c r="Z1263" s="830"/>
      <c r="AA1263" s="830"/>
      <c r="AB1263" s="830"/>
      <c r="AC1263" s="830"/>
      <c r="AD1263" s="830"/>
      <c r="AE1263" s="830"/>
      <c r="AF1263" s="830"/>
      <c r="AG1263" s="830"/>
      <c r="AH1263" s="830"/>
      <c r="AI1263" s="830"/>
      <c r="AJ1263" s="830"/>
      <c r="AK1263" s="830"/>
      <c r="AL1263" s="830"/>
      <c r="AM1263" s="830"/>
      <c r="AN1263" s="830"/>
      <c r="AO1263" s="830">
        <f t="shared" ref="AO1263:BD1263" si="2815">ROUND(AO753-AO782,0)</f>
      </c>
      <c r="AP1263" s="830">
        <f t="shared" si="2815"/>
      </c>
      <c r="AQ1263" s="830">
        <f t="shared" si="2815"/>
      </c>
      <c r="AR1263" s="830">
        <f t="shared" si="2815"/>
      </c>
      <c r="AS1263" s="830">
        <f t="shared" si="2815"/>
      </c>
      <c r="AT1263" s="830">
        <f t="shared" si="2815"/>
      </c>
      <c r="AU1263" s="830">
        <f t="shared" si="2815"/>
      </c>
      <c r="AV1263" s="830">
        <f t="shared" si="2815"/>
      </c>
      <c r="AW1263" s="830">
        <f t="shared" si="2815"/>
      </c>
      <c r="AX1263" s="830">
        <f t="shared" si="2815"/>
      </c>
      <c r="AY1263" s="830">
        <f t="shared" si="2815"/>
      </c>
      <c r="AZ1263" s="830">
        <f t="shared" si="2815"/>
      </c>
      <c r="BA1263" s="830">
        <f t="shared" si="2815"/>
      </c>
      <c r="BB1263" s="830">
        <f t="shared" si="2815"/>
      </c>
      <c r="BC1263" s="830">
        <f t="shared" si="2815"/>
      </c>
      <c r="BD1263" s="830">
        <f t="shared" si="2815"/>
      </c>
      <c r="BE1263" s="830">
        <f t="shared" ref="BE1263:BI1263" si="2816">ROUND(BE753-BE782,0)</f>
      </c>
      <c r="BF1263" s="830">
        <f t="shared" si="2816"/>
      </c>
      <c r="BG1263" s="830">
        <f t="shared" si="2816"/>
      </c>
      <c r="BH1263" s="830">
        <f>ROUND(BH753-BH782,0)</f>
      </c>
      <c r="BI1263" s="830">
        <f t="shared" si="2816"/>
      </c>
      <c r="BJ1263" s="830">
        <f t="shared" ref="BJ1263:BX1263" si="2817">ROUND(BJ753-BJ782,0)</f>
      </c>
      <c r="BK1263" s="830">
        <f t="shared" si="2817"/>
      </c>
      <c r="BL1263" s="830">
        <f t="shared" si="2817"/>
      </c>
      <c r="BM1263" s="830">
        <f t="shared" si="2817"/>
      </c>
      <c r="BN1263" s="830">
        <f t="shared" ref="BN1263:BW1263" si="2818">ROUND(BN753-BN782,0)</f>
      </c>
      <c r="BO1263" s="830">
        <f t="shared" si="2818"/>
      </c>
      <c r="BP1263" s="830">
        <f t="shared" si="2818"/>
      </c>
      <c r="BQ1263" s="830">
        <f t="shared" si="2818"/>
      </c>
      <c r="BR1263" s="830">
        <f t="shared" si="2818"/>
      </c>
      <c r="BS1263" s="830">
        <f>ROUND(BS753-BS782,0)</f>
      </c>
      <c r="BT1263" s="831">
        <f>ROUND(BT753-BT782,0)</f>
      </c>
      <c r="BU1263" s="830">
        <f t="shared" si="2818"/>
      </c>
      <c r="BV1263" s="830">
        <f t="shared" si="2818"/>
      </c>
      <c r="BW1263" s="830">
        <f t="shared" si="2818"/>
      </c>
      <c r="BX1263" s="830">
        <f t="shared" si="2817"/>
      </c>
      <c r="BY1263" s="830">
        <f t="shared" ref="BY1263:CF1263" si="2819">ROUND(BY753-BY782,0)</f>
      </c>
      <c r="BZ1263" s="830">
        <f t="shared" si="2819"/>
      </c>
      <c r="CA1263" s="830">
        <f t="shared" si="2819"/>
      </c>
      <c r="CB1263" s="830">
        <f t="shared" si="2819"/>
      </c>
      <c r="CC1263" s="830">
        <f t="shared" si="2819"/>
      </c>
      <c r="CD1263" s="830">
        <f t="shared" si="2819"/>
      </c>
      <c r="CE1263" s="830">
        <f t="shared" si="2819"/>
      </c>
      <c r="CF1263" s="830">
        <f t="shared" si="2819"/>
      </c>
      <c r="CG1263" s="459"/>
    </row>
    <row r="1264" spans="1:85" x14ac:dyDescent="0.3">
      <c r="A1264" s="459" t="s">
        <v>221</v>
      </c>
      <c r="B1264" s="753"/>
      <c r="C1264" s="830">
        <f t="shared" ref="C1264:AH1264" si="2820">IF(ISBLANK(C194),0,ROUND(C462-C194,6))+IF(ISBLANK(C28),0,ROUND(C462-C28,6))</f>
      </c>
      <c r="D1264" s="830">
        <f t="shared" si="2820"/>
      </c>
      <c r="E1264" s="830">
        <f t="shared" si="2820"/>
      </c>
      <c r="F1264" s="830">
        <f t="shared" si="2820"/>
      </c>
      <c r="G1264" s="830">
        <f t="shared" si="2820"/>
      </c>
      <c r="H1264" s="830">
        <f t="shared" si="2820"/>
      </c>
      <c r="I1264" s="830">
        <f t="shared" si="2820"/>
      </c>
      <c r="J1264" s="830">
        <f t="shared" si="2820"/>
      </c>
      <c r="K1264" s="830">
        <f t="shared" si="2820"/>
      </c>
      <c r="L1264" s="830">
        <f t="shared" si="2820"/>
      </c>
      <c r="M1264" s="830">
        <f t="shared" si="2820"/>
      </c>
      <c r="N1264" s="830">
        <f t="shared" si="2820"/>
      </c>
      <c r="O1264" s="830">
        <f t="shared" si="2820"/>
      </c>
      <c r="P1264" s="830">
        <f t="shared" si="2820"/>
      </c>
      <c r="Q1264" s="830">
        <f t="shared" si="2820"/>
      </c>
      <c r="R1264" s="830">
        <f t="shared" si="2820"/>
      </c>
      <c r="S1264" s="830">
        <f t="shared" si="2820"/>
      </c>
      <c r="T1264" s="830">
        <f t="shared" si="2820"/>
      </c>
      <c r="U1264" s="830">
        <f t="shared" si="2820"/>
      </c>
      <c r="V1264" s="830">
        <f t="shared" si="2820"/>
      </c>
      <c r="W1264" s="830">
        <f t="shared" si="2820"/>
      </c>
      <c r="X1264" s="830">
        <f t="shared" si="2820"/>
      </c>
      <c r="Y1264" s="830">
        <f t="shared" si="2820"/>
      </c>
      <c r="Z1264" s="830">
        <f t="shared" si="2820"/>
      </c>
      <c r="AA1264" s="830">
        <f t="shared" si="2820"/>
      </c>
      <c r="AB1264" s="830">
        <f t="shared" si="2820"/>
      </c>
      <c r="AC1264" s="830">
        <f t="shared" si="2820"/>
      </c>
      <c r="AD1264" s="830">
        <f t="shared" si="2820"/>
      </c>
      <c r="AE1264" s="830">
        <f t="shared" si="2820"/>
      </c>
      <c r="AF1264" s="830">
        <f t="shared" si="2820"/>
      </c>
      <c r="AG1264" s="830">
        <f t="shared" si="2820"/>
      </c>
      <c r="AH1264" s="830">
        <f t="shared" si="2820"/>
      </c>
      <c r="AI1264" s="830">
        <f t="shared" ref="AI1264:BN1264" si="2821">IF(ISBLANK(AI194),0,ROUND(AI462-AI194,6))+IF(ISBLANK(AI28),0,ROUND(AI462-AI28,6))</f>
      </c>
      <c r="AJ1264" s="830">
        <f t="shared" si="2821"/>
      </c>
      <c r="AK1264" s="830">
        <f t="shared" si="2821"/>
      </c>
      <c r="AL1264" s="830">
        <f t="shared" si="2821"/>
      </c>
      <c r="AM1264" s="830">
        <f t="shared" si="2821"/>
      </c>
      <c r="AN1264" s="830">
        <f t="shared" si="2821"/>
      </c>
      <c r="AO1264" s="830">
        <f t="shared" si="2821"/>
      </c>
      <c r="AP1264" s="830">
        <f t="shared" si="2821"/>
      </c>
      <c r="AQ1264" s="830">
        <f t="shared" si="2821"/>
      </c>
      <c r="AR1264" s="830">
        <f t="shared" si="2821"/>
      </c>
      <c r="AS1264" s="830">
        <f t="shared" si="2821"/>
      </c>
      <c r="AT1264" s="830">
        <f t="shared" si="2821"/>
      </c>
      <c r="AU1264" s="830">
        <f t="shared" si="2821"/>
      </c>
      <c r="AV1264" s="830">
        <f t="shared" si="2821"/>
      </c>
      <c r="AW1264" s="830">
        <f t="shared" si="2821"/>
      </c>
      <c r="AX1264" s="830">
        <f t="shared" si="2821"/>
      </c>
      <c r="AY1264" s="830">
        <f t="shared" si="2821"/>
      </c>
      <c r="AZ1264" s="830">
        <f t="shared" si="2821"/>
      </c>
      <c r="BA1264" s="830">
        <f t="shared" si="2821"/>
      </c>
      <c r="BB1264" s="830">
        <f t="shared" si="2821"/>
      </c>
      <c r="BC1264" s="830">
        <f t="shared" si="2821"/>
      </c>
      <c r="BD1264" s="830">
        <f t="shared" si="2821"/>
      </c>
      <c r="BE1264" s="830">
        <f t="shared" si="2821"/>
      </c>
      <c r="BF1264" s="830">
        <f t="shared" si="2821"/>
      </c>
      <c r="BG1264" s="830">
        <f t="shared" si="2821"/>
      </c>
      <c r="BH1264" s="830">
        <f t="shared" si="2821"/>
      </c>
      <c r="BI1264" s="830">
        <f t="shared" si="2821"/>
      </c>
      <c r="BJ1264" s="830">
        <f t="shared" si="2821"/>
      </c>
      <c r="BK1264" s="830">
        <f t="shared" si="2821"/>
      </c>
      <c r="BL1264" s="830">
        <f t="shared" si="2821"/>
      </c>
      <c r="BM1264" s="830">
        <f t="shared" si="2821"/>
      </c>
      <c r="BN1264" s="830">
        <f t="shared" si="2821"/>
      </c>
      <c r="BO1264" s="830">
        <f t="shared" ref="BO1264:BX1264" si="2822">IF(ISBLANK(BO194),0,ROUND(BO462-BO194,6))+IF(ISBLANK(BO28),0,ROUND(BO462-BO28,6))</f>
      </c>
      <c r="BP1264" s="830">
        <f t="shared" si="2822"/>
      </c>
      <c r="BQ1264" s="830">
        <f t="shared" si="2822"/>
      </c>
      <c r="BR1264" s="830">
        <f t="shared" ref="BR1264:BW1264" si="2823">IF(ISBLANK(BR194),0,ROUND(BR462-BR194,6))+IF(ISBLANK(BR28),0,ROUND(BR462-BR28,6))</f>
      </c>
      <c r="BS1264" s="830">
        <f t="shared" si="2823"/>
      </c>
      <c r="BT1264" s="831">
        <f>IF(ISBLANK(BT194),0,ROUND(BT462-BT194,6))+IF(ISBLANK(BT28),0,ROUND(BT462-BT28,6))</f>
      </c>
      <c r="BU1264" s="830">
        <f t="shared" si="2823"/>
      </c>
      <c r="BV1264" s="830">
        <f t="shared" si="2823"/>
      </c>
      <c r="BW1264" s="830">
        <f t="shared" si="2823"/>
      </c>
      <c r="BX1264" s="830">
        <f t="shared" si="2822"/>
      </c>
      <c r="BY1264" s="830">
        <f t="shared" ref="BY1264:CF1264" si="2824">IF(ISBLANK(BY194),0,ROUND(BY462-BY194,6))+IF(ISBLANK(BY28),0,ROUND(BY462-BY28,6))</f>
      </c>
      <c r="BZ1264" s="830">
        <f t="shared" si="2824"/>
      </c>
      <c r="CA1264" s="830">
        <f t="shared" si="2824"/>
      </c>
      <c r="CB1264" s="830">
        <f t="shared" si="2824"/>
      </c>
      <c r="CC1264" s="830">
        <f t="shared" si="2824"/>
      </c>
      <c r="CD1264" s="830">
        <f t="shared" si="2824"/>
      </c>
      <c r="CE1264" s="830">
        <f t="shared" si="2824"/>
      </c>
      <c r="CF1264" s="830">
        <f t="shared" si="2824"/>
      </c>
      <c r="CG1264" s="459"/>
    </row>
    <row r="1265" spans="1:85" x14ac:dyDescent="0.3">
      <c r="A1265" s="459" t="s">
        <v>2188</v>
      </c>
      <c r="B1265" s="753"/>
      <c r="C1265" s="830">
        <f t="shared" ref="C1265:AH1265" si="2825">ROUND(INDEX(MO_RIS_EBIT,0,COLUMN())-C238,6)</f>
      </c>
      <c r="D1265" s="830">
        <f t="shared" si="2825"/>
      </c>
      <c r="E1265" s="830">
        <f t="shared" si="2825"/>
      </c>
      <c r="F1265" s="830">
        <f t="shared" si="2825"/>
      </c>
      <c r="G1265" s="830">
        <f t="shared" si="2825"/>
      </c>
      <c r="H1265" s="830">
        <f t="shared" si="2825"/>
      </c>
      <c r="I1265" s="830">
        <f t="shared" si="2825"/>
      </c>
      <c r="J1265" s="830">
        <f t="shared" si="2825"/>
      </c>
      <c r="K1265" s="830">
        <f t="shared" si="2825"/>
      </c>
      <c r="L1265" s="830">
        <f t="shared" si="2825"/>
      </c>
      <c r="M1265" s="830">
        <f t="shared" si="2825"/>
      </c>
      <c r="N1265" s="830">
        <f t="shared" si="2825"/>
      </c>
      <c r="O1265" s="830">
        <f t="shared" si="2825"/>
      </c>
      <c r="P1265" s="830">
        <f t="shared" si="2825"/>
      </c>
      <c r="Q1265" s="830">
        <f t="shared" si="2825"/>
      </c>
      <c r="R1265" s="830">
        <f t="shared" si="2825"/>
      </c>
      <c r="S1265" s="830">
        <f t="shared" si="2825"/>
      </c>
      <c r="T1265" s="830">
        <f t="shared" si="2825"/>
      </c>
      <c r="U1265" s="830">
        <f t="shared" si="2825"/>
      </c>
      <c r="V1265" s="830">
        <f t="shared" si="2825"/>
      </c>
      <c r="W1265" s="830">
        <f t="shared" si="2825"/>
      </c>
      <c r="X1265" s="830">
        <f t="shared" si="2825"/>
      </c>
      <c r="Y1265" s="830">
        <f t="shared" si="2825"/>
      </c>
      <c r="Z1265" s="830">
        <f t="shared" si="2825"/>
      </c>
      <c r="AA1265" s="830">
        <f t="shared" si="2825"/>
      </c>
      <c r="AB1265" s="830">
        <f t="shared" si="2825"/>
      </c>
      <c r="AC1265" s="830">
        <f t="shared" si="2825"/>
      </c>
      <c r="AD1265" s="830">
        <f t="shared" si="2825"/>
      </c>
      <c r="AE1265" s="830">
        <f t="shared" si="2825"/>
      </c>
      <c r="AF1265" s="830">
        <f t="shared" si="2825"/>
      </c>
      <c r="AG1265" s="830">
        <f t="shared" si="2825"/>
      </c>
      <c r="AH1265" s="830">
        <f t="shared" si="2825"/>
      </c>
      <c r="AI1265" s="830">
        <f t="shared" ref="AI1265:BN1265" si="2826">ROUND(INDEX(MO_RIS_EBIT,0,COLUMN())-AI238,6)</f>
      </c>
      <c r="AJ1265" s="830">
        <f t="shared" si="2826"/>
      </c>
      <c r="AK1265" s="830">
        <f t="shared" si="2826"/>
      </c>
      <c r="AL1265" s="830">
        <f t="shared" si="2826"/>
      </c>
      <c r="AM1265" s="830">
        <f t="shared" si="2826"/>
      </c>
      <c r="AN1265" s="830">
        <f t="shared" si="2826"/>
      </c>
      <c r="AO1265" s="830">
        <f t="shared" si="2826"/>
      </c>
      <c r="AP1265" s="830">
        <f t="shared" si="2826"/>
      </c>
      <c r="AQ1265" s="830">
        <f t="shared" si="2826"/>
      </c>
      <c r="AR1265" s="830">
        <f t="shared" si="2826"/>
      </c>
      <c r="AS1265" s="830">
        <f t="shared" si="2826"/>
      </c>
      <c r="AT1265" s="830">
        <f t="shared" si="2826"/>
      </c>
      <c r="AU1265" s="830">
        <f t="shared" si="2826"/>
      </c>
      <c r="AV1265" s="830">
        <f t="shared" si="2826"/>
      </c>
      <c r="AW1265" s="830">
        <f t="shared" si="2826"/>
      </c>
      <c r="AX1265" s="830">
        <f t="shared" si="2826"/>
      </c>
      <c r="AY1265" s="830">
        <f t="shared" si="2826"/>
      </c>
      <c r="AZ1265" s="830">
        <f t="shared" si="2826"/>
      </c>
      <c r="BA1265" s="830">
        <f t="shared" si="2826"/>
      </c>
      <c r="BB1265" s="830">
        <f t="shared" si="2826"/>
      </c>
      <c r="BC1265" s="830">
        <f t="shared" si="2826"/>
      </c>
      <c r="BD1265" s="830">
        <f t="shared" si="2826"/>
      </c>
      <c r="BE1265" s="830">
        <f t="shared" si="2826"/>
      </c>
      <c r="BF1265" s="830">
        <f t="shared" si="2826"/>
      </c>
      <c r="BG1265" s="830">
        <f t="shared" si="2826"/>
      </c>
      <c r="BH1265" s="830">
        <f t="shared" si="2826"/>
      </c>
      <c r="BI1265" s="830">
        <f t="shared" si="2826"/>
      </c>
      <c r="BJ1265" s="830">
        <f t="shared" si="2826"/>
      </c>
      <c r="BK1265" s="830">
        <f t="shared" si="2826"/>
      </c>
      <c r="BL1265" s="830">
        <f t="shared" si="2826"/>
      </c>
      <c r="BM1265" s="830">
        <f t="shared" si="2826"/>
      </c>
      <c r="BN1265" s="830">
        <f t="shared" si="2826"/>
      </c>
      <c r="BO1265" s="830">
        <f t="shared" ref="BO1265:BX1265" si="2827">ROUND(INDEX(MO_RIS_EBIT,0,COLUMN())-BO238,6)</f>
      </c>
      <c r="BP1265" s="830">
        <f t="shared" si="2827"/>
      </c>
      <c r="BQ1265" s="830">
        <f t="shared" si="2827"/>
      </c>
      <c r="BR1265" s="830">
        <f t="shared" ref="BR1265:BW1265" si="2828">ROUND(INDEX(MO_RIS_EBIT,0,COLUMN())-BR238,6)</f>
      </c>
      <c r="BS1265" s="830">
        <f t="shared" si="2828"/>
      </c>
      <c r="BT1265" s="831">
        <f>ROUND(INDEX(MO_RIS_EBIT,0,COLUMN())-BT238,6)</f>
      </c>
      <c r="BU1265" s="830">
        <f t="shared" si="2828"/>
      </c>
      <c r="BV1265" s="830">
        <f t="shared" si="2828"/>
      </c>
      <c r="BW1265" s="830">
        <f t="shared" si="2828"/>
      </c>
      <c r="BX1265" s="830">
        <f t="shared" si="2827"/>
      </c>
      <c r="BY1265" s="830">
        <f t="shared" ref="BY1265:CF1265" si="2829">ROUND(INDEX(MO_RIS_EBIT,0,COLUMN())-BY238,6)</f>
      </c>
      <c r="BZ1265" s="830">
        <f t="shared" si="2829"/>
      </c>
      <c r="CA1265" s="830">
        <f t="shared" si="2829"/>
      </c>
      <c r="CB1265" s="830">
        <f t="shared" si="2829"/>
      </c>
      <c r="CC1265" s="830">
        <f t="shared" si="2829"/>
      </c>
      <c r="CD1265" s="830">
        <f t="shared" si="2829"/>
      </c>
      <c r="CE1265" s="830">
        <f t="shared" si="2829"/>
      </c>
      <c r="CF1265" s="830">
        <f t="shared" si="2829"/>
      </c>
      <c r="CG1265" s="459"/>
    </row>
    <row r="1266" spans="1:85" x14ac:dyDescent="0.3">
      <c r="A1266" s="459" t="s">
        <v>222</v>
      </c>
      <c r="B1266" s="753"/>
      <c r="C1266" s="830">
        <f>IF(ISBLANK(INDEX(MO_IS_FirstRow,0,COLUMN())),0,IF(OR(C1156=B1156,C1156=D1156),"CHECK",0))</f>
      </c>
      <c r="D1266" s="830">
        <f>IF(ISBLANK(INDEX(MO_IS_FirstRow,0,COLUMN())),0,IF(OR(D1156=C1156,D1156=E1156),"CHECK",0))</f>
      </c>
      <c r="E1266" s="830">
        <f>IF(ISBLANK(INDEX(MO_IS_FirstRow,0,COLUMN())),0,IF(OR(E1156=D1156,E1156=F1156),"CHECK",0))</f>
      </c>
      <c r="F1266" s="830">
        <f>IF(ISBLANK(INDEX(MO_IS_FirstRow,0,COLUMN())),0,IF(OR(F1156=E1156,F1156=K1156),"CHECK",0))</f>
      </c>
      <c r="G1266" s="830">
        <f>IF(ISBLANK(INDEX(MO_IS_FirstRow,0,COLUMN())),0,IF(OR(G1156=B1156,G1156=H1156,G1156=E1156),"CHECK",0))</f>
      </c>
      <c r="H1266" s="830">
        <f>IF(ISBLANK(INDEX(MO_IS_FirstRow,0,COLUMN())),0,IF(OR(H1156=C1156,H1156=I1156,H1156=G1156),"CHECK",0))</f>
      </c>
      <c r="I1266" s="830">
        <f>IF(ISBLANK(INDEX(MO_IS_FirstRow,0,COLUMN())),0,IF(OR(I1156=D1156,I1156=J1156,I1156=H1156),"CHECK",0))</f>
      </c>
      <c r="J1266" s="830">
        <f>IF(ISBLANK(INDEX(MO_IS_FirstRow,0,COLUMN())),0,IF(OR(J1156=E1156,J1156=K1156,J1156=I1156),"CHECK",0))</f>
      </c>
      <c r="K1266" s="830">
        <f>IF(ISBLANK(INDEX(MO_IS_FirstRow,0,COLUMN())),0,IF(K1156=F1156,"CHECK",0))</f>
      </c>
      <c r="L1266" s="830">
        <f>IF(ISBLANK(INDEX(MO_IS_FirstRow,0,COLUMN())),0,IF(OR(L1156=G1156,L1156=M1156,L1156=J1156),"CHECK",0))</f>
      </c>
      <c r="M1266" s="830">
        <f>IF(ISBLANK(INDEX(MO_IS_FirstRow,0,COLUMN())),0,IF(OR(M1156=H1156,M1156=N1156,M1156=L1156),"CHECK",0))</f>
      </c>
      <c r="N1266" s="830">
        <f>IF(ISBLANK(INDEX(MO_IS_FirstRow,0,COLUMN())),0,IF(OR(N1156=I1156,N1156=O1156,N1156=M1156),"CHECK",0))</f>
      </c>
      <c r="O1266" s="830">
        <f>IF(ISBLANK(INDEX(MO_IS_FirstRow,0,COLUMN())),0,IF(OR(O1156=J1156,O1156=P1156,O1156=N1156),"CHECK",0))</f>
      </c>
      <c r="P1266" s="830">
        <f>IF(ISBLANK(INDEX(MO_IS_FirstRow,0,COLUMN())),0,IF(P1156=K1156,"CHECK",0))</f>
      </c>
      <c r="Q1266" s="830">
        <f>IF(ISBLANK(INDEX(MO_IS_FirstRow,0,COLUMN())),0,IF(OR(Q1156=L1156,Q1156=R1156,Q1156=O1156),"CHECK",0))</f>
      </c>
      <c r="R1266" s="830">
        <f>IF(ISBLANK(INDEX(MO_IS_FirstRow,0,COLUMN())),0,IF(OR(R1156=M1156,R1156=S1156,R1156=Q1156),"CHECK",0))</f>
      </c>
      <c r="S1266" s="830">
        <f>IF(ISBLANK(INDEX(MO_IS_FirstRow,0,COLUMN())),0,IF(OR(S1156=N1156,S1156=T1156,S1156=R1156),"CHECK",0))</f>
      </c>
      <c r="T1266" s="830">
        <f>IF(ISBLANK(INDEX(MO_IS_FirstRow,0,COLUMN())),0,IF(OR(T1156=O1156,T1156=U1156,T1156=S1156),"CHECK",0))</f>
      </c>
      <c r="U1266" s="830">
        <f>IF(ISBLANK(INDEX(MO_IS_FirstRow,0,COLUMN())),0,IF(U1156=P1156,"CHECK",0))</f>
      </c>
      <c r="V1266" s="830">
        <f>IF(ISBLANK(INDEX(MO_IS_FirstRow,0,COLUMN())),0,IF(OR(V1156=Q1156,V1156=W1156,V1156=T1156),"CHECK",0))</f>
      </c>
      <c r="W1266" s="830">
        <f>IF(ISBLANK(INDEX(MO_IS_FirstRow,0,COLUMN())),0,IF(OR(W1156=R1156,W1156=X1156,W1156=V1156),"CHECK",0))</f>
      </c>
      <c r="X1266" s="830">
        <f>IF(ISBLANK(INDEX(MO_IS_FirstRow,0,COLUMN())),0,IF(OR(X1156=S1156,X1156=Y1156,X1156=W1156),"CHECK",0))</f>
      </c>
      <c r="Y1266" s="830">
        <f>IF(ISBLANK(INDEX(MO_IS_FirstRow,0,COLUMN())),0,IF(OR(Y1156=T1156,Y1156=Z1156,Y1156=X1156),"CHECK",0))</f>
      </c>
      <c r="Z1266" s="830">
        <f>IF(ISBLANK(INDEX(MO_IS_FirstRow,0,COLUMN())),0,IF(Z1156=U1156,"CHECK",0))</f>
      </c>
      <c r="AA1266" s="830">
        <f>IF(ISBLANK(INDEX(MO_IS_FirstRow,0,COLUMN())),0,IF(OR(AA1156=V1156,AA1156=AB1156,AA1156=Y1156),"CHECK",0))</f>
      </c>
      <c r="AB1266" s="830">
        <f>IF(ISBLANK(INDEX(MO_IS_FirstRow,0,COLUMN())),0,IF(OR(AB1156=W1156,AB1156=AC1156,AB1156=AA1156),"CHECK",0))</f>
      </c>
      <c r="AC1266" s="830">
        <f>IF(ISBLANK(INDEX(MO_IS_FirstRow,0,COLUMN())),0,IF(OR(AC1156=X1156,AC1156=AD1156,AC1156=AB1156),"CHECK",0))</f>
      </c>
      <c r="AD1266" s="830">
        <f>IF(ISBLANK(INDEX(MO_IS_FirstRow,0,COLUMN())),0,IF(OR(AD1156=Y1156,AD1156=AE1156,AD1156=AC1156),"CHECK",0))</f>
      </c>
      <c r="AE1266" s="830">
        <f>IF(ISBLANK(INDEX(MO_IS_FirstRow,0,COLUMN())),0,IF(AE1156=Z1156,"CHECK",0))</f>
      </c>
      <c r="AF1266" s="830">
        <f>IF(ISBLANK(INDEX(MO_IS_FirstRow,0,COLUMN())),0,IF(OR(AF1156=AA1156,AF1156=AG1156,AF1156=AD1156),"CHECK",0))</f>
      </c>
      <c r="AG1266" s="830">
        <f>IF(ISBLANK(INDEX(MO_IS_FirstRow,0,COLUMN())),0,IF(OR(AG1156=AB1156,AG1156=AH1156,AG1156=AF1156),"CHECK",0))</f>
      </c>
      <c r="AH1266" s="830">
        <f>IF(ISBLANK(INDEX(MO_IS_FirstRow,0,COLUMN())),0,IF(OR(AH1156=AC1156,AH1156=AI1156,AH1156=AG1156),"CHECK",0))</f>
      </c>
      <c r="AI1266" s="830">
        <f>IF(ISBLANK(INDEX(MO_IS_FirstRow,0,COLUMN())),0,IF(OR(AI1156=AD1156,AI1156=AJ1156,AI1156=AH1156),"CHECK",0))</f>
      </c>
      <c r="AJ1266" s="830">
        <f>IF(ISBLANK(INDEX(MO_IS_FirstRow,0,COLUMN())),0,IF(AJ1156=AE1156,"CHECK",0))</f>
      </c>
      <c r="AK1266" s="830">
        <f>IF(ISBLANK(INDEX(MO_IS_FirstRow,0,COLUMN())),0,IF(OR(AK1156=AF1156,AK1156=AL1156,AK1156=AI1156),"CHECK",0))</f>
      </c>
      <c r="AL1266" s="830">
        <f>IF(ISBLANK(INDEX(MO_IS_FirstRow,0,COLUMN())),0,IF(OR(AL1156=AG1156,AL1156=AM1156,AL1156=AK1156),"CHECK",0))</f>
      </c>
      <c r="AM1266" s="830">
        <f>IF(ISBLANK(INDEX(MO_IS_FirstRow,0,COLUMN())),0,IF(OR(AM1156=AH1156,AM1156=AN1156,AM1156=AL1156),"CHECK",0))</f>
      </c>
      <c r="AN1266" s="830">
        <f>IF(ISBLANK(INDEX(MO_IS_FirstRow,0,COLUMN())),0,IF(OR(AN1156=AI1156,AN1156=AO1156,AN1156=AM1156),"CHECK",0))</f>
      </c>
      <c r="AO1266" s="830">
        <f>IF(ISBLANK(INDEX(MO_IS_FirstRow,0,COLUMN())),0,IF(AO1156=AJ1156,"CHECK",0))</f>
      </c>
      <c r="AP1266" s="830">
        <f>IF(ISBLANK(INDEX(MO_IS_FirstRow,0,COLUMN())),0,IF(OR(AP1156=AK1156,AP1156=AQ1156,AP1156=AN1156),"CHECK",0))</f>
      </c>
      <c r="AQ1266" s="830">
        <f>IF(ISBLANK(INDEX(MO_IS_FirstRow,0,COLUMN())),0,IF(OR(AQ1156=AL1156,AQ1156=AR1156,AQ1156=AP1156),"CHECK",0))</f>
      </c>
      <c r="AR1266" s="830">
        <f>IF(ISBLANK(INDEX(MO_IS_FirstRow,0,COLUMN())),0,IF(OR(AR1156=AM1156,AR1156=AS1156,AR1156=AQ1156),"CHECK",0))</f>
      </c>
      <c r="AS1266" s="830">
        <f>IF(ISBLANK(INDEX(MO_IS_FirstRow,0,COLUMN())),0,IF(OR(AS1156=AN1156,AS1156=AT1156,AS1156=AR1156),"CHECK",0))</f>
      </c>
      <c r="AT1266" s="830">
        <f>IF(ISBLANK(INDEX(MO_IS_FirstRow,0,COLUMN())),0,IF(AT1156=AO1156,"CHECK",0))</f>
      </c>
      <c r="AU1266" s="830">
        <f>IF(ISBLANK(INDEX(MO_IS_FirstRow,0,COLUMN())),0,IF(OR(AU1156=AP1156,AU1156=AV1156,AU1156=AS1156),"CHECK",0))</f>
      </c>
      <c r="AV1266" s="830">
        <f>IF(ISBLANK(INDEX(MO_IS_FirstRow,0,COLUMN())),0,IF(OR(AV1156=AQ1156,AV1156=AW1156,AV1156=AU1156),"CHECK",0))</f>
      </c>
      <c r="AW1266" s="830">
        <f>IF(ISBLANK(INDEX(MO_IS_FirstRow,0,COLUMN())),0,IF(OR(AW1156=AR1156,AW1156=AX1156,AW1156=AV1156),"CHECK",0))</f>
      </c>
      <c r="AX1266" s="830">
        <f>IF(ISBLANK(INDEX(MO_IS_FirstRow,0,COLUMN())),0,IF(OR(AX1156=AS1156,AX1156=AY1156,AX1156=AW1156),"CHECK",0))</f>
      </c>
      <c r="AY1266" s="830">
        <f>IF(ISBLANK(INDEX(MO_IS_FirstRow,0,COLUMN())),0,IF(AY1156=AT1156,"CHECK",0))</f>
      </c>
      <c r="AZ1266" s="830">
        <f>IF(ISBLANK(INDEX(MO_IS_FirstRow,0,COLUMN())),0,IF(OR(AZ1156=AU1156,AZ1156=BA1156,AZ1156=AX1156),"CHECK",0))</f>
      </c>
      <c r="BA1266" s="830">
        <f>IF(ISBLANK(INDEX(MO_IS_FirstRow,0,COLUMN())),0,IF(OR(BA1156=AV1156,BA1156=BB1156,BA1156=AZ1156),"CHECK",0))</f>
      </c>
      <c r="BB1266" s="830">
        <f>IF(ISBLANK(INDEX(MO_IS_FirstRow,0,COLUMN())),0,IF(OR(BB1156=AW1156,BB1156=BC1156,BB1156=BA1156),"CHECK",0))</f>
      </c>
      <c r="BC1266" s="830">
        <f>IF(ISBLANK(INDEX(MO_IS_FirstRow,0,COLUMN())),0,IF(OR(BC1156=AX1156,BC1156=BD1156,BC1156=BB1156),"CHECK",0))</f>
      </c>
      <c r="BD1266" s="830">
        <f>IF(ISBLANK(INDEX(MO_IS_FirstRow,0,COLUMN())),0,IF(BD1156=AY1156,"CHECK",0))</f>
      </c>
      <c r="BE1266" s="830">
        <f>IF(ISBLANK(INDEX(MO_IS_FirstRow,0,COLUMN())),0,IF(OR(BE1156=AZ1156,BE1156=BF1156,BE1156=BC1156),"CHECK",0))</f>
      </c>
      <c r="BF1266" s="830">
        <f>IF(ISBLANK(INDEX(MO_IS_FirstRow,0,COLUMN())),0,IF(OR(BF1156=BA1156,BF1156=BG1156,BF1156=BE1156),"CHECK",0))</f>
      </c>
      <c r="BG1266" s="830">
        <f>IF(ISBLANK(INDEX(MO_IS_FirstRow,0,COLUMN())),0,IF(OR(BG1156=BB1156,BG1156=BH1156,BG1156=BF1156),"CHECK",0))</f>
      </c>
      <c r="BH1266" s="830">
        <f>IF(ISBLANK(INDEX(MO_IS_FirstRow,0,COLUMN())),0,IF(OR(BH1156=BC1156,BH1156=BI1156,BH1156=BG1156),"CHECK",0))</f>
      </c>
      <c r="BI1266" s="830">
        <f>IF(ISBLANK(INDEX(MO_IS_FirstRow,0,COLUMN())),0,IF(BI1156=BD1156,"CHECK",0))</f>
      </c>
      <c r="BJ1266" s="830">
        <f>IF(ISBLANK(INDEX(MO_IS_FirstRow,0,COLUMN())),0,IF(OR(BJ1156=BE1156,BJ1156=BK1156,BJ1156=BH1156),"CHECK",0))</f>
      </c>
      <c r="BK1266" s="830">
        <f>IF(ISBLANK(INDEX(MO_IS_FirstRow,0,COLUMN())),0,IF(OR(BK1156=BF1156,BK1156=BL1156,BK1156=BJ1156),"CHECK",0))</f>
      </c>
      <c r="BL1266" s="830">
        <f>IF(ISBLANK(INDEX(MO_IS_FirstRow,0,COLUMN())),0,IF(OR(BL1156=BG1156,BL1156=BM1156,BL1156=BK1156),"CHECK",0))</f>
      </c>
      <c r="BM1266" s="830">
        <f>IF(ISBLANK(INDEX(MO_IS_FirstRow,0,COLUMN())),0,IF(OR(BM1156=BH1156,BM1156=BN1156,BM1156=BL1156),"CHECK",0))</f>
      </c>
      <c r="BN1266" s="830">
        <f>IF(ISBLANK(INDEX(MO_IS_FirstRow,0,COLUMN())),0,IF(BN1156=BI1156,"CHECK",0))</f>
      </c>
      <c r="BO1266" s="830">
        <f>IF(ISBLANK(INDEX(MO_IS_FirstRow,0,COLUMN())),0,IF(OR(BO1156=BJ1156,BO1156=BP1156,BO1156=BM1156),"CHECK",0))</f>
      </c>
      <c r="BP1266" s="830">
        <f>IF(ISBLANK(INDEX(MO_IS_FirstRow,0,COLUMN())),0,IF(OR(BP1156=BK1156,BP1156=BQ1156,BP1156=BO1156),"CHECK",0))</f>
      </c>
      <c r="BQ1266" s="830">
        <f>IF(ISBLANK(INDEX(MO_IS_FirstRow,0,COLUMN())),0,IF(OR(BQ1156=BL1156,BQ1156=BR1156,BQ1156=BP1156),"CHECK",0))</f>
      </c>
      <c r="BR1266" s="830">
        <f>IF(ISBLANK(INDEX(MO_IS_FirstRow,0,COLUMN())),0,IF(OR(BR1156=BM1156,BR1156=BS1156,BR1156=BQ1156),"CHECK",0))</f>
      </c>
      <c r="BS1266" s="830">
        <f>IF(ISBLANK(INDEX(MO_IS_FirstRow,0,COLUMN())),0,IF(BS1156=BN1156,"CHECK",0))</f>
      </c>
      <c r="BT1266" s="831">
        <f>IF(ISBLANK(INDEX(MO_IS_FirstRow,0,COLUMN())),0,IF(OR(BT1156=BO1156,BT1156=BU1156,BT1156=BR1156),"CHECK",0))</f>
      </c>
      <c r="BU1266" s="830"/>
      <c r="BV1266" s="830"/>
      <c r="BW1266" s="830"/>
      <c r="BX1266" s="830"/>
      <c r="BY1266" s="830"/>
      <c r="BZ1266" s="830"/>
      <c r="CA1266" s="830"/>
      <c r="CB1266" s="830"/>
      <c r="CC1266" s="830"/>
      <c r="CD1266" s="830"/>
      <c r="CE1266" s="830"/>
      <c r="CF1266" s="830"/>
      <c r="CG1266" s="459"/>
    </row>
    <row r="1267" spans="1:85" x14ac:dyDescent="0.3">
      <c r="A1267" s="459" t="s">
        <v>223</v>
      </c>
      <c r="B1267" s="753"/>
      <c r="C1267" s="830">
        <f>IF(ISBLANK(INDEX(MO_IS_FirstRow,0,COLUMN())),0,IF(OR(C491=B491,C491=D491),"CHECK",0))</f>
      </c>
      <c r="D1267" s="830">
        <f>IF(ISBLANK(INDEX(MO_IS_FirstRow,0,COLUMN())),0,IF(OR(D491=C491,D491=E491),"CHECK",0))</f>
      </c>
      <c r="E1267" s="830">
        <f>IF(ISBLANK(INDEX(MO_IS_FirstRow,0,COLUMN())),0,IF(OR(E491=D491,E491=F491),"CHECK",0))</f>
      </c>
      <c r="F1267" s="830">
        <f>IF(ISBLANK(INDEX(MO_IS_FirstRow,0,COLUMN())),0,IF(OR(F491=E491,F491=K491),"CHECK",0))</f>
      </c>
      <c r="G1267" s="830">
        <f>IF(ISBLANK(INDEX(MO_IS_FirstRow,0,COLUMN())),0,IF(OR(G491=B491,G491=H491,G491=E491),"CHECK",0))</f>
      </c>
      <c r="H1267" s="830">
        <f>IF(ISBLANK(INDEX(MO_IS_FirstRow,0,COLUMN())),0,IF(OR(H491=C491,H491=I491,H491=G491),"CHECK",0))</f>
      </c>
      <c r="I1267" s="830">
        <f>IF(ISBLANK(INDEX(MO_IS_FirstRow,0,COLUMN())),0,IF(OR(I491=D491,I491=J491,I491=H491),"CHECK",0))</f>
      </c>
      <c r="J1267" s="830">
        <f>IF(ISBLANK(INDEX(MO_IS_FirstRow,0,COLUMN())),0,IF(OR(J491=E491,J491=K491,J491=I491),"CHECK",0))</f>
      </c>
      <c r="K1267" s="830">
        <f>IF(ISBLANK(INDEX(MO_IS_FirstRow,0,COLUMN())),0,IF(K491=F491,"CHECK",0))</f>
      </c>
      <c r="L1267" s="830">
        <f>IF(ISBLANK(INDEX(MO_IS_FirstRow,0,COLUMN())),0,IF(OR(L491=G491,L491=M491,L491=J491),"CHECK",0))</f>
      </c>
      <c r="M1267" s="830">
        <f>IF(ISBLANK(INDEX(MO_IS_FirstRow,0,COLUMN())),0,IF(OR(M491=H491,M491=N491,M491=L491),"CHECK",0))</f>
      </c>
      <c r="N1267" s="830">
        <f>IF(ISBLANK(INDEX(MO_IS_FirstRow,0,COLUMN())),0,IF(OR(N491=I491,N491=O491,N491=M491),"CHECK",0))</f>
      </c>
      <c r="O1267" s="830">
        <f>IF(ISBLANK(INDEX(MO_IS_FirstRow,0,COLUMN())),0,IF(OR(O491=J491,O491=P491,O491=N491),"CHECK",0))</f>
      </c>
      <c r="P1267" s="830">
        <f>IF(ISBLANK(INDEX(MO_IS_FirstRow,0,COLUMN())),0,IF(P491=K491,"CHECK",0))</f>
      </c>
      <c r="Q1267" s="830">
        <f>IF(ISBLANK(INDEX(MO_IS_FirstRow,0,COLUMN())),0,IF(OR(Q491=L491,Q491=R491,Q491=O491),"CHECK",0))</f>
      </c>
      <c r="R1267" s="830">
        <f>IF(ISBLANK(INDEX(MO_IS_FirstRow,0,COLUMN())),0,IF(OR(R491=M491,R491=S491,R491=Q491),"CHECK",0))</f>
      </c>
      <c r="S1267" s="830">
        <f>IF(ISBLANK(INDEX(MO_IS_FirstRow,0,COLUMN())),0,IF(OR(S491=N491,S491=T491,S491=R491),"CHECK",0))</f>
      </c>
      <c r="T1267" s="830">
        <f>IF(ISBLANK(INDEX(MO_IS_FirstRow,0,COLUMN())),0,IF(OR(T491=O491,T491=U491,T491=S491),"CHECK",0))</f>
      </c>
      <c r="U1267" s="830">
        <f>IF(ISBLANK(INDEX(MO_IS_FirstRow,0,COLUMN())),0,IF(U491=P491,"CHECK",0))</f>
      </c>
      <c r="V1267" s="830">
        <f>IF(ISBLANK(INDEX(MO_IS_FirstRow,0,COLUMN())),0,IF(OR(V491=Q491,V491=W491,V491=T491),"CHECK",0))</f>
      </c>
      <c r="W1267" s="830">
        <f>IF(ISBLANK(INDEX(MO_IS_FirstRow,0,COLUMN())),0,IF(OR(W491=R491,W491=X491,W491=V491),"CHECK",0))</f>
      </c>
      <c r="X1267" s="830">
        <f>IF(ISBLANK(INDEX(MO_IS_FirstRow,0,COLUMN())),0,IF(OR(X491=S491,X491=Y491,X491=W491),"CHECK",0))</f>
      </c>
      <c r="Y1267" s="830">
        <f>IF(ISBLANK(INDEX(MO_IS_FirstRow,0,COLUMN())),0,IF(OR(Y491=T491,Y491=Z491,Y491=X491),"CHECK",0))</f>
      </c>
      <c r="Z1267" s="830">
        <f>IF(ISBLANK(INDEX(MO_IS_FirstRow,0,COLUMN())),0,IF(Z491=U491,"CHECK",0))</f>
      </c>
      <c r="AA1267" s="830">
        <f>IF(ISBLANK(INDEX(MO_IS_FirstRow,0,COLUMN())),0,IF(OR(AA491=V491,AA491=AB491,AA491=Y491),"CHECK",0))</f>
      </c>
      <c r="AB1267" s="830">
        <f>IF(ISBLANK(INDEX(MO_IS_FirstRow,0,COLUMN())),0,IF(OR(AB491=W491,AB491=AC491,AB491=AA491),"CHECK",0))</f>
      </c>
      <c r="AC1267" s="830">
        <f>IF(ISBLANK(INDEX(MO_IS_FirstRow,0,COLUMN())),0,IF(OR(AC491=X491,AC491=AD491,AC491=AB491),"CHECK",0))</f>
      </c>
      <c r="AD1267" s="830">
        <f>IF(ISBLANK(INDEX(MO_IS_FirstRow,0,COLUMN())),0,IF(OR(AD491=Y491,AD491=AE491,AD491=AC491),"CHECK",0))</f>
      </c>
      <c r="AE1267" s="830">
        <f>IF(ISBLANK(INDEX(MO_IS_FirstRow,0,COLUMN())),0,IF(AE491=Z491,"CHECK",0))</f>
      </c>
      <c r="AF1267" s="830">
        <f>IF(ISBLANK(INDEX(MO_IS_FirstRow,0,COLUMN())),0,IF(OR(AF491=AA491,AF491=AG491,AF491=AD491),"CHECK",0))</f>
      </c>
      <c r="AG1267" s="830">
        <f>IF(ISBLANK(INDEX(MO_IS_FirstRow,0,COLUMN())),0,IF(OR(AG491=AB491,AG491=AH491,AG491=AF491),"CHECK",0))</f>
      </c>
      <c r="AH1267" s="830">
        <f>IF(ISBLANK(INDEX(MO_IS_FirstRow,0,COLUMN())),0,IF(OR(AH491=AC491,AH491=AI491,AH491=AG491),"CHECK",0))</f>
      </c>
      <c r="AI1267" s="830">
        <f>IF(ISBLANK(INDEX(MO_IS_FirstRow,0,COLUMN())),0,IF(OR(AI491=AD491,AI491=AJ491,AI491=AH491),"CHECK",0))</f>
      </c>
      <c r="AJ1267" s="830">
        <f>IF(ISBLANK(INDEX(MO_IS_FirstRow,0,COLUMN())),0,IF(AJ491=AE491,"CHECK",0))</f>
      </c>
      <c r="AK1267" s="830">
        <f>IF(ISBLANK(INDEX(MO_IS_FirstRow,0,COLUMN())),0,IF(OR(AK491=AF491,AK491=AL491,AK491=AI491),"CHECK",0))</f>
      </c>
      <c r="AL1267" s="830">
        <f>IF(ISBLANK(INDEX(MO_IS_FirstRow,0,COLUMN())),0,IF(OR(AL491=AG491,AL491=AM491,AL491=AK491),"CHECK",0))</f>
      </c>
      <c r="AM1267" s="830">
        <f>IF(ISBLANK(INDEX(MO_IS_FirstRow,0,COLUMN())),0,IF(OR(AM491=AH491,AM491=AN491,AM491=AL491),"CHECK",0))</f>
      </c>
      <c r="AN1267" s="830">
        <f>IF(ISBLANK(INDEX(MO_IS_FirstRow,0,COLUMN())),0,IF(OR(AN491=AI491,AN491=AO491,AN491=AM491),"CHECK",0))</f>
      </c>
      <c r="AO1267" s="830">
        <f>IF(ISBLANK(INDEX(MO_IS_FirstRow,0,COLUMN())),0,IF(AO491=AJ491,"CHECK",0))</f>
      </c>
      <c r="AP1267" s="830">
        <f>IF(ISBLANK(INDEX(MO_IS_FirstRow,0,COLUMN())),0,IF(OR(AP491=AK491,AP491=AQ491,AP491=AN491),"CHECK",0))</f>
      </c>
      <c r="AQ1267" s="830">
        <f>IF(ISBLANK(INDEX(MO_IS_FirstRow,0,COLUMN())),0,IF(OR(AQ491=AL491,AQ491=AR491,AQ491=AP491),"CHECK",0))</f>
      </c>
      <c r="AR1267" s="830">
        <f>IF(ISBLANK(INDEX(MO_IS_FirstRow,0,COLUMN())),0,IF(OR(AR491=AM491,AR491=AS491,AR491=AQ491),"CHECK",0))</f>
      </c>
      <c r="AS1267" s="830">
        <f>IF(ISBLANK(INDEX(MO_IS_FirstRow,0,COLUMN())),0,IF(OR(AS491=AN491,AS491=AT491,AS491=AR491),"CHECK",0))</f>
      </c>
      <c r="AT1267" s="830">
        <f>IF(ISBLANK(INDEX(MO_IS_FirstRow,0,COLUMN())),0,IF(AT491=AO491,"CHECK",0))</f>
      </c>
      <c r="AU1267" s="830">
        <f>IF(ISBLANK(INDEX(MO_IS_FirstRow,0,COLUMN())),0,IF(OR(AU491=AP491,AU491=AV491,AU491=AS491),"CHECK",0))</f>
      </c>
      <c r="AV1267" s="830">
        <f>IF(ISBLANK(INDEX(MO_IS_FirstRow,0,COLUMN())),0,IF(OR(AV491=AQ491,AV491=AW491,AV491=AU491),"CHECK",0))</f>
      </c>
      <c r="AW1267" s="830">
        <f>IF(ISBLANK(INDEX(MO_IS_FirstRow,0,COLUMN())),0,IF(OR(AW491=AR491,AW491=AX491,AW491=AV491),"CHECK",0))</f>
      </c>
      <c r="AX1267" s="830">
        <f>IF(ISBLANK(INDEX(MO_IS_FirstRow,0,COLUMN())),0,IF(OR(AX491=AS491,AX491=AY491,AX491=AW491),"CHECK",0))</f>
      </c>
      <c r="AY1267" s="830">
        <f>IF(ISBLANK(INDEX(MO_IS_FirstRow,0,COLUMN())),0,IF(AY491=AT491,"CHECK",0))</f>
      </c>
      <c r="AZ1267" s="830">
        <f>IF(ISBLANK(INDEX(MO_IS_FirstRow,0,COLUMN())),0,IF(OR(AZ491=AU491,AZ491=BA491,AZ491=AX491),"CHECK",0))</f>
      </c>
      <c r="BA1267" s="830">
        <f>IF(ISBLANK(INDEX(MO_IS_FirstRow,0,COLUMN())),0,IF(OR(BA491=AV491,BA491=BB491,BA491=AZ491),"CHECK",0))</f>
      </c>
      <c r="BB1267" s="830">
        <f>IF(ISBLANK(INDEX(MO_IS_FirstRow,0,COLUMN())),0,IF(OR(BB491=AW491,BB491=BC491,BB491=BA491),"CHECK",0))</f>
      </c>
      <c r="BC1267" s="830">
        <f>IF(ISBLANK(INDEX(MO_IS_FirstRow,0,COLUMN())),0,IF(OR(BC491=AX491,BC491=BD491,BC491=BB491),"CHECK",0))</f>
      </c>
      <c r="BD1267" s="830">
        <f>IF(ISBLANK(INDEX(MO_IS_FirstRow,0,COLUMN())),0,IF(BD491=AY491,"CHECK",0))</f>
      </c>
      <c r="BE1267" s="830">
        <f>IF(ISBLANK(INDEX(MO_IS_FirstRow,0,COLUMN())),0,IF(OR(BE491=AZ491,BE491=BF491,BE491=BC491),"CHECK",0))</f>
      </c>
      <c r="BF1267" s="830">
        <f>IF(ISBLANK(INDEX(MO_IS_FirstRow,0,COLUMN())),0,IF(OR(BF491=BA491,BF491=BG491,BF491=BE491),"CHECK",0))</f>
      </c>
      <c r="BG1267" s="830">
        <f>IF(ISBLANK(INDEX(MO_IS_FirstRow,0,COLUMN())),0,IF(OR(BG491=BB491,BG491=BH491,BG491=BF491),"CHECK",0))</f>
      </c>
      <c r="BH1267" s="830">
        <f>IF(ISBLANK(INDEX(MO_IS_FirstRow,0,COLUMN())),0,IF(OR(BH491=BC491,BH491=BI491,BH491=BG491),"CHECK",0))</f>
      </c>
      <c r="BI1267" s="830">
        <f>IF(ISBLANK(INDEX(MO_IS_FirstRow,0,COLUMN())),0,IF(BI491=BD491,"CHECK",0))</f>
      </c>
      <c r="BJ1267" s="830">
        <f>IF(ISBLANK(INDEX(MO_IS_FirstRow,0,COLUMN())),0,IF(OR(BJ491=BE491,BJ491=BK491,BJ491=BH491),"CHECK",0))</f>
      </c>
      <c r="BK1267" s="830">
        <f>IF(ISBLANK(INDEX(MO_IS_FirstRow,0,COLUMN())),0,IF(OR(BK491=BF491,BK491=BL491,BK491=BJ491),"CHECK",0))</f>
      </c>
      <c r="BL1267" s="830">
        <f>IF(ISBLANK(INDEX(MO_IS_FirstRow,0,COLUMN())),0,IF(OR(BL491=BG491,BL491=BM491,BL491=BK491),"CHECK",0))</f>
      </c>
      <c r="BM1267" s="830">
        <f>IF(ISBLANK(INDEX(MO_IS_FirstRow,0,COLUMN())),0,IF(OR(BM491=BH491,BM491=BN491,BM491=BL491),"CHECK",0))</f>
      </c>
      <c r="BN1267" s="830">
        <f>IF(ISBLANK(INDEX(MO_IS_FirstRow,0,COLUMN())),0,IF(BN491=BI491,"CHECK",0))</f>
      </c>
      <c r="BO1267" s="830">
        <f>IF(ISBLANK(INDEX(MO_IS_FirstRow,0,COLUMN())),0,IF(OR(BO491=BJ491,BO491=BP491,BO491=BM491),"CHECK",0))</f>
      </c>
      <c r="BP1267" s="830">
        <f>IF(ISBLANK(INDEX(MO_IS_FirstRow,0,COLUMN())),0,IF(OR(BP491=BK491,BP491=BQ491,BP491=BO491),"CHECK",0))</f>
      </c>
      <c r="BQ1267" s="830">
        <f>IF(ISBLANK(INDEX(MO_IS_FirstRow,0,COLUMN())),0,IF(OR(BQ491=BL491,BQ491=BR491,BQ491=BP491),"CHECK",0))</f>
      </c>
      <c r="BR1267" s="830">
        <f>IF(ISBLANK(INDEX(MO_IS_FirstRow,0,COLUMN())),0,IF(OR(BR491=BM491,BR491=BS491,BR491=BQ491),"CHECK",0))</f>
      </c>
      <c r="BS1267" s="830">
        <f>IF(ISBLANK(INDEX(MO_IS_FirstRow,0,COLUMN())),0,IF(BS491=BN491,"CHECK",0))</f>
      </c>
      <c r="BT1267" s="831">
        <f>IF(ISBLANK(INDEX(MO_IS_FirstRow,0,COLUMN())),0,IF(OR(BT491=BO491,BT491=BU491,BT491=BR491),"CHECK",0))</f>
      </c>
      <c r="BU1267" s="830"/>
      <c r="BV1267" s="830"/>
      <c r="BW1267" s="830"/>
      <c r="BX1267" s="830"/>
      <c r="BY1267" s="830"/>
      <c r="BZ1267" s="830"/>
      <c r="CA1267" s="830"/>
      <c r="CB1267" s="830"/>
      <c r="CC1267" s="830"/>
      <c r="CD1267" s="830"/>
      <c r="CE1267" s="830"/>
      <c r="CF1267" s="830"/>
      <c r="CG1267" s="459"/>
    </row>
    <row r="1268" spans="1:85" x14ac:dyDescent="0.3">
      <c r="A1268" s="459" t="s">
        <v>224</v>
      </c>
      <c r="B1268" s="753"/>
      <c r="C1268" s="830">
        <f>IF(OR(C1223=B1223,C1223=D1223),"CHECK",0)</f>
      </c>
      <c r="D1268" s="830">
        <f>IF(OR(D1223=C1223,D1223=E1223),"CHECK",0)</f>
      </c>
      <c r="E1268" s="830">
        <f>IF(OR(E1223=D1223,E1223=F1223),"CHECK",0)</f>
      </c>
      <c r="F1268" s="830">
        <f>IF(OR(F1223=E1223,F1223=K1223),"CHECK",0)</f>
      </c>
      <c r="G1268" s="830">
        <f>IF(OR(G1223=B1223,G1223=H1223,G1223=E1223),"CHECK",0)</f>
      </c>
      <c r="H1268" s="830">
        <f>IF(OR(H1223=C1223,H1223=I1223,H1223=G1223),"CHECK",0)</f>
      </c>
      <c r="I1268" s="830">
        <f>IF(OR(I1223=D1223,I1223=J1223,I1223=H1223),"CHECK",0)</f>
      </c>
      <c r="J1268" s="830">
        <f>IF(OR(J1223=E1223,J1223=I1223),"CHECK",0)</f>
      </c>
      <c r="K1268" s="830">
        <f>IF(K1223=F1223,"CHECK",0)</f>
      </c>
      <c r="L1268" s="830">
        <f>IF(OR(L1223=G1223,L1223=M1223,L1223=J1223),"CHECK",0)</f>
      </c>
      <c r="M1268" s="830">
        <f>IF(OR(M1223=H1223,M1223=N1223,M1223=L1223),"CHECK",0)</f>
      </c>
      <c r="N1268" s="830">
        <f>IF(OR(N1223=I1223,N1223=O1223,N1223=M1223),"CHECK",0)</f>
      </c>
      <c r="O1268" s="830">
        <f>IF(OR(O1223=J1223,O1223=N1223),"CHECK",0)</f>
      </c>
      <c r="P1268" s="830">
        <f>IF(P1223=K1223,"CHECK",0)</f>
      </c>
      <c r="Q1268" s="830">
        <f>IF(OR(Q1223=L1223,Q1223=R1223,Q1223=O1223),"CHECK",0)</f>
      </c>
      <c r="R1268" s="830">
        <f>IF(OR(R1223=M1223,R1223=S1223,R1223=Q1223),"CHECK",0)</f>
      </c>
      <c r="S1268" s="830">
        <f>IF(OR(S1223=N1223,S1223=T1223,S1223=R1223),"CHECK",0)</f>
      </c>
      <c r="T1268" s="830">
        <f>IF(OR(T1223=O1223,T1223=S1223),"CHECK",0)</f>
      </c>
      <c r="U1268" s="830">
        <f>IF(U1223=P1223,"CHECK",0)</f>
      </c>
      <c r="V1268" s="830">
        <f>IF(OR(V1223=Q1223,V1223=W1223,V1223=T1223),"CHECK",0)</f>
      </c>
      <c r="W1268" s="830">
        <f>IF(OR(W1223=R1223,W1223=X1223,W1223=V1223),"CHECK",0)</f>
      </c>
      <c r="X1268" s="830">
        <f>IF(OR(X1223=S1223,X1223=Y1223,X1223=W1223),"CHECK",0)</f>
      </c>
      <c r="Y1268" s="830">
        <f>IF(OR(Y1223=T1223,Y1223=X1223),"CHECK",0)</f>
      </c>
      <c r="Z1268" s="830">
        <f>IF(Z1223=U1223,"CHECK",0)</f>
      </c>
      <c r="AA1268" s="830">
        <f>IF(OR(AA1223=V1223,AA1223=AB1223,AA1223=Y1223),"CHECK",0)</f>
      </c>
      <c r="AB1268" s="830">
        <f>IF(OR(AB1223=W1223,AB1223=AC1223,AB1223=AA1223),"CHECK",0)</f>
      </c>
      <c r="AC1268" s="830">
        <f>IF(OR(AC1223=X1223,AC1223=AD1223,AC1223=AB1223),"CHECK",0)</f>
      </c>
      <c r="AD1268" s="830">
        <f>IF(OR(AD1223=Y1223,AD1223=AC1223),"CHECK",0)</f>
      </c>
      <c r="AE1268" s="830">
        <f>IF(AE1223=Z1223,"CHECK",0)</f>
      </c>
      <c r="AF1268" s="830">
        <f>IF(OR(AF1223=AA1223,AF1223=AG1223,AF1223=AD1223),"CHECK",0)</f>
      </c>
      <c r="AG1268" s="830">
        <f>IF(OR(AG1223=AB1223,AG1223=AH1223,AG1223=AF1223),"CHECK",0)</f>
      </c>
      <c r="AH1268" s="830">
        <f>IF(OR(AH1223=AC1223,AH1223=AI1223,AH1223=AG1223),"CHECK",0)</f>
      </c>
      <c r="AI1268" s="830">
        <f>IF(OR(AI1223=AD1223,AI1223=AH1223),"CHECK",0)</f>
      </c>
      <c r="AJ1268" s="830">
        <f>IF(AJ1223=AE1223,"CHECK",0)</f>
      </c>
      <c r="AK1268" s="830">
        <f>IF(OR(AK1223=AF1223,AK1223=AL1223,AK1223=AI1223),"CHECK",0)</f>
      </c>
      <c r="AL1268" s="830">
        <f>IF(OR(AL1223=AG1223,AL1223=AM1223,AL1223=AK1223),"CHECK",0)</f>
      </c>
      <c r="AM1268" s="830">
        <f>IF(OR(AM1223=AH1223,AM1223=AN1223,AM1223=AL1223),"CHECK",0)</f>
      </c>
      <c r="AN1268" s="830">
        <f>IF(OR(AN1223=AI1223,AN1223=AM1223),"CHECK",0)</f>
      </c>
      <c r="AO1268" s="830">
        <f>IF(AO1223=AJ1223,"CHECK",0)</f>
      </c>
      <c r="AP1268" s="830">
        <f>IF(OR(AP1223=AK1223,AP1223=AQ1223,AP1223=AN1223),"CHECK",0)</f>
      </c>
      <c r="AQ1268" s="830">
        <f>IF(OR(AQ1223=AL1223,AQ1223=AR1223,AQ1223=AP1223),"CHECK",0)</f>
      </c>
      <c r="AR1268" s="830">
        <f>IF(OR(AR1223=AM1223,AR1223=AS1223,AR1223=AQ1223),"CHECK",0)</f>
      </c>
      <c r="AS1268" s="830">
        <f>IF(OR(AS1223=AN1223,AS1223=AR1223),"CHECK",0)</f>
      </c>
      <c r="AT1268" s="830">
        <f>IF(AT1223=AO1223,"CHECK",0)</f>
      </c>
      <c r="AU1268" s="830">
        <f>IF(OR(AU1223=AP1223,AU1223=AV1223,AU1223=AS1223),"CHECK",0)</f>
      </c>
      <c r="AV1268" s="830">
        <f>IF(OR(AV1223=AQ1223,AV1223=AW1223,AV1223=AU1223),"CHECK",0)</f>
      </c>
      <c r="AW1268" s="830">
        <f>IF(OR(AW1223=AR1223,AW1223=AX1223,AW1223=AV1223),"CHECK",0)</f>
      </c>
      <c r="AX1268" s="830">
        <f>IF(OR(AX1223=AS1223,AX1223=AW1223),"CHECK",0)</f>
      </c>
      <c r="AY1268" s="830">
        <f>IF(AY1223=AT1223,"CHECK",0)</f>
      </c>
      <c r="AZ1268" s="830">
        <f>IF(OR(AZ1223=AU1223,AZ1223=BA1223,AZ1223=AX1223),"CHECK",0)</f>
      </c>
      <c r="BA1268" s="830">
        <f>IF(OR(BA1223=AV1223,BA1223=BB1223,BA1223=AZ1223),"CHECK",0)</f>
      </c>
      <c r="BB1268" s="830">
        <f>IF(OR(BB1223=AW1223,BB1223=BC1223,BB1223=BA1223),"CHECK",0)</f>
      </c>
      <c r="BC1268" s="830">
        <f>IF(OR(BC1223=AX1223,BC1223=BB1223),"CHECK",0)</f>
      </c>
      <c r="BD1268" s="830">
        <f>IF(BD1223=AY1223,"CHECK",0)</f>
      </c>
      <c r="BE1268" s="830">
        <f>IF(OR(BE1223=AZ1223,BE1223=BF1223,BE1223=BC1223),"CHECK",0)</f>
      </c>
      <c r="BF1268" s="830">
        <f>IF(OR(BF1223=BA1223,BF1223=BG1223,BF1223=BE1223),"CHECK",0)</f>
      </c>
      <c r="BG1268" s="830">
        <f>IF(OR(BG1223=BB1223,BG1223=BH1223,BG1223=BF1223),"CHECK",0)</f>
      </c>
      <c r="BH1268" s="830">
        <f>IF(OR(BH1223=BC1223,BH1223=BG1223),"CHECK",0)</f>
      </c>
      <c r="BI1268" s="830">
        <f>IF(BI1223=BD1223,"CHECK",0)</f>
      </c>
      <c r="BJ1268" s="830">
        <f>IF(OR(BJ1223=BE1223,BJ1223=BK1223,BJ1223=BH1223),"CHECK",0)</f>
      </c>
      <c r="BK1268" s="830">
        <f>IF(OR(BK1223=BF1223,BK1223=BL1223,BK1223=BJ1223),"CHECK",0)</f>
      </c>
      <c r="BL1268" s="830">
        <f>IF(OR(BL1223=BG1223,BL1223=BM1223,BL1223=BK1223),"CHECK",0)</f>
      </c>
      <c r="BM1268" s="830">
        <f>IF(OR(BM1223=BH1223,BM1223=BL1223),"CHECK",0)</f>
      </c>
      <c r="BN1268" s="830">
        <f>IF(BN1223=BI1223,"CHECK",0)</f>
      </c>
      <c r="BO1268" s="830">
        <f>IF(OR(BO1223=BJ1223,BO1223=BP1223,BO1223=BM1223),"CHECK",0)</f>
      </c>
      <c r="BP1268" s="830">
        <f>IF(OR(BP1223=BK1223,BP1223=BQ1223,BP1223=BO1223),"CHECK",0)</f>
      </c>
      <c r="BQ1268" s="830">
        <f>IF(OR(BQ1223=BL1223,BQ1223=BR1223,BQ1223=BP1223),"CHECK",0)</f>
      </c>
      <c r="BR1268" s="830">
        <f>IF(OR(BR1223=BM1223,BR1223=BQ1223),"CHECK",0)</f>
      </c>
      <c r="BS1268" s="830">
        <f>IF(BS1223=BN1223,"CHECK",0)</f>
      </c>
      <c r="BT1268" s="831">
        <f>IF(OR(BT1223=BO1223,BT1223=BU1223,BT1223=BR1223),"CHECK",0)</f>
      </c>
      <c r="BU1268" s="830"/>
      <c r="BV1268" s="830"/>
      <c r="BW1268" s="830"/>
      <c r="BX1268" s="830"/>
      <c r="BY1268" s="830"/>
      <c r="BZ1268" s="830"/>
      <c r="CA1268" s="830"/>
      <c r="CB1268" s="830"/>
      <c r="CC1268" s="830"/>
      <c r="CD1268" s="830"/>
      <c r="CE1268" s="830"/>
      <c r="CF1268" s="830"/>
      <c r="CG1268" s="459"/>
    </row>
    <row r="1269" spans="1:85" x14ac:dyDescent="0.3">
      <c r="A1269" s="459" t="s">
        <v>225</v>
      </c>
      <c r="B1269" s="753"/>
      <c r="C1269" s="830">
        <f t="shared" ref="C1269:AH1269" si="2830">IF(ISBLANK(INDEX(MO_IS_FirstRow,0,COLUMN())),0,ROUND(C1159-C1092,6))</f>
      </c>
      <c r="D1269" s="830">
        <f t="shared" si="2830"/>
      </c>
      <c r="E1269" s="830">
        <f t="shared" si="2830"/>
      </c>
      <c r="F1269" s="830">
        <f t="shared" si="2830"/>
      </c>
      <c r="G1269" s="830">
        <f t="shared" si="2830"/>
      </c>
      <c r="H1269" s="830">
        <f t="shared" si="2830"/>
      </c>
      <c r="I1269" s="830">
        <f t="shared" si="2830"/>
      </c>
      <c r="J1269" s="830">
        <f t="shared" si="2830"/>
      </c>
      <c r="K1269" s="830">
        <f t="shared" si="2830"/>
      </c>
      <c r="L1269" s="830">
        <f t="shared" si="2830"/>
      </c>
      <c r="M1269" s="830">
        <f t="shared" si="2830"/>
      </c>
      <c r="N1269" s="830">
        <f t="shared" si="2830"/>
      </c>
      <c r="O1269" s="830">
        <f t="shared" si="2830"/>
      </c>
      <c r="P1269" s="830">
        <f t="shared" si="2830"/>
      </c>
      <c r="Q1269" s="830">
        <f t="shared" si="2830"/>
      </c>
      <c r="R1269" s="830">
        <f t="shared" si="2830"/>
      </c>
      <c r="S1269" s="830">
        <f t="shared" si="2830"/>
      </c>
      <c r="T1269" s="830">
        <f t="shared" si="2830"/>
      </c>
      <c r="U1269" s="830">
        <f t="shared" si="2830"/>
      </c>
      <c r="V1269" s="830">
        <f t="shared" si="2830"/>
      </c>
      <c r="W1269" s="830">
        <f t="shared" si="2830"/>
      </c>
      <c r="X1269" s="830">
        <f t="shared" si="2830"/>
      </c>
      <c r="Y1269" s="830">
        <f t="shared" si="2830"/>
      </c>
      <c r="Z1269" s="830">
        <f t="shared" si="2830"/>
      </c>
      <c r="AA1269" s="830">
        <f t="shared" si="2830"/>
      </c>
      <c r="AB1269" s="830">
        <f t="shared" si="2830"/>
      </c>
      <c r="AC1269" s="830">
        <f t="shared" si="2830"/>
      </c>
      <c r="AD1269" s="830">
        <f t="shared" si="2830"/>
      </c>
      <c r="AE1269" s="830">
        <f t="shared" si="2830"/>
      </c>
      <c r="AF1269" s="830">
        <f t="shared" si="2830"/>
      </c>
      <c r="AG1269" s="830">
        <f t="shared" si="2830"/>
      </c>
      <c r="AH1269" s="830">
        <f t="shared" si="2830"/>
      </c>
      <c r="AI1269" s="830">
        <f t="shared" ref="AI1269:BD1269" si="2831">IF(ISBLANK(INDEX(MO_IS_FirstRow,0,COLUMN())),0,ROUND(AI1159-AI1092,6))</f>
      </c>
      <c r="AJ1269" s="830">
        <f t="shared" si="2831"/>
      </c>
      <c r="AK1269" s="830">
        <f t="shared" si="2831"/>
      </c>
      <c r="AL1269" s="830">
        <f t="shared" si="2831"/>
      </c>
      <c r="AM1269" s="830">
        <f t="shared" si="2831"/>
      </c>
      <c r="AN1269" s="830">
        <f t="shared" si="2831"/>
      </c>
      <c r="AO1269" s="830">
        <f t="shared" si="2831"/>
      </c>
      <c r="AP1269" s="830">
        <f t="shared" si="2831"/>
      </c>
      <c r="AQ1269" s="830">
        <f t="shared" si="2831"/>
      </c>
      <c r="AR1269" s="830">
        <f t="shared" si="2831"/>
      </c>
      <c r="AS1269" s="830">
        <f t="shared" si="2831"/>
      </c>
      <c r="AT1269" s="830">
        <f t="shared" si="2831"/>
      </c>
      <c r="AU1269" s="830">
        <f t="shared" si="2831"/>
      </c>
      <c r="AV1269" s="830">
        <f t="shared" si="2831"/>
      </c>
      <c r="AW1269" s="830">
        <f t="shared" si="2831"/>
      </c>
      <c r="AX1269" s="830">
        <f t="shared" si="2831"/>
      </c>
      <c r="AY1269" s="830">
        <f t="shared" si="2831"/>
      </c>
      <c r="AZ1269" s="830">
        <f t="shared" si="2831"/>
      </c>
      <c r="BA1269" s="830">
        <f t="shared" si="2831"/>
      </c>
      <c r="BB1269" s="830">
        <f t="shared" si="2831"/>
      </c>
      <c r="BC1269" s="830">
        <f t="shared" si="2831"/>
      </c>
      <c r="BD1269" s="830">
        <f t="shared" si="2831"/>
      </c>
      <c r="BE1269" s="830">
        <f t="shared" ref="BE1269:BI1269" si="2832">IF(ISBLANK(INDEX(MO_IS_FirstRow,0,COLUMN())),0,ROUND(BE1159-BE1092,6))</f>
      </c>
      <c r="BF1269" s="830">
        <f t="shared" si="2832"/>
      </c>
      <c r="BG1269" s="830">
        <f t="shared" si="2832"/>
      </c>
      <c r="BH1269" s="830">
        <f t="shared" si="2832"/>
      </c>
      <c r="BI1269" s="830">
        <f t="shared" si="2832"/>
      </c>
      <c r="BJ1269" s="830">
        <f t="shared" ref="BJ1269:BX1269" si="2833">IF(ISBLANK(INDEX(MO_IS_FirstRow,0,COLUMN())),0,ROUND(BJ1159-BJ1092,6))</f>
      </c>
      <c r="BK1269" s="830">
        <f t="shared" si="2833"/>
      </c>
      <c r="BL1269" s="830">
        <f t="shared" si="2833"/>
      </c>
      <c r="BM1269" s="830">
        <f t="shared" si="2833"/>
      </c>
      <c r="BN1269" s="830">
        <f t="shared" si="2833"/>
      </c>
      <c r="BO1269" s="830">
        <f t="shared" ref="BO1269:BW1269" si="2834">IF(ISBLANK(INDEX(MO_IS_FirstRow,0,COLUMN())),0,ROUND(BO1159-BO1092,6))</f>
      </c>
      <c r="BP1269" s="830">
        <f t="shared" si="2834"/>
      </c>
      <c r="BQ1269" s="830">
        <f t="shared" si="2834"/>
      </c>
      <c r="BR1269" s="830">
        <f t="shared" si="2834"/>
      </c>
      <c r="BS1269" s="830">
        <f t="shared" si="2834"/>
      </c>
      <c r="BT1269" s="831">
        <f>IF(ISBLANK(INDEX(MO_IS_FirstRow,0,COLUMN())),0,ROUND(BT1159-BT1092,6))</f>
      </c>
      <c r="BU1269" s="830">
        <f t="shared" si="2834"/>
      </c>
      <c r="BV1269" s="830">
        <f t="shared" si="2834"/>
      </c>
      <c r="BW1269" s="830">
        <f t="shared" si="2834"/>
      </c>
      <c r="BX1269" s="830">
        <f t="shared" si="2833"/>
      </c>
      <c r="BY1269" s="830">
        <f t="shared" ref="BY1269:CF1269" si="2835">IF(ISBLANK(INDEX(MO_IS_FirstRow,0,COLUMN())),0,ROUND(BY1159-BY1092,6))</f>
      </c>
      <c r="BZ1269" s="830">
        <f t="shared" si="2835"/>
      </c>
      <c r="CA1269" s="830">
        <f t="shared" si="2835"/>
      </c>
      <c r="CB1269" s="830">
        <f t="shared" si="2835"/>
      </c>
      <c r="CC1269" s="830">
        <f t="shared" si="2835"/>
      </c>
      <c r="CD1269" s="830">
        <f t="shared" si="2835"/>
      </c>
      <c r="CE1269" s="830">
        <f t="shared" si="2835"/>
      </c>
      <c r="CF1269" s="830">
        <f t="shared" si="2835"/>
      </c>
      <c r="CG1269" s="459"/>
    </row>
    <row r="1270" spans="1:85" x14ac:dyDescent="0.3">
      <c r="A1270" s="459" t="s">
        <v>226</v>
      </c>
      <c r="B1270" s="753"/>
      <c r="C1270" s="830">
        <f t="shared" ref="C1270:AH1270" si="2836">ROUND(INDEX(MO_CFSum_Capex,0,COLUMN())-C1124-C1125,6)</f>
      </c>
      <c r="D1270" s="830">
        <f t="shared" si="2836"/>
      </c>
      <c r="E1270" s="830">
        <f t="shared" si="2836"/>
      </c>
      <c r="F1270" s="830">
        <f t="shared" si="2836"/>
      </c>
      <c r="G1270" s="830">
        <f t="shared" si="2836"/>
      </c>
      <c r="H1270" s="830">
        <f t="shared" si="2836"/>
      </c>
      <c r="I1270" s="830">
        <f t="shared" si="2836"/>
      </c>
      <c r="J1270" s="830">
        <f t="shared" si="2836"/>
      </c>
      <c r="K1270" s="830">
        <f t="shared" si="2836"/>
      </c>
      <c r="L1270" s="830">
        <f t="shared" si="2836"/>
      </c>
      <c r="M1270" s="830">
        <f t="shared" si="2836"/>
      </c>
      <c r="N1270" s="830">
        <f t="shared" si="2836"/>
      </c>
      <c r="O1270" s="830">
        <f t="shared" si="2836"/>
      </c>
      <c r="P1270" s="830">
        <f t="shared" si="2836"/>
      </c>
      <c r="Q1270" s="830">
        <f t="shared" si="2836"/>
      </c>
      <c r="R1270" s="830">
        <f t="shared" si="2836"/>
      </c>
      <c r="S1270" s="830">
        <f t="shared" si="2836"/>
      </c>
      <c r="T1270" s="830">
        <f t="shared" si="2836"/>
      </c>
      <c r="U1270" s="830">
        <f t="shared" si="2836"/>
      </c>
      <c r="V1270" s="830">
        <f t="shared" si="2836"/>
      </c>
      <c r="W1270" s="830">
        <f t="shared" si="2836"/>
      </c>
      <c r="X1270" s="830">
        <f t="shared" si="2836"/>
      </c>
      <c r="Y1270" s="830">
        <f t="shared" si="2836"/>
      </c>
      <c r="Z1270" s="830">
        <f t="shared" si="2836"/>
      </c>
      <c r="AA1270" s="830">
        <f t="shared" si="2836"/>
      </c>
      <c r="AB1270" s="830">
        <f t="shared" si="2836"/>
      </c>
      <c r="AC1270" s="830">
        <f t="shared" si="2836"/>
      </c>
      <c r="AD1270" s="830">
        <f t="shared" si="2836"/>
      </c>
      <c r="AE1270" s="830">
        <f t="shared" si="2836"/>
      </c>
      <c r="AF1270" s="830">
        <f t="shared" si="2836"/>
      </c>
      <c r="AG1270" s="830">
        <f t="shared" si="2836"/>
      </c>
      <c r="AH1270" s="830">
        <f t="shared" si="2836"/>
      </c>
      <c r="AI1270" s="830">
        <f t="shared" ref="AI1270:BD1270" si="2837">ROUND(INDEX(MO_CFSum_Capex,0,COLUMN())-AI1124-AI1125,6)</f>
      </c>
      <c r="AJ1270" s="830">
        <f t="shared" si="2837"/>
      </c>
      <c r="AK1270" s="830">
        <f t="shared" si="2837"/>
      </c>
      <c r="AL1270" s="830">
        <f t="shared" si="2837"/>
      </c>
      <c r="AM1270" s="830">
        <f t="shared" si="2837"/>
      </c>
      <c r="AN1270" s="830">
        <f t="shared" si="2837"/>
      </c>
      <c r="AO1270" s="830">
        <f t="shared" si="2837"/>
      </c>
      <c r="AP1270" s="830">
        <f t="shared" si="2837"/>
      </c>
      <c r="AQ1270" s="830">
        <f t="shared" si="2837"/>
      </c>
      <c r="AR1270" s="830">
        <f t="shared" si="2837"/>
      </c>
      <c r="AS1270" s="830">
        <f t="shared" si="2837"/>
      </c>
      <c r="AT1270" s="830">
        <f t="shared" si="2837"/>
      </c>
      <c r="AU1270" s="830">
        <f t="shared" si="2837"/>
      </c>
      <c r="AV1270" s="830">
        <f t="shared" si="2837"/>
      </c>
      <c r="AW1270" s="830">
        <f t="shared" si="2837"/>
      </c>
      <c r="AX1270" s="830">
        <f t="shared" si="2837"/>
      </c>
      <c r="AY1270" s="830">
        <f t="shared" si="2837"/>
      </c>
      <c r="AZ1270" s="830">
        <f t="shared" si="2837"/>
      </c>
      <c r="BA1270" s="830">
        <f t="shared" si="2837"/>
      </c>
      <c r="BB1270" s="830">
        <f t="shared" si="2837"/>
      </c>
      <c r="BC1270" s="830">
        <f t="shared" si="2837"/>
      </c>
      <c r="BD1270" s="830">
        <f t="shared" si="2837"/>
      </c>
      <c r="BE1270" s="830">
        <f t="shared" ref="BE1270:BI1270" si="2838">ROUND(INDEX(MO_CFSum_Capex,0,COLUMN())-BE1124-BE1125,6)</f>
      </c>
      <c r="BF1270" s="830">
        <f t="shared" si="2838"/>
      </c>
      <c r="BG1270" s="830">
        <f t="shared" si="2838"/>
      </c>
      <c r="BH1270" s="830">
        <f t="shared" si="2838"/>
      </c>
      <c r="BI1270" s="830">
        <f t="shared" si="2838"/>
      </c>
      <c r="BJ1270" s="830">
        <f t="shared" ref="BJ1270:BX1270" si="2839">ROUND(INDEX(MO_CFSum_Capex,0,COLUMN())-BJ1124-BJ1125,6)</f>
      </c>
      <c r="BK1270" s="830">
        <f t="shared" si="2839"/>
      </c>
      <c r="BL1270" s="830">
        <f t="shared" si="2839"/>
      </c>
      <c r="BM1270" s="830">
        <f t="shared" si="2839"/>
      </c>
      <c r="BN1270" s="830">
        <f t="shared" si="2839"/>
      </c>
      <c r="BO1270" s="830">
        <f t="shared" ref="BO1270:BW1270" si="2840">ROUND(INDEX(MO_CFSum_Capex,0,COLUMN())-BO1124-BO1125,6)</f>
      </c>
      <c r="BP1270" s="830">
        <f t="shared" si="2840"/>
      </c>
      <c r="BQ1270" s="830">
        <f t="shared" si="2840"/>
      </c>
      <c r="BR1270" s="830">
        <f t="shared" si="2840"/>
      </c>
      <c r="BS1270" s="830">
        <f t="shared" si="2840"/>
      </c>
      <c r="BT1270" s="831">
        <f>ROUND(INDEX(MO_CFSum_Capex,0,COLUMN())-BT1124-BT1125,6)</f>
      </c>
      <c r="BU1270" s="830">
        <f t="shared" si="2840"/>
      </c>
      <c r="BV1270" s="830">
        <f t="shared" si="2840"/>
      </c>
      <c r="BW1270" s="830">
        <f t="shared" si="2840"/>
      </c>
      <c r="BX1270" s="830">
        <f t="shared" si="2839"/>
      </c>
      <c r="BY1270" s="830">
        <f t="shared" ref="BY1270:CF1270" si="2841">ROUND(INDEX(MO_CFSum_Capex,0,COLUMN())-BY1124-BY1125,6)</f>
      </c>
      <c r="BZ1270" s="830">
        <f t="shared" si="2841"/>
      </c>
      <c r="CA1270" s="830">
        <f t="shared" si="2841"/>
      </c>
      <c r="CB1270" s="830">
        <f t="shared" si="2841"/>
      </c>
      <c r="CC1270" s="830">
        <f t="shared" si="2841"/>
      </c>
      <c r="CD1270" s="830">
        <f t="shared" si="2841"/>
      </c>
      <c r="CE1270" s="830">
        <f t="shared" si="2841"/>
      </c>
      <c r="CF1270" s="830">
        <f t="shared" si="2841"/>
      </c>
      <c r="CG1270" s="459"/>
    </row>
    <row r="1271" spans="1:85" x14ac:dyDescent="0.3">
      <c r="A1271" s="459" t="s">
        <v>227</v>
      </c>
      <c r="B1271" s="753"/>
      <c r="C1271" s="830">
        <f t="shared" ref="C1271:AH1271" si="2842">IF(ISBLANK(INDEX(MO_IS_FirstRow,0,COLUMN())),0,IF(MOD(C403*1000000,1)=0,"Check",0))</f>
      </c>
      <c r="D1271" s="830">
        <f t="shared" si="2842"/>
      </c>
      <c r="E1271" s="830">
        <f t="shared" si="2842"/>
      </c>
      <c r="F1271" s="830">
        <f t="shared" si="2842"/>
      </c>
      <c r="G1271" s="830">
        <f t="shared" si="2842"/>
      </c>
      <c r="H1271" s="830">
        <f t="shared" si="2842"/>
      </c>
      <c r="I1271" s="830">
        <f t="shared" si="2842"/>
      </c>
      <c r="J1271" s="830">
        <f t="shared" si="2842"/>
      </c>
      <c r="K1271" s="830">
        <f t="shared" si="2842"/>
      </c>
      <c r="L1271" s="830">
        <f t="shared" si="2842"/>
      </c>
      <c r="M1271" s="830">
        <f t="shared" si="2842"/>
      </c>
      <c r="N1271" s="830">
        <f t="shared" si="2842"/>
      </c>
      <c r="O1271" s="830">
        <f t="shared" si="2842"/>
      </c>
      <c r="P1271" s="830">
        <f t="shared" si="2842"/>
      </c>
      <c r="Q1271" s="830">
        <f t="shared" si="2842"/>
      </c>
      <c r="R1271" s="830">
        <f t="shared" si="2842"/>
      </c>
      <c r="S1271" s="830">
        <f t="shared" si="2842"/>
      </c>
      <c r="T1271" s="830">
        <f t="shared" si="2842"/>
      </c>
      <c r="U1271" s="830">
        <f t="shared" si="2842"/>
      </c>
      <c r="V1271" s="830">
        <f t="shared" si="2842"/>
      </c>
      <c r="W1271" s="830">
        <f t="shared" si="2842"/>
      </c>
      <c r="X1271" s="830">
        <f t="shared" si="2842"/>
      </c>
      <c r="Y1271" s="830">
        <f t="shared" si="2842"/>
      </c>
      <c r="Z1271" s="830">
        <f t="shared" si="2842"/>
      </c>
      <c r="AA1271" s="830">
        <f t="shared" si="2842"/>
      </c>
      <c r="AB1271" s="830">
        <f t="shared" si="2842"/>
      </c>
      <c r="AC1271" s="830">
        <f t="shared" si="2842"/>
      </c>
      <c r="AD1271" s="830">
        <f t="shared" si="2842"/>
      </c>
      <c r="AE1271" s="830">
        <f t="shared" si="2842"/>
      </c>
      <c r="AF1271" s="830">
        <f t="shared" si="2842"/>
      </c>
      <c r="AG1271" s="830">
        <f t="shared" si="2842"/>
      </c>
      <c r="AH1271" s="830">
        <f t="shared" si="2842"/>
      </c>
      <c r="AI1271" s="830">
        <f t="shared" ref="AI1271:BJ1271" si="2843">IF(ISBLANK(INDEX(MO_IS_FirstRow,0,COLUMN())),0,IF(MOD(AI403*1000000,1)=0,"Check",0))</f>
      </c>
      <c r="AJ1271" s="830">
        <f t="shared" si="2843"/>
      </c>
      <c r="AK1271" s="830">
        <f t="shared" si="2843"/>
      </c>
      <c r="AL1271" s="830">
        <f t="shared" si="2843"/>
      </c>
      <c r="AM1271" s="830">
        <f t="shared" si="2843"/>
      </c>
      <c r="AN1271" s="830">
        <f t="shared" si="2843"/>
      </c>
      <c r="AO1271" s="830">
        <f t="shared" si="2843"/>
      </c>
      <c r="AP1271" s="830">
        <f t="shared" si="2843"/>
      </c>
      <c r="AQ1271" s="830">
        <f t="shared" si="2843"/>
      </c>
      <c r="AR1271" s="830">
        <f t="shared" si="2843"/>
      </c>
      <c r="AS1271" s="830">
        <f t="shared" si="2843"/>
      </c>
      <c r="AT1271" s="830">
        <f t="shared" si="2843"/>
      </c>
      <c r="AU1271" s="830">
        <f t="shared" si="2843"/>
      </c>
      <c r="AV1271" s="830">
        <f t="shared" si="2843"/>
      </c>
      <c r="AW1271" s="830">
        <f t="shared" si="2843"/>
      </c>
      <c r="AX1271" s="830">
        <f t="shared" si="2843"/>
      </c>
      <c r="AY1271" s="830">
        <f t="shared" si="2843"/>
      </c>
      <c r="AZ1271" s="830">
        <f t="shared" si="2843"/>
      </c>
      <c r="BA1271" s="830">
        <f t="shared" si="2843"/>
      </c>
      <c r="BB1271" s="830">
        <f t="shared" si="2843"/>
      </c>
      <c r="BC1271" s="830">
        <f t="shared" si="2843"/>
      </c>
      <c r="BD1271" s="830">
        <f t="shared" si="2843"/>
      </c>
      <c r="BE1271" s="830">
        <f t="shared" si="2843"/>
      </c>
      <c r="BF1271" s="830">
        <f t="shared" si="2843"/>
      </c>
      <c r="BG1271" s="830">
        <f t="shared" si="2843"/>
      </c>
      <c r="BH1271" s="830">
        <f t="shared" si="2843"/>
      </c>
      <c r="BI1271" s="830">
        <f t="shared" si="2843"/>
      </c>
      <c r="BJ1271" s="830">
        <f t="shared" si="2843"/>
      </c>
      <c r="BK1271" s="830">
        <f t="shared" ref="BK1271:BX1271" si="2844">IF(ISBLANK(INDEX(MO_IS_FirstRow,0,COLUMN())),0,IF(MOD(BK403*1000000,1)=0,"Check",0))</f>
      </c>
      <c r="BL1271" s="830">
        <f t="shared" si="2844"/>
      </c>
      <c r="BM1271" s="830">
        <f t="shared" si="2844"/>
      </c>
      <c r="BN1271" s="830">
        <f t="shared" si="2844"/>
      </c>
      <c r="BO1271" s="830">
        <f t="shared" ref="BO1271:BW1271" si="2845">IF(ISBLANK(INDEX(MO_IS_FirstRow,0,COLUMN())),0,IF(MOD(BO403*1000000,1)=0,"Check",0))</f>
      </c>
      <c r="BP1271" s="830">
        <f t="shared" si="2845"/>
      </c>
      <c r="BQ1271" s="830">
        <f t="shared" si="2845"/>
      </c>
      <c r="BR1271" s="830">
        <f t="shared" si="2845"/>
      </c>
      <c r="BS1271" s="830">
        <f t="shared" si="2845"/>
      </c>
      <c r="BT1271" s="831">
        <f>IF(ISBLANK(INDEX(MO_IS_FirstRow,0,COLUMN())),0,IF(MOD(BT403*1000000,1)=0,"Check",0))</f>
      </c>
      <c r="BU1271" s="830">
        <f t="shared" si="2845"/>
      </c>
      <c r="BV1271" s="830">
        <f t="shared" si="2845"/>
      </c>
      <c r="BW1271" s="830">
        <f t="shared" si="2845"/>
      </c>
      <c r="BX1271" s="830">
        <f t="shared" si="2844"/>
      </c>
      <c r="BY1271" s="830">
        <f t="shared" ref="BY1271:CF1271" si="2846">IF(ISBLANK(INDEX(MO_IS_FirstRow,0,COLUMN())),0,IF(MOD(BY403*1000000,1)=0,"Check",0))</f>
      </c>
      <c r="BZ1271" s="830">
        <f t="shared" si="2846"/>
      </c>
      <c r="CA1271" s="830">
        <f t="shared" si="2846"/>
      </c>
      <c r="CB1271" s="830">
        <f t="shared" si="2846"/>
      </c>
      <c r="CC1271" s="830">
        <f t="shared" si="2846"/>
      </c>
      <c r="CD1271" s="830">
        <f t="shared" si="2846"/>
      </c>
      <c r="CE1271" s="830">
        <f t="shared" si="2846"/>
      </c>
      <c r="CF1271" s="830">
        <f t="shared" si="2846"/>
      </c>
      <c r="CG1271" s="459"/>
    </row>
    <row r="1272" spans="1:85" x14ac:dyDescent="0.3">
      <c r="A1272" s="459" t="s">
        <v>228</v>
      </c>
      <c r="B1272" s="753"/>
      <c r="C1272" s="830"/>
      <c r="D1272" s="830"/>
      <c r="E1272" s="830"/>
      <c r="F1272" s="830"/>
      <c r="G1272" s="830"/>
      <c r="H1272" s="830"/>
      <c r="I1272" s="830"/>
      <c r="J1272" s="830"/>
      <c r="K1272" s="830">
        <f>IF(ISBLANK(INDEX(MO_IS_FirstRow,0,COLUMN())),0,ROUND(K455-SUM(G455,H455,I455,J455),6)+ROUND(K442-SUM(G442,H442,I442,J442),6))</f>
      </c>
      <c r="L1272" s="830"/>
      <c r="M1272" s="830"/>
      <c r="N1272" s="830"/>
      <c r="O1272" s="830"/>
      <c r="P1272" s="830">
        <f>IF(ISBLANK(INDEX(MO_IS_FirstRow,0,COLUMN())),0,ROUND(P455-SUM(L455,M455,N455,O455),6)+ROUND(P442-SUM(L442,M442,N442,O442),6))+P496</f>
      </c>
      <c r="Q1272" s="830"/>
      <c r="R1272" s="830"/>
      <c r="S1272" s="830"/>
      <c r="T1272" s="830"/>
      <c r="U1272" s="830">
        <f>IF(ISBLANK(INDEX(MO_IS_FirstRow,0,COLUMN())),0,ROUND(U455-SUM(Q455,R455,S455,T455),6)+ROUND(U442-SUM(Q442,R442,S442,T442),6))+U496</f>
      </c>
      <c r="V1272" s="830"/>
      <c r="W1272" s="830"/>
      <c r="X1272" s="830"/>
      <c r="Y1272" s="830"/>
      <c r="Z1272" s="830">
        <f>IF(ISBLANK(INDEX(MO_IS_FirstRow,0,COLUMN())),0,ROUND(Z455-SUM(V455,W455,X455,Y455),6)+ROUND(Z442-SUM(V442,W442,X442,Y442),6))+Z496</f>
      </c>
      <c r="AA1272" s="830"/>
      <c r="AB1272" s="830"/>
      <c r="AC1272" s="830"/>
      <c r="AD1272" s="830"/>
      <c r="AE1272" s="830">
        <f>IF(ISBLANK(INDEX(MO_IS_FirstRow,0,COLUMN())),0,ROUND(AE455-SUM(AA455,AB455,AC455,AD455),6)+ROUND(AE442-SUM(AA442,AB442,AC442,AD442),6))+AE496</f>
      </c>
      <c r="AF1272" s="830"/>
      <c r="AG1272" s="830"/>
      <c r="AH1272" s="830"/>
      <c r="AI1272" s="830"/>
      <c r="AJ1272" s="830">
        <f>IF(ISBLANK(INDEX(MO_IS_FirstRow,0,COLUMN())),0,ROUND(AJ455-SUM(AF455,AG455,AH455,AI455),6)+ROUND(AJ442-SUM(AF442,AG442,AH442,AI442),6))+AJ496</f>
      </c>
      <c r="AK1272" s="830"/>
      <c r="AL1272" s="830"/>
      <c r="AM1272" s="830"/>
      <c r="AN1272" s="830"/>
      <c r="AO1272" s="830">
        <f>IF(ISBLANK(INDEX(MO_IS_FirstRow,0,COLUMN())),0,ROUND(AO455-SUM(AK455,AL455,AM455,AN455),6)+ROUND(AO442-SUM(AK442,AL442,AM442,AN442),6))+AO496</f>
      </c>
      <c r="AP1272" s="830"/>
      <c r="AQ1272" s="830"/>
      <c r="AR1272" s="830"/>
      <c r="AS1272" s="830"/>
      <c r="AT1272" s="830">
        <f>IF(ISBLANK(INDEX(MO_IS_FirstRow,0,COLUMN())),0,ROUND(AT455-SUM(AP455,AQ455,AR455,AS455),6)+ROUND(AT442-SUM(AP442,AQ442,AR442,AS442),6))+AT496</f>
      </c>
      <c r="AU1272" s="830"/>
      <c r="AV1272" s="830"/>
      <c r="AW1272" s="830"/>
      <c r="AX1272" s="830"/>
      <c r="AY1272" s="830">
        <f>IF(ISBLANK(INDEX(MO_IS_FirstRow,0,COLUMN())),0,ROUND(AY455-SUM(AU455,AV455,AW455,AX455),6)+ROUND(AY442-SUM(AU442,AV442,AW442,AX442),6))+AY496</f>
      </c>
      <c r="AZ1272" s="830"/>
      <c r="BA1272" s="830"/>
      <c r="BB1272" s="830"/>
      <c r="BC1272" s="830"/>
      <c r="BD1272" s="830">
        <f>IF(ISBLANK(INDEX(MO_IS_FirstRow,0,COLUMN())),0,ROUND(BD455-SUM(AZ455,BA455,BB455,BC455),6)+ROUND(BD442-SUM(AZ442,BA442,BB442,BC442),6))+BD496</f>
      </c>
      <c r="BE1272" s="830"/>
      <c r="BF1272" s="830"/>
      <c r="BG1272" s="830"/>
      <c r="BH1272" s="830"/>
      <c r="BI1272" s="830">
        <f>IF(ISBLANK(INDEX(MO_IS_FirstRow,0,COLUMN())),0,ROUND(BI455-SUM(BE455,BF455,BG455,BH455),6)+ROUND(BI442-SUM(BE442,BF442,BG442,BH442),6))+BI496</f>
      </c>
      <c r="BJ1272" s="830"/>
      <c r="BK1272" s="830"/>
      <c r="BL1272" s="830"/>
      <c r="BM1272" s="830"/>
      <c r="BN1272" s="830">
        <f>IF(ISBLANK(INDEX(MO_IS_FirstRow,0,COLUMN())),0,ROUND(BN455-SUM(BJ455,BK455,BL455,BM455),6)+ROUND(BN442-SUM(BJ442,BK442,BL442,BM442),6))+BN496</f>
      </c>
      <c r="BO1272" s="830"/>
      <c r="BP1272" s="830"/>
      <c r="BQ1272" s="830"/>
      <c r="BR1272" s="830"/>
      <c r="BS1272" s="830">
        <f>IF(ISBLANK(INDEX(MO_IS_FirstRow,0,COLUMN())),0,ROUND(BS455-SUM(BO455,BP455,BQ455,BR455),6)+ROUND(BS442-SUM(BO442,BP442,BQ442,BR442),6))+BS496</f>
      </c>
      <c r="BT1272" s="831"/>
      <c r="BU1272" s="830"/>
      <c r="BV1272" s="830"/>
      <c r="BW1272" s="830"/>
      <c r="BX1272" s="830">
        <f>IF(ISBLANK(INDEX(MO_IS_FirstRow,0,COLUMN())),0,ROUND(BX455-SUM(BT455,BU455,BV455,BW455),6)+ROUND(BX442-SUM(BT442,BU442,BV442,BW442),6))+BX496</f>
      </c>
      <c r="BY1272" s="830"/>
      <c r="BZ1272" s="830"/>
      <c r="CA1272" s="830"/>
      <c r="CB1272" s="830"/>
      <c r="CC1272" s="830">
        <f>IF(ISBLANK(INDEX(MO_IS_FirstRow,0,COLUMN())),0,ROUND(CC455-SUM(BY455,BZ455,CA455,CB455),6)+ROUND(CC442-SUM(BY442,BZ442,CA442,CB442),6))+CC496</f>
      </c>
      <c r="CD1272" s="830"/>
      <c r="CE1272" s="830"/>
      <c r="CF1272" s="830"/>
      <c r="CG1272" s="459"/>
    </row>
    <row r="1273" spans="1:85" x14ac:dyDescent="0.3">
      <c r="A1273" s="459" t="s">
        <v>2187</v>
      </c>
      <c r="B1273" s="753"/>
      <c r="C1273" s="830">
        <f t="shared" ref="C1273:AH1273" si="2847">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D1273" s="830">
        <f t="shared" si="2847"/>
      </c>
      <c r="E1273" s="830">
        <f t="shared" si="2847"/>
      </c>
      <c r="F1273" s="830">
        <f t="shared" si="2847"/>
      </c>
      <c r="G1273" s="830">
        <f t="shared" si="2847"/>
      </c>
      <c r="H1273" s="830">
        <f t="shared" si="2847"/>
      </c>
      <c r="I1273" s="830">
        <f t="shared" si="2847"/>
      </c>
      <c r="J1273" s="830">
        <f t="shared" si="2847"/>
      </c>
      <c r="K1273" s="830">
        <f t="shared" si="2847"/>
      </c>
      <c r="L1273" s="830">
        <f t="shared" si="2847"/>
      </c>
      <c r="M1273" s="830">
        <f t="shared" si="2847"/>
      </c>
      <c r="N1273" s="830">
        <f t="shared" si="2847"/>
      </c>
      <c r="O1273" s="830">
        <f t="shared" si="2847"/>
      </c>
      <c r="P1273" s="830">
        <f t="shared" si="2847"/>
      </c>
      <c r="Q1273" s="830">
        <f t="shared" si="2847"/>
      </c>
      <c r="R1273" s="830">
        <f t="shared" si="2847"/>
      </c>
      <c r="S1273" s="830">
        <f t="shared" si="2847"/>
      </c>
      <c r="T1273" s="830">
        <f t="shared" si="2847"/>
      </c>
      <c r="U1273" s="830">
        <f t="shared" si="2847"/>
      </c>
      <c r="V1273" s="830">
        <f t="shared" si="2847"/>
      </c>
      <c r="W1273" s="830">
        <f t="shared" si="2847"/>
      </c>
      <c r="X1273" s="830">
        <f t="shared" si="2847"/>
      </c>
      <c r="Y1273" s="830">
        <f t="shared" si="2847"/>
      </c>
      <c r="Z1273" s="830">
        <f t="shared" si="2847"/>
      </c>
      <c r="AA1273" s="830">
        <f t="shared" si="2847"/>
      </c>
      <c r="AB1273" s="830">
        <f t="shared" si="2847"/>
      </c>
      <c r="AC1273" s="830">
        <f t="shared" si="2847"/>
      </c>
      <c r="AD1273" s="830">
        <f t="shared" si="2847"/>
      </c>
      <c r="AE1273" s="830">
        <f t="shared" si="2847"/>
      </c>
      <c r="AF1273" s="830">
        <f t="shared" si="2847"/>
      </c>
      <c r="AG1273" s="830">
        <f t="shared" si="2847"/>
      </c>
      <c r="AH1273" s="830">
        <f t="shared" si="2847"/>
      </c>
      <c r="AI1273" s="830">
        <f t="shared" ref="AI1273:BK1273" si="2848">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AJ1273" s="830">
        <f t="shared" si="2848"/>
      </c>
      <c r="AK1273" s="830">
        <f t="shared" si="2848"/>
      </c>
      <c r="AL1273" s="830">
        <f t="shared" si="2848"/>
      </c>
      <c r="AM1273" s="830">
        <f t="shared" si="2848"/>
      </c>
      <c r="AN1273" s="830">
        <f t="shared" si="2848"/>
      </c>
      <c r="AO1273" s="830">
        <f t="shared" si="2848"/>
      </c>
      <c r="AP1273" s="830">
        <f t="shared" si="2848"/>
      </c>
      <c r="AQ1273" s="830">
        <f t="shared" si="2848"/>
      </c>
      <c r="AR1273" s="830">
        <f t="shared" si="2848"/>
      </c>
      <c r="AS1273" s="830">
        <f t="shared" si="2848"/>
      </c>
      <c r="AT1273" s="830">
        <f t="shared" si="2848"/>
      </c>
      <c r="AU1273" s="830">
        <f t="shared" si="2848"/>
      </c>
      <c r="AV1273" s="830">
        <f t="shared" si="2848"/>
      </c>
      <c r="AW1273" s="830">
        <f t="shared" si="2848"/>
      </c>
      <c r="AX1273" s="830">
        <f t="shared" si="2848"/>
      </c>
      <c r="AY1273" s="830">
        <f t="shared" si="2848"/>
      </c>
      <c r="AZ1273" s="830">
        <f t="shared" si="2848"/>
      </c>
      <c r="BA1273" s="830">
        <f t="shared" si="2848"/>
      </c>
      <c r="BB1273" s="830">
        <f t="shared" si="2848"/>
      </c>
      <c r="BC1273" s="830">
        <f t="shared" si="2848"/>
      </c>
      <c r="BD1273" s="830">
        <f t="shared" si="2848"/>
      </c>
      <c r="BE1273" s="830">
        <f t="shared" si="2848"/>
      </c>
      <c r="BF1273" s="830">
        <f t="shared" si="2848"/>
      </c>
      <c r="BG1273" s="830">
        <f t="shared" si="2848"/>
      </c>
      <c r="BH1273" s="830">
        <f t="shared" si="2848"/>
      </c>
      <c r="BI1273" s="830">
        <f t="shared" si="2848"/>
      </c>
      <c r="BJ1273" s="830">
        <f t="shared" si="2848"/>
      </c>
      <c r="BK1273" s="830">
        <f t="shared" si="2848"/>
      </c>
      <c r="BL1273" s="830">
        <f t="shared" ref="BL1273:BX1273" si="2849">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BM1273" s="830">
        <f t="shared" si="2849"/>
      </c>
      <c r="BN1273" s="830">
        <f t="shared" si="2849"/>
      </c>
      <c r="BO1273" s="830">
        <f t="shared" ref="BO1273:BW1273" si="2850">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BP1273" s="830">
        <f t="shared" si="2850"/>
      </c>
      <c r="BQ1273" s="830">
        <f t="shared" si="2850"/>
      </c>
      <c r="BR1273" s="830">
        <f t="shared" si="2850"/>
      </c>
      <c r="BS1273" s="830">
        <f t="shared" si="2850"/>
      </c>
      <c r="BT1273" s="831">
        <f>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BU1273" s="830">
        <f t="shared" si="2850"/>
      </c>
      <c r="BV1273" s="830">
        <f t="shared" si="2850"/>
      </c>
      <c r="BW1273" s="830">
        <f t="shared" si="2850"/>
      </c>
      <c r="BX1273" s="830">
        <f t="shared" si="2849"/>
      </c>
      <c r="BY1273" s="830">
        <f t="shared" ref="BY1273:CF1273" si="2851">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c>
      <c r="BZ1273" s="830">
        <f t="shared" si="2851"/>
      </c>
      <c r="CA1273" s="830">
        <f t="shared" si="2851"/>
      </c>
      <c r="CB1273" s="830">
        <f t="shared" si="2851"/>
      </c>
      <c r="CC1273" s="830">
        <f t="shared" si="2851"/>
      </c>
      <c r="CD1273" s="830">
        <f t="shared" si="2851"/>
      </c>
      <c r="CE1273" s="830">
        <f t="shared" si="2851"/>
      </c>
      <c r="CF1273" s="830">
        <f t="shared" si="2851"/>
      </c>
      <c r="CG1273" s="459"/>
    </row>
    <row r="1274" spans="1:85" x14ac:dyDescent="0.3">
      <c r="A1274" s="459" t="s">
        <v>229</v>
      </c>
      <c r="B1274" s="753"/>
      <c r="C1274" s="830">
        <f t="shared" ref="C1274:AH1274" si="2852">IF(OR(INDEX(MO_CFSum_Acquisition,1,COLUMN())&gt;0,INDEX(MO_CFSum_Divestiture,1,COLUMN())&lt;0,INDEX(MO_CFSum_Capex,1,COLUMN())&gt;0,INDEX(MO_CFSum_Dividend,1,COLUMN())&gt;0),"CHECK",0)</f>
      </c>
      <c r="D1274" s="830">
        <f t="shared" si="2852"/>
      </c>
      <c r="E1274" s="830">
        <f t="shared" si="2852"/>
      </c>
      <c r="F1274" s="830">
        <f t="shared" si="2852"/>
      </c>
      <c r="G1274" s="830">
        <f t="shared" si="2852"/>
      </c>
      <c r="H1274" s="830">
        <f t="shared" si="2852"/>
      </c>
      <c r="I1274" s="830">
        <f t="shared" si="2852"/>
      </c>
      <c r="J1274" s="830">
        <f t="shared" si="2852"/>
      </c>
      <c r="K1274" s="830">
        <f t="shared" si="2852"/>
      </c>
      <c r="L1274" s="830">
        <f t="shared" si="2852"/>
      </c>
      <c r="M1274" s="830">
        <f t="shared" si="2852"/>
      </c>
      <c r="N1274" s="830">
        <f t="shared" si="2852"/>
      </c>
      <c r="O1274" s="830">
        <f t="shared" si="2852"/>
      </c>
      <c r="P1274" s="830">
        <f t="shared" si="2852"/>
      </c>
      <c r="Q1274" s="830">
        <f t="shared" si="2852"/>
      </c>
      <c r="R1274" s="830">
        <f t="shared" si="2852"/>
      </c>
      <c r="S1274" s="830">
        <f t="shared" si="2852"/>
      </c>
      <c r="T1274" s="830">
        <f t="shared" si="2852"/>
      </c>
      <c r="U1274" s="830">
        <f t="shared" si="2852"/>
      </c>
      <c r="V1274" s="830">
        <f t="shared" si="2852"/>
      </c>
      <c r="W1274" s="830">
        <f t="shared" si="2852"/>
      </c>
      <c r="X1274" s="830">
        <f t="shared" si="2852"/>
      </c>
      <c r="Y1274" s="830">
        <f t="shared" si="2852"/>
      </c>
      <c r="Z1274" s="830">
        <f t="shared" si="2852"/>
      </c>
      <c r="AA1274" s="830">
        <f t="shared" si="2852"/>
      </c>
      <c r="AB1274" s="830">
        <f t="shared" si="2852"/>
      </c>
      <c r="AC1274" s="830">
        <f t="shared" si="2852"/>
      </c>
      <c r="AD1274" s="830">
        <f t="shared" si="2852"/>
      </c>
      <c r="AE1274" s="830">
        <f t="shared" si="2852"/>
      </c>
      <c r="AF1274" s="830">
        <f t="shared" si="2852"/>
      </c>
      <c r="AG1274" s="830">
        <f t="shared" si="2852"/>
      </c>
      <c r="AH1274" s="830">
        <f t="shared" si="2852"/>
      </c>
      <c r="AI1274" s="830">
        <f t="shared" ref="AI1274:AU1274" si="2853">IF(OR(INDEX(MO_CFSum_Acquisition,1,COLUMN())&gt;0,INDEX(MO_CFSum_Divestiture,1,COLUMN())&lt;0,INDEX(MO_CFSum_Capex,1,COLUMN())&gt;0,INDEX(MO_CFSum_Dividend,1,COLUMN())&gt;0),"CHECK",0)</f>
      </c>
      <c r="AJ1274" s="830">
        <f t="shared" si="2853"/>
      </c>
      <c r="AK1274" s="830">
        <f t="shared" si="2853"/>
      </c>
      <c r="AL1274" s="830">
        <f t="shared" si="2853"/>
      </c>
      <c r="AM1274" s="830">
        <f t="shared" si="2853"/>
      </c>
      <c r="AN1274" s="830">
        <f t="shared" si="2853"/>
      </c>
      <c r="AO1274" s="830">
        <f t="shared" si="2853"/>
      </c>
      <c r="AP1274" s="830">
        <f t="shared" si="2853"/>
      </c>
      <c r="AQ1274" s="830">
        <f t="shared" si="2853"/>
      </c>
      <c r="AR1274" s="830">
        <f>IF(OR(INDEX(MO_CFSum_Acquisition,1,COLUMN())&gt;0,INDEX(MO_CFSum_Divestiture,1,COLUMN())&lt;0,INDEX(MO_CFSum_Capex,1,COLUMN())&gt;0,INDEX(MO_CFSum_Dividend,1,COLUMN())&gt;0),"CHECK",0)</f>
      </c>
      <c r="AS1274" s="830">
        <f>IF(OR(INDEX(MO_CFSum_Acquisition,1,COLUMN())&gt;0,INDEX(MO_CFSum_Divestiture,1,COLUMN())&lt;0,INDEX(MO_CFSum_Capex,1,COLUMN())&gt;0,INDEX(MO_CFSum_Dividend,1,COLUMN())&gt;0),"CHECK",0)</f>
      </c>
      <c r="AT1274" s="830">
        <f>IF(OR(INDEX(MO_CFSum_Acquisition,1,COLUMN())&gt;0,INDEX(MO_CFSum_Divestiture,1,COLUMN())&lt;0,INDEX(MO_CFSum_Capex,1,COLUMN())&gt;0,INDEX(MO_CFSum_Dividend,1,COLUMN())&gt;0),"CHECK",0)</f>
      </c>
      <c r="AU1274" s="830">
        <f t="shared" si="2853"/>
      </c>
      <c r="AV1274" s="830">
        <f t="shared" ref="AV1274:BA1274" si="2854">IF(OR(INDEX(MO_CFSum_Acquisition,1,COLUMN())&gt;0,INDEX(MO_CFSum_Divestiture,1,COLUMN())&lt;0,INDEX(MO_CFSum_Capex,1,COLUMN())&gt;0,INDEX(MO_CFSum_Dividend,1,COLUMN())&gt;0),"CHECK",0)</f>
      </c>
      <c r="AW1274" s="830">
        <f t="shared" si="2854"/>
      </c>
      <c r="AX1274" s="830">
        <f t="shared" si="2854"/>
      </c>
      <c r="AY1274" s="830">
        <f t="shared" si="2854"/>
      </c>
      <c r="AZ1274" s="830">
        <f t="shared" si="2854"/>
      </c>
      <c r="BA1274" s="830">
        <f t="shared" si="2854"/>
      </c>
      <c r="BB1274" s="830">
        <f t="shared" ref="BB1274:BD1274" si="2855">IF(OR(INDEX(MO_CFSum_Acquisition,1,COLUMN())&gt;0,INDEX(MO_CFSum_Divestiture,1,COLUMN())&lt;0,INDEX(MO_CFSum_Capex,1,COLUMN())&gt;0,INDEX(MO_CFSum_Dividend,1,COLUMN())&gt;0),"CHECK",0)</f>
      </c>
      <c r="BC1274" s="830">
        <f t="shared" si="2855"/>
      </c>
      <c r="BD1274" s="830">
        <f t="shared" si="2855"/>
      </c>
      <c r="BE1274" s="830">
        <f t="shared" ref="BE1274:BI1274" si="2856">IF(OR(INDEX(MO_CFSum_Acquisition,1,COLUMN())&gt;0,INDEX(MO_CFSum_Divestiture,1,COLUMN())&lt;0,INDEX(MO_CFSum_Capex,1,COLUMN())&gt;0,INDEX(MO_CFSum_Dividend,1,COLUMN())&gt;0),"CHECK",0)</f>
      </c>
      <c r="BF1274" s="830">
        <f t="shared" si="2856"/>
      </c>
      <c r="BG1274" s="830">
        <f t="shared" si="2856"/>
      </c>
      <c r="BH1274" s="830">
        <f t="shared" si="2856"/>
      </c>
      <c r="BI1274" s="830">
        <f t="shared" si="2856"/>
      </c>
      <c r="BJ1274" s="830">
        <f t="shared" ref="BJ1274:BX1274" si="2857">IF(OR(INDEX(MO_CFSum_Acquisition,1,COLUMN())&gt;0,INDEX(MO_CFSum_Divestiture,1,COLUMN())&lt;0,INDEX(MO_CFSum_Capex,1,COLUMN())&gt;0,INDEX(MO_CFSum_Dividend,1,COLUMN())&gt;0),"CHECK",0)</f>
      </c>
      <c r="BK1274" s="830">
        <f t="shared" si="2857"/>
      </c>
      <c r="BL1274" s="830">
        <f t="shared" si="2857"/>
      </c>
      <c r="BM1274" s="830">
        <f t="shared" si="2857"/>
      </c>
      <c r="BN1274" s="830">
        <f t="shared" si="2857"/>
      </c>
      <c r="BO1274" s="830">
        <f t="shared" ref="BO1274:BW1274" si="2858">IF(OR(INDEX(MO_CFSum_Acquisition,1,COLUMN())&gt;0,INDEX(MO_CFSum_Divestiture,1,COLUMN())&lt;0,INDEX(MO_CFSum_Capex,1,COLUMN())&gt;0,INDEX(MO_CFSum_Dividend,1,COLUMN())&gt;0),"CHECK",0)</f>
      </c>
      <c r="BP1274" s="830">
        <f t="shared" si="2858"/>
      </c>
      <c r="BQ1274" s="830">
        <f t="shared" si="2858"/>
      </c>
      <c r="BR1274" s="830">
        <f t="shared" si="2858"/>
      </c>
      <c r="BS1274" s="830">
        <f t="shared" si="2858"/>
      </c>
      <c r="BT1274" s="831">
        <f>IF(OR(INDEX(MO_CFSum_Acquisition,1,COLUMN())&gt;0,INDEX(MO_CFSum_Divestiture,1,COLUMN())&lt;0,INDEX(MO_CFSum_Capex,1,COLUMN())&gt;0,INDEX(MO_CFSum_Dividend,1,COLUMN())&gt;0),"CHECK",0)</f>
      </c>
      <c r="BU1274" s="830">
        <f t="shared" si="2858"/>
      </c>
      <c r="BV1274" s="830">
        <f t="shared" si="2858"/>
      </c>
      <c r="BW1274" s="830">
        <f t="shared" si="2858"/>
      </c>
      <c r="BX1274" s="830">
        <f t="shared" si="2857"/>
      </c>
      <c r="BY1274" s="830">
        <f t="shared" ref="BY1274:CF1274" si="2859">IF(OR(INDEX(MO_CFSum_Acquisition,1,COLUMN())&gt;0,INDEX(MO_CFSum_Divestiture,1,COLUMN())&lt;0,INDEX(MO_CFSum_Capex,1,COLUMN())&gt;0,INDEX(MO_CFSum_Dividend,1,COLUMN())&gt;0),"CHECK",0)</f>
      </c>
      <c r="BZ1274" s="830">
        <f t="shared" si="2859"/>
      </c>
      <c r="CA1274" s="830">
        <f t="shared" si="2859"/>
      </c>
      <c r="CB1274" s="830">
        <f t="shared" si="2859"/>
      </c>
      <c r="CC1274" s="830">
        <f t="shared" si="2859"/>
      </c>
      <c r="CD1274" s="830">
        <f t="shared" si="2859"/>
      </c>
      <c r="CE1274" s="830">
        <f t="shared" si="2859"/>
      </c>
      <c r="CF1274" s="830">
        <f t="shared" si="2859"/>
      </c>
      <c r="CG1274" s="459"/>
    </row>
    <row r="1275" spans="1:85" x14ac:dyDescent="0.3">
      <c r="A1275" s="459" t="s">
        <v>230</v>
      </c>
      <c r="B1275" s="753"/>
      <c r="C1275" s="830"/>
      <c r="D1275" s="830"/>
      <c r="E1275" s="830"/>
      <c r="F1275" s="830"/>
      <c r="G1275" s="830"/>
      <c r="H1275" s="830"/>
      <c r="I1275" s="830"/>
      <c r="J1275" s="830"/>
      <c r="K1275" s="830">
        <f>ROUND(K491-SUM(G491,H491,I491,J491),6)</f>
      </c>
      <c r="L1275" s="830"/>
      <c r="M1275" s="830"/>
      <c r="N1275" s="830"/>
      <c r="O1275" s="830"/>
      <c r="P1275" s="830">
        <f>ROUND(P491-SUM(L491,M491,N491,O491),6)</f>
      </c>
      <c r="Q1275" s="830"/>
      <c r="R1275" s="830"/>
      <c r="S1275" s="830"/>
      <c r="T1275" s="830"/>
      <c r="U1275" s="830">
        <f>ROUND(U491-SUM(Q491,R491,S491,T491),6)</f>
      </c>
      <c r="V1275" s="830"/>
      <c r="W1275" s="830"/>
      <c r="X1275" s="830"/>
      <c r="Y1275" s="830"/>
      <c r="Z1275" s="830">
        <f>ROUND(Z491-SUM(V491,W491,X491,Y491),6)</f>
      </c>
      <c r="AA1275" s="830"/>
      <c r="AB1275" s="830"/>
      <c r="AC1275" s="830"/>
      <c r="AD1275" s="830"/>
      <c r="AE1275" s="830">
        <f>ROUND(AE491-SUM(AA491,AB491,AC491,AD491),6)</f>
      </c>
      <c r="AF1275" s="830"/>
      <c r="AG1275" s="830"/>
      <c r="AH1275" s="830"/>
      <c r="AI1275" s="830"/>
      <c r="AJ1275" s="830">
        <f>ROUND(AJ491-SUM(AF491,AG491,AH491,AI491),6)</f>
      </c>
      <c r="AK1275" s="830"/>
      <c r="AL1275" s="830"/>
      <c r="AM1275" s="830"/>
      <c r="AN1275" s="830"/>
      <c r="AO1275" s="830">
        <f>ROUND(AO491-SUM(AK491,AL491,AM491,AN491),6)</f>
      </c>
      <c r="AP1275" s="830"/>
      <c r="AQ1275" s="830"/>
      <c r="AR1275" s="830"/>
      <c r="AS1275" s="830"/>
      <c r="AT1275" s="830">
        <f>ROUND(AT491-SUM(AP491,AQ491,AR491,AS491),6)</f>
      </c>
      <c r="AU1275" s="830"/>
      <c r="AV1275" s="830"/>
      <c r="AW1275" s="830"/>
      <c r="AX1275" s="830"/>
      <c r="AY1275" s="830">
        <f>ROUND(AY491-SUM(AU491,AV491,AW491,AX491),6)</f>
      </c>
      <c r="AZ1275" s="830"/>
      <c r="BA1275" s="830"/>
      <c r="BB1275" s="830"/>
      <c r="BC1275" s="830"/>
      <c r="BD1275" s="830">
        <f>ROUND(BD491-SUM(AZ491,BA491,BB491,BC491),6)</f>
      </c>
      <c r="BE1275" s="830"/>
      <c r="BF1275" s="830"/>
      <c r="BG1275" s="830"/>
      <c r="BH1275" s="830"/>
      <c r="BI1275" s="830">
        <f>ROUND(BI491-SUM(BE491,BF491,BG491,BH491),6)</f>
      </c>
      <c r="BJ1275" s="830"/>
      <c r="BK1275" s="830"/>
      <c r="BL1275" s="830"/>
      <c r="BM1275" s="830"/>
      <c r="BN1275" s="830">
        <f>ROUND(BN491-SUM(BJ491,BK491,BL491,BM491),6)</f>
      </c>
      <c r="BO1275" s="830"/>
      <c r="BP1275" s="830"/>
      <c r="BQ1275" s="830"/>
      <c r="BR1275" s="830"/>
      <c r="BS1275" s="830">
        <f>ROUND(BS491-SUM(BO491,BP491,BQ491,BR491),6)</f>
      </c>
      <c r="BT1275" s="831"/>
      <c r="BU1275" s="830"/>
      <c r="BV1275" s="830"/>
      <c r="BW1275" s="830"/>
      <c r="BX1275" s="830">
        <f>ROUND(BX491-SUM(BT491,BU491,BV491,BW491),6)</f>
      </c>
      <c r="BY1275" s="830"/>
      <c r="BZ1275" s="830"/>
      <c r="CA1275" s="830"/>
      <c r="CB1275" s="830"/>
      <c r="CC1275" s="830">
        <f>ROUND(CC491-SUM(BY491,BZ491,CA491,CB491),6)</f>
      </c>
      <c r="CD1275" s="830"/>
      <c r="CE1275" s="830"/>
      <c r="CF1275" s="830"/>
      <c r="CG1275" s="459"/>
    </row>
    <row r="1276" spans="1:85" x14ac:dyDescent="0.3">
      <c r="A1276" s="459" t="s">
        <v>231</v>
      </c>
      <c r="B1276" s="753"/>
      <c r="C1276" s="830"/>
      <c r="D1276" s="830"/>
      <c r="E1276" s="830"/>
      <c r="F1276" s="830"/>
      <c r="G1276" s="830"/>
      <c r="H1276" s="830"/>
      <c r="I1276" s="830"/>
      <c r="J1276" s="830"/>
      <c r="K1276" s="830">
        <f>ROUND(SUM(G500,H500,I500,J500)-INDEX(MO_RIS_NI_NONGAAP_Diluted,1,COLUMN()),6)</f>
      </c>
      <c r="L1276" s="830"/>
      <c r="M1276" s="830"/>
      <c r="N1276" s="830"/>
      <c r="O1276" s="830"/>
      <c r="P1276" s="830">
        <f>ROUND(SUM(L500,M500,N500,O500)-INDEX(MO_RIS_NI_NONGAAP_Diluted,1,COLUMN()),6)</f>
      </c>
      <c r="Q1276" s="830"/>
      <c r="R1276" s="830"/>
      <c r="S1276" s="830"/>
      <c r="T1276" s="830"/>
      <c r="U1276" s="830">
        <f>ROUND(SUM(Q500,R500,S500,T500)-INDEX(MO_RIS_NI_NONGAAP_Diluted,1,COLUMN()),6)</f>
      </c>
      <c r="V1276" s="830"/>
      <c r="W1276" s="830"/>
      <c r="X1276" s="830"/>
      <c r="Y1276" s="830"/>
      <c r="Z1276" s="830">
        <f>ROUND(SUM(V500,W500,X500,Y500)-INDEX(MO_RIS_NI_NONGAAP_Diluted,1,COLUMN()),6)</f>
      </c>
      <c r="AA1276" s="830"/>
      <c r="AB1276" s="830"/>
      <c r="AC1276" s="830"/>
      <c r="AD1276" s="830"/>
      <c r="AE1276" s="830">
        <f>ROUND(SUM(AA500,AB500,AC500,AD500)-INDEX(MO_RIS_NI_NONGAAP_Diluted,1,COLUMN()),6)</f>
      </c>
      <c r="AF1276" s="830"/>
      <c r="AG1276" s="830"/>
      <c r="AH1276" s="830"/>
      <c r="AI1276" s="830"/>
      <c r="AJ1276" s="830">
        <f>ROUND(SUM(AF500,AG500,AH500,AI500)-INDEX(MO_RIS_NI_NONGAAP_Diluted,1,COLUMN()),6)</f>
      </c>
      <c r="AK1276" s="830"/>
      <c r="AL1276" s="830"/>
      <c r="AM1276" s="830"/>
      <c r="AN1276" s="830"/>
      <c r="AO1276" s="830">
        <f>ROUND(SUM(AK500,AL500,AM500,AN500)-INDEX(MO_RIS_NI_NONGAAP_Diluted,1,COLUMN()),6)</f>
      </c>
      <c r="AP1276" s="830"/>
      <c r="AQ1276" s="830"/>
      <c r="AR1276" s="830"/>
      <c r="AS1276" s="830"/>
      <c r="AT1276" s="830">
        <f>ROUND(SUM(AP500,AQ500,AR500,AS500)-INDEX(MO_RIS_NI_NONGAAP_Diluted,1,COLUMN()),6)</f>
      </c>
      <c r="AU1276" s="830"/>
      <c r="AV1276" s="830"/>
      <c r="AW1276" s="830"/>
      <c r="AX1276" s="830"/>
      <c r="AY1276" s="830">
        <f>ROUND(SUM(AU500,AV500,AW500,AX500)-INDEX(MO_RIS_NI_NONGAAP_Diluted,1,COLUMN()),6)</f>
      </c>
      <c r="AZ1276" s="830"/>
      <c r="BA1276" s="830"/>
      <c r="BB1276" s="830"/>
      <c r="BC1276" s="830"/>
      <c r="BD1276" s="830">
        <f>ROUND(SUM(AZ500,BA500,BB500,BC500)-INDEX(MO_RIS_NI_NONGAAP_Diluted,1,COLUMN()),6)</f>
      </c>
      <c r="BE1276" s="830"/>
      <c r="BF1276" s="830"/>
      <c r="BG1276" s="830"/>
      <c r="BH1276" s="830"/>
      <c r="BI1276" s="830">
        <f>ROUND(SUM(BE500,BF500,BG500,BH500)-INDEX(MO_RIS_NI_NONGAAP_Diluted,1,COLUMN()),6)</f>
      </c>
      <c r="BJ1276" s="830"/>
      <c r="BK1276" s="830"/>
      <c r="BL1276" s="830"/>
      <c r="BM1276" s="830"/>
      <c r="BN1276" s="830">
        <f>ROUND(SUM(BJ500,BK500,BL500,BM500)-INDEX(MO_RIS_NI_NONGAAP_Diluted,1,COLUMN()),6)</f>
      </c>
      <c r="BO1276" s="830"/>
      <c r="BP1276" s="830"/>
      <c r="BQ1276" s="830"/>
      <c r="BR1276" s="830"/>
      <c r="BS1276" s="830">
        <f>ROUND(SUM(BO500,BP500,BQ500,BR500)-INDEX(MO_RIS_NI_NONGAAP_Diluted,1,COLUMN()),6)</f>
      </c>
      <c r="BT1276" s="831"/>
      <c r="BU1276" s="830"/>
      <c r="BV1276" s="830"/>
      <c r="BW1276" s="830"/>
      <c r="BX1276" s="830">
        <f>ROUND(SUM(BT500,BU500,BV500,BW500)-INDEX(MO_RIS_NI_NONGAAP_Diluted,1,COLUMN()),6)</f>
      </c>
      <c r="BY1276" s="830"/>
      <c r="BZ1276" s="830"/>
      <c r="CA1276" s="830"/>
      <c r="CB1276" s="830"/>
      <c r="CC1276" s="830">
        <f>ROUND(SUM(BY500,BZ500,CA500,CB500)-INDEX(MO_RIS_NI_NONGAAP_Diluted,1,COLUMN()),6)</f>
      </c>
      <c r="CD1276" s="830"/>
      <c r="CE1276" s="830"/>
      <c r="CF1276" s="830"/>
      <c r="CG1276" s="459"/>
    </row>
    <row r="1277" spans="1:85" x14ac:dyDescent="0.3">
      <c r="A1277" s="459" t="s">
        <v>232</v>
      </c>
      <c r="B1277" s="753"/>
      <c r="C1277" s="830"/>
      <c r="D1277" s="830"/>
      <c r="E1277" s="830"/>
      <c r="F1277" s="830"/>
      <c r="G1277" s="830"/>
      <c r="H1277" s="830"/>
      <c r="I1277" s="830"/>
      <c r="J1277" s="830"/>
      <c r="K1277" s="830">
        <f ca="1">ROUND(SUM(G1114,H1114,I1114,J1114)-SUM(OFFSET(INDEX(MO_CFS_CFO_BeforeWC,1,COLUMN()),ROW(INDEX(MO_SubSection_CFS_CFO,1,COLUMN()))-ROW(INDEX(MO_CFS_CFO_BeforeWC,1,COLUMN())),0,ROW(INDEX(MO_CFS_CFO_BeforeWC,1,COLUMN()))-ROW(INDEX(MO_SubSection_CFS_CFO,1,COLUMN())),1)),6)</f>
      </c>
      <c r="L1277" s="830"/>
      <c r="M1277" s="830"/>
      <c r="N1277" s="830"/>
      <c r="O1277" s="830"/>
      <c r="P1277" s="830">
        <f ca="1">ROUND(SUM(L1114,M1114,N1114,O1114)-SUM(OFFSET(INDEX(MO_CFS_CFO_BeforeWC,1,COLUMN()),ROW(INDEX(MO_SubSection_CFS_CFO,1,COLUMN()))-ROW(INDEX(MO_CFS_CFO_BeforeWC,1,COLUMN())),0,ROW(INDEX(MO_CFS_CFO_BeforeWC,1,COLUMN()))-ROW(INDEX(MO_SubSection_CFS_CFO,1,COLUMN())),1)),6)</f>
      </c>
      <c r="Q1277" s="830"/>
      <c r="R1277" s="830"/>
      <c r="S1277" s="830"/>
      <c r="T1277" s="830"/>
      <c r="U1277" s="830">
        <f ca="1">ROUND(SUM(Q1114,R1114,S1114,T1114)-SUM(OFFSET(INDEX(MO_CFS_CFO_BeforeWC,1,COLUMN()),ROW(INDEX(MO_SubSection_CFS_CFO,1,COLUMN()))-ROW(INDEX(MO_CFS_CFO_BeforeWC,1,COLUMN())),0,ROW(INDEX(MO_CFS_CFO_BeforeWC,1,COLUMN()))-ROW(INDEX(MO_SubSection_CFS_CFO,1,COLUMN())),1)),6)</f>
      </c>
      <c r="V1277" s="830"/>
      <c r="W1277" s="830"/>
      <c r="X1277" s="830"/>
      <c r="Y1277" s="830"/>
      <c r="Z1277" s="830">
        <f ca="1">ROUND(SUM(V1114,W1114,X1114,Y1114)-SUM(OFFSET(INDEX(MO_CFS_CFO_BeforeWC,1,COLUMN()),ROW(INDEX(MO_SubSection_CFS_CFO,1,COLUMN()))-ROW(INDEX(MO_CFS_CFO_BeforeWC,1,COLUMN())),0,ROW(INDEX(MO_CFS_CFO_BeforeWC,1,COLUMN()))-ROW(INDEX(MO_SubSection_CFS_CFO,1,COLUMN())),1)),6)</f>
      </c>
      <c r="AA1277" s="830"/>
      <c r="AB1277" s="830"/>
      <c r="AC1277" s="830"/>
      <c r="AD1277" s="830"/>
      <c r="AE1277" s="830">
        <f ca="1">ROUND(SUM(AA1114,AB1114,AC1114,AD1114)-SUM(OFFSET(INDEX(MO_CFS_CFO_BeforeWC,1,COLUMN()),ROW(INDEX(MO_SubSection_CFS_CFO,1,COLUMN()))-ROW(INDEX(MO_CFS_CFO_BeforeWC,1,COLUMN())),0,ROW(INDEX(MO_CFS_CFO_BeforeWC,1,COLUMN()))-ROW(INDEX(MO_SubSection_CFS_CFO,1,COLUMN())),1)),6)</f>
      </c>
      <c r="AF1277" s="830"/>
      <c r="AG1277" s="830"/>
      <c r="AH1277" s="830"/>
      <c r="AI1277" s="830"/>
      <c r="AJ1277" s="830">
        <f ca="1">ROUND(SUM(AF1114,AG1114,AH1114,AI1114)-SUM(OFFSET(INDEX(MO_CFS_CFO_BeforeWC,1,COLUMN()),ROW(INDEX(MO_SubSection_CFS_CFO,1,COLUMN()))-ROW(INDEX(MO_CFS_CFO_BeforeWC,1,COLUMN())),0,ROW(INDEX(MO_CFS_CFO_BeforeWC,1,COLUMN()))-ROW(INDEX(MO_SubSection_CFS_CFO,1,COLUMN())),1)),6)</f>
      </c>
      <c r="AK1277" s="830"/>
      <c r="AL1277" s="830"/>
      <c r="AM1277" s="830"/>
      <c r="AN1277" s="830"/>
      <c r="AO1277" s="830">
        <f ca="1">ROUND(SUM(AK1114,AL1114,AM1114,AN1114)-SUM(OFFSET(INDEX(MO_CFS_CFO_BeforeWC,1,COLUMN()),ROW(INDEX(MO_SubSection_CFS_CFO,1,COLUMN()))-ROW(INDEX(MO_CFS_CFO_BeforeWC,1,COLUMN())),0,ROW(INDEX(MO_CFS_CFO_BeforeWC,1,COLUMN()))-ROW(INDEX(MO_SubSection_CFS_CFO,1,COLUMN())),1)),6)</f>
      </c>
      <c r="AP1277" s="830"/>
      <c r="AQ1277" s="830"/>
      <c r="AR1277" s="830"/>
      <c r="AS1277" s="830"/>
      <c r="AT1277" s="830">
        <f ca="1">ROUND(SUM(AP1114,AQ1114,AR1114,AS1114)-SUM(OFFSET(INDEX(MO_CFS_CFO_BeforeWC,1,COLUMN()),ROW(INDEX(MO_SubSection_CFS_CFO,1,COLUMN()))-ROW(INDEX(MO_CFS_CFO_BeforeWC,1,COLUMN())),0,ROW(INDEX(MO_CFS_CFO_BeforeWC,1,COLUMN()))-ROW(INDEX(MO_SubSection_CFS_CFO,1,COLUMN())),1)),6)</f>
      </c>
      <c r="AU1277" s="830"/>
      <c r="AV1277" s="830"/>
      <c r="AW1277" s="830"/>
      <c r="AX1277" s="830"/>
      <c r="AY1277" s="830">
        <f ca="1">ROUND(SUM(AU1114,AV1114,AW1114,AX1114)-SUM(OFFSET(INDEX(MO_CFS_CFO_BeforeWC,1,COLUMN()),ROW(INDEX(MO_SubSection_CFS_CFO,1,COLUMN()))-ROW(INDEX(MO_CFS_CFO_BeforeWC,1,COLUMN())),0,ROW(INDEX(MO_CFS_CFO_BeforeWC,1,COLUMN()))-ROW(INDEX(MO_SubSection_CFS_CFO,1,COLUMN())),1)),6)</f>
      </c>
      <c r="AZ1277" s="830"/>
      <c r="BA1277" s="830"/>
      <c r="BB1277" s="830"/>
      <c r="BC1277" s="830"/>
      <c r="BD1277" s="830">
        <f ca="1">ROUND(SUM(AZ1114,BA1114,BB1114,BC1114)-SUM(OFFSET(INDEX(MO_CFS_CFO_BeforeWC,1,COLUMN()),ROW(INDEX(MO_SubSection_CFS_CFO,1,COLUMN()))-ROW(INDEX(MO_CFS_CFO_BeforeWC,1,COLUMN())),0,ROW(INDEX(MO_CFS_CFO_BeforeWC,1,COLUMN()))-ROW(INDEX(MO_SubSection_CFS_CFO,1,COLUMN())),1)),6)</f>
      </c>
      <c r="BE1277" s="830"/>
      <c r="BF1277" s="830"/>
      <c r="BG1277" s="830"/>
      <c r="BH1277" s="830"/>
      <c r="BI1277" s="830">
        <f ca="1">ROUND(SUM(BE1114,BF1114,BG1114,BH1114)-SUM(OFFSET(INDEX(MO_CFS_CFO_BeforeWC,1,COLUMN()),ROW(INDEX(MO_SubSection_CFS_CFO,1,COLUMN()))-ROW(INDEX(MO_CFS_CFO_BeforeWC,1,COLUMN())),0,ROW(INDEX(MO_CFS_CFO_BeforeWC,1,COLUMN()))-ROW(INDEX(MO_SubSection_CFS_CFO,1,COLUMN())),1)),6)</f>
      </c>
      <c r="BJ1277" s="830"/>
      <c r="BK1277" s="830"/>
      <c r="BL1277" s="830"/>
      <c r="BM1277" s="830"/>
      <c r="BN1277" s="830">
        <f ca="1">ROUND(SUM(BJ1114,BK1114,BL1114,BM1114)-SUM(OFFSET(INDEX(MO_CFS_CFO_BeforeWC,1,COLUMN()),ROW(INDEX(MO_SubSection_CFS_CFO,1,COLUMN()))-ROW(INDEX(MO_CFS_CFO_BeforeWC,1,COLUMN())),0,ROW(INDEX(MO_CFS_CFO_BeforeWC,1,COLUMN()))-ROW(INDEX(MO_SubSection_CFS_CFO,1,COLUMN())),1)),6)</f>
      </c>
      <c r="BO1277" s="830"/>
      <c r="BP1277" s="830"/>
      <c r="BQ1277" s="830"/>
      <c r="BR1277" s="830"/>
      <c r="BS1277" s="830">
        <f ca="1">ROUND(SUM(BO1114,BP1114,BQ1114,BR1114)-SUM(OFFSET(INDEX(MO_CFS_CFO_BeforeWC,1,COLUMN()),ROW(INDEX(MO_SubSection_CFS_CFO,1,COLUMN()))-ROW(INDEX(MO_CFS_CFO_BeforeWC,1,COLUMN())),0,ROW(INDEX(MO_CFS_CFO_BeforeWC,1,COLUMN()))-ROW(INDEX(MO_SubSection_CFS_CFO,1,COLUMN())),1)),6)</f>
      </c>
      <c r="BT1277" s="831"/>
      <c r="BU1277" s="830"/>
      <c r="BV1277" s="830"/>
      <c r="BW1277" s="830"/>
      <c r="BX1277" s="830">
        <f ca="1">ROUND(SUM(BT1114,BU1114,BV1114,BW1114)-SUM(OFFSET(INDEX(MO_CFS_CFO_BeforeWC,1,COLUMN()),ROW(INDEX(MO_SubSection_CFS_CFO,1,COLUMN()))-ROW(INDEX(MO_CFS_CFO_BeforeWC,1,COLUMN())),0,ROW(INDEX(MO_CFS_CFO_BeforeWC,1,COLUMN()))-ROW(INDEX(MO_SubSection_CFS_CFO,1,COLUMN())),1)),6)</f>
      </c>
      <c r="BY1277" s="830"/>
      <c r="BZ1277" s="830"/>
      <c r="CA1277" s="830"/>
      <c r="CB1277" s="830"/>
      <c r="CC1277" s="830">
        <f ca="1">ROUND(SUM(BY1114,BZ1114,CA1114,CB1114)-SUM(OFFSET(INDEX(MO_CFS_CFO_BeforeWC,1,COLUMN()),ROW(INDEX(MO_SubSection_CFS_CFO,1,COLUMN()))-ROW(INDEX(MO_CFS_CFO_BeforeWC,1,COLUMN())),0,ROW(INDEX(MO_CFS_CFO_BeforeWC,1,COLUMN()))-ROW(INDEX(MO_SubSection_CFS_CFO,1,COLUMN())),1)),6)</f>
      </c>
      <c r="CD1277" s="830"/>
      <c r="CE1277" s="830"/>
      <c r="CF1277" s="830"/>
      <c r="CG1277" s="459"/>
    </row>
    <row r="1278" spans="1:85" x14ac:dyDescent="0.3">
      <c r="A1278" s="459" t="s">
        <v>233</v>
      </c>
      <c r="B1278" s="753"/>
      <c r="C1278" s="830"/>
      <c r="D1278" s="830"/>
      <c r="E1278" s="830"/>
      <c r="F1278" s="830"/>
      <c r="G1278" s="830"/>
      <c r="H1278" s="830"/>
      <c r="I1278" s="830"/>
      <c r="J1278" s="830"/>
      <c r="K1278" s="830">
        <f ca="1">ROUND(SUM(G1121,H1121,I1121,J1121)-SUM(OFFSET(INDEX(MO_CFS_CFO,1,COLUMN()),ROW(INDEX(MO_CFS_CFO_BeforeWC,1,COLUMN()))-ROW(INDEX(MO_CFS_CFO,1,COLUMN())),0,ROW(INDEX(MO_CFS_CFO,1,COLUMN()))-ROW(INDEX(MO_CFS_CFO_BeforeWC,1,COLUMN())),1)),6)</f>
      </c>
      <c r="L1278" s="830"/>
      <c r="M1278" s="830"/>
      <c r="N1278" s="830"/>
      <c r="O1278" s="830"/>
      <c r="P1278" s="830">
        <f ca="1">ROUND(SUM(L1121,M1121,N1121,O1121)-SUM(OFFSET(INDEX(MO_CFS_CFO,1,COLUMN()),ROW(INDEX(MO_CFS_CFO_BeforeWC,1,COLUMN()))-ROW(INDEX(MO_CFS_CFO,1,COLUMN())),0,ROW(INDEX(MO_CFS_CFO,1,COLUMN()))-ROW(INDEX(MO_CFS_CFO_BeforeWC,1,COLUMN())),1)),6)</f>
      </c>
      <c r="Q1278" s="830"/>
      <c r="R1278" s="830"/>
      <c r="S1278" s="830"/>
      <c r="T1278" s="830"/>
      <c r="U1278" s="830">
        <f ca="1">ROUND(SUM(Q1121,R1121,S1121,T1121)-SUM(OFFSET(INDEX(MO_CFS_CFO,1,COLUMN()),ROW(INDEX(MO_CFS_CFO_BeforeWC,1,COLUMN()))-ROW(INDEX(MO_CFS_CFO,1,COLUMN())),0,ROW(INDEX(MO_CFS_CFO,1,COLUMN()))-ROW(INDEX(MO_CFS_CFO_BeforeWC,1,COLUMN())),1)),6)</f>
      </c>
      <c r="V1278" s="830"/>
      <c r="W1278" s="830"/>
      <c r="X1278" s="830"/>
      <c r="Y1278" s="830"/>
      <c r="Z1278" s="830">
        <f ca="1">ROUND(SUM(V1121,W1121,X1121,Y1121)-SUM(OFFSET(INDEX(MO_CFS_CFO,1,COLUMN()),ROW(INDEX(MO_CFS_CFO_BeforeWC,1,COLUMN()))-ROW(INDEX(MO_CFS_CFO,1,COLUMN())),0,ROW(INDEX(MO_CFS_CFO,1,COLUMN()))-ROW(INDEX(MO_CFS_CFO_BeforeWC,1,COLUMN())),1)),6)</f>
      </c>
      <c r="AA1278" s="830"/>
      <c r="AB1278" s="830"/>
      <c r="AC1278" s="830"/>
      <c r="AD1278" s="830"/>
      <c r="AE1278" s="830">
        <f ca="1">ROUND(SUM(AA1121,AB1121,AC1121,AD1121)-SUM(OFFSET(INDEX(MO_CFS_CFO,1,COLUMN()),ROW(INDEX(MO_CFS_CFO_BeforeWC,1,COLUMN()))-ROW(INDEX(MO_CFS_CFO,1,COLUMN())),0,ROW(INDEX(MO_CFS_CFO,1,COLUMN()))-ROW(INDEX(MO_CFS_CFO_BeforeWC,1,COLUMN())),1)),6)</f>
      </c>
      <c r="AF1278" s="830"/>
      <c r="AG1278" s="830"/>
      <c r="AH1278" s="830"/>
      <c r="AI1278" s="830"/>
      <c r="AJ1278" s="830">
        <f ca="1">ROUND(SUM(AF1121,AG1121,AH1121,AI1121)-SUM(OFFSET(INDEX(MO_CFS_CFO,1,COLUMN()),ROW(INDEX(MO_CFS_CFO_BeforeWC,1,COLUMN()))-ROW(INDEX(MO_CFS_CFO,1,COLUMN())),0,ROW(INDEX(MO_CFS_CFO,1,COLUMN()))-ROW(INDEX(MO_CFS_CFO_BeforeWC,1,COLUMN())),1)),6)</f>
      </c>
      <c r="AK1278" s="830"/>
      <c r="AL1278" s="830"/>
      <c r="AM1278" s="830"/>
      <c r="AN1278" s="830"/>
      <c r="AO1278" s="830">
        <f ca="1">ROUND(SUM(AK1121,AL1121,AM1121,AN1121)-SUM(OFFSET(INDEX(MO_CFS_CFO,1,COLUMN()),ROW(INDEX(MO_CFS_CFO_BeforeWC,1,COLUMN()))-ROW(INDEX(MO_CFS_CFO,1,COLUMN())),0,ROW(INDEX(MO_CFS_CFO,1,COLUMN()))-ROW(INDEX(MO_CFS_CFO_BeforeWC,1,COLUMN())),1)),6)</f>
      </c>
      <c r="AP1278" s="830"/>
      <c r="AQ1278" s="830"/>
      <c r="AR1278" s="830"/>
      <c r="AS1278" s="830"/>
      <c r="AT1278" s="830">
        <f ca="1">ROUND(SUM(AP1121,AQ1121,AR1121,AS1121)-SUM(OFFSET(INDEX(MO_CFS_CFO,1,COLUMN()),ROW(INDEX(MO_CFS_CFO_BeforeWC,1,COLUMN()))-ROW(INDEX(MO_CFS_CFO,1,COLUMN())),0,ROW(INDEX(MO_CFS_CFO,1,COLUMN()))-ROW(INDEX(MO_CFS_CFO_BeforeWC,1,COLUMN())),1)),6)</f>
      </c>
      <c r="AU1278" s="830"/>
      <c r="AV1278" s="830"/>
      <c r="AW1278" s="830"/>
      <c r="AX1278" s="830"/>
      <c r="AY1278" s="830">
        <f ca="1">ROUND(SUM(AU1121,AV1121,AW1121,AX1121)-SUM(OFFSET(INDEX(MO_CFS_CFO,1,COLUMN()),ROW(INDEX(MO_CFS_CFO_BeforeWC,1,COLUMN()))-ROW(INDEX(MO_CFS_CFO,1,COLUMN())),0,ROW(INDEX(MO_CFS_CFO,1,COLUMN()))-ROW(INDEX(MO_CFS_CFO_BeforeWC,1,COLUMN())),1)),6)</f>
      </c>
      <c r="AZ1278" s="830"/>
      <c r="BA1278" s="830"/>
      <c r="BB1278" s="830"/>
      <c r="BC1278" s="830"/>
      <c r="BD1278" s="830">
        <f ca="1">ROUND(SUM(AZ1121,BA1121,BB1121,BC1121)-SUM(OFFSET(INDEX(MO_CFS_CFO,1,COLUMN()),ROW(INDEX(MO_CFS_CFO_BeforeWC,1,COLUMN()))-ROW(INDEX(MO_CFS_CFO,1,COLUMN())),0,ROW(INDEX(MO_CFS_CFO,1,COLUMN()))-ROW(INDEX(MO_CFS_CFO_BeforeWC,1,COLUMN())),1)),6)</f>
      </c>
      <c r="BE1278" s="830"/>
      <c r="BF1278" s="830"/>
      <c r="BG1278" s="830"/>
      <c r="BH1278" s="830"/>
      <c r="BI1278" s="830">
        <f ca="1">ROUND(SUM(BE1121,BF1121,BG1121,BH1121)-SUM(OFFSET(INDEX(MO_CFS_CFO,1,COLUMN()),ROW(INDEX(MO_CFS_CFO_BeforeWC,1,COLUMN()))-ROW(INDEX(MO_CFS_CFO,1,COLUMN())),0,ROW(INDEX(MO_CFS_CFO,1,COLUMN()))-ROW(INDEX(MO_CFS_CFO_BeforeWC,1,COLUMN())),1)),6)</f>
      </c>
      <c r="BJ1278" s="830"/>
      <c r="BK1278" s="830"/>
      <c r="BL1278" s="830"/>
      <c r="BM1278" s="830"/>
      <c r="BN1278" s="830">
        <f ca="1">ROUND(SUM(BJ1121,BK1121,BL1121,BM1121)-SUM(OFFSET(INDEX(MO_CFS_CFO,1,COLUMN()),ROW(INDEX(MO_CFS_CFO_BeforeWC,1,COLUMN()))-ROW(INDEX(MO_CFS_CFO,1,COLUMN())),0,ROW(INDEX(MO_CFS_CFO,1,COLUMN()))-ROW(INDEX(MO_CFS_CFO_BeforeWC,1,COLUMN())),1)),6)</f>
      </c>
      <c r="BO1278" s="830"/>
      <c r="BP1278" s="830"/>
      <c r="BQ1278" s="830"/>
      <c r="BR1278" s="830"/>
      <c r="BS1278" s="830">
        <f ca="1">ROUND(SUM(BO1121,BP1121,BQ1121,BR1121)-SUM(OFFSET(INDEX(MO_CFS_CFO,1,COLUMN()),ROW(INDEX(MO_CFS_CFO_BeforeWC,1,COLUMN()))-ROW(INDEX(MO_CFS_CFO,1,COLUMN())),0,ROW(INDEX(MO_CFS_CFO,1,COLUMN()))-ROW(INDEX(MO_CFS_CFO_BeforeWC,1,COLUMN())),1)),6)</f>
      </c>
      <c r="BT1278" s="831"/>
      <c r="BU1278" s="830"/>
      <c r="BV1278" s="830"/>
      <c r="BW1278" s="830"/>
      <c r="BX1278" s="830">
        <f ca="1">ROUND(SUM(BT1121,BU1121,BV1121,BW1121)-SUM(OFFSET(INDEX(MO_CFS_CFO,1,COLUMN()),ROW(INDEX(MO_CFS_CFO_BeforeWC,1,COLUMN()))-ROW(INDEX(MO_CFS_CFO,1,COLUMN())),0,ROW(INDEX(MO_CFS_CFO,1,COLUMN()))-ROW(INDEX(MO_CFS_CFO_BeforeWC,1,COLUMN())),1)),6)</f>
      </c>
      <c r="BY1278" s="830"/>
      <c r="BZ1278" s="830"/>
      <c r="CA1278" s="830"/>
      <c r="CB1278" s="830"/>
      <c r="CC1278" s="830">
        <f ca="1">ROUND(SUM(BY1121,BZ1121,CA1121,CB1121)-SUM(OFFSET(INDEX(MO_CFS_CFO,1,COLUMN()),ROW(INDEX(MO_CFS_CFO_BeforeWC,1,COLUMN()))-ROW(INDEX(MO_CFS_CFO,1,COLUMN())),0,ROW(INDEX(MO_CFS_CFO,1,COLUMN()))-ROW(INDEX(MO_CFS_CFO_BeforeWC,1,COLUMN())),1)),6)</f>
      </c>
      <c r="CD1278" s="830"/>
      <c r="CE1278" s="830"/>
      <c r="CF1278" s="830"/>
      <c r="CG1278" s="459"/>
    </row>
    <row r="1279" spans="1:85" x14ac:dyDescent="0.3">
      <c r="A1279" s="459" t="s">
        <v>234</v>
      </c>
      <c r="B1279" s="753"/>
      <c r="C1279" s="830"/>
      <c r="D1279" s="830"/>
      <c r="E1279" s="830"/>
      <c r="F1279" s="830"/>
      <c r="G1279" s="830"/>
      <c r="H1279" s="830"/>
      <c r="I1279" s="830"/>
      <c r="J1279" s="830"/>
      <c r="K1279" s="830">
        <f ca="1">ROUND(SUM(G1135,H1135,I1135,J1135)-SUM(OFFSET(INDEX(MO_CFS_CFI,1,COLUMN()),ROW(INDEX(MO_SubSection_CFS_CFI,1,COLUMN()))-ROW(INDEX(MO_CFS_CFI,1,COLUMN())),0,ROW(INDEX(MO_CFS_CFI,1,COLUMN()))-ROW(INDEX(MO_SubSection_CFS_CFI,1,COLUMN())),1)),6)</f>
      </c>
      <c r="L1279" s="830"/>
      <c r="M1279" s="830"/>
      <c r="N1279" s="830"/>
      <c r="O1279" s="830"/>
      <c r="P1279" s="830">
        <f ca="1">ROUND(SUM(L1135,M1135,N1135,O1135)-SUM(OFFSET(INDEX(MO_CFS_CFI,1,COLUMN()),ROW(INDEX(MO_SubSection_CFS_CFI,1,COLUMN()))-ROW(INDEX(MO_CFS_CFI,1,COLUMN())),0,ROW(INDEX(MO_CFS_CFI,1,COLUMN()))-ROW(INDEX(MO_SubSection_CFS_CFI,1,COLUMN())),1)),6)</f>
      </c>
      <c r="Q1279" s="830"/>
      <c r="R1279" s="830"/>
      <c r="S1279" s="830"/>
      <c r="T1279" s="830"/>
      <c r="U1279" s="830">
        <f ca="1">ROUND(SUM(Q1135,R1135,S1135,T1135)-SUM(OFFSET(INDEX(MO_CFS_CFI,1,COLUMN()),ROW(INDEX(MO_SubSection_CFS_CFI,1,COLUMN()))-ROW(INDEX(MO_CFS_CFI,1,COLUMN())),0,ROW(INDEX(MO_CFS_CFI,1,COLUMN()))-ROW(INDEX(MO_SubSection_CFS_CFI,1,COLUMN())),1)),6)</f>
      </c>
      <c r="V1279" s="830"/>
      <c r="W1279" s="830"/>
      <c r="X1279" s="830"/>
      <c r="Y1279" s="830"/>
      <c r="Z1279" s="830">
        <f ca="1">ROUND(SUM(V1135,W1135,X1135,Y1135)-SUM(OFFSET(INDEX(MO_CFS_CFI,1,COLUMN()),ROW(INDEX(MO_SubSection_CFS_CFI,1,COLUMN()))-ROW(INDEX(MO_CFS_CFI,1,COLUMN())),0,ROW(INDEX(MO_CFS_CFI,1,COLUMN()))-ROW(INDEX(MO_SubSection_CFS_CFI,1,COLUMN())),1)),6)</f>
      </c>
      <c r="AA1279" s="830"/>
      <c r="AB1279" s="830"/>
      <c r="AC1279" s="830"/>
      <c r="AD1279" s="830"/>
      <c r="AE1279" s="830">
        <f ca="1">ROUND(SUM(AA1135,AB1135,AC1135,AD1135)-SUM(OFFSET(INDEX(MO_CFS_CFI,1,COLUMN()),ROW(INDEX(MO_SubSection_CFS_CFI,1,COLUMN()))-ROW(INDEX(MO_CFS_CFI,1,COLUMN())),0,ROW(INDEX(MO_CFS_CFI,1,COLUMN()))-ROW(INDEX(MO_SubSection_CFS_CFI,1,COLUMN())),1)),6)</f>
      </c>
      <c r="AF1279" s="830"/>
      <c r="AG1279" s="830"/>
      <c r="AH1279" s="830"/>
      <c r="AI1279" s="830"/>
      <c r="AJ1279" s="830">
        <f ca="1">ROUND(SUM(AF1135,AG1135,AH1135,AI1135)-SUM(OFFSET(INDEX(MO_CFS_CFI,1,COLUMN()),ROW(INDEX(MO_SubSection_CFS_CFI,1,COLUMN()))-ROW(INDEX(MO_CFS_CFI,1,COLUMN())),0,ROW(INDEX(MO_CFS_CFI,1,COLUMN()))-ROW(INDEX(MO_SubSection_CFS_CFI,1,COLUMN())),1)),6)</f>
      </c>
      <c r="AK1279" s="830"/>
      <c r="AL1279" s="830"/>
      <c r="AM1279" s="830"/>
      <c r="AN1279" s="830"/>
      <c r="AO1279" s="830">
        <f ca="1">ROUND(SUM(AK1135,AL1135,AM1135,AN1135)-SUM(OFFSET(INDEX(MO_CFS_CFI,1,COLUMN()),ROW(INDEX(MO_SubSection_CFS_CFI,1,COLUMN()))-ROW(INDEX(MO_CFS_CFI,1,COLUMN())),0,ROW(INDEX(MO_CFS_CFI,1,COLUMN()))-ROW(INDEX(MO_SubSection_CFS_CFI,1,COLUMN())),1)),6)</f>
      </c>
      <c r="AP1279" s="830"/>
      <c r="AQ1279" s="830"/>
      <c r="AR1279" s="830"/>
      <c r="AS1279" s="830"/>
      <c r="AT1279" s="830">
        <f ca="1">ROUND(SUM(AP1135,AQ1135,AR1135,AS1135)-SUM(OFFSET(INDEX(MO_CFS_CFI,1,COLUMN()),ROW(INDEX(MO_SubSection_CFS_CFI,1,COLUMN()))-ROW(INDEX(MO_CFS_CFI,1,COLUMN())),0,ROW(INDEX(MO_CFS_CFI,1,COLUMN()))-ROW(INDEX(MO_SubSection_CFS_CFI,1,COLUMN())),1)),6)</f>
      </c>
      <c r="AU1279" s="830"/>
      <c r="AV1279" s="830"/>
      <c r="AW1279" s="830"/>
      <c r="AX1279" s="830"/>
      <c r="AY1279" s="830">
        <f ca="1">ROUND(SUM(AU1135,AV1135,AW1135,AX1135)-SUM(OFFSET(INDEX(MO_CFS_CFI,1,COLUMN()),ROW(INDEX(MO_SubSection_CFS_CFI,1,COLUMN()))-ROW(INDEX(MO_CFS_CFI,1,COLUMN())),0,ROW(INDEX(MO_CFS_CFI,1,COLUMN()))-ROW(INDEX(MO_SubSection_CFS_CFI,1,COLUMN())),1)),6)</f>
      </c>
      <c r="AZ1279" s="830"/>
      <c r="BA1279" s="830"/>
      <c r="BB1279" s="830"/>
      <c r="BC1279" s="830"/>
      <c r="BD1279" s="830">
        <f ca="1">ROUND(SUM(AZ1135,BA1135,BB1135,BC1135)-SUM(OFFSET(INDEX(MO_CFS_CFI,1,COLUMN()),ROW(INDEX(MO_SubSection_CFS_CFI,1,COLUMN()))-ROW(INDEX(MO_CFS_CFI,1,COLUMN())),0,ROW(INDEX(MO_CFS_CFI,1,COLUMN()))-ROW(INDEX(MO_SubSection_CFS_CFI,1,COLUMN())),1)),6)</f>
      </c>
      <c r="BE1279" s="830"/>
      <c r="BF1279" s="830"/>
      <c r="BG1279" s="830"/>
      <c r="BH1279" s="830"/>
      <c r="BI1279" s="830">
        <f ca="1">ROUND(SUM(BE1135,BF1135,BG1135,BH1135)-SUM(OFFSET(INDEX(MO_CFS_CFI,1,COLUMN()),ROW(INDEX(MO_SubSection_CFS_CFI,1,COLUMN()))-ROW(INDEX(MO_CFS_CFI,1,COLUMN())),0,ROW(INDEX(MO_CFS_CFI,1,COLUMN()))-ROW(INDEX(MO_SubSection_CFS_CFI,1,COLUMN())),1)),6)</f>
      </c>
      <c r="BJ1279" s="830"/>
      <c r="BK1279" s="830"/>
      <c r="BL1279" s="830"/>
      <c r="BM1279" s="830"/>
      <c r="BN1279" s="830">
        <f ca="1">ROUND(SUM(BJ1135,BK1135,BL1135,BM1135)-SUM(OFFSET(INDEX(MO_CFS_CFI,1,COLUMN()),ROW(INDEX(MO_SubSection_CFS_CFI,1,COLUMN()))-ROW(INDEX(MO_CFS_CFI,1,COLUMN())),0,ROW(INDEX(MO_CFS_CFI,1,COLUMN()))-ROW(INDEX(MO_SubSection_CFS_CFI,1,COLUMN())),1)),6)</f>
      </c>
      <c r="BO1279" s="830"/>
      <c r="BP1279" s="830"/>
      <c r="BQ1279" s="830"/>
      <c r="BR1279" s="830"/>
      <c r="BS1279" s="830">
        <f ca="1">ROUND(SUM(BO1135,BP1135,BQ1135,BR1135)-SUM(OFFSET(INDEX(MO_CFS_CFI,1,COLUMN()),ROW(INDEX(MO_SubSection_CFS_CFI,1,COLUMN()))-ROW(INDEX(MO_CFS_CFI,1,COLUMN())),0,ROW(INDEX(MO_CFS_CFI,1,COLUMN()))-ROW(INDEX(MO_SubSection_CFS_CFI,1,COLUMN())),1)),6)</f>
      </c>
      <c r="BT1279" s="831"/>
      <c r="BU1279" s="830"/>
      <c r="BV1279" s="830"/>
      <c r="BW1279" s="830"/>
      <c r="BX1279" s="830">
        <f ca="1">ROUND(SUM(BT1135,BU1135,BV1135,BW1135)-SUM(OFFSET(INDEX(MO_CFS_CFI,1,COLUMN()),ROW(INDEX(MO_SubSection_CFS_CFI,1,COLUMN()))-ROW(INDEX(MO_CFS_CFI,1,COLUMN())),0,ROW(INDEX(MO_CFS_CFI,1,COLUMN()))-ROW(INDEX(MO_SubSection_CFS_CFI,1,COLUMN())),1)),6)</f>
      </c>
      <c r="BY1279" s="830"/>
      <c r="BZ1279" s="830"/>
      <c r="CA1279" s="830"/>
      <c r="CB1279" s="830"/>
      <c r="CC1279" s="830">
        <f ca="1">ROUND(SUM(BY1135,BZ1135,CA1135,CB1135)-SUM(OFFSET(INDEX(MO_CFS_CFI,1,COLUMN()),ROW(INDEX(MO_SubSection_CFS_CFI,1,COLUMN()))-ROW(INDEX(MO_CFS_CFI,1,COLUMN())),0,ROW(INDEX(MO_CFS_CFI,1,COLUMN()))-ROW(INDEX(MO_SubSection_CFS_CFI,1,COLUMN())),1)),6)</f>
      </c>
      <c r="CD1279" s="830"/>
      <c r="CE1279" s="830"/>
      <c r="CF1279" s="830"/>
      <c r="CG1279" s="459"/>
    </row>
    <row r="1280" spans="1:85" x14ac:dyDescent="0.3">
      <c r="A1280" s="459" t="s">
        <v>235</v>
      </c>
      <c r="B1280" s="753"/>
      <c r="C1280" s="830"/>
      <c r="D1280" s="830"/>
      <c r="E1280" s="830"/>
      <c r="F1280" s="830"/>
      <c r="G1280" s="830"/>
      <c r="H1280" s="830"/>
      <c r="I1280" s="830"/>
      <c r="J1280" s="830"/>
      <c r="K1280" s="830">
        <f ca="1">ROUND(SUM(G1153,H1153,I1153,J1153)-SUM(OFFSET(INDEX(MO_CFS_CFF,1,COLUMN()),ROW(INDEX(MO_SubSection_CFS_CFF,1,COLUMN()))-ROW(INDEX(MO_CFS_CFF,1,COLUMN())),0,ROW(INDEX(MO_CFS_CFF,1,COLUMN()))-ROW(INDEX(MO_SubSection_CFS_CFF,1,COLUMN())),1)),6)</f>
      </c>
      <c r="L1280" s="830"/>
      <c r="M1280" s="830"/>
      <c r="N1280" s="830"/>
      <c r="O1280" s="830"/>
      <c r="P1280" s="830">
        <f ca="1">ROUND(SUM(L1153,M1153,N1153,O1153)-SUM(OFFSET(INDEX(MO_CFS_CFF,1,COLUMN()),ROW(INDEX(MO_SubSection_CFS_CFF,1,COLUMN()))-ROW(INDEX(MO_CFS_CFF,1,COLUMN())),0,ROW(INDEX(MO_CFS_CFF,1,COLUMN()))-ROW(INDEX(MO_SubSection_CFS_CFF,1,COLUMN())),1)),6)</f>
      </c>
      <c r="Q1280" s="830"/>
      <c r="R1280" s="830"/>
      <c r="S1280" s="830"/>
      <c r="T1280" s="830"/>
      <c r="U1280" s="830">
        <f ca="1">ROUND(SUM(Q1153,R1153,S1153,T1153)-SUM(OFFSET(INDEX(MO_CFS_CFF,1,COLUMN()),ROW(INDEX(MO_SubSection_CFS_CFF,1,COLUMN()))-ROW(INDEX(MO_CFS_CFF,1,COLUMN())),0,ROW(INDEX(MO_CFS_CFF,1,COLUMN()))-ROW(INDEX(MO_SubSection_CFS_CFF,1,COLUMN())),1)),6)</f>
      </c>
      <c r="V1280" s="830"/>
      <c r="W1280" s="830"/>
      <c r="X1280" s="830"/>
      <c r="Y1280" s="830"/>
      <c r="Z1280" s="830">
        <f ca="1">ROUND(SUM(V1153,W1153,X1153,Y1153)-SUM(OFFSET(INDEX(MO_CFS_CFF,1,COLUMN()),ROW(INDEX(MO_SubSection_CFS_CFF,1,COLUMN()))-ROW(INDEX(MO_CFS_CFF,1,COLUMN())),0,ROW(INDEX(MO_CFS_CFF,1,COLUMN()))-ROW(INDEX(MO_SubSection_CFS_CFF,1,COLUMN())),1)),6)</f>
      </c>
      <c r="AA1280" s="830"/>
      <c r="AB1280" s="830"/>
      <c r="AC1280" s="830"/>
      <c r="AD1280" s="830"/>
      <c r="AE1280" s="830">
        <f ca="1">ROUND(SUM(AA1153,AB1153,AC1153,AD1153)-SUM(OFFSET(INDEX(MO_CFS_CFF,1,COLUMN()),ROW(INDEX(MO_SubSection_CFS_CFF,1,COLUMN()))-ROW(INDEX(MO_CFS_CFF,1,COLUMN())),0,ROW(INDEX(MO_CFS_CFF,1,COLUMN()))-ROW(INDEX(MO_SubSection_CFS_CFF,1,COLUMN())),1)),6)</f>
      </c>
      <c r="AF1280" s="830"/>
      <c r="AG1280" s="830"/>
      <c r="AH1280" s="830"/>
      <c r="AI1280" s="830"/>
      <c r="AJ1280" s="830">
        <f ca="1">ROUND(SUM(AF1153,AG1153,AH1153,AI1153)-SUM(OFFSET(INDEX(MO_CFS_CFF,1,COLUMN()),ROW(INDEX(MO_SubSection_CFS_CFF,1,COLUMN()))-ROW(INDEX(MO_CFS_CFF,1,COLUMN())),0,ROW(INDEX(MO_CFS_CFF,1,COLUMN()))-ROW(INDEX(MO_SubSection_CFS_CFF,1,COLUMN())),1)),6)</f>
      </c>
      <c r="AK1280" s="830"/>
      <c r="AL1280" s="830"/>
      <c r="AM1280" s="830"/>
      <c r="AN1280" s="830"/>
      <c r="AO1280" s="830">
        <f ca="1">ROUND(SUM(AK1153,AL1153,AM1153,AN1153)-SUM(OFFSET(INDEX(MO_CFS_CFF,1,COLUMN()),ROW(INDEX(MO_SubSection_CFS_CFF,1,COLUMN()))-ROW(INDEX(MO_CFS_CFF,1,COLUMN())),0,ROW(INDEX(MO_CFS_CFF,1,COLUMN()))-ROW(INDEX(MO_SubSection_CFS_CFF,1,COLUMN())),1)),6)</f>
      </c>
      <c r="AP1280" s="830"/>
      <c r="AQ1280" s="830"/>
      <c r="AR1280" s="830"/>
      <c r="AS1280" s="830"/>
      <c r="AT1280" s="830">
        <f ca="1">ROUND(SUM(AP1153,AQ1153,AR1153,AS1153)-SUM(OFFSET(INDEX(MO_CFS_CFF,1,COLUMN()),ROW(INDEX(MO_SubSection_CFS_CFF,1,COLUMN()))-ROW(INDEX(MO_CFS_CFF,1,COLUMN())),0,ROW(INDEX(MO_CFS_CFF,1,COLUMN()))-ROW(INDEX(MO_SubSection_CFS_CFF,1,COLUMN())),1)),6)</f>
      </c>
      <c r="AU1280" s="830"/>
      <c r="AV1280" s="830"/>
      <c r="AW1280" s="830"/>
      <c r="AX1280" s="830"/>
      <c r="AY1280" s="830">
        <f ca="1">ROUND(SUM(AU1153,AV1153,AW1153,AX1153)-SUM(OFFSET(INDEX(MO_CFS_CFF,1,COLUMN()),ROW(INDEX(MO_SubSection_CFS_CFF,1,COLUMN()))-ROW(INDEX(MO_CFS_CFF,1,COLUMN())),0,ROW(INDEX(MO_CFS_CFF,1,COLUMN()))-ROW(INDEX(MO_SubSection_CFS_CFF,1,COLUMN())),1)),6)</f>
      </c>
      <c r="AZ1280" s="830"/>
      <c r="BA1280" s="830"/>
      <c r="BB1280" s="830"/>
      <c r="BC1280" s="830"/>
      <c r="BD1280" s="830">
        <f ca="1">ROUND(SUM(AZ1153,BA1153,BB1153,BC1153)-SUM(OFFSET(INDEX(MO_CFS_CFF,1,COLUMN()),ROW(INDEX(MO_SubSection_CFS_CFF,1,COLUMN()))-ROW(INDEX(MO_CFS_CFF,1,COLUMN())),0,ROW(INDEX(MO_CFS_CFF,1,COLUMN()))-ROW(INDEX(MO_SubSection_CFS_CFF,1,COLUMN())),1)),6)</f>
      </c>
      <c r="BE1280" s="830"/>
      <c r="BF1280" s="830"/>
      <c r="BG1280" s="830"/>
      <c r="BH1280" s="830"/>
      <c r="BI1280" s="830">
        <f ca="1">ROUND(SUM(BE1153,BF1153,BG1153,BH1153)-SUM(OFFSET(INDEX(MO_CFS_CFF,1,COLUMN()),ROW(INDEX(MO_SubSection_CFS_CFF,1,COLUMN()))-ROW(INDEX(MO_CFS_CFF,1,COLUMN())),0,ROW(INDEX(MO_CFS_CFF,1,COLUMN()))-ROW(INDEX(MO_SubSection_CFS_CFF,1,COLUMN())),1)),6)</f>
      </c>
      <c r="BJ1280" s="830"/>
      <c r="BK1280" s="830"/>
      <c r="BL1280" s="830"/>
      <c r="BM1280" s="830"/>
      <c r="BN1280" s="830">
        <f ca="1">ROUND(SUM(BJ1153,BK1153,BL1153,BM1153)-SUM(OFFSET(INDEX(MO_CFS_CFF,1,COLUMN()),ROW(INDEX(MO_SubSection_CFS_CFF,1,COLUMN()))-ROW(INDEX(MO_CFS_CFF,1,COLUMN())),0,ROW(INDEX(MO_CFS_CFF,1,COLUMN()))-ROW(INDEX(MO_SubSection_CFS_CFF,1,COLUMN())),1)),6)</f>
      </c>
      <c r="BO1280" s="830"/>
      <c r="BP1280" s="830"/>
      <c r="BQ1280" s="830"/>
      <c r="BR1280" s="830"/>
      <c r="BS1280" s="830">
        <f ca="1">ROUND(SUM(BO1153,BP1153,BQ1153,BR1153)-SUM(OFFSET(INDEX(MO_CFS_CFF,1,COLUMN()),ROW(INDEX(MO_SubSection_CFS_CFF,1,COLUMN()))-ROW(INDEX(MO_CFS_CFF,1,COLUMN())),0,ROW(INDEX(MO_CFS_CFF,1,COLUMN()))-ROW(INDEX(MO_SubSection_CFS_CFF,1,COLUMN())),1)),6)</f>
      </c>
      <c r="BT1280" s="831"/>
      <c r="BU1280" s="830"/>
      <c r="BV1280" s="830"/>
      <c r="BW1280" s="830"/>
      <c r="BX1280" s="830">
        <f ca="1">ROUND(SUM(BT1153,BU1153,BV1153,BW1153)-SUM(OFFSET(INDEX(MO_CFS_CFF,1,COLUMN()),ROW(INDEX(MO_SubSection_CFS_CFF,1,COLUMN()))-ROW(INDEX(MO_CFS_CFF,1,COLUMN())),0,ROW(INDEX(MO_CFS_CFF,1,COLUMN()))-ROW(INDEX(MO_SubSection_CFS_CFF,1,COLUMN())),1)),6)</f>
      </c>
      <c r="BY1280" s="830"/>
      <c r="BZ1280" s="830"/>
      <c r="CA1280" s="830"/>
      <c r="CB1280" s="830"/>
      <c r="CC1280" s="830">
        <f ca="1">ROUND(SUM(BY1153,BZ1153,CA1153,CB1153)-SUM(OFFSET(INDEX(MO_CFS_CFF,1,COLUMN()),ROW(INDEX(MO_SubSection_CFS_CFF,1,COLUMN()))-ROW(INDEX(MO_CFS_CFF,1,COLUMN())),0,ROW(INDEX(MO_CFS_CFF,1,COLUMN()))-ROW(INDEX(MO_SubSection_CFS_CFF,1,COLUMN())),1)),6)</f>
      </c>
      <c r="CD1280" s="830"/>
      <c r="CE1280" s="830"/>
      <c r="CF1280" s="830"/>
      <c r="CG1280" s="459"/>
    </row>
    <row r="1281" spans="1:85" x14ac:dyDescent="0.3">
      <c r="A1281" s="459" t="s">
        <v>236</v>
      </c>
      <c r="B1281" s="753"/>
      <c r="C1281" s="830"/>
      <c r="D1281" s="830"/>
      <c r="E1281" s="830"/>
      <c r="F1281" s="830"/>
      <c r="G1281" s="830"/>
      <c r="H1281" s="830"/>
      <c r="I1281" s="830"/>
      <c r="J1281" s="830"/>
      <c r="K1281" s="830">
        <f>ROUND(SUM(INDEX(MO_CFSum_Acquisition,0,COLUMN()),INDEX(MO_CFSum_Capex,0,COLUMN()),INDEX(MO_CFSum_Divestiture,0,COLUMN()),INDEX(MO_CFSum_Dividend,0,COLUMN()))-SUM(G728,H728,I728,J728,G729,H729,I729,J729,G730,H730,I730,J730)-SUM(G726,H726,I726,J726),6)</f>
      </c>
      <c r="L1281" s="830"/>
      <c r="M1281" s="830"/>
      <c r="N1281" s="830"/>
      <c r="O1281" s="830"/>
      <c r="P1281" s="830">
        <f>ROUND(SUM(INDEX(MO_CFSum_Acquisition,0,COLUMN()),INDEX(MO_CFSum_Capex,0,COLUMN()),INDEX(MO_CFSum_Divestiture,0,COLUMN()),INDEX(MO_CFSum_Dividend,0,COLUMN()))-SUM(L728,M728,N728,O728,L729,M729,N729,O729,L730,M730,N730,O730)-SUM(L726,M726,N726,O726),6)</f>
      </c>
      <c r="Q1281" s="830"/>
      <c r="R1281" s="830"/>
      <c r="S1281" s="830"/>
      <c r="T1281" s="830"/>
      <c r="U1281" s="830">
        <f>ROUND(SUM(INDEX(MO_CFSum_Acquisition,0,COLUMN()),INDEX(MO_CFSum_Capex,0,COLUMN()),INDEX(MO_CFSum_Divestiture,0,COLUMN()),INDEX(MO_CFSum_Dividend,0,COLUMN()))-SUM(Q728,R728,S728,T728,Q729,R729,S729,T729,Q730,R730,S730,T730)-SUM(Q726,R726,S726,T726),6)</f>
      </c>
      <c r="V1281" s="830"/>
      <c r="W1281" s="830"/>
      <c r="X1281" s="830"/>
      <c r="Y1281" s="830"/>
      <c r="Z1281" s="830">
        <f>ROUND(SUM(INDEX(MO_CFSum_Acquisition,0,COLUMN()),INDEX(MO_CFSum_Capex,0,COLUMN()),INDEX(MO_CFSum_Divestiture,0,COLUMN()),INDEX(MO_CFSum_Dividend,0,COLUMN()))-SUM(V728,W728,X728,Y728,V729,W729,X729,Y729,V730,W730,X730,Y730)-SUM(V726,W726,X726,Y726),6)</f>
      </c>
      <c r="AA1281" s="830"/>
      <c r="AB1281" s="830"/>
      <c r="AC1281" s="830"/>
      <c r="AD1281" s="830"/>
      <c r="AE1281" s="830">
        <f>ROUND(SUM(INDEX(MO_CFSum_Acquisition,0,COLUMN()),INDEX(MO_CFSum_Capex,0,COLUMN()),INDEX(MO_CFSum_Divestiture,0,COLUMN()),INDEX(MO_CFSum_Dividend,0,COLUMN()))-SUM(AA728,AB728,AC728,AD728,AA729,AB729,AC729,AD729,AA730,AB730,AC730,AD730)-SUM(AA726,AB726,AC726,AD726),6)</f>
      </c>
      <c r="AF1281" s="830"/>
      <c r="AG1281" s="830"/>
      <c r="AH1281" s="830"/>
      <c r="AI1281" s="830"/>
      <c r="AJ1281" s="830">
        <f>ROUND(SUM(INDEX(MO_CFSum_Acquisition,0,COLUMN()),INDEX(MO_CFSum_Capex,0,COLUMN()),INDEX(MO_CFSum_Divestiture,0,COLUMN()),INDEX(MO_CFSum_Dividend,0,COLUMN()))-SUM(AF728,AG728,AH728,AI728,AF729,AG729,AH729,AI729,AF730,AG730,AH730,AI730)-SUM(AF726,AG726,AH726,AI726),6)</f>
      </c>
      <c r="AK1281" s="830"/>
      <c r="AL1281" s="830"/>
      <c r="AM1281" s="830"/>
      <c r="AN1281" s="830"/>
      <c r="AO1281" s="830">
        <f>ROUND(SUM(INDEX(MO_CFSum_Acquisition,0,COLUMN()),INDEX(MO_CFSum_Capex,0,COLUMN()),INDEX(MO_CFSum_Divestiture,0,COLUMN()),INDEX(MO_CFSum_Dividend,0,COLUMN()))-SUM(AK728,AL728,AM728,AN728,AK729,AL729,AM729,AN729,AK730,AL730,AM730,AN730)-SUM(AK726,AL726,AM726,AN726),6)</f>
      </c>
      <c r="AP1281" s="830"/>
      <c r="AQ1281" s="830"/>
      <c r="AR1281" s="830"/>
      <c r="AS1281" s="830"/>
      <c r="AT1281" s="830">
        <f>ROUND(SUM(INDEX(MO_CFSum_Acquisition,0,COLUMN()),INDEX(MO_CFSum_Capex,0,COLUMN()),INDEX(MO_CFSum_Divestiture,0,COLUMN()),INDEX(MO_CFSum_Dividend,0,COLUMN()))-SUM(AP728,AQ728,AR728,AS728,AP729,AQ729,AR729,AS729,AP730,AQ730,AR730,AS730)-SUM(AP726,AQ726,AR726,AS726),6)</f>
      </c>
      <c r="AU1281" s="830"/>
      <c r="AV1281" s="830"/>
      <c r="AW1281" s="830"/>
      <c r="AX1281" s="830"/>
      <c r="AY1281" s="830">
        <f>ROUND(SUM(INDEX(MO_CFSum_Acquisition,0,COLUMN()),INDEX(MO_CFSum_Capex,0,COLUMN()),INDEX(MO_CFSum_Divestiture,0,COLUMN()),INDEX(MO_CFSum_Dividend,0,COLUMN()))-SUM(AU728,AV728,AW728,AX728,AU729,AV729,AW729,AX729,AU730,AV730,AW730,AX730)-SUM(AU726,AV726,AW726,AX726),6)</f>
      </c>
      <c r="AZ1281" s="830"/>
      <c r="BA1281" s="830"/>
      <c r="BB1281" s="830"/>
      <c r="BC1281" s="830"/>
      <c r="BD1281" s="830">
        <f>ROUND(SUM(INDEX(MO_CFSum_Acquisition,0,COLUMN()),INDEX(MO_CFSum_Capex,0,COLUMN()),INDEX(MO_CFSum_Divestiture,0,COLUMN()),INDEX(MO_CFSum_Dividend,0,COLUMN()))-SUM(AZ728,BA728,BB728,BC728,AZ729,BA729,BB729,BC729,AZ730,BA730,BB730,BC730)-SUM(AZ726,BA726,BB726,BC726),6)</f>
      </c>
      <c r="BE1281" s="830"/>
      <c r="BF1281" s="830"/>
      <c r="BG1281" s="830"/>
      <c r="BH1281" s="830"/>
      <c r="BI1281" s="830">
        <f>ROUND(SUM(INDEX(MO_CFSum_Acquisition,0,COLUMN()),INDEX(MO_CFSum_Capex,0,COLUMN()),INDEX(MO_CFSum_Divestiture,0,COLUMN()),INDEX(MO_CFSum_Dividend,0,COLUMN()))-SUM(BE728,BF728,BG728,BH728,BE729,BF729,BG729,BH729,BE730,BF730,BG730,BH730)-SUM(BE726,BF726,BG726,BH726),6)</f>
      </c>
      <c r="BJ1281" s="830"/>
      <c r="BK1281" s="830"/>
      <c r="BL1281" s="830"/>
      <c r="BM1281" s="830"/>
      <c r="BN1281" s="830">
        <f>ROUND(SUM(INDEX(MO_CFSum_Acquisition,0,COLUMN()),INDEX(MO_CFSum_Capex,0,COLUMN()),INDEX(MO_CFSum_Divestiture,0,COLUMN()),INDEX(MO_CFSum_Dividend,0,COLUMN()))-SUM(BJ728,BK728,BL728,BM728,BJ729,BK729,BL729,BM729,BJ730,BK730,BL730,BM730)-SUM(BJ726,BK726,BL726,BM726),6)</f>
      </c>
      <c r="BO1281" s="830"/>
      <c r="BP1281" s="830"/>
      <c r="BQ1281" s="830"/>
      <c r="BR1281" s="830"/>
      <c r="BS1281" s="830">
        <f>ROUND(SUM(INDEX(MO_CFSum_Acquisition,0,COLUMN()),INDEX(MO_CFSum_Capex,0,COLUMN()),INDEX(MO_CFSum_Divestiture,0,COLUMN()),INDEX(MO_CFSum_Dividend,0,COLUMN()))-SUM(BO728,BP728,BQ728,BR728,BO729,BP729,BQ729,BR729,BO730,BP730,BQ730,BR730)-SUM(BO726,BP726,BQ726,BR726),6)</f>
      </c>
      <c r="BT1281" s="831"/>
      <c r="BU1281" s="830"/>
      <c r="BV1281" s="830"/>
      <c r="BW1281" s="830"/>
      <c r="BX1281" s="830">
        <f>ROUND(SUM(INDEX(MO_CFSum_Acquisition,0,COLUMN()),INDEX(MO_CFSum_Capex,0,COLUMN()),INDEX(MO_CFSum_Divestiture,0,COLUMN()),INDEX(MO_CFSum_Dividend,0,COLUMN()))-SUM(BT728,BU728,BV728,BW728,BT729,BU729,BV729,BW729,BT730,BU730,BV730,BW730)-SUM(BT726,BU726,BV726,BW726),6)</f>
      </c>
      <c r="BY1281" s="830"/>
      <c r="BZ1281" s="830"/>
      <c r="CA1281" s="830"/>
      <c r="CB1281" s="830"/>
      <c r="CC1281" s="830">
        <f>ROUND(SUM(INDEX(MO_CFSum_Acquisition,0,COLUMN()),INDEX(MO_CFSum_Capex,0,COLUMN()),INDEX(MO_CFSum_Divestiture,0,COLUMN()),INDEX(MO_CFSum_Dividend,0,COLUMN()))-SUM(BY728,BZ728,CA728,CB728,BY729,BZ729,CA729,CB729,BY730,BZ730,CA730,CB730)-SUM(BY726,BZ726,CA726,CB726),6)</f>
      </c>
      <c r="CD1281" s="830"/>
      <c r="CE1281" s="830"/>
      <c r="CF1281" s="830"/>
      <c r="CG1281" s="459"/>
    </row>
    <row r="1282" spans="1:85" x14ac:dyDescent="0.3">
      <c r="A1282" s="757"/>
      <c r="B1282" s="753"/>
      <c r="C1282" s="753"/>
      <c r="D1282" s="753"/>
      <c r="E1282" s="753"/>
      <c r="F1282" s="753"/>
      <c r="G1282" s="753"/>
      <c r="H1282" s="753"/>
      <c r="I1282" s="753"/>
      <c r="J1282" s="753"/>
      <c r="K1282" s="753"/>
      <c r="L1282" s="753"/>
      <c r="M1282" s="753"/>
      <c r="N1282" s="753"/>
      <c r="O1282" s="753"/>
      <c r="P1282" s="753"/>
      <c r="Q1282" s="753"/>
      <c r="R1282" s="753"/>
      <c r="S1282" s="753"/>
      <c r="T1282" s="753"/>
      <c r="U1282" s="753"/>
      <c r="V1282" s="753"/>
      <c r="W1282" s="757"/>
      <c r="X1282" s="753"/>
      <c r="Y1282" s="757"/>
      <c r="Z1282" s="757"/>
      <c r="AA1282" s="757"/>
      <c r="AB1282" s="757"/>
      <c r="AC1282" s="753"/>
      <c r="AD1282" s="757"/>
      <c r="AE1282" s="757"/>
      <c r="AF1282" s="757"/>
      <c r="AG1282" s="757"/>
      <c r="AH1282" s="753"/>
      <c r="AI1282" s="757"/>
      <c r="AJ1282" s="757"/>
      <c r="AK1282" s="757"/>
      <c r="AL1282" s="757"/>
      <c r="AM1282" s="753"/>
      <c r="AN1282" s="757"/>
      <c r="AO1282" s="757"/>
      <c r="AP1282" s="757"/>
      <c r="AQ1282" s="757"/>
      <c r="AR1282" s="753"/>
      <c r="AS1282" s="757"/>
      <c r="AT1282" s="757"/>
      <c r="AU1282" s="757"/>
      <c r="AV1282" s="757"/>
      <c r="AW1282" s="753"/>
      <c r="AX1282" s="757"/>
      <c r="AY1282" s="757"/>
      <c r="AZ1282" s="757"/>
      <c r="BA1282" s="757"/>
      <c r="BB1282" s="753"/>
      <c r="BC1282" s="757"/>
      <c r="BD1282" s="757"/>
      <c r="BE1282" s="757"/>
      <c r="BF1282" s="757"/>
      <c r="BG1282" s="753"/>
      <c r="BH1282" s="757"/>
      <c r="BI1282" s="757"/>
      <c r="BJ1282" s="757"/>
      <c r="BK1282" s="757"/>
      <c r="BL1282" s="753"/>
      <c r="BM1282" s="757"/>
      <c r="BN1282" s="757"/>
      <c r="BO1282" s="757"/>
      <c r="BP1282" s="757"/>
      <c r="BQ1282" s="753"/>
      <c r="BR1282" s="757"/>
      <c r="BS1282" s="757"/>
      <c r="BT1282" s="758"/>
      <c r="BU1282" s="757"/>
      <c r="BV1282" s="757"/>
      <c r="BW1282" s="757"/>
      <c r="BX1282" s="757"/>
      <c r="BY1282" s="757"/>
      <c r="BZ1282" s="757"/>
      <c r="CA1282" s="757"/>
      <c r="CB1282" s="757"/>
      <c r="CC1282" s="757"/>
      <c r="CD1282" s="757"/>
      <c r="CE1282" s="757"/>
      <c r="CF1282" s="757"/>
      <c r="CG1282" s="459"/>
    </row>
    <row r="1283" spans="1:85" x14ac:dyDescent="0.3">
      <c r="A1283" s="765" t="s">
        <v>237</v>
      </c>
      <c r="B1283" s="765"/>
      <c r="C1283" s="765"/>
      <c r="D1283" s="765"/>
      <c r="E1283" s="765"/>
      <c r="F1283" s="765"/>
      <c r="G1283" s="765"/>
      <c r="H1283" s="765"/>
      <c r="I1283" s="765"/>
      <c r="J1283" s="765"/>
      <c r="K1283" s="765"/>
      <c r="L1283" s="765"/>
      <c r="M1283" s="765"/>
      <c r="N1283" s="765"/>
      <c r="O1283" s="765"/>
      <c r="P1283" s="765"/>
      <c r="Q1283" s="765"/>
      <c r="R1283" s="765"/>
      <c r="S1283" s="765"/>
      <c r="T1283" s="765"/>
      <c r="U1283" s="765"/>
      <c r="V1283" s="765"/>
      <c r="W1283" s="765"/>
      <c r="X1283" s="765"/>
      <c r="Y1283" s="765"/>
      <c r="Z1283" s="765"/>
      <c r="AA1283" s="765"/>
      <c r="AB1283" s="765"/>
      <c r="AC1283" s="765"/>
      <c r="AD1283" s="765"/>
      <c r="AE1283" s="765"/>
      <c r="AF1283" s="765"/>
      <c r="AG1283" s="765"/>
      <c r="AH1283" s="765"/>
      <c r="AI1283" s="765"/>
      <c r="AJ1283" s="765"/>
      <c r="AK1283" s="765"/>
      <c r="AL1283" s="765"/>
      <c r="AM1283" s="765"/>
      <c r="AN1283" s="765"/>
      <c r="AO1283" s="765"/>
      <c r="AP1283" s="765"/>
      <c r="AQ1283" s="765"/>
      <c r="AR1283" s="765"/>
      <c r="AS1283" s="765"/>
      <c r="AT1283" s="765"/>
      <c r="AU1283" s="765"/>
      <c r="AV1283" s="765"/>
      <c r="AW1283" s="765"/>
      <c r="AX1283" s="765"/>
      <c r="AY1283" s="765"/>
      <c r="AZ1283" s="765"/>
      <c r="BA1283" s="765"/>
      <c r="BB1283" s="765"/>
      <c r="BC1283" s="765"/>
      <c r="BD1283" s="765"/>
      <c r="BE1283" s="765"/>
      <c r="BF1283" s="765"/>
      <c r="BG1283" s="765"/>
      <c r="BH1283" s="765"/>
      <c r="BI1283" s="765"/>
      <c r="BJ1283" s="765"/>
      <c r="BK1283" s="765"/>
      <c r="BL1283" s="765"/>
      <c r="BM1283" s="765"/>
      <c r="BN1283" s="765"/>
      <c r="BO1283" s="765"/>
      <c r="BP1283" s="765"/>
      <c r="BQ1283" s="765"/>
      <c r="BR1283" s="765"/>
      <c r="BS1283" s="765"/>
      <c r="BT1283" s="766"/>
      <c r="BU1283" s="765"/>
      <c r="BV1283" s="765"/>
      <c r="BW1283" s="765"/>
      <c r="BX1283" s="765"/>
      <c r="BY1283" s="765"/>
      <c r="BZ1283" s="765"/>
      <c r="CA1283" s="765"/>
      <c r="CB1283" s="765"/>
      <c r="CC1283" s="765"/>
      <c r="CD1283" s="765"/>
      <c r="CE1283" s="765"/>
      <c r="CF1283" s="765"/>
      <c r="CG1283" s="183"/>
    </row>
    <row r="1284" spans="1:85" x14ac:dyDescent="0.3">
      <c r="A1284" s="284"/>
      <c r="B1284" s="757"/>
      <c r="C1284" s="640"/>
      <c r="D1284" s="640"/>
      <c r="E1284" s="757"/>
      <c r="F1284" s="757"/>
      <c r="G1284" s="757"/>
      <c r="H1284" s="757"/>
      <c r="I1284" s="757"/>
      <c r="J1284" s="757"/>
      <c r="K1284" s="757"/>
      <c r="L1284" s="757"/>
      <c r="M1284" s="757"/>
      <c r="N1284" s="757"/>
      <c r="O1284" s="757"/>
      <c r="P1284" s="757"/>
      <c r="Q1284" s="757"/>
      <c r="R1284" s="757"/>
      <c r="S1284" s="757"/>
      <c r="T1284" s="757"/>
      <c r="U1284" s="757"/>
      <c r="V1284" s="757"/>
      <c r="W1284" s="757"/>
      <c r="X1284" s="757"/>
      <c r="Y1284" s="757"/>
      <c r="Z1284" s="757"/>
      <c r="AA1284" s="757"/>
      <c r="AB1284" s="757"/>
      <c r="AC1284" s="757"/>
      <c r="AD1284" s="757"/>
      <c r="AE1284" s="757"/>
      <c r="AF1284" s="757"/>
      <c r="AG1284" s="757"/>
      <c r="AH1284" s="757"/>
      <c r="AI1284" s="757"/>
      <c r="AJ1284" s="757"/>
      <c r="AK1284" s="757"/>
      <c r="AL1284" s="757"/>
      <c r="AM1284" s="757"/>
      <c r="AN1284" s="757"/>
      <c r="AO1284" s="757"/>
      <c r="AP1284" s="757"/>
      <c r="AQ1284" s="757"/>
      <c r="AR1284" s="757"/>
      <c r="AS1284" s="757"/>
      <c r="AT1284" s="757"/>
      <c r="AU1284" s="757"/>
      <c r="AV1284" s="757"/>
      <c r="AW1284" s="757"/>
      <c r="AX1284" s="757"/>
      <c r="AY1284" s="757"/>
      <c r="AZ1284" s="757"/>
      <c r="BA1284" s="757"/>
      <c r="BB1284" s="757"/>
      <c r="BC1284" s="757"/>
      <c r="BD1284" s="757"/>
      <c r="BE1284" s="757"/>
      <c r="BF1284" s="757"/>
      <c r="BG1284" s="757"/>
      <c r="BH1284" s="757"/>
      <c r="BI1284" s="757"/>
      <c r="BJ1284" s="757"/>
      <c r="BK1284" s="757"/>
      <c r="BL1284" s="757"/>
      <c r="BM1284" s="757"/>
      <c r="BN1284" s="757"/>
      <c r="BO1284" s="757"/>
      <c r="BP1284" s="757"/>
      <c r="BQ1284" s="757"/>
      <c r="BR1284" s="757"/>
      <c r="BS1284" s="757"/>
      <c r="BT1284" s="758"/>
      <c r="BU1284" s="757"/>
      <c r="BV1284" s="757"/>
      <c r="BW1284" s="757"/>
      <c r="BX1284" s="757"/>
      <c r="BY1284" s="757"/>
      <c r="BZ1284" s="757"/>
      <c r="CA1284" s="757"/>
      <c r="CB1284" s="757"/>
      <c r="CC1284" s="757"/>
      <c r="CD1284" s="757"/>
      <c r="CE1284" s="757"/>
      <c r="CF1284" s="757"/>
      <c r="CG1284" s="459"/>
    </row>
    <row r="1285" spans="1:85" x14ac:dyDescent="0.3">
      <c r="A1285" s="169" t="s">
        <v>238</v>
      </c>
      <c r="B1285" s="285"/>
      <c r="C1285" s="641"/>
      <c r="D1285" s="641"/>
      <c r="E1285" s="200"/>
      <c r="F1285" s="200"/>
      <c r="G1285" s="200"/>
      <c r="H1285" s="200"/>
      <c r="I1285" s="200"/>
      <c r="J1285" s="200"/>
      <c r="K1285" s="200"/>
      <c r="L1285" s="200"/>
      <c r="M1285" s="200"/>
      <c r="N1285" s="200"/>
      <c r="O1285" s="200"/>
      <c r="P1285" s="200"/>
      <c r="Q1285" s="200"/>
      <c r="R1285" s="200"/>
      <c r="S1285" s="200"/>
      <c r="T1285" s="200"/>
      <c r="U1285" s="200"/>
      <c r="V1285" s="200"/>
      <c r="W1285" s="200"/>
      <c r="X1285" s="200"/>
      <c r="Y1285" s="200"/>
      <c r="Z1285" s="200"/>
      <c r="AA1285" s="200"/>
      <c r="AB1285" s="200"/>
      <c r="AC1285" s="200"/>
      <c r="AD1285" s="200"/>
      <c r="AE1285" s="200"/>
      <c r="AF1285" s="200"/>
      <c r="AG1285" s="200"/>
      <c r="AH1285" s="200"/>
      <c r="AI1285" s="200"/>
      <c r="AJ1285" s="200"/>
      <c r="AK1285" s="200"/>
      <c r="AL1285" s="200"/>
      <c r="AM1285" s="200"/>
      <c r="AN1285" s="200"/>
      <c r="AO1285" s="200"/>
      <c r="AP1285" s="200"/>
      <c r="AQ1285" s="200"/>
      <c r="AR1285" s="200"/>
      <c r="AS1285" s="200"/>
      <c r="AT1285" s="200"/>
      <c r="AU1285" s="200"/>
      <c r="AV1285" s="200"/>
      <c r="AW1285" s="200"/>
      <c r="AX1285" s="200"/>
      <c r="AY1285" s="200"/>
      <c r="AZ1285" s="200"/>
      <c r="BA1285" s="200"/>
      <c r="BB1285" s="200"/>
      <c r="BC1285" s="200"/>
      <c r="BD1285" s="200"/>
      <c r="BE1285" s="200"/>
      <c r="BF1285" s="200"/>
      <c r="BG1285" s="200"/>
      <c r="BH1285" s="200"/>
      <c r="BI1285" s="200"/>
      <c r="BJ1285" s="200"/>
      <c r="BK1285" s="200"/>
      <c r="BL1285" s="200"/>
      <c r="BM1285" s="200"/>
      <c r="BN1285" s="200"/>
      <c r="BO1285" s="200"/>
      <c r="BP1285" s="200"/>
      <c r="BQ1285" s="200"/>
      <c r="BR1285" s="200"/>
      <c r="BS1285" s="200"/>
      <c r="BT1285" s="295"/>
      <c r="BU1285" s="200"/>
      <c r="BV1285" s="200"/>
      <c r="BW1285" s="200"/>
      <c r="BX1285" s="200"/>
      <c r="BY1285" s="200"/>
      <c r="BZ1285" s="200"/>
      <c r="CA1285" s="200"/>
      <c r="CB1285" s="200"/>
      <c r="CC1285" s="200"/>
      <c r="CD1285" s="200"/>
      <c r="CE1285" s="200"/>
      <c r="CF1285" s="200"/>
      <c r="CG1285" s="24"/>
    </row>
    <row r="1286" spans="1:85" x14ac:dyDescent="0.3">
      <c r="A1286" s="1148" t="s">
        <v>710</v>
      </c>
      <c r="B1286" s="286"/>
      <c r="C1286" s="642"/>
      <c r="D1286" s="642"/>
      <c r="E1286" s="204"/>
      <c r="F1286" s="204"/>
      <c r="G1286" s="204"/>
      <c r="H1286" s="204"/>
      <c r="I1286" s="204"/>
      <c r="J1286" s="204"/>
      <c r="K1286" s="204"/>
      <c r="L1286" s="204"/>
      <c r="M1286" s="204"/>
      <c r="N1286" s="204"/>
      <c r="O1286" s="204"/>
      <c r="P1286" s="204"/>
      <c r="Q1286" s="204"/>
      <c r="R1286" s="204"/>
      <c r="S1286" s="204"/>
      <c r="T1286" s="204"/>
      <c r="U1286" s="204"/>
      <c r="V1286" s="204"/>
      <c r="W1286" s="204"/>
      <c r="X1286" s="204"/>
      <c r="Y1286" s="204"/>
      <c r="Z1286" s="204"/>
      <c r="AA1286" s="204"/>
      <c r="AB1286" s="204"/>
      <c r="AC1286" s="204"/>
      <c r="AD1286" s="204"/>
      <c r="AE1286" s="204"/>
      <c r="AF1286" s="204"/>
      <c r="AG1286" s="204"/>
      <c r="AH1286" s="204"/>
      <c r="AI1286" s="204"/>
      <c r="AJ1286" s="204"/>
      <c r="AK1286" s="204"/>
      <c r="AL1286" s="204"/>
      <c r="AM1286" s="204"/>
      <c r="AN1286" s="204"/>
      <c r="AO1286" s="204"/>
      <c r="AP1286" s="204"/>
      <c r="AQ1286" s="204"/>
      <c r="AR1286" s="204"/>
      <c r="AS1286" s="204"/>
      <c r="AT1286" s="204"/>
      <c r="AU1286" s="204"/>
      <c r="AV1286" s="204"/>
      <c r="AW1286" s="204"/>
      <c r="AX1286" s="204"/>
      <c r="AY1286" s="204"/>
      <c r="AZ1286" s="204"/>
      <c r="BA1286" s="204"/>
      <c r="BB1286" s="204"/>
      <c r="BC1286" s="204"/>
      <c r="BD1286" s="204"/>
      <c r="BE1286" s="204"/>
      <c r="BF1286" s="204"/>
      <c r="BG1286" s="204"/>
      <c r="BH1286" s="204"/>
      <c r="BI1286" s="204"/>
      <c r="BJ1286" s="204"/>
      <c r="BK1286" s="204"/>
      <c r="BL1286" s="204"/>
      <c r="BM1286" s="204"/>
      <c r="BN1286" s="204"/>
      <c r="BO1286" s="204"/>
      <c r="BP1286" s="204"/>
      <c r="BQ1286" s="204"/>
      <c r="BR1286" s="204"/>
      <c r="BS1286" s="204"/>
      <c r="BT1286" s="294"/>
      <c r="BU1286" s="204"/>
      <c r="BV1286" s="204"/>
      <c r="BW1286" s="204"/>
      <c r="BX1286" s="204"/>
      <c r="BY1286" s="204"/>
      <c r="BZ1286" s="204"/>
      <c r="CA1286" s="204"/>
      <c r="CB1286" s="204"/>
      <c r="CC1286" s="204"/>
      <c r="CD1286" s="204"/>
      <c r="CE1286" s="204"/>
      <c r="CF1286" s="204"/>
      <c r="CG1286" s="24"/>
    </row>
    <row r="1287" spans="1:85" x14ac:dyDescent="0.3">
      <c r="A1287" s="170" t="s">
        <v>239</v>
      </c>
      <c r="B1287" s="286"/>
      <c r="C1287" s="642"/>
      <c r="D1287" s="642"/>
      <c r="E1287" s="204"/>
      <c r="F1287" s="204"/>
      <c r="G1287" s="204"/>
      <c r="H1287" s="204"/>
      <c r="I1287" s="204"/>
      <c r="J1287" s="204"/>
      <c r="K1287" s="204"/>
      <c r="L1287" s="204"/>
      <c r="M1287" s="204"/>
      <c r="N1287" s="204"/>
      <c r="O1287" s="204"/>
      <c r="P1287" s="204"/>
      <c r="Q1287" s="204"/>
      <c r="R1287" s="204"/>
      <c r="S1287" s="204"/>
      <c r="T1287" s="204"/>
      <c r="U1287" s="204"/>
      <c r="V1287" s="204"/>
      <c r="W1287" s="204"/>
      <c r="X1287" s="204"/>
      <c r="Y1287" s="204"/>
      <c r="Z1287" s="204"/>
      <c r="AA1287" s="204"/>
      <c r="AB1287" s="204"/>
      <c r="AC1287" s="204"/>
      <c r="AD1287" s="204"/>
      <c r="AE1287" s="204"/>
      <c r="AF1287" s="204"/>
      <c r="AG1287" s="204"/>
      <c r="AH1287" s="204"/>
      <c r="AI1287" s="204"/>
      <c r="AJ1287" s="204"/>
      <c r="AK1287" s="204"/>
      <c r="AL1287" s="204"/>
      <c r="AM1287" s="204"/>
      <c r="AN1287" s="204"/>
      <c r="AO1287" s="204"/>
      <c r="AP1287" s="204"/>
      <c r="AQ1287" s="204"/>
      <c r="AR1287" s="204"/>
      <c r="AS1287" s="204"/>
      <c r="AT1287" s="204"/>
      <c r="AU1287" s="204"/>
      <c r="AV1287" s="204"/>
      <c r="AW1287" s="204"/>
      <c r="AX1287" s="204"/>
      <c r="AY1287" s="204"/>
      <c r="AZ1287" s="204"/>
      <c r="BA1287" s="204"/>
      <c r="BB1287" s="204"/>
      <c r="BC1287" s="204"/>
      <c r="BD1287" s="204"/>
      <c r="BE1287" s="204"/>
      <c r="BF1287" s="204"/>
      <c r="BG1287" s="204"/>
      <c r="BH1287" s="204"/>
      <c r="BI1287" s="204"/>
      <c r="BJ1287" s="204"/>
      <c r="BK1287" s="204"/>
      <c r="BL1287" s="204"/>
      <c r="BM1287" s="204"/>
      <c r="BN1287" s="204"/>
      <c r="BO1287" s="204"/>
      <c r="BP1287" s="204"/>
      <c r="BQ1287" s="204"/>
      <c r="BR1287" s="204"/>
      <c r="BS1287" s="204"/>
      <c r="BT1287" s="294"/>
      <c r="BU1287" s="204"/>
      <c r="BV1287" s="204"/>
      <c r="BW1287" s="204"/>
      <c r="BX1287" s="204"/>
      <c r="BY1287" s="204"/>
      <c r="BZ1287" s="204"/>
      <c r="CA1287" s="204"/>
      <c r="CB1287" s="204"/>
      <c r="CC1287" s="204"/>
      <c r="CD1287" s="204"/>
      <c r="CE1287" s="204"/>
      <c r="CF1287" s="204"/>
      <c r="CG1287" s="131"/>
    </row>
    <row r="1288" spans="1:85" x14ac:dyDescent="0.3">
      <c r="A1288" s="171" t="s">
        <v>240</v>
      </c>
      <c r="B1288" s="286"/>
      <c r="C1288" s="642"/>
      <c r="D1288" s="642"/>
      <c r="E1288" s="204"/>
      <c r="F1288" s="204"/>
      <c r="G1288" s="204"/>
      <c r="H1288" s="204"/>
      <c r="I1288" s="204"/>
      <c r="J1288" s="204"/>
      <c r="K1288" s="204"/>
      <c r="L1288" s="204"/>
      <c r="M1288" s="204"/>
      <c r="N1288" s="204"/>
      <c r="O1288" s="204"/>
      <c r="P1288" s="204"/>
      <c r="Q1288" s="204"/>
      <c r="R1288" s="204"/>
      <c r="S1288" s="204"/>
      <c r="T1288" s="204"/>
      <c r="U1288" s="204"/>
      <c r="V1288" s="204"/>
      <c r="W1288" s="204"/>
      <c r="X1288" s="204"/>
      <c r="Y1288" s="204"/>
      <c r="Z1288" s="204"/>
      <c r="AA1288" s="204"/>
      <c r="AB1288" s="204"/>
      <c r="AC1288" s="204"/>
      <c r="AD1288" s="204"/>
      <c r="AE1288" s="204"/>
      <c r="AF1288" s="204"/>
      <c r="AG1288" s="204"/>
      <c r="AH1288" s="204"/>
      <c r="AI1288" s="204"/>
      <c r="AJ1288" s="204"/>
      <c r="AK1288" s="204"/>
      <c r="AL1288" s="204"/>
      <c r="AM1288" s="204"/>
      <c r="AN1288" s="204"/>
      <c r="AO1288" s="204"/>
      <c r="AP1288" s="204"/>
      <c r="AQ1288" s="204"/>
      <c r="AR1288" s="204"/>
      <c r="AS1288" s="204"/>
      <c r="AT1288" s="204"/>
      <c r="AU1288" s="204"/>
      <c r="AV1288" s="204"/>
      <c r="AW1288" s="204"/>
      <c r="AX1288" s="204"/>
      <c r="AY1288" s="204"/>
      <c r="AZ1288" s="204"/>
      <c r="BA1288" s="204"/>
      <c r="BB1288" s="204"/>
      <c r="BC1288" s="204"/>
      <c r="BD1288" s="204"/>
      <c r="BE1288" s="204"/>
      <c r="BF1288" s="204"/>
      <c r="BG1288" s="204"/>
      <c r="BH1288" s="204"/>
      <c r="BI1288" s="204"/>
      <c r="BJ1288" s="204"/>
      <c r="BK1288" s="204"/>
      <c r="BL1288" s="204"/>
      <c r="BM1288" s="204"/>
      <c r="BN1288" s="204"/>
      <c r="BO1288" s="204"/>
      <c r="BP1288" s="204"/>
      <c r="BQ1288" s="204"/>
      <c r="BR1288" s="204"/>
      <c r="BS1288" s="204"/>
      <c r="BT1288" s="294"/>
      <c r="BU1288" s="204"/>
      <c r="BV1288" s="204"/>
      <c r="BW1288" s="204"/>
      <c r="BX1288" s="204"/>
      <c r="BY1288" s="204"/>
      <c r="BZ1288" s="204"/>
      <c r="CA1288" s="204"/>
      <c r="CB1288" s="204"/>
      <c r="CC1288" s="204"/>
      <c r="CD1288" s="204"/>
      <c r="CE1288" s="204"/>
      <c r="CF1288" s="204"/>
      <c r="CG1288" s="131"/>
    </row>
    <row r="1289" spans="1:85" x14ac:dyDescent="0.3">
      <c r="A1289" s="172" t="s">
        <v>241</v>
      </c>
      <c r="B1289" s="286"/>
      <c r="C1289" s="642"/>
      <c r="D1289" s="642"/>
      <c r="E1289" s="204"/>
      <c r="F1289" s="204"/>
      <c r="G1289" s="204"/>
      <c r="H1289" s="204"/>
      <c r="I1289" s="204"/>
      <c r="J1289" s="204"/>
      <c r="K1289" s="204"/>
      <c r="L1289" s="204"/>
      <c r="M1289" s="204"/>
      <c r="N1289" s="204"/>
      <c r="O1289" s="204"/>
      <c r="P1289" s="204"/>
      <c r="Q1289" s="204"/>
      <c r="R1289" s="204"/>
      <c r="S1289" s="204"/>
      <c r="T1289" s="204"/>
      <c r="U1289" s="204"/>
      <c r="V1289" s="204"/>
      <c r="W1289" s="204"/>
      <c r="X1289" s="204"/>
      <c r="Y1289" s="204"/>
      <c r="Z1289" s="204"/>
      <c r="AA1289" s="204"/>
      <c r="AB1289" s="204"/>
      <c r="AC1289" s="204"/>
      <c r="AD1289" s="204"/>
      <c r="AE1289" s="204"/>
      <c r="AF1289" s="204"/>
      <c r="AG1289" s="204"/>
      <c r="AH1289" s="204"/>
      <c r="AI1289" s="204"/>
      <c r="AJ1289" s="204"/>
      <c r="AK1289" s="204"/>
      <c r="AL1289" s="204"/>
      <c r="AM1289" s="204"/>
      <c r="AN1289" s="204"/>
      <c r="AO1289" s="204"/>
      <c r="AP1289" s="204"/>
      <c r="AQ1289" s="204"/>
      <c r="AR1289" s="204"/>
      <c r="AS1289" s="204"/>
      <c r="AT1289" s="204"/>
      <c r="AU1289" s="204"/>
      <c r="AV1289" s="204"/>
      <c r="AW1289" s="204"/>
      <c r="AX1289" s="204"/>
      <c r="AY1289" s="204"/>
      <c r="AZ1289" s="204"/>
      <c r="BA1289" s="204"/>
      <c r="BB1289" s="204"/>
      <c r="BC1289" s="204"/>
      <c r="BD1289" s="204"/>
      <c r="BE1289" s="204"/>
      <c r="BF1289" s="204"/>
      <c r="BG1289" s="204"/>
      <c r="BH1289" s="204"/>
      <c r="BI1289" s="204"/>
      <c r="BJ1289" s="204"/>
      <c r="BK1289" s="204"/>
      <c r="BL1289" s="204"/>
      <c r="BM1289" s="204"/>
      <c r="BN1289" s="204"/>
      <c r="BO1289" s="204"/>
      <c r="BP1289" s="204"/>
      <c r="BQ1289" s="204"/>
      <c r="BR1289" s="204"/>
      <c r="BS1289" s="204"/>
      <c r="BT1289" s="294"/>
      <c r="BU1289" s="204"/>
      <c r="BV1289" s="204"/>
      <c r="BW1289" s="204"/>
      <c r="BX1289" s="204"/>
      <c r="BY1289" s="204"/>
      <c r="BZ1289" s="204"/>
      <c r="CA1289" s="204"/>
      <c r="CB1289" s="204"/>
      <c r="CC1289" s="204"/>
      <c r="CD1289" s="204"/>
      <c r="CE1289" s="204"/>
      <c r="CF1289" s="204"/>
      <c r="CG1289" s="131"/>
    </row>
    <row r="1290" spans="1:85" x14ac:dyDescent="0.3">
      <c r="A1290" s="221" t="s">
        <v>242</v>
      </c>
      <c r="B1290" s="286"/>
      <c r="C1290" s="642"/>
      <c r="D1290" s="642"/>
      <c r="E1290" s="204"/>
      <c r="F1290" s="204"/>
      <c r="G1290" s="204"/>
      <c r="H1290" s="204"/>
      <c r="I1290" s="204"/>
      <c r="J1290" s="204"/>
      <c r="K1290" s="204"/>
      <c r="L1290" s="204"/>
      <c r="M1290" s="204"/>
      <c r="N1290" s="204"/>
      <c r="O1290" s="204"/>
      <c r="P1290" s="204"/>
      <c r="Q1290" s="204"/>
      <c r="R1290" s="204"/>
      <c r="S1290" s="204"/>
      <c r="T1290" s="204"/>
      <c r="U1290" s="204"/>
      <c r="V1290" s="204"/>
      <c r="W1290" s="204"/>
      <c r="X1290" s="204"/>
      <c r="Y1290" s="204"/>
      <c r="Z1290" s="204"/>
      <c r="AA1290" s="204"/>
      <c r="AB1290" s="204"/>
      <c r="AC1290" s="204"/>
      <c r="AD1290" s="204"/>
      <c r="AE1290" s="204"/>
      <c r="AF1290" s="204"/>
      <c r="AG1290" s="204"/>
      <c r="AH1290" s="204"/>
      <c r="AI1290" s="204"/>
      <c r="AJ1290" s="204"/>
      <c r="AK1290" s="204"/>
      <c r="AL1290" s="204"/>
      <c r="AM1290" s="204"/>
      <c r="AN1290" s="204"/>
      <c r="AO1290" s="204"/>
      <c r="AP1290" s="204"/>
      <c r="AQ1290" s="204"/>
      <c r="AR1290" s="204"/>
      <c r="AS1290" s="204"/>
      <c r="AT1290" s="204"/>
      <c r="AU1290" s="204"/>
      <c r="AV1290" s="204"/>
      <c r="AW1290" s="204"/>
      <c r="AX1290" s="204"/>
      <c r="AY1290" s="204"/>
      <c r="AZ1290" s="204"/>
      <c r="BA1290" s="204"/>
      <c r="BB1290" s="204"/>
      <c r="BC1290" s="204"/>
      <c r="BD1290" s="204"/>
      <c r="BE1290" s="204"/>
      <c r="BF1290" s="204"/>
      <c r="BG1290" s="204"/>
      <c r="BH1290" s="204"/>
      <c r="BI1290" s="204"/>
      <c r="BJ1290" s="204"/>
      <c r="BK1290" s="204"/>
      <c r="BL1290" s="204"/>
      <c r="BM1290" s="204"/>
      <c r="BN1290" s="204"/>
      <c r="BO1290" s="204"/>
      <c r="BP1290" s="204"/>
      <c r="BQ1290" s="204"/>
      <c r="BR1290" s="204"/>
      <c r="BS1290" s="204"/>
      <c r="BT1290" s="294"/>
      <c r="BU1290" s="204"/>
      <c r="BV1290" s="204"/>
      <c r="BW1290" s="204"/>
      <c r="BX1290" s="204"/>
      <c r="BY1290" s="204"/>
      <c r="BZ1290" s="204"/>
      <c r="CA1290" s="204"/>
      <c r="CB1290" s="204"/>
      <c r="CC1290" s="204"/>
      <c r="CD1290" s="204"/>
      <c r="CE1290" s="204"/>
      <c r="CF1290" s="204"/>
      <c r="CG1290" s="131"/>
    </row>
    <row r="1291" spans="1:85" x14ac:dyDescent="0.3">
      <c r="A1291" s="160"/>
      <c r="B1291" s="287"/>
      <c r="C1291" s="642"/>
      <c r="D1291" s="642"/>
      <c r="E1291" s="204"/>
      <c r="F1291" s="204"/>
      <c r="G1291" s="204"/>
      <c r="H1291" s="204"/>
      <c r="I1291" s="204"/>
      <c r="J1291" s="204"/>
      <c r="K1291" s="204"/>
      <c r="L1291" s="204"/>
      <c r="M1291" s="204"/>
      <c r="N1291" s="204"/>
      <c r="O1291" s="204"/>
      <c r="P1291" s="204"/>
      <c r="Q1291" s="204"/>
      <c r="R1291" s="204"/>
      <c r="S1291" s="204"/>
      <c r="T1291" s="204"/>
      <c r="U1291" s="204"/>
      <c r="V1291" s="204"/>
      <c r="W1291" s="204"/>
      <c r="X1291" s="204"/>
      <c r="Y1291" s="204"/>
      <c r="Z1291" s="204"/>
      <c r="AA1291" s="204"/>
      <c r="AB1291" s="204"/>
      <c r="AC1291" s="204"/>
      <c r="AD1291" s="204"/>
      <c r="AE1291" s="204"/>
      <c r="AF1291" s="204"/>
      <c r="AG1291" s="204"/>
      <c r="AH1291" s="204"/>
      <c r="AI1291" s="204"/>
      <c r="AJ1291" s="204"/>
      <c r="AK1291" s="204"/>
      <c r="AL1291" s="204"/>
      <c r="AM1291" s="204"/>
      <c r="AN1291" s="204"/>
      <c r="AO1291" s="204"/>
      <c r="AP1291" s="204"/>
      <c r="AQ1291" s="204"/>
      <c r="AR1291" s="204"/>
      <c r="AS1291" s="204"/>
      <c r="AT1291" s="204"/>
      <c r="AU1291" s="204"/>
      <c r="AV1291" s="204"/>
      <c r="AW1291" s="204"/>
      <c r="AX1291" s="204"/>
      <c r="AY1291" s="204"/>
      <c r="AZ1291" s="204"/>
      <c r="BA1291" s="204"/>
      <c r="BB1291" s="204"/>
      <c r="BC1291" s="204"/>
      <c r="BD1291" s="204"/>
      <c r="BE1291" s="204"/>
      <c r="BF1291" s="204"/>
      <c r="BG1291" s="204"/>
      <c r="BH1291" s="204"/>
      <c r="BI1291" s="204"/>
      <c r="BJ1291" s="204"/>
      <c r="BK1291" s="204"/>
      <c r="BL1291" s="204"/>
      <c r="BM1291" s="204"/>
      <c r="BN1291" s="204"/>
      <c r="BO1291" s="204"/>
      <c r="BP1291" s="204"/>
      <c r="BQ1291" s="204"/>
      <c r="BR1291" s="204"/>
      <c r="BS1291" s="204"/>
      <c r="BT1291" s="294"/>
      <c r="BU1291" s="204"/>
      <c r="BV1291" s="204"/>
      <c r="BW1291" s="204"/>
      <c r="BX1291" s="204"/>
      <c r="BY1291" s="204"/>
      <c r="BZ1291" s="204"/>
      <c r="CA1291" s="204"/>
      <c r="CB1291" s="204"/>
      <c r="CC1291" s="204"/>
      <c r="CD1291" s="204"/>
      <c r="CE1291" s="204"/>
      <c r="CF1291" s="204"/>
      <c r="CG1291" s="131"/>
    </row>
    <row r="1292" spans="1:85" x14ac:dyDescent="0.3">
      <c r="A1292" s="173" t="s">
        <v>243</v>
      </c>
      <c r="B1292" s="292"/>
      <c r="C1292" s="288"/>
      <c r="D1292" s="288"/>
      <c r="E1292" s="288"/>
      <c r="F1292" s="288"/>
      <c r="G1292" s="288"/>
      <c r="H1292" s="288"/>
      <c r="I1292" s="288"/>
      <c r="J1292" s="288"/>
      <c r="K1292" s="288"/>
      <c r="L1292" s="288"/>
      <c r="M1292" s="288"/>
      <c r="N1292" s="288"/>
      <c r="O1292" s="288"/>
      <c r="P1292" s="288"/>
      <c r="Q1292" s="288"/>
      <c r="R1292" s="288"/>
      <c r="S1292" s="288"/>
      <c r="T1292" s="288"/>
      <c r="U1292" s="288"/>
      <c r="V1292" s="288"/>
      <c r="W1292" s="288"/>
      <c r="X1292" s="288"/>
      <c r="Y1292" s="288"/>
      <c r="Z1292" s="288"/>
      <c r="AA1292" s="288"/>
      <c r="AB1292" s="288"/>
      <c r="AC1292" s="288"/>
      <c r="AD1292" s="288"/>
      <c r="AE1292" s="288"/>
      <c r="AF1292" s="288"/>
      <c r="AG1292" s="288"/>
      <c r="AH1292" s="288"/>
      <c r="AI1292" s="288"/>
      <c r="AJ1292" s="288"/>
      <c r="AK1292" s="288"/>
      <c r="AL1292" s="288"/>
      <c r="AM1292" s="288"/>
      <c r="AN1292" s="288"/>
      <c r="AO1292" s="288"/>
      <c r="AP1292" s="288"/>
      <c r="AQ1292" s="288"/>
      <c r="AR1292" s="288"/>
      <c r="AS1292" s="288"/>
      <c r="AT1292" s="288"/>
      <c r="AU1292" s="288"/>
      <c r="AV1292" s="288"/>
      <c r="AW1292" s="288"/>
      <c r="AX1292" s="288"/>
      <c r="AY1292" s="288"/>
      <c r="AZ1292" s="288"/>
      <c r="BA1292" s="288"/>
      <c r="BB1292" s="288"/>
      <c r="BC1292" s="288"/>
      <c r="BD1292" s="288"/>
      <c r="BE1292" s="288"/>
      <c r="BF1292" s="288"/>
      <c r="BG1292" s="288"/>
      <c r="BH1292" s="288"/>
      <c r="BI1292" s="288"/>
      <c r="BJ1292" s="288"/>
      <c r="BK1292" s="288"/>
      <c r="BL1292" s="288"/>
      <c r="BM1292" s="288"/>
      <c r="BN1292" s="288"/>
      <c r="BO1292" s="288"/>
      <c r="BP1292" s="288"/>
      <c r="BQ1292" s="288"/>
      <c r="BR1292" s="288"/>
      <c r="BS1292" s="288"/>
      <c r="BT1292" s="297"/>
      <c r="BU1292" s="288"/>
      <c r="BV1292" s="288"/>
      <c r="BW1292" s="288"/>
      <c r="BX1292" s="288"/>
      <c r="BY1292" s="288"/>
      <c r="BZ1292" s="288"/>
      <c r="CA1292" s="288"/>
      <c r="CB1292" s="288"/>
      <c r="CC1292" s="288"/>
      <c r="CD1292" s="288"/>
      <c r="CE1292" s="288"/>
      <c r="CF1292" s="288"/>
      <c r="CG1292" s="135"/>
    </row>
    <row r="1293" spans="1:85" x14ac:dyDescent="0.3">
      <c r="A1293" s="167" t="s">
        <v>244</v>
      </c>
      <c r="B1293" s="912">
        <v>1</v>
      </c>
      <c r="C1293" s="204"/>
      <c r="D1293" s="642"/>
      <c r="E1293" s="204"/>
      <c r="F1293" s="204"/>
      <c r="G1293" s="204"/>
      <c r="H1293" s="204"/>
      <c r="I1293" s="204"/>
      <c r="J1293" s="204"/>
      <c r="K1293" s="204"/>
      <c r="L1293" s="204"/>
      <c r="M1293" s="204"/>
      <c r="N1293" s="204"/>
      <c r="O1293" s="204"/>
      <c r="P1293" s="204"/>
      <c r="Q1293" s="204"/>
      <c r="R1293" s="204"/>
      <c r="S1293" s="204"/>
      <c r="T1293" s="204"/>
      <c r="U1293" s="204"/>
      <c r="V1293" s="204"/>
      <c r="W1293" s="204"/>
      <c r="X1293" s="204"/>
      <c r="Y1293" s="204"/>
      <c r="Z1293" s="204"/>
      <c r="AA1293" s="204"/>
      <c r="AB1293" s="204"/>
      <c r="AC1293" s="204"/>
      <c r="AD1293" s="204"/>
      <c r="AE1293" s="204"/>
      <c r="AF1293" s="204"/>
      <c r="AG1293" s="204"/>
      <c r="AH1293" s="204"/>
      <c r="AI1293" s="204"/>
      <c r="AJ1293" s="204"/>
      <c r="AK1293" s="204"/>
      <c r="AL1293" s="204"/>
      <c r="AM1293" s="204"/>
      <c r="AN1293" s="204"/>
      <c r="AO1293" s="204"/>
      <c r="AP1293" s="204"/>
      <c r="AQ1293" s="204"/>
      <c r="AR1293" s="204"/>
      <c r="AS1293" s="204"/>
      <c r="AT1293" s="204"/>
      <c r="AU1293" s="204"/>
      <c r="AV1293" s="204"/>
      <c r="AW1293" s="204"/>
      <c r="AX1293" s="204"/>
      <c r="AY1293" s="204"/>
      <c r="AZ1293" s="204"/>
      <c r="BA1293" s="204"/>
      <c r="BB1293" s="204"/>
      <c r="BC1293" s="204"/>
      <c r="BD1293" s="204"/>
      <c r="BE1293" s="204"/>
      <c r="BF1293" s="204"/>
      <c r="BG1293" s="204"/>
      <c r="BH1293" s="204"/>
      <c r="BI1293" s="204"/>
      <c r="BJ1293" s="204"/>
      <c r="BK1293" s="204"/>
      <c r="BL1293" s="204"/>
      <c r="BM1293" s="204"/>
      <c r="BN1293" s="204"/>
      <c r="BO1293" s="204"/>
      <c r="BP1293" s="204"/>
      <c r="BQ1293" s="204"/>
      <c r="BR1293" s="204"/>
      <c r="BS1293" s="204"/>
      <c r="BT1293" s="294"/>
      <c r="BU1293" s="204"/>
      <c r="BV1293" s="204"/>
      <c r="BW1293" s="204"/>
      <c r="BX1293" s="204"/>
      <c r="BY1293" s="204"/>
      <c r="BZ1293" s="204"/>
      <c r="CA1293" s="204"/>
      <c r="CB1293" s="204"/>
      <c r="CC1293" s="204"/>
      <c r="CD1293" s="204"/>
      <c r="CE1293" s="204"/>
      <c r="CF1293" s="204"/>
      <c r="CG1293" s="131"/>
    </row>
    <row r="1294" spans="1:85" x14ac:dyDescent="0.3">
      <c r="A1294" s="167" t="s">
        <v>245</v>
      </c>
      <c r="B1294" s="912">
        <v>2</v>
      </c>
      <c r="C1294" s="204"/>
      <c r="D1294" s="642"/>
      <c r="E1294" s="204"/>
      <c r="F1294" s="204"/>
      <c r="G1294" s="204"/>
      <c r="H1294" s="204"/>
      <c r="I1294" s="204"/>
      <c r="J1294" s="204"/>
      <c r="K1294" s="204"/>
      <c r="L1294" s="204"/>
      <c r="M1294" s="204"/>
      <c r="N1294" s="204"/>
      <c r="O1294" s="204"/>
      <c r="P1294" s="204"/>
      <c r="Q1294" s="204"/>
      <c r="R1294" s="204"/>
      <c r="S1294" s="204"/>
      <c r="T1294" s="204"/>
      <c r="U1294" s="204"/>
      <c r="V1294" s="204"/>
      <c r="W1294" s="204"/>
      <c r="X1294" s="204"/>
      <c r="Y1294" s="204"/>
      <c r="Z1294" s="204"/>
      <c r="AA1294" s="204"/>
      <c r="AB1294" s="204"/>
      <c r="AC1294" s="204"/>
      <c r="AD1294" s="204"/>
      <c r="AE1294" s="204"/>
      <c r="AF1294" s="204"/>
      <c r="AG1294" s="204"/>
      <c r="AH1294" s="204"/>
      <c r="AI1294" s="204"/>
      <c r="AJ1294" s="204"/>
      <c r="AK1294" s="204"/>
      <c r="AL1294" s="204"/>
      <c r="AM1294" s="204"/>
      <c r="AN1294" s="204"/>
      <c r="AO1294" s="204"/>
      <c r="AP1294" s="204"/>
      <c r="AQ1294" s="204"/>
      <c r="AR1294" s="204"/>
      <c r="AS1294" s="204"/>
      <c r="AT1294" s="204"/>
      <c r="AU1294" s="204"/>
      <c r="AV1294" s="204"/>
      <c r="AW1294" s="204"/>
      <c r="AX1294" s="204"/>
      <c r="AY1294" s="204"/>
      <c r="AZ1294" s="204"/>
      <c r="BA1294" s="204"/>
      <c r="BB1294" s="204"/>
      <c r="BC1294" s="204"/>
      <c r="BD1294" s="204"/>
      <c r="BE1294" s="204"/>
      <c r="BF1294" s="204"/>
      <c r="BG1294" s="204"/>
      <c r="BH1294" s="204"/>
      <c r="BI1294" s="204"/>
      <c r="BJ1294" s="204"/>
      <c r="BK1294" s="204"/>
      <c r="BL1294" s="204"/>
      <c r="BM1294" s="204"/>
      <c r="BN1294" s="204"/>
      <c r="BO1294" s="204"/>
      <c r="BP1294" s="204"/>
      <c r="BQ1294" s="204"/>
      <c r="BR1294" s="204"/>
      <c r="BS1294" s="204"/>
      <c r="BT1294" s="294"/>
      <c r="BU1294" s="204"/>
      <c r="BV1294" s="204"/>
      <c r="BW1294" s="204"/>
      <c r="BX1294" s="204"/>
      <c r="BY1294" s="204"/>
      <c r="BZ1294" s="204"/>
      <c r="CA1294" s="204"/>
      <c r="CB1294" s="204"/>
      <c r="CC1294" s="204"/>
      <c r="CD1294" s="204"/>
      <c r="CE1294" s="204"/>
      <c r="CF1294" s="204"/>
      <c r="CG1294" s="131"/>
    </row>
    <row r="1295" spans="1:85" x14ac:dyDescent="0.3">
      <c r="A1295" s="167" t="s">
        <v>120</v>
      </c>
      <c r="B1295" s="912">
        <v>3</v>
      </c>
      <c r="C1295" s="204"/>
      <c r="D1295" s="642"/>
      <c r="E1295" s="204"/>
      <c r="F1295" s="204"/>
      <c r="G1295" s="204"/>
      <c r="H1295" s="204"/>
      <c r="I1295" s="204"/>
      <c r="J1295" s="204"/>
      <c r="K1295" s="204"/>
      <c r="L1295" s="204"/>
      <c r="M1295" s="204"/>
      <c r="N1295" s="204"/>
      <c r="O1295" s="204"/>
      <c r="P1295" s="204"/>
      <c r="Q1295" s="204"/>
      <c r="R1295" s="204"/>
      <c r="S1295" s="204"/>
      <c r="T1295" s="204"/>
      <c r="U1295" s="204"/>
      <c r="V1295" s="204"/>
      <c r="W1295" s="204"/>
      <c r="X1295" s="204"/>
      <c r="Y1295" s="204"/>
      <c r="Z1295" s="204"/>
      <c r="AA1295" s="204"/>
      <c r="AB1295" s="204"/>
      <c r="AC1295" s="204"/>
      <c r="AD1295" s="204"/>
      <c r="AE1295" s="204"/>
      <c r="AF1295" s="204"/>
      <c r="AG1295" s="204"/>
      <c r="AH1295" s="204"/>
      <c r="AI1295" s="204"/>
      <c r="AJ1295" s="204"/>
      <c r="AK1295" s="204"/>
      <c r="AL1295" s="204"/>
      <c r="AM1295" s="204"/>
      <c r="AN1295" s="204"/>
      <c r="AO1295" s="204"/>
      <c r="AP1295" s="204"/>
      <c r="AQ1295" s="204"/>
      <c r="AR1295" s="204"/>
      <c r="AS1295" s="204"/>
      <c r="AT1295" s="204"/>
      <c r="AU1295" s="204"/>
      <c r="AV1295" s="204"/>
      <c r="AW1295" s="204"/>
      <c r="AX1295" s="204"/>
      <c r="AY1295" s="204"/>
      <c r="AZ1295" s="204"/>
      <c r="BA1295" s="204"/>
      <c r="BB1295" s="204"/>
      <c r="BC1295" s="204"/>
      <c r="BD1295" s="204"/>
      <c r="BE1295" s="204"/>
      <c r="BF1295" s="204"/>
      <c r="BG1295" s="204"/>
      <c r="BH1295" s="204"/>
      <c r="BI1295" s="204"/>
      <c r="BJ1295" s="204"/>
      <c r="BK1295" s="204"/>
      <c r="BL1295" s="204"/>
      <c r="BM1295" s="204"/>
      <c r="BN1295" s="204"/>
      <c r="BO1295" s="204"/>
      <c r="BP1295" s="204"/>
      <c r="BQ1295" s="204"/>
      <c r="BR1295" s="204"/>
      <c r="BS1295" s="204"/>
      <c r="BT1295" s="294"/>
      <c r="BU1295" s="204"/>
      <c r="BV1295" s="204"/>
      <c r="BW1295" s="204"/>
      <c r="BX1295" s="204"/>
      <c r="BY1295" s="204"/>
      <c r="BZ1295" s="204"/>
      <c r="CA1295" s="204"/>
      <c r="CB1295" s="204"/>
      <c r="CC1295" s="204"/>
      <c r="CD1295" s="204"/>
      <c r="CE1295" s="204"/>
      <c r="CF1295" s="204"/>
      <c r="CG1295" s="131"/>
    </row>
    <row r="1296" spans="1:85" x14ac:dyDescent="0.3">
      <c r="A1296" s="168" t="s">
        <v>924</v>
      </c>
      <c r="B1296" s="913">
        <v>4</v>
      </c>
      <c r="C1296" s="204"/>
      <c r="D1296" s="642"/>
      <c r="E1296" s="204"/>
      <c r="F1296" s="204"/>
      <c r="G1296" s="204"/>
      <c r="H1296" s="204"/>
      <c r="I1296" s="204"/>
      <c r="J1296" s="204"/>
      <c r="K1296" s="204"/>
      <c r="L1296" s="204"/>
      <c r="M1296" s="204"/>
      <c r="N1296" s="204"/>
      <c r="O1296" s="204"/>
      <c r="P1296" s="204"/>
      <c r="Q1296" s="204"/>
      <c r="R1296" s="204"/>
      <c r="S1296" s="204"/>
      <c r="T1296" s="204"/>
      <c r="U1296" s="204"/>
      <c r="V1296" s="204"/>
      <c r="W1296" s="204"/>
      <c r="X1296" s="204"/>
      <c r="Y1296" s="204"/>
      <c r="Z1296" s="204"/>
      <c r="AA1296" s="204"/>
      <c r="AB1296" s="204"/>
      <c r="AC1296" s="204"/>
      <c r="AD1296" s="204"/>
      <c r="AE1296" s="204"/>
      <c r="AF1296" s="204"/>
      <c r="AG1296" s="204"/>
      <c r="AH1296" s="204"/>
      <c r="AI1296" s="204"/>
      <c r="AJ1296" s="204"/>
      <c r="AK1296" s="204"/>
      <c r="AL1296" s="204"/>
      <c r="AM1296" s="204"/>
      <c r="AN1296" s="204"/>
      <c r="AO1296" s="204"/>
      <c r="AP1296" s="204"/>
      <c r="AQ1296" s="204"/>
      <c r="AR1296" s="204"/>
      <c r="AS1296" s="204"/>
      <c r="AT1296" s="204"/>
      <c r="AU1296" s="204"/>
      <c r="AV1296" s="204"/>
      <c r="AW1296" s="204"/>
      <c r="AX1296" s="204"/>
      <c r="AY1296" s="204"/>
      <c r="AZ1296" s="204"/>
      <c r="BA1296" s="204"/>
      <c r="BB1296" s="204"/>
      <c r="BC1296" s="204"/>
      <c r="BD1296" s="204"/>
      <c r="BE1296" s="204"/>
      <c r="BF1296" s="204"/>
      <c r="BG1296" s="204"/>
      <c r="BH1296" s="204"/>
      <c r="BI1296" s="204"/>
      <c r="BJ1296" s="204"/>
      <c r="BK1296" s="204"/>
      <c r="BL1296" s="204"/>
      <c r="BM1296" s="204"/>
      <c r="BN1296" s="204"/>
      <c r="BO1296" s="204"/>
      <c r="BP1296" s="204"/>
      <c r="BQ1296" s="204"/>
      <c r="BR1296" s="204"/>
      <c r="BS1296" s="204"/>
      <c r="BT1296" s="294"/>
      <c r="BU1296" s="204"/>
      <c r="BV1296" s="204"/>
      <c r="BW1296" s="204"/>
      <c r="BX1296" s="204"/>
      <c r="BY1296" s="204"/>
      <c r="BZ1296" s="204"/>
      <c r="CA1296" s="204"/>
      <c r="CB1296" s="204"/>
      <c r="CC1296" s="204"/>
      <c r="CD1296" s="204"/>
      <c r="CE1296" s="204"/>
      <c r="CF1296" s="204"/>
      <c r="CG1296" s="131"/>
    </row>
    <row r="1297" spans="1:85" x14ac:dyDescent="0.3">
      <c r="A1297" s="477"/>
      <c r="B1297" s="204"/>
      <c r="C1297" s="642"/>
      <c r="D1297" s="642"/>
      <c r="E1297" s="204"/>
      <c r="F1297" s="204"/>
      <c r="G1297" s="204"/>
      <c r="H1297" s="204"/>
      <c r="I1297" s="204"/>
      <c r="J1297" s="204"/>
      <c r="K1297" s="204"/>
      <c r="L1297" s="204"/>
      <c r="M1297" s="204"/>
      <c r="N1297" s="204"/>
      <c r="O1297" s="204"/>
      <c r="P1297" s="204"/>
      <c r="Q1297" s="204"/>
      <c r="R1297" s="204"/>
      <c r="S1297" s="204"/>
      <c r="T1297" s="204"/>
      <c r="U1297" s="204"/>
      <c r="V1297" s="204"/>
      <c r="W1297" s="204"/>
      <c r="X1297" s="204"/>
      <c r="Y1297" s="204"/>
      <c r="Z1297" s="204"/>
      <c r="AA1297" s="204"/>
      <c r="AB1297" s="204"/>
      <c r="AC1297" s="204"/>
      <c r="AD1297" s="204"/>
      <c r="AE1297" s="204"/>
      <c r="AF1297" s="204"/>
      <c r="AG1297" s="204"/>
      <c r="AH1297" s="204"/>
      <c r="AI1297" s="204"/>
      <c r="AJ1297" s="204"/>
      <c r="AK1297" s="204"/>
      <c r="AL1297" s="204"/>
      <c r="AM1297" s="204"/>
      <c r="AN1297" s="204"/>
      <c r="AO1297" s="204"/>
      <c r="AP1297" s="204"/>
      <c r="AQ1297" s="204"/>
      <c r="AR1297" s="204"/>
      <c r="AS1297" s="204"/>
      <c r="AT1297" s="204"/>
      <c r="AU1297" s="204"/>
      <c r="AV1297" s="204"/>
      <c r="AW1297" s="204"/>
      <c r="AX1297" s="204"/>
      <c r="AY1297" s="204"/>
      <c r="AZ1297" s="204"/>
      <c r="BA1297" s="204"/>
      <c r="BB1297" s="204"/>
      <c r="BC1297" s="204"/>
      <c r="BD1297" s="204"/>
      <c r="BE1297" s="204"/>
      <c r="BF1297" s="204"/>
      <c r="BG1297" s="204"/>
      <c r="BH1297" s="204"/>
      <c r="BI1297" s="204"/>
      <c r="BJ1297" s="204"/>
      <c r="BK1297" s="204"/>
      <c r="BL1297" s="204"/>
      <c r="BM1297" s="204"/>
      <c r="BN1297" s="204"/>
      <c r="BO1297" s="204"/>
      <c r="BP1297" s="204"/>
      <c r="BQ1297" s="204"/>
      <c r="BR1297" s="204"/>
      <c r="BS1297" s="204"/>
      <c r="BT1297" s="294"/>
      <c r="BU1297" s="204"/>
      <c r="BV1297" s="204"/>
      <c r="BW1297" s="204"/>
      <c r="BX1297" s="204"/>
      <c r="BY1297" s="204"/>
      <c r="BZ1297" s="204"/>
      <c r="CA1297" s="204"/>
      <c r="CB1297" s="204"/>
      <c r="CC1297" s="204"/>
      <c r="CD1297" s="204"/>
      <c r="CE1297" s="204"/>
      <c r="CF1297" s="204"/>
      <c r="CG1297" s="131"/>
    </row>
    <row r="1298" spans="1:85" x14ac:dyDescent="0.3">
      <c r="A1298" s="206" t="s">
        <v>449</v>
      </c>
      <c r="B1298" s="204"/>
      <c r="C1298" s="642"/>
      <c r="D1298" s="642"/>
      <c r="E1298" s="204"/>
      <c r="F1298" s="204"/>
      <c r="G1298" s="204"/>
      <c r="H1298" s="204"/>
      <c r="I1298" s="204"/>
      <c r="J1298" s="204"/>
      <c r="K1298" s="204"/>
      <c r="L1298" s="204"/>
      <c r="M1298" s="204"/>
      <c r="N1298" s="204"/>
      <c r="O1298" s="204"/>
      <c r="P1298" s="204"/>
      <c r="Q1298" s="204"/>
      <c r="R1298" s="204"/>
      <c r="S1298" s="204"/>
      <c r="T1298" s="204"/>
      <c r="U1298" s="204"/>
      <c r="V1298" s="204"/>
      <c r="W1298" s="204"/>
      <c r="X1298" s="204"/>
      <c r="Y1298" s="204"/>
      <c r="Z1298" s="204"/>
      <c r="AA1298" s="204"/>
      <c r="AB1298" s="204"/>
      <c r="AC1298" s="204"/>
      <c r="AD1298" s="204"/>
      <c r="AE1298" s="204"/>
      <c r="AF1298" s="204"/>
      <c r="AG1298" s="204"/>
      <c r="AH1298" s="204"/>
      <c r="AI1298" s="204"/>
      <c r="AJ1298" s="204"/>
      <c r="AK1298" s="204"/>
      <c r="AL1298" s="204"/>
      <c r="AM1298" s="204"/>
      <c r="AN1298" s="204"/>
      <c r="AO1298" s="204"/>
      <c r="AP1298" s="204"/>
      <c r="AQ1298" s="204"/>
      <c r="AR1298" s="204"/>
      <c r="AS1298" s="204"/>
      <c r="AT1298" s="204"/>
      <c r="AU1298" s="204"/>
      <c r="AV1298" s="204"/>
      <c r="AW1298" s="204"/>
      <c r="AX1298" s="204"/>
      <c r="AY1298" s="204"/>
      <c r="AZ1298" s="204"/>
      <c r="BA1298" s="204"/>
      <c r="BB1298" s="204"/>
      <c r="BC1298" s="204"/>
      <c r="BD1298" s="204"/>
      <c r="BE1298" s="204"/>
      <c r="BF1298" s="204"/>
      <c r="BG1298" s="204"/>
      <c r="BH1298" s="204"/>
      <c r="BI1298" s="204"/>
      <c r="BJ1298" s="204"/>
      <c r="BK1298" s="204"/>
      <c r="BL1298" s="204"/>
      <c r="BM1298" s="204"/>
      <c r="BN1298" s="204"/>
      <c r="BO1298" s="204"/>
      <c r="BP1298" s="204"/>
      <c r="BQ1298" s="204"/>
      <c r="BR1298" s="204"/>
      <c r="BS1298" s="204"/>
      <c r="BT1298" s="294"/>
      <c r="BU1298" s="204"/>
      <c r="BV1298" s="204"/>
      <c r="BW1298" s="204"/>
      <c r="BX1298" s="204"/>
      <c r="BY1298" s="204"/>
      <c r="BZ1298" s="204"/>
      <c r="CA1298" s="204"/>
      <c r="CB1298" s="204"/>
      <c r="CC1298" s="204"/>
      <c r="CD1298" s="204"/>
      <c r="CE1298" s="204"/>
      <c r="CF1298" s="204"/>
      <c r="CG1298" s="131"/>
    </row>
    <row r="1299" spans="1:85" x14ac:dyDescent="0.3">
      <c r="A1299" s="207" t="str">
        <f>MO_RIS_REV</f>
      </c>
      <c r="B1299" s="204"/>
      <c r="C1299" s="642"/>
      <c r="D1299" s="642"/>
      <c r="E1299" s="204"/>
      <c r="F1299" s="204"/>
      <c r="G1299" s="204"/>
      <c r="H1299" s="204"/>
      <c r="I1299" s="204"/>
      <c r="J1299" s="204"/>
      <c r="K1299" s="204"/>
      <c r="L1299" s="204"/>
      <c r="M1299" s="204"/>
      <c r="N1299" s="204"/>
      <c r="O1299" s="204"/>
      <c r="P1299" s="204"/>
      <c r="Q1299" s="204"/>
      <c r="R1299" s="204"/>
      <c r="S1299" s="204"/>
      <c r="T1299" s="204"/>
      <c r="U1299" s="204"/>
      <c r="V1299" s="204"/>
      <c r="W1299" s="204"/>
      <c r="X1299" s="204"/>
      <c r="Y1299" s="204"/>
      <c r="Z1299" s="204"/>
      <c r="AA1299" s="204"/>
      <c r="AB1299" s="204"/>
      <c r="AC1299" s="204"/>
      <c r="AD1299" s="204"/>
      <c r="AE1299" s="204"/>
      <c r="AF1299" s="204"/>
      <c r="AG1299" s="204"/>
      <c r="AH1299" s="204"/>
      <c r="AI1299" s="204"/>
      <c r="AJ1299" s="204"/>
      <c r="AK1299" s="204"/>
      <c r="AL1299" s="204"/>
      <c r="AM1299" s="204"/>
      <c r="AN1299" s="204"/>
      <c r="AO1299" s="204"/>
      <c r="AP1299" s="204"/>
      <c r="AQ1299" s="204"/>
      <c r="AR1299" s="204"/>
      <c r="AS1299" s="204"/>
      <c r="AT1299" s="204"/>
      <c r="AU1299" s="204"/>
      <c r="AV1299" s="204"/>
      <c r="AW1299" s="204"/>
      <c r="AX1299" s="204"/>
      <c r="AY1299" s="204"/>
      <c r="AZ1299" s="204"/>
      <c r="BA1299" s="204"/>
      <c r="BB1299" s="204"/>
      <c r="BC1299" s="204"/>
      <c r="BD1299" s="204"/>
      <c r="BE1299" s="204"/>
      <c r="BF1299" s="204"/>
      <c r="BG1299" s="204"/>
      <c r="BH1299" s="204"/>
      <c r="BI1299" s="204"/>
      <c r="BJ1299" s="204"/>
      <c r="BK1299" s="204"/>
      <c r="BL1299" s="204"/>
      <c r="BM1299" s="204"/>
      <c r="BN1299" s="204"/>
      <c r="BO1299" s="204"/>
      <c r="BP1299" s="204"/>
      <c r="BQ1299" s="204"/>
      <c r="BR1299" s="204"/>
      <c r="BS1299" s="204"/>
      <c r="BT1299" s="294"/>
      <c r="BU1299" s="204"/>
      <c r="BV1299" s="204"/>
      <c r="BW1299" s="204"/>
      <c r="BX1299" s="204"/>
      <c r="BY1299" s="204"/>
      <c r="BZ1299" s="204"/>
      <c r="CA1299" s="204"/>
      <c r="CB1299" s="204"/>
      <c r="CC1299" s="204"/>
      <c r="CD1299" s="204"/>
      <c r="CE1299" s="204"/>
      <c r="CF1299" s="204"/>
      <c r="CG1299" s="131"/>
    </row>
    <row r="1300" spans="1:85" x14ac:dyDescent="0.3">
      <c r="A1300" s="207" t="str">
        <f>MO_RIS_EBITDA_Adj</f>
      </c>
      <c r="B1300" s="204"/>
      <c r="C1300" s="642"/>
      <c r="D1300" s="642"/>
      <c r="E1300" s="204"/>
      <c r="F1300" s="204"/>
      <c r="G1300" s="204"/>
      <c r="H1300" s="204"/>
      <c r="I1300" s="204"/>
      <c r="J1300" s="204"/>
      <c r="K1300" s="204"/>
      <c r="L1300" s="204"/>
      <c r="M1300" s="204"/>
      <c r="N1300" s="204"/>
      <c r="O1300" s="204"/>
      <c r="P1300" s="204"/>
      <c r="Q1300" s="204"/>
      <c r="R1300" s="204"/>
      <c r="S1300" s="204"/>
      <c r="T1300" s="204"/>
      <c r="U1300" s="204"/>
      <c r="V1300" s="204"/>
      <c r="W1300" s="204"/>
      <c r="X1300" s="204"/>
      <c r="Y1300" s="204"/>
      <c r="Z1300" s="204"/>
      <c r="AA1300" s="204"/>
      <c r="AB1300" s="204"/>
      <c r="AC1300" s="204"/>
      <c r="AD1300" s="204"/>
      <c r="AE1300" s="204"/>
      <c r="AF1300" s="204"/>
      <c r="AG1300" s="204"/>
      <c r="AH1300" s="204"/>
      <c r="AI1300" s="204"/>
      <c r="AJ1300" s="204"/>
      <c r="AK1300" s="204"/>
      <c r="AL1300" s="204"/>
      <c r="AM1300" s="204"/>
      <c r="AN1300" s="204"/>
      <c r="AO1300" s="204"/>
      <c r="AP1300" s="204"/>
      <c r="AQ1300" s="204"/>
      <c r="AR1300" s="204"/>
      <c r="AS1300" s="204"/>
      <c r="AT1300" s="204"/>
      <c r="AU1300" s="204"/>
      <c r="AV1300" s="204"/>
      <c r="AW1300" s="204"/>
      <c r="AX1300" s="204"/>
      <c r="AY1300" s="204"/>
      <c r="AZ1300" s="204"/>
      <c r="BA1300" s="204"/>
      <c r="BB1300" s="204"/>
      <c r="BC1300" s="204"/>
      <c r="BD1300" s="204"/>
      <c r="BE1300" s="204"/>
      <c r="BF1300" s="204"/>
      <c r="BG1300" s="204"/>
      <c r="BH1300" s="204"/>
      <c r="BI1300" s="204"/>
      <c r="BJ1300" s="204"/>
      <c r="BK1300" s="204"/>
      <c r="BL1300" s="204"/>
      <c r="BM1300" s="204"/>
      <c r="BN1300" s="204"/>
      <c r="BO1300" s="204"/>
      <c r="BP1300" s="204"/>
      <c r="BQ1300" s="204"/>
      <c r="BR1300" s="204"/>
      <c r="BS1300" s="204"/>
      <c r="BT1300" s="294"/>
      <c r="BU1300" s="204"/>
      <c r="BV1300" s="204"/>
      <c r="BW1300" s="204"/>
      <c r="BX1300" s="204"/>
      <c r="BY1300" s="204"/>
      <c r="BZ1300" s="204"/>
      <c r="CA1300" s="204"/>
      <c r="CB1300" s="204"/>
      <c r="CC1300" s="204"/>
      <c r="CD1300" s="204"/>
      <c r="CE1300" s="204"/>
      <c r="CF1300" s="204"/>
      <c r="CG1300" s="131"/>
    </row>
    <row r="1301" spans="1:85" x14ac:dyDescent="0.3">
      <c r="A1301" s="207" t="str">
        <f>MO_RIS_EBIT_Adj</f>
      </c>
      <c r="B1301" s="204"/>
      <c r="C1301" s="642"/>
      <c r="D1301" s="642"/>
      <c r="E1301" s="204"/>
      <c r="F1301" s="204"/>
      <c r="G1301" s="204"/>
      <c r="H1301" s="204"/>
      <c r="I1301" s="204"/>
      <c r="J1301" s="204"/>
      <c r="K1301" s="204"/>
      <c r="L1301" s="204"/>
      <c r="M1301" s="204"/>
      <c r="N1301" s="204"/>
      <c r="O1301" s="204"/>
      <c r="P1301" s="204"/>
      <c r="Q1301" s="204"/>
      <c r="R1301" s="204"/>
      <c r="S1301" s="204"/>
      <c r="T1301" s="204"/>
      <c r="U1301" s="204"/>
      <c r="V1301" s="204"/>
      <c r="W1301" s="204"/>
      <c r="X1301" s="204"/>
      <c r="Y1301" s="204"/>
      <c r="Z1301" s="204"/>
      <c r="AA1301" s="204"/>
      <c r="AB1301" s="204"/>
      <c r="AC1301" s="204"/>
      <c r="AD1301" s="204"/>
      <c r="AE1301" s="204"/>
      <c r="AF1301" s="204"/>
      <c r="AG1301" s="204"/>
      <c r="AH1301" s="204"/>
      <c r="AI1301" s="204"/>
      <c r="AJ1301" s="204"/>
      <c r="AK1301" s="204"/>
      <c r="AL1301" s="204"/>
      <c r="AM1301" s="204"/>
      <c r="AN1301" s="204"/>
      <c r="AO1301" s="204"/>
      <c r="AP1301" s="204"/>
      <c r="AQ1301" s="204"/>
      <c r="AR1301" s="204"/>
      <c r="AS1301" s="204"/>
      <c r="AT1301" s="204"/>
      <c r="AU1301" s="204"/>
      <c r="AV1301" s="204"/>
      <c r="AW1301" s="204"/>
      <c r="AX1301" s="204"/>
      <c r="AY1301" s="204"/>
      <c r="AZ1301" s="204"/>
      <c r="BA1301" s="204"/>
      <c r="BB1301" s="204"/>
      <c r="BC1301" s="204"/>
      <c r="BD1301" s="204"/>
      <c r="BE1301" s="204"/>
      <c r="BF1301" s="204"/>
      <c r="BG1301" s="204"/>
      <c r="BH1301" s="204"/>
      <c r="BI1301" s="204"/>
      <c r="BJ1301" s="204"/>
      <c r="BK1301" s="204"/>
      <c r="BL1301" s="204"/>
      <c r="BM1301" s="204"/>
      <c r="BN1301" s="204"/>
      <c r="BO1301" s="204"/>
      <c r="BP1301" s="204"/>
      <c r="BQ1301" s="204"/>
      <c r="BR1301" s="204"/>
      <c r="BS1301" s="204"/>
      <c r="BT1301" s="294"/>
      <c r="BU1301" s="204"/>
      <c r="BV1301" s="204"/>
      <c r="BW1301" s="204"/>
      <c r="BX1301" s="204"/>
      <c r="BY1301" s="204"/>
      <c r="BZ1301" s="204"/>
      <c r="CA1301" s="204"/>
      <c r="CB1301" s="204"/>
      <c r="CC1301" s="204"/>
      <c r="CD1301" s="204"/>
      <c r="CE1301" s="204"/>
      <c r="CF1301" s="204"/>
      <c r="CG1301" s="131"/>
    </row>
    <row r="1302" spans="1:85" x14ac:dyDescent="0.3">
      <c r="A1302" s="207" t="str">
        <f>MO_RIS_EPS_WAD_Adj</f>
      </c>
      <c r="B1302" s="204"/>
      <c r="C1302" s="642"/>
      <c r="D1302" s="642"/>
      <c r="E1302" s="204"/>
      <c r="F1302" s="204"/>
      <c r="G1302" s="204"/>
      <c r="H1302" s="204"/>
      <c r="I1302" s="204"/>
      <c r="J1302" s="204"/>
      <c r="K1302" s="204"/>
      <c r="L1302" s="204"/>
      <c r="M1302" s="204"/>
      <c r="N1302" s="204"/>
      <c r="O1302" s="204"/>
      <c r="P1302" s="204"/>
      <c r="Q1302" s="204"/>
      <c r="R1302" s="204"/>
      <c r="S1302" s="204"/>
      <c r="T1302" s="204"/>
      <c r="U1302" s="204"/>
      <c r="V1302" s="204"/>
      <c r="W1302" s="204"/>
      <c r="X1302" s="204"/>
      <c r="Y1302" s="204"/>
      <c r="Z1302" s="204"/>
      <c r="AA1302" s="204"/>
      <c r="AB1302" s="204"/>
      <c r="AC1302" s="204"/>
      <c r="AD1302" s="204"/>
      <c r="AE1302" s="204"/>
      <c r="AF1302" s="204"/>
      <c r="AG1302" s="204"/>
      <c r="AH1302" s="204"/>
      <c r="AI1302" s="204"/>
      <c r="AJ1302" s="204"/>
      <c r="AK1302" s="204"/>
      <c r="AL1302" s="204"/>
      <c r="AM1302" s="204"/>
      <c r="AN1302" s="204"/>
      <c r="AO1302" s="204"/>
      <c r="AP1302" s="204"/>
      <c r="AQ1302" s="204"/>
      <c r="AR1302" s="204"/>
      <c r="AS1302" s="204"/>
      <c r="AT1302" s="204"/>
      <c r="AU1302" s="204"/>
      <c r="AV1302" s="204"/>
      <c r="AW1302" s="204"/>
      <c r="AX1302" s="204"/>
      <c r="AY1302" s="204"/>
      <c r="AZ1302" s="204"/>
      <c r="BA1302" s="204"/>
      <c r="BB1302" s="204"/>
      <c r="BC1302" s="204"/>
      <c r="BD1302" s="204"/>
      <c r="BE1302" s="204"/>
      <c r="BF1302" s="204"/>
      <c r="BG1302" s="204"/>
      <c r="BH1302" s="204"/>
      <c r="BI1302" s="204"/>
      <c r="BJ1302" s="204"/>
      <c r="BK1302" s="204"/>
      <c r="BL1302" s="204"/>
      <c r="BM1302" s="204"/>
      <c r="BN1302" s="204"/>
      <c r="BO1302" s="204"/>
      <c r="BP1302" s="204"/>
      <c r="BQ1302" s="204"/>
      <c r="BR1302" s="204"/>
      <c r="BS1302" s="204"/>
      <c r="BT1302" s="294"/>
      <c r="BU1302" s="204"/>
      <c r="BV1302" s="204"/>
      <c r="BW1302" s="204"/>
      <c r="BX1302" s="204"/>
      <c r="BY1302" s="204"/>
      <c r="BZ1302" s="204"/>
      <c r="CA1302" s="204"/>
      <c r="CB1302" s="204"/>
      <c r="CC1302" s="204"/>
      <c r="CD1302" s="204"/>
      <c r="CE1302" s="204"/>
      <c r="CF1302" s="204"/>
      <c r="CG1302" s="131"/>
    </row>
    <row r="1303" spans="1:85" x14ac:dyDescent="0.3">
      <c r="A1303" s="207" t="str">
        <f>MO_VA_EV_ToEBITDA</f>
      </c>
      <c r="B1303" s="204"/>
      <c r="C1303" s="642"/>
      <c r="D1303" s="642"/>
      <c r="E1303" s="204"/>
      <c r="F1303" s="204"/>
      <c r="G1303" s="204"/>
      <c r="H1303" s="204"/>
      <c r="I1303" s="204"/>
      <c r="J1303" s="204"/>
      <c r="K1303" s="204"/>
      <c r="L1303" s="204"/>
      <c r="M1303" s="204"/>
      <c r="N1303" s="204"/>
      <c r="O1303" s="204"/>
      <c r="P1303" s="204"/>
      <c r="Q1303" s="204"/>
      <c r="R1303" s="204"/>
      <c r="S1303" s="204"/>
      <c r="T1303" s="204"/>
      <c r="U1303" s="204"/>
      <c r="V1303" s="204"/>
      <c r="W1303" s="204"/>
      <c r="X1303" s="204"/>
      <c r="Y1303" s="204"/>
      <c r="Z1303" s="204"/>
      <c r="AA1303" s="204"/>
      <c r="AB1303" s="204"/>
      <c r="AC1303" s="204"/>
      <c r="AD1303" s="204"/>
      <c r="AE1303" s="204"/>
      <c r="AF1303" s="204"/>
      <c r="AG1303" s="204"/>
      <c r="AH1303" s="204"/>
      <c r="AI1303" s="204"/>
      <c r="AJ1303" s="204"/>
      <c r="AK1303" s="204"/>
      <c r="AL1303" s="204"/>
      <c r="AM1303" s="204"/>
      <c r="AN1303" s="204"/>
      <c r="AO1303" s="204"/>
      <c r="AP1303" s="204"/>
      <c r="AQ1303" s="204"/>
      <c r="AR1303" s="204"/>
      <c r="AS1303" s="204"/>
      <c r="AT1303" s="204"/>
      <c r="AU1303" s="204"/>
      <c r="AV1303" s="204"/>
      <c r="AW1303" s="204"/>
      <c r="AX1303" s="204"/>
      <c r="AY1303" s="204"/>
      <c r="AZ1303" s="204"/>
      <c r="BA1303" s="204"/>
      <c r="BB1303" s="204"/>
      <c r="BC1303" s="204"/>
      <c r="BD1303" s="204"/>
      <c r="BE1303" s="204"/>
      <c r="BF1303" s="204"/>
      <c r="BG1303" s="204"/>
      <c r="BH1303" s="204"/>
      <c r="BI1303" s="204"/>
      <c r="BJ1303" s="204"/>
      <c r="BK1303" s="204"/>
      <c r="BL1303" s="204"/>
      <c r="BM1303" s="204"/>
      <c r="BN1303" s="204"/>
      <c r="BO1303" s="204"/>
      <c r="BP1303" s="204"/>
      <c r="BQ1303" s="204"/>
      <c r="BR1303" s="204"/>
      <c r="BS1303" s="204"/>
      <c r="BT1303" s="294"/>
      <c r="BU1303" s="204"/>
      <c r="BV1303" s="204"/>
      <c r="BW1303" s="204"/>
      <c r="BX1303" s="204"/>
      <c r="BY1303" s="204"/>
      <c r="BZ1303" s="204"/>
      <c r="CA1303" s="204"/>
      <c r="CB1303" s="204"/>
      <c r="CC1303" s="204"/>
      <c r="CD1303" s="204"/>
      <c r="CE1303" s="204"/>
      <c r="CF1303" s="204"/>
      <c r="CG1303" s="131"/>
    </row>
    <row r="1304" spans="1:85" x14ac:dyDescent="0.3">
      <c r="A1304" s="207" t="str">
        <f>MO_VA_P_ToE</f>
      </c>
      <c r="B1304" s="204"/>
      <c r="C1304" s="642"/>
      <c r="D1304" s="642"/>
      <c r="E1304" s="204"/>
      <c r="F1304" s="204"/>
      <c r="G1304" s="204"/>
      <c r="H1304" s="204"/>
      <c r="I1304" s="204"/>
      <c r="J1304" s="204"/>
      <c r="K1304" s="204"/>
      <c r="L1304" s="204"/>
      <c r="M1304" s="204"/>
      <c r="N1304" s="204"/>
      <c r="O1304" s="204"/>
      <c r="P1304" s="204"/>
      <c r="Q1304" s="204"/>
      <c r="R1304" s="204"/>
      <c r="S1304" s="204"/>
      <c r="T1304" s="204"/>
      <c r="U1304" s="204"/>
      <c r="V1304" s="204"/>
      <c r="W1304" s="204"/>
      <c r="X1304" s="204"/>
      <c r="Y1304" s="204"/>
      <c r="Z1304" s="204"/>
      <c r="AA1304" s="204"/>
      <c r="AB1304" s="204"/>
      <c r="AC1304" s="204"/>
      <c r="AD1304" s="204"/>
      <c r="AE1304" s="204"/>
      <c r="AF1304" s="204"/>
      <c r="AG1304" s="204"/>
      <c r="AH1304" s="204"/>
      <c r="AI1304" s="204"/>
      <c r="AJ1304" s="204"/>
      <c r="AK1304" s="204"/>
      <c r="AL1304" s="204"/>
      <c r="AM1304" s="204"/>
      <c r="AN1304" s="204"/>
      <c r="AO1304" s="204"/>
      <c r="AP1304" s="204"/>
      <c r="AQ1304" s="204"/>
      <c r="AR1304" s="204"/>
      <c r="AS1304" s="204"/>
      <c r="AT1304" s="204"/>
      <c r="AU1304" s="204"/>
      <c r="AV1304" s="204"/>
      <c r="AW1304" s="204"/>
      <c r="AX1304" s="204"/>
      <c r="AY1304" s="204"/>
      <c r="AZ1304" s="204"/>
      <c r="BA1304" s="204"/>
      <c r="BB1304" s="204"/>
      <c r="BC1304" s="204"/>
      <c r="BD1304" s="204"/>
      <c r="BE1304" s="204"/>
      <c r="BF1304" s="204"/>
      <c r="BG1304" s="204"/>
      <c r="BH1304" s="204"/>
      <c r="BI1304" s="204"/>
      <c r="BJ1304" s="204"/>
      <c r="BK1304" s="204"/>
      <c r="BL1304" s="204"/>
      <c r="BM1304" s="204"/>
      <c r="BN1304" s="204"/>
      <c r="BO1304" s="204"/>
      <c r="BP1304" s="204"/>
      <c r="BQ1304" s="204"/>
      <c r="BR1304" s="204"/>
      <c r="BS1304" s="204"/>
      <c r="BT1304" s="294"/>
      <c r="BU1304" s="204"/>
      <c r="BV1304" s="204"/>
      <c r="BW1304" s="204"/>
      <c r="BX1304" s="204"/>
      <c r="BY1304" s="204"/>
      <c r="BZ1304" s="204"/>
      <c r="CA1304" s="204"/>
      <c r="CB1304" s="204"/>
      <c r="CC1304" s="204"/>
      <c r="CD1304" s="204"/>
      <c r="CE1304" s="204"/>
      <c r="CF1304" s="204"/>
      <c r="CG1304" s="131"/>
    </row>
    <row r="1305" spans="1:85" x14ac:dyDescent="0.3">
      <c r="A1305" s="289"/>
      <c r="B1305" s="204"/>
      <c r="C1305" s="642"/>
      <c r="D1305" s="642"/>
      <c r="E1305" s="204"/>
      <c r="F1305" s="204"/>
      <c r="G1305" s="204"/>
      <c r="H1305" s="204"/>
      <c r="I1305" s="204"/>
      <c r="J1305" s="204"/>
      <c r="K1305" s="204"/>
      <c r="L1305" s="204"/>
      <c r="M1305" s="204"/>
      <c r="N1305" s="204"/>
      <c r="O1305" s="204"/>
      <c r="P1305" s="204"/>
      <c r="Q1305" s="204"/>
      <c r="R1305" s="204"/>
      <c r="S1305" s="204"/>
      <c r="T1305" s="204"/>
      <c r="U1305" s="204"/>
      <c r="V1305" s="204"/>
      <c r="W1305" s="204"/>
      <c r="X1305" s="204"/>
      <c r="Y1305" s="204"/>
      <c r="Z1305" s="204"/>
      <c r="AA1305" s="204"/>
      <c r="AB1305" s="204"/>
      <c r="AC1305" s="204"/>
      <c r="AD1305" s="204"/>
      <c r="AE1305" s="204"/>
      <c r="AF1305" s="204"/>
      <c r="AG1305" s="204"/>
      <c r="AH1305" s="204"/>
      <c r="AI1305" s="204"/>
      <c r="AJ1305" s="204"/>
      <c r="AK1305" s="204"/>
      <c r="AL1305" s="204"/>
      <c r="AM1305" s="204"/>
      <c r="AN1305" s="204"/>
      <c r="AO1305" s="204"/>
      <c r="AP1305" s="204"/>
      <c r="AQ1305" s="204"/>
      <c r="AR1305" s="204"/>
      <c r="AS1305" s="204"/>
      <c r="AT1305" s="204"/>
      <c r="AU1305" s="204"/>
      <c r="AV1305" s="204"/>
      <c r="AW1305" s="204"/>
      <c r="AX1305" s="204"/>
      <c r="AY1305" s="204"/>
      <c r="AZ1305" s="204"/>
      <c r="BA1305" s="204"/>
      <c r="BB1305" s="204"/>
      <c r="BC1305" s="204"/>
      <c r="BD1305" s="204"/>
      <c r="BE1305" s="204"/>
      <c r="BF1305" s="204"/>
      <c r="BG1305" s="204"/>
      <c r="BH1305" s="204"/>
      <c r="BI1305" s="204"/>
      <c r="BJ1305" s="204"/>
      <c r="BK1305" s="204"/>
      <c r="BL1305" s="204"/>
      <c r="BM1305" s="204"/>
      <c r="BN1305" s="204"/>
      <c r="BO1305" s="204"/>
      <c r="BP1305" s="204"/>
      <c r="BQ1305" s="204"/>
      <c r="BR1305" s="204"/>
      <c r="BS1305" s="204"/>
      <c r="BT1305" s="294"/>
      <c r="BU1305" s="204"/>
      <c r="BV1305" s="204"/>
      <c r="BW1305" s="204"/>
      <c r="BX1305" s="204"/>
      <c r="BY1305" s="204"/>
      <c r="BZ1305" s="204"/>
      <c r="CA1305" s="204"/>
      <c r="CB1305" s="204"/>
      <c r="CC1305" s="204"/>
      <c r="CD1305" s="204"/>
      <c r="CE1305" s="204"/>
      <c r="CF1305" s="204"/>
      <c r="CG1305" s="131"/>
    </row>
    <row r="1306" spans="1:85" x14ac:dyDescent="0.3">
      <c r="A1306" s="477"/>
      <c r="B1306" s="204"/>
      <c r="C1306" s="642"/>
      <c r="D1306" s="642"/>
      <c r="E1306" s="204"/>
      <c r="F1306" s="204"/>
      <c r="G1306" s="204"/>
      <c r="H1306" s="204"/>
      <c r="I1306" s="204"/>
      <c r="J1306" s="204"/>
      <c r="K1306" s="204"/>
      <c r="L1306" s="204"/>
      <c r="M1306" s="204"/>
      <c r="N1306" s="204"/>
      <c r="O1306" s="204"/>
      <c r="P1306" s="204"/>
      <c r="Q1306" s="204"/>
      <c r="R1306" s="204"/>
      <c r="S1306" s="204"/>
      <c r="T1306" s="204"/>
      <c r="U1306" s="204"/>
      <c r="V1306" s="204"/>
      <c r="W1306" s="204"/>
      <c r="X1306" s="204"/>
      <c r="Y1306" s="204"/>
      <c r="Z1306" s="204"/>
      <c r="AA1306" s="204"/>
      <c r="AB1306" s="204"/>
      <c r="AC1306" s="204"/>
      <c r="AD1306" s="204"/>
      <c r="AE1306" s="204"/>
      <c r="AF1306" s="204"/>
      <c r="AG1306" s="204"/>
      <c r="AH1306" s="204"/>
      <c r="AI1306" s="204"/>
      <c r="AJ1306" s="204"/>
      <c r="AK1306" s="204"/>
      <c r="AL1306" s="204"/>
      <c r="AM1306" s="204"/>
      <c r="AN1306" s="204"/>
      <c r="AO1306" s="204"/>
      <c r="AP1306" s="204"/>
      <c r="AQ1306" s="204"/>
      <c r="AR1306" s="204"/>
      <c r="AS1306" s="204"/>
      <c r="AT1306" s="204"/>
      <c r="AU1306" s="204"/>
      <c r="AV1306" s="204"/>
      <c r="AW1306" s="204"/>
      <c r="AX1306" s="204"/>
      <c r="AY1306" s="204"/>
      <c r="AZ1306" s="204"/>
      <c r="BA1306" s="204"/>
      <c r="BB1306" s="204"/>
      <c r="BC1306" s="204"/>
      <c r="BD1306" s="204"/>
      <c r="BE1306" s="204"/>
      <c r="BF1306" s="204"/>
      <c r="BG1306" s="204"/>
      <c r="BH1306" s="204"/>
      <c r="BI1306" s="204"/>
      <c r="BJ1306" s="204"/>
      <c r="BK1306" s="204"/>
      <c r="BL1306" s="204"/>
      <c r="BM1306" s="204"/>
      <c r="BN1306" s="204"/>
      <c r="BO1306" s="204"/>
      <c r="BP1306" s="204"/>
      <c r="BQ1306" s="204"/>
      <c r="BR1306" s="204"/>
      <c r="BS1306" s="204"/>
      <c r="BT1306" s="294"/>
      <c r="BU1306" s="204"/>
      <c r="BV1306" s="204"/>
      <c r="BW1306" s="204"/>
      <c r="BX1306" s="204"/>
      <c r="BY1306" s="204"/>
      <c r="BZ1306" s="204"/>
      <c r="CA1306" s="204"/>
      <c r="CB1306" s="204"/>
      <c r="CC1306" s="204"/>
      <c r="CD1306" s="204"/>
      <c r="CE1306" s="204"/>
      <c r="CF1306" s="204"/>
      <c r="CG1306" s="131"/>
    </row>
    <row r="1307" spans="1:85" x14ac:dyDescent="0.3">
      <c r="A1307" s="495" t="s">
        <v>966</v>
      </c>
      <c r="B1307" s="204"/>
      <c r="C1307" s="642"/>
      <c r="D1307" s="642"/>
      <c r="E1307" s="204"/>
      <c r="F1307" s="204"/>
      <c r="G1307" s="204"/>
      <c r="H1307" s="204"/>
      <c r="I1307" s="204"/>
      <c r="J1307" s="204"/>
      <c r="K1307" s="204"/>
      <c r="L1307" s="204"/>
      <c r="M1307" s="204"/>
      <c r="N1307" s="204"/>
      <c r="O1307" s="204"/>
      <c r="P1307" s="204"/>
      <c r="Q1307" s="204"/>
      <c r="R1307" s="204"/>
      <c r="S1307" s="204"/>
      <c r="T1307" s="204"/>
      <c r="U1307" s="204"/>
      <c r="V1307" s="204"/>
      <c r="W1307" s="204"/>
      <c r="X1307" s="204"/>
      <c r="Y1307" s="204"/>
      <c r="Z1307" s="204"/>
      <c r="AA1307" s="204"/>
      <c r="AB1307" s="204"/>
      <c r="AC1307" s="204"/>
      <c r="AD1307" s="204"/>
      <c r="AE1307" s="204"/>
      <c r="AF1307" s="204"/>
      <c r="AG1307" s="204"/>
      <c r="AH1307" s="204"/>
      <c r="AI1307" s="204"/>
      <c r="AJ1307" s="204"/>
      <c r="AK1307" s="204"/>
      <c r="AL1307" s="204"/>
      <c r="AM1307" s="204"/>
      <c r="AN1307" s="204"/>
      <c r="AO1307" s="204"/>
      <c r="AP1307" s="204"/>
      <c r="AQ1307" s="204"/>
      <c r="AR1307" s="204"/>
      <c r="AS1307" s="204"/>
      <c r="AT1307" s="204"/>
      <c r="AU1307" s="204"/>
      <c r="AV1307" s="204"/>
      <c r="AW1307" s="204"/>
      <c r="AX1307" s="204"/>
      <c r="AY1307" s="204"/>
      <c r="AZ1307" s="204"/>
      <c r="BA1307" s="204"/>
      <c r="BB1307" s="204"/>
      <c r="BC1307" s="204"/>
      <c r="BD1307" s="204"/>
      <c r="BE1307" s="204"/>
      <c r="BF1307" s="204"/>
      <c r="BG1307" s="204"/>
      <c r="BH1307" s="204"/>
      <c r="BI1307" s="204"/>
      <c r="BJ1307" s="204"/>
      <c r="BK1307" s="204"/>
      <c r="BL1307" s="204"/>
      <c r="BM1307" s="204"/>
      <c r="BN1307" s="204"/>
      <c r="BO1307" s="204"/>
      <c r="BP1307" s="204"/>
      <c r="BQ1307" s="204"/>
      <c r="BR1307" s="204"/>
      <c r="BS1307" s="204"/>
      <c r="BT1307" s="294"/>
      <c r="BU1307" s="204"/>
      <c r="BV1307" s="204"/>
      <c r="BW1307" s="204"/>
      <c r="BX1307" s="204"/>
      <c r="BY1307" s="204"/>
      <c r="BZ1307" s="204"/>
      <c r="CA1307" s="204"/>
      <c r="CB1307" s="204"/>
      <c r="CC1307" s="204"/>
      <c r="CD1307" s="204"/>
      <c r="CE1307" s="204"/>
      <c r="CF1307" s="204"/>
      <c r="CG1307" s="131"/>
    </row>
    <row r="1308" spans="1:85" x14ac:dyDescent="0.3">
      <c r="A1308" s="496" t="s">
        <v>282</v>
      </c>
      <c r="B1308" s="204"/>
      <c r="C1308" s="642"/>
      <c r="D1308" s="642"/>
      <c r="E1308" s="204"/>
      <c r="F1308" s="204"/>
      <c r="G1308" s="204"/>
      <c r="H1308" s="204"/>
      <c r="I1308" s="204"/>
      <c r="J1308" s="204"/>
      <c r="K1308" s="204"/>
      <c r="L1308" s="204"/>
      <c r="M1308" s="204"/>
      <c r="N1308" s="204"/>
      <c r="O1308" s="204"/>
      <c r="P1308" s="204"/>
      <c r="Q1308" s="204"/>
      <c r="R1308" s="204"/>
      <c r="S1308" s="204"/>
      <c r="T1308" s="204"/>
      <c r="U1308" s="204"/>
      <c r="V1308" s="204"/>
      <c r="W1308" s="204"/>
      <c r="X1308" s="204"/>
      <c r="Y1308" s="204"/>
      <c r="Z1308" s="204"/>
      <c r="AA1308" s="204"/>
      <c r="AB1308" s="204"/>
      <c r="AC1308" s="204"/>
      <c r="AD1308" s="204"/>
      <c r="AE1308" s="204"/>
      <c r="AF1308" s="204"/>
      <c r="AG1308" s="204"/>
      <c r="AH1308" s="204"/>
      <c r="AI1308" s="204"/>
      <c r="AJ1308" s="204"/>
      <c r="AK1308" s="204"/>
      <c r="AL1308" s="204"/>
      <c r="AM1308" s="204"/>
      <c r="AN1308" s="204"/>
      <c r="AO1308" s="204"/>
      <c r="AP1308" s="204"/>
      <c r="AQ1308" s="204"/>
      <c r="AR1308" s="204"/>
      <c r="AS1308" s="204"/>
      <c r="AT1308" s="204"/>
      <c r="AU1308" s="204"/>
      <c r="AV1308" s="204"/>
      <c r="AW1308" s="204"/>
      <c r="AX1308" s="204"/>
      <c r="AY1308" s="204"/>
      <c r="AZ1308" s="204"/>
      <c r="BA1308" s="204"/>
      <c r="BB1308" s="204"/>
      <c r="BC1308" s="204"/>
      <c r="BD1308" s="204"/>
      <c r="BE1308" s="204"/>
      <c r="BF1308" s="204"/>
      <c r="BG1308" s="204"/>
      <c r="BH1308" s="204"/>
      <c r="BI1308" s="204"/>
      <c r="BJ1308" s="204"/>
      <c r="BK1308" s="204"/>
      <c r="BL1308" s="204"/>
      <c r="BM1308" s="204"/>
      <c r="BN1308" s="204"/>
      <c r="BO1308" s="204"/>
      <c r="BP1308" s="204"/>
      <c r="BQ1308" s="204"/>
      <c r="BR1308" s="204"/>
      <c r="BS1308" s="204"/>
      <c r="BT1308" s="294"/>
      <c r="BU1308" s="204"/>
      <c r="BV1308" s="204"/>
      <c r="BW1308" s="204"/>
      <c r="BX1308" s="204"/>
      <c r="BY1308" s="204"/>
      <c r="BZ1308" s="204"/>
      <c r="CA1308" s="204"/>
      <c r="CB1308" s="204"/>
      <c r="CC1308" s="204"/>
      <c r="CD1308" s="204"/>
      <c r="CE1308" s="204"/>
      <c r="CF1308" s="204"/>
      <c r="CG1308" s="131"/>
    </row>
    <row r="1309" spans="1:85" x14ac:dyDescent="0.3">
      <c r="A1309" s="496" t="s">
        <v>967</v>
      </c>
      <c r="B1309" s="204"/>
      <c r="C1309" s="642"/>
      <c r="D1309" s="642"/>
      <c r="E1309" s="204"/>
      <c r="F1309" s="204"/>
      <c r="G1309" s="204"/>
      <c r="H1309" s="204"/>
      <c r="I1309" s="204"/>
      <c r="J1309" s="204"/>
      <c r="K1309" s="204"/>
      <c r="L1309" s="204"/>
      <c r="M1309" s="204"/>
      <c r="N1309" s="204"/>
      <c r="O1309" s="204"/>
      <c r="P1309" s="204"/>
      <c r="Q1309" s="204"/>
      <c r="R1309" s="204"/>
      <c r="S1309" s="204"/>
      <c r="T1309" s="204"/>
      <c r="U1309" s="204"/>
      <c r="V1309" s="204"/>
      <c r="W1309" s="204"/>
      <c r="X1309" s="204"/>
      <c r="Y1309" s="204"/>
      <c r="Z1309" s="204"/>
      <c r="AA1309" s="204"/>
      <c r="AB1309" s="204"/>
      <c r="AC1309" s="204"/>
      <c r="AD1309" s="204"/>
      <c r="AE1309" s="204"/>
      <c r="AF1309" s="204"/>
      <c r="AG1309" s="204"/>
      <c r="AH1309" s="204"/>
      <c r="AI1309" s="204"/>
      <c r="AJ1309" s="204"/>
      <c r="AK1309" s="204"/>
      <c r="AL1309" s="204"/>
      <c r="AM1309" s="204"/>
      <c r="AN1309" s="204"/>
      <c r="AO1309" s="204"/>
      <c r="AP1309" s="204"/>
      <c r="AQ1309" s="204"/>
      <c r="AR1309" s="204"/>
      <c r="AS1309" s="204"/>
      <c r="AT1309" s="204"/>
      <c r="AU1309" s="204"/>
      <c r="AV1309" s="204"/>
      <c r="AW1309" s="204"/>
      <c r="AX1309" s="204"/>
      <c r="AY1309" s="204"/>
      <c r="AZ1309" s="204"/>
      <c r="BA1309" s="204"/>
      <c r="BB1309" s="204"/>
      <c r="BC1309" s="204"/>
      <c r="BD1309" s="204"/>
      <c r="BE1309" s="204"/>
      <c r="BF1309" s="204"/>
      <c r="BG1309" s="204"/>
      <c r="BH1309" s="204"/>
      <c r="BI1309" s="204"/>
      <c r="BJ1309" s="204"/>
      <c r="BK1309" s="204"/>
      <c r="BL1309" s="204"/>
      <c r="BM1309" s="204"/>
      <c r="BN1309" s="204"/>
      <c r="BO1309" s="204"/>
      <c r="BP1309" s="204"/>
      <c r="BQ1309" s="204"/>
      <c r="BR1309" s="204"/>
      <c r="BS1309" s="204"/>
      <c r="BT1309" s="294"/>
      <c r="BU1309" s="204"/>
      <c r="BV1309" s="204"/>
      <c r="BW1309" s="204"/>
      <c r="BX1309" s="204"/>
      <c r="BY1309" s="204"/>
      <c r="BZ1309" s="204"/>
      <c r="CA1309" s="204"/>
      <c r="CB1309" s="204"/>
      <c r="CC1309" s="204"/>
      <c r="CD1309" s="204"/>
      <c r="CE1309" s="204"/>
      <c r="CF1309" s="204"/>
      <c r="CG1309" s="131"/>
    </row>
    <row r="1310" spans="1:85" x14ac:dyDescent="0.3">
      <c r="A1310" s="496" t="s">
        <v>968</v>
      </c>
      <c r="B1310" s="204"/>
      <c r="C1310" s="642"/>
      <c r="D1310" s="642"/>
      <c r="E1310" s="204"/>
      <c r="F1310" s="204"/>
      <c r="G1310" s="204"/>
      <c r="H1310" s="204"/>
      <c r="I1310" s="204"/>
      <c r="J1310" s="204"/>
      <c r="K1310" s="204"/>
      <c r="L1310" s="204"/>
      <c r="M1310" s="204"/>
      <c r="N1310" s="204"/>
      <c r="O1310" s="204"/>
      <c r="P1310" s="204"/>
      <c r="Q1310" s="204"/>
      <c r="R1310" s="204"/>
      <c r="S1310" s="204"/>
      <c r="T1310" s="204"/>
      <c r="U1310" s="204"/>
      <c r="V1310" s="204"/>
      <c r="W1310" s="204"/>
      <c r="X1310" s="204"/>
      <c r="Y1310" s="204"/>
      <c r="Z1310" s="204"/>
      <c r="AA1310" s="204"/>
      <c r="AB1310" s="204"/>
      <c r="AC1310" s="204"/>
      <c r="AD1310" s="204"/>
      <c r="AE1310" s="204"/>
      <c r="AF1310" s="204"/>
      <c r="AG1310" s="204"/>
      <c r="AH1310" s="204"/>
      <c r="AI1310" s="204"/>
      <c r="AJ1310" s="204"/>
      <c r="AK1310" s="204"/>
      <c r="AL1310" s="204"/>
      <c r="AM1310" s="204"/>
      <c r="AN1310" s="204"/>
      <c r="AO1310" s="204"/>
      <c r="AP1310" s="204"/>
      <c r="AQ1310" s="204"/>
      <c r="AR1310" s="204"/>
      <c r="AS1310" s="204"/>
      <c r="AT1310" s="204"/>
      <c r="AU1310" s="204"/>
      <c r="AV1310" s="204"/>
      <c r="AW1310" s="204"/>
      <c r="AX1310" s="204"/>
      <c r="AY1310" s="204"/>
      <c r="AZ1310" s="204"/>
      <c r="BA1310" s="204"/>
      <c r="BB1310" s="204"/>
      <c r="BC1310" s="204"/>
      <c r="BD1310" s="204"/>
      <c r="BE1310" s="204"/>
      <c r="BF1310" s="204"/>
      <c r="BG1310" s="204"/>
      <c r="BH1310" s="204"/>
      <c r="BI1310" s="204"/>
      <c r="BJ1310" s="204"/>
      <c r="BK1310" s="204"/>
      <c r="BL1310" s="204"/>
      <c r="BM1310" s="204"/>
      <c r="BN1310" s="204"/>
      <c r="BO1310" s="204"/>
      <c r="BP1310" s="204"/>
      <c r="BQ1310" s="204"/>
      <c r="BR1310" s="204"/>
      <c r="BS1310" s="204"/>
      <c r="BT1310" s="294"/>
      <c r="BU1310" s="204"/>
      <c r="BV1310" s="204"/>
      <c r="BW1310" s="204"/>
      <c r="BX1310" s="204"/>
      <c r="BY1310" s="204"/>
      <c r="BZ1310" s="204"/>
      <c r="CA1310" s="204"/>
      <c r="CB1310" s="204"/>
      <c r="CC1310" s="204"/>
      <c r="CD1310" s="204"/>
      <c r="CE1310" s="204"/>
      <c r="CF1310" s="204"/>
      <c r="CG1310" s="131"/>
    </row>
    <row r="1311" spans="1:85" x14ac:dyDescent="0.3">
      <c r="A1311" s="496" t="s">
        <v>969</v>
      </c>
      <c r="B1311" s="204"/>
      <c r="C1311" s="642"/>
      <c r="D1311" s="642"/>
      <c r="E1311" s="204"/>
      <c r="F1311" s="204"/>
      <c r="G1311" s="204"/>
      <c r="H1311" s="204"/>
      <c r="I1311" s="204"/>
      <c r="J1311" s="204"/>
      <c r="K1311" s="204"/>
      <c r="L1311" s="204"/>
      <c r="M1311" s="204"/>
      <c r="N1311" s="204"/>
      <c r="O1311" s="204"/>
      <c r="P1311" s="204"/>
      <c r="Q1311" s="204"/>
      <c r="R1311" s="204"/>
      <c r="S1311" s="204"/>
      <c r="T1311" s="204"/>
      <c r="U1311" s="204"/>
      <c r="V1311" s="204"/>
      <c r="W1311" s="204"/>
      <c r="X1311" s="204"/>
      <c r="Y1311" s="204"/>
      <c r="Z1311" s="204"/>
      <c r="AA1311" s="204"/>
      <c r="AB1311" s="204"/>
      <c r="AC1311" s="204"/>
      <c r="AD1311" s="204"/>
      <c r="AE1311" s="204"/>
      <c r="AF1311" s="204"/>
      <c r="AG1311" s="204"/>
      <c r="AH1311" s="204"/>
      <c r="AI1311" s="204"/>
      <c r="AJ1311" s="204"/>
      <c r="AK1311" s="204"/>
      <c r="AL1311" s="204"/>
      <c r="AM1311" s="204"/>
      <c r="AN1311" s="204"/>
      <c r="AO1311" s="204"/>
      <c r="AP1311" s="204"/>
      <c r="AQ1311" s="204"/>
      <c r="AR1311" s="204"/>
      <c r="AS1311" s="204"/>
      <c r="AT1311" s="204"/>
      <c r="AU1311" s="204"/>
      <c r="AV1311" s="204"/>
      <c r="AW1311" s="204"/>
      <c r="AX1311" s="204"/>
      <c r="AY1311" s="204"/>
      <c r="AZ1311" s="204"/>
      <c r="BA1311" s="204"/>
      <c r="BB1311" s="204"/>
      <c r="BC1311" s="204"/>
      <c r="BD1311" s="204"/>
      <c r="BE1311" s="204"/>
      <c r="BF1311" s="204"/>
      <c r="BG1311" s="204"/>
      <c r="BH1311" s="204"/>
      <c r="BI1311" s="204"/>
      <c r="BJ1311" s="204"/>
      <c r="BK1311" s="204"/>
      <c r="BL1311" s="204"/>
      <c r="BM1311" s="204"/>
      <c r="BN1311" s="204"/>
      <c r="BO1311" s="204"/>
      <c r="BP1311" s="204"/>
      <c r="BQ1311" s="204"/>
      <c r="BR1311" s="204"/>
      <c r="BS1311" s="204"/>
      <c r="BT1311" s="294"/>
      <c r="BU1311" s="204"/>
      <c r="BV1311" s="204"/>
      <c r="BW1311" s="204"/>
      <c r="BX1311" s="204"/>
      <c r="BY1311" s="204"/>
      <c r="BZ1311" s="204"/>
      <c r="CA1311" s="204"/>
      <c r="CB1311" s="204"/>
      <c r="CC1311" s="204"/>
      <c r="CD1311" s="204"/>
      <c r="CE1311" s="204"/>
      <c r="CF1311" s="204"/>
      <c r="CG1311" s="131"/>
    </row>
    <row r="1312" spans="1:85" x14ac:dyDescent="0.3">
      <c r="A1312" s="496" t="s">
        <v>970</v>
      </c>
      <c r="B1312" s="204"/>
      <c r="C1312" s="642"/>
      <c r="D1312" s="642"/>
      <c r="E1312" s="204"/>
      <c r="F1312" s="204"/>
      <c r="G1312" s="204"/>
      <c r="H1312" s="204"/>
      <c r="I1312" s="204"/>
      <c r="J1312" s="204"/>
      <c r="K1312" s="204"/>
      <c r="L1312" s="204"/>
      <c r="M1312" s="204"/>
      <c r="N1312" s="204"/>
      <c r="O1312" s="204"/>
      <c r="P1312" s="204"/>
      <c r="Q1312" s="204"/>
      <c r="R1312" s="204"/>
      <c r="S1312" s="204"/>
      <c r="T1312" s="204"/>
      <c r="U1312" s="204"/>
      <c r="V1312" s="204"/>
      <c r="W1312" s="204"/>
      <c r="X1312" s="204"/>
      <c r="Y1312" s="204"/>
      <c r="Z1312" s="204"/>
      <c r="AA1312" s="204"/>
      <c r="AB1312" s="204"/>
      <c r="AC1312" s="204"/>
      <c r="AD1312" s="204"/>
      <c r="AE1312" s="204"/>
      <c r="AF1312" s="204"/>
      <c r="AG1312" s="204"/>
      <c r="AH1312" s="204"/>
      <c r="AI1312" s="204"/>
      <c r="AJ1312" s="204"/>
      <c r="AK1312" s="204"/>
      <c r="AL1312" s="204"/>
      <c r="AM1312" s="204"/>
      <c r="AN1312" s="204"/>
      <c r="AO1312" s="204"/>
      <c r="AP1312" s="204"/>
      <c r="AQ1312" s="204"/>
      <c r="AR1312" s="204"/>
      <c r="AS1312" s="204"/>
      <c r="AT1312" s="204"/>
      <c r="AU1312" s="204"/>
      <c r="AV1312" s="204"/>
      <c r="AW1312" s="204"/>
      <c r="AX1312" s="204"/>
      <c r="AY1312" s="204"/>
      <c r="AZ1312" s="204"/>
      <c r="BA1312" s="204"/>
      <c r="BB1312" s="204"/>
      <c r="BC1312" s="204"/>
      <c r="BD1312" s="204"/>
      <c r="BE1312" s="204"/>
      <c r="BF1312" s="204"/>
      <c r="BG1312" s="204"/>
      <c r="BH1312" s="204"/>
      <c r="BI1312" s="204"/>
      <c r="BJ1312" s="204"/>
      <c r="BK1312" s="204"/>
      <c r="BL1312" s="204"/>
      <c r="BM1312" s="204"/>
      <c r="BN1312" s="204"/>
      <c r="BO1312" s="204"/>
      <c r="BP1312" s="204"/>
      <c r="BQ1312" s="204"/>
      <c r="BR1312" s="204"/>
      <c r="BS1312" s="204"/>
      <c r="BT1312" s="294"/>
      <c r="BU1312" s="204"/>
      <c r="BV1312" s="204"/>
      <c r="BW1312" s="204"/>
      <c r="BX1312" s="204"/>
      <c r="BY1312" s="204"/>
      <c r="BZ1312" s="204"/>
      <c r="CA1312" s="204"/>
      <c r="CB1312" s="204"/>
      <c r="CC1312" s="204"/>
      <c r="CD1312" s="204"/>
      <c r="CE1312" s="204"/>
      <c r="CF1312" s="204"/>
      <c r="CG1312" s="131"/>
    </row>
    <row r="1313" spans="1:85" x14ac:dyDescent="0.3">
      <c r="A1313" s="496" t="s">
        <v>987</v>
      </c>
      <c r="B1313" s="204"/>
      <c r="C1313" s="642"/>
      <c r="D1313" s="642"/>
      <c r="E1313" s="204"/>
      <c r="F1313" s="204"/>
      <c r="G1313" s="204"/>
      <c r="H1313" s="204"/>
      <c r="I1313" s="204"/>
      <c r="J1313" s="204"/>
      <c r="K1313" s="204"/>
      <c r="L1313" s="204"/>
      <c r="M1313" s="204"/>
      <c r="N1313" s="204"/>
      <c r="O1313" s="204"/>
      <c r="P1313" s="204"/>
      <c r="Q1313" s="204"/>
      <c r="R1313" s="204"/>
      <c r="S1313" s="204"/>
      <c r="T1313" s="204"/>
      <c r="U1313" s="204"/>
      <c r="V1313" s="204"/>
      <c r="W1313" s="204"/>
      <c r="X1313" s="204"/>
      <c r="Y1313" s="204"/>
      <c r="Z1313" s="204"/>
      <c r="AA1313" s="204"/>
      <c r="AB1313" s="204"/>
      <c r="AC1313" s="204"/>
      <c r="AD1313" s="204"/>
      <c r="AE1313" s="204"/>
      <c r="AF1313" s="204"/>
      <c r="AG1313" s="204"/>
      <c r="AH1313" s="204"/>
      <c r="AI1313" s="204"/>
      <c r="AJ1313" s="204"/>
      <c r="AK1313" s="204"/>
      <c r="AL1313" s="204"/>
      <c r="AM1313" s="204"/>
      <c r="AN1313" s="204"/>
      <c r="AO1313" s="204"/>
      <c r="AP1313" s="204"/>
      <c r="AQ1313" s="204"/>
      <c r="AR1313" s="204"/>
      <c r="AS1313" s="204"/>
      <c r="AT1313" s="204"/>
      <c r="AU1313" s="204"/>
      <c r="AV1313" s="204"/>
      <c r="AW1313" s="204"/>
      <c r="AX1313" s="204"/>
      <c r="AY1313" s="204"/>
      <c r="AZ1313" s="204"/>
      <c r="BA1313" s="204"/>
      <c r="BB1313" s="204"/>
      <c r="BC1313" s="204"/>
      <c r="BD1313" s="204"/>
      <c r="BE1313" s="204"/>
      <c r="BF1313" s="204"/>
      <c r="BG1313" s="204"/>
      <c r="BH1313" s="204"/>
      <c r="BI1313" s="204"/>
      <c r="BJ1313" s="204"/>
      <c r="BK1313" s="204"/>
      <c r="BL1313" s="204"/>
      <c r="BM1313" s="204"/>
      <c r="BN1313" s="204"/>
      <c r="BO1313" s="204"/>
      <c r="BP1313" s="204"/>
      <c r="BQ1313" s="204"/>
      <c r="BR1313" s="204"/>
      <c r="BS1313" s="204"/>
      <c r="BT1313" s="294"/>
      <c r="BU1313" s="204"/>
      <c r="BV1313" s="204"/>
      <c r="BW1313" s="204"/>
      <c r="BX1313" s="204"/>
      <c r="BY1313" s="204"/>
      <c r="BZ1313" s="204"/>
      <c r="CA1313" s="204"/>
      <c r="CB1313" s="204"/>
      <c r="CC1313" s="204"/>
      <c r="CD1313" s="204"/>
      <c r="CE1313" s="204"/>
      <c r="CF1313" s="204"/>
      <c r="CG1313" s="131"/>
    </row>
    <row r="1314" spans="1:85" x14ac:dyDescent="0.3">
      <c r="A1314" s="496" t="s">
        <v>988</v>
      </c>
      <c r="B1314" s="204"/>
      <c r="C1314" s="642"/>
      <c r="D1314" s="642"/>
      <c r="E1314" s="204"/>
      <c r="F1314" s="204"/>
      <c r="G1314" s="204"/>
      <c r="H1314" s="204"/>
      <c r="I1314" s="204"/>
      <c r="J1314" s="204"/>
      <c r="K1314" s="204"/>
      <c r="L1314" s="204"/>
      <c r="M1314" s="204"/>
      <c r="N1314" s="204"/>
      <c r="O1314" s="204"/>
      <c r="P1314" s="204"/>
      <c r="Q1314" s="204"/>
      <c r="R1314" s="204"/>
      <c r="S1314" s="204"/>
      <c r="T1314" s="204"/>
      <c r="U1314" s="204"/>
      <c r="V1314" s="204"/>
      <c r="W1314" s="204"/>
      <c r="X1314" s="204"/>
      <c r="Y1314" s="204"/>
      <c r="Z1314" s="204"/>
      <c r="AA1314" s="204"/>
      <c r="AB1314" s="204"/>
      <c r="AC1314" s="204"/>
      <c r="AD1314" s="204"/>
      <c r="AE1314" s="204"/>
      <c r="AF1314" s="204"/>
      <c r="AG1314" s="204"/>
      <c r="AH1314" s="204"/>
      <c r="AI1314" s="204"/>
      <c r="AJ1314" s="204"/>
      <c r="AK1314" s="204"/>
      <c r="AL1314" s="204"/>
      <c r="AM1314" s="204"/>
      <c r="AN1314" s="204"/>
      <c r="AO1314" s="204"/>
      <c r="AP1314" s="204"/>
      <c r="AQ1314" s="204"/>
      <c r="AR1314" s="204"/>
      <c r="AS1314" s="204"/>
      <c r="AT1314" s="204"/>
      <c r="AU1314" s="204"/>
      <c r="AV1314" s="204"/>
      <c r="AW1314" s="204"/>
      <c r="AX1314" s="204"/>
      <c r="AY1314" s="204"/>
      <c r="AZ1314" s="204"/>
      <c r="BA1314" s="204"/>
      <c r="BB1314" s="204"/>
      <c r="BC1314" s="204"/>
      <c r="BD1314" s="204"/>
      <c r="BE1314" s="204"/>
      <c r="BF1314" s="204"/>
      <c r="BG1314" s="204"/>
      <c r="BH1314" s="204"/>
      <c r="BI1314" s="204"/>
      <c r="BJ1314" s="204"/>
      <c r="BK1314" s="204"/>
      <c r="BL1314" s="204"/>
      <c r="BM1314" s="204"/>
      <c r="BN1314" s="204"/>
      <c r="BO1314" s="204"/>
      <c r="BP1314" s="204"/>
      <c r="BQ1314" s="204"/>
      <c r="BR1314" s="204"/>
      <c r="BS1314" s="204"/>
      <c r="BT1314" s="294"/>
      <c r="BU1314" s="204"/>
      <c r="BV1314" s="204"/>
      <c r="BW1314" s="204"/>
      <c r="BX1314" s="204"/>
      <c r="BY1314" s="204"/>
      <c r="BZ1314" s="204"/>
      <c r="CA1314" s="204"/>
      <c r="CB1314" s="204"/>
      <c r="CC1314" s="204"/>
      <c r="CD1314" s="204"/>
      <c r="CE1314" s="204"/>
      <c r="CF1314" s="204"/>
      <c r="CG1314" s="131"/>
    </row>
    <row r="1315" spans="1:85" x14ac:dyDescent="0.3">
      <c r="A1315" s="496" t="s">
        <v>989</v>
      </c>
      <c r="B1315" s="204"/>
      <c r="C1315" s="642"/>
      <c r="D1315" s="642"/>
      <c r="E1315" s="204"/>
      <c r="F1315" s="204"/>
      <c r="G1315" s="204"/>
      <c r="H1315" s="204"/>
      <c r="I1315" s="204"/>
      <c r="J1315" s="204"/>
      <c r="K1315" s="204"/>
      <c r="L1315" s="204"/>
      <c r="M1315" s="204"/>
      <c r="N1315" s="204"/>
      <c r="O1315" s="204"/>
      <c r="P1315" s="204"/>
      <c r="Q1315" s="204"/>
      <c r="R1315" s="204"/>
      <c r="S1315" s="204"/>
      <c r="T1315" s="204"/>
      <c r="U1315" s="204"/>
      <c r="V1315" s="204"/>
      <c r="W1315" s="204"/>
      <c r="X1315" s="204"/>
      <c r="Y1315" s="204"/>
      <c r="Z1315" s="204"/>
      <c r="AA1315" s="204"/>
      <c r="AB1315" s="204"/>
      <c r="AC1315" s="204"/>
      <c r="AD1315" s="204"/>
      <c r="AE1315" s="204"/>
      <c r="AF1315" s="204"/>
      <c r="AG1315" s="204"/>
      <c r="AH1315" s="204"/>
      <c r="AI1315" s="204"/>
      <c r="AJ1315" s="204"/>
      <c r="AK1315" s="204"/>
      <c r="AL1315" s="204"/>
      <c r="AM1315" s="204"/>
      <c r="AN1315" s="204"/>
      <c r="AO1315" s="204"/>
      <c r="AP1315" s="204"/>
      <c r="AQ1315" s="204"/>
      <c r="AR1315" s="204"/>
      <c r="AS1315" s="204"/>
      <c r="AT1315" s="204"/>
      <c r="AU1315" s="204"/>
      <c r="AV1315" s="204"/>
      <c r="AW1315" s="204"/>
      <c r="AX1315" s="204"/>
      <c r="AY1315" s="204"/>
      <c r="AZ1315" s="204"/>
      <c r="BA1315" s="204"/>
      <c r="BB1315" s="204"/>
      <c r="BC1315" s="204"/>
      <c r="BD1315" s="204"/>
      <c r="BE1315" s="204"/>
      <c r="BF1315" s="204"/>
      <c r="BG1315" s="204"/>
      <c r="BH1315" s="204"/>
      <c r="BI1315" s="204"/>
      <c r="BJ1315" s="204"/>
      <c r="BK1315" s="204"/>
      <c r="BL1315" s="204"/>
      <c r="BM1315" s="204"/>
      <c r="BN1315" s="204"/>
      <c r="BO1315" s="204"/>
      <c r="BP1315" s="204"/>
      <c r="BQ1315" s="204"/>
      <c r="BR1315" s="204"/>
      <c r="BS1315" s="204"/>
      <c r="BT1315" s="294"/>
      <c r="BU1315" s="204"/>
      <c r="BV1315" s="204"/>
      <c r="BW1315" s="204"/>
      <c r="BX1315" s="204"/>
      <c r="BY1315" s="204"/>
      <c r="BZ1315" s="204"/>
      <c r="CA1315" s="204"/>
      <c r="CB1315" s="204"/>
      <c r="CC1315" s="204"/>
      <c r="CD1315" s="204"/>
      <c r="CE1315" s="204"/>
      <c r="CF1315" s="204"/>
      <c r="CG1315" s="131"/>
    </row>
    <row r="1316" spans="1:85" x14ac:dyDescent="0.3">
      <c r="A1316" s="496" t="s">
        <v>990</v>
      </c>
      <c r="B1316" s="204"/>
      <c r="C1316" s="642"/>
      <c r="D1316" s="642"/>
      <c r="E1316" s="204"/>
      <c r="F1316" s="204"/>
      <c r="G1316" s="204"/>
      <c r="H1316" s="204"/>
      <c r="I1316" s="204"/>
      <c r="J1316" s="204"/>
      <c r="K1316" s="204"/>
      <c r="L1316" s="204"/>
      <c r="M1316" s="204"/>
      <c r="N1316" s="204"/>
      <c r="O1316" s="204"/>
      <c r="P1316" s="204"/>
      <c r="Q1316" s="204"/>
      <c r="R1316" s="204"/>
      <c r="S1316" s="204"/>
      <c r="T1316" s="204"/>
      <c r="U1316" s="204"/>
      <c r="V1316" s="204"/>
      <c r="W1316" s="204"/>
      <c r="X1316" s="204"/>
      <c r="Y1316" s="204"/>
      <c r="Z1316" s="204"/>
      <c r="AA1316" s="204"/>
      <c r="AB1316" s="204"/>
      <c r="AC1316" s="204"/>
      <c r="AD1316" s="204"/>
      <c r="AE1316" s="204"/>
      <c r="AF1316" s="204"/>
      <c r="AG1316" s="204"/>
      <c r="AH1316" s="204"/>
      <c r="AI1316" s="204"/>
      <c r="AJ1316" s="204"/>
      <c r="AK1316" s="204"/>
      <c r="AL1316" s="204"/>
      <c r="AM1316" s="204"/>
      <c r="AN1316" s="204"/>
      <c r="AO1316" s="204"/>
      <c r="AP1316" s="204"/>
      <c r="AQ1316" s="204"/>
      <c r="AR1316" s="204"/>
      <c r="AS1316" s="204"/>
      <c r="AT1316" s="204"/>
      <c r="AU1316" s="204"/>
      <c r="AV1316" s="204"/>
      <c r="AW1316" s="204"/>
      <c r="AX1316" s="204"/>
      <c r="AY1316" s="204"/>
      <c r="AZ1316" s="204"/>
      <c r="BA1316" s="204"/>
      <c r="BB1316" s="204"/>
      <c r="BC1316" s="204"/>
      <c r="BD1316" s="204"/>
      <c r="BE1316" s="204"/>
      <c r="BF1316" s="204"/>
      <c r="BG1316" s="204"/>
      <c r="BH1316" s="204"/>
      <c r="BI1316" s="204"/>
      <c r="BJ1316" s="204"/>
      <c r="BK1316" s="204"/>
      <c r="BL1316" s="204"/>
      <c r="BM1316" s="204"/>
      <c r="BN1316" s="204"/>
      <c r="BO1316" s="204"/>
      <c r="BP1316" s="204"/>
      <c r="BQ1316" s="204"/>
      <c r="BR1316" s="204"/>
      <c r="BS1316" s="204"/>
      <c r="BT1316" s="294"/>
      <c r="BU1316" s="204"/>
      <c r="BV1316" s="204"/>
      <c r="BW1316" s="204"/>
      <c r="BX1316" s="204"/>
      <c r="BY1316" s="204"/>
      <c r="BZ1316" s="204"/>
      <c r="CA1316" s="204"/>
      <c r="CB1316" s="204"/>
      <c r="CC1316" s="204"/>
      <c r="CD1316" s="204"/>
      <c r="CE1316" s="204"/>
      <c r="CF1316" s="204"/>
      <c r="CG1316" s="131"/>
    </row>
    <row r="1317" spans="1:85" x14ac:dyDescent="0.3">
      <c r="A1317" s="289"/>
      <c r="B1317" s="204"/>
      <c r="C1317" s="642"/>
      <c r="D1317" s="642"/>
      <c r="E1317" s="204"/>
      <c r="F1317" s="204"/>
      <c r="G1317" s="204"/>
      <c r="H1317" s="204"/>
      <c r="I1317" s="204"/>
      <c r="J1317" s="204"/>
      <c r="K1317" s="204"/>
      <c r="L1317" s="204"/>
      <c r="M1317" s="204"/>
      <c r="N1317" s="204"/>
      <c r="O1317" s="204"/>
      <c r="P1317" s="204"/>
      <c r="Q1317" s="204"/>
      <c r="R1317" s="204"/>
      <c r="S1317" s="204"/>
      <c r="T1317" s="204"/>
      <c r="U1317" s="204"/>
      <c r="V1317" s="204"/>
      <c r="W1317" s="204"/>
      <c r="X1317" s="204"/>
      <c r="Y1317" s="204"/>
      <c r="Z1317" s="204"/>
      <c r="AA1317" s="204"/>
      <c r="AB1317" s="204"/>
      <c r="AC1317" s="204"/>
      <c r="AD1317" s="204"/>
      <c r="AE1317" s="204"/>
      <c r="AF1317" s="204"/>
      <c r="AG1317" s="204"/>
      <c r="AH1317" s="204"/>
      <c r="AI1317" s="204"/>
      <c r="AJ1317" s="204"/>
      <c r="AK1317" s="204"/>
      <c r="AL1317" s="204"/>
      <c r="AM1317" s="204"/>
      <c r="AN1317" s="204"/>
      <c r="AO1317" s="204"/>
      <c r="AP1317" s="204"/>
      <c r="AQ1317" s="204"/>
      <c r="AR1317" s="204"/>
      <c r="AS1317" s="204"/>
      <c r="AT1317" s="204"/>
      <c r="AU1317" s="204"/>
      <c r="AV1317" s="204"/>
      <c r="AW1317" s="204"/>
      <c r="AX1317" s="204"/>
      <c r="AY1317" s="204"/>
      <c r="AZ1317" s="204"/>
      <c r="BA1317" s="204"/>
      <c r="BB1317" s="204"/>
      <c r="BC1317" s="204"/>
      <c r="BD1317" s="204"/>
      <c r="BE1317" s="204"/>
      <c r="BF1317" s="204"/>
      <c r="BG1317" s="204"/>
      <c r="BH1317" s="204"/>
      <c r="BI1317" s="204"/>
      <c r="BJ1317" s="204"/>
      <c r="BK1317" s="204"/>
      <c r="BL1317" s="204"/>
      <c r="BM1317" s="204"/>
      <c r="BN1317" s="204"/>
      <c r="BO1317" s="204"/>
      <c r="BP1317" s="204"/>
      <c r="BQ1317" s="204"/>
      <c r="BR1317" s="204"/>
      <c r="BS1317" s="204"/>
      <c r="BT1317" s="294"/>
      <c r="BU1317" s="204"/>
      <c r="BV1317" s="204"/>
      <c r="BW1317" s="204"/>
      <c r="BX1317" s="204"/>
      <c r="BY1317" s="204"/>
      <c r="BZ1317" s="204"/>
      <c r="CA1317" s="204"/>
      <c r="CB1317" s="204"/>
      <c r="CC1317" s="204"/>
      <c r="CD1317" s="204"/>
      <c r="CE1317" s="204"/>
      <c r="CF1317" s="204"/>
      <c r="CG1317" s="131"/>
    </row>
    <row r="1318" spans="1:85" x14ac:dyDescent="0.3">
      <c r="A1318" s="284"/>
      <c r="B1318" s="287"/>
      <c r="C1318" s="290"/>
      <c r="D1318" s="290"/>
      <c r="E1318" s="287"/>
      <c r="F1318" s="287"/>
      <c r="G1318" s="287"/>
      <c r="H1318" s="287"/>
      <c r="I1318" s="287"/>
      <c r="J1318" s="287"/>
      <c r="K1318" s="287"/>
      <c r="L1318" s="287"/>
      <c r="M1318" s="287"/>
      <c r="N1318" s="287"/>
      <c r="O1318" s="287"/>
      <c r="P1318" s="287"/>
      <c r="Q1318" s="287"/>
      <c r="R1318" s="287"/>
      <c r="S1318" s="287"/>
      <c r="T1318" s="287"/>
      <c r="U1318" s="287"/>
      <c r="V1318" s="287"/>
      <c r="W1318" s="287"/>
      <c r="X1318" s="287"/>
      <c r="Y1318" s="287"/>
      <c r="Z1318" s="287"/>
      <c r="AA1318" s="287"/>
      <c r="AB1318" s="287"/>
      <c r="AC1318" s="287"/>
      <c r="AD1318" s="287"/>
      <c r="AE1318" s="287"/>
      <c r="AF1318" s="287"/>
      <c r="AG1318" s="287"/>
      <c r="AH1318" s="287"/>
      <c r="AI1318" s="287"/>
      <c r="AJ1318" s="287"/>
      <c r="AK1318" s="287"/>
      <c r="AL1318" s="287"/>
      <c r="AM1318" s="287"/>
      <c r="AN1318" s="287"/>
      <c r="AO1318" s="287"/>
      <c r="AP1318" s="287"/>
      <c r="AQ1318" s="287"/>
      <c r="AR1318" s="287"/>
      <c r="AS1318" s="287"/>
      <c r="AT1318" s="287"/>
      <c r="AU1318" s="287"/>
      <c r="AV1318" s="287"/>
      <c r="AW1318" s="287"/>
      <c r="AX1318" s="287"/>
      <c r="AY1318" s="287"/>
      <c r="AZ1318" s="287"/>
      <c r="BA1318" s="287"/>
      <c r="BB1318" s="287"/>
      <c r="BC1318" s="287"/>
      <c r="BD1318" s="287"/>
      <c r="BE1318" s="287"/>
      <c r="BF1318" s="287"/>
      <c r="BG1318" s="287"/>
      <c r="BH1318" s="287"/>
      <c r="BI1318" s="287"/>
      <c r="BJ1318" s="287"/>
      <c r="BK1318" s="287"/>
      <c r="BL1318" s="287"/>
      <c r="BM1318" s="287"/>
      <c r="BN1318" s="287"/>
      <c r="BO1318" s="287"/>
      <c r="BP1318" s="287"/>
      <c r="BQ1318" s="287"/>
      <c r="BR1318" s="287"/>
      <c r="BS1318" s="287"/>
      <c r="BT1318" s="298"/>
      <c r="BU1318" s="287"/>
      <c r="BV1318" s="287"/>
      <c r="BW1318" s="287"/>
      <c r="BX1318" s="287"/>
      <c r="BY1318" s="287"/>
      <c r="BZ1318" s="287"/>
      <c r="CA1318" s="287"/>
      <c r="CB1318" s="287"/>
      <c r="CC1318" s="287"/>
      <c r="CD1318" s="287"/>
      <c r="CE1318" s="287"/>
      <c r="CF1318" s="287"/>
      <c r="CG1318" s="131"/>
    </row>
    <row r="1319" spans="1:85" x14ac:dyDescent="0.3">
      <c r="A1319" s="505" t="s">
        <v>991</v>
      </c>
      <c r="B1319" s="499"/>
      <c r="C1319" s="500"/>
      <c r="D1319" s="500"/>
      <c r="E1319" s="499"/>
      <c r="F1319" s="499"/>
      <c r="G1319" s="499"/>
      <c r="H1319" s="499"/>
      <c r="I1319" s="499"/>
      <c r="J1319" s="499"/>
      <c r="K1319" s="499"/>
      <c r="L1319" s="499"/>
      <c r="M1319" s="499"/>
      <c r="N1319" s="499"/>
      <c r="O1319" s="499"/>
      <c r="P1319" s="499"/>
      <c r="Q1319" s="499"/>
      <c r="R1319" s="499"/>
      <c r="S1319" s="499"/>
      <c r="T1319" s="499"/>
      <c r="U1319" s="499"/>
      <c r="V1319" s="499"/>
      <c r="W1319" s="499"/>
      <c r="X1319" s="499"/>
      <c r="Y1319" s="499"/>
      <c r="Z1319" s="499"/>
      <c r="AA1319" s="499"/>
      <c r="AB1319" s="499"/>
      <c r="AC1319" s="499"/>
      <c r="AD1319" s="499"/>
      <c r="AE1319" s="499"/>
      <c r="AF1319" s="499"/>
      <c r="AG1319" s="499"/>
      <c r="AH1319" s="499"/>
      <c r="AI1319" s="499"/>
      <c r="AJ1319" s="499"/>
      <c r="AK1319" s="499"/>
      <c r="AL1319" s="499"/>
      <c r="AM1319" s="499"/>
      <c r="AN1319" s="499"/>
      <c r="AO1319" s="499"/>
      <c r="AP1319" s="499"/>
      <c r="AQ1319" s="499"/>
      <c r="AR1319" s="499"/>
      <c r="AS1319" s="499"/>
      <c r="AT1319" s="499"/>
      <c r="AU1319" s="499"/>
      <c r="AV1319" s="499"/>
      <c r="AW1319" s="499"/>
      <c r="AX1319" s="499"/>
      <c r="AY1319" s="499"/>
      <c r="AZ1319" s="499"/>
      <c r="BA1319" s="499"/>
      <c r="BB1319" s="499"/>
      <c r="BC1319" s="499"/>
      <c r="BD1319" s="499"/>
      <c r="BE1319" s="499"/>
      <c r="BF1319" s="499"/>
      <c r="BG1319" s="499"/>
      <c r="BH1319" s="499"/>
      <c r="BI1319" s="499"/>
      <c r="BJ1319" s="499"/>
      <c r="BK1319" s="499"/>
      <c r="BL1319" s="499"/>
      <c r="BM1319" s="499"/>
      <c r="BN1319" s="499"/>
      <c r="BO1319" s="499"/>
      <c r="BP1319" s="499"/>
      <c r="BQ1319" s="499"/>
      <c r="BR1319" s="499"/>
      <c r="BS1319" s="499"/>
      <c r="BT1319" s="501"/>
      <c r="BU1319" s="499"/>
      <c r="BV1319" s="499"/>
      <c r="BW1319" s="499"/>
      <c r="BX1319" s="499"/>
      <c r="BY1319" s="499"/>
      <c r="BZ1319" s="499"/>
      <c r="CA1319" s="499"/>
      <c r="CB1319" s="499"/>
      <c r="CC1319" s="499"/>
      <c r="CD1319" s="499"/>
      <c r="CE1319" s="499"/>
      <c r="CF1319" s="502"/>
      <c r="CG1319" s="131"/>
    </row>
    <row r="1320" spans="1:85" x14ac:dyDescent="0.3">
      <c r="A1320" s="506" t="s">
        <v>992</v>
      </c>
      <c r="B1320" s="204"/>
      <c r="C1320" s="643"/>
      <c r="D1320" s="643"/>
      <c r="E1320" s="508"/>
      <c r="F1320" s="508"/>
      <c r="G1320" s="508"/>
      <c r="H1320" s="508"/>
      <c r="I1320" s="508"/>
      <c r="J1320" s="508"/>
      <c r="K1320" s="508"/>
      <c r="L1320" s="508"/>
      <c r="M1320" s="508"/>
      <c r="N1320" s="508"/>
      <c r="O1320" s="508"/>
      <c r="P1320" s="508"/>
      <c r="Q1320" s="508"/>
      <c r="R1320" s="508"/>
      <c r="S1320" s="508"/>
      <c r="T1320" s="508"/>
      <c r="U1320" s="508"/>
      <c r="V1320" s="508"/>
      <c r="W1320" s="508"/>
      <c r="X1320" s="508"/>
      <c r="Y1320" s="508"/>
      <c r="Z1320" s="508"/>
      <c r="AA1320" s="508"/>
      <c r="AB1320" s="508"/>
      <c r="AC1320" s="508"/>
      <c r="AD1320" s="914">
        <v>43122</v>
      </c>
      <c r="AE1320" s="914">
        <v>43122</v>
      </c>
      <c r="AF1320" s="914">
        <v>43206</v>
      </c>
      <c r="AG1320" s="914">
        <v>43297</v>
      </c>
      <c r="AH1320" s="914">
        <v>43389</v>
      </c>
      <c r="AI1320" s="914">
        <v>43482</v>
      </c>
      <c r="AJ1320" s="914">
        <v>43482</v>
      </c>
      <c r="AK1320" s="914">
        <v>43571</v>
      </c>
      <c r="AL1320" s="914">
        <v>43663</v>
      </c>
      <c r="AM1320" s="914">
        <v>43754</v>
      </c>
      <c r="AN1320" s="914">
        <v>43851</v>
      </c>
      <c r="AO1320" s="914">
        <v>43851</v>
      </c>
      <c r="AP1320" s="914">
        <v>43942</v>
      </c>
      <c r="AQ1320" s="914">
        <v>44028</v>
      </c>
      <c r="AR1320" s="914">
        <v>44114</v>
      </c>
      <c r="AS1320" s="914">
        <v>44215</v>
      </c>
      <c r="AT1320" s="914">
        <v>44215</v>
      </c>
      <c r="AU1320" s="914">
        <v>44306</v>
      </c>
      <c r="AV1320" s="914">
        <v>44397</v>
      </c>
      <c r="AW1320" s="914">
        <v>44488</v>
      </c>
      <c r="AX1320" s="914">
        <v>44581</v>
      </c>
      <c r="AY1320" s="914">
        <v>44581</v>
      </c>
      <c r="AZ1320" s="914">
        <v>44670</v>
      </c>
      <c r="BA1320" s="914">
        <v>44761</v>
      </c>
      <c r="BB1320" s="914">
        <v>44852</v>
      </c>
      <c r="BC1320" s="914">
        <v>44945</v>
      </c>
      <c r="BD1320" s="914">
        <v>44945</v>
      </c>
      <c r="BE1320" s="914">
        <v>45034</v>
      </c>
      <c r="BF1320" s="914">
        <v>45122</v>
      </c>
      <c r="BG1320" s="914">
        <v>45217</v>
      </c>
      <c r="BH1320" s="914">
        <v>45314</v>
      </c>
      <c r="BI1320" s="914">
        <v>45314</v>
      </c>
      <c r="BJ1320" s="914">
        <v>45400</v>
      </c>
      <c r="BK1320" s="914">
        <v>45491</v>
      </c>
      <c r="BL1320" s="914">
        <v>45582</v>
      </c>
      <c r="BM1320" s="914">
        <v>45678</v>
      </c>
      <c r="BN1320" s="914">
        <v>45678</v>
      </c>
      <c r="BO1320" s="914">
        <v>45764</v>
      </c>
      <c r="BP1320" s="914">
        <v>45855</v>
      </c>
      <c r="BQ1320" s="914">
        <v>45951</v>
      </c>
      <c r="BR1320" s="914">
        <v>46042</v>
      </c>
      <c r="BS1320" s="914">
        <v>46042</v>
      </c>
      <c r="BT1320" s="915">
        <v>46128</v>
      </c>
      <c r="BU1320" s="508"/>
      <c r="BV1320" s="508"/>
      <c r="BW1320" s="508"/>
      <c r="BX1320" s="508"/>
      <c r="BY1320" s="508"/>
      <c r="BZ1320" s="508"/>
      <c r="CA1320" s="508"/>
      <c r="CB1320" s="508"/>
      <c r="CC1320" s="508"/>
      <c r="CD1320" s="508"/>
      <c r="CE1320" s="508"/>
      <c r="CF1320" s="509"/>
      <c r="CG1320" s="131"/>
    </row>
    <row r="1321" spans="1:85" x14ac:dyDescent="0.3">
      <c r="A1321" s="506" t="s">
        <v>993</v>
      </c>
      <c r="B1321" s="204"/>
      <c r="C1321" s="644"/>
      <c r="D1321" s="644"/>
      <c r="E1321" s="510"/>
      <c r="F1321" s="510"/>
      <c r="G1321" s="510"/>
      <c r="H1321" s="510"/>
      <c r="I1321" s="510"/>
      <c r="J1321" s="510"/>
      <c r="K1321" s="510"/>
      <c r="L1321" s="510"/>
      <c r="M1321" s="510"/>
      <c r="N1321" s="510"/>
      <c r="O1321" s="510"/>
      <c r="P1321" s="510"/>
      <c r="Q1321" s="510"/>
      <c r="R1321" s="510"/>
      <c r="S1321" s="510"/>
      <c r="T1321" s="510"/>
      <c r="U1321" s="510"/>
      <c r="V1321" s="510"/>
      <c r="W1321" s="510"/>
      <c r="X1321" s="510"/>
      <c r="Y1321" s="510"/>
      <c r="Z1321" s="510"/>
      <c r="AA1321" s="510"/>
      <c r="AB1321" s="510"/>
      <c r="AC1321" s="510"/>
      <c r="AD1321" s="510" t="str">
        <f>AF$5</f>
      </c>
      <c r="AE1321" s="510" t="str">
        <f>AF$5</f>
      </c>
      <c r="AF1321" s="510" t="str">
        <f>AG$5</f>
      </c>
      <c r="AG1321" s="510" t="str">
        <f>AH$5</f>
      </c>
      <c r="AH1321" s="510" t="str">
        <f>AI$5</f>
      </c>
      <c r="AI1321" s="510" t="str">
        <f>AK$5</f>
      </c>
      <c r="AJ1321" s="510" t="str">
        <f>AK$5</f>
      </c>
      <c r="AK1321" s="510" t="str">
        <f>AL$5</f>
      </c>
      <c r="AL1321" s="510" t="str">
        <f>AM$5</f>
      </c>
      <c r="AM1321" s="510" t="str">
        <f>AN$5</f>
      </c>
      <c r="AN1321" s="510" t="str">
        <f>AP$5</f>
      </c>
      <c r="AO1321" s="510" t="str">
        <f>AP$5</f>
      </c>
      <c r="AP1321" s="510" t="str">
        <f>AQ$5</f>
      </c>
      <c r="AQ1321" s="510" t="str">
        <f>AR$5</f>
      </c>
      <c r="AR1321" s="510" t="str">
        <f>AS$5</f>
      </c>
      <c r="AS1321" s="510" t="str">
        <f>AU$5</f>
      </c>
      <c r="AT1321" s="510" t="str">
        <f>AU$5</f>
      </c>
      <c r="AU1321" s="510" t="str">
        <f>AV$5</f>
      </c>
      <c r="AV1321" s="510" t="str">
        <f>AW$5</f>
      </c>
      <c r="AW1321" s="510" t="str">
        <f>AX$5</f>
      </c>
      <c r="AX1321" s="510" t="str">
        <f>AZ$5</f>
      </c>
      <c r="AY1321" s="510" t="str">
        <f>AZ$5</f>
      </c>
      <c r="AZ1321" s="510" t="str">
        <f>BA$5</f>
      </c>
      <c r="BA1321" s="510" t="str">
        <f>BB$5</f>
      </c>
      <c r="BB1321" s="510" t="str">
        <f>BC$5</f>
      </c>
      <c r="BC1321" s="510" t="str">
        <f>BE$5</f>
      </c>
      <c r="BD1321" s="510" t="str">
        <f>BE$5</f>
      </c>
      <c r="BE1321" s="510" t="str">
        <f>BF$5</f>
      </c>
      <c r="BF1321" s="510" t="str">
        <f>BG$5</f>
      </c>
      <c r="BG1321" s="510" t="str">
        <f>BH$5</f>
      </c>
      <c r="BH1321" s="510" t="str">
        <f>BJ$5</f>
      </c>
      <c r="BI1321" s="510" t="str">
        <f>BJ$5</f>
      </c>
      <c r="BJ1321" s="510" t="str">
        <f>BK$5</f>
      </c>
      <c r="BK1321" s="510" t="str">
        <f>BL$5</f>
      </c>
      <c r="BL1321" s="510" t="str">
        <f>BM$5</f>
      </c>
      <c r="BM1321" s="510" t="str">
        <f>BO$5</f>
      </c>
      <c r="BN1321" s="510" t="str">
        <f>BO$5</f>
      </c>
      <c r="BO1321" s="510" t="str">
        <f>BP$5</f>
      </c>
      <c r="BP1321" s="510" t="str">
        <f>BQ$5</f>
      </c>
      <c r="BQ1321" s="510" t="str">
        <f>BR$5</f>
      </c>
      <c r="BR1321" s="510" t="str">
        <f>BT$5</f>
      </c>
      <c r="BS1321" s="510" t="str">
        <f>BT$5</f>
      </c>
      <c r="BT1321" s="545" t="str">
        <f>BU$5</f>
      </c>
      <c r="BU1321" s="510"/>
      <c r="BV1321" s="510"/>
      <c r="BW1321" s="510"/>
      <c r="BX1321" s="510"/>
      <c r="BY1321" s="510"/>
      <c r="BZ1321" s="510"/>
      <c r="CA1321" s="510"/>
      <c r="CB1321" s="510"/>
      <c r="CC1321" s="510"/>
      <c r="CD1321" s="510"/>
      <c r="CE1321" s="510"/>
      <c r="CF1321" s="511"/>
      <c r="CG1321" s="131"/>
    </row>
    <row r="1322" spans="1:85" x14ac:dyDescent="0.3">
      <c r="A1322" s="576" t="s">
        <v>2252</v>
      </c>
      <c r="B1322" s="857" t="s">
        <v>282</v>
      </c>
      <c r="C1322" s="645"/>
      <c r="D1322" s="645"/>
      <c r="E1322" s="753"/>
      <c r="F1322" s="753"/>
      <c r="G1322" s="753"/>
      <c r="H1322" s="753"/>
      <c r="I1322" s="753"/>
      <c r="J1322" s="753"/>
      <c r="K1322" s="753"/>
      <c r="L1322" s="753"/>
      <c r="M1322" s="753"/>
      <c r="N1322" s="753"/>
      <c r="O1322" s="753"/>
      <c r="P1322" s="753"/>
      <c r="Q1322" s="753"/>
      <c r="R1322" s="753"/>
      <c r="S1322" s="753"/>
      <c r="T1322" s="753"/>
      <c r="U1322" s="753"/>
      <c r="V1322" s="753"/>
      <c r="W1322" s="753"/>
      <c r="X1322" s="753"/>
      <c r="Y1322" s="753"/>
      <c r="Z1322" s="753"/>
      <c r="AA1322" s="753"/>
      <c r="AB1322" s="753"/>
      <c r="AC1322" s="753"/>
      <c r="AD1322" s="753" t="str">
        <f t="shared" ref="AD1322:BI1322" si="2860">IF(ISBLANK(AD$1321),"N/A",IF(COUNTIFS(GD_Item_FiscalPeriod,AD$1321,GD_Item_Name,$B1322,GD_Update_Date,AD$1320)=0,"NR",SUMIFS(GD_Guidance_Low,GD_Item_Name,$B1322,GD_Item_FiscalPeriod,AD$1321,GD_Update_Date,AD$1320)))</f>
      </c>
      <c r="AE1322" s="753" t="str">
        <f t="shared" si="2860"/>
      </c>
      <c r="AF1322" s="753" t="str">
        <f t="shared" si="2860"/>
      </c>
      <c r="AG1322" s="753">
        <f t="shared" si="2860"/>
      </c>
      <c r="AH1322" s="753">
        <f t="shared" si="2860"/>
      </c>
      <c r="AI1322" s="753">
        <f t="shared" si="2860"/>
      </c>
      <c r="AJ1322" s="753">
        <f t="shared" si="2860"/>
      </c>
      <c r="AK1322" s="753">
        <f t="shared" si="2860"/>
      </c>
      <c r="AL1322" s="753">
        <f t="shared" si="2860"/>
      </c>
      <c r="AM1322" s="753">
        <f t="shared" si="2860"/>
      </c>
      <c r="AN1322" s="753">
        <f t="shared" si="2860"/>
      </c>
      <c r="AO1322" s="753">
        <f t="shared" si="2860"/>
      </c>
      <c r="AP1322" s="753">
        <f t="shared" si="2860"/>
      </c>
      <c r="AQ1322" s="753">
        <f t="shared" si="2860"/>
      </c>
      <c r="AR1322" s="753">
        <f t="shared" si="2860"/>
      </c>
      <c r="AS1322" s="753">
        <f t="shared" si="2860"/>
      </c>
      <c r="AT1322" s="753">
        <f t="shared" si="2860"/>
      </c>
      <c r="AU1322" s="753">
        <f t="shared" si="2860"/>
      </c>
      <c r="AV1322" s="753">
        <f t="shared" si="2860"/>
      </c>
      <c r="AW1322" s="753">
        <f t="shared" si="2860"/>
      </c>
      <c r="AX1322" s="753">
        <f t="shared" si="2860"/>
      </c>
      <c r="AY1322" s="753">
        <f t="shared" si="2860"/>
      </c>
      <c r="AZ1322" s="753">
        <f t="shared" si="2860"/>
      </c>
      <c r="BA1322" s="753">
        <f t="shared" si="2860"/>
      </c>
      <c r="BB1322" s="753">
        <f t="shared" si="2860"/>
      </c>
      <c r="BC1322" s="753">
        <f t="shared" si="2860"/>
      </c>
      <c r="BD1322" s="753">
        <f t="shared" si="2860"/>
      </c>
      <c r="BE1322" s="753">
        <f t="shared" si="2860"/>
      </c>
      <c r="BF1322" s="753">
        <f t="shared" si="2860"/>
      </c>
      <c r="BG1322" s="753">
        <f t="shared" si="2860"/>
      </c>
      <c r="BH1322" s="753">
        <f t="shared" si="2860"/>
      </c>
      <c r="BI1322" s="753">
        <f t="shared" si="2860"/>
      </c>
      <c r="BJ1322" s="753">
        <f t="shared" ref="BJ1322:BX1322" si="2861">IF(ISBLANK(BJ$1321),"N/A",IF(COUNTIFS(GD_Item_FiscalPeriod,BJ$1321,GD_Item_Name,$B1322,GD_Update_Date,BJ$1320)=0,"NR",SUMIFS(GD_Guidance_Low,GD_Item_Name,$B1322,GD_Item_FiscalPeriod,BJ$1321,GD_Update_Date,BJ$1320)))</f>
      </c>
      <c r="BK1322" s="753">
        <f t="shared" si="2861"/>
      </c>
      <c r="BL1322" s="753">
        <f t="shared" si="2861"/>
      </c>
      <c r="BM1322" s="753">
        <f t="shared" si="2861"/>
      </c>
      <c r="BN1322" s="753">
        <f t="shared" si="2861"/>
      </c>
      <c r="BO1322" s="753">
        <f t="shared" si="2861"/>
      </c>
      <c r="BP1322" s="753">
        <f t="shared" si="2861"/>
      </c>
      <c r="BQ1322" s="753">
        <f t="shared" ref="BQ1322:BW1322" si="2862">IF(ISBLANK(BQ$1321),"N/A",IF(COUNTIFS(GD_Item_FiscalPeriod,BQ$1321,GD_Item_Name,$B1322,GD_Update_Date,BQ$1320)=0,"NR",SUMIFS(GD_Guidance_Low,GD_Item_Name,$B1322,GD_Item_FiscalPeriod,BQ$1321,GD_Update_Date,BQ$1320)))</f>
      </c>
      <c r="BR1322" s="753">
        <f t="shared" si="2862"/>
      </c>
      <c r="BS1322" s="753">
        <f t="shared" si="2862"/>
      </c>
      <c r="BT1322" s="756">
        <f>IF(ISBLANK(BT$1321),"N/A",IF(COUNTIFS(GD_Item_FiscalPeriod,BT$1321,GD_Item_Name,$B1322,GD_Update_Date,BT$1320)=0,"NR",SUMIFS(GD_Guidance_Low,GD_Item_Name,$B1322,GD_Item_FiscalPeriod,BT$1321,GD_Update_Date,BT$1320)))</f>
      </c>
      <c r="BU1322" s="753" t="str">
        <f t="shared" si="2862"/>
      </c>
      <c r="BV1322" s="753" t="str">
        <f t="shared" si="2862"/>
      </c>
      <c r="BW1322" s="753" t="str">
        <f t="shared" si="2862"/>
      </c>
      <c r="BX1322" s="753" t="str">
        <f t="shared" si="2861"/>
      </c>
      <c r="BY1322" s="753" t="str">
        <f t="shared" ref="BY1322:CF1322" si="2863">IF(ISBLANK(BY$1321),"N/A",IF(COUNTIFS(GD_Item_FiscalPeriod,BY$1321,GD_Item_Name,$B1322,GD_Update_Date,BY$1320)=0,"NR",SUMIFS(GD_Guidance_Low,GD_Item_Name,$B1322,GD_Item_FiscalPeriod,BY$1321,GD_Update_Date,BY$1320)))</f>
      </c>
      <c r="BZ1322" s="753" t="str">
        <f t="shared" si="2863"/>
      </c>
      <c r="CA1322" s="753" t="str">
        <f t="shared" si="2863"/>
      </c>
      <c r="CB1322" s="753" t="str">
        <f t="shared" si="2863"/>
      </c>
      <c r="CC1322" s="753" t="str">
        <f t="shared" si="2863"/>
      </c>
      <c r="CD1322" s="753" t="str">
        <f t="shared" si="2863"/>
      </c>
      <c r="CE1322" s="753" t="str">
        <f t="shared" si="2863"/>
      </c>
      <c r="CF1322" s="577" t="str">
        <f t="shared" si="2863"/>
      </c>
      <c r="CG1322" s="131"/>
    </row>
    <row r="1323" spans="1:85" x14ac:dyDescent="0.3">
      <c r="A1323" s="576" t="s">
        <v>2253</v>
      </c>
      <c r="B1323" s="857" t="s">
        <v>282</v>
      </c>
      <c r="C1323" s="645"/>
      <c r="D1323" s="645"/>
      <c r="E1323" s="753"/>
      <c r="F1323" s="753"/>
      <c r="G1323" s="753"/>
      <c r="H1323" s="753"/>
      <c r="I1323" s="753"/>
      <c r="J1323" s="753"/>
      <c r="K1323" s="753"/>
      <c r="L1323" s="753"/>
      <c r="M1323" s="753"/>
      <c r="N1323" s="753"/>
      <c r="O1323" s="753"/>
      <c r="P1323" s="753"/>
      <c r="Q1323" s="753"/>
      <c r="R1323" s="753"/>
      <c r="S1323" s="753"/>
      <c r="T1323" s="753"/>
      <c r="U1323" s="753"/>
      <c r="V1323" s="753"/>
      <c r="W1323" s="753"/>
      <c r="X1323" s="753"/>
      <c r="Y1323" s="753"/>
      <c r="Z1323" s="753"/>
      <c r="AA1323" s="753"/>
      <c r="AB1323" s="753"/>
      <c r="AC1323" s="753"/>
      <c r="AD1323" s="753" t="str">
        <f t="shared" ref="AD1323:BI1323" si="2864">IF(ISBLANK(AD$1321),"N/A",IF(COUNTIFS(GD_Item_FiscalPeriod,AD$1321,GD_Item_Name,$B1323,GD_Update_Date,AD$1320)=0,"NR",SUMIFS(GD_Guidance_High,GD_Item_Name,$B1323,GD_Item_FiscalPeriod,AD$1321,GD_Update_Date,AD$1320)))</f>
      </c>
      <c r="AE1323" s="753" t="str">
        <f t="shared" si="2864"/>
      </c>
      <c r="AF1323" s="753" t="str">
        <f t="shared" si="2864"/>
      </c>
      <c r="AG1323" s="753">
        <f t="shared" si="2864"/>
      </c>
      <c r="AH1323" s="753">
        <f t="shared" si="2864"/>
      </c>
      <c r="AI1323" s="753">
        <f t="shared" si="2864"/>
      </c>
      <c r="AJ1323" s="753">
        <f t="shared" si="2864"/>
      </c>
      <c r="AK1323" s="753">
        <f t="shared" si="2864"/>
      </c>
      <c r="AL1323" s="753">
        <f t="shared" si="2864"/>
      </c>
      <c r="AM1323" s="753">
        <f t="shared" si="2864"/>
      </c>
      <c r="AN1323" s="753">
        <f t="shared" si="2864"/>
      </c>
      <c r="AO1323" s="753">
        <f t="shared" si="2864"/>
      </c>
      <c r="AP1323" s="753">
        <f t="shared" si="2864"/>
      </c>
      <c r="AQ1323" s="753">
        <f t="shared" si="2864"/>
      </c>
      <c r="AR1323" s="753">
        <f t="shared" si="2864"/>
      </c>
      <c r="AS1323" s="753">
        <f t="shared" si="2864"/>
      </c>
      <c r="AT1323" s="753">
        <f t="shared" si="2864"/>
      </c>
      <c r="AU1323" s="753">
        <f t="shared" si="2864"/>
      </c>
      <c r="AV1323" s="753">
        <f t="shared" si="2864"/>
      </c>
      <c r="AW1323" s="753">
        <f t="shared" si="2864"/>
      </c>
      <c r="AX1323" s="753">
        <f t="shared" si="2864"/>
      </c>
      <c r="AY1323" s="753">
        <f t="shared" si="2864"/>
      </c>
      <c r="AZ1323" s="753">
        <f t="shared" si="2864"/>
      </c>
      <c r="BA1323" s="753">
        <f t="shared" si="2864"/>
      </c>
      <c r="BB1323" s="753">
        <f t="shared" si="2864"/>
      </c>
      <c r="BC1323" s="753">
        <f t="shared" si="2864"/>
      </c>
      <c r="BD1323" s="753">
        <f t="shared" si="2864"/>
      </c>
      <c r="BE1323" s="753">
        <f t="shared" si="2864"/>
      </c>
      <c r="BF1323" s="753">
        <f t="shared" si="2864"/>
      </c>
      <c r="BG1323" s="753">
        <f t="shared" si="2864"/>
      </c>
      <c r="BH1323" s="753">
        <f t="shared" si="2864"/>
      </c>
      <c r="BI1323" s="753">
        <f t="shared" si="2864"/>
      </c>
      <c r="BJ1323" s="753">
        <f t="shared" ref="BJ1323:BX1323" si="2865">IF(ISBLANK(BJ$1321),"N/A",IF(COUNTIFS(GD_Item_FiscalPeriod,BJ$1321,GD_Item_Name,$B1323,GD_Update_Date,BJ$1320)=0,"NR",SUMIFS(GD_Guidance_High,GD_Item_Name,$B1323,GD_Item_FiscalPeriod,BJ$1321,GD_Update_Date,BJ$1320)))</f>
      </c>
      <c r="BK1323" s="753">
        <f t="shared" si="2865"/>
      </c>
      <c r="BL1323" s="753">
        <f t="shared" si="2865"/>
      </c>
      <c r="BM1323" s="753">
        <f t="shared" si="2865"/>
      </c>
      <c r="BN1323" s="753">
        <f t="shared" si="2865"/>
      </c>
      <c r="BO1323" s="753">
        <f t="shared" si="2865"/>
      </c>
      <c r="BP1323" s="753">
        <f t="shared" si="2865"/>
      </c>
      <c r="BQ1323" s="753">
        <f t="shared" ref="BQ1323:BW1323" si="2866">IF(ISBLANK(BQ$1321),"N/A",IF(COUNTIFS(GD_Item_FiscalPeriod,BQ$1321,GD_Item_Name,$B1323,GD_Update_Date,BQ$1320)=0,"NR",SUMIFS(GD_Guidance_High,GD_Item_Name,$B1323,GD_Item_FiscalPeriod,BQ$1321,GD_Update_Date,BQ$1320)))</f>
      </c>
      <c r="BR1323" s="753">
        <f t="shared" si="2866"/>
      </c>
      <c r="BS1323" s="753">
        <f t="shared" si="2866"/>
      </c>
      <c r="BT1323" s="756">
        <f>IF(ISBLANK(BT$1321),"N/A",IF(COUNTIFS(GD_Item_FiscalPeriod,BT$1321,GD_Item_Name,$B1323,GD_Update_Date,BT$1320)=0,"NR",SUMIFS(GD_Guidance_High,GD_Item_Name,$B1323,GD_Item_FiscalPeriod,BT$1321,GD_Update_Date,BT$1320)))</f>
      </c>
      <c r="BU1323" s="753" t="str">
        <f t="shared" si="2866"/>
      </c>
      <c r="BV1323" s="753" t="str">
        <f t="shared" si="2866"/>
      </c>
      <c r="BW1323" s="753" t="str">
        <f t="shared" si="2866"/>
      </c>
      <c r="BX1323" s="753" t="str">
        <f t="shared" si="2865"/>
      </c>
      <c r="BY1323" s="753" t="str">
        <f t="shared" ref="BY1323:CF1323" si="2867">IF(ISBLANK(BY$1321),"N/A",IF(COUNTIFS(GD_Item_FiscalPeriod,BY$1321,GD_Item_Name,$B1323,GD_Update_Date,BY$1320)=0,"NR",SUMIFS(GD_Guidance_High,GD_Item_Name,$B1323,GD_Item_FiscalPeriod,BY$1321,GD_Update_Date,BY$1320)))</f>
      </c>
      <c r="BZ1323" s="753" t="str">
        <f t="shared" si="2867"/>
      </c>
      <c r="CA1323" s="753" t="str">
        <f t="shared" si="2867"/>
      </c>
      <c r="CB1323" s="753" t="str">
        <f t="shared" si="2867"/>
      </c>
      <c r="CC1323" s="753" t="str">
        <f t="shared" si="2867"/>
      </c>
      <c r="CD1323" s="753" t="str">
        <f t="shared" si="2867"/>
      </c>
      <c r="CE1323" s="753" t="str">
        <f t="shared" si="2867"/>
      </c>
      <c r="CF1323" s="577" t="str">
        <f t="shared" si="2867"/>
      </c>
      <c r="CG1323" s="131"/>
    </row>
    <row r="1324" spans="1:85" x14ac:dyDescent="0.3">
      <c r="A1324" s="576" t="s">
        <v>2254</v>
      </c>
      <c r="B1324" s="857" t="s">
        <v>282</v>
      </c>
      <c r="C1324" s="645"/>
      <c r="D1324" s="645"/>
      <c r="E1324" s="753"/>
      <c r="F1324" s="753"/>
      <c r="G1324" s="753"/>
      <c r="H1324" s="753"/>
      <c r="I1324" s="753"/>
      <c r="J1324" s="753"/>
      <c r="K1324" s="753"/>
      <c r="L1324" s="753"/>
      <c r="M1324" s="753"/>
      <c r="N1324" s="753"/>
      <c r="O1324" s="753"/>
      <c r="P1324" s="753"/>
      <c r="Q1324" s="753"/>
      <c r="R1324" s="753"/>
      <c r="S1324" s="753"/>
      <c r="T1324" s="753"/>
      <c r="U1324" s="753"/>
      <c r="V1324" s="753"/>
      <c r="W1324" s="753"/>
      <c r="X1324" s="753"/>
      <c r="Y1324" s="753"/>
      <c r="Z1324" s="753"/>
      <c r="AA1324" s="753"/>
      <c r="AB1324" s="753"/>
      <c r="AC1324" s="753"/>
      <c r="AD1324" s="753" t="str">
        <f t="shared" ref="AD1324:BI1324" si="2868">IF(ISBLANK(AD$1321),"N/A",IF(COUNTIFS(GD_Item_FiscalPeriod,AD$1321,GD_Item_Name,$B1324,GD_Update_Date,AD$1320)=0,"NR",SUMIFS(GD_Guidance_Mid,GD_Item_Name,$B1324,GD_Item_FiscalPeriod,AD$1321,GD_Update_Date,AD$1320)))</f>
      </c>
      <c r="AE1324" s="753" t="str">
        <f t="shared" si="2868"/>
      </c>
      <c r="AF1324" s="753" t="str">
        <f t="shared" si="2868"/>
      </c>
      <c r="AG1324" s="753">
        <f t="shared" si="2868"/>
      </c>
      <c r="AH1324" s="753">
        <f t="shared" si="2868"/>
      </c>
      <c r="AI1324" s="753">
        <f t="shared" si="2868"/>
      </c>
      <c r="AJ1324" s="753">
        <f t="shared" si="2868"/>
      </c>
      <c r="AK1324" s="753">
        <f t="shared" si="2868"/>
      </c>
      <c r="AL1324" s="753">
        <f t="shared" si="2868"/>
      </c>
      <c r="AM1324" s="753">
        <f t="shared" si="2868"/>
      </c>
      <c r="AN1324" s="753">
        <f t="shared" si="2868"/>
      </c>
      <c r="AO1324" s="753">
        <f t="shared" si="2868"/>
      </c>
      <c r="AP1324" s="753">
        <f t="shared" si="2868"/>
      </c>
      <c r="AQ1324" s="753">
        <f t="shared" si="2868"/>
      </c>
      <c r="AR1324" s="753">
        <f t="shared" si="2868"/>
      </c>
      <c r="AS1324" s="753">
        <f t="shared" si="2868"/>
      </c>
      <c r="AT1324" s="753">
        <f t="shared" si="2868"/>
      </c>
      <c r="AU1324" s="753">
        <f t="shared" si="2868"/>
      </c>
      <c r="AV1324" s="753">
        <f t="shared" si="2868"/>
      </c>
      <c r="AW1324" s="753">
        <f t="shared" si="2868"/>
      </c>
      <c r="AX1324" s="753">
        <f t="shared" si="2868"/>
      </c>
      <c r="AY1324" s="753">
        <f t="shared" si="2868"/>
      </c>
      <c r="AZ1324" s="753">
        <f t="shared" si="2868"/>
      </c>
      <c r="BA1324" s="753">
        <f t="shared" si="2868"/>
      </c>
      <c r="BB1324" s="753">
        <f t="shared" si="2868"/>
      </c>
      <c r="BC1324" s="753">
        <f t="shared" si="2868"/>
      </c>
      <c r="BD1324" s="753">
        <f t="shared" si="2868"/>
      </c>
      <c r="BE1324" s="753">
        <f t="shared" si="2868"/>
      </c>
      <c r="BF1324" s="753">
        <f t="shared" si="2868"/>
      </c>
      <c r="BG1324" s="753">
        <f t="shared" si="2868"/>
      </c>
      <c r="BH1324" s="753">
        <f t="shared" si="2868"/>
      </c>
      <c r="BI1324" s="753">
        <f t="shared" si="2868"/>
      </c>
      <c r="BJ1324" s="753">
        <f t="shared" ref="BJ1324:BX1324" si="2869">IF(ISBLANK(BJ$1321),"N/A",IF(COUNTIFS(GD_Item_FiscalPeriod,BJ$1321,GD_Item_Name,$B1324,GD_Update_Date,BJ$1320)=0,"NR",SUMIFS(GD_Guidance_Mid,GD_Item_Name,$B1324,GD_Item_FiscalPeriod,BJ$1321,GD_Update_Date,BJ$1320)))</f>
      </c>
      <c r="BK1324" s="753">
        <f t="shared" si="2869"/>
      </c>
      <c r="BL1324" s="753">
        <f t="shared" si="2869"/>
      </c>
      <c r="BM1324" s="753">
        <f t="shared" si="2869"/>
      </c>
      <c r="BN1324" s="753">
        <f t="shared" si="2869"/>
      </c>
      <c r="BO1324" s="753">
        <f t="shared" si="2869"/>
      </c>
      <c r="BP1324" s="753">
        <f t="shared" si="2869"/>
      </c>
      <c r="BQ1324" s="753">
        <f t="shared" ref="BQ1324:BW1324" si="2870">IF(ISBLANK(BQ$1321),"N/A",IF(COUNTIFS(GD_Item_FiscalPeriod,BQ$1321,GD_Item_Name,$B1324,GD_Update_Date,BQ$1320)=0,"NR",SUMIFS(GD_Guidance_Mid,GD_Item_Name,$B1324,GD_Item_FiscalPeriod,BQ$1321,GD_Update_Date,BQ$1320)))</f>
      </c>
      <c r="BR1324" s="753">
        <f t="shared" si="2870"/>
      </c>
      <c r="BS1324" s="753">
        <f t="shared" si="2870"/>
      </c>
      <c r="BT1324" s="756">
        <f>IF(ISBLANK(BT$1321),"N/A",IF(COUNTIFS(GD_Item_FiscalPeriod,BT$1321,GD_Item_Name,$B1324,GD_Update_Date,BT$1320)=0,"NR",SUMIFS(GD_Guidance_Mid,GD_Item_Name,$B1324,GD_Item_FiscalPeriod,BT$1321,GD_Update_Date,BT$1320)))</f>
      </c>
      <c r="BU1324" s="753" t="str">
        <f t="shared" si="2870"/>
      </c>
      <c r="BV1324" s="753" t="str">
        <f t="shared" si="2870"/>
      </c>
      <c r="BW1324" s="753" t="str">
        <f t="shared" si="2870"/>
      </c>
      <c r="BX1324" s="753" t="str">
        <f t="shared" si="2869"/>
      </c>
      <c r="BY1324" s="753" t="str">
        <f t="shared" ref="BY1324:CF1324" si="2871">IF(ISBLANK(BY$1321),"N/A",IF(COUNTIFS(GD_Item_FiscalPeriod,BY$1321,GD_Item_Name,$B1324,GD_Update_Date,BY$1320)=0,"NR",SUMIFS(GD_Guidance_Mid,GD_Item_Name,$B1324,GD_Item_FiscalPeriod,BY$1321,GD_Update_Date,BY$1320)))</f>
      </c>
      <c r="BZ1324" s="753" t="str">
        <f t="shared" si="2871"/>
      </c>
      <c r="CA1324" s="753" t="str">
        <f t="shared" si="2871"/>
      </c>
      <c r="CB1324" s="753" t="str">
        <f t="shared" si="2871"/>
      </c>
      <c r="CC1324" s="753" t="str">
        <f t="shared" si="2871"/>
      </c>
      <c r="CD1324" s="753" t="str">
        <f t="shared" si="2871"/>
      </c>
      <c r="CE1324" s="753" t="str">
        <f t="shared" si="2871"/>
      </c>
      <c r="CF1324" s="577" t="str">
        <f t="shared" si="2871"/>
      </c>
      <c r="CG1324" s="131"/>
    </row>
    <row r="1325" spans="1:85" x14ac:dyDescent="0.3">
      <c r="A1325" s="578" t="s">
        <v>2255</v>
      </c>
      <c r="B1325" s="867" t="s">
        <v>285</v>
      </c>
      <c r="C1325" s="646"/>
      <c r="D1325" s="646"/>
      <c r="E1325" s="68"/>
      <c r="F1325" s="68"/>
      <c r="G1325" s="68"/>
      <c r="H1325" s="68"/>
      <c r="I1325" s="68"/>
      <c r="J1325" s="68"/>
      <c r="K1325" s="68"/>
      <c r="L1325" s="68"/>
      <c r="M1325" s="68"/>
      <c r="N1325" s="68"/>
      <c r="O1325" s="68"/>
      <c r="P1325" s="68"/>
      <c r="Q1325" s="68"/>
      <c r="R1325" s="68"/>
      <c r="S1325" s="68"/>
      <c r="T1325" s="68"/>
      <c r="U1325" s="68"/>
      <c r="V1325" s="68"/>
      <c r="W1325" s="68"/>
      <c r="X1325" s="68"/>
      <c r="Y1325" s="68"/>
      <c r="Z1325" s="68"/>
      <c r="AA1325" s="68"/>
      <c r="AB1325" s="68"/>
      <c r="AC1325" s="68"/>
      <c r="AD1325" s="68" t="str">
        <f t="shared" ref="AD1325:BI1325" si="2872">IF(ISBLANK(AD$1321),"N/A",IF(COUNTIFS(GD_Item_FiscalPeriod,AD$1321,GD_Item_Name,$B1325,GD_Update_Date,AD$1320)=0,"NR",SUMIFS(GD_Guidance_Low,GD_Item_Name,$B1325,GD_Item_FiscalPeriod,AD$1321,GD_Update_Date,AD$1320)))</f>
      </c>
      <c r="AE1325" s="68" t="str">
        <f t="shared" si="2872"/>
      </c>
      <c r="AF1325" s="68" t="str">
        <f t="shared" si="2872"/>
      </c>
      <c r="AG1325" s="68">
        <f t="shared" si="2872"/>
      </c>
      <c r="AH1325" s="68">
        <f t="shared" si="2872"/>
      </c>
      <c r="AI1325" s="68">
        <f t="shared" si="2872"/>
      </c>
      <c r="AJ1325" s="68">
        <f t="shared" si="2872"/>
      </c>
      <c r="AK1325" s="68">
        <f t="shared" si="2872"/>
      </c>
      <c r="AL1325" s="68">
        <f t="shared" si="2872"/>
      </c>
      <c r="AM1325" s="68">
        <f t="shared" si="2872"/>
      </c>
      <c r="AN1325" s="68">
        <f t="shared" si="2872"/>
      </c>
      <c r="AO1325" s="68">
        <f t="shared" si="2872"/>
      </c>
      <c r="AP1325" s="68">
        <f t="shared" si="2872"/>
      </c>
      <c r="AQ1325" s="68">
        <f t="shared" si="2872"/>
      </c>
      <c r="AR1325" s="68">
        <f t="shared" si="2872"/>
      </c>
      <c r="AS1325" s="68">
        <f t="shared" si="2872"/>
      </c>
      <c r="AT1325" s="68">
        <f t="shared" si="2872"/>
      </c>
      <c r="AU1325" s="68">
        <f t="shared" si="2872"/>
      </c>
      <c r="AV1325" s="68">
        <f t="shared" si="2872"/>
      </c>
      <c r="AW1325" s="68">
        <f t="shared" si="2872"/>
      </c>
      <c r="AX1325" s="68">
        <f t="shared" si="2872"/>
      </c>
      <c r="AY1325" s="68">
        <f t="shared" si="2872"/>
      </c>
      <c r="AZ1325" s="68">
        <f t="shared" si="2872"/>
      </c>
      <c r="BA1325" s="68">
        <f t="shared" si="2872"/>
      </c>
      <c r="BB1325" s="68">
        <f t="shared" si="2872"/>
      </c>
      <c r="BC1325" s="68">
        <f t="shared" si="2872"/>
      </c>
      <c r="BD1325" s="68">
        <f t="shared" si="2872"/>
      </c>
      <c r="BE1325" s="68">
        <f t="shared" si="2872"/>
      </c>
      <c r="BF1325" s="68">
        <f t="shared" si="2872"/>
      </c>
      <c r="BG1325" s="68">
        <f t="shared" si="2872"/>
      </c>
      <c r="BH1325" s="68">
        <f t="shared" si="2872"/>
      </c>
      <c r="BI1325" s="68">
        <f t="shared" si="2872"/>
      </c>
      <c r="BJ1325" s="68">
        <f t="shared" ref="BJ1325:BX1325" si="2873">IF(ISBLANK(BJ$1321),"N/A",IF(COUNTIFS(GD_Item_FiscalPeriod,BJ$1321,GD_Item_Name,$B1325,GD_Update_Date,BJ$1320)=0,"NR",SUMIFS(GD_Guidance_Low,GD_Item_Name,$B1325,GD_Item_FiscalPeriod,BJ$1321,GD_Update_Date,BJ$1320)))</f>
      </c>
      <c r="BK1325" s="68">
        <f t="shared" si="2873"/>
      </c>
      <c r="BL1325" s="68">
        <f t="shared" si="2873"/>
      </c>
      <c r="BM1325" s="68">
        <f t="shared" si="2873"/>
      </c>
      <c r="BN1325" s="68">
        <f t="shared" si="2873"/>
      </c>
      <c r="BO1325" s="68">
        <f t="shared" si="2873"/>
      </c>
      <c r="BP1325" s="68">
        <f t="shared" si="2873"/>
      </c>
      <c r="BQ1325" s="68">
        <f t="shared" ref="BQ1325:BW1325" si="2874">IF(ISBLANK(BQ$1321),"N/A",IF(COUNTIFS(GD_Item_FiscalPeriod,BQ$1321,GD_Item_Name,$B1325,GD_Update_Date,BQ$1320)=0,"NR",SUMIFS(GD_Guidance_Low,GD_Item_Name,$B1325,GD_Item_FiscalPeriod,BQ$1321,GD_Update_Date,BQ$1320)))</f>
      </c>
      <c r="BR1325" s="68">
        <f t="shared" si="2874"/>
      </c>
      <c r="BS1325" s="68">
        <f t="shared" si="2874"/>
      </c>
      <c r="BT1325" s="541">
        <f>IF(ISBLANK(BT$1321),"N/A",IF(COUNTIFS(GD_Item_FiscalPeriod,BT$1321,GD_Item_Name,$B1325,GD_Update_Date,BT$1320)=0,"NR",SUMIFS(GD_Guidance_Low,GD_Item_Name,$B1325,GD_Item_FiscalPeriod,BT$1321,GD_Update_Date,BT$1320)))</f>
      </c>
      <c r="BU1325" s="68" t="str">
        <f t="shared" si="2874"/>
      </c>
      <c r="BV1325" s="68" t="str">
        <f t="shared" si="2874"/>
      </c>
      <c r="BW1325" s="68" t="str">
        <f t="shared" si="2874"/>
      </c>
      <c r="BX1325" s="68" t="str">
        <f t="shared" si="2873"/>
      </c>
      <c r="BY1325" s="68" t="str">
        <f t="shared" ref="BY1325:CF1325" si="2875">IF(ISBLANK(BY$1321),"N/A",IF(COUNTIFS(GD_Item_FiscalPeriod,BY$1321,GD_Item_Name,$B1325,GD_Update_Date,BY$1320)=0,"NR",SUMIFS(GD_Guidance_Low,GD_Item_Name,$B1325,GD_Item_FiscalPeriod,BY$1321,GD_Update_Date,BY$1320)))</f>
      </c>
      <c r="BZ1325" s="68" t="str">
        <f t="shared" si="2875"/>
      </c>
      <c r="CA1325" s="68" t="str">
        <f t="shared" si="2875"/>
      </c>
      <c r="CB1325" s="68" t="str">
        <f t="shared" si="2875"/>
      </c>
      <c r="CC1325" s="68" t="str">
        <f t="shared" si="2875"/>
      </c>
      <c r="CD1325" s="68" t="str">
        <f t="shared" si="2875"/>
      </c>
      <c r="CE1325" s="68" t="str">
        <f t="shared" si="2875"/>
      </c>
      <c r="CF1325" s="579" t="str">
        <f t="shared" si="2875"/>
      </c>
      <c r="CG1325" s="131"/>
    </row>
    <row r="1326" spans="1:85" x14ac:dyDescent="0.3">
      <c r="A1326" s="578" t="s">
        <v>2256</v>
      </c>
      <c r="B1326" s="867" t="s">
        <v>285</v>
      </c>
      <c r="C1326" s="646"/>
      <c r="D1326" s="646"/>
      <c r="E1326" s="68"/>
      <c r="F1326" s="68"/>
      <c r="G1326" s="68"/>
      <c r="H1326" s="68"/>
      <c r="I1326" s="68"/>
      <c r="J1326" s="68"/>
      <c r="K1326" s="68"/>
      <c r="L1326" s="68"/>
      <c r="M1326" s="68"/>
      <c r="N1326" s="68"/>
      <c r="O1326" s="68"/>
      <c r="P1326" s="68"/>
      <c r="Q1326" s="68"/>
      <c r="R1326" s="68"/>
      <c r="S1326" s="68"/>
      <c r="T1326" s="68"/>
      <c r="U1326" s="68"/>
      <c r="V1326" s="68"/>
      <c r="W1326" s="68"/>
      <c r="X1326" s="68"/>
      <c r="Y1326" s="68"/>
      <c r="Z1326" s="68"/>
      <c r="AA1326" s="68"/>
      <c r="AB1326" s="68"/>
      <c r="AC1326" s="68"/>
      <c r="AD1326" s="68" t="str">
        <f t="shared" ref="AD1326:BI1326" si="2876">IF(ISBLANK(AD$1321),"N/A",IF(COUNTIFS(GD_Item_FiscalPeriod,AD$1321,GD_Item_Name,$B1326,GD_Update_Date,AD$1320)=0,"NR",SUMIFS(GD_Guidance_High,GD_Item_Name,$B1326,GD_Item_FiscalPeriod,AD$1321,GD_Update_Date,AD$1320)))</f>
      </c>
      <c r="AE1326" s="68" t="str">
        <f t="shared" si="2876"/>
      </c>
      <c r="AF1326" s="68" t="str">
        <f t="shared" si="2876"/>
      </c>
      <c r="AG1326" s="68">
        <f t="shared" si="2876"/>
      </c>
      <c r="AH1326" s="68">
        <f t="shared" si="2876"/>
      </c>
      <c r="AI1326" s="68">
        <f t="shared" si="2876"/>
      </c>
      <c r="AJ1326" s="68">
        <f t="shared" si="2876"/>
      </c>
      <c r="AK1326" s="68">
        <f t="shared" si="2876"/>
      </c>
      <c r="AL1326" s="68">
        <f t="shared" si="2876"/>
      </c>
      <c r="AM1326" s="68">
        <f t="shared" si="2876"/>
      </c>
      <c r="AN1326" s="68">
        <f t="shared" si="2876"/>
      </c>
      <c r="AO1326" s="68">
        <f t="shared" si="2876"/>
      </c>
      <c r="AP1326" s="68">
        <f t="shared" si="2876"/>
      </c>
      <c r="AQ1326" s="68">
        <f t="shared" si="2876"/>
      </c>
      <c r="AR1326" s="68">
        <f t="shared" si="2876"/>
      </c>
      <c r="AS1326" s="68">
        <f t="shared" si="2876"/>
      </c>
      <c r="AT1326" s="68">
        <f t="shared" si="2876"/>
      </c>
      <c r="AU1326" s="68">
        <f t="shared" si="2876"/>
      </c>
      <c r="AV1326" s="68">
        <f t="shared" si="2876"/>
      </c>
      <c r="AW1326" s="68">
        <f t="shared" si="2876"/>
      </c>
      <c r="AX1326" s="68">
        <f t="shared" si="2876"/>
      </c>
      <c r="AY1326" s="68">
        <f t="shared" si="2876"/>
      </c>
      <c r="AZ1326" s="68">
        <f t="shared" si="2876"/>
      </c>
      <c r="BA1326" s="68">
        <f t="shared" si="2876"/>
      </c>
      <c r="BB1326" s="68">
        <f t="shared" si="2876"/>
      </c>
      <c r="BC1326" s="68">
        <f t="shared" si="2876"/>
      </c>
      <c r="BD1326" s="68">
        <f t="shared" si="2876"/>
      </c>
      <c r="BE1326" s="68">
        <f t="shared" si="2876"/>
      </c>
      <c r="BF1326" s="68">
        <f t="shared" si="2876"/>
      </c>
      <c r="BG1326" s="68">
        <f t="shared" si="2876"/>
      </c>
      <c r="BH1326" s="68">
        <f t="shared" si="2876"/>
      </c>
      <c r="BI1326" s="68">
        <f t="shared" si="2876"/>
      </c>
      <c r="BJ1326" s="68">
        <f t="shared" ref="BJ1326:BX1326" si="2877">IF(ISBLANK(BJ$1321),"N/A",IF(COUNTIFS(GD_Item_FiscalPeriod,BJ$1321,GD_Item_Name,$B1326,GD_Update_Date,BJ$1320)=0,"NR",SUMIFS(GD_Guidance_High,GD_Item_Name,$B1326,GD_Item_FiscalPeriod,BJ$1321,GD_Update_Date,BJ$1320)))</f>
      </c>
      <c r="BK1326" s="68">
        <f t="shared" si="2877"/>
      </c>
      <c r="BL1326" s="68">
        <f t="shared" si="2877"/>
      </c>
      <c r="BM1326" s="68">
        <f t="shared" si="2877"/>
      </c>
      <c r="BN1326" s="68">
        <f t="shared" si="2877"/>
      </c>
      <c r="BO1326" s="68">
        <f t="shared" si="2877"/>
      </c>
      <c r="BP1326" s="68">
        <f t="shared" si="2877"/>
      </c>
      <c r="BQ1326" s="68">
        <f t="shared" ref="BQ1326:BW1326" si="2878">IF(ISBLANK(BQ$1321),"N/A",IF(COUNTIFS(GD_Item_FiscalPeriod,BQ$1321,GD_Item_Name,$B1326,GD_Update_Date,BQ$1320)=0,"NR",SUMIFS(GD_Guidance_High,GD_Item_Name,$B1326,GD_Item_FiscalPeriod,BQ$1321,GD_Update_Date,BQ$1320)))</f>
      </c>
      <c r="BR1326" s="68">
        <f t="shared" si="2878"/>
      </c>
      <c r="BS1326" s="68">
        <f t="shared" si="2878"/>
      </c>
      <c r="BT1326" s="541">
        <f>IF(ISBLANK(BT$1321),"N/A",IF(COUNTIFS(GD_Item_FiscalPeriod,BT$1321,GD_Item_Name,$B1326,GD_Update_Date,BT$1320)=0,"NR",SUMIFS(GD_Guidance_High,GD_Item_Name,$B1326,GD_Item_FiscalPeriod,BT$1321,GD_Update_Date,BT$1320)))</f>
      </c>
      <c r="BU1326" s="68" t="str">
        <f t="shared" si="2878"/>
      </c>
      <c r="BV1326" s="68" t="str">
        <f t="shared" si="2878"/>
      </c>
      <c r="BW1326" s="68" t="str">
        <f t="shared" si="2878"/>
      </c>
      <c r="BX1326" s="68" t="str">
        <f t="shared" si="2877"/>
      </c>
      <c r="BY1326" s="68" t="str">
        <f t="shared" ref="BY1326:CF1326" si="2879">IF(ISBLANK(BY$1321),"N/A",IF(COUNTIFS(GD_Item_FiscalPeriod,BY$1321,GD_Item_Name,$B1326,GD_Update_Date,BY$1320)=0,"NR",SUMIFS(GD_Guidance_High,GD_Item_Name,$B1326,GD_Item_FiscalPeriod,BY$1321,GD_Update_Date,BY$1320)))</f>
      </c>
      <c r="BZ1326" s="68" t="str">
        <f t="shared" si="2879"/>
      </c>
      <c r="CA1326" s="68" t="str">
        <f t="shared" si="2879"/>
      </c>
      <c r="CB1326" s="68" t="str">
        <f t="shared" si="2879"/>
      </c>
      <c r="CC1326" s="68" t="str">
        <f t="shared" si="2879"/>
      </c>
      <c r="CD1326" s="68" t="str">
        <f t="shared" si="2879"/>
      </c>
      <c r="CE1326" s="68" t="str">
        <f t="shared" si="2879"/>
      </c>
      <c r="CF1326" s="579" t="str">
        <f t="shared" si="2879"/>
      </c>
      <c r="CG1326" s="131"/>
    </row>
    <row r="1327" spans="1:85" x14ac:dyDescent="0.3">
      <c r="A1327" s="578" t="s">
        <v>2257</v>
      </c>
      <c r="B1327" s="867" t="s">
        <v>285</v>
      </c>
      <c r="C1327" s="646"/>
      <c r="D1327" s="646"/>
      <c r="E1327" s="68"/>
      <c r="F1327" s="68"/>
      <c r="G1327" s="68"/>
      <c r="H1327" s="68"/>
      <c r="I1327" s="68"/>
      <c r="J1327" s="68"/>
      <c r="K1327" s="68"/>
      <c r="L1327" s="68"/>
      <c r="M1327" s="68"/>
      <c r="N1327" s="68"/>
      <c r="O1327" s="68"/>
      <c r="P1327" s="68"/>
      <c r="Q1327" s="68"/>
      <c r="R1327" s="68"/>
      <c r="S1327" s="68"/>
      <c r="T1327" s="68"/>
      <c r="U1327" s="68"/>
      <c r="V1327" s="68"/>
      <c r="W1327" s="68"/>
      <c r="X1327" s="68"/>
      <c r="Y1327" s="68"/>
      <c r="Z1327" s="68"/>
      <c r="AA1327" s="68"/>
      <c r="AB1327" s="68"/>
      <c r="AC1327" s="68"/>
      <c r="AD1327" s="68" t="str">
        <f t="shared" ref="AD1327:BI1327" si="2880">IF(ISBLANK(AD$1321),"N/A",IF(COUNTIFS(GD_Item_FiscalPeriod,AD$1321,GD_Item_Name,$B1327,GD_Update_Date,AD$1320)=0,"NR",SUMIFS(GD_Guidance_Mid,GD_Item_Name,$B1327,GD_Item_FiscalPeriod,AD$1321,GD_Update_Date,AD$1320)))</f>
      </c>
      <c r="AE1327" s="68" t="str">
        <f t="shared" si="2880"/>
      </c>
      <c r="AF1327" s="68" t="str">
        <f t="shared" si="2880"/>
      </c>
      <c r="AG1327" s="68">
        <f t="shared" si="2880"/>
      </c>
      <c r="AH1327" s="68">
        <f t="shared" si="2880"/>
      </c>
      <c r="AI1327" s="68">
        <f t="shared" si="2880"/>
      </c>
      <c r="AJ1327" s="68">
        <f t="shared" si="2880"/>
      </c>
      <c r="AK1327" s="68">
        <f t="shared" si="2880"/>
      </c>
      <c r="AL1327" s="68">
        <f t="shared" si="2880"/>
      </c>
      <c r="AM1327" s="68">
        <f t="shared" si="2880"/>
      </c>
      <c r="AN1327" s="68">
        <f t="shared" si="2880"/>
      </c>
      <c r="AO1327" s="68">
        <f t="shared" si="2880"/>
      </c>
      <c r="AP1327" s="68">
        <f t="shared" si="2880"/>
      </c>
      <c r="AQ1327" s="68">
        <f t="shared" si="2880"/>
      </c>
      <c r="AR1327" s="68">
        <f t="shared" si="2880"/>
      </c>
      <c r="AS1327" s="68">
        <f t="shared" si="2880"/>
      </c>
      <c r="AT1327" s="68">
        <f t="shared" si="2880"/>
      </c>
      <c r="AU1327" s="68">
        <f t="shared" si="2880"/>
      </c>
      <c r="AV1327" s="68">
        <f t="shared" si="2880"/>
      </c>
      <c r="AW1327" s="68">
        <f t="shared" si="2880"/>
      </c>
      <c r="AX1327" s="68">
        <f t="shared" si="2880"/>
      </c>
      <c r="AY1327" s="68">
        <f t="shared" si="2880"/>
      </c>
      <c r="AZ1327" s="68">
        <f t="shared" si="2880"/>
      </c>
      <c r="BA1327" s="68">
        <f t="shared" si="2880"/>
      </c>
      <c r="BB1327" s="68">
        <f t="shared" si="2880"/>
      </c>
      <c r="BC1327" s="68">
        <f t="shared" si="2880"/>
      </c>
      <c r="BD1327" s="68">
        <f t="shared" si="2880"/>
      </c>
      <c r="BE1327" s="68">
        <f t="shared" si="2880"/>
      </c>
      <c r="BF1327" s="68">
        <f t="shared" si="2880"/>
      </c>
      <c r="BG1327" s="68">
        <f t="shared" si="2880"/>
      </c>
      <c r="BH1327" s="68">
        <f t="shared" si="2880"/>
      </c>
      <c r="BI1327" s="68">
        <f t="shared" si="2880"/>
      </c>
      <c r="BJ1327" s="68">
        <f t="shared" ref="BJ1327:BX1327" si="2881">IF(ISBLANK(BJ$1321),"N/A",IF(COUNTIFS(GD_Item_FiscalPeriod,BJ$1321,GD_Item_Name,$B1327,GD_Update_Date,BJ$1320)=0,"NR",SUMIFS(GD_Guidance_Mid,GD_Item_Name,$B1327,GD_Item_FiscalPeriod,BJ$1321,GD_Update_Date,BJ$1320)))</f>
      </c>
      <c r="BK1327" s="68">
        <f t="shared" si="2881"/>
      </c>
      <c r="BL1327" s="68">
        <f t="shared" si="2881"/>
      </c>
      <c r="BM1327" s="68">
        <f t="shared" si="2881"/>
      </c>
      <c r="BN1327" s="68">
        <f t="shared" si="2881"/>
      </c>
      <c r="BO1327" s="68">
        <f t="shared" si="2881"/>
      </c>
      <c r="BP1327" s="68">
        <f t="shared" si="2881"/>
      </c>
      <c r="BQ1327" s="68">
        <f t="shared" ref="BQ1327:BW1327" si="2882">IF(ISBLANK(BQ$1321),"N/A",IF(COUNTIFS(GD_Item_FiscalPeriod,BQ$1321,GD_Item_Name,$B1327,GD_Update_Date,BQ$1320)=0,"NR",SUMIFS(GD_Guidance_Mid,GD_Item_Name,$B1327,GD_Item_FiscalPeriod,BQ$1321,GD_Update_Date,BQ$1320)))</f>
      </c>
      <c r="BR1327" s="68">
        <f t="shared" si="2882"/>
      </c>
      <c r="BS1327" s="68">
        <f t="shared" si="2882"/>
      </c>
      <c r="BT1327" s="541">
        <f>IF(ISBLANK(BT$1321),"N/A",IF(COUNTIFS(GD_Item_FiscalPeriod,BT$1321,GD_Item_Name,$B1327,GD_Update_Date,BT$1320)=0,"NR",SUMIFS(GD_Guidance_Mid,GD_Item_Name,$B1327,GD_Item_FiscalPeriod,BT$1321,GD_Update_Date,BT$1320)))</f>
      </c>
      <c r="BU1327" s="68" t="str">
        <f t="shared" si="2882"/>
      </c>
      <c r="BV1327" s="68" t="str">
        <f t="shared" si="2882"/>
      </c>
      <c r="BW1327" s="68" t="str">
        <f t="shared" si="2882"/>
      </c>
      <c r="BX1327" s="68" t="str">
        <f t="shared" si="2881"/>
      </c>
      <c r="BY1327" s="68" t="str">
        <f t="shared" ref="BY1327:CF1327" si="2883">IF(ISBLANK(BY$1321),"N/A",IF(COUNTIFS(GD_Item_FiscalPeriod,BY$1321,GD_Item_Name,$B1327,GD_Update_Date,BY$1320)=0,"NR",SUMIFS(GD_Guidance_Mid,GD_Item_Name,$B1327,GD_Item_FiscalPeriod,BY$1321,GD_Update_Date,BY$1320)))</f>
      </c>
      <c r="BZ1327" s="68" t="str">
        <f t="shared" si="2883"/>
      </c>
      <c r="CA1327" s="68" t="str">
        <f t="shared" si="2883"/>
      </c>
      <c r="CB1327" s="68" t="str">
        <f t="shared" si="2883"/>
      </c>
      <c r="CC1327" s="68" t="str">
        <f t="shared" si="2883"/>
      </c>
      <c r="CD1327" s="68" t="str">
        <f t="shared" si="2883"/>
      </c>
      <c r="CE1327" s="68" t="str">
        <f t="shared" si="2883"/>
      </c>
      <c r="CF1327" s="579" t="str">
        <f t="shared" si="2883"/>
      </c>
      <c r="CG1327" s="131"/>
    </row>
    <row r="1328" spans="1:85" x14ac:dyDescent="0.3">
      <c r="A1328" s="576" t="s">
        <v>2258</v>
      </c>
      <c r="B1328" s="857" t="s">
        <v>286</v>
      </c>
      <c r="C1328" s="645"/>
      <c r="D1328" s="645"/>
      <c r="E1328" s="753"/>
      <c r="F1328" s="753"/>
      <c r="G1328" s="753"/>
      <c r="H1328" s="753"/>
      <c r="I1328" s="753"/>
      <c r="J1328" s="753"/>
      <c r="K1328" s="753"/>
      <c r="L1328" s="753"/>
      <c r="M1328" s="753"/>
      <c r="N1328" s="753"/>
      <c r="O1328" s="753"/>
      <c r="P1328" s="753"/>
      <c r="Q1328" s="753"/>
      <c r="R1328" s="753"/>
      <c r="S1328" s="753"/>
      <c r="T1328" s="753"/>
      <c r="U1328" s="753"/>
      <c r="V1328" s="753"/>
      <c r="W1328" s="753"/>
      <c r="X1328" s="753"/>
      <c r="Y1328" s="753"/>
      <c r="Z1328" s="753"/>
      <c r="AA1328" s="753"/>
      <c r="AB1328" s="753"/>
      <c r="AC1328" s="753"/>
      <c r="AD1328" s="753" t="str">
        <f t="shared" ref="AD1328:BI1328" si="2884">IF(ISBLANK(AD$1321),"N/A",IF(COUNTIFS(GD_Item_FiscalPeriod,AD$1321,GD_Item_Name,$B1328,GD_Update_Date,AD$1320)=0,"NR",SUMIFS(GD_Guidance_Low,GD_Item_Name,$B1328,GD_Item_FiscalPeriod,AD$1321,GD_Update_Date,AD$1320)))</f>
      </c>
      <c r="AE1328" s="753" t="str">
        <f t="shared" si="2884"/>
      </c>
      <c r="AF1328" s="753" t="str">
        <f t="shared" si="2884"/>
      </c>
      <c r="AG1328" s="753" t="str">
        <f t="shared" si="2884"/>
      </c>
      <c r="AH1328" s="753" t="str">
        <f t="shared" si="2884"/>
      </c>
      <c r="AI1328" s="753">
        <f t="shared" si="2884"/>
      </c>
      <c r="AJ1328" s="753">
        <f t="shared" si="2884"/>
      </c>
      <c r="AK1328" s="753">
        <f t="shared" si="2884"/>
      </c>
      <c r="AL1328" s="753">
        <f t="shared" si="2884"/>
      </c>
      <c r="AM1328" s="753">
        <f t="shared" si="2884"/>
      </c>
      <c r="AN1328" s="753">
        <f t="shared" si="2884"/>
      </c>
      <c r="AO1328" s="753">
        <f t="shared" si="2884"/>
      </c>
      <c r="AP1328" s="753">
        <f t="shared" si="2884"/>
      </c>
      <c r="AQ1328" s="753">
        <f t="shared" si="2884"/>
      </c>
      <c r="AR1328" s="753">
        <f t="shared" si="2884"/>
      </c>
      <c r="AS1328" s="753">
        <f t="shared" si="2884"/>
      </c>
      <c r="AT1328" s="753">
        <f t="shared" si="2884"/>
      </c>
      <c r="AU1328" s="753">
        <f t="shared" si="2884"/>
      </c>
      <c r="AV1328" s="753">
        <f t="shared" si="2884"/>
      </c>
      <c r="AW1328" s="753">
        <f t="shared" si="2884"/>
      </c>
      <c r="AX1328" s="753">
        <f t="shared" si="2884"/>
      </c>
      <c r="AY1328" s="753">
        <f t="shared" si="2884"/>
      </c>
      <c r="AZ1328" s="753">
        <f t="shared" si="2884"/>
      </c>
      <c r="BA1328" s="753">
        <f t="shared" si="2884"/>
      </c>
      <c r="BB1328" s="753">
        <f t="shared" si="2884"/>
      </c>
      <c r="BC1328" s="753">
        <f t="shared" si="2884"/>
      </c>
      <c r="BD1328" s="753">
        <f t="shared" si="2884"/>
      </c>
      <c r="BE1328" s="753">
        <f t="shared" si="2884"/>
      </c>
      <c r="BF1328" s="753">
        <f t="shared" si="2884"/>
      </c>
      <c r="BG1328" s="753">
        <f t="shared" si="2884"/>
      </c>
      <c r="BH1328" s="753">
        <f t="shared" si="2884"/>
      </c>
      <c r="BI1328" s="753">
        <f t="shared" si="2884"/>
      </c>
      <c r="BJ1328" s="753">
        <f t="shared" ref="BJ1328:BX1328" si="2885">IF(ISBLANK(BJ$1321),"N/A",IF(COUNTIFS(GD_Item_FiscalPeriod,BJ$1321,GD_Item_Name,$B1328,GD_Update_Date,BJ$1320)=0,"NR",SUMIFS(GD_Guidance_Low,GD_Item_Name,$B1328,GD_Item_FiscalPeriod,BJ$1321,GD_Update_Date,BJ$1320)))</f>
      </c>
      <c r="BK1328" s="753">
        <f t="shared" si="2885"/>
      </c>
      <c r="BL1328" s="753">
        <f t="shared" si="2885"/>
      </c>
      <c r="BM1328" s="753">
        <f t="shared" si="2885"/>
      </c>
      <c r="BN1328" s="753">
        <f t="shared" si="2885"/>
      </c>
      <c r="BO1328" s="753">
        <f t="shared" si="2885"/>
      </c>
      <c r="BP1328" s="753">
        <f t="shared" si="2885"/>
      </c>
      <c r="BQ1328" s="753">
        <f t="shared" ref="BQ1328:BW1328" si="2886">IF(ISBLANK(BQ$1321),"N/A",IF(COUNTIFS(GD_Item_FiscalPeriod,BQ$1321,GD_Item_Name,$B1328,GD_Update_Date,BQ$1320)=0,"NR",SUMIFS(GD_Guidance_Low,GD_Item_Name,$B1328,GD_Item_FiscalPeriod,BQ$1321,GD_Update_Date,BQ$1320)))</f>
      </c>
      <c r="BR1328" s="753">
        <f t="shared" si="2886"/>
      </c>
      <c r="BS1328" s="753">
        <f t="shared" si="2886"/>
      </c>
      <c r="BT1328" s="756">
        <f>IF(ISBLANK(BT$1321),"N/A",IF(COUNTIFS(GD_Item_FiscalPeriod,BT$1321,GD_Item_Name,$B1328,GD_Update_Date,BT$1320)=0,"NR",SUMIFS(GD_Guidance_Low,GD_Item_Name,$B1328,GD_Item_FiscalPeriod,BT$1321,GD_Update_Date,BT$1320)))</f>
      </c>
      <c r="BU1328" s="753" t="str">
        <f t="shared" si="2886"/>
      </c>
      <c r="BV1328" s="753" t="str">
        <f t="shared" si="2886"/>
      </c>
      <c r="BW1328" s="753" t="str">
        <f t="shared" si="2886"/>
      </c>
      <c r="BX1328" s="753" t="str">
        <f t="shared" si="2885"/>
      </c>
      <c r="BY1328" s="753" t="str">
        <f t="shared" ref="BY1328:CF1328" si="2887">IF(ISBLANK(BY$1321),"N/A",IF(COUNTIFS(GD_Item_FiscalPeriod,BY$1321,GD_Item_Name,$B1328,GD_Update_Date,BY$1320)=0,"NR",SUMIFS(GD_Guidance_Low,GD_Item_Name,$B1328,GD_Item_FiscalPeriod,BY$1321,GD_Update_Date,BY$1320)))</f>
      </c>
      <c r="BZ1328" s="753" t="str">
        <f t="shared" si="2887"/>
      </c>
      <c r="CA1328" s="753" t="str">
        <f t="shared" si="2887"/>
      </c>
      <c r="CB1328" s="753" t="str">
        <f t="shared" si="2887"/>
      </c>
      <c r="CC1328" s="753" t="str">
        <f t="shared" si="2887"/>
      </c>
      <c r="CD1328" s="753" t="str">
        <f t="shared" si="2887"/>
      </c>
      <c r="CE1328" s="753" t="str">
        <f t="shared" si="2887"/>
      </c>
      <c r="CF1328" s="577" t="str">
        <f t="shared" si="2887"/>
      </c>
      <c r="CG1328" s="131"/>
    </row>
    <row r="1329" spans="1:85" x14ac:dyDescent="0.3">
      <c r="A1329" s="576" t="s">
        <v>2259</v>
      </c>
      <c r="B1329" s="857" t="s">
        <v>286</v>
      </c>
      <c r="C1329" s="645"/>
      <c r="D1329" s="645"/>
      <c r="E1329" s="753"/>
      <c r="F1329" s="753"/>
      <c r="G1329" s="753"/>
      <c r="H1329" s="753"/>
      <c r="I1329" s="753"/>
      <c r="J1329" s="753"/>
      <c r="K1329" s="753"/>
      <c r="L1329" s="753"/>
      <c r="M1329" s="753"/>
      <c r="N1329" s="753"/>
      <c r="O1329" s="753"/>
      <c r="P1329" s="753"/>
      <c r="Q1329" s="753"/>
      <c r="R1329" s="753"/>
      <c r="S1329" s="753"/>
      <c r="T1329" s="753"/>
      <c r="U1329" s="753"/>
      <c r="V1329" s="753"/>
      <c r="W1329" s="753"/>
      <c r="X1329" s="753"/>
      <c r="Y1329" s="753"/>
      <c r="Z1329" s="753"/>
      <c r="AA1329" s="753"/>
      <c r="AB1329" s="753"/>
      <c r="AC1329" s="753"/>
      <c r="AD1329" s="753" t="str">
        <f t="shared" ref="AD1329:BI1329" si="2888">IF(ISBLANK(AD$1321),"N/A",IF(COUNTIFS(GD_Item_FiscalPeriod,AD$1321,GD_Item_Name,$B1329,GD_Update_Date,AD$1320)=0,"NR",SUMIFS(GD_Guidance_High,GD_Item_Name,$B1329,GD_Item_FiscalPeriod,AD$1321,GD_Update_Date,AD$1320)))</f>
      </c>
      <c r="AE1329" s="753" t="str">
        <f t="shared" si="2888"/>
      </c>
      <c r="AF1329" s="753" t="str">
        <f t="shared" si="2888"/>
      </c>
      <c r="AG1329" s="753" t="str">
        <f t="shared" si="2888"/>
      </c>
      <c r="AH1329" s="753" t="str">
        <f t="shared" si="2888"/>
      </c>
      <c r="AI1329" s="753">
        <f t="shared" si="2888"/>
      </c>
      <c r="AJ1329" s="753">
        <f t="shared" si="2888"/>
      </c>
      <c r="AK1329" s="753">
        <f t="shared" si="2888"/>
      </c>
      <c r="AL1329" s="753">
        <f t="shared" si="2888"/>
      </c>
      <c r="AM1329" s="753">
        <f t="shared" si="2888"/>
      </c>
      <c r="AN1329" s="753">
        <f t="shared" si="2888"/>
      </c>
      <c r="AO1329" s="753">
        <f t="shared" si="2888"/>
      </c>
      <c r="AP1329" s="753">
        <f t="shared" si="2888"/>
      </c>
      <c r="AQ1329" s="753">
        <f t="shared" si="2888"/>
      </c>
      <c r="AR1329" s="753">
        <f t="shared" si="2888"/>
      </c>
      <c r="AS1329" s="753">
        <f t="shared" si="2888"/>
      </c>
      <c r="AT1329" s="753">
        <f t="shared" si="2888"/>
      </c>
      <c r="AU1329" s="753">
        <f t="shared" si="2888"/>
      </c>
      <c r="AV1329" s="753">
        <f t="shared" si="2888"/>
      </c>
      <c r="AW1329" s="753">
        <f t="shared" si="2888"/>
      </c>
      <c r="AX1329" s="753">
        <f t="shared" si="2888"/>
      </c>
      <c r="AY1329" s="753">
        <f t="shared" si="2888"/>
      </c>
      <c r="AZ1329" s="753">
        <f t="shared" si="2888"/>
      </c>
      <c r="BA1329" s="753">
        <f t="shared" si="2888"/>
      </c>
      <c r="BB1329" s="753">
        <f t="shared" si="2888"/>
      </c>
      <c r="BC1329" s="753">
        <f t="shared" si="2888"/>
      </c>
      <c r="BD1329" s="753">
        <f t="shared" si="2888"/>
      </c>
      <c r="BE1329" s="753">
        <f t="shared" si="2888"/>
      </c>
      <c r="BF1329" s="753">
        <f t="shared" si="2888"/>
      </c>
      <c r="BG1329" s="753">
        <f t="shared" si="2888"/>
      </c>
      <c r="BH1329" s="753">
        <f t="shared" si="2888"/>
      </c>
      <c r="BI1329" s="753">
        <f t="shared" si="2888"/>
      </c>
      <c r="BJ1329" s="753">
        <f t="shared" ref="BJ1329:BX1329" si="2889">IF(ISBLANK(BJ$1321),"N/A",IF(COUNTIFS(GD_Item_FiscalPeriod,BJ$1321,GD_Item_Name,$B1329,GD_Update_Date,BJ$1320)=0,"NR",SUMIFS(GD_Guidance_High,GD_Item_Name,$B1329,GD_Item_FiscalPeriod,BJ$1321,GD_Update_Date,BJ$1320)))</f>
      </c>
      <c r="BK1329" s="753">
        <f t="shared" si="2889"/>
      </c>
      <c r="BL1329" s="753">
        <f t="shared" si="2889"/>
      </c>
      <c r="BM1329" s="753">
        <f t="shared" si="2889"/>
      </c>
      <c r="BN1329" s="753">
        <f t="shared" si="2889"/>
      </c>
      <c r="BO1329" s="753">
        <f t="shared" si="2889"/>
      </c>
      <c r="BP1329" s="753">
        <f t="shared" si="2889"/>
      </c>
      <c r="BQ1329" s="753">
        <f t="shared" ref="BQ1329:BW1329" si="2890">IF(ISBLANK(BQ$1321),"N/A",IF(COUNTIFS(GD_Item_FiscalPeriod,BQ$1321,GD_Item_Name,$B1329,GD_Update_Date,BQ$1320)=0,"NR",SUMIFS(GD_Guidance_High,GD_Item_Name,$B1329,GD_Item_FiscalPeriod,BQ$1321,GD_Update_Date,BQ$1320)))</f>
      </c>
      <c r="BR1329" s="753">
        <f t="shared" si="2890"/>
      </c>
      <c r="BS1329" s="753">
        <f t="shared" si="2890"/>
      </c>
      <c r="BT1329" s="756">
        <f>IF(ISBLANK(BT$1321),"N/A",IF(COUNTIFS(GD_Item_FiscalPeriod,BT$1321,GD_Item_Name,$B1329,GD_Update_Date,BT$1320)=0,"NR",SUMIFS(GD_Guidance_High,GD_Item_Name,$B1329,GD_Item_FiscalPeriod,BT$1321,GD_Update_Date,BT$1320)))</f>
      </c>
      <c r="BU1329" s="753" t="str">
        <f t="shared" si="2890"/>
      </c>
      <c r="BV1329" s="753" t="str">
        <f t="shared" si="2890"/>
      </c>
      <c r="BW1329" s="753" t="str">
        <f t="shared" si="2890"/>
      </c>
      <c r="BX1329" s="753" t="str">
        <f t="shared" si="2889"/>
      </c>
      <c r="BY1329" s="753" t="str">
        <f t="shared" ref="BY1329:CF1329" si="2891">IF(ISBLANK(BY$1321),"N/A",IF(COUNTIFS(GD_Item_FiscalPeriod,BY$1321,GD_Item_Name,$B1329,GD_Update_Date,BY$1320)=0,"NR",SUMIFS(GD_Guidance_High,GD_Item_Name,$B1329,GD_Item_FiscalPeriod,BY$1321,GD_Update_Date,BY$1320)))</f>
      </c>
      <c r="BZ1329" s="753" t="str">
        <f t="shared" si="2891"/>
      </c>
      <c r="CA1329" s="753" t="str">
        <f t="shared" si="2891"/>
      </c>
      <c r="CB1329" s="753" t="str">
        <f t="shared" si="2891"/>
      </c>
      <c r="CC1329" s="753" t="str">
        <f t="shared" si="2891"/>
      </c>
      <c r="CD1329" s="753" t="str">
        <f t="shared" si="2891"/>
      </c>
      <c r="CE1329" s="753" t="str">
        <f t="shared" si="2891"/>
      </c>
      <c r="CF1329" s="577" t="str">
        <f t="shared" si="2891"/>
      </c>
      <c r="CG1329" s="131"/>
    </row>
    <row r="1330" spans="1:85" x14ac:dyDescent="0.3">
      <c r="A1330" s="576" t="s">
        <v>2260</v>
      </c>
      <c r="B1330" s="857" t="s">
        <v>286</v>
      </c>
      <c r="C1330" s="645"/>
      <c r="D1330" s="645"/>
      <c r="E1330" s="753"/>
      <c r="F1330" s="753"/>
      <c r="G1330" s="753"/>
      <c r="H1330" s="753"/>
      <c r="I1330" s="753"/>
      <c r="J1330" s="753"/>
      <c r="K1330" s="753"/>
      <c r="L1330" s="753"/>
      <c r="M1330" s="753"/>
      <c r="N1330" s="753"/>
      <c r="O1330" s="753"/>
      <c r="P1330" s="753"/>
      <c r="Q1330" s="753"/>
      <c r="R1330" s="753"/>
      <c r="S1330" s="753"/>
      <c r="T1330" s="753"/>
      <c r="U1330" s="753"/>
      <c r="V1330" s="753"/>
      <c r="W1330" s="753"/>
      <c r="X1330" s="753"/>
      <c r="Y1330" s="753"/>
      <c r="Z1330" s="753"/>
      <c r="AA1330" s="753"/>
      <c r="AB1330" s="753"/>
      <c r="AC1330" s="753"/>
      <c r="AD1330" s="753" t="str">
        <f t="shared" ref="AD1330:BI1330" si="2892">IF(ISBLANK(AD$1321),"N/A",IF(COUNTIFS(GD_Item_FiscalPeriod,AD$1321,GD_Item_Name,$B1330,GD_Update_Date,AD$1320)=0,"NR",SUMIFS(GD_Guidance_Mid,GD_Item_Name,$B1330,GD_Item_FiscalPeriod,AD$1321,GD_Update_Date,AD$1320)))</f>
      </c>
      <c r="AE1330" s="753" t="str">
        <f t="shared" si="2892"/>
      </c>
      <c r="AF1330" s="753" t="str">
        <f t="shared" si="2892"/>
      </c>
      <c r="AG1330" s="753" t="str">
        <f t="shared" si="2892"/>
      </c>
      <c r="AH1330" s="753" t="str">
        <f t="shared" si="2892"/>
      </c>
      <c r="AI1330" s="753">
        <f t="shared" si="2892"/>
      </c>
      <c r="AJ1330" s="753">
        <f t="shared" si="2892"/>
      </c>
      <c r="AK1330" s="753">
        <f t="shared" si="2892"/>
      </c>
      <c r="AL1330" s="753">
        <f t="shared" si="2892"/>
      </c>
      <c r="AM1330" s="753">
        <f t="shared" si="2892"/>
      </c>
      <c r="AN1330" s="753">
        <f t="shared" si="2892"/>
      </c>
      <c r="AO1330" s="753">
        <f t="shared" si="2892"/>
      </c>
      <c r="AP1330" s="753">
        <f t="shared" si="2892"/>
      </c>
      <c r="AQ1330" s="753">
        <f t="shared" si="2892"/>
      </c>
      <c r="AR1330" s="753">
        <f t="shared" si="2892"/>
      </c>
      <c r="AS1330" s="753">
        <f t="shared" si="2892"/>
      </c>
      <c r="AT1330" s="753">
        <f t="shared" si="2892"/>
      </c>
      <c r="AU1330" s="753">
        <f t="shared" si="2892"/>
      </c>
      <c r="AV1330" s="753">
        <f t="shared" si="2892"/>
      </c>
      <c r="AW1330" s="753">
        <f t="shared" si="2892"/>
      </c>
      <c r="AX1330" s="753">
        <f t="shared" si="2892"/>
      </c>
      <c r="AY1330" s="753">
        <f t="shared" si="2892"/>
      </c>
      <c r="AZ1330" s="753">
        <f t="shared" si="2892"/>
      </c>
      <c r="BA1330" s="753">
        <f t="shared" si="2892"/>
      </c>
      <c r="BB1330" s="753">
        <f t="shared" si="2892"/>
      </c>
      <c r="BC1330" s="753">
        <f t="shared" si="2892"/>
      </c>
      <c r="BD1330" s="753">
        <f t="shared" si="2892"/>
      </c>
      <c r="BE1330" s="753">
        <f t="shared" si="2892"/>
      </c>
      <c r="BF1330" s="753">
        <f t="shared" si="2892"/>
      </c>
      <c r="BG1330" s="753">
        <f t="shared" si="2892"/>
      </c>
      <c r="BH1330" s="753">
        <f t="shared" si="2892"/>
      </c>
      <c r="BI1330" s="753">
        <f t="shared" si="2892"/>
      </c>
      <c r="BJ1330" s="753">
        <f t="shared" ref="BJ1330:BX1330" si="2893">IF(ISBLANK(BJ$1321),"N/A",IF(COUNTIFS(GD_Item_FiscalPeriod,BJ$1321,GD_Item_Name,$B1330,GD_Update_Date,BJ$1320)=0,"NR",SUMIFS(GD_Guidance_Mid,GD_Item_Name,$B1330,GD_Item_FiscalPeriod,BJ$1321,GD_Update_Date,BJ$1320)))</f>
      </c>
      <c r="BK1330" s="753">
        <f t="shared" si="2893"/>
      </c>
      <c r="BL1330" s="753">
        <f t="shared" si="2893"/>
      </c>
      <c r="BM1330" s="753">
        <f t="shared" si="2893"/>
      </c>
      <c r="BN1330" s="753">
        <f t="shared" si="2893"/>
      </c>
      <c r="BO1330" s="753">
        <f t="shared" si="2893"/>
      </c>
      <c r="BP1330" s="753">
        <f t="shared" si="2893"/>
      </c>
      <c r="BQ1330" s="753">
        <f t="shared" ref="BQ1330:BW1330" si="2894">IF(ISBLANK(BQ$1321),"N/A",IF(COUNTIFS(GD_Item_FiscalPeriod,BQ$1321,GD_Item_Name,$B1330,GD_Update_Date,BQ$1320)=0,"NR",SUMIFS(GD_Guidance_Mid,GD_Item_Name,$B1330,GD_Item_FiscalPeriod,BQ$1321,GD_Update_Date,BQ$1320)))</f>
      </c>
      <c r="BR1330" s="753">
        <f t="shared" si="2894"/>
      </c>
      <c r="BS1330" s="753">
        <f t="shared" si="2894"/>
      </c>
      <c r="BT1330" s="756">
        <f>IF(ISBLANK(BT$1321),"N/A",IF(COUNTIFS(GD_Item_FiscalPeriod,BT$1321,GD_Item_Name,$B1330,GD_Update_Date,BT$1320)=0,"NR",SUMIFS(GD_Guidance_Mid,GD_Item_Name,$B1330,GD_Item_FiscalPeriod,BT$1321,GD_Update_Date,BT$1320)))</f>
      </c>
      <c r="BU1330" s="753" t="str">
        <f t="shared" si="2894"/>
      </c>
      <c r="BV1330" s="753" t="str">
        <f t="shared" si="2894"/>
      </c>
      <c r="BW1330" s="753" t="str">
        <f t="shared" si="2894"/>
      </c>
      <c r="BX1330" s="753" t="str">
        <f t="shared" si="2893"/>
      </c>
      <c r="BY1330" s="753" t="str">
        <f t="shared" ref="BY1330:CF1330" si="2895">IF(ISBLANK(BY$1321),"N/A",IF(COUNTIFS(GD_Item_FiscalPeriod,BY$1321,GD_Item_Name,$B1330,GD_Update_Date,BY$1320)=0,"NR",SUMIFS(GD_Guidance_Mid,GD_Item_Name,$B1330,GD_Item_FiscalPeriod,BY$1321,GD_Update_Date,BY$1320)))</f>
      </c>
      <c r="BZ1330" s="753" t="str">
        <f t="shared" si="2895"/>
      </c>
      <c r="CA1330" s="753" t="str">
        <f t="shared" si="2895"/>
      </c>
      <c r="CB1330" s="753" t="str">
        <f t="shared" si="2895"/>
      </c>
      <c r="CC1330" s="753" t="str">
        <f t="shared" si="2895"/>
      </c>
      <c r="CD1330" s="753" t="str">
        <f t="shared" si="2895"/>
      </c>
      <c r="CE1330" s="753" t="str">
        <f t="shared" si="2895"/>
      </c>
      <c r="CF1330" s="577" t="str">
        <f t="shared" si="2895"/>
      </c>
      <c r="CG1330" s="131"/>
    </row>
    <row r="1331" spans="1:85" x14ac:dyDescent="0.3">
      <c r="A1331" s="578" t="s">
        <v>2261</v>
      </c>
      <c r="B1331" s="867" t="s">
        <v>654</v>
      </c>
      <c r="C1331" s="646"/>
      <c r="D1331" s="646"/>
      <c r="E1331" s="68"/>
      <c r="F1331" s="68"/>
      <c r="G1331" s="68"/>
      <c r="H1331" s="68"/>
      <c r="I1331" s="68"/>
      <c r="J1331" s="68"/>
      <c r="K1331" s="68"/>
      <c r="L1331" s="68"/>
      <c r="M1331" s="68"/>
      <c r="N1331" s="68"/>
      <c r="O1331" s="68"/>
      <c r="P1331" s="68"/>
      <c r="Q1331" s="68"/>
      <c r="R1331" s="68"/>
      <c r="S1331" s="68"/>
      <c r="T1331" s="68"/>
      <c r="U1331" s="68"/>
      <c r="V1331" s="68"/>
      <c r="W1331" s="68"/>
      <c r="X1331" s="68"/>
      <c r="Y1331" s="68"/>
      <c r="Z1331" s="68"/>
      <c r="AA1331" s="68"/>
      <c r="AB1331" s="68"/>
      <c r="AC1331" s="68"/>
      <c r="AD1331" s="68" t="str">
        <f t="shared" ref="AD1331:BI1331" si="2896">IF(ISBLANK(AD$1321),"N/A",IF(COUNTIFS(GD_Item_FiscalPeriod,AD$1321,GD_Item_Name,$B1331,GD_Update_Date,AD$1320)=0,"NR",SUMIFS(GD_Guidance_Low,GD_Item_Name,$B1331,GD_Item_FiscalPeriod,AD$1321,GD_Update_Date,AD$1320)))</f>
      </c>
      <c r="AE1331" s="68" t="str">
        <f t="shared" si="2896"/>
      </c>
      <c r="AF1331" s="68">
        <f t="shared" si="2896"/>
      </c>
      <c r="AG1331" s="68" t="str">
        <f t="shared" si="2896"/>
      </c>
      <c r="AH1331" s="68" t="str">
        <f t="shared" si="2896"/>
      </c>
      <c r="AI1331" s="68">
        <f t="shared" si="2896"/>
      </c>
      <c r="AJ1331" s="68">
        <f t="shared" si="2896"/>
      </c>
      <c r="AK1331" s="68">
        <f t="shared" si="2896"/>
      </c>
      <c r="AL1331" s="68">
        <f t="shared" si="2896"/>
      </c>
      <c r="AM1331" s="68">
        <f t="shared" si="2896"/>
      </c>
      <c r="AN1331" s="68" t="str">
        <f t="shared" si="2896"/>
      </c>
      <c r="AO1331" s="68" t="str">
        <f t="shared" si="2896"/>
      </c>
      <c r="AP1331" s="68" t="str">
        <f t="shared" si="2896"/>
      </c>
      <c r="AQ1331" s="68">
        <f t="shared" si="2896"/>
      </c>
      <c r="AR1331" s="68">
        <f t="shared" si="2896"/>
      </c>
      <c r="AS1331" s="68">
        <f t="shared" si="2896"/>
      </c>
      <c r="AT1331" s="68">
        <f t="shared" si="2896"/>
      </c>
      <c r="AU1331" s="68">
        <f t="shared" si="2896"/>
      </c>
      <c r="AV1331" s="68">
        <f t="shared" si="2896"/>
      </c>
      <c r="AW1331" s="68">
        <f t="shared" si="2896"/>
      </c>
      <c r="AX1331" s="68">
        <f t="shared" si="2896"/>
      </c>
      <c r="AY1331" s="68">
        <f t="shared" si="2896"/>
      </c>
      <c r="AZ1331" s="68">
        <f t="shared" si="2896"/>
      </c>
      <c r="BA1331" s="68">
        <f t="shared" si="2896"/>
      </c>
      <c r="BB1331" s="68">
        <f t="shared" si="2896"/>
      </c>
      <c r="BC1331" s="68">
        <f t="shared" si="2896"/>
      </c>
      <c r="BD1331" s="68">
        <f t="shared" si="2896"/>
      </c>
      <c r="BE1331" s="68">
        <f t="shared" si="2896"/>
      </c>
      <c r="BF1331" s="68">
        <f t="shared" si="2896"/>
      </c>
      <c r="BG1331" s="68">
        <f t="shared" si="2896"/>
      </c>
      <c r="BH1331" s="68">
        <f t="shared" si="2896"/>
      </c>
      <c r="BI1331" s="68">
        <f t="shared" si="2896"/>
      </c>
      <c r="BJ1331" s="68">
        <f t="shared" ref="BJ1331:BX1331" si="2897">IF(ISBLANK(BJ$1321),"N/A",IF(COUNTIFS(GD_Item_FiscalPeriod,BJ$1321,GD_Item_Name,$B1331,GD_Update_Date,BJ$1320)=0,"NR",SUMIFS(GD_Guidance_Low,GD_Item_Name,$B1331,GD_Item_FiscalPeriod,BJ$1321,GD_Update_Date,BJ$1320)))</f>
      </c>
      <c r="BK1331" s="68">
        <f t="shared" si="2897"/>
      </c>
      <c r="BL1331" s="68">
        <f t="shared" si="2897"/>
      </c>
      <c r="BM1331" s="68">
        <f t="shared" si="2897"/>
      </c>
      <c r="BN1331" s="68">
        <f t="shared" si="2897"/>
      </c>
      <c r="BO1331" s="68">
        <f t="shared" si="2897"/>
      </c>
      <c r="BP1331" s="68">
        <f t="shared" si="2897"/>
      </c>
      <c r="BQ1331" s="68">
        <f t="shared" ref="BQ1331:BW1331" si="2898">IF(ISBLANK(BQ$1321),"N/A",IF(COUNTIFS(GD_Item_FiscalPeriod,BQ$1321,GD_Item_Name,$B1331,GD_Update_Date,BQ$1320)=0,"NR",SUMIFS(GD_Guidance_Low,GD_Item_Name,$B1331,GD_Item_FiscalPeriod,BQ$1321,GD_Update_Date,BQ$1320)))</f>
      </c>
      <c r="BR1331" s="68">
        <f t="shared" si="2898"/>
      </c>
      <c r="BS1331" s="68">
        <f t="shared" si="2898"/>
      </c>
      <c r="BT1331" s="541">
        <f>IF(ISBLANK(BT$1321),"N/A",IF(COUNTIFS(GD_Item_FiscalPeriod,BT$1321,GD_Item_Name,$B1331,GD_Update_Date,BT$1320)=0,"NR",SUMIFS(GD_Guidance_Low,GD_Item_Name,$B1331,GD_Item_FiscalPeriod,BT$1321,GD_Update_Date,BT$1320)))</f>
      </c>
      <c r="BU1331" s="68" t="str">
        <f t="shared" si="2898"/>
      </c>
      <c r="BV1331" s="68" t="str">
        <f t="shared" si="2898"/>
      </c>
      <c r="BW1331" s="68" t="str">
        <f t="shared" si="2898"/>
      </c>
      <c r="BX1331" s="68" t="str">
        <f t="shared" si="2897"/>
      </c>
      <c r="BY1331" s="68" t="str">
        <f t="shared" ref="BY1331:CF1331" si="2899">IF(ISBLANK(BY$1321),"N/A",IF(COUNTIFS(GD_Item_FiscalPeriod,BY$1321,GD_Item_Name,$B1331,GD_Update_Date,BY$1320)=0,"NR",SUMIFS(GD_Guidance_Low,GD_Item_Name,$B1331,GD_Item_FiscalPeriod,BY$1321,GD_Update_Date,BY$1320)))</f>
      </c>
      <c r="BZ1331" s="68" t="str">
        <f t="shared" si="2899"/>
      </c>
      <c r="CA1331" s="68" t="str">
        <f t="shared" si="2899"/>
      </c>
      <c r="CB1331" s="68" t="str">
        <f t="shared" si="2899"/>
      </c>
      <c r="CC1331" s="68" t="str">
        <f t="shared" si="2899"/>
      </c>
      <c r="CD1331" s="68" t="str">
        <f t="shared" si="2899"/>
      </c>
      <c r="CE1331" s="68" t="str">
        <f t="shared" si="2899"/>
      </c>
      <c r="CF1331" s="579" t="str">
        <f t="shared" si="2899"/>
      </c>
      <c r="CG1331" s="131"/>
    </row>
    <row r="1332" spans="1:85" x14ac:dyDescent="0.3">
      <c r="A1332" s="578" t="s">
        <v>2262</v>
      </c>
      <c r="B1332" s="867" t="s">
        <v>654</v>
      </c>
      <c r="C1332" s="646"/>
      <c r="D1332" s="646"/>
      <c r="E1332" s="68"/>
      <c r="F1332" s="68"/>
      <c r="G1332" s="68"/>
      <c r="H1332" s="68"/>
      <c r="I1332" s="68"/>
      <c r="J1332" s="68"/>
      <c r="K1332" s="68"/>
      <c r="L1332" s="68"/>
      <c r="M1332" s="68"/>
      <c r="N1332" s="68"/>
      <c r="O1332" s="68"/>
      <c r="P1332" s="68"/>
      <c r="Q1332" s="68"/>
      <c r="R1332" s="68"/>
      <c r="S1332" s="68"/>
      <c r="T1332" s="68"/>
      <c r="U1332" s="68"/>
      <c r="V1332" s="68"/>
      <c r="W1332" s="68"/>
      <c r="X1332" s="68"/>
      <c r="Y1332" s="68"/>
      <c r="Z1332" s="68"/>
      <c r="AA1332" s="68"/>
      <c r="AB1332" s="68"/>
      <c r="AC1332" s="68"/>
      <c r="AD1332" s="68" t="str">
        <f t="shared" ref="AD1332:BI1332" si="2900">IF(ISBLANK(AD$1321),"N/A",IF(COUNTIFS(GD_Item_FiscalPeriod,AD$1321,GD_Item_Name,$B1332,GD_Update_Date,AD$1320)=0,"NR",SUMIFS(GD_Guidance_High,GD_Item_Name,$B1332,GD_Item_FiscalPeriod,AD$1321,GD_Update_Date,AD$1320)))</f>
      </c>
      <c r="AE1332" s="68" t="str">
        <f t="shared" si="2900"/>
      </c>
      <c r="AF1332" s="68">
        <f t="shared" si="2900"/>
      </c>
      <c r="AG1332" s="68" t="str">
        <f t="shared" si="2900"/>
      </c>
      <c r="AH1332" s="68" t="str">
        <f t="shared" si="2900"/>
      </c>
      <c r="AI1332" s="68">
        <f t="shared" si="2900"/>
      </c>
      <c r="AJ1332" s="68">
        <f t="shared" si="2900"/>
      </c>
      <c r="AK1332" s="68">
        <f t="shared" si="2900"/>
      </c>
      <c r="AL1332" s="68">
        <f t="shared" si="2900"/>
      </c>
      <c r="AM1332" s="68">
        <f t="shared" si="2900"/>
      </c>
      <c r="AN1332" s="68" t="str">
        <f t="shared" si="2900"/>
      </c>
      <c r="AO1332" s="68" t="str">
        <f t="shared" si="2900"/>
      </c>
      <c r="AP1332" s="68" t="str">
        <f t="shared" si="2900"/>
      </c>
      <c r="AQ1332" s="68">
        <f t="shared" si="2900"/>
      </c>
      <c r="AR1332" s="68">
        <f t="shared" si="2900"/>
      </c>
      <c r="AS1332" s="68">
        <f t="shared" si="2900"/>
      </c>
      <c r="AT1332" s="68">
        <f t="shared" si="2900"/>
      </c>
      <c r="AU1332" s="68">
        <f t="shared" si="2900"/>
      </c>
      <c r="AV1332" s="68">
        <f t="shared" si="2900"/>
      </c>
      <c r="AW1332" s="68">
        <f t="shared" si="2900"/>
      </c>
      <c r="AX1332" s="68">
        <f t="shared" si="2900"/>
      </c>
      <c r="AY1332" s="68">
        <f t="shared" si="2900"/>
      </c>
      <c r="AZ1332" s="68">
        <f t="shared" si="2900"/>
      </c>
      <c r="BA1332" s="68">
        <f t="shared" si="2900"/>
      </c>
      <c r="BB1332" s="68">
        <f t="shared" si="2900"/>
      </c>
      <c r="BC1332" s="68">
        <f t="shared" si="2900"/>
      </c>
      <c r="BD1332" s="68">
        <f t="shared" si="2900"/>
      </c>
      <c r="BE1332" s="68">
        <f t="shared" si="2900"/>
      </c>
      <c r="BF1332" s="68">
        <f t="shared" si="2900"/>
      </c>
      <c r="BG1332" s="68">
        <f t="shared" si="2900"/>
      </c>
      <c r="BH1332" s="68">
        <f t="shared" si="2900"/>
      </c>
      <c r="BI1332" s="68">
        <f t="shared" si="2900"/>
      </c>
      <c r="BJ1332" s="68">
        <f t="shared" ref="BJ1332:BX1332" si="2901">IF(ISBLANK(BJ$1321),"N/A",IF(COUNTIFS(GD_Item_FiscalPeriod,BJ$1321,GD_Item_Name,$B1332,GD_Update_Date,BJ$1320)=0,"NR",SUMIFS(GD_Guidance_High,GD_Item_Name,$B1332,GD_Item_FiscalPeriod,BJ$1321,GD_Update_Date,BJ$1320)))</f>
      </c>
      <c r="BK1332" s="68">
        <f t="shared" si="2901"/>
      </c>
      <c r="BL1332" s="68">
        <f t="shared" si="2901"/>
      </c>
      <c r="BM1332" s="68">
        <f t="shared" si="2901"/>
      </c>
      <c r="BN1332" s="68">
        <f t="shared" si="2901"/>
      </c>
      <c r="BO1332" s="68">
        <f t="shared" si="2901"/>
      </c>
      <c r="BP1332" s="68">
        <f t="shared" si="2901"/>
      </c>
      <c r="BQ1332" s="68">
        <f t="shared" ref="BQ1332:BW1332" si="2902">IF(ISBLANK(BQ$1321),"N/A",IF(COUNTIFS(GD_Item_FiscalPeriod,BQ$1321,GD_Item_Name,$B1332,GD_Update_Date,BQ$1320)=0,"NR",SUMIFS(GD_Guidance_High,GD_Item_Name,$B1332,GD_Item_FiscalPeriod,BQ$1321,GD_Update_Date,BQ$1320)))</f>
      </c>
      <c r="BR1332" s="68">
        <f t="shared" si="2902"/>
      </c>
      <c r="BS1332" s="68">
        <f t="shared" si="2902"/>
      </c>
      <c r="BT1332" s="541">
        <f>IF(ISBLANK(BT$1321),"N/A",IF(COUNTIFS(GD_Item_FiscalPeriod,BT$1321,GD_Item_Name,$B1332,GD_Update_Date,BT$1320)=0,"NR",SUMIFS(GD_Guidance_High,GD_Item_Name,$B1332,GD_Item_FiscalPeriod,BT$1321,GD_Update_Date,BT$1320)))</f>
      </c>
      <c r="BU1332" s="68" t="str">
        <f t="shared" si="2902"/>
      </c>
      <c r="BV1332" s="68" t="str">
        <f t="shared" si="2902"/>
      </c>
      <c r="BW1332" s="68" t="str">
        <f t="shared" si="2902"/>
      </c>
      <c r="BX1332" s="68" t="str">
        <f t="shared" si="2901"/>
      </c>
      <c r="BY1332" s="68" t="str">
        <f t="shared" ref="BY1332:CF1332" si="2903">IF(ISBLANK(BY$1321),"N/A",IF(COUNTIFS(GD_Item_FiscalPeriod,BY$1321,GD_Item_Name,$B1332,GD_Update_Date,BY$1320)=0,"NR",SUMIFS(GD_Guidance_High,GD_Item_Name,$B1332,GD_Item_FiscalPeriod,BY$1321,GD_Update_Date,BY$1320)))</f>
      </c>
      <c r="BZ1332" s="68" t="str">
        <f t="shared" si="2903"/>
      </c>
      <c r="CA1332" s="68" t="str">
        <f t="shared" si="2903"/>
      </c>
      <c r="CB1332" s="68" t="str">
        <f t="shared" si="2903"/>
      </c>
      <c r="CC1332" s="68" t="str">
        <f t="shared" si="2903"/>
      </c>
      <c r="CD1332" s="68" t="str">
        <f t="shared" si="2903"/>
      </c>
      <c r="CE1332" s="68" t="str">
        <f t="shared" si="2903"/>
      </c>
      <c r="CF1332" s="579" t="str">
        <f t="shared" si="2903"/>
      </c>
      <c r="CG1332" s="131"/>
    </row>
    <row r="1333" spans="1:85" x14ac:dyDescent="0.3">
      <c r="A1333" s="578" t="s">
        <v>2263</v>
      </c>
      <c r="B1333" s="867" t="s">
        <v>654</v>
      </c>
      <c r="C1333" s="646"/>
      <c r="D1333" s="646"/>
      <c r="E1333" s="68"/>
      <c r="F1333" s="68"/>
      <c r="G1333" s="68"/>
      <c r="H1333" s="68"/>
      <c r="I1333" s="68"/>
      <c r="J1333" s="68"/>
      <c r="K1333" s="68"/>
      <c r="L1333" s="68"/>
      <c r="M1333" s="68"/>
      <c r="N1333" s="68"/>
      <c r="O1333" s="68"/>
      <c r="P1333" s="68"/>
      <c r="Q1333" s="68"/>
      <c r="R1333" s="68"/>
      <c r="S1333" s="68"/>
      <c r="T1333" s="68"/>
      <c r="U1333" s="68"/>
      <c r="V1333" s="68"/>
      <c r="W1333" s="68"/>
      <c r="X1333" s="68"/>
      <c r="Y1333" s="68"/>
      <c r="Z1333" s="68"/>
      <c r="AA1333" s="68"/>
      <c r="AB1333" s="68"/>
      <c r="AC1333" s="68"/>
      <c r="AD1333" s="68" t="str">
        <f t="shared" ref="AD1333:BI1333" si="2904">IF(ISBLANK(AD$1321),"N/A",IF(COUNTIFS(GD_Item_FiscalPeriod,AD$1321,GD_Item_Name,$B1333,GD_Update_Date,AD$1320)=0,"NR",SUMIFS(GD_Guidance_Mid,GD_Item_Name,$B1333,GD_Item_FiscalPeriod,AD$1321,GD_Update_Date,AD$1320)))</f>
      </c>
      <c r="AE1333" s="68" t="str">
        <f t="shared" si="2904"/>
      </c>
      <c r="AF1333" s="68">
        <f t="shared" si="2904"/>
      </c>
      <c r="AG1333" s="68" t="str">
        <f t="shared" si="2904"/>
      </c>
      <c r="AH1333" s="68" t="str">
        <f t="shared" si="2904"/>
      </c>
      <c r="AI1333" s="68">
        <f t="shared" si="2904"/>
      </c>
      <c r="AJ1333" s="68">
        <f t="shared" si="2904"/>
      </c>
      <c r="AK1333" s="68">
        <f t="shared" si="2904"/>
      </c>
      <c r="AL1333" s="68">
        <f t="shared" si="2904"/>
      </c>
      <c r="AM1333" s="68">
        <f t="shared" si="2904"/>
      </c>
      <c r="AN1333" s="68" t="str">
        <f t="shared" si="2904"/>
      </c>
      <c r="AO1333" s="68" t="str">
        <f t="shared" si="2904"/>
      </c>
      <c r="AP1333" s="68" t="str">
        <f t="shared" si="2904"/>
      </c>
      <c r="AQ1333" s="68">
        <f t="shared" si="2904"/>
      </c>
      <c r="AR1333" s="68">
        <f t="shared" si="2904"/>
      </c>
      <c r="AS1333" s="68">
        <f t="shared" si="2904"/>
      </c>
      <c r="AT1333" s="68">
        <f t="shared" si="2904"/>
      </c>
      <c r="AU1333" s="68">
        <f t="shared" si="2904"/>
      </c>
      <c r="AV1333" s="68">
        <f t="shared" si="2904"/>
      </c>
      <c r="AW1333" s="68">
        <f t="shared" si="2904"/>
      </c>
      <c r="AX1333" s="68">
        <f t="shared" si="2904"/>
      </c>
      <c r="AY1333" s="68">
        <f t="shared" si="2904"/>
      </c>
      <c r="AZ1333" s="68">
        <f t="shared" si="2904"/>
      </c>
      <c r="BA1333" s="68">
        <f t="shared" si="2904"/>
      </c>
      <c r="BB1333" s="68">
        <f t="shared" si="2904"/>
      </c>
      <c r="BC1333" s="68">
        <f t="shared" si="2904"/>
      </c>
      <c r="BD1333" s="68">
        <f t="shared" si="2904"/>
      </c>
      <c r="BE1333" s="68">
        <f t="shared" si="2904"/>
      </c>
      <c r="BF1333" s="68">
        <f t="shared" si="2904"/>
      </c>
      <c r="BG1333" s="68">
        <f t="shared" si="2904"/>
      </c>
      <c r="BH1333" s="68">
        <f t="shared" si="2904"/>
      </c>
      <c r="BI1333" s="68">
        <f t="shared" si="2904"/>
      </c>
      <c r="BJ1333" s="68">
        <f t="shared" ref="BJ1333:BX1333" si="2905">IF(ISBLANK(BJ$1321),"N/A",IF(COUNTIFS(GD_Item_FiscalPeriod,BJ$1321,GD_Item_Name,$B1333,GD_Update_Date,BJ$1320)=0,"NR",SUMIFS(GD_Guidance_Mid,GD_Item_Name,$B1333,GD_Item_FiscalPeriod,BJ$1321,GD_Update_Date,BJ$1320)))</f>
      </c>
      <c r="BK1333" s="68">
        <f t="shared" si="2905"/>
      </c>
      <c r="BL1333" s="68">
        <f t="shared" si="2905"/>
      </c>
      <c r="BM1333" s="68">
        <f t="shared" si="2905"/>
      </c>
      <c r="BN1333" s="68">
        <f t="shared" si="2905"/>
      </c>
      <c r="BO1333" s="68">
        <f t="shared" si="2905"/>
      </c>
      <c r="BP1333" s="68">
        <f t="shared" si="2905"/>
      </c>
      <c r="BQ1333" s="68">
        <f t="shared" ref="BQ1333:BW1333" si="2906">IF(ISBLANK(BQ$1321),"N/A",IF(COUNTIFS(GD_Item_FiscalPeriod,BQ$1321,GD_Item_Name,$B1333,GD_Update_Date,BQ$1320)=0,"NR",SUMIFS(GD_Guidance_Mid,GD_Item_Name,$B1333,GD_Item_FiscalPeriod,BQ$1321,GD_Update_Date,BQ$1320)))</f>
      </c>
      <c r="BR1333" s="68">
        <f t="shared" si="2906"/>
      </c>
      <c r="BS1333" s="68">
        <f t="shared" si="2906"/>
      </c>
      <c r="BT1333" s="541">
        <f>IF(ISBLANK(BT$1321),"N/A",IF(COUNTIFS(GD_Item_FiscalPeriod,BT$1321,GD_Item_Name,$B1333,GD_Update_Date,BT$1320)=0,"NR",SUMIFS(GD_Guidance_Mid,GD_Item_Name,$B1333,GD_Item_FiscalPeriod,BT$1321,GD_Update_Date,BT$1320)))</f>
      </c>
      <c r="BU1333" s="68" t="str">
        <f t="shared" si="2906"/>
      </c>
      <c r="BV1333" s="68" t="str">
        <f t="shared" si="2906"/>
      </c>
      <c r="BW1333" s="68" t="str">
        <f t="shared" si="2906"/>
      </c>
      <c r="BX1333" s="68" t="str">
        <f t="shared" si="2905"/>
      </c>
      <c r="BY1333" s="68" t="str">
        <f t="shared" ref="BY1333:CF1333" si="2907">IF(ISBLANK(BY$1321),"N/A",IF(COUNTIFS(GD_Item_FiscalPeriod,BY$1321,GD_Item_Name,$B1333,GD_Update_Date,BY$1320)=0,"NR",SUMIFS(GD_Guidance_Mid,GD_Item_Name,$B1333,GD_Item_FiscalPeriod,BY$1321,GD_Update_Date,BY$1320)))</f>
      </c>
      <c r="BZ1333" s="68" t="str">
        <f t="shared" si="2907"/>
      </c>
      <c r="CA1333" s="68" t="str">
        <f t="shared" si="2907"/>
      </c>
      <c r="CB1333" s="68" t="str">
        <f t="shared" si="2907"/>
      </c>
      <c r="CC1333" s="68" t="str">
        <f t="shared" si="2907"/>
      </c>
      <c r="CD1333" s="68" t="str">
        <f t="shared" si="2907"/>
      </c>
      <c r="CE1333" s="68" t="str">
        <f t="shared" si="2907"/>
      </c>
      <c r="CF1333" s="579" t="str">
        <f t="shared" si="2907"/>
      </c>
      <c r="CG1333" s="131"/>
    </row>
    <row r="1334" spans="1:85" x14ac:dyDescent="0.3">
      <c r="A1334" s="507"/>
      <c r="B1334" s="247"/>
      <c r="C1334" s="503"/>
      <c r="D1334" s="503"/>
      <c r="E1334" s="247"/>
      <c r="F1334" s="247"/>
      <c r="G1334" s="247"/>
      <c r="H1334" s="247"/>
      <c r="I1334" s="247"/>
      <c r="J1334" s="247"/>
      <c r="K1334" s="247"/>
      <c r="L1334" s="247"/>
      <c r="M1334" s="247"/>
      <c r="N1334" s="247"/>
      <c r="O1334" s="247"/>
      <c r="P1334" s="247"/>
      <c r="Q1334" s="247"/>
      <c r="R1334" s="247"/>
      <c r="S1334" s="247"/>
      <c r="T1334" s="247"/>
      <c r="U1334" s="247"/>
      <c r="V1334" s="247"/>
      <c r="W1334" s="247"/>
      <c r="X1334" s="247"/>
      <c r="Y1334" s="247"/>
      <c r="Z1334" s="247"/>
      <c r="AA1334" s="247"/>
      <c r="AB1334" s="247"/>
      <c r="AC1334" s="247"/>
      <c r="AD1334" s="247"/>
      <c r="AE1334" s="247"/>
      <c r="AF1334" s="247"/>
      <c r="AG1334" s="247"/>
      <c r="AH1334" s="247"/>
      <c r="AI1334" s="247"/>
      <c r="AJ1334" s="247"/>
      <c r="AK1334" s="247"/>
      <c r="AL1334" s="247"/>
      <c r="AM1334" s="247"/>
      <c r="AN1334" s="247"/>
      <c r="AO1334" s="247"/>
      <c r="AP1334" s="247"/>
      <c r="AQ1334" s="247"/>
      <c r="AR1334" s="247"/>
      <c r="AS1334" s="247"/>
      <c r="AT1334" s="247"/>
      <c r="AU1334" s="247"/>
      <c r="AV1334" s="247"/>
      <c r="AW1334" s="247"/>
      <c r="AX1334" s="247"/>
      <c r="AY1334" s="247"/>
      <c r="AZ1334" s="247"/>
      <c r="BA1334" s="247"/>
      <c r="BB1334" s="247"/>
      <c r="BC1334" s="247"/>
      <c r="BD1334" s="247"/>
      <c r="BE1334" s="247"/>
      <c r="BF1334" s="247"/>
      <c r="BG1334" s="247"/>
      <c r="BH1334" s="247"/>
      <c r="BI1334" s="247"/>
      <c r="BJ1334" s="247"/>
      <c r="BK1334" s="247"/>
      <c r="BL1334" s="247"/>
      <c r="BM1334" s="247"/>
      <c r="BN1334" s="247"/>
      <c r="BO1334" s="247"/>
      <c r="BP1334" s="247"/>
      <c r="BQ1334" s="247"/>
      <c r="BR1334" s="247"/>
      <c r="BS1334" s="247"/>
      <c r="BT1334" s="497"/>
      <c r="BU1334" s="247"/>
      <c r="BV1334" s="247"/>
      <c r="BW1334" s="247"/>
      <c r="BX1334" s="247"/>
      <c r="BY1334" s="247"/>
      <c r="BZ1334" s="247"/>
      <c r="CA1334" s="247"/>
      <c r="CB1334" s="247"/>
      <c r="CC1334" s="247"/>
      <c r="CD1334" s="247"/>
      <c r="CE1334" s="247"/>
      <c r="CF1334" s="504"/>
      <c r="CG1334" s="131"/>
    </row>
    <row r="1335" spans="1:85" x14ac:dyDescent="0.3">
      <c r="A1335" s="284"/>
      <c r="B1335" s="287"/>
      <c r="C1335" s="290"/>
      <c r="D1335" s="290"/>
      <c r="E1335" s="287"/>
      <c r="F1335" s="287"/>
      <c r="G1335" s="287"/>
      <c r="H1335" s="287"/>
      <c r="I1335" s="287"/>
      <c r="J1335" s="287"/>
      <c r="K1335" s="287"/>
      <c r="L1335" s="287"/>
      <c r="M1335" s="287"/>
      <c r="N1335" s="287"/>
      <c r="O1335" s="287"/>
      <c r="P1335" s="287"/>
      <c r="Q1335" s="287"/>
      <c r="R1335" s="287"/>
      <c r="S1335" s="287"/>
      <c r="T1335" s="287"/>
      <c r="U1335" s="287"/>
      <c r="V1335" s="287"/>
      <c r="W1335" s="287"/>
      <c r="X1335" s="287"/>
      <c r="Y1335" s="287"/>
      <c r="Z1335" s="287"/>
      <c r="AA1335" s="287"/>
      <c r="AB1335" s="287"/>
      <c r="AC1335" s="287"/>
      <c r="AD1335" s="287"/>
      <c r="AE1335" s="287"/>
      <c r="AF1335" s="287"/>
      <c r="AG1335" s="287"/>
      <c r="AH1335" s="287"/>
      <c r="AI1335" s="287"/>
      <c r="AJ1335" s="287"/>
      <c r="AK1335" s="287"/>
      <c r="AL1335" s="287"/>
      <c r="AM1335" s="287"/>
      <c r="AN1335" s="287"/>
      <c r="AO1335" s="287"/>
      <c r="AP1335" s="287"/>
      <c r="AQ1335" s="287"/>
      <c r="AR1335" s="287"/>
      <c r="AS1335" s="287"/>
      <c r="AT1335" s="287"/>
      <c r="AU1335" s="287"/>
      <c r="AV1335" s="287"/>
      <c r="AW1335" s="287"/>
      <c r="AX1335" s="287"/>
      <c r="AY1335" s="287"/>
      <c r="AZ1335" s="287"/>
      <c r="BA1335" s="287"/>
      <c r="BB1335" s="287"/>
      <c r="BC1335" s="287"/>
      <c r="BD1335" s="287"/>
      <c r="BE1335" s="287"/>
      <c r="BF1335" s="287"/>
      <c r="BG1335" s="287"/>
      <c r="BH1335" s="287"/>
      <c r="BI1335" s="287"/>
      <c r="BJ1335" s="287"/>
      <c r="BK1335" s="287"/>
      <c r="BL1335" s="287"/>
      <c r="BM1335" s="287"/>
      <c r="BN1335" s="287"/>
      <c r="BO1335" s="287"/>
      <c r="BP1335" s="287"/>
      <c r="BQ1335" s="287"/>
      <c r="BR1335" s="287"/>
      <c r="BS1335" s="287"/>
      <c r="BT1335" s="298"/>
      <c r="BU1335" s="287"/>
      <c r="BV1335" s="287"/>
      <c r="BW1335" s="287"/>
      <c r="BX1335" s="287"/>
      <c r="BY1335" s="287"/>
      <c r="BZ1335" s="287"/>
      <c r="CA1335" s="287"/>
      <c r="CB1335" s="287"/>
      <c r="CC1335" s="287"/>
      <c r="CD1335" s="287"/>
      <c r="CE1335" s="287"/>
      <c r="CF1335" s="287"/>
      <c r="CG1335" s="131"/>
    </row>
    <row r="1336" spans="1:85" x14ac:dyDescent="0.3">
      <c r="A1336" s="505" t="s">
        <v>994</v>
      </c>
      <c r="B1336" s="499"/>
      <c r="C1336" s="500"/>
      <c r="D1336" s="500"/>
      <c r="E1336" s="499"/>
      <c r="F1336" s="499"/>
      <c r="G1336" s="499"/>
      <c r="H1336" s="499"/>
      <c r="I1336" s="499"/>
      <c r="J1336" s="499"/>
      <c r="K1336" s="499"/>
      <c r="L1336" s="499"/>
      <c r="M1336" s="499"/>
      <c r="N1336" s="499"/>
      <c r="O1336" s="499"/>
      <c r="P1336" s="499"/>
      <c r="Q1336" s="499"/>
      <c r="R1336" s="499"/>
      <c r="S1336" s="499"/>
      <c r="T1336" s="499"/>
      <c r="U1336" s="499"/>
      <c r="V1336" s="499"/>
      <c r="W1336" s="499"/>
      <c r="X1336" s="499"/>
      <c r="Y1336" s="499"/>
      <c r="Z1336" s="499"/>
      <c r="AA1336" s="499"/>
      <c r="AB1336" s="499"/>
      <c r="AC1336" s="499"/>
      <c r="AD1336" s="499"/>
      <c r="AE1336" s="499"/>
      <c r="AF1336" s="499"/>
      <c r="AG1336" s="499"/>
      <c r="AH1336" s="499"/>
      <c r="AI1336" s="499"/>
      <c r="AJ1336" s="499"/>
      <c r="AK1336" s="499"/>
      <c r="AL1336" s="499"/>
      <c r="AM1336" s="499"/>
      <c r="AN1336" s="499"/>
      <c r="AO1336" s="499"/>
      <c r="AP1336" s="499"/>
      <c r="AQ1336" s="499"/>
      <c r="AR1336" s="499"/>
      <c r="AS1336" s="499"/>
      <c r="AT1336" s="499"/>
      <c r="AU1336" s="499"/>
      <c r="AV1336" s="499"/>
      <c r="AW1336" s="499"/>
      <c r="AX1336" s="499"/>
      <c r="AY1336" s="499"/>
      <c r="AZ1336" s="499"/>
      <c r="BA1336" s="499"/>
      <c r="BB1336" s="499"/>
      <c r="BC1336" s="499"/>
      <c r="BD1336" s="499"/>
      <c r="BE1336" s="499"/>
      <c r="BF1336" s="499"/>
      <c r="BG1336" s="499"/>
      <c r="BH1336" s="499"/>
      <c r="BI1336" s="499"/>
      <c r="BJ1336" s="499"/>
      <c r="BK1336" s="499"/>
      <c r="BL1336" s="499"/>
      <c r="BM1336" s="499"/>
      <c r="BN1336" s="499"/>
      <c r="BO1336" s="499"/>
      <c r="BP1336" s="499"/>
      <c r="BQ1336" s="499"/>
      <c r="BR1336" s="499"/>
      <c r="BS1336" s="499"/>
      <c r="BT1336" s="501"/>
      <c r="BU1336" s="499"/>
      <c r="BV1336" s="499"/>
      <c r="BW1336" s="499"/>
      <c r="BX1336" s="499"/>
      <c r="BY1336" s="499"/>
      <c r="BZ1336" s="499"/>
      <c r="CA1336" s="499"/>
      <c r="CB1336" s="499"/>
      <c r="CC1336" s="499"/>
      <c r="CD1336" s="499"/>
      <c r="CE1336" s="499"/>
      <c r="CF1336" s="502"/>
      <c r="CG1336" s="131"/>
    </row>
    <row r="1337" spans="1:85" x14ac:dyDescent="0.3">
      <c r="A1337" s="506" t="s">
        <v>992</v>
      </c>
      <c r="B1337" s="204"/>
      <c r="C1337" s="643"/>
      <c r="D1337" s="643"/>
      <c r="E1337" s="508"/>
      <c r="F1337" s="508"/>
      <c r="G1337" s="508"/>
      <c r="H1337" s="508"/>
      <c r="I1337" s="508"/>
      <c r="J1337" s="508"/>
      <c r="K1337" s="508"/>
      <c r="L1337" s="508"/>
      <c r="M1337" s="508"/>
      <c r="N1337" s="508"/>
      <c r="O1337" s="508"/>
      <c r="P1337" s="508"/>
      <c r="Q1337" s="508"/>
      <c r="R1337" s="508"/>
      <c r="S1337" s="508"/>
      <c r="T1337" s="508"/>
      <c r="U1337" s="508"/>
      <c r="V1337" s="508"/>
      <c r="W1337" s="508"/>
      <c r="X1337" s="508"/>
      <c r="Y1337" s="508"/>
      <c r="Z1337" s="508"/>
      <c r="AA1337" s="508"/>
      <c r="AB1337" s="508"/>
      <c r="AC1337" s="508"/>
      <c r="AD1337" s="508">
        <f t="shared" ref="AD1337:BG1337" si="2908">AD1320</f>
      </c>
      <c r="AE1337" s="508">
        <f t="shared" si="2908"/>
      </c>
      <c r="AF1337" s="508">
        <f t="shared" si="2908"/>
      </c>
      <c r="AG1337" s="508">
        <f t="shared" si="2908"/>
      </c>
      <c r="AH1337" s="508">
        <f t="shared" si="2908"/>
      </c>
      <c r="AI1337" s="508">
        <f t="shared" si="2908"/>
      </c>
      <c r="AJ1337" s="508">
        <f t="shared" si="2908"/>
      </c>
      <c r="AK1337" s="508">
        <f t="shared" si="2908"/>
      </c>
      <c r="AL1337" s="508">
        <f t="shared" si="2908"/>
      </c>
      <c r="AM1337" s="508">
        <f t="shared" si="2908"/>
      </c>
      <c r="AN1337" s="508">
        <f t="shared" si="2908"/>
      </c>
      <c r="AO1337" s="508">
        <f t="shared" si="2908"/>
      </c>
      <c r="AP1337" s="508">
        <f t="shared" si="2908"/>
      </c>
      <c r="AQ1337" s="508">
        <f t="shared" si="2908"/>
      </c>
      <c r="AR1337" s="508">
        <f t="shared" si="2908"/>
      </c>
      <c r="AS1337" s="508">
        <f t="shared" si="2908"/>
      </c>
      <c r="AT1337" s="508">
        <f t="shared" si="2908"/>
      </c>
      <c r="AU1337" s="508">
        <f t="shared" si="2908"/>
      </c>
      <c r="AV1337" s="508">
        <f t="shared" si="2908"/>
      </c>
      <c r="AW1337" s="508">
        <f t="shared" si="2908"/>
      </c>
      <c r="AX1337" s="508">
        <f t="shared" si="2908"/>
      </c>
      <c r="AY1337" s="508">
        <f t="shared" si="2908"/>
      </c>
      <c r="AZ1337" s="508">
        <f t="shared" si="2908"/>
      </c>
      <c r="BA1337" s="508">
        <f t="shared" si="2908"/>
      </c>
      <c r="BB1337" s="508">
        <f t="shared" si="2908"/>
      </c>
      <c r="BC1337" s="508">
        <f t="shared" si="2908"/>
      </c>
      <c r="BD1337" s="508">
        <f t="shared" si="2908"/>
      </c>
      <c r="BE1337" s="508">
        <f t="shared" si="2908"/>
      </c>
      <c r="BF1337" s="508">
        <f t="shared" si="2908"/>
      </c>
      <c r="BG1337" s="508">
        <f t="shared" si="2908"/>
      </c>
      <c r="BH1337" s="508">
        <f t="shared" ref="BH1337:BN1337" si="2909">BH1320</f>
      </c>
      <c r="BI1337" s="508">
        <f t="shared" si="2909"/>
      </c>
      <c r="BJ1337" s="508">
        <f t="shared" si="2909"/>
      </c>
      <c r="BK1337" s="508">
        <f t="shared" si="2909"/>
      </c>
      <c r="BL1337" s="508">
        <f t="shared" si="2909"/>
      </c>
      <c r="BM1337" s="508">
        <f t="shared" si="2909"/>
      </c>
      <c r="BN1337" s="508">
        <f t="shared" si="2909"/>
      </c>
      <c r="BO1337" s="508">
        <f t="shared" ref="BO1337:BT1337" si="2910">BO1320</f>
      </c>
      <c r="BP1337" s="508">
        <f t="shared" si="2910"/>
      </c>
      <c r="BQ1337" s="508">
        <f t="shared" si="2910"/>
      </c>
      <c r="BR1337" s="508">
        <f t="shared" si="2910"/>
      </c>
      <c r="BS1337" s="508">
        <f t="shared" si="2910"/>
      </c>
      <c r="BT1337" s="544">
        <f t="shared" si="2910"/>
      </c>
      <c r="BU1337" s="508"/>
      <c r="BV1337" s="508"/>
      <c r="BW1337" s="508"/>
      <c r="BX1337" s="508"/>
      <c r="BY1337" s="508"/>
      <c r="BZ1337" s="508"/>
      <c r="CA1337" s="508"/>
      <c r="CB1337" s="508"/>
      <c r="CC1337" s="508"/>
      <c r="CD1337" s="508"/>
      <c r="CE1337" s="508"/>
      <c r="CF1337" s="509"/>
      <c r="CG1337" s="131"/>
    </row>
    <row r="1338" spans="1:85" x14ac:dyDescent="0.3">
      <c r="A1338" s="506" t="s">
        <v>995</v>
      </c>
      <c r="B1338" s="204"/>
      <c r="C1338" s="644"/>
      <c r="D1338" s="644"/>
      <c r="E1338" s="510"/>
      <c r="F1338" s="510"/>
      <c r="G1338" s="510"/>
      <c r="H1338" s="510"/>
      <c r="I1338" s="510"/>
      <c r="J1338" s="510"/>
      <c r="K1338" s="510"/>
      <c r="L1338" s="510"/>
      <c r="M1338" s="510"/>
      <c r="N1338" s="510"/>
      <c r="O1338" s="510"/>
      <c r="P1338" s="510"/>
      <c r="Q1338" s="510"/>
      <c r="R1338" s="510"/>
      <c r="S1338" s="510"/>
      <c r="T1338" s="510"/>
      <c r="U1338" s="510"/>
      <c r="V1338" s="510"/>
      <c r="W1338" s="510"/>
      <c r="X1338" s="510"/>
      <c r="Y1338" s="510"/>
      <c r="Z1338" s="510"/>
      <c r="AA1338" s="510"/>
      <c r="AB1338" s="510"/>
      <c r="AC1338" s="510"/>
      <c r="AD1338" s="510" t="str">
        <f t="shared" ref="AD1338:BG1338" si="2911">IF(AD1339=AE1339,"",AD1339)</f>
      </c>
      <c r="AE1338" s="510" t="str">
        <f t="shared" si="2911"/>
      </c>
      <c r="AF1338" s="510" t="str">
        <f t="shared" si="2911"/>
      </c>
      <c r="AG1338" s="510" t="str">
        <f t="shared" si="2911"/>
      </c>
      <c r="AH1338" s="510" t="str">
        <f t="shared" si="2911"/>
      </c>
      <c r="AI1338" s="510" t="str">
        <f t="shared" si="2911"/>
      </c>
      <c r="AJ1338" s="510" t="str">
        <f t="shared" si="2911"/>
      </c>
      <c r="AK1338" s="510" t="str">
        <f t="shared" si="2911"/>
      </c>
      <c r="AL1338" s="510" t="str">
        <f t="shared" si="2911"/>
      </c>
      <c r="AM1338" s="510" t="str">
        <f t="shared" si="2911"/>
      </c>
      <c r="AN1338" s="510" t="str">
        <f t="shared" si="2911"/>
      </c>
      <c r="AO1338" s="510" t="str">
        <f t="shared" si="2911"/>
      </c>
      <c r="AP1338" s="510" t="str">
        <f t="shared" si="2911"/>
      </c>
      <c r="AQ1338" s="510" t="str">
        <f t="shared" si="2911"/>
      </c>
      <c r="AR1338" s="510" t="str">
        <f t="shared" si="2911"/>
      </c>
      <c r="AS1338" s="510" t="str">
        <f t="shared" si="2911"/>
      </c>
      <c r="AT1338" s="510" t="str">
        <f t="shared" si="2911"/>
      </c>
      <c r="AU1338" s="510" t="str">
        <f t="shared" si="2911"/>
      </c>
      <c r="AV1338" s="510" t="str">
        <f t="shared" si="2911"/>
      </c>
      <c r="AW1338" s="510" t="str">
        <f t="shared" si="2911"/>
      </c>
      <c r="AX1338" s="510" t="str">
        <f t="shared" si="2911"/>
      </c>
      <c r="AY1338" s="510" t="str">
        <f t="shared" si="2911"/>
      </c>
      <c r="AZ1338" s="510" t="str">
        <f t="shared" si="2911"/>
      </c>
      <c r="BA1338" s="510" t="str">
        <f t="shared" si="2911"/>
      </c>
      <c r="BB1338" s="510" t="str">
        <f t="shared" si="2911"/>
      </c>
      <c r="BC1338" s="510" t="str">
        <f t="shared" si="2911"/>
      </c>
      <c r="BD1338" s="510" t="str">
        <f t="shared" si="2911"/>
      </c>
      <c r="BE1338" s="510" t="str">
        <f t="shared" si="2911"/>
      </c>
      <c r="BF1338" s="510" t="str">
        <f t="shared" si="2911"/>
      </c>
      <c r="BG1338" s="510" t="str">
        <f t="shared" si="2911"/>
      </c>
      <c r="BH1338" s="510" t="str">
        <f t="shared" ref="BH1338:BN1338" si="2912">IF(BH1339=BI1339,"",BH1339)</f>
      </c>
      <c r="BI1338" s="510" t="str">
        <f t="shared" si="2912"/>
      </c>
      <c r="BJ1338" s="510" t="str">
        <f t="shared" si="2912"/>
      </c>
      <c r="BK1338" s="510" t="str">
        <f t="shared" si="2912"/>
      </c>
      <c r="BL1338" s="510" t="str">
        <f t="shared" si="2912"/>
      </c>
      <c r="BM1338" s="510" t="str">
        <f t="shared" si="2912"/>
      </c>
      <c r="BN1338" s="510" t="str">
        <f t="shared" si="2912"/>
      </c>
      <c r="BO1338" s="510" t="str">
        <f t="shared" ref="BO1338:BT1338" si="2913">IF(BO1339=BP1339,"",BO1339)</f>
      </c>
      <c r="BP1338" s="510" t="str">
        <f t="shared" si="2913"/>
      </c>
      <c r="BQ1338" s="510" t="str">
        <f t="shared" si="2913"/>
      </c>
      <c r="BR1338" s="510" t="str">
        <f t="shared" si="2913"/>
      </c>
      <c r="BS1338" s="510" t="str">
        <f t="shared" si="2913"/>
      </c>
      <c r="BT1338" s="545" t="str">
        <f t="shared" si="2913"/>
      </c>
      <c r="BU1338" s="510"/>
      <c r="BV1338" s="510"/>
      <c r="BW1338" s="510"/>
      <c r="BX1338" s="510"/>
      <c r="BY1338" s="510"/>
      <c r="BZ1338" s="510"/>
      <c r="CA1338" s="510"/>
      <c r="CB1338" s="510"/>
      <c r="CC1338" s="510"/>
      <c r="CD1338" s="510"/>
      <c r="CE1338" s="510"/>
      <c r="CF1338" s="511"/>
      <c r="CG1338" s="131"/>
    </row>
    <row r="1339" spans="1:85" x14ac:dyDescent="0.3">
      <c r="A1339" s="506" t="s">
        <v>993</v>
      </c>
      <c r="B1339" s="204"/>
      <c r="C1339" s="644"/>
      <c r="D1339" s="644"/>
      <c r="E1339" s="510"/>
      <c r="F1339" s="510"/>
      <c r="G1339" s="510"/>
      <c r="H1339" s="510"/>
      <c r="I1339" s="510"/>
      <c r="J1339" s="510"/>
      <c r="K1339" s="510"/>
      <c r="L1339" s="510"/>
      <c r="M1339" s="510"/>
      <c r="N1339" s="510"/>
      <c r="O1339" s="510"/>
      <c r="P1339" s="510"/>
      <c r="Q1339" s="510"/>
      <c r="R1339" s="510"/>
      <c r="S1339" s="510"/>
      <c r="T1339" s="510"/>
      <c r="U1339" s="510"/>
      <c r="V1339" s="510"/>
      <c r="W1339" s="510"/>
      <c r="X1339" s="510"/>
      <c r="Y1339" s="510"/>
      <c r="Z1339" s="510"/>
      <c r="AA1339" s="510"/>
      <c r="AB1339" s="510"/>
      <c r="AC1339" s="510"/>
      <c r="AD1339" s="510" t="str">
        <f>AJ$5</f>
      </c>
      <c r="AE1339" s="510" t="str">
        <f>AJ$5</f>
      </c>
      <c r="AF1339" s="510" t="str">
        <f>AJ$5</f>
      </c>
      <c r="AG1339" s="510" t="str">
        <f>AJ$5</f>
      </c>
      <c r="AH1339" s="510" t="str">
        <f>AJ$5</f>
      </c>
      <c r="AI1339" s="510" t="str">
        <f>AO$5</f>
      </c>
      <c r="AJ1339" s="510" t="str">
        <f>AO$5</f>
      </c>
      <c r="AK1339" s="510" t="str">
        <f>AO$5</f>
      </c>
      <c r="AL1339" s="510" t="str">
        <f>AO$5</f>
      </c>
      <c r="AM1339" s="510" t="str">
        <f>AO$5</f>
      </c>
      <c r="AN1339" s="510" t="str">
        <f>AT$5</f>
      </c>
      <c r="AO1339" s="510" t="str">
        <f>AT$5</f>
      </c>
      <c r="AP1339" s="510" t="str">
        <f>AT$5</f>
      </c>
      <c r="AQ1339" s="510" t="str">
        <f>AT$5</f>
      </c>
      <c r="AR1339" s="510" t="str">
        <f>AT$5</f>
      </c>
      <c r="AS1339" s="510" t="str">
        <f>AY$5</f>
      </c>
      <c r="AT1339" s="510" t="str">
        <f>AY$5</f>
      </c>
      <c r="AU1339" s="510" t="str">
        <f>AY$5</f>
      </c>
      <c r="AV1339" s="510" t="str">
        <f>AY$5</f>
      </c>
      <c r="AW1339" s="510" t="str">
        <f>AY$5</f>
      </c>
      <c r="AX1339" s="510" t="str">
        <f>BD$5</f>
      </c>
      <c r="AY1339" s="510" t="str">
        <f>BD$5</f>
      </c>
      <c r="AZ1339" s="510" t="str">
        <f>BD$5</f>
      </c>
      <c r="BA1339" s="510" t="str">
        <f>BD$5</f>
      </c>
      <c r="BB1339" s="510" t="str">
        <f>BD$5</f>
      </c>
      <c r="BC1339" s="510" t="str">
        <f>BI$5</f>
      </c>
      <c r="BD1339" s="510" t="str">
        <f>BI$5</f>
      </c>
      <c r="BE1339" s="510" t="str">
        <f>BI$5</f>
      </c>
      <c r="BF1339" s="510" t="str">
        <f>BI$5</f>
      </c>
      <c r="BG1339" s="510" t="str">
        <f>BI$5</f>
      </c>
      <c r="BH1339" s="510" t="str">
        <f>BN$5</f>
      </c>
      <c r="BI1339" s="510" t="str">
        <f>BN$5</f>
      </c>
      <c r="BJ1339" s="510" t="str">
        <f>BN$5</f>
      </c>
      <c r="BK1339" s="510" t="str">
        <f>BN$5</f>
      </c>
      <c r="BL1339" s="510" t="str">
        <f>BN$5</f>
      </c>
      <c r="BM1339" s="510" t="str">
        <f>BS$5</f>
      </c>
      <c r="BN1339" s="510" t="str">
        <f>BS$5</f>
      </c>
      <c r="BO1339" s="510" t="str">
        <f>BS$5</f>
      </c>
      <c r="BP1339" s="510" t="str">
        <f>BS$5</f>
      </c>
      <c r="BQ1339" s="510" t="str">
        <f>BS$5</f>
      </c>
      <c r="BR1339" s="510" t="str">
        <f>BX$5</f>
      </c>
      <c r="BS1339" s="510" t="str">
        <f>BX$5</f>
      </c>
      <c r="BT1339" s="545" t="str">
        <f>BX$5</f>
      </c>
      <c r="BU1339" s="510"/>
      <c r="BV1339" s="510"/>
      <c r="BW1339" s="510"/>
      <c r="BX1339" s="510"/>
      <c r="BY1339" s="510"/>
      <c r="BZ1339" s="510"/>
      <c r="CA1339" s="510"/>
      <c r="CB1339" s="510"/>
      <c r="CC1339" s="510"/>
      <c r="CD1339" s="510"/>
      <c r="CE1339" s="510"/>
      <c r="CF1339" s="511"/>
      <c r="CG1339" s="131"/>
    </row>
    <row r="1340" spans="1:85" x14ac:dyDescent="0.3">
      <c r="A1340" s="576" t="s">
        <v>2252</v>
      </c>
      <c r="B1340" s="857" t="s">
        <v>282</v>
      </c>
      <c r="C1340" s="645"/>
      <c r="D1340" s="645"/>
      <c r="E1340" s="753"/>
      <c r="F1340" s="753"/>
      <c r="G1340" s="753"/>
      <c r="H1340" s="753"/>
      <c r="I1340" s="753"/>
      <c r="J1340" s="753"/>
      <c r="K1340" s="753"/>
      <c r="L1340" s="753"/>
      <c r="M1340" s="753"/>
      <c r="N1340" s="753"/>
      <c r="O1340" s="753"/>
      <c r="P1340" s="753"/>
      <c r="Q1340" s="753"/>
      <c r="R1340" s="753"/>
      <c r="S1340" s="753"/>
      <c r="T1340" s="753"/>
      <c r="U1340" s="753"/>
      <c r="V1340" s="753"/>
      <c r="W1340" s="753"/>
      <c r="X1340" s="753"/>
      <c r="Y1340" s="753"/>
      <c r="Z1340" s="753"/>
      <c r="AA1340" s="753"/>
      <c r="AB1340" s="753"/>
      <c r="AC1340" s="753"/>
      <c r="AD1340" s="753" t="str">
        <f t="shared" ref="AD1340:BI1340" si="2914">IF(ISBLANK(AD$1339),"N/A",IF(COUNTIFS(GD_Item_FiscalPeriod,AD$1339,GD_Item_Name,$B1340,GD_Update_Date,AD$1337)=0,"NR",SUMIFS(GD_Guidance_Low,GD_Item_Name,$B1340,GD_Item_FiscalPeriod,AD$1339,GD_Update_Date,AD$1337)))</f>
      </c>
      <c r="AE1340" s="753" t="str">
        <f t="shared" si="2914"/>
      </c>
      <c r="AF1340" s="753" t="str">
        <f t="shared" si="2914"/>
      </c>
      <c r="AG1340" s="753" t="str">
        <f t="shared" si="2914"/>
      </c>
      <c r="AH1340" s="753" t="str">
        <f t="shared" si="2914"/>
      </c>
      <c r="AI1340" s="753" t="str">
        <f t="shared" si="2914"/>
      </c>
      <c r="AJ1340" s="753" t="str">
        <f t="shared" si="2914"/>
      </c>
      <c r="AK1340" s="753" t="str">
        <f t="shared" si="2914"/>
      </c>
      <c r="AL1340" s="753" t="str">
        <f t="shared" si="2914"/>
      </c>
      <c r="AM1340" s="753" t="str">
        <f t="shared" si="2914"/>
      </c>
      <c r="AN1340" s="753" t="str">
        <f t="shared" si="2914"/>
      </c>
      <c r="AO1340" s="753" t="str">
        <f t="shared" si="2914"/>
      </c>
      <c r="AP1340" s="753" t="str">
        <f t="shared" si="2914"/>
      </c>
      <c r="AQ1340" s="753" t="str">
        <f t="shared" si="2914"/>
      </c>
      <c r="AR1340" s="753" t="str">
        <f t="shared" si="2914"/>
      </c>
      <c r="AS1340" s="753" t="str">
        <f t="shared" si="2914"/>
      </c>
      <c r="AT1340" s="753" t="str">
        <f t="shared" si="2914"/>
      </c>
      <c r="AU1340" s="753" t="str">
        <f t="shared" si="2914"/>
      </c>
      <c r="AV1340" s="753" t="str">
        <f t="shared" si="2914"/>
      </c>
      <c r="AW1340" s="753" t="str">
        <f t="shared" si="2914"/>
      </c>
      <c r="AX1340" s="753" t="str">
        <f t="shared" si="2914"/>
      </c>
      <c r="AY1340" s="753" t="str">
        <f t="shared" si="2914"/>
      </c>
      <c r="AZ1340" s="753" t="str">
        <f t="shared" si="2914"/>
      </c>
      <c r="BA1340" s="753" t="str">
        <f t="shared" si="2914"/>
      </c>
      <c r="BB1340" s="753" t="str">
        <f t="shared" si="2914"/>
      </c>
      <c r="BC1340" s="753" t="str">
        <f t="shared" si="2914"/>
      </c>
      <c r="BD1340" s="753" t="str">
        <f t="shared" si="2914"/>
      </c>
      <c r="BE1340" s="753" t="str">
        <f t="shared" si="2914"/>
      </c>
      <c r="BF1340" s="753" t="str">
        <f t="shared" si="2914"/>
      </c>
      <c r="BG1340" s="753" t="str">
        <f t="shared" si="2914"/>
      </c>
      <c r="BH1340" s="753" t="str">
        <f t="shared" si="2914"/>
      </c>
      <c r="BI1340" s="753" t="str">
        <f t="shared" si="2914"/>
      </c>
      <c r="BJ1340" s="753" t="str">
        <f t="shared" ref="BJ1340:BX1340" si="2915">IF(ISBLANK(BJ$1339),"N/A",IF(COUNTIFS(GD_Item_FiscalPeriod,BJ$1339,GD_Item_Name,$B1340,GD_Update_Date,BJ$1337)=0,"NR",SUMIFS(GD_Guidance_Low,GD_Item_Name,$B1340,GD_Item_FiscalPeriod,BJ$1339,GD_Update_Date,BJ$1337)))</f>
      </c>
      <c r="BK1340" s="753" t="str">
        <f t="shared" si="2915"/>
      </c>
      <c r="BL1340" s="753" t="str">
        <f t="shared" si="2915"/>
      </c>
      <c r="BM1340" s="753">
        <f t="shared" si="2915"/>
      </c>
      <c r="BN1340" s="753">
        <f t="shared" si="2915"/>
      </c>
      <c r="BO1340" s="753">
        <f t="shared" si="2915"/>
      </c>
      <c r="BP1340" s="753">
        <f t="shared" si="2915"/>
      </c>
      <c r="BQ1340" s="753">
        <f t="shared" ref="BQ1340:BW1340" si="2916">IF(ISBLANK(BQ$1339),"N/A",IF(COUNTIFS(GD_Item_FiscalPeriod,BQ$1339,GD_Item_Name,$B1340,GD_Update_Date,BQ$1337)=0,"NR",SUMIFS(GD_Guidance_Low,GD_Item_Name,$B1340,GD_Item_FiscalPeriod,BQ$1339,GD_Update_Date,BQ$1337)))</f>
      </c>
      <c r="BR1340" s="753">
        <f t="shared" si="2916"/>
      </c>
      <c r="BS1340" s="753">
        <f t="shared" si="2916"/>
      </c>
      <c r="BT1340" s="756">
        <f>IF(ISBLANK(BT$1339),"N/A",IF(COUNTIFS(GD_Item_FiscalPeriod,BT$1339,GD_Item_Name,$B1340,GD_Update_Date,BT$1337)=0,"NR",SUMIFS(GD_Guidance_Low,GD_Item_Name,$B1340,GD_Item_FiscalPeriod,BT$1339,GD_Update_Date,BT$1337)))</f>
      </c>
      <c r="BU1340" s="753" t="str">
        <f t="shared" si="2916"/>
      </c>
      <c r="BV1340" s="753" t="str">
        <f t="shared" si="2916"/>
      </c>
      <c r="BW1340" s="753" t="str">
        <f t="shared" si="2916"/>
      </c>
      <c r="BX1340" s="753" t="str">
        <f t="shared" si="2915"/>
      </c>
      <c r="BY1340" s="753" t="str">
        <f t="shared" ref="BY1340:CF1340" si="2917">IF(ISBLANK(BY$1339),"N/A",IF(COUNTIFS(GD_Item_FiscalPeriod,BY$1339,GD_Item_Name,$B1340,GD_Update_Date,BY$1337)=0,"NR",SUMIFS(GD_Guidance_Low,GD_Item_Name,$B1340,GD_Item_FiscalPeriod,BY$1339,GD_Update_Date,BY$1337)))</f>
      </c>
      <c r="BZ1340" s="753" t="str">
        <f t="shared" si="2917"/>
      </c>
      <c r="CA1340" s="753" t="str">
        <f t="shared" si="2917"/>
      </c>
      <c r="CB1340" s="753" t="str">
        <f t="shared" si="2917"/>
      </c>
      <c r="CC1340" s="753" t="str">
        <f t="shared" si="2917"/>
      </c>
      <c r="CD1340" s="753" t="str">
        <f t="shared" si="2917"/>
      </c>
      <c r="CE1340" s="753" t="str">
        <f t="shared" si="2917"/>
      </c>
      <c r="CF1340" s="577" t="str">
        <f t="shared" si="2917"/>
      </c>
      <c r="CG1340" s="131"/>
    </row>
    <row r="1341" spans="1:85" x14ac:dyDescent="0.3">
      <c r="A1341" s="576" t="s">
        <v>2253</v>
      </c>
      <c r="B1341" s="857" t="s">
        <v>282</v>
      </c>
      <c r="C1341" s="645"/>
      <c r="D1341" s="645"/>
      <c r="E1341" s="753"/>
      <c r="F1341" s="753"/>
      <c r="G1341" s="753"/>
      <c r="H1341" s="753"/>
      <c r="I1341" s="753"/>
      <c r="J1341" s="753"/>
      <c r="K1341" s="753"/>
      <c r="L1341" s="753"/>
      <c r="M1341" s="753"/>
      <c r="N1341" s="753"/>
      <c r="O1341" s="753"/>
      <c r="P1341" s="753"/>
      <c r="Q1341" s="753"/>
      <c r="R1341" s="753"/>
      <c r="S1341" s="753"/>
      <c r="T1341" s="753"/>
      <c r="U1341" s="753"/>
      <c r="V1341" s="753"/>
      <c r="W1341" s="753"/>
      <c r="X1341" s="753"/>
      <c r="Y1341" s="753"/>
      <c r="Z1341" s="753"/>
      <c r="AA1341" s="753"/>
      <c r="AB1341" s="753"/>
      <c r="AC1341" s="753"/>
      <c r="AD1341" s="753" t="str">
        <f t="shared" ref="AD1341:BI1341" si="2918">IF(ISBLANK(AD$1339),"N/A",IF(COUNTIFS(GD_Item_FiscalPeriod,AD$1339,GD_Item_Name,$B1341,GD_Update_Date,AD$1337)=0,"NR",SUMIFS(GD_Guidance_High,GD_Item_Name,$B1341,GD_Item_FiscalPeriod,AD$1339,GD_Update_Date,AD$1337)))</f>
      </c>
      <c r="AE1341" s="753" t="str">
        <f t="shared" si="2918"/>
      </c>
      <c r="AF1341" s="753" t="str">
        <f t="shared" si="2918"/>
      </c>
      <c r="AG1341" s="753" t="str">
        <f t="shared" si="2918"/>
      </c>
      <c r="AH1341" s="753" t="str">
        <f t="shared" si="2918"/>
      </c>
      <c r="AI1341" s="753" t="str">
        <f t="shared" si="2918"/>
      </c>
      <c r="AJ1341" s="753" t="str">
        <f t="shared" si="2918"/>
      </c>
      <c r="AK1341" s="753" t="str">
        <f t="shared" si="2918"/>
      </c>
      <c r="AL1341" s="753" t="str">
        <f t="shared" si="2918"/>
      </c>
      <c r="AM1341" s="753" t="str">
        <f t="shared" si="2918"/>
      </c>
      <c r="AN1341" s="753" t="str">
        <f t="shared" si="2918"/>
      </c>
      <c r="AO1341" s="753" t="str">
        <f t="shared" si="2918"/>
      </c>
      <c r="AP1341" s="753" t="str">
        <f t="shared" si="2918"/>
      </c>
      <c r="AQ1341" s="753" t="str">
        <f t="shared" si="2918"/>
      </c>
      <c r="AR1341" s="753" t="str">
        <f t="shared" si="2918"/>
      </c>
      <c r="AS1341" s="753" t="str">
        <f t="shared" si="2918"/>
      </c>
      <c r="AT1341" s="753" t="str">
        <f t="shared" si="2918"/>
      </c>
      <c r="AU1341" s="753" t="str">
        <f t="shared" si="2918"/>
      </c>
      <c r="AV1341" s="753" t="str">
        <f t="shared" si="2918"/>
      </c>
      <c r="AW1341" s="753" t="str">
        <f t="shared" si="2918"/>
      </c>
      <c r="AX1341" s="753" t="str">
        <f t="shared" si="2918"/>
      </c>
      <c r="AY1341" s="753" t="str">
        <f t="shared" si="2918"/>
      </c>
      <c r="AZ1341" s="753" t="str">
        <f t="shared" si="2918"/>
      </c>
      <c r="BA1341" s="753" t="str">
        <f t="shared" si="2918"/>
      </c>
      <c r="BB1341" s="753" t="str">
        <f t="shared" si="2918"/>
      </c>
      <c r="BC1341" s="753" t="str">
        <f t="shared" si="2918"/>
      </c>
      <c r="BD1341" s="753" t="str">
        <f t="shared" si="2918"/>
      </c>
      <c r="BE1341" s="753" t="str">
        <f t="shared" si="2918"/>
      </c>
      <c r="BF1341" s="753" t="str">
        <f t="shared" si="2918"/>
      </c>
      <c r="BG1341" s="753" t="str">
        <f t="shared" si="2918"/>
      </c>
      <c r="BH1341" s="753" t="str">
        <f t="shared" si="2918"/>
      </c>
      <c r="BI1341" s="753" t="str">
        <f t="shared" si="2918"/>
      </c>
      <c r="BJ1341" s="753" t="str">
        <f t="shared" ref="BJ1341:BX1341" si="2919">IF(ISBLANK(BJ$1339),"N/A",IF(COUNTIFS(GD_Item_FiscalPeriod,BJ$1339,GD_Item_Name,$B1341,GD_Update_Date,BJ$1337)=0,"NR",SUMIFS(GD_Guidance_High,GD_Item_Name,$B1341,GD_Item_FiscalPeriod,BJ$1339,GD_Update_Date,BJ$1337)))</f>
      </c>
      <c r="BK1341" s="753" t="str">
        <f t="shared" si="2919"/>
      </c>
      <c r="BL1341" s="753" t="str">
        <f t="shared" si="2919"/>
      </c>
      <c r="BM1341" s="753">
        <f t="shared" si="2919"/>
      </c>
      <c r="BN1341" s="753">
        <f t="shared" si="2919"/>
      </c>
      <c r="BO1341" s="753">
        <f t="shared" si="2919"/>
      </c>
      <c r="BP1341" s="753">
        <f t="shared" si="2919"/>
      </c>
      <c r="BQ1341" s="753">
        <f t="shared" ref="BQ1341:BW1341" si="2920">IF(ISBLANK(BQ$1339),"N/A",IF(COUNTIFS(GD_Item_FiscalPeriod,BQ$1339,GD_Item_Name,$B1341,GD_Update_Date,BQ$1337)=0,"NR",SUMIFS(GD_Guidance_High,GD_Item_Name,$B1341,GD_Item_FiscalPeriod,BQ$1339,GD_Update_Date,BQ$1337)))</f>
      </c>
      <c r="BR1341" s="753">
        <f t="shared" si="2920"/>
      </c>
      <c r="BS1341" s="753">
        <f t="shared" si="2920"/>
      </c>
      <c r="BT1341" s="756">
        <f>IF(ISBLANK(BT$1339),"N/A",IF(COUNTIFS(GD_Item_FiscalPeriod,BT$1339,GD_Item_Name,$B1341,GD_Update_Date,BT$1337)=0,"NR",SUMIFS(GD_Guidance_High,GD_Item_Name,$B1341,GD_Item_FiscalPeriod,BT$1339,GD_Update_Date,BT$1337)))</f>
      </c>
      <c r="BU1341" s="753" t="str">
        <f t="shared" si="2920"/>
      </c>
      <c r="BV1341" s="753" t="str">
        <f t="shared" si="2920"/>
      </c>
      <c r="BW1341" s="753" t="str">
        <f t="shared" si="2920"/>
      </c>
      <c r="BX1341" s="753" t="str">
        <f t="shared" si="2919"/>
      </c>
      <c r="BY1341" s="753" t="str">
        <f t="shared" ref="BY1341:CF1341" si="2921">IF(ISBLANK(BY$1339),"N/A",IF(COUNTIFS(GD_Item_FiscalPeriod,BY$1339,GD_Item_Name,$B1341,GD_Update_Date,BY$1337)=0,"NR",SUMIFS(GD_Guidance_High,GD_Item_Name,$B1341,GD_Item_FiscalPeriod,BY$1339,GD_Update_Date,BY$1337)))</f>
      </c>
      <c r="BZ1341" s="753" t="str">
        <f t="shared" si="2921"/>
      </c>
      <c r="CA1341" s="753" t="str">
        <f t="shared" si="2921"/>
      </c>
      <c r="CB1341" s="753" t="str">
        <f t="shared" si="2921"/>
      </c>
      <c r="CC1341" s="753" t="str">
        <f t="shared" si="2921"/>
      </c>
      <c r="CD1341" s="753" t="str">
        <f t="shared" si="2921"/>
      </c>
      <c r="CE1341" s="753" t="str">
        <f t="shared" si="2921"/>
      </c>
      <c r="CF1341" s="577" t="str">
        <f t="shared" si="2921"/>
      </c>
      <c r="CG1341" s="131"/>
    </row>
    <row r="1342" spans="1:85" x14ac:dyDescent="0.3">
      <c r="A1342" s="576" t="s">
        <v>2254</v>
      </c>
      <c r="B1342" s="857" t="s">
        <v>282</v>
      </c>
      <c r="C1342" s="645"/>
      <c r="D1342" s="645"/>
      <c r="E1342" s="753"/>
      <c r="F1342" s="753"/>
      <c r="G1342" s="753"/>
      <c r="H1342" s="753"/>
      <c r="I1342" s="753"/>
      <c r="J1342" s="753"/>
      <c r="K1342" s="753"/>
      <c r="L1342" s="753"/>
      <c r="M1342" s="753"/>
      <c r="N1342" s="753"/>
      <c r="O1342" s="753"/>
      <c r="P1342" s="753"/>
      <c r="Q1342" s="753"/>
      <c r="R1342" s="753"/>
      <c r="S1342" s="753"/>
      <c r="T1342" s="753"/>
      <c r="U1342" s="753"/>
      <c r="V1342" s="753"/>
      <c r="W1342" s="753"/>
      <c r="X1342" s="753"/>
      <c r="Y1342" s="753"/>
      <c r="Z1342" s="753"/>
      <c r="AA1342" s="753"/>
      <c r="AB1342" s="753"/>
      <c r="AC1342" s="753"/>
      <c r="AD1342" s="753" t="str">
        <f t="shared" ref="AD1342:BI1342" si="2922">IF(ISBLANK(AD$1339),"N/A",IF(COUNTIFS(GD_Item_FiscalPeriod,AD$1339,GD_Item_Name,$B1342,GD_Update_Date,AD$1337)=0,"NR",SUMIFS(GD_Guidance_Mid,GD_Item_Name,$B1342,GD_Item_FiscalPeriod,AD$1339,GD_Update_Date,AD$1337)))</f>
      </c>
      <c r="AE1342" s="753" t="str">
        <f t="shared" si="2922"/>
      </c>
      <c r="AF1342" s="753" t="str">
        <f t="shared" si="2922"/>
      </c>
      <c r="AG1342" s="753" t="str">
        <f t="shared" si="2922"/>
      </c>
      <c r="AH1342" s="753" t="str">
        <f t="shared" si="2922"/>
      </c>
      <c r="AI1342" s="753" t="str">
        <f t="shared" si="2922"/>
      </c>
      <c r="AJ1342" s="753" t="str">
        <f t="shared" si="2922"/>
      </c>
      <c r="AK1342" s="753" t="str">
        <f t="shared" si="2922"/>
      </c>
      <c r="AL1342" s="753" t="str">
        <f t="shared" si="2922"/>
      </c>
      <c r="AM1342" s="753" t="str">
        <f t="shared" si="2922"/>
      </c>
      <c r="AN1342" s="753" t="str">
        <f t="shared" si="2922"/>
      </c>
      <c r="AO1342" s="753" t="str">
        <f t="shared" si="2922"/>
      </c>
      <c r="AP1342" s="753" t="str">
        <f t="shared" si="2922"/>
      </c>
      <c r="AQ1342" s="753" t="str">
        <f t="shared" si="2922"/>
      </c>
      <c r="AR1342" s="753" t="str">
        <f t="shared" si="2922"/>
      </c>
      <c r="AS1342" s="753" t="str">
        <f t="shared" si="2922"/>
      </c>
      <c r="AT1342" s="753" t="str">
        <f t="shared" si="2922"/>
      </c>
      <c r="AU1342" s="753" t="str">
        <f t="shared" si="2922"/>
      </c>
      <c r="AV1342" s="753" t="str">
        <f t="shared" si="2922"/>
      </c>
      <c r="AW1342" s="753" t="str">
        <f t="shared" si="2922"/>
      </c>
      <c r="AX1342" s="753" t="str">
        <f t="shared" si="2922"/>
      </c>
      <c r="AY1342" s="753" t="str">
        <f t="shared" si="2922"/>
      </c>
      <c r="AZ1342" s="753" t="str">
        <f t="shared" si="2922"/>
      </c>
      <c r="BA1342" s="753" t="str">
        <f t="shared" si="2922"/>
      </c>
      <c r="BB1342" s="753" t="str">
        <f t="shared" si="2922"/>
      </c>
      <c r="BC1342" s="753" t="str">
        <f t="shared" si="2922"/>
      </c>
      <c r="BD1342" s="753" t="str">
        <f t="shared" si="2922"/>
      </c>
      <c r="BE1342" s="753" t="str">
        <f t="shared" si="2922"/>
      </c>
      <c r="BF1342" s="753" t="str">
        <f t="shared" si="2922"/>
      </c>
      <c r="BG1342" s="753" t="str">
        <f t="shared" si="2922"/>
      </c>
      <c r="BH1342" s="753" t="str">
        <f t="shared" si="2922"/>
      </c>
      <c r="BI1342" s="753" t="str">
        <f t="shared" si="2922"/>
      </c>
      <c r="BJ1342" s="753" t="str">
        <f t="shared" ref="BJ1342:BX1342" si="2923">IF(ISBLANK(BJ$1339),"N/A",IF(COUNTIFS(GD_Item_FiscalPeriod,BJ$1339,GD_Item_Name,$B1342,GD_Update_Date,BJ$1337)=0,"NR",SUMIFS(GD_Guidance_Mid,GD_Item_Name,$B1342,GD_Item_FiscalPeriod,BJ$1339,GD_Update_Date,BJ$1337)))</f>
      </c>
      <c r="BK1342" s="753" t="str">
        <f t="shared" si="2923"/>
      </c>
      <c r="BL1342" s="753" t="str">
        <f t="shared" si="2923"/>
      </c>
      <c r="BM1342" s="753">
        <f t="shared" si="2923"/>
      </c>
      <c r="BN1342" s="753">
        <f t="shared" si="2923"/>
      </c>
      <c r="BO1342" s="753">
        <f t="shared" si="2923"/>
      </c>
      <c r="BP1342" s="753">
        <f t="shared" si="2923"/>
      </c>
      <c r="BQ1342" s="753">
        <f t="shared" ref="BQ1342:BW1342" si="2924">IF(ISBLANK(BQ$1339),"N/A",IF(COUNTIFS(GD_Item_FiscalPeriod,BQ$1339,GD_Item_Name,$B1342,GD_Update_Date,BQ$1337)=0,"NR",SUMIFS(GD_Guidance_Mid,GD_Item_Name,$B1342,GD_Item_FiscalPeriod,BQ$1339,GD_Update_Date,BQ$1337)))</f>
      </c>
      <c r="BR1342" s="753">
        <f t="shared" si="2924"/>
      </c>
      <c r="BS1342" s="753">
        <f t="shared" si="2924"/>
      </c>
      <c r="BT1342" s="756">
        <f>IF(ISBLANK(BT$1339),"N/A",IF(COUNTIFS(GD_Item_FiscalPeriod,BT$1339,GD_Item_Name,$B1342,GD_Update_Date,BT$1337)=0,"NR",SUMIFS(GD_Guidance_Mid,GD_Item_Name,$B1342,GD_Item_FiscalPeriod,BT$1339,GD_Update_Date,BT$1337)))</f>
      </c>
      <c r="BU1342" s="753" t="str">
        <f t="shared" si="2924"/>
      </c>
      <c r="BV1342" s="753" t="str">
        <f t="shared" si="2924"/>
      </c>
      <c r="BW1342" s="753" t="str">
        <f t="shared" si="2924"/>
      </c>
      <c r="BX1342" s="753" t="str">
        <f t="shared" si="2923"/>
      </c>
      <c r="BY1342" s="753" t="str">
        <f t="shared" ref="BY1342:CF1342" si="2925">IF(ISBLANK(BY$1339),"N/A",IF(COUNTIFS(GD_Item_FiscalPeriod,BY$1339,GD_Item_Name,$B1342,GD_Update_Date,BY$1337)=0,"NR",SUMIFS(GD_Guidance_Mid,GD_Item_Name,$B1342,GD_Item_FiscalPeriod,BY$1339,GD_Update_Date,BY$1337)))</f>
      </c>
      <c r="BZ1342" s="753" t="str">
        <f t="shared" si="2925"/>
      </c>
      <c r="CA1342" s="753" t="str">
        <f t="shared" si="2925"/>
      </c>
      <c r="CB1342" s="753" t="str">
        <f t="shared" si="2925"/>
      </c>
      <c r="CC1342" s="753" t="str">
        <f t="shared" si="2925"/>
      </c>
      <c r="CD1342" s="753" t="str">
        <f t="shared" si="2925"/>
      </c>
      <c r="CE1342" s="753" t="str">
        <f t="shared" si="2925"/>
      </c>
      <c r="CF1342" s="577" t="str">
        <f t="shared" si="2925"/>
      </c>
      <c r="CG1342" s="131"/>
    </row>
    <row r="1343" spans="1:85" x14ac:dyDescent="0.3">
      <c r="A1343" s="578" t="s">
        <v>2255</v>
      </c>
      <c r="B1343" s="867" t="s">
        <v>285</v>
      </c>
      <c r="C1343" s="646"/>
      <c r="D1343" s="646"/>
      <c r="E1343" s="68"/>
      <c r="F1343" s="68"/>
      <c r="G1343" s="68"/>
      <c r="H1343" s="68"/>
      <c r="I1343" s="68"/>
      <c r="J1343" s="68"/>
      <c r="K1343" s="68"/>
      <c r="L1343" s="68"/>
      <c r="M1343" s="68"/>
      <c r="N1343" s="68"/>
      <c r="O1343" s="68"/>
      <c r="P1343" s="68"/>
      <c r="Q1343" s="68"/>
      <c r="R1343" s="68"/>
      <c r="S1343" s="68"/>
      <c r="T1343" s="68"/>
      <c r="U1343" s="68"/>
      <c r="V1343" s="68"/>
      <c r="W1343" s="68"/>
      <c r="X1343" s="68"/>
      <c r="Y1343" s="68"/>
      <c r="Z1343" s="68"/>
      <c r="AA1343" s="68"/>
      <c r="AB1343" s="68"/>
      <c r="AC1343" s="68"/>
      <c r="AD1343" s="68" t="str">
        <f t="shared" ref="AD1343:BI1343" si="2926">IF(ISBLANK(AD$1339),"N/A",IF(COUNTIFS(GD_Item_FiscalPeriod,AD$1339,GD_Item_Name,$B1343,GD_Update_Date,AD$1337)=0,"NR",SUMIFS(GD_Guidance_Low,GD_Item_Name,$B1343,GD_Item_FiscalPeriod,AD$1339,GD_Update_Date,AD$1337)))</f>
      </c>
      <c r="AE1343" s="68" t="str">
        <f t="shared" si="2926"/>
      </c>
      <c r="AF1343" s="68" t="str">
        <f t="shared" si="2926"/>
      </c>
      <c r="AG1343" s="68" t="str">
        <f t="shared" si="2926"/>
      </c>
      <c r="AH1343" s="68" t="str">
        <f t="shared" si="2926"/>
      </c>
      <c r="AI1343" s="68" t="str">
        <f t="shared" si="2926"/>
      </c>
      <c r="AJ1343" s="68" t="str">
        <f t="shared" si="2926"/>
      </c>
      <c r="AK1343" s="68" t="str">
        <f t="shared" si="2926"/>
      </c>
      <c r="AL1343" s="68" t="str">
        <f t="shared" si="2926"/>
      </c>
      <c r="AM1343" s="68" t="str">
        <f t="shared" si="2926"/>
      </c>
      <c r="AN1343" s="68" t="str">
        <f t="shared" si="2926"/>
      </c>
      <c r="AO1343" s="68" t="str">
        <f t="shared" si="2926"/>
      </c>
      <c r="AP1343" s="68" t="str">
        <f t="shared" si="2926"/>
      </c>
      <c r="AQ1343" s="68" t="str">
        <f t="shared" si="2926"/>
      </c>
      <c r="AR1343" s="68" t="str">
        <f t="shared" si="2926"/>
      </c>
      <c r="AS1343" s="68" t="str">
        <f t="shared" si="2926"/>
      </c>
      <c r="AT1343" s="68" t="str">
        <f t="shared" si="2926"/>
      </c>
      <c r="AU1343" s="68" t="str">
        <f t="shared" si="2926"/>
      </c>
      <c r="AV1343" s="68" t="str">
        <f t="shared" si="2926"/>
      </c>
      <c r="AW1343" s="68" t="str">
        <f t="shared" si="2926"/>
      </c>
      <c r="AX1343" s="68" t="str">
        <f t="shared" si="2926"/>
      </c>
      <c r="AY1343" s="68" t="str">
        <f t="shared" si="2926"/>
      </c>
      <c r="AZ1343" s="68" t="str">
        <f t="shared" si="2926"/>
      </c>
      <c r="BA1343" s="68" t="str">
        <f t="shared" si="2926"/>
      </c>
      <c r="BB1343" s="68" t="str">
        <f t="shared" si="2926"/>
      </c>
      <c r="BC1343" s="68" t="str">
        <f t="shared" si="2926"/>
      </c>
      <c r="BD1343" s="68" t="str">
        <f t="shared" si="2926"/>
      </c>
      <c r="BE1343" s="68" t="str">
        <f t="shared" si="2926"/>
      </c>
      <c r="BF1343" s="68" t="str">
        <f t="shared" si="2926"/>
      </c>
      <c r="BG1343" s="68" t="str">
        <f t="shared" si="2926"/>
      </c>
      <c r="BH1343" s="68" t="str">
        <f t="shared" si="2926"/>
      </c>
      <c r="BI1343" s="68" t="str">
        <f t="shared" si="2926"/>
      </c>
      <c r="BJ1343" s="68">
        <f t="shared" ref="BJ1343:BX1343" si="2927">IF(ISBLANK(BJ$1339),"N/A",IF(COUNTIFS(GD_Item_FiscalPeriod,BJ$1339,GD_Item_Name,$B1343,GD_Update_Date,BJ$1337)=0,"NR",SUMIFS(GD_Guidance_Low,GD_Item_Name,$B1343,GD_Item_FiscalPeriod,BJ$1339,GD_Update_Date,BJ$1337)))</f>
      </c>
      <c r="BK1343" s="68">
        <f t="shared" si="2927"/>
      </c>
      <c r="BL1343" s="68">
        <f t="shared" si="2927"/>
      </c>
      <c r="BM1343" s="68">
        <f t="shared" si="2927"/>
      </c>
      <c r="BN1343" s="68">
        <f t="shared" si="2927"/>
      </c>
      <c r="BO1343" s="68">
        <f t="shared" si="2927"/>
      </c>
      <c r="BP1343" s="68">
        <f t="shared" si="2927"/>
      </c>
      <c r="BQ1343" s="68">
        <f t="shared" ref="BQ1343:BW1343" si="2928">IF(ISBLANK(BQ$1339),"N/A",IF(COUNTIFS(GD_Item_FiscalPeriod,BQ$1339,GD_Item_Name,$B1343,GD_Update_Date,BQ$1337)=0,"NR",SUMIFS(GD_Guidance_Low,GD_Item_Name,$B1343,GD_Item_FiscalPeriod,BQ$1339,GD_Update_Date,BQ$1337)))</f>
      </c>
      <c r="BR1343" s="68">
        <f t="shared" si="2928"/>
      </c>
      <c r="BS1343" s="68">
        <f t="shared" si="2928"/>
      </c>
      <c r="BT1343" s="541">
        <f>IF(ISBLANK(BT$1339),"N/A",IF(COUNTIFS(GD_Item_FiscalPeriod,BT$1339,GD_Item_Name,$B1343,GD_Update_Date,BT$1337)=0,"NR",SUMIFS(GD_Guidance_Low,GD_Item_Name,$B1343,GD_Item_FiscalPeriod,BT$1339,GD_Update_Date,BT$1337)))</f>
      </c>
      <c r="BU1343" s="68" t="str">
        <f t="shared" si="2928"/>
      </c>
      <c r="BV1343" s="68" t="str">
        <f t="shared" si="2928"/>
      </c>
      <c r="BW1343" s="68" t="str">
        <f t="shared" si="2928"/>
      </c>
      <c r="BX1343" s="68" t="str">
        <f t="shared" si="2927"/>
      </c>
      <c r="BY1343" s="68" t="str">
        <f t="shared" ref="BY1343:CF1343" si="2929">IF(ISBLANK(BY$1339),"N/A",IF(COUNTIFS(GD_Item_FiscalPeriod,BY$1339,GD_Item_Name,$B1343,GD_Update_Date,BY$1337)=0,"NR",SUMIFS(GD_Guidance_Low,GD_Item_Name,$B1343,GD_Item_FiscalPeriod,BY$1339,GD_Update_Date,BY$1337)))</f>
      </c>
      <c r="BZ1343" s="68" t="str">
        <f t="shared" si="2929"/>
      </c>
      <c r="CA1343" s="68" t="str">
        <f t="shared" si="2929"/>
      </c>
      <c r="CB1343" s="68" t="str">
        <f t="shared" si="2929"/>
      </c>
      <c r="CC1343" s="68" t="str">
        <f t="shared" si="2929"/>
      </c>
      <c r="CD1343" s="68" t="str">
        <f t="shared" si="2929"/>
      </c>
      <c r="CE1343" s="68" t="str">
        <f t="shared" si="2929"/>
      </c>
      <c r="CF1343" s="579" t="str">
        <f t="shared" si="2929"/>
      </c>
      <c r="CG1343" s="131"/>
    </row>
    <row r="1344" spans="1:85" x14ac:dyDescent="0.3">
      <c r="A1344" s="578" t="s">
        <v>2256</v>
      </c>
      <c r="B1344" s="867" t="s">
        <v>285</v>
      </c>
      <c r="C1344" s="646"/>
      <c r="D1344" s="646"/>
      <c r="E1344" s="68"/>
      <c r="F1344" s="68"/>
      <c r="G1344" s="68"/>
      <c r="H1344" s="68"/>
      <c r="I1344" s="68"/>
      <c r="J1344" s="68"/>
      <c r="K1344" s="68"/>
      <c r="L1344" s="68"/>
      <c r="M1344" s="68"/>
      <c r="N1344" s="68"/>
      <c r="O1344" s="68"/>
      <c r="P1344" s="68"/>
      <c r="Q1344" s="68"/>
      <c r="R1344" s="68"/>
      <c r="S1344" s="68"/>
      <c r="T1344" s="68"/>
      <c r="U1344" s="68"/>
      <c r="V1344" s="68"/>
      <c r="W1344" s="68"/>
      <c r="X1344" s="68"/>
      <c r="Y1344" s="68"/>
      <c r="Z1344" s="68"/>
      <c r="AA1344" s="68"/>
      <c r="AB1344" s="68"/>
      <c r="AC1344" s="68"/>
      <c r="AD1344" s="68" t="str">
        <f t="shared" ref="AD1344:BI1344" si="2930">IF(ISBLANK(AD$1339),"N/A",IF(COUNTIFS(GD_Item_FiscalPeriod,AD$1339,GD_Item_Name,$B1344,GD_Update_Date,AD$1337)=0,"NR",SUMIFS(GD_Guidance_High,GD_Item_Name,$B1344,GD_Item_FiscalPeriod,AD$1339,GD_Update_Date,AD$1337)))</f>
      </c>
      <c r="AE1344" s="68" t="str">
        <f t="shared" si="2930"/>
      </c>
      <c r="AF1344" s="68" t="str">
        <f t="shared" si="2930"/>
      </c>
      <c r="AG1344" s="68" t="str">
        <f t="shared" si="2930"/>
      </c>
      <c r="AH1344" s="68" t="str">
        <f t="shared" si="2930"/>
      </c>
      <c r="AI1344" s="68" t="str">
        <f t="shared" si="2930"/>
      </c>
      <c r="AJ1344" s="68" t="str">
        <f t="shared" si="2930"/>
      </c>
      <c r="AK1344" s="68" t="str">
        <f t="shared" si="2930"/>
      </c>
      <c r="AL1344" s="68" t="str">
        <f t="shared" si="2930"/>
      </c>
      <c r="AM1344" s="68" t="str">
        <f t="shared" si="2930"/>
      </c>
      <c r="AN1344" s="68" t="str">
        <f t="shared" si="2930"/>
      </c>
      <c r="AO1344" s="68" t="str">
        <f t="shared" si="2930"/>
      </c>
      <c r="AP1344" s="68" t="str">
        <f t="shared" si="2930"/>
      </c>
      <c r="AQ1344" s="68" t="str">
        <f t="shared" si="2930"/>
      </c>
      <c r="AR1344" s="68" t="str">
        <f t="shared" si="2930"/>
      </c>
      <c r="AS1344" s="68" t="str">
        <f t="shared" si="2930"/>
      </c>
      <c r="AT1344" s="68" t="str">
        <f t="shared" si="2930"/>
      </c>
      <c r="AU1344" s="68" t="str">
        <f t="shared" si="2930"/>
      </c>
      <c r="AV1344" s="68" t="str">
        <f t="shared" si="2930"/>
      </c>
      <c r="AW1344" s="68" t="str">
        <f t="shared" si="2930"/>
      </c>
      <c r="AX1344" s="68" t="str">
        <f t="shared" si="2930"/>
      </c>
      <c r="AY1344" s="68" t="str">
        <f t="shared" si="2930"/>
      </c>
      <c r="AZ1344" s="68" t="str">
        <f t="shared" si="2930"/>
      </c>
      <c r="BA1344" s="68" t="str">
        <f t="shared" si="2930"/>
      </c>
      <c r="BB1344" s="68" t="str">
        <f t="shared" si="2930"/>
      </c>
      <c r="BC1344" s="68" t="str">
        <f t="shared" si="2930"/>
      </c>
      <c r="BD1344" s="68" t="str">
        <f t="shared" si="2930"/>
      </c>
      <c r="BE1344" s="68" t="str">
        <f t="shared" si="2930"/>
      </c>
      <c r="BF1344" s="68" t="str">
        <f t="shared" si="2930"/>
      </c>
      <c r="BG1344" s="68" t="str">
        <f t="shared" si="2930"/>
      </c>
      <c r="BH1344" s="68" t="str">
        <f t="shared" si="2930"/>
      </c>
      <c r="BI1344" s="68" t="str">
        <f t="shared" si="2930"/>
      </c>
      <c r="BJ1344" s="68">
        <f t="shared" ref="BJ1344:BX1344" si="2931">IF(ISBLANK(BJ$1339),"N/A",IF(COUNTIFS(GD_Item_FiscalPeriod,BJ$1339,GD_Item_Name,$B1344,GD_Update_Date,BJ$1337)=0,"NR",SUMIFS(GD_Guidance_High,GD_Item_Name,$B1344,GD_Item_FiscalPeriod,BJ$1339,GD_Update_Date,BJ$1337)))</f>
      </c>
      <c r="BK1344" s="68">
        <f t="shared" si="2931"/>
      </c>
      <c r="BL1344" s="68">
        <f t="shared" si="2931"/>
      </c>
      <c r="BM1344" s="68">
        <f t="shared" si="2931"/>
      </c>
      <c r="BN1344" s="68">
        <f t="shared" si="2931"/>
      </c>
      <c r="BO1344" s="68">
        <f t="shared" si="2931"/>
      </c>
      <c r="BP1344" s="68">
        <f t="shared" si="2931"/>
      </c>
      <c r="BQ1344" s="68">
        <f t="shared" ref="BQ1344:BW1344" si="2932">IF(ISBLANK(BQ$1339),"N/A",IF(COUNTIFS(GD_Item_FiscalPeriod,BQ$1339,GD_Item_Name,$B1344,GD_Update_Date,BQ$1337)=0,"NR",SUMIFS(GD_Guidance_High,GD_Item_Name,$B1344,GD_Item_FiscalPeriod,BQ$1339,GD_Update_Date,BQ$1337)))</f>
      </c>
      <c r="BR1344" s="68">
        <f t="shared" si="2932"/>
      </c>
      <c r="BS1344" s="68">
        <f t="shared" si="2932"/>
      </c>
      <c r="BT1344" s="541">
        <f>IF(ISBLANK(BT$1339),"N/A",IF(COUNTIFS(GD_Item_FiscalPeriod,BT$1339,GD_Item_Name,$B1344,GD_Update_Date,BT$1337)=0,"NR",SUMIFS(GD_Guidance_High,GD_Item_Name,$B1344,GD_Item_FiscalPeriod,BT$1339,GD_Update_Date,BT$1337)))</f>
      </c>
      <c r="BU1344" s="68" t="str">
        <f t="shared" si="2932"/>
      </c>
      <c r="BV1344" s="68" t="str">
        <f t="shared" si="2932"/>
      </c>
      <c r="BW1344" s="68" t="str">
        <f t="shared" si="2932"/>
      </c>
      <c r="BX1344" s="68" t="str">
        <f t="shared" si="2931"/>
      </c>
      <c r="BY1344" s="68" t="str">
        <f t="shared" ref="BY1344:CF1344" si="2933">IF(ISBLANK(BY$1339),"N/A",IF(COUNTIFS(GD_Item_FiscalPeriod,BY$1339,GD_Item_Name,$B1344,GD_Update_Date,BY$1337)=0,"NR",SUMIFS(GD_Guidance_High,GD_Item_Name,$B1344,GD_Item_FiscalPeriod,BY$1339,GD_Update_Date,BY$1337)))</f>
      </c>
      <c r="BZ1344" s="68" t="str">
        <f t="shared" si="2933"/>
      </c>
      <c r="CA1344" s="68" t="str">
        <f t="shared" si="2933"/>
      </c>
      <c r="CB1344" s="68" t="str">
        <f t="shared" si="2933"/>
      </c>
      <c r="CC1344" s="68" t="str">
        <f t="shared" si="2933"/>
      </c>
      <c r="CD1344" s="68" t="str">
        <f t="shared" si="2933"/>
      </c>
      <c r="CE1344" s="68" t="str">
        <f t="shared" si="2933"/>
      </c>
      <c r="CF1344" s="579" t="str">
        <f t="shared" si="2933"/>
      </c>
      <c r="CG1344" s="131"/>
    </row>
    <row r="1345" spans="1:85" x14ac:dyDescent="0.3">
      <c r="A1345" s="578" t="s">
        <v>2257</v>
      </c>
      <c r="B1345" s="867" t="s">
        <v>285</v>
      </c>
      <c r="C1345" s="646"/>
      <c r="D1345" s="646"/>
      <c r="E1345" s="68"/>
      <c r="F1345" s="68"/>
      <c r="G1345" s="68"/>
      <c r="H1345" s="68"/>
      <c r="I1345" s="68"/>
      <c r="J1345" s="68"/>
      <c r="K1345" s="68"/>
      <c r="L1345" s="68"/>
      <c r="M1345" s="68"/>
      <c r="N1345" s="68"/>
      <c r="O1345" s="68"/>
      <c r="P1345" s="68"/>
      <c r="Q1345" s="68"/>
      <c r="R1345" s="68"/>
      <c r="S1345" s="68"/>
      <c r="T1345" s="68"/>
      <c r="U1345" s="68"/>
      <c r="V1345" s="68"/>
      <c r="W1345" s="68"/>
      <c r="X1345" s="68"/>
      <c r="Y1345" s="68"/>
      <c r="Z1345" s="68"/>
      <c r="AA1345" s="68"/>
      <c r="AB1345" s="68"/>
      <c r="AC1345" s="68"/>
      <c r="AD1345" s="68" t="str">
        <f t="shared" ref="AD1345:BI1345" si="2934">IF(ISBLANK(AD$1339),"N/A",IF(COUNTIFS(GD_Item_FiscalPeriod,AD$1339,GD_Item_Name,$B1345,GD_Update_Date,AD$1337)=0,"NR",SUMIFS(GD_Guidance_Mid,GD_Item_Name,$B1345,GD_Item_FiscalPeriod,AD$1339,GD_Update_Date,AD$1337)))</f>
      </c>
      <c r="AE1345" s="68" t="str">
        <f t="shared" si="2934"/>
      </c>
      <c r="AF1345" s="68" t="str">
        <f t="shared" si="2934"/>
      </c>
      <c r="AG1345" s="68" t="str">
        <f t="shared" si="2934"/>
      </c>
      <c r="AH1345" s="68" t="str">
        <f t="shared" si="2934"/>
      </c>
      <c r="AI1345" s="68" t="str">
        <f t="shared" si="2934"/>
      </c>
      <c r="AJ1345" s="68" t="str">
        <f t="shared" si="2934"/>
      </c>
      <c r="AK1345" s="68" t="str">
        <f t="shared" si="2934"/>
      </c>
      <c r="AL1345" s="68" t="str">
        <f t="shared" si="2934"/>
      </c>
      <c r="AM1345" s="68" t="str">
        <f t="shared" si="2934"/>
      </c>
      <c r="AN1345" s="68" t="str">
        <f t="shared" si="2934"/>
      </c>
      <c r="AO1345" s="68" t="str">
        <f t="shared" si="2934"/>
      </c>
      <c r="AP1345" s="68" t="str">
        <f t="shared" si="2934"/>
      </c>
      <c r="AQ1345" s="68" t="str">
        <f t="shared" si="2934"/>
      </c>
      <c r="AR1345" s="68" t="str">
        <f t="shared" si="2934"/>
      </c>
      <c r="AS1345" s="68" t="str">
        <f t="shared" si="2934"/>
      </c>
      <c r="AT1345" s="68" t="str">
        <f t="shared" si="2934"/>
      </c>
      <c r="AU1345" s="68" t="str">
        <f t="shared" si="2934"/>
      </c>
      <c r="AV1345" s="68" t="str">
        <f t="shared" si="2934"/>
      </c>
      <c r="AW1345" s="68" t="str">
        <f t="shared" si="2934"/>
      </c>
      <c r="AX1345" s="68" t="str">
        <f t="shared" si="2934"/>
      </c>
      <c r="AY1345" s="68" t="str">
        <f t="shared" si="2934"/>
      </c>
      <c r="AZ1345" s="68" t="str">
        <f t="shared" si="2934"/>
      </c>
      <c r="BA1345" s="68" t="str">
        <f t="shared" si="2934"/>
      </c>
      <c r="BB1345" s="68" t="str">
        <f t="shared" si="2934"/>
      </c>
      <c r="BC1345" s="68" t="str">
        <f t="shared" si="2934"/>
      </c>
      <c r="BD1345" s="68" t="str">
        <f t="shared" si="2934"/>
      </c>
      <c r="BE1345" s="68" t="str">
        <f t="shared" si="2934"/>
      </c>
      <c r="BF1345" s="68" t="str">
        <f t="shared" si="2934"/>
      </c>
      <c r="BG1345" s="68" t="str">
        <f t="shared" si="2934"/>
      </c>
      <c r="BH1345" s="68" t="str">
        <f t="shared" si="2934"/>
      </c>
      <c r="BI1345" s="68" t="str">
        <f t="shared" si="2934"/>
      </c>
      <c r="BJ1345" s="68">
        <f t="shared" ref="BJ1345:BX1345" si="2935">IF(ISBLANK(BJ$1339),"N/A",IF(COUNTIFS(GD_Item_FiscalPeriod,BJ$1339,GD_Item_Name,$B1345,GD_Update_Date,BJ$1337)=0,"NR",SUMIFS(GD_Guidance_Mid,GD_Item_Name,$B1345,GD_Item_FiscalPeriod,BJ$1339,GD_Update_Date,BJ$1337)))</f>
      </c>
      <c r="BK1345" s="68">
        <f t="shared" si="2935"/>
      </c>
      <c r="BL1345" s="68">
        <f t="shared" si="2935"/>
      </c>
      <c r="BM1345" s="68">
        <f t="shared" si="2935"/>
      </c>
      <c r="BN1345" s="68">
        <f t="shared" si="2935"/>
      </c>
      <c r="BO1345" s="68">
        <f t="shared" si="2935"/>
      </c>
      <c r="BP1345" s="68">
        <f t="shared" si="2935"/>
      </c>
      <c r="BQ1345" s="68">
        <f t="shared" ref="BQ1345:BW1345" si="2936">IF(ISBLANK(BQ$1339),"N/A",IF(COUNTIFS(GD_Item_FiscalPeriod,BQ$1339,GD_Item_Name,$B1345,GD_Update_Date,BQ$1337)=0,"NR",SUMIFS(GD_Guidance_Mid,GD_Item_Name,$B1345,GD_Item_FiscalPeriod,BQ$1339,GD_Update_Date,BQ$1337)))</f>
      </c>
      <c r="BR1345" s="68">
        <f t="shared" si="2936"/>
      </c>
      <c r="BS1345" s="68">
        <f t="shared" si="2936"/>
      </c>
      <c r="BT1345" s="541">
        <f>IF(ISBLANK(BT$1339),"N/A",IF(COUNTIFS(GD_Item_FiscalPeriod,BT$1339,GD_Item_Name,$B1345,GD_Update_Date,BT$1337)=0,"NR",SUMIFS(GD_Guidance_Mid,GD_Item_Name,$B1345,GD_Item_FiscalPeriod,BT$1339,GD_Update_Date,BT$1337)))</f>
      </c>
      <c r="BU1345" s="68" t="str">
        <f t="shared" si="2936"/>
      </c>
      <c r="BV1345" s="68" t="str">
        <f t="shared" si="2936"/>
      </c>
      <c r="BW1345" s="68" t="str">
        <f t="shared" si="2936"/>
      </c>
      <c r="BX1345" s="68" t="str">
        <f t="shared" si="2935"/>
      </c>
      <c r="BY1345" s="68" t="str">
        <f t="shared" ref="BY1345:CF1345" si="2937">IF(ISBLANK(BY$1339),"N/A",IF(COUNTIFS(GD_Item_FiscalPeriod,BY$1339,GD_Item_Name,$B1345,GD_Update_Date,BY$1337)=0,"NR",SUMIFS(GD_Guidance_Mid,GD_Item_Name,$B1345,GD_Item_FiscalPeriod,BY$1339,GD_Update_Date,BY$1337)))</f>
      </c>
      <c r="BZ1345" s="68" t="str">
        <f t="shared" si="2937"/>
      </c>
      <c r="CA1345" s="68" t="str">
        <f t="shared" si="2937"/>
      </c>
      <c r="CB1345" s="68" t="str">
        <f t="shared" si="2937"/>
      </c>
      <c r="CC1345" s="68" t="str">
        <f t="shared" si="2937"/>
      </c>
      <c r="CD1345" s="68" t="str">
        <f t="shared" si="2937"/>
      </c>
      <c r="CE1345" s="68" t="str">
        <f t="shared" si="2937"/>
      </c>
      <c r="CF1345" s="579" t="str">
        <f t="shared" si="2937"/>
      </c>
      <c r="CG1345" s="131"/>
    </row>
    <row r="1346" spans="1:85" x14ac:dyDescent="0.3">
      <c r="A1346" s="576" t="s">
        <v>2258</v>
      </c>
      <c r="B1346" s="857" t="s">
        <v>286</v>
      </c>
      <c r="C1346" s="645"/>
      <c r="D1346" s="645"/>
      <c r="E1346" s="753"/>
      <c r="F1346" s="753"/>
      <c r="G1346" s="753"/>
      <c r="H1346" s="753"/>
      <c r="I1346" s="753"/>
      <c r="J1346" s="753"/>
      <c r="K1346" s="753"/>
      <c r="L1346" s="753"/>
      <c r="M1346" s="753"/>
      <c r="N1346" s="753"/>
      <c r="O1346" s="753"/>
      <c r="P1346" s="753"/>
      <c r="Q1346" s="753"/>
      <c r="R1346" s="753"/>
      <c r="S1346" s="753"/>
      <c r="T1346" s="753"/>
      <c r="U1346" s="753"/>
      <c r="V1346" s="753"/>
      <c r="W1346" s="753"/>
      <c r="X1346" s="753"/>
      <c r="Y1346" s="753"/>
      <c r="Z1346" s="753"/>
      <c r="AA1346" s="753"/>
      <c r="AB1346" s="753"/>
      <c r="AC1346" s="753"/>
      <c r="AD1346" s="753" t="str">
        <f t="shared" ref="AD1346:BI1346" si="2938">IF(ISBLANK(AD$1339),"N/A",IF(COUNTIFS(GD_Item_FiscalPeriod,AD$1339,GD_Item_Name,$B1346,GD_Update_Date,AD$1337)=0,"NR",SUMIFS(GD_Guidance_Low,GD_Item_Name,$B1346,GD_Item_FiscalPeriod,AD$1339,GD_Update_Date,AD$1337)))</f>
      </c>
      <c r="AE1346" s="753" t="str">
        <f t="shared" si="2938"/>
      </c>
      <c r="AF1346" s="753" t="str">
        <f t="shared" si="2938"/>
      </c>
      <c r="AG1346" s="753" t="str">
        <f t="shared" si="2938"/>
      </c>
      <c r="AH1346" s="753" t="str">
        <f t="shared" si="2938"/>
      </c>
      <c r="AI1346" s="753" t="str">
        <f t="shared" si="2938"/>
      </c>
      <c r="AJ1346" s="753" t="str">
        <f t="shared" si="2938"/>
      </c>
      <c r="AK1346" s="753" t="str">
        <f t="shared" si="2938"/>
      </c>
      <c r="AL1346" s="753" t="str">
        <f t="shared" si="2938"/>
      </c>
      <c r="AM1346" s="753" t="str">
        <f t="shared" si="2938"/>
      </c>
      <c r="AN1346" s="753" t="str">
        <f t="shared" si="2938"/>
      </c>
      <c r="AO1346" s="753" t="str">
        <f t="shared" si="2938"/>
      </c>
      <c r="AP1346" s="753" t="str">
        <f t="shared" si="2938"/>
      </c>
      <c r="AQ1346" s="753" t="str">
        <f t="shared" si="2938"/>
      </c>
      <c r="AR1346" s="753" t="str">
        <f t="shared" si="2938"/>
      </c>
      <c r="AS1346" s="753" t="str">
        <f t="shared" si="2938"/>
      </c>
      <c r="AT1346" s="753" t="str">
        <f t="shared" si="2938"/>
      </c>
      <c r="AU1346" s="753" t="str">
        <f t="shared" si="2938"/>
      </c>
      <c r="AV1346" s="753" t="str">
        <f t="shared" si="2938"/>
      </c>
      <c r="AW1346" s="753" t="str">
        <f t="shared" si="2938"/>
      </c>
      <c r="AX1346" s="753" t="str">
        <f t="shared" si="2938"/>
      </c>
      <c r="AY1346" s="753" t="str">
        <f t="shared" si="2938"/>
      </c>
      <c r="AZ1346" s="753" t="str">
        <f t="shared" si="2938"/>
      </c>
      <c r="BA1346" s="753" t="str">
        <f t="shared" si="2938"/>
      </c>
      <c r="BB1346" s="753" t="str">
        <f t="shared" si="2938"/>
      </c>
      <c r="BC1346" s="753" t="str">
        <f t="shared" si="2938"/>
      </c>
      <c r="BD1346" s="753" t="str">
        <f t="shared" si="2938"/>
      </c>
      <c r="BE1346" s="753" t="str">
        <f t="shared" si="2938"/>
      </c>
      <c r="BF1346" s="753" t="str">
        <f t="shared" si="2938"/>
      </c>
      <c r="BG1346" s="753" t="str">
        <f t="shared" si="2938"/>
      </c>
      <c r="BH1346" s="753" t="str">
        <f t="shared" si="2938"/>
      </c>
      <c r="BI1346" s="753" t="str">
        <f t="shared" si="2938"/>
      </c>
      <c r="BJ1346" s="753" t="str">
        <f t="shared" ref="BJ1346:BX1346" si="2939">IF(ISBLANK(BJ$1339),"N/A",IF(COUNTIFS(GD_Item_FiscalPeriod,BJ$1339,GD_Item_Name,$B1346,GD_Update_Date,BJ$1337)=0,"NR",SUMIFS(GD_Guidance_Low,GD_Item_Name,$B1346,GD_Item_FiscalPeriod,BJ$1339,GD_Update_Date,BJ$1337)))</f>
      </c>
      <c r="BK1346" s="753" t="str">
        <f t="shared" si="2939"/>
      </c>
      <c r="BL1346" s="753" t="str">
        <f t="shared" si="2939"/>
      </c>
      <c r="BM1346" s="753" t="str">
        <f t="shared" si="2939"/>
      </c>
      <c r="BN1346" s="753" t="str">
        <f t="shared" si="2939"/>
      </c>
      <c r="BO1346" s="753" t="str">
        <f t="shared" si="2939"/>
      </c>
      <c r="BP1346" s="753" t="str">
        <f t="shared" si="2939"/>
      </c>
      <c r="BQ1346" s="753" t="str">
        <f t="shared" ref="BQ1346:BW1346" si="2940">IF(ISBLANK(BQ$1339),"N/A",IF(COUNTIFS(GD_Item_FiscalPeriod,BQ$1339,GD_Item_Name,$B1346,GD_Update_Date,BQ$1337)=0,"NR",SUMIFS(GD_Guidance_Low,GD_Item_Name,$B1346,GD_Item_FiscalPeriod,BQ$1339,GD_Update_Date,BQ$1337)))</f>
      </c>
      <c r="BR1346" s="753" t="str">
        <f t="shared" si="2940"/>
      </c>
      <c r="BS1346" s="753" t="str">
        <f t="shared" si="2940"/>
      </c>
      <c r="BT1346" s="756" t="str">
        <f>IF(ISBLANK(BT$1339),"N/A",IF(COUNTIFS(GD_Item_FiscalPeriod,BT$1339,GD_Item_Name,$B1346,GD_Update_Date,BT$1337)=0,"NR",SUMIFS(GD_Guidance_Low,GD_Item_Name,$B1346,GD_Item_FiscalPeriod,BT$1339,GD_Update_Date,BT$1337)))</f>
      </c>
      <c r="BU1346" s="753" t="str">
        <f t="shared" si="2940"/>
      </c>
      <c r="BV1346" s="753" t="str">
        <f t="shared" si="2940"/>
      </c>
      <c r="BW1346" s="753" t="str">
        <f t="shared" si="2940"/>
      </c>
      <c r="BX1346" s="753" t="str">
        <f t="shared" si="2939"/>
      </c>
      <c r="BY1346" s="753" t="str">
        <f t="shared" ref="BY1346:CF1346" si="2941">IF(ISBLANK(BY$1339),"N/A",IF(COUNTIFS(GD_Item_FiscalPeriod,BY$1339,GD_Item_Name,$B1346,GD_Update_Date,BY$1337)=0,"NR",SUMIFS(GD_Guidance_Low,GD_Item_Name,$B1346,GD_Item_FiscalPeriod,BY$1339,GD_Update_Date,BY$1337)))</f>
      </c>
      <c r="BZ1346" s="753" t="str">
        <f t="shared" si="2941"/>
      </c>
      <c r="CA1346" s="753" t="str">
        <f t="shared" si="2941"/>
      </c>
      <c r="CB1346" s="753" t="str">
        <f t="shared" si="2941"/>
      </c>
      <c r="CC1346" s="753" t="str">
        <f t="shared" si="2941"/>
      </c>
      <c r="CD1346" s="753" t="str">
        <f t="shared" si="2941"/>
      </c>
      <c r="CE1346" s="753" t="str">
        <f t="shared" si="2941"/>
      </c>
      <c r="CF1346" s="577" t="str">
        <f t="shared" si="2941"/>
      </c>
      <c r="CG1346" s="131"/>
    </row>
    <row r="1347" spans="1:85" x14ac:dyDescent="0.3">
      <c r="A1347" s="576" t="s">
        <v>2259</v>
      </c>
      <c r="B1347" s="857" t="s">
        <v>286</v>
      </c>
      <c r="C1347" s="645"/>
      <c r="D1347" s="645"/>
      <c r="E1347" s="753"/>
      <c r="F1347" s="753"/>
      <c r="G1347" s="753"/>
      <c r="H1347" s="753"/>
      <c r="I1347" s="753"/>
      <c r="J1347" s="753"/>
      <c r="K1347" s="753"/>
      <c r="L1347" s="753"/>
      <c r="M1347" s="753"/>
      <c r="N1347" s="753"/>
      <c r="O1347" s="753"/>
      <c r="P1347" s="753"/>
      <c r="Q1347" s="753"/>
      <c r="R1347" s="753"/>
      <c r="S1347" s="753"/>
      <c r="T1347" s="753"/>
      <c r="U1347" s="753"/>
      <c r="V1347" s="753"/>
      <c r="W1347" s="753"/>
      <c r="X1347" s="753"/>
      <c r="Y1347" s="753"/>
      <c r="Z1347" s="753"/>
      <c r="AA1347" s="753"/>
      <c r="AB1347" s="753"/>
      <c r="AC1347" s="753"/>
      <c r="AD1347" s="753" t="str">
        <f t="shared" ref="AD1347:BI1347" si="2942">IF(ISBLANK(AD$1339),"N/A",IF(COUNTIFS(GD_Item_FiscalPeriod,AD$1339,GD_Item_Name,$B1347,GD_Update_Date,AD$1337)=0,"NR",SUMIFS(GD_Guidance_High,GD_Item_Name,$B1347,GD_Item_FiscalPeriod,AD$1339,GD_Update_Date,AD$1337)))</f>
      </c>
      <c r="AE1347" s="753" t="str">
        <f t="shared" si="2942"/>
      </c>
      <c r="AF1347" s="753" t="str">
        <f t="shared" si="2942"/>
      </c>
      <c r="AG1347" s="753" t="str">
        <f t="shared" si="2942"/>
      </c>
      <c r="AH1347" s="753" t="str">
        <f t="shared" si="2942"/>
      </c>
      <c r="AI1347" s="753" t="str">
        <f t="shared" si="2942"/>
      </c>
      <c r="AJ1347" s="753" t="str">
        <f t="shared" si="2942"/>
      </c>
      <c r="AK1347" s="753" t="str">
        <f t="shared" si="2942"/>
      </c>
      <c r="AL1347" s="753" t="str">
        <f t="shared" si="2942"/>
      </c>
      <c r="AM1347" s="753" t="str">
        <f t="shared" si="2942"/>
      </c>
      <c r="AN1347" s="753" t="str">
        <f t="shared" si="2942"/>
      </c>
      <c r="AO1347" s="753" t="str">
        <f t="shared" si="2942"/>
      </c>
      <c r="AP1347" s="753" t="str">
        <f t="shared" si="2942"/>
      </c>
      <c r="AQ1347" s="753" t="str">
        <f t="shared" si="2942"/>
      </c>
      <c r="AR1347" s="753" t="str">
        <f t="shared" si="2942"/>
      </c>
      <c r="AS1347" s="753" t="str">
        <f t="shared" si="2942"/>
      </c>
      <c r="AT1347" s="753" t="str">
        <f t="shared" si="2942"/>
      </c>
      <c r="AU1347" s="753" t="str">
        <f t="shared" si="2942"/>
      </c>
      <c r="AV1347" s="753" t="str">
        <f t="shared" si="2942"/>
      </c>
      <c r="AW1347" s="753" t="str">
        <f t="shared" si="2942"/>
      </c>
      <c r="AX1347" s="753" t="str">
        <f t="shared" si="2942"/>
      </c>
      <c r="AY1347" s="753" t="str">
        <f t="shared" si="2942"/>
      </c>
      <c r="AZ1347" s="753" t="str">
        <f t="shared" si="2942"/>
      </c>
      <c r="BA1347" s="753" t="str">
        <f t="shared" si="2942"/>
      </c>
      <c r="BB1347" s="753" t="str">
        <f t="shared" si="2942"/>
      </c>
      <c r="BC1347" s="753" t="str">
        <f t="shared" si="2942"/>
      </c>
      <c r="BD1347" s="753" t="str">
        <f t="shared" si="2942"/>
      </c>
      <c r="BE1347" s="753" t="str">
        <f t="shared" si="2942"/>
      </c>
      <c r="BF1347" s="753" t="str">
        <f t="shared" si="2942"/>
      </c>
      <c r="BG1347" s="753" t="str">
        <f t="shared" si="2942"/>
      </c>
      <c r="BH1347" s="753" t="str">
        <f t="shared" si="2942"/>
      </c>
      <c r="BI1347" s="753" t="str">
        <f t="shared" si="2942"/>
      </c>
      <c r="BJ1347" s="753" t="str">
        <f t="shared" ref="BJ1347:BX1347" si="2943">IF(ISBLANK(BJ$1339),"N/A",IF(COUNTIFS(GD_Item_FiscalPeriod,BJ$1339,GD_Item_Name,$B1347,GD_Update_Date,BJ$1337)=0,"NR",SUMIFS(GD_Guidance_High,GD_Item_Name,$B1347,GD_Item_FiscalPeriod,BJ$1339,GD_Update_Date,BJ$1337)))</f>
      </c>
      <c r="BK1347" s="753" t="str">
        <f t="shared" si="2943"/>
      </c>
      <c r="BL1347" s="753" t="str">
        <f t="shared" si="2943"/>
      </c>
      <c r="BM1347" s="753" t="str">
        <f t="shared" si="2943"/>
      </c>
      <c r="BN1347" s="753" t="str">
        <f t="shared" si="2943"/>
      </c>
      <c r="BO1347" s="753" t="str">
        <f t="shared" si="2943"/>
      </c>
      <c r="BP1347" s="753" t="str">
        <f t="shared" si="2943"/>
      </c>
      <c r="BQ1347" s="753" t="str">
        <f t="shared" ref="BQ1347:BW1347" si="2944">IF(ISBLANK(BQ$1339),"N/A",IF(COUNTIFS(GD_Item_FiscalPeriod,BQ$1339,GD_Item_Name,$B1347,GD_Update_Date,BQ$1337)=0,"NR",SUMIFS(GD_Guidance_High,GD_Item_Name,$B1347,GD_Item_FiscalPeriod,BQ$1339,GD_Update_Date,BQ$1337)))</f>
      </c>
      <c r="BR1347" s="753" t="str">
        <f t="shared" si="2944"/>
      </c>
      <c r="BS1347" s="753" t="str">
        <f t="shared" si="2944"/>
      </c>
      <c r="BT1347" s="756" t="str">
        <f>IF(ISBLANK(BT$1339),"N/A",IF(COUNTIFS(GD_Item_FiscalPeriod,BT$1339,GD_Item_Name,$B1347,GD_Update_Date,BT$1337)=0,"NR",SUMIFS(GD_Guidance_High,GD_Item_Name,$B1347,GD_Item_FiscalPeriod,BT$1339,GD_Update_Date,BT$1337)))</f>
      </c>
      <c r="BU1347" s="753" t="str">
        <f t="shared" si="2944"/>
      </c>
      <c r="BV1347" s="753" t="str">
        <f t="shared" si="2944"/>
      </c>
      <c r="BW1347" s="753" t="str">
        <f t="shared" si="2944"/>
      </c>
      <c r="BX1347" s="753" t="str">
        <f t="shared" si="2943"/>
      </c>
      <c r="BY1347" s="753" t="str">
        <f t="shared" ref="BY1347:CF1347" si="2945">IF(ISBLANK(BY$1339),"N/A",IF(COUNTIFS(GD_Item_FiscalPeriod,BY$1339,GD_Item_Name,$B1347,GD_Update_Date,BY$1337)=0,"NR",SUMIFS(GD_Guidance_High,GD_Item_Name,$B1347,GD_Item_FiscalPeriod,BY$1339,GD_Update_Date,BY$1337)))</f>
      </c>
      <c r="BZ1347" s="753" t="str">
        <f t="shared" si="2945"/>
      </c>
      <c r="CA1347" s="753" t="str">
        <f t="shared" si="2945"/>
      </c>
      <c r="CB1347" s="753" t="str">
        <f t="shared" si="2945"/>
      </c>
      <c r="CC1347" s="753" t="str">
        <f t="shared" si="2945"/>
      </c>
      <c r="CD1347" s="753" t="str">
        <f t="shared" si="2945"/>
      </c>
      <c r="CE1347" s="753" t="str">
        <f t="shared" si="2945"/>
      </c>
      <c r="CF1347" s="577" t="str">
        <f t="shared" si="2945"/>
      </c>
      <c r="CG1347" s="131"/>
    </row>
    <row r="1348" spans="1:85" x14ac:dyDescent="0.3">
      <c r="A1348" s="576" t="s">
        <v>2260</v>
      </c>
      <c r="B1348" s="857" t="s">
        <v>286</v>
      </c>
      <c r="C1348" s="645"/>
      <c r="D1348" s="645"/>
      <c r="E1348" s="753"/>
      <c r="F1348" s="753"/>
      <c r="G1348" s="753"/>
      <c r="H1348" s="753"/>
      <c r="I1348" s="753"/>
      <c r="J1348" s="753"/>
      <c r="K1348" s="753"/>
      <c r="L1348" s="753"/>
      <c r="M1348" s="753"/>
      <c r="N1348" s="753"/>
      <c r="O1348" s="753"/>
      <c r="P1348" s="753"/>
      <c r="Q1348" s="753"/>
      <c r="R1348" s="753"/>
      <c r="S1348" s="753"/>
      <c r="T1348" s="753"/>
      <c r="U1348" s="753"/>
      <c r="V1348" s="753"/>
      <c r="W1348" s="753"/>
      <c r="X1348" s="753"/>
      <c r="Y1348" s="753"/>
      <c r="Z1348" s="753"/>
      <c r="AA1348" s="753"/>
      <c r="AB1348" s="753"/>
      <c r="AC1348" s="753"/>
      <c r="AD1348" s="753" t="str">
        <f t="shared" ref="AD1348:BI1348" si="2946">IF(ISBLANK(AD$1339),"N/A",IF(COUNTIFS(GD_Item_FiscalPeriod,AD$1339,GD_Item_Name,$B1348,GD_Update_Date,AD$1337)=0,"NR",SUMIFS(GD_Guidance_Mid,GD_Item_Name,$B1348,GD_Item_FiscalPeriod,AD$1339,GD_Update_Date,AD$1337)))</f>
      </c>
      <c r="AE1348" s="753" t="str">
        <f t="shared" si="2946"/>
      </c>
      <c r="AF1348" s="753" t="str">
        <f t="shared" si="2946"/>
      </c>
      <c r="AG1348" s="753" t="str">
        <f t="shared" si="2946"/>
      </c>
      <c r="AH1348" s="753" t="str">
        <f t="shared" si="2946"/>
      </c>
      <c r="AI1348" s="753" t="str">
        <f t="shared" si="2946"/>
      </c>
      <c r="AJ1348" s="753" t="str">
        <f t="shared" si="2946"/>
      </c>
      <c r="AK1348" s="753" t="str">
        <f t="shared" si="2946"/>
      </c>
      <c r="AL1348" s="753" t="str">
        <f t="shared" si="2946"/>
      </c>
      <c r="AM1348" s="753" t="str">
        <f t="shared" si="2946"/>
      </c>
      <c r="AN1348" s="753" t="str">
        <f t="shared" si="2946"/>
      </c>
      <c r="AO1348" s="753" t="str">
        <f t="shared" si="2946"/>
      </c>
      <c r="AP1348" s="753" t="str">
        <f t="shared" si="2946"/>
      </c>
      <c r="AQ1348" s="753" t="str">
        <f t="shared" si="2946"/>
      </c>
      <c r="AR1348" s="753" t="str">
        <f t="shared" si="2946"/>
      </c>
      <c r="AS1348" s="753" t="str">
        <f t="shared" si="2946"/>
      </c>
      <c r="AT1348" s="753" t="str">
        <f t="shared" si="2946"/>
      </c>
      <c r="AU1348" s="753" t="str">
        <f t="shared" si="2946"/>
      </c>
      <c r="AV1348" s="753" t="str">
        <f t="shared" si="2946"/>
      </c>
      <c r="AW1348" s="753" t="str">
        <f t="shared" si="2946"/>
      </c>
      <c r="AX1348" s="753" t="str">
        <f t="shared" si="2946"/>
      </c>
      <c r="AY1348" s="753" t="str">
        <f t="shared" si="2946"/>
      </c>
      <c r="AZ1348" s="753" t="str">
        <f t="shared" si="2946"/>
      </c>
      <c r="BA1348" s="753" t="str">
        <f t="shared" si="2946"/>
      </c>
      <c r="BB1348" s="753" t="str">
        <f t="shared" si="2946"/>
      </c>
      <c r="BC1348" s="753" t="str">
        <f t="shared" si="2946"/>
      </c>
      <c r="BD1348" s="753" t="str">
        <f t="shared" si="2946"/>
      </c>
      <c r="BE1348" s="753" t="str">
        <f t="shared" si="2946"/>
      </c>
      <c r="BF1348" s="753" t="str">
        <f t="shared" si="2946"/>
      </c>
      <c r="BG1348" s="753" t="str">
        <f t="shared" si="2946"/>
      </c>
      <c r="BH1348" s="753" t="str">
        <f t="shared" si="2946"/>
      </c>
      <c r="BI1348" s="753" t="str">
        <f t="shared" si="2946"/>
      </c>
      <c r="BJ1348" s="753" t="str">
        <f t="shared" ref="BJ1348:BX1348" si="2947">IF(ISBLANK(BJ$1339),"N/A",IF(COUNTIFS(GD_Item_FiscalPeriod,BJ$1339,GD_Item_Name,$B1348,GD_Update_Date,BJ$1337)=0,"NR",SUMIFS(GD_Guidance_Mid,GD_Item_Name,$B1348,GD_Item_FiscalPeriod,BJ$1339,GD_Update_Date,BJ$1337)))</f>
      </c>
      <c r="BK1348" s="753" t="str">
        <f t="shared" si="2947"/>
      </c>
      <c r="BL1348" s="753" t="str">
        <f t="shared" si="2947"/>
      </c>
      <c r="BM1348" s="753" t="str">
        <f t="shared" si="2947"/>
      </c>
      <c r="BN1348" s="753" t="str">
        <f t="shared" si="2947"/>
      </c>
      <c r="BO1348" s="753" t="str">
        <f t="shared" si="2947"/>
      </c>
      <c r="BP1348" s="753" t="str">
        <f t="shared" si="2947"/>
      </c>
      <c r="BQ1348" s="753" t="str">
        <f t="shared" ref="BQ1348:BW1348" si="2948">IF(ISBLANK(BQ$1339),"N/A",IF(COUNTIFS(GD_Item_FiscalPeriod,BQ$1339,GD_Item_Name,$B1348,GD_Update_Date,BQ$1337)=0,"NR",SUMIFS(GD_Guidance_Mid,GD_Item_Name,$B1348,GD_Item_FiscalPeriod,BQ$1339,GD_Update_Date,BQ$1337)))</f>
      </c>
      <c r="BR1348" s="753" t="str">
        <f t="shared" si="2948"/>
      </c>
      <c r="BS1348" s="753" t="str">
        <f t="shared" si="2948"/>
      </c>
      <c r="BT1348" s="756" t="str">
        <f>IF(ISBLANK(BT$1339),"N/A",IF(COUNTIFS(GD_Item_FiscalPeriod,BT$1339,GD_Item_Name,$B1348,GD_Update_Date,BT$1337)=0,"NR",SUMIFS(GD_Guidance_Mid,GD_Item_Name,$B1348,GD_Item_FiscalPeriod,BT$1339,GD_Update_Date,BT$1337)))</f>
      </c>
      <c r="BU1348" s="753" t="str">
        <f t="shared" si="2948"/>
      </c>
      <c r="BV1348" s="753" t="str">
        <f t="shared" si="2948"/>
      </c>
      <c r="BW1348" s="753" t="str">
        <f t="shared" si="2948"/>
      </c>
      <c r="BX1348" s="753" t="str">
        <f t="shared" si="2947"/>
      </c>
      <c r="BY1348" s="753" t="str">
        <f t="shared" ref="BY1348:CF1348" si="2949">IF(ISBLANK(BY$1339),"N/A",IF(COUNTIFS(GD_Item_FiscalPeriod,BY$1339,GD_Item_Name,$B1348,GD_Update_Date,BY$1337)=0,"NR",SUMIFS(GD_Guidance_Mid,GD_Item_Name,$B1348,GD_Item_FiscalPeriod,BY$1339,GD_Update_Date,BY$1337)))</f>
      </c>
      <c r="BZ1348" s="753" t="str">
        <f t="shared" si="2949"/>
      </c>
      <c r="CA1348" s="753" t="str">
        <f t="shared" si="2949"/>
      </c>
      <c r="CB1348" s="753" t="str">
        <f t="shared" si="2949"/>
      </c>
      <c r="CC1348" s="753" t="str">
        <f t="shared" si="2949"/>
      </c>
      <c r="CD1348" s="753" t="str">
        <f t="shared" si="2949"/>
      </c>
      <c r="CE1348" s="753" t="str">
        <f t="shared" si="2949"/>
      </c>
      <c r="CF1348" s="577" t="str">
        <f t="shared" si="2949"/>
      </c>
      <c r="CG1348" s="131"/>
    </row>
    <row r="1349" spans="1:85" x14ac:dyDescent="0.3">
      <c r="A1349" s="578" t="s">
        <v>2261</v>
      </c>
      <c r="B1349" s="867" t="s">
        <v>654</v>
      </c>
      <c r="C1349" s="646"/>
      <c r="D1349" s="646"/>
      <c r="E1349" s="68"/>
      <c r="F1349" s="68"/>
      <c r="G1349" s="68"/>
      <c r="H1349" s="68"/>
      <c r="I1349" s="68"/>
      <c r="J1349" s="68"/>
      <c r="K1349" s="68"/>
      <c r="L1349" s="68"/>
      <c r="M1349" s="68"/>
      <c r="N1349" s="68"/>
      <c r="O1349" s="68"/>
      <c r="P1349" s="68"/>
      <c r="Q1349" s="68"/>
      <c r="R1349" s="68"/>
      <c r="S1349" s="68"/>
      <c r="T1349" s="68"/>
      <c r="U1349" s="68"/>
      <c r="V1349" s="68"/>
      <c r="W1349" s="68"/>
      <c r="X1349" s="68"/>
      <c r="Y1349" s="68"/>
      <c r="Z1349" s="68"/>
      <c r="AA1349" s="68"/>
      <c r="AB1349" s="68"/>
      <c r="AC1349" s="68"/>
      <c r="AD1349" s="68">
        <f t="shared" ref="AD1349:BI1349" si="2950">IF(ISBLANK(AD$1339),"N/A",IF(COUNTIFS(GD_Item_FiscalPeriod,AD$1339,GD_Item_Name,$B1349,GD_Update_Date,AD$1337)=0,"NR",SUMIFS(GD_Guidance_Low,GD_Item_Name,$B1349,GD_Item_FiscalPeriod,AD$1339,GD_Update_Date,AD$1337)))</f>
      </c>
      <c r="AE1349" s="68">
        <f t="shared" si="2950"/>
      </c>
      <c r="AF1349" s="68">
        <f t="shared" si="2950"/>
      </c>
      <c r="AG1349" s="68" t="str">
        <f t="shared" si="2950"/>
      </c>
      <c r="AH1349" s="68" t="str">
        <f t="shared" si="2950"/>
      </c>
      <c r="AI1349" s="68" t="str">
        <f t="shared" si="2950"/>
      </c>
      <c r="AJ1349" s="68" t="str">
        <f t="shared" si="2950"/>
      </c>
      <c r="AK1349" s="68" t="str">
        <f t="shared" si="2950"/>
      </c>
      <c r="AL1349" s="68" t="str">
        <f t="shared" si="2950"/>
      </c>
      <c r="AM1349" s="68">
        <f t="shared" si="2950"/>
      </c>
      <c r="AN1349" s="68" t="str">
        <f t="shared" si="2950"/>
      </c>
      <c r="AO1349" s="68" t="str">
        <f t="shared" si="2950"/>
      </c>
      <c r="AP1349" s="68" t="str">
        <f t="shared" si="2950"/>
      </c>
      <c r="AQ1349" s="68" t="str">
        <f t="shared" si="2950"/>
      </c>
      <c r="AR1349" s="68">
        <f t="shared" si="2950"/>
      </c>
      <c r="AS1349" s="68" t="str">
        <f t="shared" si="2950"/>
      </c>
      <c r="AT1349" s="68" t="str">
        <f t="shared" si="2950"/>
      </c>
      <c r="AU1349" s="68" t="str">
        <f t="shared" si="2950"/>
      </c>
      <c r="AV1349" s="68" t="str">
        <f t="shared" si="2950"/>
      </c>
      <c r="AW1349" s="68">
        <f t="shared" si="2950"/>
      </c>
      <c r="AX1349" s="68">
        <f t="shared" si="2950"/>
      </c>
      <c r="AY1349" s="68">
        <f t="shared" si="2950"/>
      </c>
      <c r="AZ1349" s="68">
        <f t="shared" si="2950"/>
      </c>
      <c r="BA1349" s="68">
        <f t="shared" si="2950"/>
      </c>
      <c r="BB1349" s="68" t="str">
        <f t="shared" si="2950"/>
      </c>
      <c r="BC1349" s="68" t="str">
        <f t="shared" si="2950"/>
      </c>
      <c r="BD1349" s="68" t="str">
        <f t="shared" si="2950"/>
      </c>
      <c r="BE1349" s="68">
        <f t="shared" si="2950"/>
      </c>
      <c r="BF1349" s="68">
        <f t="shared" si="2950"/>
      </c>
      <c r="BG1349" s="68">
        <f t="shared" si="2950"/>
      </c>
      <c r="BH1349" s="68">
        <f t="shared" si="2950"/>
      </c>
      <c r="BI1349" s="68">
        <f t="shared" si="2950"/>
      </c>
      <c r="BJ1349" s="68">
        <f t="shared" ref="BJ1349:BX1349" si="2951">IF(ISBLANK(BJ$1339),"N/A",IF(COUNTIFS(GD_Item_FiscalPeriod,BJ$1339,GD_Item_Name,$B1349,GD_Update_Date,BJ$1337)=0,"NR",SUMIFS(GD_Guidance_Low,GD_Item_Name,$B1349,GD_Item_FiscalPeriod,BJ$1339,GD_Update_Date,BJ$1337)))</f>
      </c>
      <c r="BK1349" s="68">
        <f t="shared" si="2951"/>
      </c>
      <c r="BL1349" s="68">
        <f t="shared" si="2951"/>
      </c>
      <c r="BM1349" s="68">
        <f t="shared" si="2951"/>
      </c>
      <c r="BN1349" s="68">
        <f t="shared" si="2951"/>
      </c>
      <c r="BO1349" s="68">
        <f t="shared" si="2951"/>
      </c>
      <c r="BP1349" s="68">
        <f t="shared" si="2951"/>
      </c>
      <c r="BQ1349" s="68">
        <f t="shared" ref="BQ1349:BW1349" si="2952">IF(ISBLANK(BQ$1339),"N/A",IF(COUNTIFS(GD_Item_FiscalPeriod,BQ$1339,GD_Item_Name,$B1349,GD_Update_Date,BQ$1337)=0,"NR",SUMIFS(GD_Guidance_Low,GD_Item_Name,$B1349,GD_Item_FiscalPeriod,BQ$1339,GD_Update_Date,BQ$1337)))</f>
      </c>
      <c r="BR1349" s="68">
        <f t="shared" si="2952"/>
      </c>
      <c r="BS1349" s="68">
        <f t="shared" si="2952"/>
      </c>
      <c r="BT1349" s="541">
        <f>IF(ISBLANK(BT$1339),"N/A",IF(COUNTIFS(GD_Item_FiscalPeriod,BT$1339,GD_Item_Name,$B1349,GD_Update_Date,BT$1337)=0,"NR",SUMIFS(GD_Guidance_Low,GD_Item_Name,$B1349,GD_Item_FiscalPeriod,BT$1339,GD_Update_Date,BT$1337)))</f>
      </c>
      <c r="BU1349" s="68" t="str">
        <f t="shared" si="2952"/>
      </c>
      <c r="BV1349" s="68" t="str">
        <f t="shared" si="2952"/>
      </c>
      <c r="BW1349" s="68" t="str">
        <f t="shared" si="2952"/>
      </c>
      <c r="BX1349" s="68" t="str">
        <f t="shared" si="2951"/>
      </c>
      <c r="BY1349" s="68" t="str">
        <f t="shared" ref="BY1349:CF1349" si="2953">IF(ISBLANK(BY$1339),"N/A",IF(COUNTIFS(GD_Item_FiscalPeriod,BY$1339,GD_Item_Name,$B1349,GD_Update_Date,BY$1337)=0,"NR",SUMIFS(GD_Guidance_Low,GD_Item_Name,$B1349,GD_Item_FiscalPeriod,BY$1339,GD_Update_Date,BY$1337)))</f>
      </c>
      <c r="BZ1349" s="68" t="str">
        <f t="shared" si="2953"/>
      </c>
      <c r="CA1349" s="68" t="str">
        <f t="shared" si="2953"/>
      </c>
      <c r="CB1349" s="68" t="str">
        <f t="shared" si="2953"/>
      </c>
      <c r="CC1349" s="68" t="str">
        <f t="shared" si="2953"/>
      </c>
      <c r="CD1349" s="68" t="str">
        <f t="shared" si="2953"/>
      </c>
      <c r="CE1349" s="68" t="str">
        <f t="shared" si="2953"/>
      </c>
      <c r="CF1349" s="579" t="str">
        <f t="shared" si="2953"/>
      </c>
      <c r="CG1349" s="131"/>
    </row>
    <row r="1350" spans="1:85" x14ac:dyDescent="0.3">
      <c r="A1350" s="578" t="s">
        <v>2262</v>
      </c>
      <c r="B1350" s="867" t="s">
        <v>654</v>
      </c>
      <c r="C1350" s="646"/>
      <c r="D1350" s="646"/>
      <c r="E1350" s="68"/>
      <c r="F1350" s="68"/>
      <c r="G1350" s="68"/>
      <c r="H1350" s="68"/>
      <c r="I1350" s="68"/>
      <c r="J1350" s="68"/>
      <c r="K1350" s="68"/>
      <c r="L1350" s="68"/>
      <c r="M1350" s="68"/>
      <c r="N1350" s="68"/>
      <c r="O1350" s="68"/>
      <c r="P1350" s="68"/>
      <c r="Q1350" s="68"/>
      <c r="R1350" s="68"/>
      <c r="S1350" s="68"/>
      <c r="T1350" s="68"/>
      <c r="U1350" s="68"/>
      <c r="V1350" s="68"/>
      <c r="W1350" s="68"/>
      <c r="X1350" s="68"/>
      <c r="Y1350" s="68"/>
      <c r="Z1350" s="68"/>
      <c r="AA1350" s="68"/>
      <c r="AB1350" s="68"/>
      <c r="AC1350" s="68"/>
      <c r="AD1350" s="68">
        <f t="shared" ref="AD1350:BI1350" si="2954">IF(ISBLANK(AD$1339),"N/A",IF(COUNTIFS(GD_Item_FiscalPeriod,AD$1339,GD_Item_Name,$B1350,GD_Update_Date,AD$1337)=0,"NR",SUMIFS(GD_Guidance_High,GD_Item_Name,$B1350,GD_Item_FiscalPeriod,AD$1339,GD_Update_Date,AD$1337)))</f>
      </c>
      <c r="AE1350" s="68">
        <f t="shared" si="2954"/>
      </c>
      <c r="AF1350" s="68">
        <f t="shared" si="2954"/>
      </c>
      <c r="AG1350" s="68" t="str">
        <f t="shared" si="2954"/>
      </c>
      <c r="AH1350" s="68" t="str">
        <f t="shared" si="2954"/>
      </c>
      <c r="AI1350" s="68" t="str">
        <f t="shared" si="2954"/>
      </c>
      <c r="AJ1350" s="68" t="str">
        <f t="shared" si="2954"/>
      </c>
      <c r="AK1350" s="68" t="str">
        <f t="shared" si="2954"/>
      </c>
      <c r="AL1350" s="68" t="str">
        <f t="shared" si="2954"/>
      </c>
      <c r="AM1350" s="68">
        <f t="shared" si="2954"/>
      </c>
      <c r="AN1350" s="68" t="str">
        <f t="shared" si="2954"/>
      </c>
      <c r="AO1350" s="68" t="str">
        <f t="shared" si="2954"/>
      </c>
      <c r="AP1350" s="68" t="str">
        <f t="shared" si="2954"/>
      </c>
      <c r="AQ1350" s="68" t="str">
        <f t="shared" si="2954"/>
      </c>
      <c r="AR1350" s="68">
        <f t="shared" si="2954"/>
      </c>
      <c r="AS1350" s="68" t="str">
        <f t="shared" si="2954"/>
      </c>
      <c r="AT1350" s="68" t="str">
        <f t="shared" si="2954"/>
      </c>
      <c r="AU1350" s="68" t="str">
        <f t="shared" si="2954"/>
      </c>
      <c r="AV1350" s="68" t="str">
        <f t="shared" si="2954"/>
      </c>
      <c r="AW1350" s="68">
        <f t="shared" si="2954"/>
      </c>
      <c r="AX1350" s="68">
        <f t="shared" si="2954"/>
      </c>
      <c r="AY1350" s="68">
        <f t="shared" si="2954"/>
      </c>
      <c r="AZ1350" s="68">
        <f t="shared" si="2954"/>
      </c>
      <c r="BA1350" s="68">
        <f t="shared" si="2954"/>
      </c>
      <c r="BB1350" s="68" t="str">
        <f t="shared" si="2954"/>
      </c>
      <c r="BC1350" s="68" t="str">
        <f t="shared" si="2954"/>
      </c>
      <c r="BD1350" s="68" t="str">
        <f t="shared" si="2954"/>
      </c>
      <c r="BE1350" s="68">
        <f t="shared" si="2954"/>
      </c>
      <c r="BF1350" s="68">
        <f t="shared" si="2954"/>
      </c>
      <c r="BG1350" s="68">
        <f t="shared" si="2954"/>
      </c>
      <c r="BH1350" s="68">
        <f t="shared" si="2954"/>
      </c>
      <c r="BI1350" s="68">
        <f t="shared" si="2954"/>
      </c>
      <c r="BJ1350" s="68">
        <f t="shared" ref="BJ1350:BX1350" si="2955">IF(ISBLANK(BJ$1339),"N/A",IF(COUNTIFS(GD_Item_FiscalPeriod,BJ$1339,GD_Item_Name,$B1350,GD_Update_Date,BJ$1337)=0,"NR",SUMIFS(GD_Guidance_High,GD_Item_Name,$B1350,GD_Item_FiscalPeriod,BJ$1339,GD_Update_Date,BJ$1337)))</f>
      </c>
      <c r="BK1350" s="68">
        <f t="shared" si="2955"/>
      </c>
      <c r="BL1350" s="68">
        <f t="shared" si="2955"/>
      </c>
      <c r="BM1350" s="68">
        <f t="shared" si="2955"/>
      </c>
      <c r="BN1350" s="68">
        <f t="shared" si="2955"/>
      </c>
      <c r="BO1350" s="68">
        <f t="shared" si="2955"/>
      </c>
      <c r="BP1350" s="68">
        <f t="shared" si="2955"/>
      </c>
      <c r="BQ1350" s="68">
        <f t="shared" ref="BQ1350:BW1350" si="2956">IF(ISBLANK(BQ$1339),"N/A",IF(COUNTIFS(GD_Item_FiscalPeriod,BQ$1339,GD_Item_Name,$B1350,GD_Update_Date,BQ$1337)=0,"NR",SUMIFS(GD_Guidance_High,GD_Item_Name,$B1350,GD_Item_FiscalPeriod,BQ$1339,GD_Update_Date,BQ$1337)))</f>
      </c>
      <c r="BR1350" s="68">
        <f t="shared" si="2956"/>
      </c>
      <c r="BS1350" s="68">
        <f t="shared" si="2956"/>
      </c>
      <c r="BT1350" s="541">
        <f>IF(ISBLANK(BT$1339),"N/A",IF(COUNTIFS(GD_Item_FiscalPeriod,BT$1339,GD_Item_Name,$B1350,GD_Update_Date,BT$1337)=0,"NR",SUMIFS(GD_Guidance_High,GD_Item_Name,$B1350,GD_Item_FiscalPeriod,BT$1339,GD_Update_Date,BT$1337)))</f>
      </c>
      <c r="BU1350" s="68" t="str">
        <f t="shared" si="2956"/>
      </c>
      <c r="BV1350" s="68" t="str">
        <f t="shared" si="2956"/>
      </c>
      <c r="BW1350" s="68" t="str">
        <f t="shared" si="2956"/>
      </c>
      <c r="BX1350" s="68" t="str">
        <f t="shared" si="2955"/>
      </c>
      <c r="BY1350" s="68" t="str">
        <f t="shared" ref="BY1350:CF1350" si="2957">IF(ISBLANK(BY$1339),"N/A",IF(COUNTIFS(GD_Item_FiscalPeriod,BY$1339,GD_Item_Name,$B1350,GD_Update_Date,BY$1337)=0,"NR",SUMIFS(GD_Guidance_High,GD_Item_Name,$B1350,GD_Item_FiscalPeriod,BY$1339,GD_Update_Date,BY$1337)))</f>
      </c>
      <c r="BZ1350" s="68" t="str">
        <f t="shared" si="2957"/>
      </c>
      <c r="CA1350" s="68" t="str">
        <f t="shared" si="2957"/>
      </c>
      <c r="CB1350" s="68" t="str">
        <f t="shared" si="2957"/>
      </c>
      <c r="CC1350" s="68" t="str">
        <f t="shared" si="2957"/>
      </c>
      <c r="CD1350" s="68" t="str">
        <f t="shared" si="2957"/>
      </c>
      <c r="CE1350" s="68" t="str">
        <f t="shared" si="2957"/>
      </c>
      <c r="CF1350" s="579" t="str">
        <f t="shared" si="2957"/>
      </c>
      <c r="CG1350" s="131"/>
    </row>
    <row r="1351" spans="1:85" x14ac:dyDescent="0.3">
      <c r="A1351" s="578" t="s">
        <v>2263</v>
      </c>
      <c r="B1351" s="867" t="s">
        <v>654</v>
      </c>
      <c r="C1351" s="646"/>
      <c r="D1351" s="646"/>
      <c r="E1351" s="68"/>
      <c r="F1351" s="68"/>
      <c r="G1351" s="68"/>
      <c r="H1351" s="68"/>
      <c r="I1351" s="68"/>
      <c r="J1351" s="68"/>
      <c r="K1351" s="68"/>
      <c r="L1351" s="68"/>
      <c r="M1351" s="68"/>
      <c r="N1351" s="68"/>
      <c r="O1351" s="68"/>
      <c r="P1351" s="68"/>
      <c r="Q1351" s="68"/>
      <c r="R1351" s="68"/>
      <c r="S1351" s="68"/>
      <c r="T1351" s="68"/>
      <c r="U1351" s="68"/>
      <c r="V1351" s="68"/>
      <c r="W1351" s="68"/>
      <c r="X1351" s="68"/>
      <c r="Y1351" s="68"/>
      <c r="Z1351" s="68"/>
      <c r="AA1351" s="68"/>
      <c r="AB1351" s="68"/>
      <c r="AC1351" s="68"/>
      <c r="AD1351" s="68">
        <f t="shared" ref="AD1351:BI1351" si="2958">IF(ISBLANK(AD$1339),"N/A",IF(COUNTIFS(GD_Item_FiscalPeriod,AD$1339,GD_Item_Name,$B1351,GD_Update_Date,AD$1337)=0,"NR",SUMIFS(GD_Guidance_Mid,GD_Item_Name,$B1351,GD_Item_FiscalPeriod,AD$1339,GD_Update_Date,AD$1337)))</f>
      </c>
      <c r="AE1351" s="68">
        <f t="shared" si="2958"/>
      </c>
      <c r="AF1351" s="68">
        <f t="shared" si="2958"/>
      </c>
      <c r="AG1351" s="68" t="str">
        <f t="shared" si="2958"/>
      </c>
      <c r="AH1351" s="68" t="str">
        <f t="shared" si="2958"/>
      </c>
      <c r="AI1351" s="68" t="str">
        <f t="shared" si="2958"/>
      </c>
      <c r="AJ1351" s="68" t="str">
        <f t="shared" si="2958"/>
      </c>
      <c r="AK1351" s="68" t="str">
        <f t="shared" si="2958"/>
      </c>
      <c r="AL1351" s="68" t="str">
        <f t="shared" si="2958"/>
      </c>
      <c r="AM1351" s="68">
        <f t="shared" si="2958"/>
      </c>
      <c r="AN1351" s="68" t="str">
        <f t="shared" si="2958"/>
      </c>
      <c r="AO1351" s="68" t="str">
        <f t="shared" si="2958"/>
      </c>
      <c r="AP1351" s="68" t="str">
        <f t="shared" si="2958"/>
      </c>
      <c r="AQ1351" s="68" t="str">
        <f t="shared" si="2958"/>
      </c>
      <c r="AR1351" s="68">
        <f t="shared" si="2958"/>
      </c>
      <c r="AS1351" s="68" t="str">
        <f t="shared" si="2958"/>
      </c>
      <c r="AT1351" s="68" t="str">
        <f t="shared" si="2958"/>
      </c>
      <c r="AU1351" s="68" t="str">
        <f t="shared" si="2958"/>
      </c>
      <c r="AV1351" s="68" t="str">
        <f t="shared" si="2958"/>
      </c>
      <c r="AW1351" s="68">
        <f t="shared" si="2958"/>
      </c>
      <c r="AX1351" s="68">
        <f t="shared" si="2958"/>
      </c>
      <c r="AY1351" s="68">
        <f t="shared" si="2958"/>
      </c>
      <c r="AZ1351" s="68">
        <f t="shared" si="2958"/>
      </c>
      <c r="BA1351" s="68">
        <f t="shared" si="2958"/>
      </c>
      <c r="BB1351" s="68" t="str">
        <f t="shared" si="2958"/>
      </c>
      <c r="BC1351" s="68" t="str">
        <f t="shared" si="2958"/>
      </c>
      <c r="BD1351" s="68" t="str">
        <f t="shared" si="2958"/>
      </c>
      <c r="BE1351" s="68">
        <f t="shared" si="2958"/>
      </c>
      <c r="BF1351" s="68">
        <f t="shared" si="2958"/>
      </c>
      <c r="BG1351" s="68">
        <f t="shared" si="2958"/>
      </c>
      <c r="BH1351" s="68">
        <f t="shared" si="2958"/>
      </c>
      <c r="BI1351" s="68">
        <f t="shared" si="2958"/>
      </c>
      <c r="BJ1351" s="68">
        <f t="shared" ref="BJ1351:BX1351" si="2959">IF(ISBLANK(BJ$1339),"N/A",IF(COUNTIFS(GD_Item_FiscalPeriod,BJ$1339,GD_Item_Name,$B1351,GD_Update_Date,BJ$1337)=0,"NR",SUMIFS(GD_Guidance_Mid,GD_Item_Name,$B1351,GD_Item_FiscalPeriod,BJ$1339,GD_Update_Date,BJ$1337)))</f>
      </c>
      <c r="BK1351" s="68">
        <f t="shared" si="2959"/>
      </c>
      <c r="BL1351" s="68">
        <f t="shared" si="2959"/>
      </c>
      <c r="BM1351" s="68">
        <f t="shared" si="2959"/>
      </c>
      <c r="BN1351" s="68">
        <f t="shared" si="2959"/>
      </c>
      <c r="BO1351" s="68">
        <f t="shared" si="2959"/>
      </c>
      <c r="BP1351" s="68">
        <f t="shared" si="2959"/>
      </c>
      <c r="BQ1351" s="68">
        <f t="shared" ref="BQ1351:BW1351" si="2960">IF(ISBLANK(BQ$1339),"N/A",IF(COUNTIFS(GD_Item_FiscalPeriod,BQ$1339,GD_Item_Name,$B1351,GD_Update_Date,BQ$1337)=0,"NR",SUMIFS(GD_Guidance_Mid,GD_Item_Name,$B1351,GD_Item_FiscalPeriod,BQ$1339,GD_Update_Date,BQ$1337)))</f>
      </c>
      <c r="BR1351" s="68">
        <f t="shared" si="2960"/>
      </c>
      <c r="BS1351" s="68">
        <f t="shared" si="2960"/>
      </c>
      <c r="BT1351" s="541">
        <f>IF(ISBLANK(BT$1339),"N/A",IF(COUNTIFS(GD_Item_FiscalPeriod,BT$1339,GD_Item_Name,$B1351,GD_Update_Date,BT$1337)=0,"NR",SUMIFS(GD_Guidance_Mid,GD_Item_Name,$B1351,GD_Item_FiscalPeriod,BT$1339,GD_Update_Date,BT$1337)))</f>
      </c>
      <c r="BU1351" s="68" t="str">
        <f t="shared" si="2960"/>
      </c>
      <c r="BV1351" s="68" t="str">
        <f t="shared" si="2960"/>
      </c>
      <c r="BW1351" s="68" t="str">
        <f t="shared" si="2960"/>
      </c>
      <c r="BX1351" s="68" t="str">
        <f t="shared" si="2959"/>
      </c>
      <c r="BY1351" s="68" t="str">
        <f t="shared" ref="BY1351:CF1351" si="2961">IF(ISBLANK(BY$1339),"N/A",IF(COUNTIFS(GD_Item_FiscalPeriod,BY$1339,GD_Item_Name,$B1351,GD_Update_Date,BY$1337)=0,"NR",SUMIFS(GD_Guidance_Mid,GD_Item_Name,$B1351,GD_Item_FiscalPeriod,BY$1339,GD_Update_Date,BY$1337)))</f>
      </c>
      <c r="BZ1351" s="68" t="str">
        <f t="shared" si="2961"/>
      </c>
      <c r="CA1351" s="68" t="str">
        <f t="shared" si="2961"/>
      </c>
      <c r="CB1351" s="68" t="str">
        <f t="shared" si="2961"/>
      </c>
      <c r="CC1351" s="68" t="str">
        <f t="shared" si="2961"/>
      </c>
      <c r="CD1351" s="68" t="str">
        <f t="shared" si="2961"/>
      </c>
      <c r="CE1351" s="68" t="str">
        <f t="shared" si="2961"/>
      </c>
      <c r="CF1351" s="579" t="str">
        <f t="shared" si="2961"/>
      </c>
      <c r="CG1351" s="131"/>
    </row>
    <row r="1352" spans="1:85" x14ac:dyDescent="0.3">
      <c r="A1352" s="507"/>
      <c r="B1352" s="247"/>
      <c r="C1352" s="503"/>
      <c r="D1352" s="503"/>
      <c r="E1352" s="247"/>
      <c r="F1352" s="247"/>
      <c r="G1352" s="247"/>
      <c r="H1352" s="247"/>
      <c r="I1352" s="247"/>
      <c r="J1352" s="247"/>
      <c r="K1352" s="247"/>
      <c r="L1352" s="247"/>
      <c r="M1352" s="247"/>
      <c r="N1352" s="247"/>
      <c r="O1352" s="247"/>
      <c r="P1352" s="247"/>
      <c r="Q1352" s="247"/>
      <c r="R1352" s="247"/>
      <c r="S1352" s="247"/>
      <c r="T1352" s="247"/>
      <c r="U1352" s="247"/>
      <c r="V1352" s="247"/>
      <c r="W1352" s="247"/>
      <c r="X1352" s="247"/>
      <c r="Y1352" s="247"/>
      <c r="Z1352" s="247"/>
      <c r="AA1352" s="247"/>
      <c r="AB1352" s="247"/>
      <c r="AC1352" s="247"/>
      <c r="AD1352" s="247"/>
      <c r="AE1352" s="247"/>
      <c r="AF1352" s="247"/>
      <c r="AG1352" s="247"/>
      <c r="AH1352" s="247"/>
      <c r="AI1352" s="247"/>
      <c r="AJ1352" s="247"/>
      <c r="AK1352" s="247"/>
      <c r="AL1352" s="247"/>
      <c r="AM1352" s="247"/>
      <c r="AN1352" s="247"/>
      <c r="AO1352" s="247"/>
      <c r="AP1352" s="247"/>
      <c r="AQ1352" s="247"/>
      <c r="AR1352" s="247"/>
      <c r="AS1352" s="247"/>
      <c r="AT1352" s="247"/>
      <c r="AU1352" s="247"/>
      <c r="AV1352" s="247"/>
      <c r="AW1352" s="247"/>
      <c r="AX1352" s="247"/>
      <c r="AY1352" s="247"/>
      <c r="AZ1352" s="247"/>
      <c r="BA1352" s="247"/>
      <c r="BB1352" s="247"/>
      <c r="BC1352" s="247"/>
      <c r="BD1352" s="247"/>
      <c r="BE1352" s="247"/>
      <c r="BF1352" s="247"/>
      <c r="BG1352" s="247"/>
      <c r="BH1352" s="247"/>
      <c r="BI1352" s="247"/>
      <c r="BJ1352" s="247"/>
      <c r="BK1352" s="247"/>
      <c r="BL1352" s="247"/>
      <c r="BM1352" s="247"/>
      <c r="BN1352" s="247"/>
      <c r="BO1352" s="247"/>
      <c r="BP1352" s="247"/>
      <c r="BQ1352" s="247"/>
      <c r="BR1352" s="247"/>
      <c r="BS1352" s="247"/>
      <c r="BT1352" s="497"/>
      <c r="BU1352" s="247"/>
      <c r="BV1352" s="247"/>
      <c r="BW1352" s="247"/>
      <c r="BX1352" s="247"/>
      <c r="BY1352" s="247"/>
      <c r="BZ1352" s="247"/>
      <c r="CA1352" s="247"/>
      <c r="CB1352" s="247"/>
      <c r="CC1352" s="247"/>
      <c r="CD1352" s="247"/>
      <c r="CE1352" s="247"/>
      <c r="CF1352" s="504"/>
      <c r="CG1352" s="131"/>
    </row>
    <row r="1353" spans="1:85" x14ac:dyDescent="0.3">
      <c r="A1353" s="284"/>
      <c r="B1353" s="287"/>
      <c r="C1353" s="290"/>
      <c r="D1353" s="290"/>
      <c r="E1353" s="287"/>
      <c r="F1353" s="287"/>
      <c r="G1353" s="287"/>
      <c r="H1353" s="287"/>
      <c r="I1353" s="287"/>
      <c r="J1353" s="287"/>
      <c r="K1353" s="287"/>
      <c r="L1353" s="287"/>
      <c r="M1353" s="287"/>
      <c r="N1353" s="287"/>
      <c r="O1353" s="287"/>
      <c r="P1353" s="287"/>
      <c r="Q1353" s="287"/>
      <c r="R1353" s="287"/>
      <c r="S1353" s="287"/>
      <c r="T1353" s="287"/>
      <c r="U1353" s="287"/>
      <c r="V1353" s="287"/>
      <c r="W1353" s="287"/>
      <c r="X1353" s="287"/>
      <c r="Y1353" s="287"/>
      <c r="Z1353" s="287"/>
      <c r="AA1353" s="287"/>
      <c r="AB1353" s="287"/>
      <c r="AC1353" s="287"/>
      <c r="AD1353" s="287"/>
      <c r="AE1353" s="287"/>
      <c r="AF1353" s="287"/>
      <c r="AG1353" s="287"/>
      <c r="AH1353" s="287"/>
      <c r="AI1353" s="287"/>
      <c r="AJ1353" s="287"/>
      <c r="AK1353" s="287"/>
      <c r="AL1353" s="287"/>
      <c r="AM1353" s="287"/>
      <c r="AN1353" s="287"/>
      <c r="AO1353" s="287"/>
      <c r="AP1353" s="287"/>
      <c r="AQ1353" s="287"/>
      <c r="AR1353" s="287"/>
      <c r="AS1353" s="287"/>
      <c r="AT1353" s="287"/>
      <c r="AU1353" s="287"/>
      <c r="AV1353" s="287"/>
      <c r="AW1353" s="287"/>
      <c r="AX1353" s="287"/>
      <c r="AY1353" s="287"/>
      <c r="AZ1353" s="287"/>
      <c r="BA1353" s="287"/>
      <c r="BB1353" s="287"/>
      <c r="BC1353" s="287"/>
      <c r="BD1353" s="287"/>
      <c r="BE1353" s="287"/>
      <c r="BF1353" s="287"/>
      <c r="BG1353" s="287"/>
      <c r="BH1353" s="287"/>
      <c r="BI1353" s="287"/>
      <c r="BJ1353" s="287"/>
      <c r="BK1353" s="287"/>
      <c r="BL1353" s="287"/>
      <c r="BM1353" s="287"/>
      <c r="BN1353" s="287"/>
      <c r="BO1353" s="287"/>
      <c r="BP1353" s="287"/>
      <c r="BQ1353" s="287"/>
      <c r="BR1353" s="287"/>
      <c r="BS1353" s="287"/>
      <c r="BT1353" s="298"/>
      <c r="BU1353" s="287"/>
      <c r="BV1353" s="287"/>
      <c r="BW1353" s="287"/>
      <c r="BX1353" s="287"/>
      <c r="BY1353" s="287"/>
      <c r="BZ1353" s="287"/>
      <c r="CA1353" s="287"/>
      <c r="CB1353" s="287"/>
      <c r="CC1353" s="287"/>
      <c r="CD1353" s="287"/>
      <c r="CE1353" s="287"/>
      <c r="CF1353" s="287"/>
      <c r="CG1353" s="131"/>
    </row>
    <row r="1354" spans="1:85" x14ac:dyDescent="0.3">
      <c r="A1354" s="832" t="s">
        <v>246</v>
      </c>
      <c r="B1354" s="791"/>
      <c r="C1354" s="791"/>
      <c r="D1354" s="791"/>
      <c r="E1354" s="791"/>
      <c r="F1354" s="791"/>
      <c r="G1354" s="791"/>
      <c r="H1354" s="791"/>
      <c r="I1354" s="791"/>
      <c r="J1354" s="791"/>
      <c r="K1354" s="791"/>
      <c r="L1354" s="791"/>
      <c r="M1354" s="791"/>
      <c r="N1354" s="791"/>
      <c r="O1354" s="791"/>
      <c r="P1354" s="791"/>
      <c r="Q1354" s="791"/>
      <c r="R1354" s="791"/>
      <c r="S1354" s="791"/>
      <c r="T1354" s="791"/>
      <c r="U1354" s="791"/>
      <c r="V1354" s="791"/>
      <c r="W1354" s="791"/>
      <c r="X1354" s="791"/>
      <c r="Y1354" s="791"/>
      <c r="Z1354" s="791"/>
      <c r="AA1354" s="791"/>
      <c r="AB1354" s="791"/>
      <c r="AC1354" s="791"/>
      <c r="AD1354" s="791"/>
      <c r="AE1354" s="791"/>
      <c r="AF1354" s="791"/>
      <c r="AG1354" s="791"/>
      <c r="AH1354" s="791"/>
      <c r="AI1354" s="791"/>
      <c r="AJ1354" s="791"/>
      <c r="AK1354" s="791"/>
      <c r="AL1354" s="791"/>
      <c r="AM1354" s="791"/>
      <c r="AN1354" s="791"/>
      <c r="AO1354" s="791"/>
      <c r="AP1354" s="791"/>
      <c r="AQ1354" s="791"/>
      <c r="AR1354" s="791"/>
      <c r="AS1354" s="791"/>
      <c r="AT1354" s="791"/>
      <c r="AU1354" s="791"/>
      <c r="AV1354" s="791"/>
      <c r="AW1354" s="791"/>
      <c r="AX1354" s="791"/>
      <c r="AY1354" s="791"/>
      <c r="AZ1354" s="791"/>
      <c r="BA1354" s="791"/>
      <c r="BB1354" s="791"/>
      <c r="BC1354" s="791"/>
      <c r="BD1354" s="791"/>
      <c r="BE1354" s="791"/>
      <c r="BF1354" s="791"/>
      <c r="BG1354" s="791"/>
      <c r="BH1354" s="791"/>
      <c r="BI1354" s="791"/>
      <c r="BJ1354" s="791"/>
      <c r="BK1354" s="791"/>
      <c r="BL1354" s="791"/>
      <c r="BM1354" s="791"/>
      <c r="BN1354" s="791"/>
      <c r="BO1354" s="791"/>
      <c r="BP1354" s="791"/>
      <c r="BQ1354" s="791"/>
      <c r="BR1354" s="791"/>
      <c r="BS1354" s="791"/>
      <c r="BT1354" s="797"/>
      <c r="BU1354" s="791" t="str">
        <f>BU5</f>
      </c>
      <c r="BV1354" s="791" t="str">
        <f>BV5</f>
      </c>
      <c r="BW1354" s="791" t="str">
        <f>BW5</f>
      </c>
      <c r="BX1354" s="791" t="str">
        <f t="shared" ref="BX1354" si="2962">BX5</f>
      </c>
      <c r="BY1354" s="791" t="str">
        <f t="shared" ref="BY1354:CF1354" si="2963">BY5</f>
      </c>
      <c r="BZ1354" s="791" t="str">
        <f t="shared" si="2963"/>
      </c>
      <c r="CA1354" s="791" t="str">
        <f t="shared" si="2963"/>
      </c>
      <c r="CB1354" s="791" t="str">
        <f t="shared" si="2963"/>
      </c>
      <c r="CC1354" s="791" t="str">
        <f t="shared" si="2963"/>
      </c>
      <c r="CD1354" s="791" t="str">
        <f t="shared" si="2963"/>
      </c>
      <c r="CE1354" s="791" t="str">
        <f t="shared" si="2963"/>
      </c>
      <c r="CF1354" s="833" t="str">
        <f t="shared" si="2963"/>
      </c>
      <c r="CG1354" s="183"/>
    </row>
    <row r="1355" spans="1:85" x14ac:dyDescent="0.3">
      <c r="A1355" s="834" t="s">
        <v>247</v>
      </c>
      <c r="B1355" s="759"/>
      <c r="C1355" s="759"/>
      <c r="D1355" s="759"/>
      <c r="E1355" s="759"/>
      <c r="F1355" s="759"/>
      <c r="G1355" s="759"/>
      <c r="H1355" s="759"/>
      <c r="I1355" s="759"/>
      <c r="J1355" s="759"/>
      <c r="K1355" s="759"/>
      <c r="L1355" s="759"/>
      <c r="M1355" s="759"/>
      <c r="N1355" s="759"/>
      <c r="O1355" s="759"/>
      <c r="P1355" s="759"/>
      <c r="Q1355" s="759"/>
      <c r="R1355" s="759"/>
      <c r="S1355" s="759"/>
      <c r="T1355" s="759"/>
      <c r="U1355" s="759"/>
      <c r="V1355" s="759"/>
      <c r="W1355" s="759"/>
      <c r="X1355" s="759"/>
      <c r="Y1355" s="759"/>
      <c r="Z1355" s="759"/>
      <c r="AA1355" s="759"/>
      <c r="AB1355" s="759"/>
      <c r="AC1355" s="759"/>
      <c r="AD1355" s="759"/>
      <c r="AE1355" s="759"/>
      <c r="AF1355" s="759"/>
      <c r="AG1355" s="759"/>
      <c r="AH1355" s="759"/>
      <c r="AI1355" s="759"/>
      <c r="AJ1355" s="759"/>
      <c r="AK1355" s="759"/>
      <c r="AL1355" s="759"/>
      <c r="AM1355" s="759"/>
      <c r="AN1355" s="759"/>
      <c r="AO1355" s="759"/>
      <c r="AP1355" s="759"/>
      <c r="AQ1355" s="759"/>
      <c r="AR1355" s="759"/>
      <c r="AS1355" s="759"/>
      <c r="AT1355" s="759"/>
      <c r="AU1355" s="759"/>
      <c r="AV1355" s="759"/>
      <c r="AW1355" s="759"/>
      <c r="AX1355" s="759"/>
      <c r="AY1355" s="759"/>
      <c r="AZ1355" s="759"/>
      <c r="BA1355" s="759"/>
      <c r="BB1355" s="759"/>
      <c r="BC1355" s="759"/>
      <c r="BD1355" s="759"/>
      <c r="BE1355" s="759"/>
      <c r="BF1355" s="759"/>
      <c r="BG1355" s="759"/>
      <c r="BH1355" s="759"/>
      <c r="BI1355" s="759"/>
      <c r="BJ1355" s="759"/>
      <c r="BK1355" s="759"/>
      <c r="BL1355" s="759"/>
      <c r="BM1355" s="759"/>
      <c r="BN1355" s="759"/>
      <c r="BO1355" s="759"/>
      <c r="BP1355" s="759"/>
      <c r="BQ1355" s="759"/>
      <c r="BR1355" s="759"/>
      <c r="BS1355" s="759"/>
      <c r="BT1355" s="760"/>
      <c r="BU1355" s="759" t="str">
        <f ca="1">IF(MO.DataSourceIndex=3,IF(LEFT(INDIRECT(ADDRESS(ROW()-1,COLUMN())),2)="FY","ANNUAL",IF(LEFT(INDIRECT(ADDRESS(ROW()-1,COLUMN())),1)="Q","QUARTERLY","")),IF(LEFT(INDIRECT(ADDRESS(ROW()-1,COLUMN())),2)="FY","FY",IF(LEFT(INDIRECT(ADDRESS(ROW()-1,COLUMN())),1)="Q","FQ","FS")))</f>
      </c>
      <c r="BV1355" s="759" t="str">
        <f ca="1">IF(MO.DataSourceIndex=3,IF(LEFT(INDIRECT(ADDRESS(ROW()-1,COLUMN())),2)="FY","ANNUAL",IF(LEFT(INDIRECT(ADDRESS(ROW()-1,COLUMN())),1)="Q","QUARTERLY","")),IF(LEFT(INDIRECT(ADDRESS(ROW()-1,COLUMN())),2)="FY","FY",IF(LEFT(INDIRECT(ADDRESS(ROW()-1,COLUMN())),1)="Q","FQ","FS")))</f>
      </c>
      <c r="BW1355" s="759" t="str">
        <f ca="1">IF(MO.DataSourceIndex=3,IF(LEFT(INDIRECT(ADDRESS(ROW()-1,COLUMN())),2)="FY","ANNUAL",IF(LEFT(INDIRECT(ADDRESS(ROW()-1,COLUMN())),1)="Q","QUARTERLY","")),IF(LEFT(INDIRECT(ADDRESS(ROW()-1,COLUMN())),2)="FY","FY",IF(LEFT(INDIRECT(ADDRESS(ROW()-1,COLUMN())),1)="Q","FQ","FS")))</f>
      </c>
      <c r="BX1355" s="759" t="str">
        <f t="shared" ref="BX1355" ca="1" si="2964">IF(MO.DataSourceIndex=3,IF(LEFT(INDIRECT(ADDRESS(ROW()-1,COLUMN())),2)="FY","ANNUAL",IF(LEFT(INDIRECT(ADDRESS(ROW()-1,COLUMN())),1)="Q","QUARTERLY","")),IF(LEFT(INDIRECT(ADDRESS(ROW()-1,COLUMN())),2)="FY","FY",IF(LEFT(INDIRECT(ADDRESS(ROW()-1,COLUMN())),1)="Q","FQ","FS")))</f>
      </c>
      <c r="BY1355" s="759" t="str">
        <f t="shared" ref="BY1355:CF1355" ca="1" si="2965">IF(MO.DataSourceIndex=3,IF(LEFT(INDIRECT(ADDRESS(ROW()-1,COLUMN())),2)="FY","ANNUAL",IF(LEFT(INDIRECT(ADDRESS(ROW()-1,COLUMN())),1)="Q","QUARTERLY","")),IF(LEFT(INDIRECT(ADDRESS(ROW()-1,COLUMN())),2)="FY","FY",IF(LEFT(INDIRECT(ADDRESS(ROW()-1,COLUMN())),1)="Q","FQ","FS")))</f>
      </c>
      <c r="BZ1355" s="759" t="str">
        <f t="shared" ca="1" si="2965"/>
      </c>
      <c r="CA1355" s="759" t="str">
        <f t="shared" ca="1" si="2965"/>
      </c>
      <c r="CB1355" s="759" t="str">
        <f t="shared" ca="1" si="2965"/>
      </c>
      <c r="CC1355" s="759" t="str">
        <f t="shared" ca="1" si="2965"/>
      </c>
      <c r="CD1355" s="759" t="str">
        <f t="shared" ca="1" si="2965"/>
      </c>
      <c r="CE1355" s="759" t="str">
        <f t="shared" ca="1" si="2965"/>
      </c>
      <c r="CF1355" s="835" t="str">
        <f t="shared" ca="1" si="2965"/>
      </c>
      <c r="CG1355" s="183"/>
    </row>
    <row r="1356" spans="1:85" x14ac:dyDescent="0.3">
      <c r="A1356" s="834" t="s">
        <v>248</v>
      </c>
      <c r="B1356" s="759"/>
      <c r="C1356" s="759"/>
      <c r="D1356" s="759"/>
      <c r="E1356" s="759"/>
      <c r="F1356" s="759"/>
      <c r="G1356" s="759"/>
      <c r="H1356" s="759"/>
      <c r="I1356" s="759"/>
      <c r="J1356" s="759"/>
      <c r="K1356" s="759"/>
      <c r="L1356" s="759"/>
      <c r="M1356" s="759"/>
      <c r="N1356" s="759"/>
      <c r="O1356" s="759"/>
      <c r="P1356" s="759"/>
      <c r="Q1356" s="759"/>
      <c r="R1356" s="759"/>
      <c r="S1356" s="759"/>
      <c r="T1356" s="759"/>
      <c r="U1356" s="759"/>
      <c r="V1356" s="759"/>
      <c r="W1356" s="759"/>
      <c r="X1356" s="759"/>
      <c r="Y1356" s="759"/>
      <c r="Z1356" s="759"/>
      <c r="AA1356" s="759"/>
      <c r="AB1356" s="759"/>
      <c r="AC1356" s="759"/>
      <c r="AD1356" s="759"/>
      <c r="AE1356" s="759"/>
      <c r="AF1356" s="759"/>
      <c r="AG1356" s="759"/>
      <c r="AH1356" s="759"/>
      <c r="AI1356" s="759"/>
      <c r="AJ1356" s="759"/>
      <c r="AK1356" s="759"/>
      <c r="AL1356" s="759"/>
      <c r="AM1356" s="759"/>
      <c r="AN1356" s="759"/>
      <c r="AO1356" s="759"/>
      <c r="AP1356" s="759"/>
      <c r="AQ1356" s="759"/>
      <c r="AR1356" s="759"/>
      <c r="AS1356" s="759"/>
      <c r="AT1356" s="759"/>
      <c r="AU1356" s="759"/>
      <c r="AV1356" s="759"/>
      <c r="AW1356" s="759"/>
      <c r="AX1356" s="759"/>
      <c r="AY1356" s="759"/>
      <c r="AZ1356" s="759"/>
      <c r="BA1356" s="759"/>
      <c r="BB1356" s="759"/>
      <c r="BC1356" s="759"/>
      <c r="BD1356" s="759"/>
      <c r="BE1356" s="759"/>
      <c r="BF1356" s="759"/>
      <c r="BG1356" s="759"/>
      <c r="BH1356" s="759"/>
      <c r="BI1356" s="759"/>
      <c r="BJ1356" s="759"/>
      <c r="BK1356" s="759"/>
      <c r="BL1356" s="759"/>
      <c r="BM1356" s="759"/>
      <c r="BN1356" s="759"/>
      <c r="BO1356" s="759"/>
      <c r="BP1356" s="759"/>
      <c r="BQ1356" s="759"/>
      <c r="BR1356" s="759"/>
      <c r="BS1356" s="759"/>
      <c r="BT1356" s="760"/>
      <c r="BU1356" s="759">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V1356" s="759">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W1356" s="759">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X1356" s="759">
        <f t="shared" ref="BX1356" ca="1" si="2966">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Y1356" s="759">
        <f t="shared" ref="BY1356:CF1356" ca="1" si="2967">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c>
      <c r="BZ1356" s="759">
        <f t="shared" ca="1" si="2967"/>
      </c>
      <c r="CA1356" s="759">
        <f t="shared" ca="1" si="2967"/>
      </c>
      <c r="CB1356" s="759">
        <f t="shared" ca="1" si="2967"/>
      </c>
      <c r="CC1356" s="759">
        <f t="shared" ca="1" si="2967"/>
      </c>
      <c r="CD1356" s="759">
        <f t="shared" ca="1" si="2967"/>
      </c>
      <c r="CE1356" s="759">
        <f t="shared" ca="1" si="2967"/>
      </c>
      <c r="CF1356" s="835">
        <f t="shared" ca="1" si="2967"/>
      </c>
      <c r="CG1356" s="183"/>
    </row>
    <row r="1357" spans="1:85" x14ac:dyDescent="0.3">
      <c r="A1357" s="167" t="str">
        <f>$A$396</f>
      </c>
      <c r="B1357" s="757"/>
      <c r="C1357" s="647"/>
      <c r="D1357" s="647"/>
      <c r="E1357" s="647"/>
      <c r="F1357" s="647"/>
      <c r="G1357" s="647"/>
      <c r="H1357" s="59"/>
      <c r="I1357" s="59"/>
      <c r="J1357" s="59"/>
      <c r="K1357" s="59"/>
      <c r="L1357" s="59"/>
      <c r="M1357" s="59"/>
      <c r="N1357" s="59"/>
      <c r="O1357" s="59"/>
      <c r="P1357" s="759"/>
      <c r="Q1357" s="759"/>
      <c r="R1357" s="759"/>
      <c r="S1357" s="759"/>
      <c r="T1357" s="759"/>
      <c r="U1357" s="759"/>
      <c r="V1357" s="759"/>
      <c r="W1357" s="759"/>
      <c r="X1357" s="759"/>
      <c r="Y1357" s="759"/>
      <c r="Z1357" s="759"/>
      <c r="AA1357" s="759"/>
      <c r="AB1357" s="759"/>
      <c r="AC1357" s="759"/>
      <c r="AD1357" s="759"/>
      <c r="AE1357" s="759"/>
      <c r="AF1357" s="759"/>
      <c r="AG1357" s="759"/>
      <c r="AH1357" s="759"/>
      <c r="AI1357" s="759"/>
      <c r="AJ1357" s="759"/>
      <c r="AK1357" s="759"/>
      <c r="AL1357" s="759"/>
      <c r="AM1357" s="759"/>
      <c r="AN1357" s="759"/>
      <c r="AO1357" s="759"/>
      <c r="AP1357" s="759"/>
      <c r="AQ1357" s="759"/>
      <c r="AR1357" s="759"/>
      <c r="AS1357" s="759"/>
      <c r="AT1357" s="759"/>
      <c r="AU1357" s="759"/>
      <c r="AV1357" s="759"/>
      <c r="AW1357" s="759"/>
      <c r="AX1357" s="759"/>
      <c r="AY1357" s="759"/>
      <c r="AZ1357" s="759"/>
      <c r="BA1357" s="759"/>
      <c r="BB1357" s="759"/>
      <c r="BC1357" s="759"/>
      <c r="BD1357" s="759"/>
      <c r="BE1357" s="759"/>
      <c r="BF1357" s="759"/>
      <c r="BG1357" s="759"/>
      <c r="BH1357" s="759"/>
      <c r="BI1357" s="759"/>
      <c r="BJ1357" s="759"/>
      <c r="BK1357" s="759"/>
      <c r="BL1357" s="759"/>
      <c r="BM1357" s="759"/>
      <c r="BN1357" s="759"/>
      <c r="BO1357" s="759"/>
      <c r="BP1357" s="759"/>
      <c r="BQ1357" s="759"/>
      <c r="BR1357" s="759"/>
      <c r="BS1357" s="759"/>
      <c r="BT1357" s="760"/>
      <c r="BU1357" s="59" t="s">
        <v>2431</v>
      </c>
      <c r="BV1357" s="59" t="s">
        <v>2431</v>
      </c>
      <c r="BW1357" s="59" t="s">
        <v>2431</v>
      </c>
      <c r="BX1357" s="59" t="s">
        <v>2431</v>
      </c>
      <c r="BY1357" s="59" t="s">
        <v>2431</v>
      </c>
      <c r="BZ1357" s="59" t="s">
        <v>2431</v>
      </c>
      <c r="CA1357" s="59" t="s">
        <v>2431</v>
      </c>
      <c r="CB1357" s="59" t="s">
        <v>2431</v>
      </c>
      <c r="CC1357" s="59" t="s">
        <v>2431</v>
      </c>
      <c r="CD1357" s="59" t="s">
        <v>2431</v>
      </c>
      <c r="CE1357" s="59" t="s">
        <v>2431</v>
      </c>
      <c r="CF1357" s="164" t="s">
        <v>2431</v>
      </c>
      <c r="CG1357" s="183"/>
    </row>
    <row r="1358" spans="1:85" x14ac:dyDescent="0.3">
      <c r="A1358" s="167" t="str">
        <f>$A$463</f>
      </c>
      <c r="B1358" s="757"/>
      <c r="C1358" s="640"/>
      <c r="D1358" s="640"/>
      <c r="E1358" s="640"/>
      <c r="F1358" s="640"/>
      <c r="G1358" s="640"/>
      <c r="H1358" s="757"/>
      <c r="I1358" s="757"/>
      <c r="J1358" s="757"/>
      <c r="K1358" s="757"/>
      <c r="L1358" s="757"/>
      <c r="M1358" s="757"/>
      <c r="N1358" s="757"/>
      <c r="O1358" s="757"/>
      <c r="P1358" s="757"/>
      <c r="Q1358" s="757"/>
      <c r="R1358" s="757"/>
      <c r="S1358" s="757"/>
      <c r="T1358" s="757"/>
      <c r="U1358" s="757"/>
      <c r="V1358" s="757"/>
      <c r="W1358" s="757"/>
      <c r="X1358" s="757"/>
      <c r="Y1358" s="757"/>
      <c r="Z1358" s="757"/>
      <c r="AA1358" s="757"/>
      <c r="AB1358" s="757"/>
      <c r="AC1358" s="757"/>
      <c r="AD1358" s="757"/>
      <c r="AE1358" s="757"/>
      <c r="AF1358" s="757"/>
      <c r="AG1358" s="757"/>
      <c r="AH1358" s="757"/>
      <c r="AI1358" s="757"/>
      <c r="AJ1358" s="757"/>
      <c r="AK1358" s="757"/>
      <c r="AL1358" s="757"/>
      <c r="AM1358" s="757"/>
      <c r="AN1358" s="757"/>
      <c r="AO1358" s="757"/>
      <c r="AP1358" s="757"/>
      <c r="AQ1358" s="757"/>
      <c r="AR1358" s="757"/>
      <c r="AS1358" s="757"/>
      <c r="AT1358" s="757"/>
      <c r="AU1358" s="757"/>
      <c r="AV1358" s="757"/>
      <c r="AW1358" s="757"/>
      <c r="AX1358" s="757"/>
      <c r="AY1358" s="757"/>
      <c r="AZ1358" s="757"/>
      <c r="BA1358" s="757"/>
      <c r="BB1358" s="757"/>
      <c r="BC1358" s="757"/>
      <c r="BD1358" s="757"/>
      <c r="BE1358" s="757"/>
      <c r="BF1358" s="757"/>
      <c r="BG1358" s="757"/>
      <c r="BH1358" s="757"/>
      <c r="BI1358" s="757"/>
      <c r="BJ1358" s="757"/>
      <c r="BK1358" s="757"/>
      <c r="BL1358" s="757"/>
      <c r="BM1358" s="757"/>
      <c r="BN1358" s="757"/>
      <c r="BO1358" s="757"/>
      <c r="BP1358" s="757"/>
      <c r="BQ1358" s="757"/>
      <c r="BR1358" s="757"/>
      <c r="BS1358" s="757"/>
      <c r="BT1358" s="758"/>
      <c r="BU1358" s="757" t="s">
        <v>2431</v>
      </c>
      <c r="BV1358" s="757" t="s">
        <v>2431</v>
      </c>
      <c r="BW1358" s="757" t="s">
        <v>2431</v>
      </c>
      <c r="BX1358" s="757" t="s">
        <v>2431</v>
      </c>
      <c r="BY1358" s="757" t="s">
        <v>2431</v>
      </c>
      <c r="BZ1358" s="757" t="s">
        <v>2431</v>
      </c>
      <c r="CA1358" s="757" t="s">
        <v>2431</v>
      </c>
      <c r="CB1358" s="757" t="s">
        <v>2431</v>
      </c>
      <c r="CC1358" s="757" t="s">
        <v>2431</v>
      </c>
      <c r="CD1358" s="757" t="s">
        <v>2431</v>
      </c>
      <c r="CE1358" s="757" t="s">
        <v>2431</v>
      </c>
      <c r="CF1358" s="165" t="s">
        <v>2431</v>
      </c>
      <c r="CG1358" s="459"/>
    </row>
    <row r="1359" spans="1:85" x14ac:dyDescent="0.3">
      <c r="A1359" s="167" t="str">
        <f>$A$481</f>
      </c>
      <c r="B1359" s="757"/>
      <c r="C1359" s="640"/>
      <c r="D1359" s="640"/>
      <c r="E1359" s="640"/>
      <c r="F1359" s="640"/>
      <c r="G1359" s="640"/>
      <c r="H1359" s="757"/>
      <c r="I1359" s="757"/>
      <c r="J1359" s="757"/>
      <c r="K1359" s="757"/>
      <c r="L1359" s="757"/>
      <c r="M1359" s="757"/>
      <c r="N1359" s="757"/>
      <c r="O1359" s="757"/>
      <c r="P1359" s="757"/>
      <c r="Q1359" s="757"/>
      <c r="R1359" s="757"/>
      <c r="S1359" s="757"/>
      <c r="T1359" s="757"/>
      <c r="U1359" s="757"/>
      <c r="V1359" s="757"/>
      <c r="W1359" s="757"/>
      <c r="X1359" s="757"/>
      <c r="Y1359" s="757"/>
      <c r="Z1359" s="757"/>
      <c r="AA1359" s="757"/>
      <c r="AB1359" s="757"/>
      <c r="AC1359" s="757"/>
      <c r="AD1359" s="757"/>
      <c r="AE1359" s="757"/>
      <c r="AF1359" s="757"/>
      <c r="AG1359" s="757"/>
      <c r="AH1359" s="757"/>
      <c r="AI1359" s="757"/>
      <c r="AJ1359" s="757"/>
      <c r="AK1359" s="757"/>
      <c r="AL1359" s="757"/>
      <c r="AM1359" s="757"/>
      <c r="AN1359" s="757"/>
      <c r="AO1359" s="757"/>
      <c r="AP1359" s="757"/>
      <c r="AQ1359" s="757"/>
      <c r="AR1359" s="757"/>
      <c r="AS1359" s="757"/>
      <c r="AT1359" s="757"/>
      <c r="AU1359" s="757"/>
      <c r="AV1359" s="757"/>
      <c r="AW1359" s="757"/>
      <c r="AX1359" s="757"/>
      <c r="AY1359" s="757"/>
      <c r="AZ1359" s="757"/>
      <c r="BA1359" s="757"/>
      <c r="BB1359" s="757"/>
      <c r="BC1359" s="757"/>
      <c r="BD1359" s="757"/>
      <c r="BE1359" s="757"/>
      <c r="BF1359" s="757"/>
      <c r="BG1359" s="757"/>
      <c r="BH1359" s="757"/>
      <c r="BI1359" s="757"/>
      <c r="BJ1359" s="757"/>
      <c r="BK1359" s="757"/>
      <c r="BL1359" s="757"/>
      <c r="BM1359" s="757"/>
      <c r="BN1359" s="757"/>
      <c r="BO1359" s="757"/>
      <c r="BP1359" s="757"/>
      <c r="BQ1359" s="757"/>
      <c r="BR1359" s="757"/>
      <c r="BS1359" s="757"/>
      <c r="BT1359" s="758"/>
      <c r="BU1359" s="757" t="s">
        <v>2431</v>
      </c>
      <c r="BV1359" s="757" t="s">
        <v>2431</v>
      </c>
      <c r="BW1359" s="757" t="s">
        <v>2431</v>
      </c>
      <c r="BX1359" s="757" t="s">
        <v>2431</v>
      </c>
      <c r="BY1359" s="757" t="s">
        <v>2431</v>
      </c>
      <c r="BZ1359" s="757" t="s">
        <v>2431</v>
      </c>
      <c r="CA1359" s="757" t="s">
        <v>2431</v>
      </c>
      <c r="CB1359" s="757" t="s">
        <v>2431</v>
      </c>
      <c r="CC1359" s="757" t="s">
        <v>2431</v>
      </c>
      <c r="CD1359" s="757" t="s">
        <v>2431</v>
      </c>
      <c r="CE1359" s="757" t="s">
        <v>2431</v>
      </c>
      <c r="CF1359" s="165" t="s">
        <v>2431</v>
      </c>
      <c r="CG1359" s="459"/>
    </row>
    <row r="1360" spans="1:85" x14ac:dyDescent="0.3">
      <c r="A1360" s="167" t="str">
        <f>$A$475</f>
      </c>
      <c r="B1360" s="757"/>
      <c r="C1360" s="640"/>
      <c r="D1360" s="640"/>
      <c r="E1360" s="640"/>
      <c r="F1360" s="640"/>
      <c r="G1360" s="640"/>
      <c r="H1360" s="757"/>
      <c r="I1360" s="757"/>
      <c r="J1360" s="757"/>
      <c r="K1360" s="757"/>
      <c r="L1360" s="757"/>
      <c r="M1360" s="757"/>
      <c r="N1360" s="757"/>
      <c r="O1360" s="757"/>
      <c r="P1360" s="757"/>
      <c r="Q1360" s="757"/>
      <c r="R1360" s="757"/>
      <c r="S1360" s="757"/>
      <c r="T1360" s="757"/>
      <c r="U1360" s="757"/>
      <c r="V1360" s="757"/>
      <c r="W1360" s="757"/>
      <c r="X1360" s="757"/>
      <c r="Y1360" s="757"/>
      <c r="Z1360" s="757"/>
      <c r="AA1360" s="757"/>
      <c r="AB1360" s="757"/>
      <c r="AC1360" s="757"/>
      <c r="AD1360" s="757"/>
      <c r="AE1360" s="757"/>
      <c r="AF1360" s="757"/>
      <c r="AG1360" s="757"/>
      <c r="AH1360" s="757"/>
      <c r="AI1360" s="757"/>
      <c r="AJ1360" s="757"/>
      <c r="AK1360" s="757"/>
      <c r="AL1360" s="757"/>
      <c r="AM1360" s="757"/>
      <c r="AN1360" s="757"/>
      <c r="AO1360" s="757"/>
      <c r="AP1360" s="757"/>
      <c r="AQ1360" s="757"/>
      <c r="AR1360" s="757"/>
      <c r="AS1360" s="757"/>
      <c r="AT1360" s="757"/>
      <c r="AU1360" s="757"/>
      <c r="AV1360" s="757"/>
      <c r="AW1360" s="757"/>
      <c r="AX1360" s="757"/>
      <c r="AY1360" s="757"/>
      <c r="AZ1360" s="757"/>
      <c r="BA1360" s="757"/>
      <c r="BB1360" s="757"/>
      <c r="BC1360" s="757"/>
      <c r="BD1360" s="757"/>
      <c r="BE1360" s="757"/>
      <c r="BF1360" s="757"/>
      <c r="BG1360" s="757"/>
      <c r="BH1360" s="757"/>
      <c r="BI1360" s="757"/>
      <c r="BJ1360" s="757"/>
      <c r="BK1360" s="757"/>
      <c r="BL1360" s="757"/>
      <c r="BM1360" s="757"/>
      <c r="BN1360" s="757"/>
      <c r="BO1360" s="757"/>
      <c r="BP1360" s="757"/>
      <c r="BQ1360" s="757"/>
      <c r="BR1360" s="757"/>
      <c r="BS1360" s="757"/>
      <c r="BT1360" s="758"/>
      <c r="BU1360" s="757" t="s">
        <v>2431</v>
      </c>
      <c r="BV1360" s="757" t="s">
        <v>2431</v>
      </c>
      <c r="BW1360" s="757" t="s">
        <v>2431</v>
      </c>
      <c r="BX1360" s="757" t="s">
        <v>2431</v>
      </c>
      <c r="BY1360" s="757" t="s">
        <v>2431</v>
      </c>
      <c r="BZ1360" s="757" t="s">
        <v>2431</v>
      </c>
      <c r="CA1360" s="757" t="s">
        <v>2431</v>
      </c>
      <c r="CB1360" s="757" t="s">
        <v>2431</v>
      </c>
      <c r="CC1360" s="757" t="s">
        <v>2431</v>
      </c>
      <c r="CD1360" s="757" t="s">
        <v>2431</v>
      </c>
      <c r="CE1360" s="757" t="s">
        <v>2431</v>
      </c>
      <c r="CF1360" s="165" t="s">
        <v>2431</v>
      </c>
      <c r="CG1360" s="459"/>
    </row>
    <row r="1361" spans="1:85" x14ac:dyDescent="0.3">
      <c r="A1361" s="167" t="str">
        <f>$A$508</f>
      </c>
      <c r="B1361" s="757"/>
      <c r="C1361" s="648"/>
      <c r="D1361" s="648"/>
      <c r="E1361" s="648"/>
      <c r="F1361" s="648"/>
      <c r="G1361" s="648"/>
      <c r="H1361" s="757"/>
      <c r="I1361" s="757"/>
      <c r="J1361" s="757"/>
      <c r="K1361" s="757"/>
      <c r="L1361" s="757"/>
      <c r="M1361" s="757"/>
      <c r="N1361" s="757"/>
      <c r="O1361" s="757"/>
      <c r="P1361" s="757"/>
      <c r="Q1361" s="757"/>
      <c r="R1361" s="757"/>
      <c r="S1361" s="757"/>
      <c r="T1361" s="757"/>
      <c r="U1361" s="757"/>
      <c r="V1361" s="757"/>
      <c r="W1361" s="757"/>
      <c r="X1361" s="757"/>
      <c r="Y1361" s="757"/>
      <c r="Z1361" s="757"/>
      <c r="AA1361" s="757"/>
      <c r="AB1361" s="757"/>
      <c r="AC1361" s="757"/>
      <c r="AD1361" s="757"/>
      <c r="AE1361" s="757"/>
      <c r="AF1361" s="757"/>
      <c r="AG1361" s="757"/>
      <c r="AH1361" s="757"/>
      <c r="AI1361" s="757"/>
      <c r="AJ1361" s="757"/>
      <c r="AK1361" s="757"/>
      <c r="AL1361" s="757"/>
      <c r="AM1361" s="757"/>
      <c r="AN1361" s="757"/>
      <c r="AO1361" s="757"/>
      <c r="AP1361" s="757"/>
      <c r="AQ1361" s="757"/>
      <c r="AR1361" s="757"/>
      <c r="AS1361" s="757"/>
      <c r="AT1361" s="757"/>
      <c r="AU1361" s="757"/>
      <c r="AV1361" s="757"/>
      <c r="AW1361" s="757"/>
      <c r="AX1361" s="757"/>
      <c r="AY1361" s="757"/>
      <c r="AZ1361" s="757"/>
      <c r="BA1361" s="757"/>
      <c r="BB1361" s="757"/>
      <c r="BC1361" s="757"/>
      <c r="BD1361" s="757"/>
      <c r="BE1361" s="757"/>
      <c r="BF1361" s="757"/>
      <c r="BG1361" s="757"/>
      <c r="BH1361" s="757"/>
      <c r="BI1361" s="757"/>
      <c r="BJ1361" s="757"/>
      <c r="BK1361" s="757"/>
      <c r="BL1361" s="757"/>
      <c r="BM1361" s="757"/>
      <c r="BN1361" s="757"/>
      <c r="BO1361" s="757"/>
      <c r="BP1361" s="757"/>
      <c r="BQ1361" s="757"/>
      <c r="BR1361" s="757"/>
      <c r="BS1361" s="757"/>
      <c r="BT1361" s="758"/>
      <c r="BU1361" s="757" t="s">
        <v>2431</v>
      </c>
      <c r="BV1361" s="757" t="s">
        <v>2431</v>
      </c>
      <c r="BW1361" s="757" t="s">
        <v>2431</v>
      </c>
      <c r="BX1361" s="757" t="s">
        <v>2431</v>
      </c>
      <c r="BY1361" s="757" t="s">
        <v>2431</v>
      </c>
      <c r="BZ1361" s="757" t="s">
        <v>2431</v>
      </c>
      <c r="CA1361" s="757" t="s">
        <v>2431</v>
      </c>
      <c r="CB1361" s="757" t="s">
        <v>2431</v>
      </c>
      <c r="CC1361" s="757" t="s">
        <v>2431</v>
      </c>
      <c r="CD1361" s="757" t="s">
        <v>2431</v>
      </c>
      <c r="CE1361" s="757" t="s">
        <v>2431</v>
      </c>
      <c r="CF1361" s="165" t="s">
        <v>2431</v>
      </c>
      <c r="CG1361" s="459"/>
    </row>
    <row r="1362" spans="1:85" x14ac:dyDescent="0.3">
      <c r="A1362" s="167" t="str">
        <f>$A$725</f>
      </c>
      <c r="B1362" s="757"/>
      <c r="C1362" s="648"/>
      <c r="D1362" s="648"/>
      <c r="E1362" s="648"/>
      <c r="F1362" s="648"/>
      <c r="G1362" s="648"/>
      <c r="H1362" s="757"/>
      <c r="I1362" s="757"/>
      <c r="J1362" s="757"/>
      <c r="K1362" s="757"/>
      <c r="L1362" s="757"/>
      <c r="M1362" s="757"/>
      <c r="N1362" s="757"/>
      <c r="O1362" s="757"/>
      <c r="P1362" s="757"/>
      <c r="Q1362" s="757"/>
      <c r="R1362" s="757"/>
      <c r="S1362" s="757"/>
      <c r="T1362" s="757"/>
      <c r="U1362" s="757"/>
      <c r="V1362" s="757"/>
      <c r="W1362" s="757"/>
      <c r="X1362" s="757"/>
      <c r="Y1362" s="757"/>
      <c r="Z1362" s="757"/>
      <c r="AA1362" s="757"/>
      <c r="AB1362" s="757"/>
      <c r="AC1362" s="757"/>
      <c r="AD1362" s="757"/>
      <c r="AE1362" s="757"/>
      <c r="AF1362" s="757"/>
      <c r="AG1362" s="757"/>
      <c r="AH1362" s="757"/>
      <c r="AI1362" s="757"/>
      <c r="AJ1362" s="757"/>
      <c r="AK1362" s="757"/>
      <c r="AL1362" s="757"/>
      <c r="AM1362" s="757"/>
      <c r="AN1362" s="757"/>
      <c r="AO1362" s="757"/>
      <c r="AP1362" s="757"/>
      <c r="AQ1362" s="757"/>
      <c r="AR1362" s="757"/>
      <c r="AS1362" s="757"/>
      <c r="AT1362" s="757"/>
      <c r="AU1362" s="757"/>
      <c r="AV1362" s="757"/>
      <c r="AW1362" s="757"/>
      <c r="AX1362" s="757"/>
      <c r="AY1362" s="757"/>
      <c r="AZ1362" s="757"/>
      <c r="BA1362" s="757"/>
      <c r="BB1362" s="757"/>
      <c r="BC1362" s="757"/>
      <c r="BD1362" s="757"/>
      <c r="BE1362" s="757"/>
      <c r="BF1362" s="757"/>
      <c r="BG1362" s="757"/>
      <c r="BH1362" s="757"/>
      <c r="BI1362" s="757"/>
      <c r="BJ1362" s="757"/>
      <c r="BK1362" s="757"/>
      <c r="BL1362" s="757"/>
      <c r="BM1362" s="757"/>
      <c r="BN1362" s="757"/>
      <c r="BO1362" s="757"/>
      <c r="BP1362" s="757"/>
      <c r="BQ1362" s="757"/>
      <c r="BR1362" s="757"/>
      <c r="BS1362" s="757"/>
      <c r="BT1362" s="758"/>
      <c r="BU1362" s="757" t="s">
        <v>2431</v>
      </c>
      <c r="BV1362" s="757" t="s">
        <v>2431</v>
      </c>
      <c r="BW1362" s="757" t="s">
        <v>2431</v>
      </c>
      <c r="BX1362" s="757" t="s">
        <v>2431</v>
      </c>
      <c r="BY1362" s="757" t="s">
        <v>2431</v>
      </c>
      <c r="BZ1362" s="757" t="s">
        <v>2431</v>
      </c>
      <c r="CA1362" s="757" t="s">
        <v>2431</v>
      </c>
      <c r="CB1362" s="757" t="s">
        <v>2431</v>
      </c>
      <c r="CC1362" s="757" t="s">
        <v>2431</v>
      </c>
      <c r="CD1362" s="757" t="s">
        <v>2431</v>
      </c>
      <c r="CE1362" s="757" t="s">
        <v>2431</v>
      </c>
      <c r="CF1362" s="165" t="s">
        <v>2431</v>
      </c>
      <c r="CG1362" s="459"/>
    </row>
    <row r="1363" spans="1:85" x14ac:dyDescent="0.3">
      <c r="A1363" s="167" t="str">
        <f>A727</f>
      </c>
      <c r="B1363" s="757"/>
      <c r="C1363" s="640"/>
      <c r="D1363" s="640"/>
      <c r="E1363" s="640"/>
      <c r="F1363" s="640"/>
      <c r="G1363" s="640"/>
      <c r="H1363" s="757"/>
      <c r="I1363" s="757"/>
      <c r="J1363" s="757"/>
      <c r="K1363" s="757"/>
      <c r="L1363" s="757"/>
      <c r="M1363" s="757"/>
      <c r="N1363" s="757"/>
      <c r="O1363" s="757"/>
      <c r="P1363" s="757"/>
      <c r="Q1363" s="757"/>
      <c r="R1363" s="757"/>
      <c r="S1363" s="757"/>
      <c r="T1363" s="757"/>
      <c r="U1363" s="757"/>
      <c r="V1363" s="757"/>
      <c r="W1363" s="757"/>
      <c r="X1363" s="757"/>
      <c r="Y1363" s="757"/>
      <c r="Z1363" s="757"/>
      <c r="AA1363" s="757"/>
      <c r="AB1363" s="757"/>
      <c r="AC1363" s="757"/>
      <c r="AD1363" s="757"/>
      <c r="AE1363" s="757"/>
      <c r="AF1363" s="757"/>
      <c r="AG1363" s="757"/>
      <c r="AH1363" s="757"/>
      <c r="AI1363" s="757"/>
      <c r="AJ1363" s="757"/>
      <c r="AK1363" s="757"/>
      <c r="AL1363" s="757"/>
      <c r="AM1363" s="757"/>
      <c r="AN1363" s="757"/>
      <c r="AO1363" s="757"/>
      <c r="AP1363" s="757"/>
      <c r="AQ1363" s="757"/>
      <c r="AR1363" s="757"/>
      <c r="AS1363" s="757"/>
      <c r="AT1363" s="757"/>
      <c r="AU1363" s="757"/>
      <c r="AV1363" s="757"/>
      <c r="AW1363" s="757"/>
      <c r="AX1363" s="757"/>
      <c r="AY1363" s="757"/>
      <c r="AZ1363" s="757"/>
      <c r="BA1363" s="757"/>
      <c r="BB1363" s="757"/>
      <c r="BC1363" s="757"/>
      <c r="BD1363" s="757"/>
      <c r="BE1363" s="757"/>
      <c r="BF1363" s="757"/>
      <c r="BG1363" s="757"/>
      <c r="BH1363" s="757"/>
      <c r="BI1363" s="757"/>
      <c r="BJ1363" s="757"/>
      <c r="BK1363" s="757"/>
      <c r="BL1363" s="757"/>
      <c r="BM1363" s="757"/>
      <c r="BN1363" s="757"/>
      <c r="BO1363" s="757"/>
      <c r="BP1363" s="757"/>
      <c r="BQ1363" s="757"/>
      <c r="BR1363" s="757"/>
      <c r="BS1363" s="757"/>
      <c r="BT1363" s="758"/>
      <c r="BU1363" s="757" t="s">
        <v>2431</v>
      </c>
      <c r="BV1363" s="757" t="s">
        <v>2431</v>
      </c>
      <c r="BW1363" s="757" t="s">
        <v>2431</v>
      </c>
      <c r="BX1363" s="757" t="s">
        <v>2431</v>
      </c>
      <c r="BY1363" s="757" t="s">
        <v>2431</v>
      </c>
      <c r="BZ1363" s="757" t="s">
        <v>2431</v>
      </c>
      <c r="CA1363" s="757" t="s">
        <v>2431</v>
      </c>
      <c r="CB1363" s="757" t="s">
        <v>2431</v>
      </c>
      <c r="CC1363" s="757" t="s">
        <v>2431</v>
      </c>
      <c r="CD1363" s="757" t="s">
        <v>2431</v>
      </c>
      <c r="CE1363" s="757" t="s">
        <v>2431</v>
      </c>
      <c r="CF1363" s="165" t="s">
        <v>2431</v>
      </c>
      <c r="CG1363" s="459"/>
    </row>
    <row r="1364" spans="1:85" x14ac:dyDescent="0.3">
      <c r="A1364" s="168"/>
      <c r="B1364" s="761"/>
      <c r="C1364" s="163"/>
      <c r="D1364" s="163"/>
      <c r="E1364" s="761"/>
      <c r="F1364" s="761"/>
      <c r="G1364" s="761"/>
      <c r="H1364" s="761"/>
      <c r="I1364" s="761"/>
      <c r="J1364" s="761"/>
      <c r="K1364" s="761"/>
      <c r="L1364" s="761"/>
      <c r="M1364" s="761"/>
      <c r="N1364" s="761"/>
      <c r="O1364" s="761"/>
      <c r="P1364" s="761"/>
      <c r="Q1364" s="761"/>
      <c r="R1364" s="761"/>
      <c r="S1364" s="761"/>
      <c r="T1364" s="761"/>
      <c r="U1364" s="761"/>
      <c r="V1364" s="761"/>
      <c r="W1364" s="761"/>
      <c r="X1364" s="761"/>
      <c r="Y1364" s="761"/>
      <c r="Z1364" s="761"/>
      <c r="AA1364" s="761"/>
      <c r="AB1364" s="761"/>
      <c r="AC1364" s="761"/>
      <c r="AD1364" s="761"/>
      <c r="AE1364" s="761"/>
      <c r="AF1364" s="761"/>
      <c r="AG1364" s="761"/>
      <c r="AH1364" s="761"/>
      <c r="AI1364" s="761"/>
      <c r="AJ1364" s="761"/>
      <c r="AK1364" s="761"/>
      <c r="AL1364" s="761"/>
      <c r="AM1364" s="761"/>
      <c r="AN1364" s="761"/>
      <c r="AO1364" s="761"/>
      <c r="AP1364" s="761"/>
      <c r="AQ1364" s="761"/>
      <c r="AR1364" s="761"/>
      <c r="AS1364" s="761"/>
      <c r="AT1364" s="761"/>
      <c r="AU1364" s="761"/>
      <c r="AV1364" s="761"/>
      <c r="AW1364" s="761"/>
      <c r="AX1364" s="761"/>
      <c r="AY1364" s="761"/>
      <c r="AZ1364" s="761"/>
      <c r="BA1364" s="761"/>
      <c r="BB1364" s="761"/>
      <c r="BC1364" s="761"/>
      <c r="BD1364" s="761"/>
      <c r="BE1364" s="761"/>
      <c r="BF1364" s="761"/>
      <c r="BG1364" s="761"/>
      <c r="BH1364" s="761"/>
      <c r="BI1364" s="761"/>
      <c r="BJ1364" s="761"/>
      <c r="BK1364" s="761"/>
      <c r="BL1364" s="761"/>
      <c r="BM1364" s="761"/>
      <c r="BN1364" s="761"/>
      <c r="BO1364" s="761"/>
      <c r="BP1364" s="761"/>
      <c r="BQ1364" s="761"/>
      <c r="BR1364" s="761"/>
      <c r="BS1364" s="761"/>
      <c r="BT1364" s="762"/>
      <c r="BU1364" s="761"/>
      <c r="BV1364" s="761"/>
      <c r="BW1364" s="761"/>
      <c r="BX1364" s="761"/>
      <c r="BY1364" s="761"/>
      <c r="BZ1364" s="761"/>
      <c r="CA1364" s="761"/>
      <c r="CB1364" s="761"/>
      <c r="CC1364" s="761"/>
      <c r="CD1364" s="761"/>
      <c r="CE1364" s="761"/>
      <c r="CF1364" s="166"/>
      <c r="CG1364" s="459"/>
    </row>
    <row r="1365" spans="1:85" x14ac:dyDescent="0.3">
      <c r="A1365" s="160"/>
      <c r="B1365" s="161"/>
      <c r="C1365" s="162"/>
      <c r="D1365" s="162"/>
      <c r="E1365" s="161"/>
      <c r="F1365" s="161"/>
      <c r="G1365" s="161"/>
      <c r="H1365" s="161"/>
      <c r="I1365" s="161"/>
      <c r="J1365" s="161"/>
      <c r="K1365" s="161"/>
      <c r="L1365" s="161"/>
      <c r="M1365" s="161"/>
      <c r="N1365" s="161"/>
      <c r="O1365" s="161"/>
      <c r="P1365" s="161"/>
      <c r="Q1365" s="161"/>
      <c r="R1365" s="161"/>
      <c r="S1365" s="161"/>
      <c r="T1365" s="161"/>
      <c r="U1365" s="161"/>
      <c r="V1365" s="161"/>
      <c r="W1365" s="161"/>
      <c r="X1365" s="161"/>
      <c r="Y1365" s="161"/>
      <c r="Z1365" s="161"/>
      <c r="AA1365" s="161"/>
      <c r="AB1365" s="161"/>
      <c r="AC1365" s="161"/>
      <c r="AD1365" s="161"/>
      <c r="AE1365" s="161"/>
      <c r="AF1365" s="161"/>
      <c r="AG1365" s="161"/>
      <c r="AH1365" s="161"/>
      <c r="AI1365" s="161"/>
      <c r="AJ1365" s="161"/>
      <c r="AK1365" s="161"/>
      <c r="AL1365" s="161"/>
      <c r="AM1365" s="161"/>
      <c r="AN1365" s="161"/>
      <c r="AO1365" s="161"/>
      <c r="AP1365" s="161"/>
      <c r="AQ1365" s="161"/>
      <c r="AR1365" s="161"/>
      <c r="AS1365" s="161"/>
      <c r="AT1365" s="161"/>
      <c r="AU1365" s="161"/>
      <c r="AV1365" s="161"/>
      <c r="AW1365" s="161"/>
      <c r="AX1365" s="161"/>
      <c r="AY1365" s="161"/>
      <c r="AZ1365" s="161"/>
      <c r="BA1365" s="161"/>
      <c r="BB1365" s="161"/>
      <c r="BC1365" s="161"/>
      <c r="BD1365" s="161"/>
      <c r="BE1365" s="161"/>
      <c r="BF1365" s="161"/>
      <c r="BG1365" s="161"/>
      <c r="BH1365" s="161"/>
      <c r="BI1365" s="161"/>
      <c r="BJ1365" s="161"/>
      <c r="BK1365" s="161"/>
      <c r="BL1365" s="161"/>
      <c r="BM1365" s="161"/>
      <c r="BN1365" s="161"/>
      <c r="BO1365" s="161"/>
      <c r="BP1365" s="161"/>
      <c r="BQ1365" s="161"/>
      <c r="BR1365" s="161"/>
      <c r="BS1365" s="161"/>
      <c r="BT1365" s="299"/>
      <c r="BU1365" s="161"/>
      <c r="BV1365" s="161"/>
      <c r="BW1365" s="161"/>
      <c r="BX1365" s="161"/>
      <c r="BY1365" s="161"/>
      <c r="BZ1365" s="161"/>
      <c r="CA1365" s="161"/>
      <c r="CB1365" s="161"/>
      <c r="CC1365" s="161"/>
      <c r="CD1365" s="161"/>
      <c r="CE1365" s="161"/>
      <c r="CF1365" s="161"/>
      <c r="CG1365" s="459"/>
    </row>
    <row r="1366" spans="1:85" x14ac:dyDescent="0.3">
      <c r="A1366" s="141" t="s">
        <v>249</v>
      </c>
      <c r="B1366" s="138"/>
      <c r="C1366" s="139"/>
      <c r="D1366" s="139"/>
      <c r="E1366" s="138"/>
      <c r="F1366" s="138"/>
      <c r="G1366" s="138"/>
      <c r="H1366" s="138"/>
      <c r="I1366" s="138"/>
      <c r="J1366" s="138"/>
      <c r="K1366" s="138"/>
      <c r="L1366" s="138"/>
      <c r="M1366" s="138"/>
      <c r="N1366" s="138"/>
      <c r="O1366" s="138"/>
      <c r="P1366" s="138"/>
      <c r="Q1366" s="138"/>
      <c r="R1366" s="138"/>
      <c r="S1366" s="138"/>
      <c r="T1366" s="138"/>
      <c r="U1366" s="138"/>
      <c r="V1366" s="138"/>
      <c r="W1366" s="138"/>
      <c r="X1366" s="138"/>
      <c r="Y1366" s="138"/>
      <c r="Z1366" s="138"/>
      <c r="AA1366" s="138"/>
      <c r="AB1366" s="138"/>
      <c r="AC1366" s="138"/>
      <c r="AD1366" s="138"/>
      <c r="AE1366" s="138"/>
      <c r="AF1366" s="138"/>
      <c r="AG1366" s="138"/>
      <c r="AH1366" s="138"/>
      <c r="AI1366" s="138"/>
      <c r="AJ1366" s="138"/>
      <c r="AK1366" s="138"/>
      <c r="AL1366" s="138"/>
      <c r="AM1366" s="138"/>
      <c r="AN1366" s="138"/>
      <c r="AO1366" s="138"/>
      <c r="AP1366" s="138"/>
      <c r="AQ1366" s="138"/>
      <c r="AR1366" s="138"/>
      <c r="AS1366" s="138"/>
      <c r="AT1366" s="138"/>
      <c r="AU1366" s="138"/>
      <c r="AV1366" s="138"/>
      <c r="AW1366" s="138"/>
      <c r="AX1366" s="138"/>
      <c r="AY1366" s="138"/>
      <c r="AZ1366" s="138"/>
      <c r="BA1366" s="138"/>
      <c r="BB1366" s="138"/>
      <c r="BC1366" s="138"/>
      <c r="BD1366" s="138"/>
      <c r="BE1366" s="138"/>
      <c r="BF1366" s="138"/>
      <c r="BG1366" s="138"/>
      <c r="BH1366" s="138"/>
      <c r="BI1366" s="138"/>
      <c r="BJ1366" s="138"/>
      <c r="BK1366" s="138"/>
      <c r="BL1366" s="138"/>
      <c r="BM1366" s="138"/>
      <c r="BN1366" s="138"/>
      <c r="BO1366" s="138"/>
      <c r="BP1366" s="138"/>
      <c r="BQ1366" s="138"/>
      <c r="BR1366" s="138"/>
      <c r="BS1366" s="138"/>
      <c r="BT1366" s="300"/>
      <c r="BU1366" s="138"/>
      <c r="BV1366" s="138"/>
      <c r="BW1366" s="138"/>
      <c r="BX1366" s="138"/>
      <c r="BY1366" s="138"/>
      <c r="BZ1366" s="138"/>
      <c r="CA1366" s="138"/>
      <c r="CB1366" s="138"/>
      <c r="CC1366" s="138"/>
      <c r="CD1366" s="138"/>
      <c r="CE1366" s="138"/>
      <c r="CF1366" s="140"/>
      <c r="CG1366" s="459"/>
    </row>
    <row r="1367" spans="1:85" x14ac:dyDescent="0.3">
      <c r="A1367" s="142" t="s">
        <v>250</v>
      </c>
      <c r="B1367" s="757"/>
      <c r="C1367" s="649">
        <f t="shared" ref="C1367:AH1367" si="2968">INDEX(MO_Common_QEndDate,0,COLUMN())-INDEX(MO_Common_FPDays,0,COLUMN())+1</f>
      </c>
      <c r="D1367" s="649">
        <f t="shared" si="2968"/>
      </c>
      <c r="E1367" s="400">
        <f t="shared" si="2968"/>
      </c>
      <c r="F1367" s="400">
        <f t="shared" si="2968"/>
      </c>
      <c r="G1367" s="400">
        <f t="shared" si="2968"/>
      </c>
      <c r="H1367" s="400">
        <f t="shared" si="2968"/>
      </c>
      <c r="I1367" s="400">
        <f t="shared" si="2968"/>
      </c>
      <c r="J1367" s="400">
        <f t="shared" si="2968"/>
      </c>
      <c r="K1367" s="400">
        <f t="shared" si="2968"/>
      </c>
      <c r="L1367" s="400">
        <f t="shared" si="2968"/>
      </c>
      <c r="M1367" s="400">
        <f t="shared" si="2968"/>
      </c>
      <c r="N1367" s="400">
        <f t="shared" si="2968"/>
      </c>
      <c r="O1367" s="400">
        <f t="shared" si="2968"/>
      </c>
      <c r="P1367" s="400">
        <f t="shared" si="2968"/>
      </c>
      <c r="Q1367" s="400">
        <f t="shared" si="2968"/>
      </c>
      <c r="R1367" s="400">
        <f t="shared" si="2968"/>
      </c>
      <c r="S1367" s="400">
        <f t="shared" si="2968"/>
      </c>
      <c r="T1367" s="400">
        <f t="shared" si="2968"/>
      </c>
      <c r="U1367" s="400">
        <f t="shared" si="2968"/>
      </c>
      <c r="V1367" s="400">
        <f t="shared" si="2968"/>
      </c>
      <c r="W1367" s="400">
        <f t="shared" si="2968"/>
      </c>
      <c r="X1367" s="400">
        <f t="shared" si="2968"/>
      </c>
      <c r="Y1367" s="400">
        <f t="shared" si="2968"/>
      </c>
      <c r="Z1367" s="400">
        <f t="shared" si="2968"/>
      </c>
      <c r="AA1367" s="400">
        <f t="shared" si="2968"/>
      </c>
      <c r="AB1367" s="400">
        <f t="shared" si="2968"/>
      </c>
      <c r="AC1367" s="400">
        <f t="shared" si="2968"/>
      </c>
      <c r="AD1367" s="400">
        <f t="shared" si="2968"/>
      </c>
      <c r="AE1367" s="400">
        <f t="shared" si="2968"/>
      </c>
      <c r="AF1367" s="400">
        <f t="shared" si="2968"/>
      </c>
      <c r="AG1367" s="400">
        <f t="shared" si="2968"/>
      </c>
      <c r="AH1367" s="400">
        <f t="shared" si="2968"/>
      </c>
      <c r="AI1367" s="400">
        <f t="shared" ref="AI1367:AW1367" si="2969">INDEX(MO_Common_QEndDate,0,COLUMN())-INDEX(MO_Common_FPDays,0,COLUMN())+1</f>
      </c>
      <c r="AJ1367" s="400">
        <f t="shared" si="2969"/>
      </c>
      <c r="AK1367" s="400">
        <f t="shared" si="2969"/>
      </c>
      <c r="AL1367" s="400">
        <f t="shared" si="2969"/>
      </c>
      <c r="AM1367" s="400">
        <f t="shared" si="2969"/>
      </c>
      <c r="AN1367" s="400">
        <f t="shared" si="2969"/>
      </c>
      <c r="AO1367" s="400">
        <f t="shared" si="2969"/>
      </c>
      <c r="AP1367" s="400">
        <f t="shared" si="2969"/>
      </c>
      <c r="AQ1367" s="400">
        <f t="shared" si="2969"/>
      </c>
      <c r="AR1367" s="400">
        <f t="shared" si="2969"/>
      </c>
      <c r="AS1367" s="400">
        <f t="shared" si="2969"/>
      </c>
      <c r="AT1367" s="400">
        <f t="shared" si="2969"/>
      </c>
      <c r="AU1367" s="400">
        <f t="shared" si="2969"/>
      </c>
      <c r="AV1367" s="400">
        <f t="shared" si="2969"/>
      </c>
      <c r="AW1367" s="400">
        <f t="shared" si="2969"/>
      </c>
      <c r="AX1367" s="400">
        <f t="shared" ref="AX1367:BD1367" si="2970">INDEX(MO_Common_QEndDate,0,COLUMN())-INDEX(MO_Common_FPDays,0,COLUMN())+1</f>
      </c>
      <c r="AY1367" s="400">
        <f t="shared" si="2970"/>
      </c>
      <c r="AZ1367" s="400">
        <f t="shared" si="2970"/>
      </c>
      <c r="BA1367" s="400">
        <f t="shared" si="2970"/>
      </c>
      <c r="BB1367" s="400">
        <f t="shared" si="2970"/>
      </c>
      <c r="BC1367" s="400">
        <f t="shared" si="2970"/>
      </c>
      <c r="BD1367" s="400">
        <f t="shared" si="2970"/>
      </c>
      <c r="BE1367" s="400">
        <f t="shared" ref="BE1367:BI1367" si="2971">INDEX(MO_Common_QEndDate,0,COLUMN())-INDEX(MO_Common_FPDays,0,COLUMN())+1</f>
      </c>
      <c r="BF1367" s="400">
        <f t="shared" si="2971"/>
      </c>
      <c r="BG1367" s="400">
        <f t="shared" si="2971"/>
      </c>
      <c r="BH1367" s="400">
        <f t="shared" si="2971"/>
      </c>
      <c r="BI1367" s="400">
        <f t="shared" si="2971"/>
      </c>
      <c r="BJ1367" s="400">
        <f t="shared" ref="BJ1367:BX1367" si="2972">INDEX(MO_Common_QEndDate,0,COLUMN())-INDEX(MO_Common_FPDays,0,COLUMN())+1</f>
      </c>
      <c r="BK1367" s="400">
        <f t="shared" si="2972"/>
      </c>
      <c r="BL1367" s="400">
        <f t="shared" si="2972"/>
      </c>
      <c r="BM1367" s="400">
        <f t="shared" si="2972"/>
      </c>
      <c r="BN1367" s="400">
        <f t="shared" si="2972"/>
      </c>
      <c r="BO1367" s="400">
        <f t="shared" ref="BO1367:BW1367" si="2973">INDEX(MO_Common_QEndDate,0,COLUMN())-INDEX(MO_Common_FPDays,0,COLUMN())+1</f>
      </c>
      <c r="BP1367" s="400">
        <f t="shared" si="2973"/>
      </c>
      <c r="BQ1367" s="400">
        <f t="shared" si="2973"/>
      </c>
      <c r="BR1367" s="400">
        <f t="shared" si="2973"/>
      </c>
      <c r="BS1367" s="400">
        <f t="shared" si="2973"/>
      </c>
      <c r="BT1367" s="546">
        <f>INDEX(MO_Common_QEndDate,0,COLUMN())-INDEX(MO_Common_FPDays,0,COLUMN())+1</f>
      </c>
      <c r="BU1367" s="400">
        <f t="shared" si="2973"/>
      </c>
      <c r="BV1367" s="400">
        <f t="shared" si="2973"/>
      </c>
      <c r="BW1367" s="400">
        <f t="shared" si="2973"/>
      </c>
      <c r="BX1367" s="400">
        <f t="shared" si="2972"/>
      </c>
      <c r="BY1367" s="400">
        <f t="shared" ref="BY1367:CF1367" si="2974">INDEX(MO_Common_QEndDate,0,COLUMN())-INDEX(MO_Common_FPDays,0,COLUMN())+1</f>
      </c>
      <c r="BZ1367" s="400">
        <f t="shared" si="2974"/>
      </c>
      <c r="CA1367" s="400">
        <f t="shared" si="2974"/>
      </c>
      <c r="CB1367" s="400">
        <f t="shared" si="2974"/>
      </c>
      <c r="CC1367" s="400">
        <f t="shared" si="2974"/>
      </c>
      <c r="CD1367" s="400">
        <f t="shared" si="2974"/>
      </c>
      <c r="CE1367" s="400">
        <f t="shared" si="2974"/>
      </c>
      <c r="CF1367" s="401">
        <f t="shared" si="2974"/>
      </c>
      <c r="CG1367" s="459"/>
    </row>
    <row r="1368" spans="1:85" x14ac:dyDescent="0.3">
      <c r="A1368" s="142" t="s">
        <v>362</v>
      </c>
      <c r="B1368" s="757"/>
      <c r="C1368" s="649" t="b">
        <f>TRUE</f>
      </c>
      <c r="D1368" s="649" t="b">
        <f>TRUE</f>
      </c>
      <c r="E1368" s="400" t="b">
        <f>TRUE</f>
      </c>
      <c r="F1368" s="400" t="b">
        <f>TRUE</f>
      </c>
      <c r="G1368" s="400" t="b">
        <f>TRUE</f>
      </c>
      <c r="H1368" s="400" t="b">
        <f>TRUE</f>
      </c>
      <c r="I1368" s="400" t="b">
        <f>TRUE</f>
      </c>
      <c r="J1368" s="400" t="b">
        <f>TRUE</f>
      </c>
      <c r="K1368" s="400" t="b">
        <f>TRUE</f>
      </c>
      <c r="L1368" s="400" t="b">
        <f>TRUE</f>
      </c>
      <c r="M1368" s="400" t="b">
        <f>TRUE</f>
      </c>
      <c r="N1368" s="400" t="b">
        <f>TRUE</f>
      </c>
      <c r="O1368" s="400" t="b">
        <f>TRUE</f>
      </c>
      <c r="P1368" s="400" t="b">
        <f>TRUE</f>
      </c>
      <c r="Q1368" s="400" t="b">
        <f>TRUE</f>
      </c>
      <c r="R1368" s="400" t="b">
        <f>TRUE</f>
      </c>
      <c r="S1368" s="400" t="b">
        <f>TRUE</f>
      </c>
      <c r="T1368" s="400" t="b">
        <f>TRUE</f>
      </c>
      <c r="U1368" s="400" t="b">
        <f>TRUE</f>
      </c>
      <c r="V1368" s="400" t="b">
        <f>TRUE</f>
      </c>
      <c r="W1368" s="400" t="b">
        <f>TRUE</f>
      </c>
      <c r="X1368" s="400" t="b">
        <f>TRUE</f>
      </c>
      <c r="Y1368" s="400" t="b">
        <f>TRUE</f>
      </c>
      <c r="Z1368" s="400" t="b">
        <f>TRUE</f>
      </c>
      <c r="AA1368" s="400" t="b">
        <f>TRUE</f>
      </c>
      <c r="AB1368" s="400" t="b">
        <f>TRUE</f>
      </c>
      <c r="AC1368" s="400" t="b">
        <f>TRUE</f>
      </c>
      <c r="AD1368" s="400" t="b">
        <f>TRUE</f>
      </c>
      <c r="AE1368" s="400" t="b">
        <f>TRUE</f>
      </c>
      <c r="AF1368" s="400" t="b">
        <f>TRUE</f>
      </c>
      <c r="AG1368" s="400" t="b">
        <f>TRUE</f>
      </c>
      <c r="AH1368" s="400" t="b">
        <f>TRUE</f>
      </c>
      <c r="AI1368" s="400" t="b">
        <f>TRUE</f>
      </c>
      <c r="AJ1368" s="400" t="b">
        <f>TRUE</f>
      </c>
      <c r="AK1368" s="400" t="b">
        <f>TRUE</f>
      </c>
      <c r="AL1368" s="400" t="b">
        <f>TRUE</f>
      </c>
      <c r="AM1368" s="400" t="b">
        <f>TRUE</f>
      </c>
      <c r="AN1368" s="400" t="b">
        <f>TRUE</f>
      </c>
      <c r="AO1368" s="400" t="b">
        <f>TRUE</f>
      </c>
      <c r="AP1368" s="400" t="b">
        <f>TRUE</f>
      </c>
      <c r="AQ1368" s="400" t="b">
        <f>TRUE</f>
      </c>
      <c r="AR1368" s="400" t="b">
        <f>TRUE</f>
      </c>
      <c r="AS1368" s="400" t="b">
        <f>TRUE</f>
      </c>
      <c r="AT1368" s="400" t="b">
        <f>TRUE</f>
      </c>
      <c r="AU1368" s="400" t="b">
        <f>TRUE</f>
      </c>
      <c r="AV1368" s="400" t="b">
        <f>TRUE</f>
      </c>
      <c r="AW1368" s="400" t="b">
        <f>TRUE</f>
      </c>
      <c r="AX1368" s="400" t="b">
        <f>TRUE</f>
      </c>
      <c r="AY1368" s="400" t="b">
        <f>TRUE</f>
      </c>
      <c r="AZ1368" s="400" t="b">
        <f>TRUE</f>
      </c>
      <c r="BA1368" s="400" t="b">
        <f>TRUE</f>
      </c>
      <c r="BB1368" s="400" t="b">
        <f>TRUE</f>
      </c>
      <c r="BC1368" s="400" t="b">
        <f>TRUE</f>
      </c>
      <c r="BD1368" s="400" t="b">
        <f>TRUE</f>
      </c>
      <c r="BE1368" s="400" t="b">
        <f>TRUE</f>
      </c>
      <c r="BF1368" s="400" t="b">
        <f>TRUE</f>
      </c>
      <c r="BG1368" s="400" t="b">
        <f>TRUE</f>
      </c>
      <c r="BH1368" s="400" t="b">
        <f>TRUE</f>
      </c>
      <c r="BI1368" s="400" t="b">
        <f>TRUE</f>
      </c>
      <c r="BJ1368" s="400" t="b">
        <f>TRUE</f>
      </c>
      <c r="BK1368" s="400" t="b">
        <f>TRUE</f>
      </c>
      <c r="BL1368" s="400" t="b">
        <f>TRUE</f>
      </c>
      <c r="BM1368" s="400" t="b">
        <f>TRUE</f>
      </c>
      <c r="BN1368" s="400" t="b">
        <f>TRUE</f>
      </c>
      <c r="BO1368" s="400" t="b">
        <f>TRUE</f>
      </c>
      <c r="BP1368" s="400" t="b">
        <f>TRUE</f>
      </c>
      <c r="BQ1368" s="400" t="b">
        <f>TRUE</f>
      </c>
      <c r="BR1368" s="400" t="b">
        <f>TRUE</f>
      </c>
      <c r="BS1368" s="400" t="b">
        <f>TRUE</f>
      </c>
      <c r="BT1368" s="546" t="b">
        <f>TRUE</f>
      </c>
      <c r="BU1368" s="400" t="b">
        <f>FALSE</f>
      </c>
      <c r="BV1368" s="400" t="b">
        <f>FALSE</f>
      </c>
      <c r="BW1368" s="400" t="b">
        <f>FALSE</f>
      </c>
      <c r="BX1368" s="400" t="b">
        <f>FALSE</f>
      </c>
      <c r="BY1368" s="400" t="b">
        <f>FALSE</f>
      </c>
      <c r="BZ1368" s="400" t="b">
        <f>FALSE</f>
      </c>
      <c r="CA1368" s="400" t="b">
        <f>FALSE</f>
      </c>
      <c r="CB1368" s="400" t="b">
        <f>FALSE</f>
      </c>
      <c r="CC1368" s="400" t="b">
        <f>FALSE</f>
      </c>
      <c r="CD1368" s="400" t="b">
        <f>FALSE</f>
      </c>
      <c r="CE1368" s="400" t="b">
        <f>FALSE</f>
      </c>
      <c r="CF1368" s="401" t="b">
        <f>FALSE</f>
      </c>
      <c r="CG1368" s="459"/>
    </row>
    <row r="1369" spans="1:85" x14ac:dyDescent="0.3">
      <c r="A1369" s="143" t="str">
        <f>"Stock High: "&amp;IF(OR(MO.RealTimeStockPriceToggle=FALSE,VLOOKUP(MO.DataSourceName,MO_SPT_StockHigh_Sources,COLUMN()+2,FALSE)="N/A"),"Real-Time Off Source",MO.DataSourceName)</f>
      </c>
      <c r="B1369" s="144"/>
      <c r="C1369" s="650">
        <f t="shared" ref="C1369:AH1369" si="2975">IF(OR(MO.RealTimeStockPriceToggle=FALSE,VLOOKUP(MO.DataSourceName,MO_SPT_StockHigh_Sources,COLUMN(),FALSE)="N/A"),VLOOKUP("Real-Time Off Source",MO_SPT_StockHigh_Sources,COLUMN(),FALSE),VLOOKUP(MO.DataSourceName,MO_SPT_StockHigh_Sources,COLUMN(),FALSE))</f>
      </c>
      <c r="D1369" s="650">
        <f t="shared" si="2975"/>
      </c>
      <c r="E1369" s="144">
        <f t="shared" si="2975"/>
      </c>
      <c r="F1369" s="144">
        <f t="shared" si="2975"/>
      </c>
      <c r="G1369" s="144">
        <f t="shared" si="2975"/>
      </c>
      <c r="H1369" s="144">
        <f t="shared" si="2975"/>
      </c>
      <c r="I1369" s="144">
        <f t="shared" si="2975"/>
      </c>
      <c r="J1369" s="144">
        <f t="shared" si="2975"/>
      </c>
      <c r="K1369" s="144">
        <f t="shared" si="2975"/>
      </c>
      <c r="L1369" s="144">
        <f t="shared" si="2975"/>
      </c>
      <c r="M1369" s="144">
        <f t="shared" si="2975"/>
      </c>
      <c r="N1369" s="144">
        <f t="shared" si="2975"/>
      </c>
      <c r="O1369" s="144">
        <f t="shared" si="2975"/>
      </c>
      <c r="P1369" s="144">
        <f t="shared" si="2975"/>
      </c>
      <c r="Q1369" s="144">
        <f t="shared" si="2975"/>
      </c>
      <c r="R1369" s="144">
        <f t="shared" si="2975"/>
      </c>
      <c r="S1369" s="144">
        <f t="shared" si="2975"/>
      </c>
      <c r="T1369" s="144">
        <f t="shared" si="2975"/>
      </c>
      <c r="U1369" s="144">
        <f t="shared" si="2975"/>
      </c>
      <c r="V1369" s="144">
        <f t="shared" si="2975"/>
      </c>
      <c r="W1369" s="144">
        <f t="shared" si="2975"/>
      </c>
      <c r="X1369" s="144">
        <f t="shared" si="2975"/>
      </c>
      <c r="Y1369" s="144">
        <f t="shared" si="2975"/>
      </c>
      <c r="Z1369" s="144">
        <f t="shared" si="2975"/>
      </c>
      <c r="AA1369" s="144">
        <f t="shared" si="2975"/>
      </c>
      <c r="AB1369" s="144">
        <f t="shared" si="2975"/>
      </c>
      <c r="AC1369" s="144">
        <f t="shared" si="2975"/>
      </c>
      <c r="AD1369" s="144">
        <f t="shared" si="2975"/>
      </c>
      <c r="AE1369" s="144">
        <f t="shared" si="2975"/>
      </c>
      <c r="AF1369" s="144">
        <f t="shared" si="2975"/>
      </c>
      <c r="AG1369" s="144">
        <f t="shared" si="2975"/>
      </c>
      <c r="AH1369" s="144">
        <f t="shared" si="2975"/>
      </c>
      <c r="AI1369" s="144">
        <f t="shared" ref="AI1369:AW1369" si="2976">IF(OR(MO.RealTimeStockPriceToggle=FALSE,VLOOKUP(MO.DataSourceName,MO_SPT_StockHigh_Sources,COLUMN(),FALSE)="N/A"),VLOOKUP("Real-Time Off Source",MO_SPT_StockHigh_Sources,COLUMN(),FALSE),VLOOKUP(MO.DataSourceName,MO_SPT_StockHigh_Sources,COLUMN(),FALSE))</f>
      </c>
      <c r="AJ1369" s="144">
        <f t="shared" si="2976"/>
      </c>
      <c r="AK1369" s="144">
        <f t="shared" si="2976"/>
      </c>
      <c r="AL1369" s="144">
        <f t="shared" si="2976"/>
      </c>
      <c r="AM1369" s="144">
        <f t="shared" si="2976"/>
      </c>
      <c r="AN1369" s="144">
        <f t="shared" si="2976"/>
      </c>
      <c r="AO1369" s="144">
        <f t="shared" si="2976"/>
      </c>
      <c r="AP1369" s="144">
        <f t="shared" si="2976"/>
      </c>
      <c r="AQ1369" s="144">
        <f t="shared" si="2976"/>
      </c>
      <c r="AR1369" s="144">
        <f t="shared" si="2976"/>
      </c>
      <c r="AS1369" s="144">
        <f t="shared" si="2976"/>
      </c>
      <c r="AT1369" s="144">
        <f t="shared" si="2976"/>
      </c>
      <c r="AU1369" s="144">
        <f t="shared" si="2976"/>
      </c>
      <c r="AV1369" s="144">
        <f t="shared" si="2976"/>
      </c>
      <c r="AW1369" s="144">
        <f t="shared" si="2976"/>
      </c>
      <c r="AX1369" s="144">
        <f t="shared" ref="AX1369:BD1369" si="2977">IF(OR(MO.RealTimeStockPriceToggle=FALSE,VLOOKUP(MO.DataSourceName,MO_SPT_StockHigh_Sources,COLUMN(),FALSE)="N/A"),VLOOKUP("Real-Time Off Source",MO_SPT_StockHigh_Sources,COLUMN(),FALSE),VLOOKUP(MO.DataSourceName,MO_SPT_StockHigh_Sources,COLUMN(),FALSE))</f>
      </c>
      <c r="AY1369" s="144">
        <f t="shared" si="2977"/>
      </c>
      <c r="AZ1369" s="144">
        <f t="shared" si="2977"/>
      </c>
      <c r="BA1369" s="144">
        <f t="shared" si="2977"/>
      </c>
      <c r="BB1369" s="144">
        <f t="shared" si="2977"/>
      </c>
      <c r="BC1369" s="144">
        <f t="shared" si="2977"/>
      </c>
      <c r="BD1369" s="144">
        <f t="shared" si="2977"/>
      </c>
      <c r="BE1369" s="144">
        <f t="shared" ref="BE1369:BI1369" si="2978">IF(OR(MO.RealTimeStockPriceToggle=FALSE,VLOOKUP(MO.DataSourceName,MO_SPT_StockHigh_Sources,COLUMN(),FALSE)="N/A"),VLOOKUP("Real-Time Off Source",MO_SPT_StockHigh_Sources,COLUMN(),FALSE),VLOOKUP(MO.DataSourceName,MO_SPT_StockHigh_Sources,COLUMN(),FALSE))</f>
      </c>
      <c r="BF1369" s="144">
        <f t="shared" si="2978"/>
      </c>
      <c r="BG1369" s="144">
        <f t="shared" si="2978"/>
      </c>
      <c r="BH1369" s="144">
        <f t="shared" si="2978"/>
      </c>
      <c r="BI1369" s="144">
        <f t="shared" si="2978"/>
      </c>
      <c r="BJ1369" s="144">
        <f t="shared" ref="BJ1369:BX1369" si="2979">IF(OR(MO.RealTimeStockPriceToggle=FALSE,VLOOKUP(MO.DataSourceName,MO_SPT_StockHigh_Sources,COLUMN(),FALSE)="N/A"),VLOOKUP("Real-Time Off Source",MO_SPT_StockHigh_Sources,COLUMN(),FALSE),VLOOKUP(MO.DataSourceName,MO_SPT_StockHigh_Sources,COLUMN(),FALSE))</f>
      </c>
      <c r="BK1369" s="144">
        <f t="shared" si="2979"/>
      </c>
      <c r="BL1369" s="144">
        <f t="shared" si="2979"/>
      </c>
      <c r="BM1369" s="144">
        <f t="shared" si="2979"/>
      </c>
      <c r="BN1369" s="144">
        <f t="shared" si="2979"/>
      </c>
      <c r="BO1369" s="144">
        <f t="shared" ref="BO1369:BW1369" si="2980">IF(OR(MO.RealTimeStockPriceToggle=FALSE,VLOOKUP(MO.DataSourceName,MO_SPT_StockHigh_Sources,COLUMN(),FALSE)="N/A"),VLOOKUP("Real-Time Off Source",MO_SPT_StockHigh_Sources,COLUMN(),FALSE),VLOOKUP(MO.DataSourceName,MO_SPT_StockHigh_Sources,COLUMN(),FALSE))</f>
      </c>
      <c r="BP1369" s="144">
        <f t="shared" si="2980"/>
      </c>
      <c r="BQ1369" s="144">
        <f t="shared" si="2980"/>
      </c>
      <c r="BR1369" s="144">
        <f t="shared" si="2980"/>
      </c>
      <c r="BS1369" s="144">
        <f t="shared" si="2980"/>
      </c>
      <c r="BT1369" s="301">
        <f>IF(OR(MO.RealTimeStockPriceToggle=FALSE,VLOOKUP(MO.DataSourceName,MO_SPT_StockHigh_Sources,COLUMN(),FALSE)="N/A"),VLOOKUP("Real-Time Off Source",MO_SPT_StockHigh_Sources,COLUMN(),FALSE),VLOOKUP(MO.DataSourceName,MO_SPT_StockHigh_Sources,COLUMN(),FALSE))</f>
      </c>
      <c r="BU1369" s="144">
        <f t="shared" si="2980"/>
      </c>
      <c r="BV1369" s="144">
        <f t="shared" si="2980"/>
      </c>
      <c r="BW1369" s="144">
        <f t="shared" si="2980"/>
      </c>
      <c r="BX1369" s="144">
        <f t="shared" si="2979"/>
      </c>
      <c r="BY1369" s="144">
        <f t="shared" ref="BY1369:CF1369" si="2981">IF(OR(MO.RealTimeStockPriceToggle=FALSE,VLOOKUP(MO.DataSourceName,MO_SPT_StockHigh_Sources,COLUMN(),FALSE)="N/A"),VLOOKUP("Real-Time Off Source",MO_SPT_StockHigh_Sources,COLUMN(),FALSE),VLOOKUP(MO.DataSourceName,MO_SPT_StockHigh_Sources,COLUMN(),FALSE))</f>
      </c>
      <c r="BZ1369" s="144">
        <f t="shared" si="2981"/>
      </c>
      <c r="CA1369" s="144">
        <f t="shared" si="2981"/>
      </c>
      <c r="CB1369" s="144">
        <f t="shared" si="2981"/>
      </c>
      <c r="CC1369" s="144">
        <f t="shared" si="2981"/>
      </c>
      <c r="CD1369" s="144">
        <f t="shared" si="2981"/>
      </c>
      <c r="CE1369" s="144">
        <f t="shared" si="2981"/>
      </c>
      <c r="CF1369" s="145">
        <f t="shared" si="2981"/>
      </c>
      <c r="CG1369" s="128"/>
    </row>
    <row r="1370" spans="1:85" hidden="1" outlineLevel="1" x14ac:dyDescent="0.3">
      <c r="A1370" s="146" t="s">
        <v>251</v>
      </c>
      <c r="B1370" s="144"/>
      <c r="C1370" s="916">
        <v>0.880714285714286</v>
      </c>
      <c r="D1370" s="916">
        <v>2.98914285714286</v>
      </c>
      <c r="E1370" s="917">
        <v>0.62202040816326498</v>
      </c>
      <c r="F1370" s="917">
        <v>1.90614285714286</v>
      </c>
      <c r="G1370" s="917">
        <v>2.8231428571428601</v>
      </c>
      <c r="H1370" s="917">
        <v>3.5550000000000002</v>
      </c>
      <c r="I1370" s="917">
        <v>4.577</v>
      </c>
      <c r="J1370" s="917">
        <v>5.5594285714285698</v>
      </c>
      <c r="K1370" s="917">
        <v>5.5594285714285698</v>
      </c>
      <c r="L1370" s="917">
        <v>6.5430000000000001</v>
      </c>
      <c r="M1370" s="917">
        <v>6.44</v>
      </c>
      <c r="N1370" s="917">
        <v>6.99</v>
      </c>
      <c r="O1370" s="917">
        <v>6.6859999999999999</v>
      </c>
      <c r="P1370" s="917">
        <v>6.99</v>
      </c>
      <c r="Q1370" s="917">
        <v>6.95</v>
      </c>
      <c r="R1370" s="917">
        <v>10.089</v>
      </c>
      <c r="S1370" s="917">
        <v>12.929</v>
      </c>
      <c r="T1370" s="917">
        <v>13.327</v>
      </c>
      <c r="U1370" s="917">
        <v>13.327</v>
      </c>
      <c r="V1370" s="917">
        <v>12.218</v>
      </c>
      <c r="W1370" s="917">
        <v>11.185</v>
      </c>
      <c r="X1370" s="917">
        <v>10.127000000000001</v>
      </c>
      <c r="Y1370" s="917">
        <v>12.929</v>
      </c>
      <c r="Z1370" s="917">
        <v>12.929</v>
      </c>
      <c r="AA1370" s="917">
        <v>14.829000000000001</v>
      </c>
      <c r="AB1370" s="917">
        <v>16.687000000000001</v>
      </c>
      <c r="AC1370" s="917">
        <v>19.149999999999999</v>
      </c>
      <c r="AD1370" s="917">
        <v>20.437999999999999</v>
      </c>
      <c r="AE1370" s="917">
        <v>20.437999999999999</v>
      </c>
      <c r="AF1370" s="917">
        <v>33.143999999999998</v>
      </c>
      <c r="AG1370" s="917">
        <v>41.676000000000002</v>
      </c>
      <c r="AH1370" s="917">
        <v>41.896999999999998</v>
      </c>
      <c r="AI1370" s="917">
        <v>38.143000000000001</v>
      </c>
      <c r="AJ1370" s="917">
        <v>41.896999999999998</v>
      </c>
      <c r="AK1370" s="917">
        <v>37.786999999999999</v>
      </c>
      <c r="AL1370" s="917">
        <v>38.503</v>
      </c>
      <c r="AM1370" s="917">
        <v>38.171999999999997</v>
      </c>
      <c r="AN1370" s="917">
        <v>33.69</v>
      </c>
      <c r="AO1370" s="917">
        <v>38.503</v>
      </c>
      <c r="AP1370" s="917">
        <v>38.777999999999999</v>
      </c>
      <c r="AQ1370" s="917">
        <v>46.804000000000002</v>
      </c>
      <c r="AR1370" s="917">
        <v>55.655000000000001</v>
      </c>
      <c r="AS1370" s="917">
        <v>55.408999999999999</v>
      </c>
      <c r="AT1370" s="917">
        <v>55.655000000000001</v>
      </c>
      <c r="AU1370" s="917">
        <v>58.634</v>
      </c>
      <c r="AV1370" s="917">
        <v>55.530999999999999</v>
      </c>
      <c r="AW1370" s="917">
        <v>61.033999999999999</v>
      </c>
      <c r="AX1370" s="917">
        <v>69.168999999999997</v>
      </c>
      <c r="AY1370" s="917">
        <v>69.168999999999997</v>
      </c>
      <c r="AZ1370" s="917">
        <v>59.737000000000002</v>
      </c>
      <c r="BA1370" s="917">
        <v>39.15</v>
      </c>
      <c r="BB1370" s="917">
        <v>24.93</v>
      </c>
      <c r="BC1370" s="917">
        <v>32.040999999999997</v>
      </c>
      <c r="BD1370" s="917">
        <v>59.737000000000002</v>
      </c>
      <c r="BE1370" s="917">
        <v>36.795999999999999</v>
      </c>
      <c r="BF1370" s="917">
        <v>44.527000000000001</v>
      </c>
      <c r="BG1370" s="917">
        <v>47.759</v>
      </c>
      <c r="BH1370" s="917">
        <v>49.502000000000002</v>
      </c>
      <c r="BI1370" s="917">
        <v>49.502000000000002</v>
      </c>
      <c r="BJ1370" s="917">
        <v>62.923999999999999</v>
      </c>
      <c r="BK1370" s="917">
        <v>68.611999999999995</v>
      </c>
      <c r="BL1370" s="917">
        <v>72.225999999999999</v>
      </c>
      <c r="BM1370" s="917">
        <v>93.656000000000006</v>
      </c>
      <c r="BN1370" s="917">
        <v>93.656000000000006</v>
      </c>
      <c r="BO1370" s="917">
        <v>105.86</v>
      </c>
      <c r="BP1370" s="917">
        <v>133.91300000000001</v>
      </c>
      <c r="BQ1370" s="917">
        <v>129.71799999999999</v>
      </c>
      <c r="BR1370" s="917">
        <v>124.13500000000001</v>
      </c>
      <c r="BS1370" s="917">
        <v>133.91300000000001</v>
      </c>
      <c r="BT1370" s="918">
        <v>99.17</v>
      </c>
      <c r="BU1370" s="144"/>
      <c r="BV1370" s="144"/>
      <c r="BW1370" s="144"/>
      <c r="BX1370" s="144"/>
      <c r="BY1370" s="144"/>
      <c r="BZ1370" s="144"/>
      <c r="CA1370" s="144"/>
      <c r="CB1370" s="144"/>
      <c r="CC1370" s="144"/>
      <c r="CD1370" s="144"/>
      <c r="CE1370" s="144"/>
      <c r="CF1370" s="145"/>
      <c r="CG1370" s="128"/>
    </row>
    <row r="1371" spans="1:85" hidden="1" outlineLevel="1" x14ac:dyDescent="0.3">
      <c r="A1371" s="146" t="s">
        <v>0</v>
      </c>
      <c r="B1371" s="144"/>
      <c r="C1371" s="650" t="s">
        <v>2431</v>
      </c>
      <c r="D1371" s="650" t="s">
        <v>2431</v>
      </c>
      <c r="E1371" s="144" t="s">
        <v>2431</v>
      </c>
      <c r="F1371" s="144" t="s">
        <v>2431</v>
      </c>
      <c r="G1371" s="144" t="s">
        <v>2431</v>
      </c>
      <c r="H1371" s="144" t="s">
        <v>2431</v>
      </c>
      <c r="I1371" s="144" t="s">
        <v>2431</v>
      </c>
      <c r="J1371" s="144" t="s">
        <v>2431</v>
      </c>
      <c r="K1371" s="144" t="s">
        <v>2431</v>
      </c>
      <c r="L1371" s="144" t="s">
        <v>2431</v>
      </c>
      <c r="M1371" s="144" t="s">
        <v>2431</v>
      </c>
      <c r="N1371" s="144" t="s">
        <v>2431</v>
      </c>
      <c r="O1371" s="144" t="s">
        <v>2431</v>
      </c>
      <c r="P1371" s="144" t="s">
        <v>2431</v>
      </c>
      <c r="Q1371" s="144" t="s">
        <v>2431</v>
      </c>
      <c r="R1371" s="144" t="s">
        <v>2431</v>
      </c>
      <c r="S1371" s="144" t="s">
        <v>2431</v>
      </c>
      <c r="T1371" s="144" t="s">
        <v>2431</v>
      </c>
      <c r="U1371" s="144" t="s">
        <v>2431</v>
      </c>
      <c r="V1371" s="144" t="s">
        <v>2431</v>
      </c>
      <c r="W1371" s="144" t="s">
        <v>2431</v>
      </c>
      <c r="X1371" s="144" t="s">
        <v>2431</v>
      </c>
      <c r="Y1371" s="144" t="s">
        <v>2431</v>
      </c>
      <c r="Z1371" s="144" t="s">
        <v>2431</v>
      </c>
      <c r="AA1371" s="144" t="s">
        <v>2431</v>
      </c>
      <c r="AB1371" s="144" t="s">
        <v>2431</v>
      </c>
      <c r="AC1371" s="144" t="s">
        <v>2431</v>
      </c>
      <c r="AD1371" s="144" t="s">
        <v>2431</v>
      </c>
      <c r="AE1371" s="144" t="s">
        <v>2431</v>
      </c>
      <c r="AF1371" s="144" t="s">
        <v>2431</v>
      </c>
      <c r="AG1371" s="144" t="s">
        <v>2431</v>
      </c>
      <c r="AH1371" s="144" t="s">
        <v>2431</v>
      </c>
      <c r="AI1371" s="144" t="s">
        <v>2431</v>
      </c>
      <c r="AJ1371" s="144" t="s">
        <v>2431</v>
      </c>
      <c r="AK1371" s="144" t="s">
        <v>2431</v>
      </c>
      <c r="AL1371" s="144" t="s">
        <v>2431</v>
      </c>
      <c r="AM1371" s="144" t="s">
        <v>2431</v>
      </c>
      <c r="AN1371" s="144" t="s">
        <v>2431</v>
      </c>
      <c r="AO1371" s="144" t="s">
        <v>2431</v>
      </c>
      <c r="AP1371" s="144" t="s">
        <v>2431</v>
      </c>
      <c r="AQ1371" s="144" t="s">
        <v>2431</v>
      </c>
      <c r="AR1371" s="144" t="s">
        <v>2431</v>
      </c>
      <c r="AS1371" s="144" t="s">
        <v>2431</v>
      </c>
      <c r="AT1371" s="144" t="s">
        <v>2431</v>
      </c>
      <c r="AU1371" s="144" t="s">
        <v>2431</v>
      </c>
      <c r="AV1371" s="144" t="s">
        <v>2431</v>
      </c>
      <c r="AW1371" s="144" t="s">
        <v>2431</v>
      </c>
      <c r="AX1371" s="144" t="s">
        <v>2431</v>
      </c>
      <c r="AY1371" s="144" t="s">
        <v>2431</v>
      </c>
      <c r="AZ1371" s="144" t="s">
        <v>2431</v>
      </c>
      <c r="BA1371" s="144" t="s">
        <v>2431</v>
      </c>
      <c r="BB1371" s="144" t="s">
        <v>2431</v>
      </c>
      <c r="BC1371" s="144" t="s">
        <v>2431</v>
      </c>
      <c r="BD1371" s="144" t="s">
        <v>2431</v>
      </c>
      <c r="BE1371" s="144" t="s">
        <v>2431</v>
      </c>
      <c r="BF1371" s="144" t="s">
        <v>2431</v>
      </c>
      <c r="BG1371" s="144" t="s">
        <v>2431</v>
      </c>
      <c r="BH1371" s="144" t="s">
        <v>2431</v>
      </c>
      <c r="BI1371" s="144" t="s">
        <v>2431</v>
      </c>
      <c r="BJ1371" s="144" t="s">
        <v>2431</v>
      </c>
      <c r="BK1371" s="144" t="s">
        <v>2431</v>
      </c>
      <c r="BL1371" s="144" t="s">
        <v>2431</v>
      </c>
      <c r="BM1371" s="144" t="s">
        <v>2431</v>
      </c>
      <c r="BN1371" s="144" t="s">
        <v>2431</v>
      </c>
      <c r="BO1371" s="144" t="s">
        <v>2431</v>
      </c>
      <c r="BP1371" s="144" t="s">
        <v>2431</v>
      </c>
      <c r="BQ1371" s="144" t="s">
        <v>2431</v>
      </c>
      <c r="BR1371" s="144" t="s">
        <v>2431</v>
      </c>
      <c r="BS1371" s="144" t="s">
        <v>2431</v>
      </c>
      <c r="BT1371" s="301" t="s">
        <v>2431</v>
      </c>
      <c r="BU1371" s="144" t="s">
        <v>2431</v>
      </c>
      <c r="BV1371" s="144" t="s">
        <v>2431</v>
      </c>
      <c r="BW1371" s="144" t="s">
        <v>2431</v>
      </c>
      <c r="BX1371" s="144" t="s">
        <v>2431</v>
      </c>
      <c r="BY1371" s="144" t="s">
        <v>2431</v>
      </c>
      <c r="BZ1371" s="144" t="s">
        <v>2431</v>
      </c>
      <c r="CA1371" s="144" t="s">
        <v>2431</v>
      </c>
      <c r="CB1371" s="144" t="s">
        <v>2431</v>
      </c>
      <c r="CC1371" s="144" t="s">
        <v>2431</v>
      </c>
      <c r="CD1371" s="144" t="s">
        <v>2431</v>
      </c>
      <c r="CE1371" s="144" t="s">
        <v>2431</v>
      </c>
      <c r="CF1371" s="145" t="s">
        <v>2431</v>
      </c>
      <c r="CG1371" s="128"/>
    </row>
    <row r="1372" spans="1:85" hidden="1" outlineLevel="1" x14ac:dyDescent="0.3">
      <c r="A1372" s="146" t="s">
        <v>252</v>
      </c>
      <c r="B1372" s="144"/>
      <c r="C1372" s="650" t="s">
        <v>2431</v>
      </c>
      <c r="D1372" s="650" t="s">
        <v>2431</v>
      </c>
      <c r="E1372" s="144" t="s">
        <v>2431</v>
      </c>
      <c r="F1372" s="144" t="s">
        <v>2431</v>
      </c>
      <c r="G1372" s="144" t="s">
        <v>2431</v>
      </c>
      <c r="H1372" s="144" t="s">
        <v>2431</v>
      </c>
      <c r="I1372" s="144" t="s">
        <v>2431</v>
      </c>
      <c r="J1372" s="144" t="s">
        <v>2431</v>
      </c>
      <c r="K1372" s="144" t="s">
        <v>2431</v>
      </c>
      <c r="L1372" s="144" t="s">
        <v>2431</v>
      </c>
      <c r="M1372" s="144" t="s">
        <v>2431</v>
      </c>
      <c r="N1372" s="144" t="s">
        <v>2431</v>
      </c>
      <c r="O1372" s="144" t="s">
        <v>2431</v>
      </c>
      <c r="P1372" s="144" t="s">
        <v>2431</v>
      </c>
      <c r="Q1372" s="144" t="s">
        <v>2431</v>
      </c>
      <c r="R1372" s="144" t="s">
        <v>2431</v>
      </c>
      <c r="S1372" s="144" t="s">
        <v>2431</v>
      </c>
      <c r="T1372" s="144" t="s">
        <v>2431</v>
      </c>
      <c r="U1372" s="144" t="s">
        <v>2431</v>
      </c>
      <c r="V1372" s="144" t="s">
        <v>2431</v>
      </c>
      <c r="W1372" s="144" t="s">
        <v>2431</v>
      </c>
      <c r="X1372" s="144" t="s">
        <v>2431</v>
      </c>
      <c r="Y1372" s="144" t="s">
        <v>2431</v>
      </c>
      <c r="Z1372" s="144" t="s">
        <v>2431</v>
      </c>
      <c r="AA1372" s="144" t="s">
        <v>2431</v>
      </c>
      <c r="AB1372" s="144" t="s">
        <v>2431</v>
      </c>
      <c r="AC1372" s="144" t="s">
        <v>2431</v>
      </c>
      <c r="AD1372" s="144" t="s">
        <v>2431</v>
      </c>
      <c r="AE1372" s="144" t="s">
        <v>2431</v>
      </c>
      <c r="AF1372" s="144" t="s">
        <v>2431</v>
      </c>
      <c r="AG1372" s="144" t="s">
        <v>2431</v>
      </c>
      <c r="AH1372" s="144" t="s">
        <v>2431</v>
      </c>
      <c r="AI1372" s="144" t="s">
        <v>2431</v>
      </c>
      <c r="AJ1372" s="144" t="s">
        <v>2431</v>
      </c>
      <c r="AK1372" s="144" t="s">
        <v>2431</v>
      </c>
      <c r="AL1372" s="144" t="s">
        <v>2431</v>
      </c>
      <c r="AM1372" s="144" t="s">
        <v>2431</v>
      </c>
      <c r="AN1372" s="144" t="s">
        <v>2431</v>
      </c>
      <c r="AO1372" s="144" t="s">
        <v>2431</v>
      </c>
      <c r="AP1372" s="144" t="s">
        <v>2431</v>
      </c>
      <c r="AQ1372" s="144" t="s">
        <v>2431</v>
      </c>
      <c r="AR1372" s="144" t="s">
        <v>2431</v>
      </c>
      <c r="AS1372" s="144" t="s">
        <v>2431</v>
      </c>
      <c r="AT1372" s="144" t="s">
        <v>2431</v>
      </c>
      <c r="AU1372" s="144" t="s">
        <v>2431</v>
      </c>
      <c r="AV1372" s="144" t="s">
        <v>2431</v>
      </c>
      <c r="AW1372" s="144" t="s">
        <v>2431</v>
      </c>
      <c r="AX1372" s="144" t="s">
        <v>2431</v>
      </c>
      <c r="AY1372" s="144" t="s">
        <v>2431</v>
      </c>
      <c r="AZ1372" s="144" t="s">
        <v>2431</v>
      </c>
      <c r="BA1372" s="144" t="s">
        <v>2431</v>
      </c>
      <c r="BB1372" s="144" t="s">
        <v>2431</v>
      </c>
      <c r="BC1372" s="144" t="s">
        <v>2431</v>
      </c>
      <c r="BD1372" s="144" t="s">
        <v>2431</v>
      </c>
      <c r="BE1372" s="144" t="s">
        <v>2431</v>
      </c>
      <c r="BF1372" s="144" t="s">
        <v>2431</v>
      </c>
      <c r="BG1372" s="144" t="s">
        <v>2431</v>
      </c>
      <c r="BH1372" s="144" t="s">
        <v>2431</v>
      </c>
      <c r="BI1372" s="144" t="s">
        <v>2431</v>
      </c>
      <c r="BJ1372" s="144" t="s">
        <v>2431</v>
      </c>
      <c r="BK1372" s="144" t="s">
        <v>2431</v>
      </c>
      <c r="BL1372" s="144" t="s">
        <v>2431</v>
      </c>
      <c r="BM1372" s="144" t="s">
        <v>2431</v>
      </c>
      <c r="BN1372" s="144" t="s">
        <v>2431</v>
      </c>
      <c r="BO1372" s="144" t="s">
        <v>2431</v>
      </c>
      <c r="BP1372" s="144" t="s">
        <v>2431</v>
      </c>
      <c r="BQ1372" s="144" t="s">
        <v>2431</v>
      </c>
      <c r="BR1372" s="144" t="s">
        <v>2431</v>
      </c>
      <c r="BS1372" s="144" t="s">
        <v>2431</v>
      </c>
      <c r="BT1372" s="301" t="s">
        <v>2431</v>
      </c>
      <c r="BU1372" s="144" t="s">
        <v>2431</v>
      </c>
      <c r="BV1372" s="144" t="s">
        <v>2431</v>
      </c>
      <c r="BW1372" s="144" t="s">
        <v>2431</v>
      </c>
      <c r="BX1372" s="144" t="s">
        <v>2431</v>
      </c>
      <c r="BY1372" s="144" t="s">
        <v>2431</v>
      </c>
      <c r="BZ1372" s="144" t="s">
        <v>2431</v>
      </c>
      <c r="CA1372" s="144" t="s">
        <v>2431</v>
      </c>
      <c r="CB1372" s="144" t="s">
        <v>2431</v>
      </c>
      <c r="CC1372" s="144" t="s">
        <v>2431</v>
      </c>
      <c r="CD1372" s="144" t="s">
        <v>2431</v>
      </c>
      <c r="CE1372" s="144" t="s">
        <v>2431</v>
      </c>
      <c r="CF1372" s="145" t="s">
        <v>2431</v>
      </c>
      <c r="CG1372" s="128"/>
    </row>
    <row r="1373" spans="1:85" hidden="1" outlineLevel="1" x14ac:dyDescent="0.3">
      <c r="A1373" s="146" t="s">
        <v>253</v>
      </c>
      <c r="B1373" s="144"/>
      <c r="C1373" s="650" t="s">
        <v>2431</v>
      </c>
      <c r="D1373" s="650" t="s">
        <v>2431</v>
      </c>
      <c r="E1373" s="144" t="s">
        <v>2431</v>
      </c>
      <c r="F1373" s="144" t="s">
        <v>2431</v>
      </c>
      <c r="G1373" s="144" t="s">
        <v>2431</v>
      </c>
      <c r="H1373" s="144" t="s">
        <v>2431</v>
      </c>
      <c r="I1373" s="144" t="s">
        <v>2431</v>
      </c>
      <c r="J1373" s="144" t="s">
        <v>2431</v>
      </c>
      <c r="K1373" s="144" t="s">
        <v>2431</v>
      </c>
      <c r="L1373" s="144" t="s">
        <v>2431</v>
      </c>
      <c r="M1373" s="144" t="s">
        <v>2431</v>
      </c>
      <c r="N1373" s="144" t="s">
        <v>2431</v>
      </c>
      <c r="O1373" s="144" t="s">
        <v>2431</v>
      </c>
      <c r="P1373" s="144" t="s">
        <v>2431</v>
      </c>
      <c r="Q1373" s="144" t="s">
        <v>2431</v>
      </c>
      <c r="R1373" s="144" t="s">
        <v>2431</v>
      </c>
      <c r="S1373" s="144" t="s">
        <v>2431</v>
      </c>
      <c r="T1373" s="144" t="s">
        <v>2431</v>
      </c>
      <c r="U1373" s="144" t="s">
        <v>2431</v>
      </c>
      <c r="V1373" s="144" t="s">
        <v>2431</v>
      </c>
      <c r="W1373" s="144" t="s">
        <v>2431</v>
      </c>
      <c r="X1373" s="144" t="s">
        <v>2431</v>
      </c>
      <c r="Y1373" s="144" t="s">
        <v>2431</v>
      </c>
      <c r="Z1373" s="144" t="s">
        <v>2431</v>
      </c>
      <c r="AA1373" s="144" t="s">
        <v>2431</v>
      </c>
      <c r="AB1373" s="144" t="s">
        <v>2431</v>
      </c>
      <c r="AC1373" s="144" t="s">
        <v>2431</v>
      </c>
      <c r="AD1373" s="144" t="s">
        <v>2431</v>
      </c>
      <c r="AE1373" s="144" t="s">
        <v>2431</v>
      </c>
      <c r="AF1373" s="144" t="s">
        <v>2431</v>
      </c>
      <c r="AG1373" s="144" t="s">
        <v>2431</v>
      </c>
      <c r="AH1373" s="144" t="s">
        <v>2431</v>
      </c>
      <c r="AI1373" s="144" t="s">
        <v>2431</v>
      </c>
      <c r="AJ1373" s="144" t="s">
        <v>2431</v>
      </c>
      <c r="AK1373" s="144" t="s">
        <v>2431</v>
      </c>
      <c r="AL1373" s="144" t="s">
        <v>2431</v>
      </c>
      <c r="AM1373" s="144" t="s">
        <v>2431</v>
      </c>
      <c r="AN1373" s="144" t="s">
        <v>2431</v>
      </c>
      <c r="AO1373" s="144" t="s">
        <v>2431</v>
      </c>
      <c r="AP1373" s="144" t="s">
        <v>2431</v>
      </c>
      <c r="AQ1373" s="144" t="s">
        <v>2431</v>
      </c>
      <c r="AR1373" s="144" t="s">
        <v>2431</v>
      </c>
      <c r="AS1373" s="144" t="s">
        <v>2431</v>
      </c>
      <c r="AT1373" s="144" t="s">
        <v>2431</v>
      </c>
      <c r="AU1373" s="144" t="s">
        <v>2431</v>
      </c>
      <c r="AV1373" s="144" t="s">
        <v>2431</v>
      </c>
      <c r="AW1373" s="144" t="s">
        <v>2431</v>
      </c>
      <c r="AX1373" s="144" t="s">
        <v>2431</v>
      </c>
      <c r="AY1373" s="144" t="s">
        <v>2431</v>
      </c>
      <c r="AZ1373" s="144" t="s">
        <v>2431</v>
      </c>
      <c r="BA1373" s="144" t="s">
        <v>2431</v>
      </c>
      <c r="BB1373" s="144" t="s">
        <v>2431</v>
      </c>
      <c r="BC1373" s="144" t="s">
        <v>2431</v>
      </c>
      <c r="BD1373" s="144" t="s">
        <v>2431</v>
      </c>
      <c r="BE1373" s="144" t="s">
        <v>2431</v>
      </c>
      <c r="BF1373" s="144" t="s">
        <v>2431</v>
      </c>
      <c r="BG1373" s="144" t="s">
        <v>2431</v>
      </c>
      <c r="BH1373" s="144" t="s">
        <v>2431</v>
      </c>
      <c r="BI1373" s="144" t="s">
        <v>2431</v>
      </c>
      <c r="BJ1373" s="144" t="s">
        <v>2431</v>
      </c>
      <c r="BK1373" s="144" t="s">
        <v>2431</v>
      </c>
      <c r="BL1373" s="144" t="s">
        <v>2431</v>
      </c>
      <c r="BM1373" s="144" t="s">
        <v>2431</v>
      </c>
      <c r="BN1373" s="144" t="s">
        <v>2431</v>
      </c>
      <c r="BO1373" s="144" t="s">
        <v>2431</v>
      </c>
      <c r="BP1373" s="144" t="s">
        <v>2431</v>
      </c>
      <c r="BQ1373" s="144" t="s">
        <v>2431</v>
      </c>
      <c r="BR1373" s="144" t="s">
        <v>2431</v>
      </c>
      <c r="BS1373" s="144" t="s">
        <v>2431</v>
      </c>
      <c r="BT1373" s="301" t="s">
        <v>2431</v>
      </c>
      <c r="BU1373" s="144" t="s">
        <v>2431</v>
      </c>
      <c r="BV1373" s="144" t="s">
        <v>2431</v>
      </c>
      <c r="BW1373" s="144" t="s">
        <v>2431</v>
      </c>
      <c r="BX1373" s="144" t="s">
        <v>2431</v>
      </c>
      <c r="BY1373" s="144" t="s">
        <v>2431</v>
      </c>
      <c r="BZ1373" s="144" t="s">
        <v>2431</v>
      </c>
      <c r="CA1373" s="144" t="s">
        <v>2431</v>
      </c>
      <c r="CB1373" s="144" t="s">
        <v>2431</v>
      </c>
      <c r="CC1373" s="144" t="s">
        <v>2431</v>
      </c>
      <c r="CD1373" s="144" t="s">
        <v>2431</v>
      </c>
      <c r="CE1373" s="144" t="s">
        <v>2431</v>
      </c>
      <c r="CF1373" s="145" t="s">
        <v>2431</v>
      </c>
      <c r="CG1373" s="128"/>
    </row>
    <row r="1374" spans="1:85" hidden="1" outlineLevel="1" x14ac:dyDescent="0.3">
      <c r="A1374" s="146" t="s">
        <v>503</v>
      </c>
      <c r="B1374" s="144"/>
      <c r="C1374" s="650" t="s">
        <v>2431</v>
      </c>
      <c r="D1374" s="650" t="s">
        <v>2431</v>
      </c>
      <c r="E1374" s="144" t="s">
        <v>2431</v>
      </c>
      <c r="F1374" s="144" t="s">
        <v>2431</v>
      </c>
      <c r="G1374" s="144" t="s">
        <v>2431</v>
      </c>
      <c r="H1374" s="144" t="s">
        <v>2431</v>
      </c>
      <c r="I1374" s="144" t="s">
        <v>2431</v>
      </c>
      <c r="J1374" s="144" t="s">
        <v>2431</v>
      </c>
      <c r="K1374" s="144" t="s">
        <v>2431</v>
      </c>
      <c r="L1374" s="144" t="s">
        <v>2431</v>
      </c>
      <c r="M1374" s="144" t="s">
        <v>2431</v>
      </c>
      <c r="N1374" s="144" t="s">
        <v>2431</v>
      </c>
      <c r="O1374" s="144" t="s">
        <v>2431</v>
      </c>
      <c r="P1374" s="144" t="s">
        <v>2431</v>
      </c>
      <c r="Q1374" s="144" t="s">
        <v>2431</v>
      </c>
      <c r="R1374" s="144" t="s">
        <v>2431</v>
      </c>
      <c r="S1374" s="144" t="s">
        <v>2431</v>
      </c>
      <c r="T1374" s="144" t="s">
        <v>2431</v>
      </c>
      <c r="U1374" s="144" t="s">
        <v>2431</v>
      </c>
      <c r="V1374" s="144" t="s">
        <v>2431</v>
      </c>
      <c r="W1374" s="144" t="s">
        <v>2431</v>
      </c>
      <c r="X1374" s="144" t="s">
        <v>2431</v>
      </c>
      <c r="Y1374" s="144" t="s">
        <v>2431</v>
      </c>
      <c r="Z1374" s="144" t="s">
        <v>2431</v>
      </c>
      <c r="AA1374" s="144" t="s">
        <v>2431</v>
      </c>
      <c r="AB1374" s="144" t="s">
        <v>2431</v>
      </c>
      <c r="AC1374" s="144" t="s">
        <v>2431</v>
      </c>
      <c r="AD1374" s="144" t="s">
        <v>2431</v>
      </c>
      <c r="AE1374" s="144" t="s">
        <v>2431</v>
      </c>
      <c r="AF1374" s="144" t="s">
        <v>2431</v>
      </c>
      <c r="AG1374" s="144" t="s">
        <v>2431</v>
      </c>
      <c r="AH1374" s="144" t="s">
        <v>2431</v>
      </c>
      <c r="AI1374" s="144" t="s">
        <v>2431</v>
      </c>
      <c r="AJ1374" s="144" t="s">
        <v>2431</v>
      </c>
      <c r="AK1374" s="144" t="s">
        <v>2431</v>
      </c>
      <c r="AL1374" s="144" t="s">
        <v>2431</v>
      </c>
      <c r="AM1374" s="144" t="s">
        <v>2431</v>
      </c>
      <c r="AN1374" s="144" t="s">
        <v>2431</v>
      </c>
      <c r="AO1374" s="144" t="s">
        <v>2431</v>
      </c>
      <c r="AP1374" s="144" t="s">
        <v>2431</v>
      </c>
      <c r="AQ1374" s="144" t="s">
        <v>2431</v>
      </c>
      <c r="AR1374" s="144" t="s">
        <v>2431</v>
      </c>
      <c r="AS1374" s="144" t="s">
        <v>2431</v>
      </c>
      <c r="AT1374" s="144" t="s">
        <v>2431</v>
      </c>
      <c r="AU1374" s="144" t="s">
        <v>2431</v>
      </c>
      <c r="AV1374" s="144" t="s">
        <v>2431</v>
      </c>
      <c r="AW1374" s="144" t="s">
        <v>2431</v>
      </c>
      <c r="AX1374" s="144" t="s">
        <v>2431</v>
      </c>
      <c r="AY1374" s="144" t="s">
        <v>2431</v>
      </c>
      <c r="AZ1374" s="144" t="s">
        <v>2431</v>
      </c>
      <c r="BA1374" s="144" t="s">
        <v>2431</v>
      </c>
      <c r="BB1374" s="144" t="s">
        <v>2431</v>
      </c>
      <c r="BC1374" s="144" t="s">
        <v>2431</v>
      </c>
      <c r="BD1374" s="144" t="s">
        <v>2431</v>
      </c>
      <c r="BE1374" s="144" t="s">
        <v>2431</v>
      </c>
      <c r="BF1374" s="144" t="s">
        <v>2431</v>
      </c>
      <c r="BG1374" s="144" t="s">
        <v>2431</v>
      </c>
      <c r="BH1374" s="144" t="s">
        <v>2431</v>
      </c>
      <c r="BI1374" s="144" t="s">
        <v>2431</v>
      </c>
      <c r="BJ1374" s="144" t="s">
        <v>2431</v>
      </c>
      <c r="BK1374" s="144" t="s">
        <v>2431</v>
      </c>
      <c r="BL1374" s="144" t="s">
        <v>2431</v>
      </c>
      <c r="BM1374" s="144" t="s">
        <v>2431</v>
      </c>
      <c r="BN1374" s="144" t="s">
        <v>2431</v>
      </c>
      <c r="BO1374" s="144" t="s">
        <v>2431</v>
      </c>
      <c r="BP1374" s="144" t="s">
        <v>2431</v>
      </c>
      <c r="BQ1374" s="144" t="s">
        <v>2431</v>
      </c>
      <c r="BR1374" s="144" t="s">
        <v>2431</v>
      </c>
      <c r="BS1374" s="144" t="s">
        <v>2431</v>
      </c>
      <c r="BT1374" s="301" t="s">
        <v>2431</v>
      </c>
      <c r="BU1374" s="144" t="s">
        <v>2431</v>
      </c>
      <c r="BV1374" s="144" t="s">
        <v>2431</v>
      </c>
      <c r="BW1374" s="144" t="s">
        <v>2431</v>
      </c>
      <c r="BX1374" s="144" t="s">
        <v>2431</v>
      </c>
      <c r="BY1374" s="144" t="s">
        <v>2431</v>
      </c>
      <c r="BZ1374" s="144" t="s">
        <v>2431</v>
      </c>
      <c r="CA1374" s="144" t="s">
        <v>2431</v>
      </c>
      <c r="CB1374" s="144" t="s">
        <v>2431</v>
      </c>
      <c r="CC1374" s="144" t="s">
        <v>2431</v>
      </c>
      <c r="CD1374" s="144" t="s">
        <v>2431</v>
      </c>
      <c r="CE1374" s="144" t="s">
        <v>2431</v>
      </c>
      <c r="CF1374" s="145" t="s">
        <v>2431</v>
      </c>
      <c r="CG1374" s="128"/>
    </row>
    <row r="1375" spans="1:85" hidden="1" outlineLevel="1" x14ac:dyDescent="0.3">
      <c r="A1375" s="93"/>
      <c r="B1375" s="757"/>
      <c r="C1375" s="640"/>
      <c r="D1375" s="640"/>
      <c r="E1375" s="757"/>
      <c r="F1375" s="757"/>
      <c r="G1375" s="757"/>
      <c r="H1375" s="757"/>
      <c r="I1375" s="757"/>
      <c r="J1375" s="757"/>
      <c r="K1375" s="757"/>
      <c r="L1375" s="757"/>
      <c r="M1375" s="757"/>
      <c r="N1375" s="757"/>
      <c r="O1375" s="757"/>
      <c r="P1375" s="757"/>
      <c r="Q1375" s="757"/>
      <c r="R1375" s="757"/>
      <c r="S1375" s="757"/>
      <c r="T1375" s="757"/>
      <c r="U1375" s="757"/>
      <c r="V1375" s="757"/>
      <c r="W1375" s="757"/>
      <c r="X1375" s="757"/>
      <c r="Y1375" s="757"/>
      <c r="Z1375" s="757"/>
      <c r="AA1375" s="757"/>
      <c r="AB1375" s="757"/>
      <c r="AC1375" s="757"/>
      <c r="AD1375" s="757"/>
      <c r="AE1375" s="757"/>
      <c r="AF1375" s="757"/>
      <c r="AG1375" s="757"/>
      <c r="AH1375" s="757"/>
      <c r="AI1375" s="757"/>
      <c r="AJ1375" s="757"/>
      <c r="AK1375" s="757"/>
      <c r="AL1375" s="757"/>
      <c r="AM1375" s="757"/>
      <c r="AN1375" s="757"/>
      <c r="AO1375" s="757"/>
      <c r="AP1375" s="757"/>
      <c r="AQ1375" s="757"/>
      <c r="AR1375" s="757"/>
      <c r="AS1375" s="757"/>
      <c r="AT1375" s="757"/>
      <c r="AU1375" s="757"/>
      <c r="AV1375" s="757"/>
      <c r="AW1375" s="757"/>
      <c r="AX1375" s="757"/>
      <c r="AY1375" s="757"/>
      <c r="AZ1375" s="757"/>
      <c r="BA1375" s="757"/>
      <c r="BB1375" s="757"/>
      <c r="BC1375" s="757"/>
      <c r="BD1375" s="757"/>
      <c r="BE1375" s="757"/>
      <c r="BF1375" s="757"/>
      <c r="BG1375" s="757"/>
      <c r="BH1375" s="757"/>
      <c r="BI1375" s="757"/>
      <c r="BJ1375" s="757"/>
      <c r="BK1375" s="757"/>
      <c r="BL1375" s="757"/>
      <c r="BM1375" s="757"/>
      <c r="BN1375" s="757"/>
      <c r="BO1375" s="757"/>
      <c r="BP1375" s="757"/>
      <c r="BQ1375" s="757"/>
      <c r="BR1375" s="757"/>
      <c r="BS1375" s="757"/>
      <c r="BT1375" s="758"/>
      <c r="BU1375" s="757"/>
      <c r="BV1375" s="757"/>
      <c r="BW1375" s="757"/>
      <c r="BX1375" s="757"/>
      <c r="BY1375" s="757"/>
      <c r="BZ1375" s="757"/>
      <c r="CA1375" s="757"/>
      <c r="CB1375" s="757"/>
      <c r="CC1375" s="757"/>
      <c r="CD1375" s="757"/>
      <c r="CE1375" s="757"/>
      <c r="CF1375" s="92"/>
      <c r="CG1375" s="459"/>
    </row>
    <row r="1376" spans="1:85" collapsed="1" x14ac:dyDescent="0.3">
      <c r="A1376" s="143" t="str">
        <f>"Stock Low: "&amp;IF(OR(MO.RealTimeStockPriceToggle=FALSE,VLOOKUP(MO.DataSourceName,MO_SPT_StockLow_Sources,COLUMN()+2,FALSE)="N/A"),"Real-Time Off Source",MO.DataSourceName)</f>
      </c>
      <c r="B1376" s="144"/>
      <c r="C1376" s="650">
        <f t="shared" ref="C1376:AH1376" si="2982">IF(OR(MO.RealTimeStockPriceToggle=FALSE,VLOOKUP(MO.DataSourceName,MO_SPT_StockLow_Sources,COLUMN(),FALSE)="N/A"),VLOOKUP("Real-Time Off Source",MO_SPT_StockLow_Sources,COLUMN(),FALSE),VLOOKUP(MO.DataSourceName,MO_SPT_StockLow_Sources,COLUMN(),FALSE))</f>
      </c>
      <c r="D1376" s="650">
        <f t="shared" si="2982"/>
      </c>
      <c r="E1376" s="144">
        <f t="shared" si="2982"/>
      </c>
      <c r="F1376" s="144">
        <f t="shared" si="2982"/>
      </c>
      <c r="G1376" s="144">
        <f t="shared" si="2982"/>
      </c>
      <c r="H1376" s="144">
        <f t="shared" si="2982"/>
      </c>
      <c r="I1376" s="144">
        <f t="shared" si="2982"/>
      </c>
      <c r="J1376" s="144">
        <f t="shared" si="2982"/>
      </c>
      <c r="K1376" s="144">
        <f t="shared" si="2982"/>
      </c>
      <c r="L1376" s="144">
        <f t="shared" si="2982"/>
      </c>
      <c r="M1376" s="144">
        <f t="shared" si="2982"/>
      </c>
      <c r="N1376" s="144">
        <f t="shared" si="2982"/>
      </c>
      <c r="O1376" s="144">
        <f t="shared" si="2982"/>
      </c>
      <c r="P1376" s="144">
        <f t="shared" si="2982"/>
      </c>
      <c r="Q1376" s="144">
        <f t="shared" si="2982"/>
      </c>
      <c r="R1376" s="144">
        <f t="shared" si="2982"/>
      </c>
      <c r="S1376" s="144">
        <f t="shared" si="2982"/>
      </c>
      <c r="T1376" s="144">
        <f t="shared" si="2982"/>
      </c>
      <c r="U1376" s="144">
        <f t="shared" si="2982"/>
      </c>
      <c r="V1376" s="144">
        <f t="shared" si="2982"/>
      </c>
      <c r="W1376" s="144">
        <f t="shared" si="2982"/>
      </c>
      <c r="X1376" s="144">
        <f t="shared" si="2982"/>
      </c>
      <c r="Y1376" s="144">
        <f t="shared" si="2982"/>
      </c>
      <c r="Z1376" s="144">
        <f t="shared" si="2982"/>
      </c>
      <c r="AA1376" s="144">
        <f t="shared" si="2982"/>
      </c>
      <c r="AB1376" s="144">
        <f t="shared" si="2982"/>
      </c>
      <c r="AC1376" s="144">
        <f t="shared" si="2982"/>
      </c>
      <c r="AD1376" s="144">
        <f t="shared" si="2982"/>
      </c>
      <c r="AE1376" s="144">
        <f t="shared" si="2982"/>
      </c>
      <c r="AF1376" s="144">
        <f t="shared" si="2982"/>
      </c>
      <c r="AG1376" s="144">
        <f t="shared" si="2982"/>
      </c>
      <c r="AH1376" s="144">
        <f t="shared" si="2982"/>
      </c>
      <c r="AI1376" s="144">
        <f t="shared" ref="AI1376:AW1376" si="2983">IF(OR(MO.RealTimeStockPriceToggle=FALSE,VLOOKUP(MO.DataSourceName,MO_SPT_StockLow_Sources,COLUMN(),FALSE)="N/A"),VLOOKUP("Real-Time Off Source",MO_SPT_StockLow_Sources,COLUMN(),FALSE),VLOOKUP(MO.DataSourceName,MO_SPT_StockLow_Sources,COLUMN(),FALSE))</f>
      </c>
      <c r="AJ1376" s="144">
        <f t="shared" si="2983"/>
      </c>
      <c r="AK1376" s="144">
        <f t="shared" si="2983"/>
      </c>
      <c r="AL1376" s="144">
        <f t="shared" si="2983"/>
      </c>
      <c r="AM1376" s="144">
        <f t="shared" si="2983"/>
      </c>
      <c r="AN1376" s="144">
        <f t="shared" si="2983"/>
      </c>
      <c r="AO1376" s="144">
        <f t="shared" si="2983"/>
      </c>
      <c r="AP1376" s="144">
        <f t="shared" si="2983"/>
      </c>
      <c r="AQ1376" s="144">
        <f t="shared" si="2983"/>
      </c>
      <c r="AR1376" s="144">
        <f t="shared" si="2983"/>
      </c>
      <c r="AS1376" s="144">
        <f t="shared" si="2983"/>
      </c>
      <c r="AT1376" s="144">
        <f t="shared" si="2983"/>
      </c>
      <c r="AU1376" s="144">
        <f t="shared" si="2983"/>
      </c>
      <c r="AV1376" s="144">
        <f t="shared" si="2983"/>
      </c>
      <c r="AW1376" s="144">
        <f t="shared" si="2983"/>
      </c>
      <c r="AX1376" s="144">
        <f t="shared" ref="AX1376:BD1376" si="2984">IF(OR(MO.RealTimeStockPriceToggle=FALSE,VLOOKUP(MO.DataSourceName,MO_SPT_StockLow_Sources,COLUMN(),FALSE)="N/A"),VLOOKUP("Real-Time Off Source",MO_SPT_StockLow_Sources,COLUMN(),FALSE),VLOOKUP(MO.DataSourceName,MO_SPT_StockLow_Sources,COLUMN(),FALSE))</f>
      </c>
      <c r="AY1376" s="144">
        <f t="shared" si="2984"/>
      </c>
      <c r="AZ1376" s="144">
        <f t="shared" si="2984"/>
      </c>
      <c r="BA1376" s="144">
        <f t="shared" si="2984"/>
      </c>
      <c r="BB1376" s="144">
        <f t="shared" si="2984"/>
      </c>
      <c r="BC1376" s="144">
        <f t="shared" si="2984"/>
      </c>
      <c r="BD1376" s="144">
        <f t="shared" si="2984"/>
      </c>
      <c r="BE1376" s="144">
        <f t="shared" ref="BE1376:BI1376" si="2985">IF(OR(MO.RealTimeStockPriceToggle=FALSE,VLOOKUP(MO.DataSourceName,MO_SPT_StockLow_Sources,COLUMN(),FALSE)="N/A"),VLOOKUP("Real-Time Off Source",MO_SPT_StockLow_Sources,COLUMN(),FALSE),VLOOKUP(MO.DataSourceName,MO_SPT_StockLow_Sources,COLUMN(),FALSE))</f>
      </c>
      <c r="BF1376" s="144">
        <f t="shared" si="2985"/>
      </c>
      <c r="BG1376" s="144">
        <f t="shared" si="2985"/>
      </c>
      <c r="BH1376" s="144">
        <f t="shared" si="2985"/>
      </c>
      <c r="BI1376" s="144">
        <f t="shared" si="2985"/>
      </c>
      <c r="BJ1376" s="144">
        <f t="shared" ref="BJ1376:BX1376" si="2986">IF(OR(MO.RealTimeStockPriceToggle=FALSE,VLOOKUP(MO.DataSourceName,MO_SPT_StockLow_Sources,COLUMN(),FALSE)="N/A"),VLOOKUP("Real-Time Off Source",MO_SPT_StockLow_Sources,COLUMN(),FALSE),VLOOKUP(MO.DataSourceName,MO_SPT_StockLow_Sources,COLUMN(),FALSE))</f>
      </c>
      <c r="BK1376" s="144">
        <f t="shared" si="2986"/>
      </c>
      <c r="BL1376" s="144">
        <f t="shared" si="2986"/>
      </c>
      <c r="BM1376" s="144">
        <f t="shared" si="2986"/>
      </c>
      <c r="BN1376" s="144">
        <f t="shared" si="2986"/>
      </c>
      <c r="BO1376" s="144">
        <f t="shared" ref="BO1376:BW1376" si="2987">IF(OR(MO.RealTimeStockPriceToggle=FALSE,VLOOKUP(MO.DataSourceName,MO_SPT_StockLow_Sources,COLUMN(),FALSE)="N/A"),VLOOKUP("Real-Time Off Source",MO_SPT_StockLow_Sources,COLUMN(),FALSE),VLOOKUP(MO.DataSourceName,MO_SPT_StockLow_Sources,COLUMN(),FALSE))</f>
      </c>
      <c r="BP1376" s="144">
        <f t="shared" si="2987"/>
      </c>
      <c r="BQ1376" s="144">
        <f t="shared" si="2987"/>
      </c>
      <c r="BR1376" s="144">
        <f t="shared" si="2987"/>
      </c>
      <c r="BS1376" s="144">
        <f t="shared" si="2987"/>
      </c>
      <c r="BT1376" s="301">
        <f>IF(OR(MO.RealTimeStockPriceToggle=FALSE,VLOOKUP(MO.DataSourceName,MO_SPT_StockLow_Sources,COLUMN(),FALSE)="N/A"),VLOOKUP("Real-Time Off Source",MO_SPT_StockLow_Sources,COLUMN(),FALSE),VLOOKUP(MO.DataSourceName,MO_SPT_StockLow_Sources,COLUMN(),FALSE))</f>
      </c>
      <c r="BU1376" s="144">
        <f t="shared" si="2987"/>
      </c>
      <c r="BV1376" s="144">
        <f t="shared" si="2987"/>
      </c>
      <c r="BW1376" s="144">
        <f t="shared" si="2987"/>
      </c>
      <c r="BX1376" s="144">
        <f t="shared" si="2986"/>
      </c>
      <c r="BY1376" s="144">
        <f t="shared" ref="BY1376:CF1376" si="2988">IF(OR(MO.RealTimeStockPriceToggle=FALSE,VLOOKUP(MO.DataSourceName,MO_SPT_StockLow_Sources,COLUMN(),FALSE)="N/A"),VLOOKUP("Real-Time Off Source",MO_SPT_StockLow_Sources,COLUMN(),FALSE),VLOOKUP(MO.DataSourceName,MO_SPT_StockLow_Sources,COLUMN(),FALSE))</f>
      </c>
      <c r="BZ1376" s="144">
        <f t="shared" si="2988"/>
      </c>
      <c r="CA1376" s="144">
        <f t="shared" si="2988"/>
      </c>
      <c r="CB1376" s="144">
        <f t="shared" si="2988"/>
      </c>
      <c r="CC1376" s="144">
        <f t="shared" si="2988"/>
      </c>
      <c r="CD1376" s="144">
        <f t="shared" si="2988"/>
      </c>
      <c r="CE1376" s="144">
        <f t="shared" si="2988"/>
      </c>
      <c r="CF1376" s="145">
        <f t="shared" si="2988"/>
      </c>
      <c r="CG1376" s="128"/>
    </row>
    <row r="1377" spans="1:85" hidden="1" outlineLevel="1" x14ac:dyDescent="0.3">
      <c r="A1377" s="146" t="s">
        <v>251</v>
      </c>
      <c r="B1377" s="144"/>
      <c r="C1377" s="916">
        <v>0.41114285714285698</v>
      </c>
      <c r="D1377" s="916">
        <v>0.69314285714285695</v>
      </c>
      <c r="E1377" s="917">
        <v>0.127285714285714</v>
      </c>
      <c r="F1377" s="917">
        <v>0.754428571428571</v>
      </c>
      <c r="G1377" s="917">
        <v>1.2955714285714299</v>
      </c>
      <c r="H1377" s="917">
        <v>2.27142857142857</v>
      </c>
      <c r="I1377" s="917">
        <v>3.0285714285714298</v>
      </c>
      <c r="J1377" s="917">
        <v>4.04</v>
      </c>
      <c r="K1377" s="917">
        <v>1.2955714285714299</v>
      </c>
      <c r="L1377" s="917">
        <v>4.5579999999999998</v>
      </c>
      <c r="M1377" s="917">
        <v>4.2789999999999999</v>
      </c>
      <c r="N1377" s="917">
        <v>5.8929999999999998</v>
      </c>
      <c r="O1377" s="917">
        <v>4.508</v>
      </c>
      <c r="P1377" s="917">
        <v>4.2789999999999999</v>
      </c>
      <c r="Q1377" s="917">
        <v>4.5259999999999998</v>
      </c>
      <c r="R1377" s="917">
        <v>5.8460000000000001</v>
      </c>
      <c r="S1377" s="917">
        <v>8.5500000000000007</v>
      </c>
      <c r="T1377" s="917">
        <v>9.6259999999999994</v>
      </c>
      <c r="U1377" s="917">
        <v>4.5259999999999998</v>
      </c>
      <c r="V1377" s="917">
        <v>7.9950000000000001</v>
      </c>
      <c r="W1377" s="917">
        <v>8.4809999999999999</v>
      </c>
      <c r="X1377" s="917">
        <v>8.4499999999999993</v>
      </c>
      <c r="Y1377" s="917">
        <v>9.7629999999999999</v>
      </c>
      <c r="Z1377" s="917">
        <v>7.9950000000000001</v>
      </c>
      <c r="AA1377" s="917">
        <v>12.430999999999999</v>
      </c>
      <c r="AB1377" s="917">
        <v>13.866</v>
      </c>
      <c r="AC1377" s="917">
        <v>14.425000000000001</v>
      </c>
      <c r="AD1377" s="917">
        <v>17.658000000000001</v>
      </c>
      <c r="AE1377" s="917">
        <v>12.430999999999999</v>
      </c>
      <c r="AF1377" s="917">
        <v>20.106999999999999</v>
      </c>
      <c r="AG1377" s="917">
        <v>28.029</v>
      </c>
      <c r="AH1377" s="917">
        <v>31.678000000000001</v>
      </c>
      <c r="AI1377" s="917">
        <v>23.388000000000002</v>
      </c>
      <c r="AJ1377" s="917">
        <v>20.106999999999999</v>
      </c>
      <c r="AK1377" s="917">
        <v>26.765999999999998</v>
      </c>
      <c r="AL1377" s="917">
        <v>33.662999999999997</v>
      </c>
      <c r="AM1377" s="917">
        <v>25.459</v>
      </c>
      <c r="AN1377" s="917">
        <v>26.669</v>
      </c>
      <c r="AO1377" s="917">
        <v>25.459</v>
      </c>
      <c r="AP1377" s="917">
        <v>29.884</v>
      </c>
      <c r="AQ1377" s="917">
        <v>36.176000000000002</v>
      </c>
      <c r="AR1377" s="917">
        <v>46.692999999999998</v>
      </c>
      <c r="AS1377" s="917">
        <v>47.05</v>
      </c>
      <c r="AT1377" s="917">
        <v>29.884</v>
      </c>
      <c r="AU1377" s="917">
        <v>49.332999999999998</v>
      </c>
      <c r="AV1377" s="917">
        <v>48.497999999999998</v>
      </c>
      <c r="AW1377" s="917">
        <v>51.072000000000003</v>
      </c>
      <c r="AX1377" s="917">
        <v>58.673000000000002</v>
      </c>
      <c r="AY1377" s="917">
        <v>48.497999999999998</v>
      </c>
      <c r="AZ1377" s="917">
        <v>33.100999999999999</v>
      </c>
      <c r="BA1377" s="917">
        <v>16.637</v>
      </c>
      <c r="BB1377" s="917">
        <v>17.445</v>
      </c>
      <c r="BC1377" s="917">
        <v>21.428999999999998</v>
      </c>
      <c r="BD1377" s="917">
        <v>16.637</v>
      </c>
      <c r="BE1377" s="917">
        <v>29.276</v>
      </c>
      <c r="BF1377" s="917">
        <v>31.754999999999999</v>
      </c>
      <c r="BG1377" s="917">
        <v>37.636000000000003</v>
      </c>
      <c r="BH1377" s="917">
        <v>34.619</v>
      </c>
      <c r="BI1377" s="917">
        <v>29.276</v>
      </c>
      <c r="BJ1377" s="917">
        <v>46.85</v>
      </c>
      <c r="BK1377" s="917">
        <v>55.064</v>
      </c>
      <c r="BL1377" s="917">
        <v>59.854999999999997</v>
      </c>
      <c r="BM1377" s="917">
        <v>68.765000000000001</v>
      </c>
      <c r="BN1377" s="917">
        <v>46.85</v>
      </c>
      <c r="BO1377" s="917">
        <v>82.84</v>
      </c>
      <c r="BP1377" s="917">
        <v>85.585999999999999</v>
      </c>
      <c r="BQ1377" s="917">
        <v>114.78700000000001</v>
      </c>
      <c r="BR1377" s="917">
        <v>92.71</v>
      </c>
      <c r="BS1377" s="917">
        <v>82.84</v>
      </c>
      <c r="BT1377" s="918">
        <v>75.86</v>
      </c>
      <c r="BU1377" s="144"/>
      <c r="BV1377" s="144"/>
      <c r="BW1377" s="144"/>
      <c r="BX1377" s="144"/>
      <c r="BY1377" s="144"/>
      <c r="BZ1377" s="144"/>
      <c r="CA1377" s="144"/>
      <c r="CB1377" s="144"/>
      <c r="CC1377" s="144"/>
      <c r="CD1377" s="144"/>
      <c r="CE1377" s="144"/>
      <c r="CF1377" s="145"/>
      <c r="CG1377" s="128"/>
    </row>
    <row r="1378" spans="1:85" hidden="1" outlineLevel="1" x14ac:dyDescent="0.3">
      <c r="A1378" s="146" t="s">
        <v>0</v>
      </c>
      <c r="B1378" s="144"/>
      <c r="C1378" s="650" t="s">
        <v>2431</v>
      </c>
      <c r="D1378" s="650" t="s">
        <v>2431</v>
      </c>
      <c r="E1378" s="144" t="s">
        <v>2431</v>
      </c>
      <c r="F1378" s="144" t="s">
        <v>2431</v>
      </c>
      <c r="G1378" s="144" t="s">
        <v>2431</v>
      </c>
      <c r="H1378" s="144" t="s">
        <v>2431</v>
      </c>
      <c r="I1378" s="144" t="s">
        <v>2431</v>
      </c>
      <c r="J1378" s="144" t="s">
        <v>2431</v>
      </c>
      <c r="K1378" s="144" t="s">
        <v>2431</v>
      </c>
      <c r="L1378" s="144" t="s">
        <v>2431</v>
      </c>
      <c r="M1378" s="144" t="s">
        <v>2431</v>
      </c>
      <c r="N1378" s="144" t="s">
        <v>2431</v>
      </c>
      <c r="O1378" s="144" t="s">
        <v>2431</v>
      </c>
      <c r="P1378" s="144" t="s">
        <v>2431</v>
      </c>
      <c r="Q1378" s="144" t="s">
        <v>2431</v>
      </c>
      <c r="R1378" s="144" t="s">
        <v>2431</v>
      </c>
      <c r="S1378" s="144" t="s">
        <v>2431</v>
      </c>
      <c r="T1378" s="144" t="s">
        <v>2431</v>
      </c>
      <c r="U1378" s="144" t="s">
        <v>2431</v>
      </c>
      <c r="V1378" s="144" t="s">
        <v>2431</v>
      </c>
      <c r="W1378" s="144" t="s">
        <v>2431</v>
      </c>
      <c r="X1378" s="144" t="s">
        <v>2431</v>
      </c>
      <c r="Y1378" s="144" t="s">
        <v>2431</v>
      </c>
      <c r="Z1378" s="144" t="s">
        <v>2431</v>
      </c>
      <c r="AA1378" s="144" t="s">
        <v>2431</v>
      </c>
      <c r="AB1378" s="144" t="s">
        <v>2431</v>
      </c>
      <c r="AC1378" s="144" t="s">
        <v>2431</v>
      </c>
      <c r="AD1378" s="144" t="s">
        <v>2431</v>
      </c>
      <c r="AE1378" s="144" t="s">
        <v>2431</v>
      </c>
      <c r="AF1378" s="144" t="s">
        <v>2431</v>
      </c>
      <c r="AG1378" s="144" t="s">
        <v>2431</v>
      </c>
      <c r="AH1378" s="144" t="s">
        <v>2431</v>
      </c>
      <c r="AI1378" s="144" t="s">
        <v>2431</v>
      </c>
      <c r="AJ1378" s="144" t="s">
        <v>2431</v>
      </c>
      <c r="AK1378" s="144" t="s">
        <v>2431</v>
      </c>
      <c r="AL1378" s="144" t="s">
        <v>2431</v>
      </c>
      <c r="AM1378" s="144" t="s">
        <v>2431</v>
      </c>
      <c r="AN1378" s="144" t="s">
        <v>2431</v>
      </c>
      <c r="AO1378" s="144" t="s">
        <v>2431</v>
      </c>
      <c r="AP1378" s="144" t="s">
        <v>2431</v>
      </c>
      <c r="AQ1378" s="144" t="s">
        <v>2431</v>
      </c>
      <c r="AR1378" s="144" t="s">
        <v>2431</v>
      </c>
      <c r="AS1378" s="144" t="s">
        <v>2431</v>
      </c>
      <c r="AT1378" s="144" t="s">
        <v>2431</v>
      </c>
      <c r="AU1378" s="144" t="s">
        <v>2431</v>
      </c>
      <c r="AV1378" s="144" t="s">
        <v>2431</v>
      </c>
      <c r="AW1378" s="144" t="s">
        <v>2431</v>
      </c>
      <c r="AX1378" s="144" t="s">
        <v>2431</v>
      </c>
      <c r="AY1378" s="144" t="s">
        <v>2431</v>
      </c>
      <c r="AZ1378" s="144" t="s">
        <v>2431</v>
      </c>
      <c r="BA1378" s="144" t="s">
        <v>2431</v>
      </c>
      <c r="BB1378" s="144" t="s">
        <v>2431</v>
      </c>
      <c r="BC1378" s="144" t="s">
        <v>2431</v>
      </c>
      <c r="BD1378" s="144" t="s">
        <v>2431</v>
      </c>
      <c r="BE1378" s="144" t="s">
        <v>2431</v>
      </c>
      <c r="BF1378" s="144" t="s">
        <v>2431</v>
      </c>
      <c r="BG1378" s="144" t="s">
        <v>2431</v>
      </c>
      <c r="BH1378" s="144" t="s">
        <v>2431</v>
      </c>
      <c r="BI1378" s="144" t="s">
        <v>2431</v>
      </c>
      <c r="BJ1378" s="144" t="s">
        <v>2431</v>
      </c>
      <c r="BK1378" s="144" t="s">
        <v>2431</v>
      </c>
      <c r="BL1378" s="144" t="s">
        <v>2431</v>
      </c>
      <c r="BM1378" s="144" t="s">
        <v>2431</v>
      </c>
      <c r="BN1378" s="144" t="s">
        <v>2431</v>
      </c>
      <c r="BO1378" s="144" t="s">
        <v>2431</v>
      </c>
      <c r="BP1378" s="144" t="s">
        <v>2431</v>
      </c>
      <c r="BQ1378" s="144" t="s">
        <v>2431</v>
      </c>
      <c r="BR1378" s="144" t="s">
        <v>2431</v>
      </c>
      <c r="BS1378" s="144" t="s">
        <v>2431</v>
      </c>
      <c r="BT1378" s="301" t="s">
        <v>2431</v>
      </c>
      <c r="BU1378" s="144" t="s">
        <v>2431</v>
      </c>
      <c r="BV1378" s="144" t="s">
        <v>2431</v>
      </c>
      <c r="BW1378" s="144" t="s">
        <v>2431</v>
      </c>
      <c r="BX1378" s="144" t="s">
        <v>2431</v>
      </c>
      <c r="BY1378" s="144" t="s">
        <v>2431</v>
      </c>
      <c r="BZ1378" s="144" t="s">
        <v>2431</v>
      </c>
      <c r="CA1378" s="144" t="s">
        <v>2431</v>
      </c>
      <c r="CB1378" s="144" t="s">
        <v>2431</v>
      </c>
      <c r="CC1378" s="144" t="s">
        <v>2431</v>
      </c>
      <c r="CD1378" s="144" t="s">
        <v>2431</v>
      </c>
      <c r="CE1378" s="144" t="s">
        <v>2431</v>
      </c>
      <c r="CF1378" s="145" t="s">
        <v>2431</v>
      </c>
      <c r="CG1378" s="128"/>
    </row>
    <row r="1379" spans="1:85" hidden="1" outlineLevel="1" x14ac:dyDescent="0.3">
      <c r="A1379" s="146" t="s">
        <v>252</v>
      </c>
      <c r="B1379" s="144"/>
      <c r="C1379" s="650" t="s">
        <v>2431</v>
      </c>
      <c r="D1379" s="650" t="s">
        <v>2431</v>
      </c>
      <c r="E1379" s="144" t="s">
        <v>2431</v>
      </c>
      <c r="F1379" s="144" t="s">
        <v>2431</v>
      </c>
      <c r="G1379" s="144" t="s">
        <v>2431</v>
      </c>
      <c r="H1379" s="144" t="s">
        <v>2431</v>
      </c>
      <c r="I1379" s="144" t="s">
        <v>2431</v>
      </c>
      <c r="J1379" s="144" t="s">
        <v>2431</v>
      </c>
      <c r="K1379" s="144" t="s">
        <v>2431</v>
      </c>
      <c r="L1379" s="144" t="s">
        <v>2431</v>
      </c>
      <c r="M1379" s="144" t="s">
        <v>2431</v>
      </c>
      <c r="N1379" s="144" t="s">
        <v>2431</v>
      </c>
      <c r="O1379" s="144" t="s">
        <v>2431</v>
      </c>
      <c r="P1379" s="144" t="s">
        <v>2431</v>
      </c>
      <c r="Q1379" s="144" t="s">
        <v>2431</v>
      </c>
      <c r="R1379" s="144" t="s">
        <v>2431</v>
      </c>
      <c r="S1379" s="144" t="s">
        <v>2431</v>
      </c>
      <c r="T1379" s="144" t="s">
        <v>2431</v>
      </c>
      <c r="U1379" s="144" t="s">
        <v>2431</v>
      </c>
      <c r="V1379" s="144" t="s">
        <v>2431</v>
      </c>
      <c r="W1379" s="144" t="s">
        <v>2431</v>
      </c>
      <c r="X1379" s="144" t="s">
        <v>2431</v>
      </c>
      <c r="Y1379" s="144" t="s">
        <v>2431</v>
      </c>
      <c r="Z1379" s="144" t="s">
        <v>2431</v>
      </c>
      <c r="AA1379" s="144" t="s">
        <v>2431</v>
      </c>
      <c r="AB1379" s="144" t="s">
        <v>2431</v>
      </c>
      <c r="AC1379" s="144" t="s">
        <v>2431</v>
      </c>
      <c r="AD1379" s="144" t="s">
        <v>2431</v>
      </c>
      <c r="AE1379" s="144" t="s">
        <v>2431</v>
      </c>
      <c r="AF1379" s="144" t="s">
        <v>2431</v>
      </c>
      <c r="AG1379" s="144" t="s">
        <v>2431</v>
      </c>
      <c r="AH1379" s="144" t="s">
        <v>2431</v>
      </c>
      <c r="AI1379" s="144" t="s">
        <v>2431</v>
      </c>
      <c r="AJ1379" s="144" t="s">
        <v>2431</v>
      </c>
      <c r="AK1379" s="144" t="s">
        <v>2431</v>
      </c>
      <c r="AL1379" s="144" t="s">
        <v>2431</v>
      </c>
      <c r="AM1379" s="144" t="s">
        <v>2431</v>
      </c>
      <c r="AN1379" s="144" t="s">
        <v>2431</v>
      </c>
      <c r="AO1379" s="144" t="s">
        <v>2431</v>
      </c>
      <c r="AP1379" s="144" t="s">
        <v>2431</v>
      </c>
      <c r="AQ1379" s="144" t="s">
        <v>2431</v>
      </c>
      <c r="AR1379" s="144" t="s">
        <v>2431</v>
      </c>
      <c r="AS1379" s="144" t="s">
        <v>2431</v>
      </c>
      <c r="AT1379" s="144" t="s">
        <v>2431</v>
      </c>
      <c r="AU1379" s="144" t="s">
        <v>2431</v>
      </c>
      <c r="AV1379" s="144" t="s">
        <v>2431</v>
      </c>
      <c r="AW1379" s="144" t="s">
        <v>2431</v>
      </c>
      <c r="AX1379" s="144" t="s">
        <v>2431</v>
      </c>
      <c r="AY1379" s="144" t="s">
        <v>2431</v>
      </c>
      <c r="AZ1379" s="144" t="s">
        <v>2431</v>
      </c>
      <c r="BA1379" s="144" t="s">
        <v>2431</v>
      </c>
      <c r="BB1379" s="144" t="s">
        <v>2431</v>
      </c>
      <c r="BC1379" s="144" t="s">
        <v>2431</v>
      </c>
      <c r="BD1379" s="144" t="s">
        <v>2431</v>
      </c>
      <c r="BE1379" s="144" t="s">
        <v>2431</v>
      </c>
      <c r="BF1379" s="144" t="s">
        <v>2431</v>
      </c>
      <c r="BG1379" s="144" t="s">
        <v>2431</v>
      </c>
      <c r="BH1379" s="144" t="s">
        <v>2431</v>
      </c>
      <c r="BI1379" s="144" t="s">
        <v>2431</v>
      </c>
      <c r="BJ1379" s="144" t="s">
        <v>2431</v>
      </c>
      <c r="BK1379" s="144" t="s">
        <v>2431</v>
      </c>
      <c r="BL1379" s="144" t="s">
        <v>2431</v>
      </c>
      <c r="BM1379" s="144" t="s">
        <v>2431</v>
      </c>
      <c r="BN1379" s="144" t="s">
        <v>2431</v>
      </c>
      <c r="BO1379" s="144" t="s">
        <v>2431</v>
      </c>
      <c r="BP1379" s="144" t="s">
        <v>2431</v>
      </c>
      <c r="BQ1379" s="144" t="s">
        <v>2431</v>
      </c>
      <c r="BR1379" s="144" t="s">
        <v>2431</v>
      </c>
      <c r="BS1379" s="144" t="s">
        <v>2431</v>
      </c>
      <c r="BT1379" s="301" t="s">
        <v>2431</v>
      </c>
      <c r="BU1379" s="144" t="s">
        <v>2431</v>
      </c>
      <c r="BV1379" s="144" t="s">
        <v>2431</v>
      </c>
      <c r="BW1379" s="144" t="s">
        <v>2431</v>
      </c>
      <c r="BX1379" s="144" t="s">
        <v>2431</v>
      </c>
      <c r="BY1379" s="144" t="s">
        <v>2431</v>
      </c>
      <c r="BZ1379" s="144" t="s">
        <v>2431</v>
      </c>
      <c r="CA1379" s="144" t="s">
        <v>2431</v>
      </c>
      <c r="CB1379" s="144" t="s">
        <v>2431</v>
      </c>
      <c r="CC1379" s="144" t="s">
        <v>2431</v>
      </c>
      <c r="CD1379" s="144" t="s">
        <v>2431</v>
      </c>
      <c r="CE1379" s="144" t="s">
        <v>2431</v>
      </c>
      <c r="CF1379" s="145" t="s">
        <v>2431</v>
      </c>
      <c r="CG1379" s="128"/>
    </row>
    <row r="1380" spans="1:85" hidden="1" outlineLevel="1" x14ac:dyDescent="0.3">
      <c r="A1380" s="146" t="s">
        <v>253</v>
      </c>
      <c r="B1380" s="144"/>
      <c r="C1380" s="650" t="s">
        <v>2431</v>
      </c>
      <c r="D1380" s="650" t="s">
        <v>2431</v>
      </c>
      <c r="E1380" s="144" t="s">
        <v>2431</v>
      </c>
      <c r="F1380" s="144" t="s">
        <v>2431</v>
      </c>
      <c r="G1380" s="144" t="s">
        <v>2431</v>
      </c>
      <c r="H1380" s="144" t="s">
        <v>2431</v>
      </c>
      <c r="I1380" s="144" t="s">
        <v>2431</v>
      </c>
      <c r="J1380" s="144" t="s">
        <v>2431</v>
      </c>
      <c r="K1380" s="144" t="s">
        <v>2431</v>
      </c>
      <c r="L1380" s="144" t="s">
        <v>2431</v>
      </c>
      <c r="M1380" s="144" t="s">
        <v>2431</v>
      </c>
      <c r="N1380" s="144" t="s">
        <v>2431</v>
      </c>
      <c r="O1380" s="144" t="s">
        <v>2431</v>
      </c>
      <c r="P1380" s="144" t="s">
        <v>2431</v>
      </c>
      <c r="Q1380" s="144" t="s">
        <v>2431</v>
      </c>
      <c r="R1380" s="144" t="s">
        <v>2431</v>
      </c>
      <c r="S1380" s="144" t="s">
        <v>2431</v>
      </c>
      <c r="T1380" s="144" t="s">
        <v>2431</v>
      </c>
      <c r="U1380" s="144" t="s">
        <v>2431</v>
      </c>
      <c r="V1380" s="144" t="s">
        <v>2431</v>
      </c>
      <c r="W1380" s="144" t="s">
        <v>2431</v>
      </c>
      <c r="X1380" s="144" t="s">
        <v>2431</v>
      </c>
      <c r="Y1380" s="144" t="s">
        <v>2431</v>
      </c>
      <c r="Z1380" s="144" t="s">
        <v>2431</v>
      </c>
      <c r="AA1380" s="144" t="s">
        <v>2431</v>
      </c>
      <c r="AB1380" s="144" t="s">
        <v>2431</v>
      </c>
      <c r="AC1380" s="144" t="s">
        <v>2431</v>
      </c>
      <c r="AD1380" s="144" t="s">
        <v>2431</v>
      </c>
      <c r="AE1380" s="144" t="s">
        <v>2431</v>
      </c>
      <c r="AF1380" s="144" t="s">
        <v>2431</v>
      </c>
      <c r="AG1380" s="144" t="s">
        <v>2431</v>
      </c>
      <c r="AH1380" s="144" t="s">
        <v>2431</v>
      </c>
      <c r="AI1380" s="144" t="s">
        <v>2431</v>
      </c>
      <c r="AJ1380" s="144" t="s">
        <v>2431</v>
      </c>
      <c r="AK1380" s="144" t="s">
        <v>2431</v>
      </c>
      <c r="AL1380" s="144" t="s">
        <v>2431</v>
      </c>
      <c r="AM1380" s="144" t="s">
        <v>2431</v>
      </c>
      <c r="AN1380" s="144" t="s">
        <v>2431</v>
      </c>
      <c r="AO1380" s="144" t="s">
        <v>2431</v>
      </c>
      <c r="AP1380" s="144" t="s">
        <v>2431</v>
      </c>
      <c r="AQ1380" s="144" t="s">
        <v>2431</v>
      </c>
      <c r="AR1380" s="144" t="s">
        <v>2431</v>
      </c>
      <c r="AS1380" s="144" t="s">
        <v>2431</v>
      </c>
      <c r="AT1380" s="144" t="s">
        <v>2431</v>
      </c>
      <c r="AU1380" s="144" t="s">
        <v>2431</v>
      </c>
      <c r="AV1380" s="144" t="s">
        <v>2431</v>
      </c>
      <c r="AW1380" s="144" t="s">
        <v>2431</v>
      </c>
      <c r="AX1380" s="144" t="s">
        <v>2431</v>
      </c>
      <c r="AY1380" s="144" t="s">
        <v>2431</v>
      </c>
      <c r="AZ1380" s="144" t="s">
        <v>2431</v>
      </c>
      <c r="BA1380" s="144" t="s">
        <v>2431</v>
      </c>
      <c r="BB1380" s="144" t="s">
        <v>2431</v>
      </c>
      <c r="BC1380" s="144" t="s">
        <v>2431</v>
      </c>
      <c r="BD1380" s="144" t="s">
        <v>2431</v>
      </c>
      <c r="BE1380" s="144" t="s">
        <v>2431</v>
      </c>
      <c r="BF1380" s="144" t="s">
        <v>2431</v>
      </c>
      <c r="BG1380" s="144" t="s">
        <v>2431</v>
      </c>
      <c r="BH1380" s="144" t="s">
        <v>2431</v>
      </c>
      <c r="BI1380" s="144" t="s">
        <v>2431</v>
      </c>
      <c r="BJ1380" s="144" t="s">
        <v>2431</v>
      </c>
      <c r="BK1380" s="144" t="s">
        <v>2431</v>
      </c>
      <c r="BL1380" s="144" t="s">
        <v>2431</v>
      </c>
      <c r="BM1380" s="144" t="s">
        <v>2431</v>
      </c>
      <c r="BN1380" s="144" t="s">
        <v>2431</v>
      </c>
      <c r="BO1380" s="144" t="s">
        <v>2431</v>
      </c>
      <c r="BP1380" s="144" t="s">
        <v>2431</v>
      </c>
      <c r="BQ1380" s="144" t="s">
        <v>2431</v>
      </c>
      <c r="BR1380" s="144" t="s">
        <v>2431</v>
      </c>
      <c r="BS1380" s="144" t="s">
        <v>2431</v>
      </c>
      <c r="BT1380" s="301" t="s">
        <v>2431</v>
      </c>
      <c r="BU1380" s="144" t="s">
        <v>2431</v>
      </c>
      <c r="BV1380" s="144" t="s">
        <v>2431</v>
      </c>
      <c r="BW1380" s="144" t="s">
        <v>2431</v>
      </c>
      <c r="BX1380" s="144" t="s">
        <v>2431</v>
      </c>
      <c r="BY1380" s="144" t="s">
        <v>2431</v>
      </c>
      <c r="BZ1380" s="144" t="s">
        <v>2431</v>
      </c>
      <c r="CA1380" s="144" t="s">
        <v>2431</v>
      </c>
      <c r="CB1380" s="144" t="s">
        <v>2431</v>
      </c>
      <c r="CC1380" s="144" t="s">
        <v>2431</v>
      </c>
      <c r="CD1380" s="144" t="s">
        <v>2431</v>
      </c>
      <c r="CE1380" s="144" t="s">
        <v>2431</v>
      </c>
      <c r="CF1380" s="145" t="s">
        <v>2431</v>
      </c>
      <c r="CG1380" s="128"/>
    </row>
    <row r="1381" spans="1:85" hidden="1" outlineLevel="1" x14ac:dyDescent="0.3">
      <c r="A1381" s="146" t="s">
        <v>503</v>
      </c>
      <c r="B1381" s="144"/>
      <c r="C1381" s="650" t="s">
        <v>2431</v>
      </c>
      <c r="D1381" s="650" t="s">
        <v>2431</v>
      </c>
      <c r="E1381" s="144" t="s">
        <v>2431</v>
      </c>
      <c r="F1381" s="144" t="s">
        <v>2431</v>
      </c>
      <c r="G1381" s="144" t="s">
        <v>2431</v>
      </c>
      <c r="H1381" s="144" t="s">
        <v>2431</v>
      </c>
      <c r="I1381" s="144" t="s">
        <v>2431</v>
      </c>
      <c r="J1381" s="144" t="s">
        <v>2431</v>
      </c>
      <c r="K1381" s="144" t="s">
        <v>2431</v>
      </c>
      <c r="L1381" s="144" t="s">
        <v>2431</v>
      </c>
      <c r="M1381" s="144" t="s">
        <v>2431</v>
      </c>
      <c r="N1381" s="144" t="s">
        <v>2431</v>
      </c>
      <c r="O1381" s="144" t="s">
        <v>2431</v>
      </c>
      <c r="P1381" s="144" t="s">
        <v>2431</v>
      </c>
      <c r="Q1381" s="144" t="s">
        <v>2431</v>
      </c>
      <c r="R1381" s="144" t="s">
        <v>2431</v>
      </c>
      <c r="S1381" s="144" t="s">
        <v>2431</v>
      </c>
      <c r="T1381" s="144" t="s">
        <v>2431</v>
      </c>
      <c r="U1381" s="144" t="s">
        <v>2431</v>
      </c>
      <c r="V1381" s="144" t="s">
        <v>2431</v>
      </c>
      <c r="W1381" s="144" t="s">
        <v>2431</v>
      </c>
      <c r="X1381" s="144" t="s">
        <v>2431</v>
      </c>
      <c r="Y1381" s="144" t="s">
        <v>2431</v>
      </c>
      <c r="Z1381" s="144" t="s">
        <v>2431</v>
      </c>
      <c r="AA1381" s="144" t="s">
        <v>2431</v>
      </c>
      <c r="AB1381" s="144" t="s">
        <v>2431</v>
      </c>
      <c r="AC1381" s="144" t="s">
        <v>2431</v>
      </c>
      <c r="AD1381" s="144" t="s">
        <v>2431</v>
      </c>
      <c r="AE1381" s="144" t="s">
        <v>2431</v>
      </c>
      <c r="AF1381" s="144" t="s">
        <v>2431</v>
      </c>
      <c r="AG1381" s="144" t="s">
        <v>2431</v>
      </c>
      <c r="AH1381" s="144" t="s">
        <v>2431</v>
      </c>
      <c r="AI1381" s="144" t="s">
        <v>2431</v>
      </c>
      <c r="AJ1381" s="144" t="s">
        <v>2431</v>
      </c>
      <c r="AK1381" s="144" t="s">
        <v>2431</v>
      </c>
      <c r="AL1381" s="144" t="s">
        <v>2431</v>
      </c>
      <c r="AM1381" s="144" t="s">
        <v>2431</v>
      </c>
      <c r="AN1381" s="144" t="s">
        <v>2431</v>
      </c>
      <c r="AO1381" s="144" t="s">
        <v>2431</v>
      </c>
      <c r="AP1381" s="144" t="s">
        <v>2431</v>
      </c>
      <c r="AQ1381" s="144" t="s">
        <v>2431</v>
      </c>
      <c r="AR1381" s="144" t="s">
        <v>2431</v>
      </c>
      <c r="AS1381" s="144" t="s">
        <v>2431</v>
      </c>
      <c r="AT1381" s="144" t="s">
        <v>2431</v>
      </c>
      <c r="AU1381" s="144" t="s">
        <v>2431</v>
      </c>
      <c r="AV1381" s="144" t="s">
        <v>2431</v>
      </c>
      <c r="AW1381" s="144" t="s">
        <v>2431</v>
      </c>
      <c r="AX1381" s="144" t="s">
        <v>2431</v>
      </c>
      <c r="AY1381" s="144" t="s">
        <v>2431</v>
      </c>
      <c r="AZ1381" s="144" t="s">
        <v>2431</v>
      </c>
      <c r="BA1381" s="144" t="s">
        <v>2431</v>
      </c>
      <c r="BB1381" s="144" t="s">
        <v>2431</v>
      </c>
      <c r="BC1381" s="144" t="s">
        <v>2431</v>
      </c>
      <c r="BD1381" s="144" t="s">
        <v>2431</v>
      </c>
      <c r="BE1381" s="144" t="s">
        <v>2431</v>
      </c>
      <c r="BF1381" s="144" t="s">
        <v>2431</v>
      </c>
      <c r="BG1381" s="144" t="s">
        <v>2431</v>
      </c>
      <c r="BH1381" s="144" t="s">
        <v>2431</v>
      </c>
      <c r="BI1381" s="144" t="s">
        <v>2431</v>
      </c>
      <c r="BJ1381" s="144" t="s">
        <v>2431</v>
      </c>
      <c r="BK1381" s="144" t="s">
        <v>2431</v>
      </c>
      <c r="BL1381" s="144" t="s">
        <v>2431</v>
      </c>
      <c r="BM1381" s="144" t="s">
        <v>2431</v>
      </c>
      <c r="BN1381" s="144" t="s">
        <v>2431</v>
      </c>
      <c r="BO1381" s="144" t="s">
        <v>2431</v>
      </c>
      <c r="BP1381" s="144" t="s">
        <v>2431</v>
      </c>
      <c r="BQ1381" s="144" t="s">
        <v>2431</v>
      </c>
      <c r="BR1381" s="144" t="s">
        <v>2431</v>
      </c>
      <c r="BS1381" s="144" t="s">
        <v>2431</v>
      </c>
      <c r="BT1381" s="301" t="s">
        <v>2431</v>
      </c>
      <c r="BU1381" s="144" t="s">
        <v>2431</v>
      </c>
      <c r="BV1381" s="144" t="s">
        <v>2431</v>
      </c>
      <c r="BW1381" s="144" t="s">
        <v>2431</v>
      </c>
      <c r="BX1381" s="144" t="s">
        <v>2431</v>
      </c>
      <c r="BY1381" s="144" t="s">
        <v>2431</v>
      </c>
      <c r="BZ1381" s="144" t="s">
        <v>2431</v>
      </c>
      <c r="CA1381" s="144" t="s">
        <v>2431</v>
      </c>
      <c r="CB1381" s="144" t="s">
        <v>2431</v>
      </c>
      <c r="CC1381" s="144" t="s">
        <v>2431</v>
      </c>
      <c r="CD1381" s="144" t="s">
        <v>2431</v>
      </c>
      <c r="CE1381" s="144" t="s">
        <v>2431</v>
      </c>
      <c r="CF1381" s="145" t="s">
        <v>2431</v>
      </c>
      <c r="CG1381" s="128"/>
    </row>
    <row r="1382" spans="1:85" hidden="1" outlineLevel="1" x14ac:dyDescent="0.3">
      <c r="A1382" s="93"/>
      <c r="B1382" s="757"/>
      <c r="C1382" s="640"/>
      <c r="D1382" s="640"/>
      <c r="E1382" s="757"/>
      <c r="F1382" s="757"/>
      <c r="G1382" s="757"/>
      <c r="H1382" s="757"/>
      <c r="I1382" s="757"/>
      <c r="J1382" s="757"/>
      <c r="K1382" s="757"/>
      <c r="L1382" s="757"/>
      <c r="M1382" s="757"/>
      <c r="N1382" s="757"/>
      <c r="O1382" s="757"/>
      <c r="P1382" s="757"/>
      <c r="Q1382" s="757"/>
      <c r="R1382" s="757"/>
      <c r="S1382" s="757"/>
      <c r="T1382" s="757"/>
      <c r="U1382" s="757"/>
      <c r="V1382" s="757"/>
      <c r="W1382" s="757"/>
      <c r="X1382" s="757"/>
      <c r="Y1382" s="757"/>
      <c r="Z1382" s="757"/>
      <c r="AA1382" s="757"/>
      <c r="AB1382" s="757"/>
      <c r="AC1382" s="757"/>
      <c r="AD1382" s="757"/>
      <c r="AE1382" s="757"/>
      <c r="AF1382" s="757"/>
      <c r="AG1382" s="757"/>
      <c r="AH1382" s="757"/>
      <c r="AI1382" s="757"/>
      <c r="AJ1382" s="757"/>
      <c r="AK1382" s="757"/>
      <c r="AL1382" s="757"/>
      <c r="AM1382" s="757"/>
      <c r="AN1382" s="757"/>
      <c r="AO1382" s="757"/>
      <c r="AP1382" s="757"/>
      <c r="AQ1382" s="757"/>
      <c r="AR1382" s="757"/>
      <c r="AS1382" s="757"/>
      <c r="AT1382" s="757"/>
      <c r="AU1382" s="757"/>
      <c r="AV1382" s="757"/>
      <c r="AW1382" s="757"/>
      <c r="AX1382" s="757"/>
      <c r="AY1382" s="757"/>
      <c r="AZ1382" s="757"/>
      <c r="BA1382" s="757"/>
      <c r="BB1382" s="757"/>
      <c r="BC1382" s="757"/>
      <c r="BD1382" s="757"/>
      <c r="BE1382" s="757"/>
      <c r="BF1382" s="757"/>
      <c r="BG1382" s="757"/>
      <c r="BH1382" s="757"/>
      <c r="BI1382" s="757"/>
      <c r="BJ1382" s="757"/>
      <c r="BK1382" s="757"/>
      <c r="BL1382" s="757"/>
      <c r="BM1382" s="757"/>
      <c r="BN1382" s="757"/>
      <c r="BO1382" s="757"/>
      <c r="BP1382" s="757"/>
      <c r="BQ1382" s="757"/>
      <c r="BR1382" s="757"/>
      <c r="BS1382" s="757"/>
      <c r="BT1382" s="758"/>
      <c r="BU1382" s="757"/>
      <c r="BV1382" s="757"/>
      <c r="BW1382" s="757"/>
      <c r="BX1382" s="757"/>
      <c r="BY1382" s="757"/>
      <c r="BZ1382" s="757"/>
      <c r="CA1382" s="757"/>
      <c r="CB1382" s="757"/>
      <c r="CC1382" s="757"/>
      <c r="CD1382" s="757"/>
      <c r="CE1382" s="757"/>
      <c r="CF1382" s="92"/>
      <c r="CG1382" s="459"/>
    </row>
    <row r="1383" spans="1:85" collapsed="1" x14ac:dyDescent="0.3">
      <c r="A1383" s="143" t="str">
        <f>"Stock Average: "&amp;IF(OR(MO.RealTimeStockPriceToggle=FALSE,VLOOKUP(MO.DataSourceName,MO_SPT_StockAverage_Sources,COLUMN()+2,FALSE)="N/A"),"Real-Time Off Source",MO.DataSourceName)</f>
      </c>
      <c r="B1383" s="144"/>
      <c r="C1383" s="650">
        <f t="shared" ref="C1383:AH1383" si="2989">IF(OR(MO.RealTimeStockPriceToggle=FALSE,VLOOKUP(MO.DataSourceName,MO_SPT_StockAverage_Sources,COLUMN(),FALSE)="N/A"),VLOOKUP("Real-Time Off Source",MO_SPT_StockAverage_Sources,COLUMN(),FALSE),VLOOKUP(MO.DataSourceName,MO_SPT_StockAverage_Sources,COLUMN(),FALSE))</f>
      </c>
      <c r="D1383" s="650">
        <f t="shared" si="2989"/>
      </c>
      <c r="E1383" s="144">
        <f t="shared" si="2989"/>
      </c>
      <c r="F1383" s="144">
        <f t="shared" si="2989"/>
      </c>
      <c r="G1383" s="144">
        <f t="shared" si="2989"/>
      </c>
      <c r="H1383" s="144">
        <f t="shared" si="2989"/>
      </c>
      <c r="I1383" s="144">
        <f t="shared" si="2989"/>
      </c>
      <c r="J1383" s="144">
        <f t="shared" si="2989"/>
      </c>
      <c r="K1383" s="144">
        <f t="shared" si="2989"/>
      </c>
      <c r="L1383" s="144">
        <f t="shared" si="2989"/>
      </c>
      <c r="M1383" s="144">
        <f t="shared" si="2989"/>
      </c>
      <c r="N1383" s="144">
        <f t="shared" si="2989"/>
      </c>
      <c r="O1383" s="144">
        <f t="shared" si="2989"/>
      </c>
      <c r="P1383" s="144">
        <f t="shared" si="2989"/>
      </c>
      <c r="Q1383" s="144">
        <f t="shared" si="2989"/>
      </c>
      <c r="R1383" s="144">
        <f t="shared" si="2989"/>
      </c>
      <c r="S1383" s="144">
        <f t="shared" si="2989"/>
      </c>
      <c r="T1383" s="144">
        <f t="shared" si="2989"/>
      </c>
      <c r="U1383" s="144">
        <f t="shared" si="2989"/>
      </c>
      <c r="V1383" s="144">
        <f t="shared" si="2989"/>
      </c>
      <c r="W1383" s="144">
        <f t="shared" si="2989"/>
      </c>
      <c r="X1383" s="144">
        <f t="shared" si="2989"/>
      </c>
      <c r="Y1383" s="144">
        <f t="shared" si="2989"/>
      </c>
      <c r="Z1383" s="144">
        <f t="shared" si="2989"/>
      </c>
      <c r="AA1383" s="144">
        <f t="shared" si="2989"/>
      </c>
      <c r="AB1383" s="144">
        <f t="shared" si="2989"/>
      </c>
      <c r="AC1383" s="144">
        <f t="shared" si="2989"/>
      </c>
      <c r="AD1383" s="144">
        <f t="shared" si="2989"/>
      </c>
      <c r="AE1383" s="144">
        <f t="shared" si="2989"/>
      </c>
      <c r="AF1383" s="144">
        <f t="shared" si="2989"/>
      </c>
      <c r="AG1383" s="144">
        <f t="shared" si="2989"/>
      </c>
      <c r="AH1383" s="144">
        <f t="shared" si="2989"/>
      </c>
      <c r="AI1383" s="144">
        <f t="shared" ref="AI1383:AW1383" si="2990">IF(OR(MO.RealTimeStockPriceToggle=FALSE,VLOOKUP(MO.DataSourceName,MO_SPT_StockAverage_Sources,COLUMN(),FALSE)="N/A"),VLOOKUP("Real-Time Off Source",MO_SPT_StockAverage_Sources,COLUMN(),FALSE),VLOOKUP(MO.DataSourceName,MO_SPT_StockAverage_Sources,COLUMN(),FALSE))</f>
      </c>
      <c r="AJ1383" s="144">
        <f t="shared" si="2990"/>
      </c>
      <c r="AK1383" s="144">
        <f t="shared" si="2990"/>
      </c>
      <c r="AL1383" s="144">
        <f t="shared" si="2990"/>
      </c>
      <c r="AM1383" s="144">
        <f t="shared" si="2990"/>
      </c>
      <c r="AN1383" s="144">
        <f t="shared" si="2990"/>
      </c>
      <c r="AO1383" s="144">
        <f t="shared" si="2990"/>
      </c>
      <c r="AP1383" s="144">
        <f t="shared" si="2990"/>
      </c>
      <c r="AQ1383" s="144">
        <f t="shared" si="2990"/>
      </c>
      <c r="AR1383" s="144">
        <f t="shared" si="2990"/>
      </c>
      <c r="AS1383" s="144">
        <f t="shared" si="2990"/>
      </c>
      <c r="AT1383" s="144">
        <f t="shared" si="2990"/>
      </c>
      <c r="AU1383" s="144">
        <f t="shared" si="2990"/>
      </c>
      <c r="AV1383" s="144">
        <f t="shared" si="2990"/>
      </c>
      <c r="AW1383" s="144">
        <f t="shared" si="2990"/>
      </c>
      <c r="AX1383" s="144">
        <f t="shared" ref="AX1383:BD1383" si="2991">IF(OR(MO.RealTimeStockPriceToggle=FALSE,VLOOKUP(MO.DataSourceName,MO_SPT_StockAverage_Sources,COLUMN(),FALSE)="N/A"),VLOOKUP("Real-Time Off Source",MO_SPT_StockAverage_Sources,COLUMN(),FALSE),VLOOKUP(MO.DataSourceName,MO_SPT_StockAverage_Sources,COLUMN(),FALSE))</f>
      </c>
      <c r="AY1383" s="144">
        <f t="shared" si="2991"/>
      </c>
      <c r="AZ1383" s="144">
        <f t="shared" si="2991"/>
      </c>
      <c r="BA1383" s="144">
        <f t="shared" si="2991"/>
      </c>
      <c r="BB1383" s="144">
        <f t="shared" si="2991"/>
      </c>
      <c r="BC1383" s="144">
        <f t="shared" si="2991"/>
      </c>
      <c r="BD1383" s="144">
        <f t="shared" si="2991"/>
      </c>
      <c r="BE1383" s="144">
        <f t="shared" ref="BE1383:BI1383" si="2992">IF(OR(MO.RealTimeStockPriceToggle=FALSE,VLOOKUP(MO.DataSourceName,MO_SPT_StockAverage_Sources,COLUMN(),FALSE)="N/A"),VLOOKUP("Real-Time Off Source",MO_SPT_StockAverage_Sources,COLUMN(),FALSE),VLOOKUP(MO.DataSourceName,MO_SPT_StockAverage_Sources,COLUMN(),FALSE))</f>
      </c>
      <c r="BF1383" s="144">
        <f t="shared" si="2992"/>
      </c>
      <c r="BG1383" s="144">
        <f t="shared" si="2992"/>
      </c>
      <c r="BH1383" s="144">
        <f t="shared" si="2992"/>
      </c>
      <c r="BI1383" s="144">
        <f t="shared" si="2992"/>
      </c>
      <c r="BJ1383" s="144">
        <f t="shared" ref="BJ1383:BX1383" si="2993">IF(OR(MO.RealTimeStockPriceToggle=FALSE,VLOOKUP(MO.DataSourceName,MO_SPT_StockAverage_Sources,COLUMN(),FALSE)="N/A"),VLOOKUP("Real-Time Off Source",MO_SPT_StockAverage_Sources,COLUMN(),FALSE),VLOOKUP(MO.DataSourceName,MO_SPT_StockAverage_Sources,COLUMN(),FALSE))</f>
      </c>
      <c r="BK1383" s="144">
        <f t="shared" si="2993"/>
      </c>
      <c r="BL1383" s="144">
        <f t="shared" si="2993"/>
      </c>
      <c r="BM1383" s="144">
        <f t="shared" si="2993"/>
      </c>
      <c r="BN1383" s="144">
        <f t="shared" si="2993"/>
      </c>
      <c r="BO1383" s="144">
        <f t="shared" ref="BO1383:BW1383" si="2994">IF(OR(MO.RealTimeStockPriceToggle=FALSE,VLOOKUP(MO.DataSourceName,MO_SPT_StockAverage_Sources,COLUMN(),FALSE)="N/A"),VLOOKUP("Real-Time Off Source",MO_SPT_StockAverage_Sources,COLUMN(),FALSE),VLOOKUP(MO.DataSourceName,MO_SPT_StockAverage_Sources,COLUMN(),FALSE))</f>
      </c>
      <c r="BP1383" s="144">
        <f t="shared" si="2994"/>
      </c>
      <c r="BQ1383" s="144">
        <f t="shared" si="2994"/>
      </c>
      <c r="BR1383" s="144">
        <f t="shared" si="2994"/>
      </c>
      <c r="BS1383" s="144">
        <f t="shared" si="2994"/>
      </c>
      <c r="BT1383" s="301">
        <f>IF(OR(MO.RealTimeStockPriceToggle=FALSE,VLOOKUP(MO.DataSourceName,MO_SPT_StockAverage_Sources,COLUMN(),FALSE)="N/A"),VLOOKUP("Real-Time Off Source",MO_SPT_StockAverage_Sources,COLUMN(),FALSE),VLOOKUP(MO.DataSourceName,MO_SPT_StockAverage_Sources,COLUMN(),FALSE))</f>
      </c>
      <c r="BU1383" s="144">
        <f t="shared" si="2994"/>
      </c>
      <c r="BV1383" s="144">
        <f t="shared" si="2994"/>
      </c>
      <c r="BW1383" s="144">
        <f t="shared" si="2994"/>
      </c>
      <c r="BX1383" s="144">
        <f t="shared" si="2993"/>
      </c>
      <c r="BY1383" s="144">
        <f t="shared" ref="BY1383:CF1383" si="2995">IF(OR(MO.RealTimeStockPriceToggle=FALSE,VLOOKUP(MO.DataSourceName,MO_SPT_StockAverage_Sources,COLUMN(),FALSE)="N/A"),VLOOKUP("Real-Time Off Source",MO_SPT_StockAverage_Sources,COLUMN(),FALSE),VLOOKUP(MO.DataSourceName,MO_SPT_StockAverage_Sources,COLUMN(),FALSE))</f>
      </c>
      <c r="BZ1383" s="144">
        <f t="shared" si="2995"/>
      </c>
      <c r="CA1383" s="144">
        <f t="shared" si="2995"/>
      </c>
      <c r="CB1383" s="144">
        <f t="shared" si="2995"/>
      </c>
      <c r="CC1383" s="144">
        <f t="shared" si="2995"/>
      </c>
      <c r="CD1383" s="144">
        <f t="shared" si="2995"/>
      </c>
      <c r="CE1383" s="144">
        <f t="shared" si="2995"/>
      </c>
      <c r="CF1383" s="145">
        <f t="shared" si="2995"/>
      </c>
      <c r="CG1383" s="128"/>
    </row>
    <row r="1384" spans="1:85" hidden="1" outlineLevel="1" x14ac:dyDescent="0.3">
      <c r="A1384" s="146" t="s">
        <v>251</v>
      </c>
      <c r="B1384" s="144"/>
      <c r="C1384" s="916">
        <v>0.62816071428571396</v>
      </c>
      <c r="D1384" s="916">
        <v>1.7001250000000001</v>
      </c>
      <c r="E1384" s="917">
        <v>0.38940051020408201</v>
      </c>
      <c r="F1384" s="917">
        <v>1.19760714285714</v>
      </c>
      <c r="G1384" s="917">
        <v>2.0593571428571402</v>
      </c>
      <c r="H1384" s="917">
        <v>2.91321428571429</v>
      </c>
      <c r="I1384" s="917">
        <v>3.8027857142857102</v>
      </c>
      <c r="J1384" s="917">
        <v>4.7997142857142903</v>
      </c>
      <c r="K1384" s="917">
        <v>3.3937678571428598</v>
      </c>
      <c r="L1384" s="917">
        <v>5.5505000000000004</v>
      </c>
      <c r="M1384" s="917">
        <v>5.3594999999999997</v>
      </c>
      <c r="N1384" s="917">
        <v>6.4414999999999996</v>
      </c>
      <c r="O1384" s="917">
        <v>5.5970000000000004</v>
      </c>
      <c r="P1384" s="917">
        <v>5.7371249999999998</v>
      </c>
      <c r="Q1384" s="917">
        <v>5.7380000000000004</v>
      </c>
      <c r="R1384" s="917">
        <v>7.9675000000000002</v>
      </c>
      <c r="S1384" s="917">
        <v>10.7395</v>
      </c>
      <c r="T1384" s="917">
        <v>11.4765</v>
      </c>
      <c r="U1384" s="917">
        <v>8.9803750000000004</v>
      </c>
      <c r="V1384" s="917">
        <v>10.1065</v>
      </c>
      <c r="W1384" s="917">
        <v>9.8330000000000002</v>
      </c>
      <c r="X1384" s="917">
        <v>9.2885000000000009</v>
      </c>
      <c r="Y1384" s="917">
        <v>11.346</v>
      </c>
      <c r="Z1384" s="917">
        <v>10.1435</v>
      </c>
      <c r="AA1384" s="917">
        <v>13.63</v>
      </c>
      <c r="AB1384" s="917">
        <v>15.2765</v>
      </c>
      <c r="AC1384" s="917">
        <v>16.787500000000001</v>
      </c>
      <c r="AD1384" s="917">
        <v>19.047999999999998</v>
      </c>
      <c r="AE1384" s="917">
        <v>16.185500000000001</v>
      </c>
      <c r="AF1384" s="917">
        <v>27.221786885245901</v>
      </c>
      <c r="AG1384" s="917">
        <v>34.089687499999997</v>
      </c>
      <c r="AH1384" s="917">
        <v>36.295142857142899</v>
      </c>
      <c r="AI1384" s="917">
        <v>29.925769841269801</v>
      </c>
      <c r="AJ1384" s="917">
        <v>31.929029880478101</v>
      </c>
      <c r="AK1384" s="917">
        <v>34.666885245901597</v>
      </c>
      <c r="AL1384" s="917">
        <v>36.077777777777797</v>
      </c>
      <c r="AM1384" s="917">
        <v>31.288953124999999</v>
      </c>
      <c r="AN1384" s="917">
        <v>29.648171874999999</v>
      </c>
      <c r="AO1384" s="917">
        <v>32.887126984127001</v>
      </c>
      <c r="AP1384" s="917">
        <v>35.377717741935498</v>
      </c>
      <c r="AQ1384" s="917">
        <v>42.561777777777799</v>
      </c>
      <c r="AR1384" s="917">
        <v>49.769781250000001</v>
      </c>
      <c r="AS1384" s="917">
        <v>50.697687500000001</v>
      </c>
      <c r="AT1384" s="917">
        <v>44.682721343873602</v>
      </c>
      <c r="AU1384" s="917">
        <v>53.043606557377103</v>
      </c>
      <c r="AV1384" s="917">
        <v>51.116333333333301</v>
      </c>
      <c r="AW1384" s="917">
        <v>55.033171875000001</v>
      </c>
      <c r="AX1384" s="917">
        <v>63.892062500000002</v>
      </c>
      <c r="AY1384" s="917">
        <v>55.822238095238099</v>
      </c>
      <c r="AZ1384" s="917">
        <v>41.632290322580602</v>
      </c>
      <c r="BA1384" s="917">
        <v>22.1702096774194</v>
      </c>
      <c r="BB1384" s="917">
        <v>22.212148437500002</v>
      </c>
      <c r="BC1384" s="917">
        <v>28.0494047619048</v>
      </c>
      <c r="BD1384" s="917">
        <v>28.463924302788801</v>
      </c>
      <c r="BE1384" s="917">
        <v>33.093403225806398</v>
      </c>
      <c r="BF1384" s="917">
        <v>36.832048387096798</v>
      </c>
      <c r="BG1384" s="917">
        <v>42.3910317460317</v>
      </c>
      <c r="BH1384" s="917">
        <v>43.653714285714301</v>
      </c>
      <c r="BI1384" s="917">
        <v>39.024788000000001</v>
      </c>
      <c r="BJ1384" s="917">
        <v>56.381672131147504</v>
      </c>
      <c r="BK1384" s="917">
        <v>62.455444444444403</v>
      </c>
      <c r="BL1384" s="917">
        <v>66.877328125000005</v>
      </c>
      <c r="BM1384" s="917">
        <v>82.307531249999997</v>
      </c>
      <c r="BN1384" s="917">
        <v>67.150023809523802</v>
      </c>
      <c r="BO1384" s="917">
        <v>95.101466666666695</v>
      </c>
      <c r="BP1384" s="917">
        <v>113.06612096774199</v>
      </c>
      <c r="BQ1384" s="917">
        <v>122.05446875</v>
      </c>
      <c r="BR1384" s="917">
        <v>107.810203125</v>
      </c>
      <c r="BS1384" s="917">
        <v>109.710106</v>
      </c>
      <c r="BT1384" s="918">
        <v>88.112950819672093</v>
      </c>
      <c r="BU1384" s="144"/>
      <c r="BV1384" s="144"/>
      <c r="BW1384" s="144"/>
      <c r="BX1384" s="144"/>
      <c r="BY1384" s="144"/>
      <c r="BZ1384" s="144"/>
      <c r="CA1384" s="144"/>
      <c r="CB1384" s="144"/>
      <c r="CC1384" s="144"/>
      <c r="CD1384" s="144"/>
      <c r="CE1384" s="144"/>
      <c r="CF1384" s="145"/>
      <c r="CG1384" s="128"/>
    </row>
    <row r="1385" spans="1:85" hidden="1" outlineLevel="1" x14ac:dyDescent="0.3">
      <c r="A1385" s="146" t="s">
        <v>0</v>
      </c>
      <c r="B1385" s="144"/>
      <c r="C1385" s="650" t="s">
        <v>2431</v>
      </c>
      <c r="D1385" s="650" t="s">
        <v>2431</v>
      </c>
      <c r="E1385" s="144" t="s">
        <v>2431</v>
      </c>
      <c r="F1385" s="144" t="s">
        <v>2431</v>
      </c>
      <c r="G1385" s="144" t="s">
        <v>2431</v>
      </c>
      <c r="H1385" s="144" t="s">
        <v>2431</v>
      </c>
      <c r="I1385" s="144" t="s">
        <v>2431</v>
      </c>
      <c r="J1385" s="144" t="s">
        <v>2431</v>
      </c>
      <c r="K1385" s="144" t="s">
        <v>2431</v>
      </c>
      <c r="L1385" s="144" t="s">
        <v>2431</v>
      </c>
      <c r="M1385" s="144" t="s">
        <v>2431</v>
      </c>
      <c r="N1385" s="144" t="s">
        <v>2431</v>
      </c>
      <c r="O1385" s="144" t="s">
        <v>2431</v>
      </c>
      <c r="P1385" s="144" t="s">
        <v>2431</v>
      </c>
      <c r="Q1385" s="144" t="s">
        <v>2431</v>
      </c>
      <c r="R1385" s="144" t="s">
        <v>2431</v>
      </c>
      <c r="S1385" s="144" t="s">
        <v>2431</v>
      </c>
      <c r="T1385" s="144" t="s">
        <v>2431</v>
      </c>
      <c r="U1385" s="144" t="s">
        <v>2431</v>
      </c>
      <c r="V1385" s="144" t="s">
        <v>2431</v>
      </c>
      <c r="W1385" s="144" t="s">
        <v>2431</v>
      </c>
      <c r="X1385" s="144" t="s">
        <v>2431</v>
      </c>
      <c r="Y1385" s="144" t="s">
        <v>2431</v>
      </c>
      <c r="Z1385" s="144" t="s">
        <v>2431</v>
      </c>
      <c r="AA1385" s="144" t="s">
        <v>2431</v>
      </c>
      <c r="AB1385" s="144" t="s">
        <v>2431</v>
      </c>
      <c r="AC1385" s="144" t="s">
        <v>2431</v>
      </c>
      <c r="AD1385" s="144" t="s">
        <v>2431</v>
      </c>
      <c r="AE1385" s="144" t="s">
        <v>2431</v>
      </c>
      <c r="AF1385" s="144" t="s">
        <v>2431</v>
      </c>
      <c r="AG1385" s="144" t="s">
        <v>2431</v>
      </c>
      <c r="AH1385" s="144" t="s">
        <v>2431</v>
      </c>
      <c r="AI1385" s="144" t="s">
        <v>2431</v>
      </c>
      <c r="AJ1385" s="144" t="s">
        <v>2431</v>
      </c>
      <c r="AK1385" s="144" t="s">
        <v>2431</v>
      </c>
      <c r="AL1385" s="144" t="s">
        <v>2431</v>
      </c>
      <c r="AM1385" s="144" t="s">
        <v>2431</v>
      </c>
      <c r="AN1385" s="144" t="s">
        <v>2431</v>
      </c>
      <c r="AO1385" s="144" t="s">
        <v>2431</v>
      </c>
      <c r="AP1385" s="144" t="s">
        <v>2431</v>
      </c>
      <c r="AQ1385" s="144" t="s">
        <v>2431</v>
      </c>
      <c r="AR1385" s="144" t="s">
        <v>2431</v>
      </c>
      <c r="AS1385" s="144" t="s">
        <v>2431</v>
      </c>
      <c r="AT1385" s="144" t="s">
        <v>2431</v>
      </c>
      <c r="AU1385" s="144" t="s">
        <v>2431</v>
      </c>
      <c r="AV1385" s="144" t="s">
        <v>2431</v>
      </c>
      <c r="AW1385" s="144" t="s">
        <v>2431</v>
      </c>
      <c r="AX1385" s="144" t="s">
        <v>2431</v>
      </c>
      <c r="AY1385" s="144" t="s">
        <v>2431</v>
      </c>
      <c r="AZ1385" s="144" t="s">
        <v>2431</v>
      </c>
      <c r="BA1385" s="144" t="s">
        <v>2431</v>
      </c>
      <c r="BB1385" s="144" t="s">
        <v>2431</v>
      </c>
      <c r="BC1385" s="144" t="s">
        <v>2431</v>
      </c>
      <c r="BD1385" s="144" t="s">
        <v>2431</v>
      </c>
      <c r="BE1385" s="144" t="s">
        <v>2431</v>
      </c>
      <c r="BF1385" s="144" t="s">
        <v>2431</v>
      </c>
      <c r="BG1385" s="144" t="s">
        <v>2431</v>
      </c>
      <c r="BH1385" s="144" t="s">
        <v>2431</v>
      </c>
      <c r="BI1385" s="144" t="s">
        <v>2431</v>
      </c>
      <c r="BJ1385" s="144" t="s">
        <v>2431</v>
      </c>
      <c r="BK1385" s="144" t="s">
        <v>2431</v>
      </c>
      <c r="BL1385" s="144" t="s">
        <v>2431</v>
      </c>
      <c r="BM1385" s="144" t="s">
        <v>2431</v>
      </c>
      <c r="BN1385" s="144" t="s">
        <v>2431</v>
      </c>
      <c r="BO1385" s="144" t="s">
        <v>2431</v>
      </c>
      <c r="BP1385" s="144" t="s">
        <v>2431</v>
      </c>
      <c r="BQ1385" s="144" t="s">
        <v>2431</v>
      </c>
      <c r="BR1385" s="144" t="s">
        <v>2431</v>
      </c>
      <c r="BS1385" s="144" t="s">
        <v>2431</v>
      </c>
      <c r="BT1385" s="301" t="s">
        <v>2431</v>
      </c>
      <c r="BU1385" s="144" t="s">
        <v>2431</v>
      </c>
      <c r="BV1385" s="144" t="s">
        <v>2431</v>
      </c>
      <c r="BW1385" s="144" t="s">
        <v>2431</v>
      </c>
      <c r="BX1385" s="144" t="s">
        <v>2431</v>
      </c>
      <c r="BY1385" s="144" t="s">
        <v>2431</v>
      </c>
      <c r="BZ1385" s="144" t="s">
        <v>2431</v>
      </c>
      <c r="CA1385" s="144" t="s">
        <v>2431</v>
      </c>
      <c r="CB1385" s="144" t="s">
        <v>2431</v>
      </c>
      <c r="CC1385" s="144" t="s">
        <v>2431</v>
      </c>
      <c r="CD1385" s="144" t="s">
        <v>2431</v>
      </c>
      <c r="CE1385" s="144" t="s">
        <v>2431</v>
      </c>
      <c r="CF1385" s="145" t="s">
        <v>2431</v>
      </c>
      <c r="CG1385" s="128"/>
    </row>
    <row r="1386" spans="1:85" hidden="1" outlineLevel="1" x14ac:dyDescent="0.3">
      <c r="A1386" s="146" t="s">
        <v>252</v>
      </c>
      <c r="B1386" s="144"/>
      <c r="C1386" s="650" t="s">
        <v>2431</v>
      </c>
      <c r="D1386" s="650" t="s">
        <v>2431</v>
      </c>
      <c r="E1386" s="144" t="s">
        <v>2431</v>
      </c>
      <c r="F1386" s="144" t="s">
        <v>2431</v>
      </c>
      <c r="G1386" s="144" t="s">
        <v>2431</v>
      </c>
      <c r="H1386" s="144" t="s">
        <v>2431</v>
      </c>
      <c r="I1386" s="144" t="s">
        <v>2431</v>
      </c>
      <c r="J1386" s="144" t="s">
        <v>2431</v>
      </c>
      <c r="K1386" s="144" t="s">
        <v>2431</v>
      </c>
      <c r="L1386" s="144" t="s">
        <v>2431</v>
      </c>
      <c r="M1386" s="144" t="s">
        <v>2431</v>
      </c>
      <c r="N1386" s="144" t="s">
        <v>2431</v>
      </c>
      <c r="O1386" s="144" t="s">
        <v>2431</v>
      </c>
      <c r="P1386" s="144" t="s">
        <v>2431</v>
      </c>
      <c r="Q1386" s="144" t="s">
        <v>2431</v>
      </c>
      <c r="R1386" s="144" t="s">
        <v>2431</v>
      </c>
      <c r="S1386" s="144" t="s">
        <v>2431</v>
      </c>
      <c r="T1386" s="144" t="s">
        <v>2431</v>
      </c>
      <c r="U1386" s="144" t="s">
        <v>2431</v>
      </c>
      <c r="V1386" s="144" t="s">
        <v>2431</v>
      </c>
      <c r="W1386" s="144" t="s">
        <v>2431</v>
      </c>
      <c r="X1386" s="144" t="s">
        <v>2431</v>
      </c>
      <c r="Y1386" s="144" t="s">
        <v>2431</v>
      </c>
      <c r="Z1386" s="144" t="s">
        <v>2431</v>
      </c>
      <c r="AA1386" s="144" t="s">
        <v>2431</v>
      </c>
      <c r="AB1386" s="144" t="s">
        <v>2431</v>
      </c>
      <c r="AC1386" s="144" t="s">
        <v>2431</v>
      </c>
      <c r="AD1386" s="144" t="s">
        <v>2431</v>
      </c>
      <c r="AE1386" s="144" t="s">
        <v>2431</v>
      </c>
      <c r="AF1386" s="144" t="s">
        <v>2431</v>
      </c>
      <c r="AG1386" s="144" t="s">
        <v>2431</v>
      </c>
      <c r="AH1386" s="144" t="s">
        <v>2431</v>
      </c>
      <c r="AI1386" s="144" t="s">
        <v>2431</v>
      </c>
      <c r="AJ1386" s="144" t="s">
        <v>2431</v>
      </c>
      <c r="AK1386" s="144" t="s">
        <v>2431</v>
      </c>
      <c r="AL1386" s="144" t="s">
        <v>2431</v>
      </c>
      <c r="AM1386" s="144" t="s">
        <v>2431</v>
      </c>
      <c r="AN1386" s="144" t="s">
        <v>2431</v>
      </c>
      <c r="AO1386" s="144" t="s">
        <v>2431</v>
      </c>
      <c r="AP1386" s="144" t="s">
        <v>2431</v>
      </c>
      <c r="AQ1386" s="144" t="s">
        <v>2431</v>
      </c>
      <c r="AR1386" s="144" t="s">
        <v>2431</v>
      </c>
      <c r="AS1386" s="144" t="s">
        <v>2431</v>
      </c>
      <c r="AT1386" s="144" t="s">
        <v>2431</v>
      </c>
      <c r="AU1386" s="144" t="s">
        <v>2431</v>
      </c>
      <c r="AV1386" s="144" t="s">
        <v>2431</v>
      </c>
      <c r="AW1386" s="144" t="s">
        <v>2431</v>
      </c>
      <c r="AX1386" s="144" t="s">
        <v>2431</v>
      </c>
      <c r="AY1386" s="144" t="s">
        <v>2431</v>
      </c>
      <c r="AZ1386" s="144" t="s">
        <v>2431</v>
      </c>
      <c r="BA1386" s="144" t="s">
        <v>2431</v>
      </c>
      <c r="BB1386" s="144" t="s">
        <v>2431</v>
      </c>
      <c r="BC1386" s="144" t="s">
        <v>2431</v>
      </c>
      <c r="BD1386" s="144" t="s">
        <v>2431</v>
      </c>
      <c r="BE1386" s="144" t="s">
        <v>2431</v>
      </c>
      <c r="BF1386" s="144" t="s">
        <v>2431</v>
      </c>
      <c r="BG1386" s="144" t="s">
        <v>2431</v>
      </c>
      <c r="BH1386" s="144" t="s">
        <v>2431</v>
      </c>
      <c r="BI1386" s="144" t="s">
        <v>2431</v>
      </c>
      <c r="BJ1386" s="144" t="s">
        <v>2431</v>
      </c>
      <c r="BK1386" s="144" t="s">
        <v>2431</v>
      </c>
      <c r="BL1386" s="144" t="s">
        <v>2431</v>
      </c>
      <c r="BM1386" s="144" t="s">
        <v>2431</v>
      </c>
      <c r="BN1386" s="144" t="s">
        <v>2431</v>
      </c>
      <c r="BO1386" s="144" t="s">
        <v>2431</v>
      </c>
      <c r="BP1386" s="144" t="s">
        <v>2431</v>
      </c>
      <c r="BQ1386" s="144" t="s">
        <v>2431</v>
      </c>
      <c r="BR1386" s="144" t="s">
        <v>2431</v>
      </c>
      <c r="BS1386" s="144" t="s">
        <v>2431</v>
      </c>
      <c r="BT1386" s="301" t="s">
        <v>2431</v>
      </c>
      <c r="BU1386" s="144" t="s">
        <v>2431</v>
      </c>
      <c r="BV1386" s="144" t="s">
        <v>2431</v>
      </c>
      <c r="BW1386" s="144" t="s">
        <v>2431</v>
      </c>
      <c r="BX1386" s="144" t="s">
        <v>2431</v>
      </c>
      <c r="BY1386" s="144" t="s">
        <v>2431</v>
      </c>
      <c r="BZ1386" s="144" t="s">
        <v>2431</v>
      </c>
      <c r="CA1386" s="144" t="s">
        <v>2431</v>
      </c>
      <c r="CB1386" s="144" t="s">
        <v>2431</v>
      </c>
      <c r="CC1386" s="144" t="s">
        <v>2431</v>
      </c>
      <c r="CD1386" s="144" t="s">
        <v>2431</v>
      </c>
      <c r="CE1386" s="144" t="s">
        <v>2431</v>
      </c>
      <c r="CF1386" s="145" t="s">
        <v>2431</v>
      </c>
      <c r="CG1386" s="128"/>
    </row>
    <row r="1387" spans="1:85" hidden="1" outlineLevel="1" x14ac:dyDescent="0.3">
      <c r="A1387" s="146" t="s">
        <v>253</v>
      </c>
      <c r="B1387" s="144"/>
      <c r="C1387" s="650" t="s">
        <v>2431</v>
      </c>
      <c r="D1387" s="650" t="s">
        <v>2431</v>
      </c>
      <c r="E1387" s="144" t="s">
        <v>2431</v>
      </c>
      <c r="F1387" s="144" t="s">
        <v>2431</v>
      </c>
      <c r="G1387" s="144" t="s">
        <v>2431</v>
      </c>
      <c r="H1387" s="144" t="s">
        <v>2431</v>
      </c>
      <c r="I1387" s="144" t="s">
        <v>2431</v>
      </c>
      <c r="J1387" s="144" t="s">
        <v>2431</v>
      </c>
      <c r="K1387" s="144" t="s">
        <v>2431</v>
      </c>
      <c r="L1387" s="144" t="s">
        <v>2431</v>
      </c>
      <c r="M1387" s="144" t="s">
        <v>2431</v>
      </c>
      <c r="N1387" s="144" t="s">
        <v>2431</v>
      </c>
      <c r="O1387" s="144" t="s">
        <v>2431</v>
      </c>
      <c r="P1387" s="144" t="s">
        <v>2431</v>
      </c>
      <c r="Q1387" s="144" t="s">
        <v>2431</v>
      </c>
      <c r="R1387" s="144" t="s">
        <v>2431</v>
      </c>
      <c r="S1387" s="144" t="s">
        <v>2431</v>
      </c>
      <c r="T1387" s="144" t="s">
        <v>2431</v>
      </c>
      <c r="U1387" s="144" t="s">
        <v>2431</v>
      </c>
      <c r="V1387" s="144" t="s">
        <v>2431</v>
      </c>
      <c r="W1387" s="144" t="s">
        <v>2431</v>
      </c>
      <c r="X1387" s="144" t="s">
        <v>2431</v>
      </c>
      <c r="Y1387" s="144" t="s">
        <v>2431</v>
      </c>
      <c r="Z1387" s="144" t="s">
        <v>2431</v>
      </c>
      <c r="AA1387" s="144" t="s">
        <v>2431</v>
      </c>
      <c r="AB1387" s="144" t="s">
        <v>2431</v>
      </c>
      <c r="AC1387" s="144" t="s">
        <v>2431</v>
      </c>
      <c r="AD1387" s="144" t="s">
        <v>2431</v>
      </c>
      <c r="AE1387" s="144" t="s">
        <v>2431</v>
      </c>
      <c r="AF1387" s="144" t="s">
        <v>2431</v>
      </c>
      <c r="AG1387" s="144" t="s">
        <v>2431</v>
      </c>
      <c r="AH1387" s="144" t="s">
        <v>2431</v>
      </c>
      <c r="AI1387" s="144" t="s">
        <v>2431</v>
      </c>
      <c r="AJ1387" s="144" t="s">
        <v>2431</v>
      </c>
      <c r="AK1387" s="144" t="s">
        <v>2431</v>
      </c>
      <c r="AL1387" s="144" t="s">
        <v>2431</v>
      </c>
      <c r="AM1387" s="144" t="s">
        <v>2431</v>
      </c>
      <c r="AN1387" s="144" t="s">
        <v>2431</v>
      </c>
      <c r="AO1387" s="144" t="s">
        <v>2431</v>
      </c>
      <c r="AP1387" s="144" t="s">
        <v>2431</v>
      </c>
      <c r="AQ1387" s="144" t="s">
        <v>2431</v>
      </c>
      <c r="AR1387" s="144" t="s">
        <v>2431</v>
      </c>
      <c r="AS1387" s="144" t="s">
        <v>2431</v>
      </c>
      <c r="AT1387" s="144" t="s">
        <v>2431</v>
      </c>
      <c r="AU1387" s="144" t="s">
        <v>2431</v>
      </c>
      <c r="AV1387" s="144" t="s">
        <v>2431</v>
      </c>
      <c r="AW1387" s="144" t="s">
        <v>2431</v>
      </c>
      <c r="AX1387" s="144" t="s">
        <v>2431</v>
      </c>
      <c r="AY1387" s="144" t="s">
        <v>2431</v>
      </c>
      <c r="AZ1387" s="144" t="s">
        <v>2431</v>
      </c>
      <c r="BA1387" s="144" t="s">
        <v>2431</v>
      </c>
      <c r="BB1387" s="144" t="s">
        <v>2431</v>
      </c>
      <c r="BC1387" s="144" t="s">
        <v>2431</v>
      </c>
      <c r="BD1387" s="144" t="s">
        <v>2431</v>
      </c>
      <c r="BE1387" s="144" t="s">
        <v>2431</v>
      </c>
      <c r="BF1387" s="144" t="s">
        <v>2431</v>
      </c>
      <c r="BG1387" s="144" t="s">
        <v>2431</v>
      </c>
      <c r="BH1387" s="144" t="s">
        <v>2431</v>
      </c>
      <c r="BI1387" s="144" t="s">
        <v>2431</v>
      </c>
      <c r="BJ1387" s="144" t="s">
        <v>2431</v>
      </c>
      <c r="BK1387" s="144" t="s">
        <v>2431</v>
      </c>
      <c r="BL1387" s="144" t="s">
        <v>2431</v>
      </c>
      <c r="BM1387" s="144" t="s">
        <v>2431</v>
      </c>
      <c r="BN1387" s="144" t="s">
        <v>2431</v>
      </c>
      <c r="BO1387" s="144" t="s">
        <v>2431</v>
      </c>
      <c r="BP1387" s="144" t="s">
        <v>2431</v>
      </c>
      <c r="BQ1387" s="144" t="s">
        <v>2431</v>
      </c>
      <c r="BR1387" s="144" t="s">
        <v>2431</v>
      </c>
      <c r="BS1387" s="144" t="s">
        <v>2431</v>
      </c>
      <c r="BT1387" s="301" t="s">
        <v>2431</v>
      </c>
      <c r="BU1387" s="144" t="s">
        <v>2431</v>
      </c>
      <c r="BV1387" s="144" t="s">
        <v>2431</v>
      </c>
      <c r="BW1387" s="144" t="s">
        <v>2431</v>
      </c>
      <c r="BX1387" s="144" t="s">
        <v>2431</v>
      </c>
      <c r="BY1387" s="144" t="s">
        <v>2431</v>
      </c>
      <c r="BZ1387" s="144" t="s">
        <v>2431</v>
      </c>
      <c r="CA1387" s="144" t="s">
        <v>2431</v>
      </c>
      <c r="CB1387" s="144" t="s">
        <v>2431</v>
      </c>
      <c r="CC1387" s="144" t="s">
        <v>2431</v>
      </c>
      <c r="CD1387" s="144" t="s">
        <v>2431</v>
      </c>
      <c r="CE1387" s="144" t="s">
        <v>2431</v>
      </c>
      <c r="CF1387" s="145" t="s">
        <v>2431</v>
      </c>
      <c r="CG1387" s="128"/>
    </row>
    <row r="1388" spans="1:85" hidden="1" outlineLevel="1" x14ac:dyDescent="0.3">
      <c r="A1388" s="146" t="s">
        <v>503</v>
      </c>
      <c r="B1388" s="144"/>
      <c r="C1388" s="650" t="s">
        <v>2431</v>
      </c>
      <c r="D1388" s="650" t="s">
        <v>2431</v>
      </c>
      <c r="E1388" s="144" t="s">
        <v>2431</v>
      </c>
      <c r="F1388" s="144" t="s">
        <v>2431</v>
      </c>
      <c r="G1388" s="144" t="s">
        <v>2431</v>
      </c>
      <c r="H1388" s="144" t="s">
        <v>2431</v>
      </c>
      <c r="I1388" s="144" t="s">
        <v>2431</v>
      </c>
      <c r="J1388" s="144" t="s">
        <v>2431</v>
      </c>
      <c r="K1388" s="144" t="s">
        <v>2431</v>
      </c>
      <c r="L1388" s="144" t="s">
        <v>2431</v>
      </c>
      <c r="M1388" s="144" t="s">
        <v>2431</v>
      </c>
      <c r="N1388" s="144" t="s">
        <v>2431</v>
      </c>
      <c r="O1388" s="144" t="s">
        <v>2431</v>
      </c>
      <c r="P1388" s="144" t="s">
        <v>2431</v>
      </c>
      <c r="Q1388" s="144" t="s">
        <v>2431</v>
      </c>
      <c r="R1388" s="144" t="s">
        <v>2431</v>
      </c>
      <c r="S1388" s="144" t="s">
        <v>2431</v>
      </c>
      <c r="T1388" s="144" t="s">
        <v>2431</v>
      </c>
      <c r="U1388" s="144" t="s">
        <v>2431</v>
      </c>
      <c r="V1388" s="144" t="s">
        <v>2431</v>
      </c>
      <c r="W1388" s="144" t="s">
        <v>2431</v>
      </c>
      <c r="X1388" s="144" t="s">
        <v>2431</v>
      </c>
      <c r="Y1388" s="144" t="s">
        <v>2431</v>
      </c>
      <c r="Z1388" s="144" t="s">
        <v>2431</v>
      </c>
      <c r="AA1388" s="144" t="s">
        <v>2431</v>
      </c>
      <c r="AB1388" s="144" t="s">
        <v>2431</v>
      </c>
      <c r="AC1388" s="144" t="s">
        <v>2431</v>
      </c>
      <c r="AD1388" s="144" t="s">
        <v>2431</v>
      </c>
      <c r="AE1388" s="144" t="s">
        <v>2431</v>
      </c>
      <c r="AF1388" s="144" t="s">
        <v>2431</v>
      </c>
      <c r="AG1388" s="144" t="s">
        <v>2431</v>
      </c>
      <c r="AH1388" s="144" t="s">
        <v>2431</v>
      </c>
      <c r="AI1388" s="144" t="s">
        <v>2431</v>
      </c>
      <c r="AJ1388" s="144" t="s">
        <v>2431</v>
      </c>
      <c r="AK1388" s="144" t="s">
        <v>2431</v>
      </c>
      <c r="AL1388" s="144" t="s">
        <v>2431</v>
      </c>
      <c r="AM1388" s="144" t="s">
        <v>2431</v>
      </c>
      <c r="AN1388" s="144" t="s">
        <v>2431</v>
      </c>
      <c r="AO1388" s="144" t="s">
        <v>2431</v>
      </c>
      <c r="AP1388" s="144" t="s">
        <v>2431</v>
      </c>
      <c r="AQ1388" s="144" t="s">
        <v>2431</v>
      </c>
      <c r="AR1388" s="144" t="s">
        <v>2431</v>
      </c>
      <c r="AS1388" s="144" t="s">
        <v>2431</v>
      </c>
      <c r="AT1388" s="144" t="s">
        <v>2431</v>
      </c>
      <c r="AU1388" s="144" t="s">
        <v>2431</v>
      </c>
      <c r="AV1388" s="144" t="s">
        <v>2431</v>
      </c>
      <c r="AW1388" s="144" t="s">
        <v>2431</v>
      </c>
      <c r="AX1388" s="144" t="s">
        <v>2431</v>
      </c>
      <c r="AY1388" s="144" t="s">
        <v>2431</v>
      </c>
      <c r="AZ1388" s="144" t="s">
        <v>2431</v>
      </c>
      <c r="BA1388" s="144" t="s">
        <v>2431</v>
      </c>
      <c r="BB1388" s="144" t="s">
        <v>2431</v>
      </c>
      <c r="BC1388" s="144" t="s">
        <v>2431</v>
      </c>
      <c r="BD1388" s="144" t="s">
        <v>2431</v>
      </c>
      <c r="BE1388" s="144" t="s">
        <v>2431</v>
      </c>
      <c r="BF1388" s="144" t="s">
        <v>2431</v>
      </c>
      <c r="BG1388" s="144" t="s">
        <v>2431</v>
      </c>
      <c r="BH1388" s="144" t="s">
        <v>2431</v>
      </c>
      <c r="BI1388" s="144" t="s">
        <v>2431</v>
      </c>
      <c r="BJ1388" s="144" t="s">
        <v>2431</v>
      </c>
      <c r="BK1388" s="144" t="s">
        <v>2431</v>
      </c>
      <c r="BL1388" s="144" t="s">
        <v>2431</v>
      </c>
      <c r="BM1388" s="144" t="s">
        <v>2431</v>
      </c>
      <c r="BN1388" s="144" t="s">
        <v>2431</v>
      </c>
      <c r="BO1388" s="144" t="s">
        <v>2431</v>
      </c>
      <c r="BP1388" s="144" t="s">
        <v>2431</v>
      </c>
      <c r="BQ1388" s="144" t="s">
        <v>2431</v>
      </c>
      <c r="BR1388" s="144" t="s">
        <v>2431</v>
      </c>
      <c r="BS1388" s="144" t="s">
        <v>2431</v>
      </c>
      <c r="BT1388" s="301" t="s">
        <v>2431</v>
      </c>
      <c r="BU1388" s="144" t="s">
        <v>2431</v>
      </c>
      <c r="BV1388" s="144" t="s">
        <v>2431</v>
      </c>
      <c r="BW1388" s="144" t="s">
        <v>2431</v>
      </c>
      <c r="BX1388" s="144" t="s">
        <v>2431</v>
      </c>
      <c r="BY1388" s="144" t="s">
        <v>2431</v>
      </c>
      <c r="BZ1388" s="144" t="s">
        <v>2431</v>
      </c>
      <c r="CA1388" s="144" t="s">
        <v>2431</v>
      </c>
      <c r="CB1388" s="144" t="s">
        <v>2431</v>
      </c>
      <c r="CC1388" s="144" t="s">
        <v>2431</v>
      </c>
      <c r="CD1388" s="144" t="s">
        <v>2431</v>
      </c>
      <c r="CE1388" s="144" t="s">
        <v>2431</v>
      </c>
      <c r="CF1388" s="145" t="s">
        <v>2431</v>
      </c>
      <c r="CG1388" s="128"/>
    </row>
    <row r="1389" spans="1:85" hidden="1" outlineLevel="1" x14ac:dyDescent="0.3">
      <c r="A1389" s="93"/>
      <c r="B1389" s="757"/>
      <c r="C1389" s="640"/>
      <c r="D1389" s="640"/>
      <c r="E1389" s="757"/>
      <c r="F1389" s="757"/>
      <c r="G1389" s="757"/>
      <c r="H1389" s="757"/>
      <c r="I1389" s="757"/>
      <c r="J1389" s="757"/>
      <c r="K1389" s="757"/>
      <c r="L1389" s="757"/>
      <c r="M1389" s="757"/>
      <c r="N1389" s="757"/>
      <c r="O1389" s="757"/>
      <c r="P1389" s="757"/>
      <c r="Q1389" s="757"/>
      <c r="R1389" s="757"/>
      <c r="S1389" s="757"/>
      <c r="T1389" s="757"/>
      <c r="U1389" s="757"/>
      <c r="V1389" s="757"/>
      <c r="W1389" s="757"/>
      <c r="X1389" s="757"/>
      <c r="Y1389" s="757"/>
      <c r="Z1389" s="757"/>
      <c r="AA1389" s="757"/>
      <c r="AB1389" s="757"/>
      <c r="AC1389" s="757"/>
      <c r="AD1389" s="757"/>
      <c r="AE1389" s="757"/>
      <c r="AF1389" s="757"/>
      <c r="AG1389" s="757"/>
      <c r="AH1389" s="757"/>
      <c r="AI1389" s="757"/>
      <c r="AJ1389" s="757"/>
      <c r="AK1389" s="757"/>
      <c r="AL1389" s="757"/>
      <c r="AM1389" s="757"/>
      <c r="AN1389" s="757"/>
      <c r="AO1389" s="757"/>
      <c r="AP1389" s="757"/>
      <c r="AQ1389" s="757"/>
      <c r="AR1389" s="757"/>
      <c r="AS1389" s="757"/>
      <c r="AT1389" s="757"/>
      <c r="AU1389" s="757"/>
      <c r="AV1389" s="757"/>
      <c r="AW1389" s="757"/>
      <c r="AX1389" s="757"/>
      <c r="AY1389" s="757"/>
      <c r="AZ1389" s="757"/>
      <c r="BA1389" s="757"/>
      <c r="BB1389" s="757"/>
      <c r="BC1389" s="757"/>
      <c r="BD1389" s="757"/>
      <c r="BE1389" s="757"/>
      <c r="BF1389" s="757"/>
      <c r="BG1389" s="757"/>
      <c r="BH1389" s="757"/>
      <c r="BI1389" s="757"/>
      <c r="BJ1389" s="757"/>
      <c r="BK1389" s="757"/>
      <c r="BL1389" s="757"/>
      <c r="BM1389" s="757"/>
      <c r="BN1389" s="757"/>
      <c r="BO1389" s="757"/>
      <c r="BP1389" s="757"/>
      <c r="BQ1389" s="757"/>
      <c r="BR1389" s="757"/>
      <c r="BS1389" s="757"/>
      <c r="BT1389" s="758"/>
      <c r="BU1389" s="757"/>
      <c r="BV1389" s="757"/>
      <c r="BW1389" s="757"/>
      <c r="BX1389" s="757"/>
      <c r="BY1389" s="757"/>
      <c r="BZ1389" s="757"/>
      <c r="CA1389" s="757"/>
      <c r="CB1389" s="757"/>
      <c r="CC1389" s="757"/>
      <c r="CD1389" s="757"/>
      <c r="CE1389" s="757"/>
      <c r="CF1389" s="92"/>
      <c r="CG1389" s="459"/>
    </row>
    <row r="1390" spans="1:85" collapsed="1" x14ac:dyDescent="0.3">
      <c r="A1390" s="147" t="str">
        <f>"FX Average: "&amp;IF(OR(MO.RealTimeStockPriceToggle=FALSE,VLOOKUP(MO.DataSourceName,MO_SPT_FXAverage_Sources,COLUMN()+2,FALSE)="N/A"),"Real-Time Off Source",MO.DataSourceName)</f>
      </c>
      <c r="B1390" s="404"/>
      <c r="C1390" s="651">
        <f t="shared" ref="C1390:AH1390" si="2996">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D1390" s="651">
        <f t="shared" si="2996"/>
      </c>
      <c r="E1390" s="404">
        <f t="shared" si="2996"/>
      </c>
      <c r="F1390" s="404">
        <f t="shared" si="2996"/>
      </c>
      <c r="G1390" s="404">
        <f t="shared" si="2996"/>
      </c>
      <c r="H1390" s="404">
        <f t="shared" si="2996"/>
      </c>
      <c r="I1390" s="404">
        <f t="shared" si="2996"/>
      </c>
      <c r="J1390" s="404">
        <f t="shared" si="2996"/>
      </c>
      <c r="K1390" s="404">
        <f t="shared" si="2996"/>
      </c>
      <c r="L1390" s="404">
        <f t="shared" si="2996"/>
      </c>
      <c r="M1390" s="404">
        <f t="shared" si="2996"/>
      </c>
      <c r="N1390" s="404">
        <f t="shared" si="2996"/>
      </c>
      <c r="O1390" s="404">
        <f t="shared" si="2996"/>
      </c>
      <c r="P1390" s="404">
        <f t="shared" si="2996"/>
      </c>
      <c r="Q1390" s="404">
        <f t="shared" si="2996"/>
      </c>
      <c r="R1390" s="404">
        <f t="shared" si="2996"/>
      </c>
      <c r="S1390" s="404">
        <f t="shared" si="2996"/>
      </c>
      <c r="T1390" s="404">
        <f t="shared" si="2996"/>
      </c>
      <c r="U1390" s="404">
        <f t="shared" si="2996"/>
      </c>
      <c r="V1390" s="404">
        <f t="shared" si="2996"/>
      </c>
      <c r="W1390" s="404">
        <f t="shared" si="2996"/>
      </c>
      <c r="X1390" s="404">
        <f t="shared" si="2996"/>
      </c>
      <c r="Y1390" s="404">
        <f t="shared" si="2996"/>
      </c>
      <c r="Z1390" s="404">
        <f t="shared" si="2996"/>
      </c>
      <c r="AA1390" s="404">
        <f t="shared" si="2996"/>
      </c>
      <c r="AB1390" s="404">
        <f t="shared" si="2996"/>
      </c>
      <c r="AC1390" s="404">
        <f t="shared" si="2996"/>
      </c>
      <c r="AD1390" s="404">
        <f t="shared" si="2996"/>
      </c>
      <c r="AE1390" s="404">
        <f t="shared" si="2996"/>
      </c>
      <c r="AF1390" s="404">
        <f t="shared" si="2996"/>
      </c>
      <c r="AG1390" s="404">
        <f t="shared" si="2996"/>
      </c>
      <c r="AH1390" s="404">
        <f t="shared" si="2996"/>
      </c>
      <c r="AI1390" s="404">
        <f t="shared" ref="AI1390:BQ1390" si="2997">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AJ1390" s="404">
        <f t="shared" si="2997"/>
      </c>
      <c r="AK1390" s="404">
        <f t="shared" si="2997"/>
      </c>
      <c r="AL1390" s="404">
        <f t="shared" si="2997"/>
      </c>
      <c r="AM1390" s="404">
        <f t="shared" si="2997"/>
      </c>
      <c r="AN1390" s="404">
        <f t="shared" si="2997"/>
      </c>
      <c r="AO1390" s="404">
        <f t="shared" si="2997"/>
      </c>
      <c r="AP1390" s="404">
        <f t="shared" si="2997"/>
      </c>
      <c r="AQ1390" s="404">
        <f t="shared" si="2997"/>
      </c>
      <c r="AR1390" s="404">
        <f t="shared" si="2997"/>
      </c>
      <c r="AS1390" s="404">
        <f t="shared" si="2997"/>
      </c>
      <c r="AT1390" s="404">
        <f t="shared" si="2997"/>
      </c>
      <c r="AU1390" s="404">
        <f t="shared" si="2997"/>
      </c>
      <c r="AV1390" s="404">
        <f t="shared" si="2997"/>
      </c>
      <c r="AW1390" s="404">
        <f t="shared" si="2997"/>
      </c>
      <c r="AX1390" s="404">
        <f t="shared" si="2997"/>
      </c>
      <c r="AY1390" s="404">
        <f t="shared" si="2997"/>
      </c>
      <c r="AZ1390" s="404">
        <f t="shared" si="2997"/>
      </c>
      <c r="BA1390" s="404">
        <f t="shared" si="2997"/>
      </c>
      <c r="BB1390" s="404">
        <f t="shared" si="2997"/>
      </c>
      <c r="BC1390" s="404">
        <f t="shared" si="2997"/>
      </c>
      <c r="BD1390" s="404">
        <f t="shared" si="2997"/>
      </c>
      <c r="BE1390" s="404">
        <f t="shared" si="2997"/>
      </c>
      <c r="BF1390" s="404">
        <f t="shared" si="2997"/>
      </c>
      <c r="BG1390" s="404">
        <f t="shared" si="2997"/>
      </c>
      <c r="BH1390" s="404">
        <f t="shared" si="2997"/>
      </c>
      <c r="BI1390" s="404">
        <f t="shared" si="2997"/>
      </c>
      <c r="BJ1390" s="404">
        <f t="shared" si="2997"/>
      </c>
      <c r="BK1390" s="404">
        <f t="shared" si="2997"/>
      </c>
      <c r="BL1390" s="404">
        <f t="shared" si="2997"/>
      </c>
      <c r="BM1390" s="404">
        <f t="shared" si="2997"/>
      </c>
      <c r="BN1390" s="404">
        <f t="shared" si="2997"/>
      </c>
      <c r="BO1390" s="404">
        <f t="shared" si="2997"/>
      </c>
      <c r="BP1390" s="404">
        <f t="shared" si="2997"/>
      </c>
      <c r="BQ1390" s="404">
        <f t="shared" si="2997"/>
      </c>
      <c r="BR1390" s="404">
        <f t="shared" ref="BR1390:BW1390" si="2998">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S1390" s="404">
        <f t="shared" si="2998"/>
      </c>
      <c r="BT1390" s="547">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U1390" s="404">
        <f t="shared" si="2998"/>
      </c>
      <c r="BV1390" s="404">
        <f t="shared" si="2998"/>
      </c>
      <c r="BW1390" s="404">
        <f t="shared" si="2998"/>
      </c>
      <c r="BX1390" s="404">
        <f t="shared" ref="BX1390" si="2999">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Y1390" s="404">
        <f t="shared" ref="BY1390:CF1390" si="3000">IF(OR(MO.RealTimeStockPriceToggle=FALSE,EXACT(HP.TradeCurrency,MO.ReportCurrency),VLOOKUP(MO.DataSourceName,MO_SPT_FXAverage_Sources,COLUMN(),FALSE)="N/A",MO.ApplyTradeCurrencyScaling),VLOOKUP("Real-Time Off Source",MO_SPT_FXAverage_Sources,COLUMN(),FALSE),VLOOKUP(MO.DataSourceName,MO_SPT_FXAverage_Sources,COLUMN(),FALSE))</f>
      </c>
      <c r="BZ1390" s="404">
        <f t="shared" si="3000"/>
      </c>
      <c r="CA1390" s="404">
        <f t="shared" si="3000"/>
      </c>
      <c r="CB1390" s="404">
        <f t="shared" si="3000"/>
      </c>
      <c r="CC1390" s="404">
        <f t="shared" si="3000"/>
      </c>
      <c r="CD1390" s="404">
        <f t="shared" si="3000"/>
      </c>
      <c r="CE1390" s="404">
        <f t="shared" si="3000"/>
      </c>
      <c r="CF1390" s="405">
        <f t="shared" si="3000"/>
      </c>
      <c r="CG1390" s="148"/>
    </row>
    <row r="1391" spans="1:85" hidden="1" outlineLevel="1" x14ac:dyDescent="0.3">
      <c r="A1391" s="149" t="s">
        <v>251</v>
      </c>
      <c r="B1391" s="404"/>
      <c r="C1391" s="919">
        <v>1</v>
      </c>
      <c r="D1391" s="919">
        <v>1</v>
      </c>
      <c r="E1391" s="920">
        <v>1</v>
      </c>
      <c r="F1391" s="920">
        <v>1</v>
      </c>
      <c r="G1391" s="920">
        <v>1</v>
      </c>
      <c r="H1391" s="920">
        <v>1</v>
      </c>
      <c r="I1391" s="920">
        <v>1</v>
      </c>
      <c r="J1391" s="920">
        <v>1</v>
      </c>
      <c r="K1391" s="920">
        <v>1</v>
      </c>
      <c r="L1391" s="920">
        <v>1</v>
      </c>
      <c r="M1391" s="920">
        <v>1</v>
      </c>
      <c r="N1391" s="920">
        <v>1</v>
      </c>
      <c r="O1391" s="920">
        <v>1</v>
      </c>
      <c r="P1391" s="920">
        <v>1</v>
      </c>
      <c r="Q1391" s="920">
        <v>1</v>
      </c>
      <c r="R1391" s="920">
        <v>1</v>
      </c>
      <c r="S1391" s="920">
        <v>1</v>
      </c>
      <c r="T1391" s="920">
        <v>1</v>
      </c>
      <c r="U1391" s="920">
        <v>1</v>
      </c>
      <c r="V1391" s="920">
        <v>1</v>
      </c>
      <c r="W1391" s="920">
        <v>1</v>
      </c>
      <c r="X1391" s="920">
        <v>1</v>
      </c>
      <c r="Y1391" s="920">
        <v>1</v>
      </c>
      <c r="Z1391" s="920">
        <v>1</v>
      </c>
      <c r="AA1391" s="920">
        <v>1</v>
      </c>
      <c r="AB1391" s="920">
        <v>1</v>
      </c>
      <c r="AC1391" s="920">
        <v>1</v>
      </c>
      <c r="AD1391" s="920">
        <v>1</v>
      </c>
      <c r="AE1391" s="920">
        <v>1</v>
      </c>
      <c r="AF1391" s="920">
        <v>1</v>
      </c>
      <c r="AG1391" s="920">
        <v>1</v>
      </c>
      <c r="AH1391" s="920">
        <v>1</v>
      </c>
      <c r="AI1391" s="920">
        <v>1</v>
      </c>
      <c r="AJ1391" s="920">
        <v>1</v>
      </c>
      <c r="AK1391" s="920">
        <v>1</v>
      </c>
      <c r="AL1391" s="920">
        <v>1</v>
      </c>
      <c r="AM1391" s="920">
        <v>1</v>
      </c>
      <c r="AN1391" s="920">
        <v>1</v>
      </c>
      <c r="AO1391" s="920">
        <v>1</v>
      </c>
      <c r="AP1391" s="920">
        <v>1</v>
      </c>
      <c r="AQ1391" s="920">
        <v>1</v>
      </c>
      <c r="AR1391" s="920">
        <v>1</v>
      </c>
      <c r="AS1391" s="920">
        <v>1</v>
      </c>
      <c r="AT1391" s="920">
        <v>1</v>
      </c>
      <c r="AU1391" s="920">
        <v>1</v>
      </c>
      <c r="AV1391" s="920">
        <v>1</v>
      </c>
      <c r="AW1391" s="920">
        <v>1</v>
      </c>
      <c r="AX1391" s="920">
        <v>1</v>
      </c>
      <c r="AY1391" s="920">
        <v>1</v>
      </c>
      <c r="AZ1391" s="920">
        <v>1</v>
      </c>
      <c r="BA1391" s="920">
        <v>1</v>
      </c>
      <c r="BB1391" s="920">
        <v>1</v>
      </c>
      <c r="BC1391" s="920">
        <v>1</v>
      </c>
      <c r="BD1391" s="920">
        <v>1</v>
      </c>
      <c r="BE1391" s="920">
        <v>1</v>
      </c>
      <c r="BF1391" s="920">
        <v>1</v>
      </c>
      <c r="BG1391" s="920">
        <v>1</v>
      </c>
      <c r="BH1391" s="920">
        <v>1</v>
      </c>
      <c r="BI1391" s="920">
        <v>1</v>
      </c>
      <c r="BJ1391" s="920">
        <v>1</v>
      </c>
      <c r="BK1391" s="920">
        <v>1</v>
      </c>
      <c r="BL1391" s="920">
        <v>1</v>
      </c>
      <c r="BM1391" s="920">
        <v>1</v>
      </c>
      <c r="BN1391" s="920">
        <v>1</v>
      </c>
      <c r="BO1391" s="920">
        <v>1</v>
      </c>
      <c r="BP1391" s="920">
        <v>1</v>
      </c>
      <c r="BQ1391" s="920">
        <v>1</v>
      </c>
      <c r="BR1391" s="920">
        <v>1</v>
      </c>
      <c r="BS1391" s="920">
        <v>1</v>
      </c>
      <c r="BT1391" s="921">
        <v>1</v>
      </c>
      <c r="BU1391" s="404">
        <f t="shared" ref="BU1391:CF1391" si="3001">MO.MRFX.Hardcoded</f>
      </c>
      <c r="BV1391" s="404">
        <f t="shared" si="3001"/>
      </c>
      <c r="BW1391" s="404">
        <f t="shared" si="3001"/>
      </c>
      <c r="BX1391" s="404">
        <f t="shared" si="3001"/>
      </c>
      <c r="BY1391" s="404">
        <f t="shared" si="3001"/>
      </c>
      <c r="BZ1391" s="404">
        <f t="shared" si="3001"/>
      </c>
      <c r="CA1391" s="404">
        <f t="shared" si="3001"/>
      </c>
      <c r="CB1391" s="404">
        <f t="shared" si="3001"/>
      </c>
      <c r="CC1391" s="404">
        <f t="shared" si="3001"/>
      </c>
      <c r="CD1391" s="404">
        <f t="shared" si="3001"/>
      </c>
      <c r="CE1391" s="404">
        <f t="shared" si="3001"/>
      </c>
      <c r="CF1391" s="405">
        <f t="shared" si="3001"/>
      </c>
      <c r="CG1391" s="148"/>
    </row>
    <row r="1392" spans="1:85" hidden="1" outlineLevel="1" x14ac:dyDescent="0.3">
      <c r="A1392" s="149" t="s">
        <v>0</v>
      </c>
      <c r="B1392" s="404"/>
      <c r="C1392" s="651" t="s">
        <v>2431</v>
      </c>
      <c r="D1392" s="651" t="s">
        <v>2431</v>
      </c>
      <c r="E1392" s="404" t="s">
        <v>2431</v>
      </c>
      <c r="F1392" s="404" t="s">
        <v>2431</v>
      </c>
      <c r="G1392" s="404" t="s">
        <v>2431</v>
      </c>
      <c r="H1392" s="404" t="s">
        <v>2431</v>
      </c>
      <c r="I1392" s="404" t="s">
        <v>2431</v>
      </c>
      <c r="J1392" s="404" t="s">
        <v>2431</v>
      </c>
      <c r="K1392" s="404" t="s">
        <v>2431</v>
      </c>
      <c r="L1392" s="404" t="s">
        <v>2431</v>
      </c>
      <c r="M1392" s="404" t="s">
        <v>2431</v>
      </c>
      <c r="N1392" s="404" t="s">
        <v>2431</v>
      </c>
      <c r="O1392" s="404" t="s">
        <v>2431</v>
      </c>
      <c r="P1392" s="404" t="s">
        <v>2431</v>
      </c>
      <c r="Q1392" s="404" t="s">
        <v>2431</v>
      </c>
      <c r="R1392" s="404" t="s">
        <v>2431</v>
      </c>
      <c r="S1392" s="404" t="s">
        <v>2431</v>
      </c>
      <c r="T1392" s="404" t="s">
        <v>2431</v>
      </c>
      <c r="U1392" s="404" t="s">
        <v>2431</v>
      </c>
      <c r="V1392" s="404" t="s">
        <v>2431</v>
      </c>
      <c r="W1392" s="404" t="s">
        <v>2431</v>
      </c>
      <c r="X1392" s="404" t="s">
        <v>2431</v>
      </c>
      <c r="Y1392" s="404" t="s">
        <v>2431</v>
      </c>
      <c r="Z1392" s="404" t="s">
        <v>2431</v>
      </c>
      <c r="AA1392" s="404" t="s">
        <v>2431</v>
      </c>
      <c r="AB1392" s="404" t="s">
        <v>2431</v>
      </c>
      <c r="AC1392" s="404" t="s">
        <v>2431</v>
      </c>
      <c r="AD1392" s="404" t="s">
        <v>2431</v>
      </c>
      <c r="AE1392" s="404" t="s">
        <v>2431</v>
      </c>
      <c r="AF1392" s="404" t="s">
        <v>2431</v>
      </c>
      <c r="AG1392" s="404" t="s">
        <v>2431</v>
      </c>
      <c r="AH1392" s="404" t="s">
        <v>2431</v>
      </c>
      <c r="AI1392" s="404" t="s">
        <v>2431</v>
      </c>
      <c r="AJ1392" s="404" t="s">
        <v>2431</v>
      </c>
      <c r="AK1392" s="404" t="s">
        <v>2431</v>
      </c>
      <c r="AL1392" s="404" t="s">
        <v>2431</v>
      </c>
      <c r="AM1392" s="404" t="s">
        <v>2431</v>
      </c>
      <c r="AN1392" s="404" t="s">
        <v>2431</v>
      </c>
      <c r="AO1392" s="404" t="s">
        <v>2431</v>
      </c>
      <c r="AP1392" s="404" t="s">
        <v>2431</v>
      </c>
      <c r="AQ1392" s="404" t="s">
        <v>2431</v>
      </c>
      <c r="AR1392" s="404" t="s">
        <v>2431</v>
      </c>
      <c r="AS1392" s="404" t="s">
        <v>2431</v>
      </c>
      <c r="AT1392" s="404" t="s">
        <v>2431</v>
      </c>
      <c r="AU1392" s="404" t="s">
        <v>2431</v>
      </c>
      <c r="AV1392" s="404" t="s">
        <v>2431</v>
      </c>
      <c r="AW1392" s="404" t="s">
        <v>2431</v>
      </c>
      <c r="AX1392" s="404" t="s">
        <v>2431</v>
      </c>
      <c r="AY1392" s="404" t="s">
        <v>2431</v>
      </c>
      <c r="AZ1392" s="404" t="s">
        <v>2431</v>
      </c>
      <c r="BA1392" s="404" t="s">
        <v>2431</v>
      </c>
      <c r="BB1392" s="404" t="s">
        <v>2431</v>
      </c>
      <c r="BC1392" s="404" t="s">
        <v>2431</v>
      </c>
      <c r="BD1392" s="404" t="s">
        <v>2431</v>
      </c>
      <c r="BE1392" s="404" t="s">
        <v>2431</v>
      </c>
      <c r="BF1392" s="404" t="s">
        <v>2431</v>
      </c>
      <c r="BG1392" s="404" t="s">
        <v>2431</v>
      </c>
      <c r="BH1392" s="404" t="s">
        <v>2431</v>
      </c>
      <c r="BI1392" s="404" t="s">
        <v>2431</v>
      </c>
      <c r="BJ1392" s="404" t="s">
        <v>2431</v>
      </c>
      <c r="BK1392" s="404" t="s">
        <v>2431</v>
      </c>
      <c r="BL1392" s="404" t="s">
        <v>2431</v>
      </c>
      <c r="BM1392" s="404" t="s">
        <v>2431</v>
      </c>
      <c r="BN1392" s="404" t="s">
        <v>2431</v>
      </c>
      <c r="BO1392" s="404" t="s">
        <v>2431</v>
      </c>
      <c r="BP1392" s="404" t="s">
        <v>2431</v>
      </c>
      <c r="BQ1392" s="404" t="s">
        <v>2431</v>
      </c>
      <c r="BR1392" s="404" t="s">
        <v>2431</v>
      </c>
      <c r="BS1392" s="404" t="s">
        <v>2431</v>
      </c>
      <c r="BT1392" s="547" t="s">
        <v>2431</v>
      </c>
      <c r="BU1392" s="404" t="s">
        <v>2431</v>
      </c>
      <c r="BV1392" s="404" t="s">
        <v>2431</v>
      </c>
      <c r="BW1392" s="404" t="s">
        <v>2431</v>
      </c>
      <c r="BX1392" s="404" t="s">
        <v>2431</v>
      </c>
      <c r="BY1392" s="404" t="s">
        <v>2431</v>
      </c>
      <c r="BZ1392" s="404" t="s">
        <v>2431</v>
      </c>
      <c r="CA1392" s="404" t="s">
        <v>2431</v>
      </c>
      <c r="CB1392" s="404" t="s">
        <v>2431</v>
      </c>
      <c r="CC1392" s="404" t="s">
        <v>2431</v>
      </c>
      <c r="CD1392" s="404" t="s">
        <v>2431</v>
      </c>
      <c r="CE1392" s="404" t="s">
        <v>2431</v>
      </c>
      <c r="CF1392" s="405" t="s">
        <v>2431</v>
      </c>
      <c r="CG1392" s="148"/>
    </row>
    <row r="1393" spans="1:85" hidden="1" outlineLevel="1" x14ac:dyDescent="0.3">
      <c r="A1393" s="149" t="s">
        <v>252</v>
      </c>
      <c r="B1393" s="404"/>
      <c r="C1393" s="651" t="s">
        <v>2431</v>
      </c>
      <c r="D1393" s="651" t="s">
        <v>2431</v>
      </c>
      <c r="E1393" s="404" t="s">
        <v>2431</v>
      </c>
      <c r="F1393" s="404" t="s">
        <v>2431</v>
      </c>
      <c r="G1393" s="404" t="s">
        <v>2431</v>
      </c>
      <c r="H1393" s="404" t="s">
        <v>2431</v>
      </c>
      <c r="I1393" s="404" t="s">
        <v>2431</v>
      </c>
      <c r="J1393" s="404" t="s">
        <v>2431</v>
      </c>
      <c r="K1393" s="404" t="s">
        <v>2431</v>
      </c>
      <c r="L1393" s="404" t="s">
        <v>2431</v>
      </c>
      <c r="M1393" s="404" t="s">
        <v>2431</v>
      </c>
      <c r="N1393" s="404" t="s">
        <v>2431</v>
      </c>
      <c r="O1393" s="404" t="s">
        <v>2431</v>
      </c>
      <c r="P1393" s="404" t="s">
        <v>2431</v>
      </c>
      <c r="Q1393" s="404" t="s">
        <v>2431</v>
      </c>
      <c r="R1393" s="404" t="s">
        <v>2431</v>
      </c>
      <c r="S1393" s="404" t="s">
        <v>2431</v>
      </c>
      <c r="T1393" s="404" t="s">
        <v>2431</v>
      </c>
      <c r="U1393" s="404" t="s">
        <v>2431</v>
      </c>
      <c r="V1393" s="404" t="s">
        <v>2431</v>
      </c>
      <c r="W1393" s="404" t="s">
        <v>2431</v>
      </c>
      <c r="X1393" s="404" t="s">
        <v>2431</v>
      </c>
      <c r="Y1393" s="404" t="s">
        <v>2431</v>
      </c>
      <c r="Z1393" s="404" t="s">
        <v>2431</v>
      </c>
      <c r="AA1393" s="404" t="s">
        <v>2431</v>
      </c>
      <c r="AB1393" s="404" t="s">
        <v>2431</v>
      </c>
      <c r="AC1393" s="404" t="s">
        <v>2431</v>
      </c>
      <c r="AD1393" s="404" t="s">
        <v>2431</v>
      </c>
      <c r="AE1393" s="404" t="s">
        <v>2431</v>
      </c>
      <c r="AF1393" s="404" t="s">
        <v>2431</v>
      </c>
      <c r="AG1393" s="404" t="s">
        <v>2431</v>
      </c>
      <c r="AH1393" s="404" t="s">
        <v>2431</v>
      </c>
      <c r="AI1393" s="404" t="s">
        <v>2431</v>
      </c>
      <c r="AJ1393" s="404" t="s">
        <v>2431</v>
      </c>
      <c r="AK1393" s="404" t="s">
        <v>2431</v>
      </c>
      <c r="AL1393" s="404" t="s">
        <v>2431</v>
      </c>
      <c r="AM1393" s="404" t="s">
        <v>2431</v>
      </c>
      <c r="AN1393" s="404" t="s">
        <v>2431</v>
      </c>
      <c r="AO1393" s="404" t="s">
        <v>2431</v>
      </c>
      <c r="AP1393" s="404" t="s">
        <v>2431</v>
      </c>
      <c r="AQ1393" s="404" t="s">
        <v>2431</v>
      </c>
      <c r="AR1393" s="404" t="s">
        <v>2431</v>
      </c>
      <c r="AS1393" s="404" t="s">
        <v>2431</v>
      </c>
      <c r="AT1393" s="404" t="s">
        <v>2431</v>
      </c>
      <c r="AU1393" s="404" t="s">
        <v>2431</v>
      </c>
      <c r="AV1393" s="404" t="s">
        <v>2431</v>
      </c>
      <c r="AW1393" s="404" t="s">
        <v>2431</v>
      </c>
      <c r="AX1393" s="404" t="s">
        <v>2431</v>
      </c>
      <c r="AY1393" s="404" t="s">
        <v>2431</v>
      </c>
      <c r="AZ1393" s="404" t="s">
        <v>2431</v>
      </c>
      <c r="BA1393" s="404" t="s">
        <v>2431</v>
      </c>
      <c r="BB1393" s="404" t="s">
        <v>2431</v>
      </c>
      <c r="BC1393" s="404" t="s">
        <v>2431</v>
      </c>
      <c r="BD1393" s="404" t="s">
        <v>2431</v>
      </c>
      <c r="BE1393" s="404" t="s">
        <v>2431</v>
      </c>
      <c r="BF1393" s="404" t="s">
        <v>2431</v>
      </c>
      <c r="BG1393" s="404" t="s">
        <v>2431</v>
      </c>
      <c r="BH1393" s="404" t="s">
        <v>2431</v>
      </c>
      <c r="BI1393" s="404" t="s">
        <v>2431</v>
      </c>
      <c r="BJ1393" s="404" t="s">
        <v>2431</v>
      </c>
      <c r="BK1393" s="404" t="s">
        <v>2431</v>
      </c>
      <c r="BL1393" s="404" t="s">
        <v>2431</v>
      </c>
      <c r="BM1393" s="404" t="s">
        <v>2431</v>
      </c>
      <c r="BN1393" s="404" t="s">
        <v>2431</v>
      </c>
      <c r="BO1393" s="404" t="s">
        <v>2431</v>
      </c>
      <c r="BP1393" s="404" t="s">
        <v>2431</v>
      </c>
      <c r="BQ1393" s="404" t="s">
        <v>2431</v>
      </c>
      <c r="BR1393" s="404" t="s">
        <v>2431</v>
      </c>
      <c r="BS1393" s="404" t="s">
        <v>2431</v>
      </c>
      <c r="BT1393" s="547" t="s">
        <v>2431</v>
      </c>
      <c r="BU1393" s="404" t="s">
        <v>2431</v>
      </c>
      <c r="BV1393" s="404" t="s">
        <v>2431</v>
      </c>
      <c r="BW1393" s="404" t="s">
        <v>2431</v>
      </c>
      <c r="BX1393" s="404" t="s">
        <v>2431</v>
      </c>
      <c r="BY1393" s="404" t="s">
        <v>2431</v>
      </c>
      <c r="BZ1393" s="404" t="s">
        <v>2431</v>
      </c>
      <c r="CA1393" s="404" t="s">
        <v>2431</v>
      </c>
      <c r="CB1393" s="404" t="s">
        <v>2431</v>
      </c>
      <c r="CC1393" s="404" t="s">
        <v>2431</v>
      </c>
      <c r="CD1393" s="404" t="s">
        <v>2431</v>
      </c>
      <c r="CE1393" s="404" t="s">
        <v>2431</v>
      </c>
      <c r="CF1393" s="405" t="s">
        <v>2431</v>
      </c>
      <c r="CG1393" s="148"/>
    </row>
    <row r="1394" spans="1:85" hidden="1" outlineLevel="1" x14ac:dyDescent="0.3">
      <c r="A1394" s="149" t="s">
        <v>253</v>
      </c>
      <c r="B1394" s="404"/>
      <c r="C1394" s="651" t="s">
        <v>2431</v>
      </c>
      <c r="D1394" s="651" t="s">
        <v>2431</v>
      </c>
      <c r="E1394" s="404" t="s">
        <v>2431</v>
      </c>
      <c r="F1394" s="404" t="s">
        <v>2431</v>
      </c>
      <c r="G1394" s="404" t="s">
        <v>2431</v>
      </c>
      <c r="H1394" s="404" t="s">
        <v>2431</v>
      </c>
      <c r="I1394" s="404" t="s">
        <v>2431</v>
      </c>
      <c r="J1394" s="404" t="s">
        <v>2431</v>
      </c>
      <c r="K1394" s="404" t="s">
        <v>2431</v>
      </c>
      <c r="L1394" s="404" t="s">
        <v>2431</v>
      </c>
      <c r="M1394" s="404" t="s">
        <v>2431</v>
      </c>
      <c r="N1394" s="404" t="s">
        <v>2431</v>
      </c>
      <c r="O1394" s="404" t="s">
        <v>2431</v>
      </c>
      <c r="P1394" s="404" t="s">
        <v>2431</v>
      </c>
      <c r="Q1394" s="404" t="s">
        <v>2431</v>
      </c>
      <c r="R1394" s="404" t="s">
        <v>2431</v>
      </c>
      <c r="S1394" s="404" t="s">
        <v>2431</v>
      </c>
      <c r="T1394" s="404" t="s">
        <v>2431</v>
      </c>
      <c r="U1394" s="404" t="s">
        <v>2431</v>
      </c>
      <c r="V1394" s="404" t="s">
        <v>2431</v>
      </c>
      <c r="W1394" s="404" t="s">
        <v>2431</v>
      </c>
      <c r="X1394" s="404" t="s">
        <v>2431</v>
      </c>
      <c r="Y1394" s="404" t="s">
        <v>2431</v>
      </c>
      <c r="Z1394" s="404" t="s">
        <v>2431</v>
      </c>
      <c r="AA1394" s="404" t="s">
        <v>2431</v>
      </c>
      <c r="AB1394" s="404" t="s">
        <v>2431</v>
      </c>
      <c r="AC1394" s="404" t="s">
        <v>2431</v>
      </c>
      <c r="AD1394" s="404" t="s">
        <v>2431</v>
      </c>
      <c r="AE1394" s="404" t="s">
        <v>2431</v>
      </c>
      <c r="AF1394" s="404" t="s">
        <v>2431</v>
      </c>
      <c r="AG1394" s="404" t="s">
        <v>2431</v>
      </c>
      <c r="AH1394" s="404" t="s">
        <v>2431</v>
      </c>
      <c r="AI1394" s="404" t="s">
        <v>2431</v>
      </c>
      <c r="AJ1394" s="404" t="s">
        <v>2431</v>
      </c>
      <c r="AK1394" s="404" t="s">
        <v>2431</v>
      </c>
      <c r="AL1394" s="404" t="s">
        <v>2431</v>
      </c>
      <c r="AM1394" s="404" t="s">
        <v>2431</v>
      </c>
      <c r="AN1394" s="404" t="s">
        <v>2431</v>
      </c>
      <c r="AO1394" s="404" t="s">
        <v>2431</v>
      </c>
      <c r="AP1394" s="404" t="s">
        <v>2431</v>
      </c>
      <c r="AQ1394" s="404" t="s">
        <v>2431</v>
      </c>
      <c r="AR1394" s="404" t="s">
        <v>2431</v>
      </c>
      <c r="AS1394" s="404" t="s">
        <v>2431</v>
      </c>
      <c r="AT1394" s="404" t="s">
        <v>2431</v>
      </c>
      <c r="AU1394" s="404" t="s">
        <v>2431</v>
      </c>
      <c r="AV1394" s="404" t="s">
        <v>2431</v>
      </c>
      <c r="AW1394" s="404" t="s">
        <v>2431</v>
      </c>
      <c r="AX1394" s="404" t="s">
        <v>2431</v>
      </c>
      <c r="AY1394" s="404" t="s">
        <v>2431</v>
      </c>
      <c r="AZ1394" s="404" t="s">
        <v>2431</v>
      </c>
      <c r="BA1394" s="404" t="s">
        <v>2431</v>
      </c>
      <c r="BB1394" s="404" t="s">
        <v>2431</v>
      </c>
      <c r="BC1394" s="404" t="s">
        <v>2431</v>
      </c>
      <c r="BD1394" s="404" t="s">
        <v>2431</v>
      </c>
      <c r="BE1394" s="404" t="s">
        <v>2431</v>
      </c>
      <c r="BF1394" s="404" t="s">
        <v>2431</v>
      </c>
      <c r="BG1394" s="404" t="s">
        <v>2431</v>
      </c>
      <c r="BH1394" s="404" t="s">
        <v>2431</v>
      </c>
      <c r="BI1394" s="404" t="s">
        <v>2431</v>
      </c>
      <c r="BJ1394" s="404" t="s">
        <v>2431</v>
      </c>
      <c r="BK1394" s="404" t="s">
        <v>2431</v>
      </c>
      <c r="BL1394" s="404" t="s">
        <v>2431</v>
      </c>
      <c r="BM1394" s="404" t="s">
        <v>2431</v>
      </c>
      <c r="BN1394" s="404" t="s">
        <v>2431</v>
      </c>
      <c r="BO1394" s="404" t="s">
        <v>2431</v>
      </c>
      <c r="BP1394" s="404" t="s">
        <v>2431</v>
      </c>
      <c r="BQ1394" s="404" t="s">
        <v>2431</v>
      </c>
      <c r="BR1394" s="404" t="s">
        <v>2431</v>
      </c>
      <c r="BS1394" s="404" t="s">
        <v>2431</v>
      </c>
      <c r="BT1394" s="547" t="s">
        <v>2431</v>
      </c>
      <c r="BU1394" s="404" t="s">
        <v>2431</v>
      </c>
      <c r="BV1394" s="404" t="s">
        <v>2431</v>
      </c>
      <c r="BW1394" s="404" t="s">
        <v>2431</v>
      </c>
      <c r="BX1394" s="404" t="s">
        <v>2431</v>
      </c>
      <c r="BY1394" s="404" t="s">
        <v>2431</v>
      </c>
      <c r="BZ1394" s="404" t="s">
        <v>2431</v>
      </c>
      <c r="CA1394" s="404" t="s">
        <v>2431</v>
      </c>
      <c r="CB1394" s="404" t="s">
        <v>2431</v>
      </c>
      <c r="CC1394" s="404" t="s">
        <v>2431</v>
      </c>
      <c r="CD1394" s="404" t="s">
        <v>2431</v>
      </c>
      <c r="CE1394" s="404" t="s">
        <v>2431</v>
      </c>
      <c r="CF1394" s="405" t="s">
        <v>2431</v>
      </c>
      <c r="CG1394" s="148"/>
    </row>
    <row r="1395" spans="1:85" hidden="1" outlineLevel="1" x14ac:dyDescent="0.3">
      <c r="A1395" s="149" t="s">
        <v>503</v>
      </c>
      <c r="B1395" s="404"/>
      <c r="C1395" s="651" t="str">
        <f t="shared" ref="C1395:AH1395" si="3002">"N/A"</f>
      </c>
      <c r="D1395" s="651" t="str">
        <f t="shared" si="3002"/>
      </c>
      <c r="E1395" s="404" t="str">
        <f t="shared" si="3002"/>
      </c>
      <c r="F1395" s="404" t="str">
        <f t="shared" si="3002"/>
      </c>
      <c r="G1395" s="404" t="str">
        <f t="shared" si="3002"/>
      </c>
      <c r="H1395" s="404" t="str">
        <f t="shared" si="3002"/>
      </c>
      <c r="I1395" s="404" t="str">
        <f t="shared" si="3002"/>
      </c>
      <c r="J1395" s="404" t="str">
        <f t="shared" si="3002"/>
      </c>
      <c r="K1395" s="404" t="str">
        <f t="shared" si="3002"/>
      </c>
      <c r="L1395" s="404" t="str">
        <f t="shared" si="3002"/>
      </c>
      <c r="M1395" s="404" t="str">
        <f t="shared" si="3002"/>
      </c>
      <c r="N1395" s="404" t="str">
        <f t="shared" si="3002"/>
      </c>
      <c r="O1395" s="404" t="str">
        <f t="shared" si="3002"/>
      </c>
      <c r="P1395" s="404" t="str">
        <f t="shared" si="3002"/>
      </c>
      <c r="Q1395" s="404" t="str">
        <f t="shared" si="3002"/>
      </c>
      <c r="R1395" s="404" t="str">
        <f t="shared" si="3002"/>
      </c>
      <c r="S1395" s="404" t="str">
        <f t="shared" si="3002"/>
      </c>
      <c r="T1395" s="404" t="str">
        <f t="shared" si="3002"/>
      </c>
      <c r="U1395" s="404" t="str">
        <f t="shared" si="3002"/>
      </c>
      <c r="V1395" s="404" t="str">
        <f t="shared" si="3002"/>
      </c>
      <c r="W1395" s="404" t="str">
        <f t="shared" si="3002"/>
      </c>
      <c r="X1395" s="404" t="str">
        <f t="shared" si="3002"/>
      </c>
      <c r="Y1395" s="404" t="str">
        <f t="shared" si="3002"/>
      </c>
      <c r="Z1395" s="404" t="str">
        <f t="shared" si="3002"/>
      </c>
      <c r="AA1395" s="404" t="str">
        <f t="shared" si="3002"/>
      </c>
      <c r="AB1395" s="404" t="str">
        <f t="shared" si="3002"/>
      </c>
      <c r="AC1395" s="404" t="str">
        <f t="shared" si="3002"/>
      </c>
      <c r="AD1395" s="404" t="str">
        <f t="shared" si="3002"/>
      </c>
      <c r="AE1395" s="404" t="str">
        <f t="shared" si="3002"/>
      </c>
      <c r="AF1395" s="404" t="str">
        <f t="shared" si="3002"/>
      </c>
      <c r="AG1395" s="404" t="str">
        <f t="shared" si="3002"/>
      </c>
      <c r="AH1395" s="404" t="str">
        <f t="shared" si="3002"/>
      </c>
      <c r="AI1395" s="404" t="str">
        <f t="shared" ref="AI1395:AW1395" si="3003">"N/A"</f>
      </c>
      <c r="AJ1395" s="404" t="str">
        <f t="shared" si="3003"/>
      </c>
      <c r="AK1395" s="404" t="str">
        <f t="shared" si="3003"/>
      </c>
      <c r="AL1395" s="404" t="str">
        <f t="shared" si="3003"/>
      </c>
      <c r="AM1395" s="404" t="str">
        <f t="shared" si="3003"/>
      </c>
      <c r="AN1395" s="404" t="str">
        <f t="shared" si="3003"/>
      </c>
      <c r="AO1395" s="404" t="str">
        <f t="shared" si="3003"/>
      </c>
      <c r="AP1395" s="404" t="str">
        <f t="shared" si="3003"/>
      </c>
      <c r="AQ1395" s="404" t="str">
        <f t="shared" si="3003"/>
      </c>
      <c r="AR1395" s="404" t="str">
        <f t="shared" si="3003"/>
      </c>
      <c r="AS1395" s="404" t="str">
        <f t="shared" si="3003"/>
      </c>
      <c r="AT1395" s="404" t="str">
        <f t="shared" si="3003"/>
      </c>
      <c r="AU1395" s="404" t="str">
        <f t="shared" si="3003"/>
      </c>
      <c r="AV1395" s="404" t="str">
        <f t="shared" si="3003"/>
      </c>
      <c r="AW1395" s="404" t="str">
        <f t="shared" si="3003"/>
      </c>
      <c r="AX1395" s="404" t="str">
        <f t="shared" ref="AX1395:BD1395" si="3004">"N/A"</f>
      </c>
      <c r="AY1395" s="404" t="str">
        <f t="shared" si="3004"/>
      </c>
      <c r="AZ1395" s="404" t="str">
        <f t="shared" si="3004"/>
      </c>
      <c r="BA1395" s="404" t="str">
        <f t="shared" si="3004"/>
      </c>
      <c r="BB1395" s="404" t="str">
        <f t="shared" si="3004"/>
      </c>
      <c r="BC1395" s="404" t="str">
        <f t="shared" si="3004"/>
      </c>
      <c r="BD1395" s="404" t="str">
        <f t="shared" si="3004"/>
      </c>
      <c r="BE1395" s="404" t="str">
        <f t="shared" ref="BE1395:BI1395" si="3005">"N/A"</f>
      </c>
      <c r="BF1395" s="404" t="str">
        <f t="shared" si="3005"/>
      </c>
      <c r="BG1395" s="404" t="str">
        <f t="shared" si="3005"/>
      </c>
      <c r="BH1395" s="404" t="str">
        <f t="shared" si="3005"/>
      </c>
      <c r="BI1395" s="404" t="str">
        <f t="shared" si="3005"/>
      </c>
      <c r="BJ1395" s="404" t="str">
        <f t="shared" ref="BJ1395:BX1395" si="3006">"N/A"</f>
      </c>
      <c r="BK1395" s="404" t="str">
        <f t="shared" si="3006"/>
      </c>
      <c r="BL1395" s="404" t="str">
        <f t="shared" si="3006"/>
      </c>
      <c r="BM1395" s="404" t="str">
        <f t="shared" si="3006"/>
      </c>
      <c r="BN1395" s="404" t="str">
        <f t="shared" si="3006"/>
      </c>
      <c r="BO1395" s="404" t="str">
        <f t="shared" ref="BO1395:BW1395" si="3007">"N/A"</f>
      </c>
      <c r="BP1395" s="404" t="str">
        <f t="shared" si="3007"/>
      </c>
      <c r="BQ1395" s="404" t="str">
        <f t="shared" si="3007"/>
      </c>
      <c r="BR1395" s="404" t="str">
        <f t="shared" si="3007"/>
      </c>
      <c r="BS1395" s="404" t="str">
        <f t="shared" si="3007"/>
      </c>
      <c r="BT1395" s="547" t="str">
        <f>"N/A"</f>
      </c>
      <c r="BU1395" s="404" t="str">
        <f t="shared" si="3007"/>
      </c>
      <c r="BV1395" s="404" t="str">
        <f t="shared" si="3007"/>
      </c>
      <c r="BW1395" s="404" t="str">
        <f t="shared" si="3007"/>
      </c>
      <c r="BX1395" s="404" t="str">
        <f t="shared" si="3006"/>
      </c>
      <c r="BY1395" s="404" t="str">
        <f t="shared" ref="BY1395:CF1395" si="3008">"N/A"</f>
      </c>
      <c r="BZ1395" s="404" t="str">
        <f t="shared" si="3008"/>
      </c>
      <c r="CA1395" s="404" t="str">
        <f t="shared" si="3008"/>
      </c>
      <c r="CB1395" s="404" t="str">
        <f t="shared" si="3008"/>
      </c>
      <c r="CC1395" s="404" t="str">
        <f t="shared" si="3008"/>
      </c>
      <c r="CD1395" s="404" t="str">
        <f t="shared" si="3008"/>
      </c>
      <c r="CE1395" s="404" t="str">
        <f t="shared" si="3008"/>
      </c>
      <c r="CF1395" s="405" t="str">
        <f t="shared" si="3008"/>
      </c>
      <c r="CG1395" s="148"/>
    </row>
    <row r="1396" spans="1:85" hidden="1" outlineLevel="1" x14ac:dyDescent="0.3">
      <c r="A1396" s="93"/>
      <c r="B1396" s="757"/>
      <c r="C1396" s="640"/>
      <c r="D1396" s="640"/>
      <c r="E1396" s="757"/>
      <c r="F1396" s="757"/>
      <c r="G1396" s="757"/>
      <c r="H1396" s="757"/>
      <c r="I1396" s="757"/>
      <c r="J1396" s="757"/>
      <c r="K1396" s="757"/>
      <c r="L1396" s="757"/>
      <c r="M1396" s="757"/>
      <c r="N1396" s="757"/>
      <c r="O1396" s="757"/>
      <c r="P1396" s="757"/>
      <c r="Q1396" s="757"/>
      <c r="R1396" s="757"/>
      <c r="S1396" s="757"/>
      <c r="T1396" s="757"/>
      <c r="U1396" s="757"/>
      <c r="V1396" s="757"/>
      <c r="W1396" s="757"/>
      <c r="X1396" s="757"/>
      <c r="Y1396" s="757"/>
      <c r="Z1396" s="757"/>
      <c r="AA1396" s="757"/>
      <c r="AB1396" s="757"/>
      <c r="AC1396" s="757"/>
      <c r="AD1396" s="757"/>
      <c r="AE1396" s="757"/>
      <c r="AF1396" s="757"/>
      <c r="AG1396" s="757"/>
      <c r="AH1396" s="757"/>
      <c r="AI1396" s="757"/>
      <c r="AJ1396" s="757"/>
      <c r="AK1396" s="757"/>
      <c r="AL1396" s="757"/>
      <c r="AM1396" s="757"/>
      <c r="AN1396" s="757"/>
      <c r="AO1396" s="757"/>
      <c r="AP1396" s="757"/>
      <c r="AQ1396" s="757"/>
      <c r="AR1396" s="757"/>
      <c r="AS1396" s="757"/>
      <c r="AT1396" s="757"/>
      <c r="AU1396" s="757"/>
      <c r="AV1396" s="757"/>
      <c r="AW1396" s="757"/>
      <c r="AX1396" s="757"/>
      <c r="AY1396" s="757"/>
      <c r="AZ1396" s="757"/>
      <c r="BA1396" s="757"/>
      <c r="BB1396" s="757"/>
      <c r="BC1396" s="757"/>
      <c r="BD1396" s="757"/>
      <c r="BE1396" s="757"/>
      <c r="BF1396" s="757"/>
      <c r="BG1396" s="757"/>
      <c r="BH1396" s="757"/>
      <c r="BI1396" s="757"/>
      <c r="BJ1396" s="757"/>
      <c r="BK1396" s="757"/>
      <c r="BL1396" s="757"/>
      <c r="BM1396" s="757"/>
      <c r="BN1396" s="757"/>
      <c r="BO1396" s="757"/>
      <c r="BP1396" s="757"/>
      <c r="BQ1396" s="757"/>
      <c r="BR1396" s="757"/>
      <c r="BS1396" s="757"/>
      <c r="BT1396" s="758"/>
      <c r="BU1396" s="757"/>
      <c r="BV1396" s="757"/>
      <c r="BW1396" s="757"/>
      <c r="BX1396" s="757"/>
      <c r="BY1396" s="757"/>
      <c r="BZ1396" s="757"/>
      <c r="CA1396" s="757"/>
      <c r="CB1396" s="757"/>
      <c r="CC1396" s="757"/>
      <c r="CD1396" s="757"/>
      <c r="CE1396" s="757"/>
      <c r="CF1396" s="92"/>
      <c r="CG1396" s="459"/>
    </row>
    <row r="1397" spans="1:85" collapsed="1" x14ac:dyDescent="0.3">
      <c r="A1397" s="93" t="s">
        <v>707</v>
      </c>
      <c r="B1397" s="757"/>
      <c r="C1397" s="649">
        <f t="shared" ref="C1397:AH1397" si="3009">WORKDAY(INDEX(MO_Common_QEndDate,0,COLUMN()),-1)</f>
      </c>
      <c r="D1397" s="649">
        <f t="shared" si="3009"/>
      </c>
      <c r="E1397" s="400">
        <f t="shared" si="3009"/>
      </c>
      <c r="F1397" s="400">
        <f t="shared" si="3009"/>
      </c>
      <c r="G1397" s="400">
        <f t="shared" si="3009"/>
      </c>
      <c r="H1397" s="400">
        <f t="shared" si="3009"/>
      </c>
      <c r="I1397" s="400">
        <f t="shared" si="3009"/>
      </c>
      <c r="J1397" s="400">
        <f t="shared" si="3009"/>
      </c>
      <c r="K1397" s="400">
        <f t="shared" si="3009"/>
      </c>
      <c r="L1397" s="400">
        <f t="shared" si="3009"/>
      </c>
      <c r="M1397" s="400">
        <f t="shared" si="3009"/>
      </c>
      <c r="N1397" s="400">
        <f t="shared" si="3009"/>
      </c>
      <c r="O1397" s="400">
        <f t="shared" si="3009"/>
      </c>
      <c r="P1397" s="400">
        <f t="shared" si="3009"/>
      </c>
      <c r="Q1397" s="400">
        <f t="shared" si="3009"/>
      </c>
      <c r="R1397" s="400">
        <f t="shared" si="3009"/>
      </c>
      <c r="S1397" s="400">
        <f t="shared" si="3009"/>
      </c>
      <c r="T1397" s="400">
        <f t="shared" si="3009"/>
      </c>
      <c r="U1397" s="400">
        <f t="shared" si="3009"/>
      </c>
      <c r="V1397" s="400">
        <f t="shared" si="3009"/>
      </c>
      <c r="W1397" s="400">
        <f t="shared" si="3009"/>
      </c>
      <c r="X1397" s="400">
        <f t="shared" si="3009"/>
      </c>
      <c r="Y1397" s="400">
        <f t="shared" si="3009"/>
      </c>
      <c r="Z1397" s="400">
        <f t="shared" si="3009"/>
      </c>
      <c r="AA1397" s="400">
        <f t="shared" si="3009"/>
      </c>
      <c r="AB1397" s="400">
        <f t="shared" si="3009"/>
      </c>
      <c r="AC1397" s="400">
        <f t="shared" si="3009"/>
      </c>
      <c r="AD1397" s="400">
        <f t="shared" si="3009"/>
      </c>
      <c r="AE1397" s="400">
        <f t="shared" si="3009"/>
      </c>
      <c r="AF1397" s="400">
        <f t="shared" si="3009"/>
      </c>
      <c r="AG1397" s="400">
        <f t="shared" si="3009"/>
      </c>
      <c r="AH1397" s="400">
        <f t="shared" si="3009"/>
      </c>
      <c r="AI1397" s="400">
        <f t="shared" ref="AI1397:AZ1397" si="3010">WORKDAY(INDEX(MO_Common_QEndDate,0,COLUMN()),-1)</f>
      </c>
      <c r="AJ1397" s="400">
        <f t="shared" si="3010"/>
      </c>
      <c r="AK1397" s="400">
        <f t="shared" si="3010"/>
      </c>
      <c r="AL1397" s="400">
        <f t="shared" si="3010"/>
      </c>
      <c r="AM1397" s="400">
        <f t="shared" si="3010"/>
      </c>
      <c r="AN1397" s="400">
        <f t="shared" si="3010"/>
      </c>
      <c r="AO1397" s="400">
        <f t="shared" si="3010"/>
      </c>
      <c r="AP1397" s="400">
        <f t="shared" si="3010"/>
      </c>
      <c r="AQ1397" s="400">
        <f t="shared" si="3010"/>
      </c>
      <c r="AR1397" s="400">
        <f t="shared" si="3010"/>
      </c>
      <c r="AS1397" s="400">
        <f t="shared" si="3010"/>
      </c>
      <c r="AT1397" s="400">
        <f t="shared" si="3010"/>
      </c>
      <c r="AU1397" s="400">
        <f t="shared" si="3010"/>
      </c>
      <c r="AV1397" s="400">
        <f t="shared" si="3010"/>
      </c>
      <c r="AW1397" s="400">
        <f t="shared" si="3010"/>
      </c>
      <c r="AX1397" s="400">
        <f t="shared" si="3010"/>
      </c>
      <c r="AY1397" s="400">
        <f t="shared" si="3010"/>
      </c>
      <c r="AZ1397" s="400">
        <f t="shared" si="3010"/>
      </c>
      <c r="BA1397" s="400">
        <f t="shared" ref="BA1397:BD1397" si="3011">WORKDAY(INDEX(MO_Common_QEndDate,0,COLUMN()),-1)</f>
      </c>
      <c r="BB1397" s="400">
        <f t="shared" si="3011"/>
      </c>
      <c r="BC1397" s="400">
        <f t="shared" si="3011"/>
      </c>
      <c r="BD1397" s="400">
        <f t="shared" si="3011"/>
      </c>
      <c r="BE1397" s="400">
        <f t="shared" ref="BE1397:BI1397" si="3012">WORKDAY(INDEX(MO_Common_QEndDate,0,COLUMN()),-1)</f>
      </c>
      <c r="BF1397" s="400">
        <f t="shared" si="3012"/>
      </c>
      <c r="BG1397" s="400">
        <f t="shared" si="3012"/>
      </c>
      <c r="BH1397" s="400">
        <f t="shared" si="3012"/>
      </c>
      <c r="BI1397" s="400">
        <f t="shared" si="3012"/>
      </c>
      <c r="BJ1397" s="400">
        <f t="shared" ref="BJ1397:BN1397" si="3013">WORKDAY(INDEX(MO_Common_QEndDate,0,COLUMN()),-1)</f>
      </c>
      <c r="BK1397" s="400">
        <f t="shared" si="3013"/>
      </c>
      <c r="BL1397" s="400">
        <f t="shared" si="3013"/>
      </c>
      <c r="BM1397" s="400">
        <f t="shared" si="3013"/>
      </c>
      <c r="BN1397" s="400">
        <f t="shared" si="3013"/>
      </c>
      <c r="BO1397" s="400">
        <f t="shared" ref="BO1397:CF1397" si="3014">WORKDAY(INDEX(MO_Common_QEndDate,0,COLUMN()),-1)</f>
      </c>
      <c r="BP1397" s="400">
        <f t="shared" si="3014"/>
      </c>
      <c r="BQ1397" s="400">
        <f t="shared" si="3014"/>
      </c>
      <c r="BR1397" s="400">
        <f t="shared" si="3014"/>
      </c>
      <c r="BS1397" s="400">
        <f t="shared" si="3014"/>
      </c>
      <c r="BT1397" s="546">
        <f>WORKDAY(INDEX(MO_Common_QEndDate,0,COLUMN()),-1)</f>
      </c>
      <c r="BU1397" s="400">
        <f t="shared" si="3014"/>
      </c>
      <c r="BV1397" s="400">
        <f t="shared" si="3014"/>
      </c>
      <c r="BW1397" s="400">
        <f t="shared" si="3014"/>
      </c>
      <c r="BX1397" s="400">
        <f t="shared" si="3014"/>
      </c>
      <c r="BY1397" s="400">
        <f t="shared" si="3014"/>
      </c>
      <c r="BZ1397" s="400">
        <f t="shared" si="3014"/>
      </c>
      <c r="CA1397" s="400">
        <f t="shared" si="3014"/>
      </c>
      <c r="CB1397" s="400">
        <f t="shared" si="3014"/>
      </c>
      <c r="CC1397" s="400">
        <f t="shared" si="3014"/>
      </c>
      <c r="CD1397" s="400">
        <f t="shared" si="3014"/>
      </c>
      <c r="CE1397" s="400">
        <f t="shared" si="3014"/>
      </c>
      <c r="CF1397" s="401">
        <f t="shared" si="3014"/>
      </c>
      <c r="CG1397" s="459"/>
    </row>
    <row r="1398" spans="1:85" x14ac:dyDescent="0.3">
      <c r="A1398" s="93" t="s">
        <v>708</v>
      </c>
      <c r="B1398" s="757"/>
      <c r="C1398" s="922">
        <v>0.79474</v>
      </c>
      <c r="D1398" s="922">
        <v>2.5685699999999998</v>
      </c>
      <c r="E1398" s="923">
        <v>0.98985999999999996</v>
      </c>
      <c r="F1398" s="923">
        <v>1.2761400000000001</v>
      </c>
      <c r="G1398" s="923">
        <v>2.7040000000000002</v>
      </c>
      <c r="H1398" s="923">
        <v>3.0155699999999999</v>
      </c>
      <c r="I1398" s="923">
        <v>4.4628500000000004</v>
      </c>
      <c r="J1398" s="923">
        <v>5.2427099999999998</v>
      </c>
      <c r="K1398" s="923">
        <v>5.2427099999999998</v>
      </c>
      <c r="L1398" s="923">
        <v>5.1267100000000001</v>
      </c>
      <c r="M1398" s="923">
        <v>6.3154199999999996</v>
      </c>
      <c r="N1398" s="923">
        <v>6.4222799999999998</v>
      </c>
      <c r="O1398" s="923">
        <v>4.9032799999999996</v>
      </c>
      <c r="P1398" s="923">
        <v>4.9032799999999996</v>
      </c>
      <c r="Q1398" s="923">
        <v>6.0367100000000002</v>
      </c>
      <c r="R1398" s="923">
        <v>9.2231299999999994</v>
      </c>
      <c r="S1398" s="923">
        <v>9.8350000000000009</v>
      </c>
      <c r="T1398" s="923">
        <v>11.670999999999999</v>
      </c>
      <c r="U1398" s="923">
        <v>11.670999999999999</v>
      </c>
      <c r="V1398" s="923">
        <v>10.218999999999999</v>
      </c>
      <c r="W1398" s="923">
        <v>9.1059999999999999</v>
      </c>
      <c r="X1398" s="923">
        <v>9.6669999999999998</v>
      </c>
      <c r="Y1398" s="923">
        <v>12.38</v>
      </c>
      <c r="Z1398" s="923">
        <v>12.38</v>
      </c>
      <c r="AA1398" s="923">
        <v>14.805999999999999</v>
      </c>
      <c r="AB1398" s="923">
        <v>15.009</v>
      </c>
      <c r="AC1398" s="923">
        <v>18.135000000000002</v>
      </c>
      <c r="AD1398" s="923">
        <v>19.196000000000002</v>
      </c>
      <c r="AE1398" s="923">
        <v>19.196000000000002</v>
      </c>
      <c r="AF1398" s="923">
        <v>29.535</v>
      </c>
      <c r="AG1398" s="923">
        <v>39.143000000000001</v>
      </c>
      <c r="AH1398" s="923">
        <v>37.412999999999997</v>
      </c>
      <c r="AI1398" s="923">
        <v>25.608000000000001</v>
      </c>
      <c r="AJ1398" s="923">
        <v>25.608000000000001</v>
      </c>
      <c r="AK1398" s="923">
        <v>35.655999999999999</v>
      </c>
      <c r="AL1398" s="923">
        <v>36.731999999999999</v>
      </c>
      <c r="AM1398" s="923">
        <v>26.308</v>
      </c>
      <c r="AN1398" s="923">
        <v>32.331000000000003</v>
      </c>
      <c r="AO1398" s="923">
        <v>32.331000000000003</v>
      </c>
      <c r="AP1398" s="923">
        <v>37.095999999999997</v>
      </c>
      <c r="AQ1398" s="923">
        <v>44.723999999999997</v>
      </c>
      <c r="AR1398" s="923">
        <v>49.347999999999999</v>
      </c>
      <c r="AS1398" s="923">
        <v>52.459000000000003</v>
      </c>
      <c r="AT1398" s="923">
        <v>52.459000000000003</v>
      </c>
      <c r="AU1398" s="923">
        <v>51.338999999999999</v>
      </c>
      <c r="AV1398" s="923">
        <v>53.35</v>
      </c>
      <c r="AW1398" s="923">
        <v>59.905999999999999</v>
      </c>
      <c r="AX1398" s="923">
        <v>61.209000000000003</v>
      </c>
      <c r="AY1398" s="923">
        <v>61.209000000000003</v>
      </c>
      <c r="AZ1398" s="923">
        <v>38.146999999999998</v>
      </c>
      <c r="BA1398" s="923">
        <v>17.835999999999999</v>
      </c>
      <c r="BB1398" s="923">
        <v>23.971</v>
      </c>
      <c r="BC1398" s="923">
        <v>29.488</v>
      </c>
      <c r="BD1398" s="923">
        <v>29.488</v>
      </c>
      <c r="BE1398" s="923">
        <v>33.843000000000004</v>
      </c>
      <c r="BF1398" s="923">
        <v>42.823999999999998</v>
      </c>
      <c r="BG1398" s="923">
        <v>37.76</v>
      </c>
      <c r="BH1398" s="923">
        <v>48.688000000000002</v>
      </c>
      <c r="BI1398" s="923">
        <v>48.688000000000002</v>
      </c>
      <c r="BJ1398" s="923">
        <v>60.732999999999997</v>
      </c>
      <c r="BK1398" s="923">
        <v>67.488</v>
      </c>
      <c r="BL1398" s="923">
        <v>70.734999999999999</v>
      </c>
      <c r="BM1398" s="923">
        <v>90.043000000000006</v>
      </c>
      <c r="BN1398" s="923">
        <v>90.043000000000006</v>
      </c>
      <c r="BO1398" s="923">
        <v>93.385000000000005</v>
      </c>
      <c r="BP1398" s="923">
        <v>132.31200000000001</v>
      </c>
      <c r="BQ1398" s="923">
        <v>120.64100000000001</v>
      </c>
      <c r="BR1398" s="923">
        <v>93.78</v>
      </c>
      <c r="BS1398" s="923">
        <v>93.78</v>
      </c>
      <c r="BT1398" s="924">
        <v>92.97</v>
      </c>
      <c r="BU1398" s="402"/>
      <c r="BV1398" s="402"/>
      <c r="BW1398" s="402"/>
      <c r="BX1398" s="402"/>
      <c r="BY1398" s="402"/>
      <c r="BZ1398" s="402"/>
      <c r="CA1398" s="402"/>
      <c r="CB1398" s="402"/>
      <c r="CC1398" s="402"/>
      <c r="CD1398" s="402"/>
      <c r="CE1398" s="402"/>
      <c r="CF1398" s="403"/>
      <c r="CG1398" s="459"/>
    </row>
    <row r="1399" spans="1:85" x14ac:dyDescent="0.3">
      <c r="A1399" s="93" t="s">
        <v>709</v>
      </c>
      <c r="B1399" s="757"/>
      <c r="C1399" s="919">
        <v>1</v>
      </c>
      <c r="D1399" s="919">
        <v>1</v>
      </c>
      <c r="E1399" s="920">
        <v>1</v>
      </c>
      <c r="F1399" s="920">
        <v>1</v>
      </c>
      <c r="G1399" s="920">
        <v>1</v>
      </c>
      <c r="H1399" s="920">
        <v>1</v>
      </c>
      <c r="I1399" s="920">
        <v>1</v>
      </c>
      <c r="J1399" s="920">
        <v>1</v>
      </c>
      <c r="K1399" s="920">
        <v>1</v>
      </c>
      <c r="L1399" s="920">
        <v>1</v>
      </c>
      <c r="M1399" s="920">
        <v>1</v>
      </c>
      <c r="N1399" s="920">
        <v>1</v>
      </c>
      <c r="O1399" s="920">
        <v>1</v>
      </c>
      <c r="P1399" s="920">
        <v>1</v>
      </c>
      <c r="Q1399" s="920">
        <v>1</v>
      </c>
      <c r="R1399" s="920">
        <v>1</v>
      </c>
      <c r="S1399" s="920">
        <v>1</v>
      </c>
      <c r="T1399" s="920">
        <v>1</v>
      </c>
      <c r="U1399" s="920">
        <v>1</v>
      </c>
      <c r="V1399" s="920">
        <v>1</v>
      </c>
      <c r="W1399" s="920">
        <v>1</v>
      </c>
      <c r="X1399" s="920">
        <v>1</v>
      </c>
      <c r="Y1399" s="920">
        <v>1</v>
      </c>
      <c r="Z1399" s="920">
        <v>1</v>
      </c>
      <c r="AA1399" s="920">
        <v>1</v>
      </c>
      <c r="AB1399" s="920">
        <v>1</v>
      </c>
      <c r="AC1399" s="920">
        <v>1</v>
      </c>
      <c r="AD1399" s="920">
        <v>1</v>
      </c>
      <c r="AE1399" s="920">
        <v>1</v>
      </c>
      <c r="AF1399" s="920">
        <v>1</v>
      </c>
      <c r="AG1399" s="920">
        <v>1</v>
      </c>
      <c r="AH1399" s="920">
        <v>1</v>
      </c>
      <c r="AI1399" s="920">
        <v>1</v>
      </c>
      <c r="AJ1399" s="920">
        <v>1</v>
      </c>
      <c r="AK1399" s="920">
        <v>1</v>
      </c>
      <c r="AL1399" s="920">
        <v>1</v>
      </c>
      <c r="AM1399" s="920">
        <v>1</v>
      </c>
      <c r="AN1399" s="920">
        <v>1</v>
      </c>
      <c r="AO1399" s="920">
        <v>1</v>
      </c>
      <c r="AP1399" s="920">
        <v>1</v>
      </c>
      <c r="AQ1399" s="920">
        <v>1</v>
      </c>
      <c r="AR1399" s="920">
        <v>1</v>
      </c>
      <c r="AS1399" s="920">
        <v>1</v>
      </c>
      <c r="AT1399" s="920">
        <v>1</v>
      </c>
      <c r="AU1399" s="920">
        <v>1</v>
      </c>
      <c r="AV1399" s="920">
        <v>1</v>
      </c>
      <c r="AW1399" s="920">
        <v>1</v>
      </c>
      <c r="AX1399" s="920">
        <v>1</v>
      </c>
      <c r="AY1399" s="920">
        <v>1</v>
      </c>
      <c r="AZ1399" s="920">
        <v>1</v>
      </c>
      <c r="BA1399" s="920">
        <v>1</v>
      </c>
      <c r="BB1399" s="920">
        <v>1</v>
      </c>
      <c r="BC1399" s="920">
        <v>1</v>
      </c>
      <c r="BD1399" s="920">
        <v>1</v>
      </c>
      <c r="BE1399" s="920">
        <v>1</v>
      </c>
      <c r="BF1399" s="920">
        <v>1</v>
      </c>
      <c r="BG1399" s="920">
        <v>1</v>
      </c>
      <c r="BH1399" s="920">
        <v>1</v>
      </c>
      <c r="BI1399" s="920">
        <v>1</v>
      </c>
      <c r="BJ1399" s="920">
        <v>1</v>
      </c>
      <c r="BK1399" s="920">
        <v>1</v>
      </c>
      <c r="BL1399" s="920">
        <v>1</v>
      </c>
      <c r="BM1399" s="920">
        <v>1</v>
      </c>
      <c r="BN1399" s="920">
        <v>1</v>
      </c>
      <c r="BO1399" s="920">
        <v>1</v>
      </c>
      <c r="BP1399" s="920">
        <v>1</v>
      </c>
      <c r="BQ1399" s="920">
        <v>1</v>
      </c>
      <c r="BR1399" s="920">
        <v>1</v>
      </c>
      <c r="BS1399" s="920">
        <v>1</v>
      </c>
      <c r="BT1399" s="921">
        <v>1</v>
      </c>
      <c r="BU1399" s="404"/>
      <c r="BV1399" s="404"/>
      <c r="BW1399" s="404"/>
      <c r="BX1399" s="404"/>
      <c r="BY1399" s="404"/>
      <c r="BZ1399" s="404"/>
      <c r="CA1399" s="404"/>
      <c r="CB1399" s="404"/>
      <c r="CC1399" s="404"/>
      <c r="CD1399" s="404"/>
      <c r="CE1399" s="404"/>
      <c r="CF1399" s="405"/>
      <c r="CG1399" s="459"/>
    </row>
    <row r="1400" spans="1:85" x14ac:dyDescent="0.3">
      <c r="A1400" s="406"/>
      <c r="B1400" s="761"/>
      <c r="C1400" s="407"/>
      <c r="D1400" s="407"/>
      <c r="E1400" s="408"/>
      <c r="F1400" s="408"/>
      <c r="G1400" s="408"/>
      <c r="H1400" s="408"/>
      <c r="I1400" s="408"/>
      <c r="J1400" s="408"/>
      <c r="K1400" s="408"/>
      <c r="L1400" s="408"/>
      <c r="M1400" s="408"/>
      <c r="N1400" s="408"/>
      <c r="O1400" s="408"/>
      <c r="P1400" s="408"/>
      <c r="Q1400" s="408"/>
      <c r="R1400" s="408"/>
      <c r="S1400" s="408"/>
      <c r="T1400" s="408"/>
      <c r="U1400" s="408"/>
      <c r="V1400" s="408"/>
      <c r="W1400" s="408"/>
      <c r="X1400" s="408"/>
      <c r="Y1400" s="408"/>
      <c r="Z1400" s="408"/>
      <c r="AA1400" s="408"/>
      <c r="AB1400" s="408"/>
      <c r="AC1400" s="408"/>
      <c r="AD1400" s="408"/>
      <c r="AE1400" s="408"/>
      <c r="AF1400" s="408"/>
      <c r="AG1400" s="408"/>
      <c r="AH1400" s="408"/>
      <c r="AI1400" s="408"/>
      <c r="AJ1400" s="408"/>
      <c r="AK1400" s="408"/>
      <c r="AL1400" s="408"/>
      <c r="AM1400" s="408"/>
      <c r="AN1400" s="408"/>
      <c r="AO1400" s="408"/>
      <c r="AP1400" s="408"/>
      <c r="AQ1400" s="408"/>
      <c r="AR1400" s="408"/>
      <c r="AS1400" s="408"/>
      <c r="AT1400" s="408"/>
      <c r="AU1400" s="408"/>
      <c r="AV1400" s="408"/>
      <c r="AW1400" s="408"/>
      <c r="AX1400" s="408"/>
      <c r="AY1400" s="408"/>
      <c r="AZ1400" s="408"/>
      <c r="BA1400" s="408"/>
      <c r="BB1400" s="408"/>
      <c r="BC1400" s="408"/>
      <c r="BD1400" s="408"/>
      <c r="BE1400" s="408"/>
      <c r="BF1400" s="408"/>
      <c r="BG1400" s="408"/>
      <c r="BH1400" s="408"/>
      <c r="BI1400" s="408"/>
      <c r="BJ1400" s="408"/>
      <c r="BK1400" s="408"/>
      <c r="BL1400" s="408"/>
      <c r="BM1400" s="408"/>
      <c r="BN1400" s="408"/>
      <c r="BO1400" s="408"/>
      <c r="BP1400" s="408"/>
      <c r="BQ1400" s="408"/>
      <c r="BR1400" s="408"/>
      <c r="BS1400" s="408"/>
      <c r="BT1400" s="409"/>
      <c r="BU1400" s="408"/>
      <c r="BV1400" s="408"/>
      <c r="BW1400" s="408"/>
      <c r="BX1400" s="408"/>
      <c r="BY1400" s="408"/>
      <c r="BZ1400" s="408"/>
      <c r="CA1400" s="408"/>
      <c r="CB1400" s="408"/>
      <c r="CC1400" s="408"/>
      <c r="CD1400" s="408"/>
      <c r="CE1400" s="408"/>
      <c r="CF1400" s="410"/>
      <c r="CG1400" s="459"/>
    </row>
    <row r="1401" spans="1:85" x14ac:dyDescent="0.3">
      <c r="A1401" s="160"/>
      <c r="B1401" s="161"/>
      <c r="C1401" s="139"/>
      <c r="D1401" s="139"/>
      <c r="E1401" s="138"/>
      <c r="F1401" s="138"/>
      <c r="G1401" s="138"/>
      <c r="H1401" s="138"/>
      <c r="I1401" s="138"/>
      <c r="J1401" s="138"/>
      <c r="K1401" s="138"/>
      <c r="L1401" s="138"/>
      <c r="M1401" s="138"/>
      <c r="N1401" s="138"/>
      <c r="O1401" s="138"/>
      <c r="P1401" s="138"/>
      <c r="Q1401" s="138"/>
      <c r="R1401" s="138"/>
      <c r="S1401" s="138"/>
      <c r="T1401" s="138"/>
      <c r="U1401" s="138"/>
      <c r="V1401" s="138"/>
      <c r="W1401" s="138"/>
      <c r="X1401" s="138"/>
      <c r="Y1401" s="138"/>
      <c r="Z1401" s="138"/>
      <c r="AA1401" s="138"/>
      <c r="AB1401" s="138"/>
      <c r="AC1401" s="138"/>
      <c r="AD1401" s="138"/>
      <c r="AE1401" s="138"/>
      <c r="AF1401" s="138"/>
      <c r="AG1401" s="138"/>
      <c r="AH1401" s="138"/>
      <c r="AI1401" s="138"/>
      <c r="AJ1401" s="138"/>
      <c r="AK1401" s="138"/>
      <c r="AL1401" s="138"/>
      <c r="AM1401" s="138"/>
      <c r="AN1401" s="138"/>
      <c r="AO1401" s="138"/>
      <c r="AP1401" s="138"/>
      <c r="AQ1401" s="138"/>
      <c r="AR1401" s="138"/>
      <c r="AS1401" s="138"/>
      <c r="AT1401" s="138"/>
      <c r="AU1401" s="138"/>
      <c r="AV1401" s="138"/>
      <c r="AW1401" s="138"/>
      <c r="AX1401" s="138"/>
      <c r="AY1401" s="138"/>
      <c r="AZ1401" s="138"/>
      <c r="BA1401" s="138"/>
      <c r="BB1401" s="138"/>
      <c r="BC1401" s="138"/>
      <c r="BD1401" s="138"/>
      <c r="BE1401" s="138"/>
      <c r="BF1401" s="138"/>
      <c r="BG1401" s="138"/>
      <c r="BH1401" s="138"/>
      <c r="BI1401" s="138"/>
      <c r="BJ1401" s="138"/>
      <c r="BK1401" s="138"/>
      <c r="BL1401" s="138"/>
      <c r="BM1401" s="138"/>
      <c r="BN1401" s="138"/>
      <c r="BO1401" s="138"/>
      <c r="BP1401" s="138"/>
      <c r="BQ1401" s="138"/>
      <c r="BR1401" s="138"/>
      <c r="BS1401" s="138"/>
      <c r="BT1401" s="300"/>
      <c r="BU1401" s="138"/>
      <c r="BV1401" s="138"/>
      <c r="BW1401" s="138"/>
      <c r="BX1401" s="138"/>
      <c r="BY1401" s="138"/>
      <c r="BZ1401" s="138"/>
      <c r="CA1401" s="138"/>
      <c r="CB1401" s="138"/>
      <c r="CC1401" s="138"/>
      <c r="CD1401" s="138"/>
      <c r="CE1401" s="138"/>
      <c r="CF1401" s="138"/>
      <c r="CG1401" s="459"/>
    </row>
    <row r="1402" spans="1:85" x14ac:dyDescent="0.3">
      <c r="A1402" s="127" t="s">
        <v>254</v>
      </c>
      <c r="B1402" s="138"/>
      <c r="C1402" s="757"/>
      <c r="D1402" s="757"/>
      <c r="E1402" s="757"/>
      <c r="F1402" s="757"/>
      <c r="G1402" s="757"/>
      <c r="H1402" s="757"/>
      <c r="I1402" s="757"/>
      <c r="J1402" s="757"/>
      <c r="K1402" s="757"/>
      <c r="L1402" s="757"/>
      <c r="M1402" s="757"/>
      <c r="N1402" s="757"/>
      <c r="O1402" s="757"/>
      <c r="P1402" s="757"/>
      <c r="Q1402" s="757"/>
      <c r="R1402" s="757"/>
      <c r="S1402" s="757"/>
      <c r="T1402" s="757"/>
      <c r="U1402" s="757"/>
      <c r="V1402" s="757"/>
      <c r="W1402" s="757"/>
      <c r="X1402" s="757"/>
      <c r="Y1402" s="757"/>
      <c r="Z1402" s="757"/>
      <c r="AA1402" s="757"/>
      <c r="AB1402" s="757"/>
      <c r="AC1402" s="757"/>
      <c r="AD1402" s="757"/>
      <c r="AE1402" s="757"/>
      <c r="AF1402" s="757"/>
      <c r="AG1402" s="757"/>
      <c r="AH1402" s="757"/>
      <c r="AI1402" s="757"/>
      <c r="AJ1402" s="757"/>
      <c r="AK1402" s="757"/>
      <c r="AL1402" s="757"/>
      <c r="AM1402" s="757"/>
      <c r="AN1402" s="757"/>
      <c r="AO1402" s="757"/>
      <c r="AP1402" s="757"/>
      <c r="AQ1402" s="757"/>
      <c r="AR1402" s="757"/>
      <c r="AS1402" s="757"/>
      <c r="AT1402" s="757"/>
      <c r="AU1402" s="757"/>
      <c r="AV1402" s="757"/>
      <c r="AW1402" s="757"/>
      <c r="AX1402" s="757"/>
      <c r="AY1402" s="757"/>
      <c r="AZ1402" s="757"/>
      <c r="BA1402" s="757"/>
      <c r="BB1402" s="757"/>
      <c r="BC1402" s="757"/>
      <c r="BD1402" s="757"/>
      <c r="BE1402" s="757"/>
      <c r="BF1402" s="757"/>
      <c r="BG1402" s="757"/>
      <c r="BH1402" s="757"/>
      <c r="BI1402" s="757"/>
      <c r="BJ1402" s="757"/>
      <c r="BK1402" s="757"/>
      <c r="BL1402" s="757"/>
      <c r="BM1402" s="757"/>
      <c r="BN1402" s="757"/>
      <c r="BO1402" s="757"/>
      <c r="BP1402" s="757"/>
      <c r="BQ1402" s="757"/>
      <c r="BR1402" s="757"/>
      <c r="BS1402" s="757"/>
      <c r="BT1402" s="758"/>
      <c r="BU1402" s="757"/>
      <c r="BV1402" s="757"/>
      <c r="BW1402" s="757"/>
      <c r="BX1402" s="757"/>
      <c r="BY1402" s="757"/>
      <c r="BZ1402" s="757"/>
      <c r="CA1402" s="757"/>
      <c r="CB1402" s="757"/>
      <c r="CC1402" s="757"/>
      <c r="CD1402" s="757"/>
      <c r="CE1402" s="757"/>
      <c r="CF1402" s="757"/>
      <c r="CG1402" s="459"/>
    </row>
    <row r="1403" spans="1:85" x14ac:dyDescent="0.3">
      <c r="A1403" s="150" t="s">
        <v>255</v>
      </c>
      <c r="B1403" s="144">
        <v>107.79</v>
      </c>
      <c r="C1403" s="144"/>
      <c r="D1403" s="144"/>
      <c r="E1403" s="144"/>
      <c r="F1403" s="144"/>
      <c r="G1403" s="144"/>
      <c r="H1403" s="144"/>
      <c r="I1403" s="144"/>
      <c r="J1403" s="144"/>
      <c r="K1403" s="144"/>
      <c r="L1403" s="144"/>
      <c r="M1403" s="144"/>
      <c r="N1403" s="144"/>
      <c r="O1403" s="144"/>
      <c r="P1403" s="144"/>
      <c r="Q1403" s="144"/>
      <c r="R1403" s="144"/>
      <c r="S1403" s="144"/>
      <c r="T1403" s="144"/>
      <c r="U1403" s="144"/>
      <c r="V1403" s="144"/>
      <c r="W1403" s="144"/>
      <c r="X1403" s="144"/>
      <c r="Y1403" s="144"/>
      <c r="Z1403" s="144"/>
      <c r="AA1403" s="144"/>
      <c r="AB1403" s="144"/>
      <c r="AC1403" s="144"/>
      <c r="AD1403" s="144"/>
      <c r="AE1403" s="144"/>
      <c r="AF1403" s="144"/>
      <c r="AG1403" s="144"/>
      <c r="AH1403" s="144"/>
      <c r="AI1403" s="144"/>
      <c r="AJ1403" s="144"/>
      <c r="AK1403" s="144"/>
      <c r="AL1403" s="144"/>
      <c r="AM1403" s="144"/>
      <c r="AN1403" s="144"/>
      <c r="AO1403" s="144"/>
      <c r="AP1403" s="144"/>
      <c r="AQ1403" s="144"/>
      <c r="AR1403" s="144"/>
      <c r="AS1403" s="144"/>
      <c r="AT1403" s="144"/>
      <c r="AU1403" s="144"/>
      <c r="AV1403" s="144"/>
      <c r="AW1403" s="144"/>
      <c r="AX1403" s="144"/>
      <c r="AY1403" s="144"/>
      <c r="AZ1403" s="144"/>
      <c r="BA1403" s="144"/>
      <c r="BB1403" s="144"/>
      <c r="BC1403" s="144"/>
      <c r="BD1403" s="144"/>
      <c r="BE1403" s="144"/>
      <c r="BF1403" s="144"/>
      <c r="BG1403" s="144"/>
      <c r="BH1403" s="144"/>
      <c r="BI1403" s="144"/>
      <c r="BJ1403" s="144"/>
      <c r="BK1403" s="144"/>
      <c r="BL1403" s="144"/>
      <c r="BM1403" s="144"/>
      <c r="BN1403" s="144"/>
      <c r="BO1403" s="144"/>
      <c r="BP1403" s="144"/>
      <c r="BQ1403" s="144"/>
      <c r="BR1403" s="144"/>
      <c r="BS1403" s="144"/>
      <c r="BT1403" s="301"/>
      <c r="BU1403" s="144"/>
      <c r="BV1403" s="144"/>
      <c r="BW1403" s="144"/>
      <c r="BX1403" s="144"/>
      <c r="BY1403" s="144"/>
      <c r="BZ1403" s="144"/>
      <c r="CA1403" s="144"/>
      <c r="CB1403" s="144"/>
      <c r="CC1403" s="144"/>
      <c r="CD1403" s="144"/>
      <c r="CE1403" s="144"/>
      <c r="CF1403" s="144"/>
      <c r="CG1403" s="128"/>
    </row>
    <row r="1404" spans="1:85" x14ac:dyDescent="0.3">
      <c r="A1404" s="182" t="s">
        <v>256</v>
      </c>
      <c r="B1404" s="304">
        <v>46128</v>
      </c>
      <c r="C1404" s="237"/>
      <c r="D1404" s="237"/>
      <c r="E1404" s="237"/>
      <c r="F1404" s="237"/>
      <c r="G1404" s="237"/>
      <c r="H1404" s="237"/>
      <c r="I1404" s="237"/>
      <c r="J1404" s="237"/>
      <c r="K1404" s="237"/>
      <c r="L1404" s="237"/>
      <c r="M1404" s="237"/>
      <c r="N1404" s="237"/>
      <c r="O1404" s="237"/>
      <c r="P1404" s="237"/>
      <c r="Q1404" s="237"/>
      <c r="R1404" s="237"/>
      <c r="S1404" s="237"/>
      <c r="T1404" s="237"/>
      <c r="U1404" s="237"/>
      <c r="V1404" s="237"/>
      <c r="W1404" s="237"/>
      <c r="X1404" s="237"/>
      <c r="Y1404" s="237"/>
      <c r="Z1404" s="237"/>
      <c r="AA1404" s="237"/>
      <c r="AB1404" s="237"/>
      <c r="AC1404" s="237"/>
      <c r="AD1404" s="237"/>
      <c r="AE1404" s="237"/>
      <c r="AF1404" s="237"/>
      <c r="AG1404" s="237"/>
      <c r="AH1404" s="237"/>
      <c r="AI1404" s="237"/>
      <c r="AJ1404" s="237"/>
      <c r="AK1404" s="237"/>
      <c r="AL1404" s="237"/>
      <c r="AM1404" s="237"/>
      <c r="AN1404" s="237"/>
      <c r="AO1404" s="237"/>
      <c r="AP1404" s="237"/>
      <c r="AQ1404" s="237"/>
      <c r="AR1404" s="237"/>
      <c r="AS1404" s="237"/>
      <c r="AT1404" s="237"/>
      <c r="AU1404" s="237"/>
      <c r="AV1404" s="237"/>
      <c r="AW1404" s="237"/>
      <c r="AX1404" s="237"/>
      <c r="AY1404" s="237"/>
      <c r="AZ1404" s="237"/>
      <c r="BA1404" s="237"/>
      <c r="BB1404" s="237"/>
      <c r="BC1404" s="237"/>
      <c r="BD1404" s="237"/>
      <c r="BE1404" s="237"/>
      <c r="BF1404" s="237"/>
      <c r="BG1404" s="237"/>
      <c r="BH1404" s="237"/>
      <c r="BI1404" s="237"/>
      <c r="BJ1404" s="237"/>
      <c r="BK1404" s="237"/>
      <c r="BL1404" s="237"/>
      <c r="BM1404" s="237"/>
      <c r="BN1404" s="237"/>
      <c r="BO1404" s="237"/>
      <c r="BP1404" s="237"/>
      <c r="BQ1404" s="237"/>
      <c r="BR1404" s="237"/>
      <c r="BS1404" s="237"/>
      <c r="BT1404" s="296"/>
      <c r="BU1404" s="237"/>
      <c r="BV1404" s="237"/>
      <c r="BW1404" s="237"/>
      <c r="BX1404" s="237"/>
      <c r="BY1404" s="237"/>
      <c r="BZ1404" s="237"/>
      <c r="CA1404" s="237"/>
      <c r="CB1404" s="237"/>
      <c r="CC1404" s="237"/>
      <c r="CD1404" s="237"/>
      <c r="CE1404" s="237"/>
      <c r="CF1404" s="237"/>
      <c r="CG1404" s="129"/>
    </row>
    <row r="1405" spans="1:85" x14ac:dyDescent="0.3">
      <c r="A1405" s="182" t="s">
        <v>257</v>
      </c>
      <c r="B1405" s="129" t="b">
        <v>0</v>
      </c>
      <c r="C1405" s="237"/>
      <c r="D1405" s="237"/>
      <c r="E1405" s="237"/>
      <c r="F1405" s="237"/>
      <c r="G1405" s="237"/>
      <c r="H1405" s="237"/>
      <c r="I1405" s="237"/>
      <c r="J1405" s="237"/>
      <c r="K1405" s="237"/>
      <c r="L1405" s="237"/>
      <c r="M1405" s="237"/>
      <c r="N1405" s="237"/>
      <c r="O1405" s="237"/>
      <c r="P1405" s="237"/>
      <c r="Q1405" s="237"/>
      <c r="R1405" s="237"/>
      <c r="S1405" s="237"/>
      <c r="T1405" s="237"/>
      <c r="U1405" s="237"/>
      <c r="V1405" s="237"/>
      <c r="W1405" s="237"/>
      <c r="X1405" s="237"/>
      <c r="Y1405" s="237"/>
      <c r="Z1405" s="237"/>
      <c r="AA1405" s="237"/>
      <c r="AB1405" s="237"/>
      <c r="AC1405" s="237"/>
      <c r="AD1405" s="237"/>
      <c r="AE1405" s="237"/>
      <c r="AF1405" s="237"/>
      <c r="AG1405" s="237"/>
      <c r="AH1405" s="237"/>
      <c r="AI1405" s="237"/>
      <c r="AJ1405" s="237"/>
      <c r="AK1405" s="237"/>
      <c r="AL1405" s="237"/>
      <c r="AM1405" s="237"/>
      <c r="AN1405" s="237"/>
      <c r="AO1405" s="237"/>
      <c r="AP1405" s="237"/>
      <c r="AQ1405" s="237"/>
      <c r="AR1405" s="237"/>
      <c r="AS1405" s="237"/>
      <c r="AT1405" s="237"/>
      <c r="AU1405" s="237"/>
      <c r="AV1405" s="237"/>
      <c r="AW1405" s="237"/>
      <c r="AX1405" s="237"/>
      <c r="AY1405" s="237"/>
      <c r="AZ1405" s="237"/>
      <c r="BA1405" s="237"/>
      <c r="BB1405" s="237"/>
      <c r="BC1405" s="237"/>
      <c r="BD1405" s="237"/>
      <c r="BE1405" s="237"/>
      <c r="BF1405" s="237"/>
      <c r="BG1405" s="237"/>
      <c r="BH1405" s="237"/>
      <c r="BI1405" s="237"/>
      <c r="BJ1405" s="237"/>
      <c r="BK1405" s="237"/>
      <c r="BL1405" s="237"/>
      <c r="BM1405" s="237"/>
      <c r="BN1405" s="237"/>
      <c r="BO1405" s="237"/>
      <c r="BP1405" s="237"/>
      <c r="BQ1405" s="237"/>
      <c r="BR1405" s="237"/>
      <c r="BS1405" s="237"/>
      <c r="BT1405" s="296"/>
      <c r="BU1405" s="237"/>
      <c r="BV1405" s="237"/>
      <c r="BW1405" s="237"/>
      <c r="BX1405" s="237"/>
      <c r="BY1405" s="237"/>
      <c r="BZ1405" s="237"/>
      <c r="CA1405" s="237"/>
      <c r="CB1405" s="237"/>
      <c r="CC1405" s="237"/>
      <c r="CD1405" s="237"/>
      <c r="CE1405" s="237"/>
      <c r="CF1405" s="237"/>
      <c r="CG1405" s="129"/>
    </row>
    <row r="1406" spans="1:85" x14ac:dyDescent="0.3">
      <c r="A1406" s="150" t="s">
        <v>258</v>
      </c>
      <c r="B1406" s="128" t="s">
        <v>2431</v>
      </c>
      <c r="C1406" s="144"/>
      <c r="D1406" s="144"/>
      <c r="E1406" s="144"/>
      <c r="F1406" s="144"/>
      <c r="G1406" s="144"/>
      <c r="H1406" s="144"/>
      <c r="I1406" s="144"/>
      <c r="J1406" s="144"/>
      <c r="K1406" s="144"/>
      <c r="L1406" s="144"/>
      <c r="M1406" s="144"/>
      <c r="N1406" s="144"/>
      <c r="O1406" s="144"/>
      <c r="P1406" s="144"/>
      <c r="Q1406" s="144"/>
      <c r="R1406" s="144"/>
      <c r="S1406" s="144"/>
      <c r="T1406" s="144"/>
      <c r="U1406" s="144"/>
      <c r="V1406" s="144"/>
      <c r="W1406" s="144"/>
      <c r="X1406" s="144"/>
      <c r="Y1406" s="144"/>
      <c r="Z1406" s="144"/>
      <c r="AA1406" s="144"/>
      <c r="AB1406" s="144"/>
      <c r="AC1406" s="144"/>
      <c r="AD1406" s="144"/>
      <c r="AE1406" s="144"/>
      <c r="AF1406" s="144"/>
      <c r="AG1406" s="144"/>
      <c r="AH1406" s="144"/>
      <c r="AI1406" s="144"/>
      <c r="AJ1406" s="144"/>
      <c r="AK1406" s="144"/>
      <c r="AL1406" s="144"/>
      <c r="AM1406" s="144"/>
      <c r="AN1406" s="144"/>
      <c r="AO1406" s="144"/>
      <c r="AP1406" s="144"/>
      <c r="AQ1406" s="144"/>
      <c r="AR1406" s="144"/>
      <c r="AS1406" s="144"/>
      <c r="AT1406" s="144"/>
      <c r="AU1406" s="144"/>
      <c r="AV1406" s="144"/>
      <c r="AW1406" s="144"/>
      <c r="AX1406" s="144"/>
      <c r="AY1406" s="144"/>
      <c r="AZ1406" s="144"/>
      <c r="BA1406" s="144"/>
      <c r="BB1406" s="144"/>
      <c r="BC1406" s="144"/>
      <c r="BD1406" s="144"/>
      <c r="BE1406" s="144"/>
      <c r="BF1406" s="144"/>
      <c r="BG1406" s="144"/>
      <c r="BH1406" s="144"/>
      <c r="BI1406" s="144"/>
      <c r="BJ1406" s="144"/>
      <c r="BK1406" s="144"/>
      <c r="BL1406" s="144"/>
      <c r="BM1406" s="144"/>
      <c r="BN1406" s="144"/>
      <c r="BO1406" s="144"/>
      <c r="BP1406" s="144"/>
      <c r="BQ1406" s="144"/>
      <c r="BR1406" s="144"/>
      <c r="BS1406" s="144"/>
      <c r="BT1406" s="301"/>
      <c r="BU1406" s="144"/>
      <c r="BV1406" s="144"/>
      <c r="BW1406" s="144"/>
      <c r="BX1406" s="144"/>
      <c r="BY1406" s="144"/>
      <c r="BZ1406" s="144"/>
      <c r="CA1406" s="144"/>
      <c r="CB1406" s="144"/>
      <c r="CC1406" s="144"/>
      <c r="CD1406" s="144"/>
      <c r="CE1406" s="144"/>
      <c r="CF1406" s="144"/>
      <c r="CG1406" s="128"/>
    </row>
    <row r="1407" spans="1:85" x14ac:dyDescent="0.3">
      <c r="A1407" s="150" t="s">
        <v>972</v>
      </c>
      <c r="B1407" s="128" t="b">
        <f>OR(AND(OR(EXACT(HP.TradeCurrency.HardCoded,"GBp"),EXACT(HP.TradeCurrency.HardCoded,"GBX")),EXACT(HP.ReportCurrency,"GBP")),AND(OR(EXACT(HP.TradeCurrency.HardCoded,"ZAc"),EXACT(HP.TradeCurrency.HardCoded,"ZAC")),EXACT(HP.ReportCurrency,"ZAR")))</f>
      </c>
      <c r="C1407" s="144"/>
      <c r="D1407" s="144"/>
      <c r="E1407" s="144"/>
      <c r="F1407" s="144"/>
      <c r="G1407" s="144"/>
      <c r="H1407" s="144"/>
      <c r="I1407" s="144"/>
      <c r="J1407" s="144"/>
      <c r="K1407" s="144"/>
      <c r="L1407" s="144"/>
      <c r="M1407" s="144"/>
      <c r="N1407" s="144"/>
      <c r="O1407" s="144"/>
      <c r="P1407" s="144"/>
      <c r="Q1407" s="144"/>
      <c r="R1407" s="144"/>
      <c r="S1407" s="144"/>
      <c r="T1407" s="144"/>
      <c r="U1407" s="144"/>
      <c r="V1407" s="144"/>
      <c r="W1407" s="144"/>
      <c r="X1407" s="144"/>
      <c r="Y1407" s="144"/>
      <c r="Z1407" s="144"/>
      <c r="AA1407" s="144"/>
      <c r="AB1407" s="144"/>
      <c r="AC1407" s="144"/>
      <c r="AD1407" s="144"/>
      <c r="AE1407" s="144"/>
      <c r="AF1407" s="144"/>
      <c r="AG1407" s="144"/>
      <c r="AH1407" s="144"/>
      <c r="AI1407" s="144"/>
      <c r="AJ1407" s="144"/>
      <c r="AK1407" s="144"/>
      <c r="AL1407" s="144"/>
      <c r="AM1407" s="144"/>
      <c r="AN1407" s="144"/>
      <c r="AO1407" s="144"/>
      <c r="AP1407" s="144"/>
      <c r="AQ1407" s="144"/>
      <c r="AR1407" s="144"/>
      <c r="AS1407" s="144"/>
      <c r="AT1407" s="144"/>
      <c r="AU1407" s="144"/>
      <c r="AV1407" s="144"/>
      <c r="AW1407" s="144"/>
      <c r="AX1407" s="144"/>
      <c r="AY1407" s="144"/>
      <c r="AZ1407" s="144"/>
      <c r="BA1407" s="144"/>
      <c r="BB1407" s="144"/>
      <c r="BC1407" s="144"/>
      <c r="BD1407" s="144"/>
      <c r="BE1407" s="144"/>
      <c r="BF1407" s="144"/>
      <c r="BG1407" s="144"/>
      <c r="BH1407" s="144"/>
      <c r="BI1407" s="144"/>
      <c r="BJ1407" s="144"/>
      <c r="BK1407" s="144"/>
      <c r="BL1407" s="144"/>
      <c r="BM1407" s="144"/>
      <c r="BN1407" s="144"/>
      <c r="BO1407" s="144"/>
      <c r="BP1407" s="144"/>
      <c r="BQ1407" s="144"/>
      <c r="BR1407" s="144"/>
      <c r="BS1407" s="144"/>
      <c r="BT1407" s="301"/>
      <c r="BU1407" s="144"/>
      <c r="BV1407" s="144"/>
      <c r="BW1407" s="144"/>
      <c r="BX1407" s="144"/>
      <c r="BY1407" s="144"/>
      <c r="BZ1407" s="144"/>
      <c r="CA1407" s="144"/>
      <c r="CB1407" s="144"/>
      <c r="CC1407" s="144"/>
      <c r="CD1407" s="144"/>
      <c r="CE1407" s="144"/>
      <c r="CF1407" s="144"/>
      <c r="CG1407" s="128"/>
    </row>
    <row r="1408" spans="1:85" x14ac:dyDescent="0.3">
      <c r="A1408" s="150" t="s">
        <v>259</v>
      </c>
      <c r="B1408" s="128" t="s">
        <v>2</v>
      </c>
      <c r="C1408" s="144"/>
      <c r="D1408" s="144"/>
      <c r="E1408" s="144"/>
      <c r="F1408" s="144"/>
      <c r="G1408" s="144"/>
      <c r="H1408" s="144"/>
      <c r="I1408" s="144"/>
      <c r="J1408" s="144"/>
      <c r="K1408" s="144"/>
      <c r="L1408" s="144"/>
      <c r="M1408" s="144"/>
      <c r="N1408" s="144"/>
      <c r="O1408" s="144"/>
      <c r="P1408" s="144"/>
      <c r="Q1408" s="144"/>
      <c r="R1408" s="144"/>
      <c r="S1408" s="144"/>
      <c r="T1408" s="144"/>
      <c r="U1408" s="144"/>
      <c r="V1408" s="144"/>
      <c r="W1408" s="144"/>
      <c r="X1408" s="144"/>
      <c r="Y1408" s="144"/>
      <c r="Z1408" s="144"/>
      <c r="AA1408" s="144"/>
      <c r="AB1408" s="144"/>
      <c r="AC1408" s="144"/>
      <c r="AD1408" s="144"/>
      <c r="AE1408" s="144"/>
      <c r="AF1408" s="144"/>
      <c r="AG1408" s="144"/>
      <c r="AH1408" s="144"/>
      <c r="AI1408" s="144"/>
      <c r="AJ1408" s="144"/>
      <c r="AK1408" s="144"/>
      <c r="AL1408" s="144"/>
      <c r="AM1408" s="144"/>
      <c r="AN1408" s="144"/>
      <c r="AO1408" s="144"/>
      <c r="AP1408" s="144"/>
      <c r="AQ1408" s="144"/>
      <c r="AR1408" s="144"/>
      <c r="AS1408" s="144"/>
      <c r="AT1408" s="144"/>
      <c r="AU1408" s="144"/>
      <c r="AV1408" s="144"/>
      <c r="AW1408" s="144"/>
      <c r="AX1408" s="144"/>
      <c r="AY1408" s="144"/>
      <c r="AZ1408" s="144"/>
      <c r="BA1408" s="144"/>
      <c r="BB1408" s="144"/>
      <c r="BC1408" s="144"/>
      <c r="BD1408" s="144"/>
      <c r="BE1408" s="144"/>
      <c r="BF1408" s="144"/>
      <c r="BG1408" s="144"/>
      <c r="BH1408" s="144"/>
      <c r="BI1408" s="144"/>
      <c r="BJ1408" s="144"/>
      <c r="BK1408" s="144"/>
      <c r="BL1408" s="144"/>
      <c r="BM1408" s="144"/>
      <c r="BN1408" s="144"/>
      <c r="BO1408" s="144"/>
      <c r="BP1408" s="144"/>
      <c r="BQ1408" s="144"/>
      <c r="BR1408" s="144"/>
      <c r="BS1408" s="144"/>
      <c r="BT1408" s="301"/>
      <c r="BU1408" s="144"/>
      <c r="BV1408" s="144"/>
      <c r="BW1408" s="144"/>
      <c r="BX1408" s="144"/>
      <c r="BY1408" s="144"/>
      <c r="BZ1408" s="144"/>
      <c r="CA1408" s="144"/>
      <c r="CB1408" s="144"/>
      <c r="CC1408" s="144"/>
      <c r="CD1408" s="144"/>
      <c r="CE1408" s="144"/>
      <c r="CF1408" s="144"/>
      <c r="CG1408" s="128"/>
    </row>
    <row r="1409" spans="1:85" x14ac:dyDescent="0.3">
      <c r="A1409" s="150" t="s">
        <v>260</v>
      </c>
      <c r="B1409" s="917" t="s">
        <v>2</v>
      </c>
      <c r="C1409" s="144"/>
      <c r="D1409" s="144"/>
      <c r="E1409" s="144"/>
      <c r="F1409" s="144"/>
      <c r="G1409" s="144"/>
      <c r="H1409" s="144"/>
      <c r="I1409" s="144"/>
      <c r="J1409" s="144"/>
      <c r="K1409" s="144"/>
      <c r="L1409" s="144"/>
      <c r="M1409" s="144"/>
      <c r="N1409" s="144"/>
      <c r="O1409" s="144"/>
      <c r="P1409" s="144"/>
      <c r="Q1409" s="144"/>
      <c r="R1409" s="144"/>
      <c r="S1409" s="144"/>
      <c r="T1409" s="144"/>
      <c r="U1409" s="144"/>
      <c r="V1409" s="144"/>
      <c r="W1409" s="144"/>
      <c r="X1409" s="144"/>
      <c r="Y1409" s="144"/>
      <c r="Z1409" s="144"/>
      <c r="AA1409" s="144"/>
      <c r="AB1409" s="144"/>
      <c r="AC1409" s="144"/>
      <c r="AD1409" s="144"/>
      <c r="AE1409" s="144"/>
      <c r="AF1409" s="144"/>
      <c r="AG1409" s="144"/>
      <c r="AH1409" s="144"/>
      <c r="AI1409" s="144"/>
      <c r="AJ1409" s="144"/>
      <c r="AK1409" s="144"/>
      <c r="AL1409" s="144"/>
      <c r="AM1409" s="144"/>
      <c r="AN1409" s="144"/>
      <c r="AO1409" s="144"/>
      <c r="AP1409" s="144"/>
      <c r="AQ1409" s="144"/>
      <c r="AR1409" s="144"/>
      <c r="AS1409" s="144"/>
      <c r="AT1409" s="144"/>
      <c r="AU1409" s="144"/>
      <c r="AV1409" s="144"/>
      <c r="AW1409" s="144"/>
      <c r="AX1409" s="144"/>
      <c r="AY1409" s="144"/>
      <c r="AZ1409" s="144"/>
      <c r="BA1409" s="144"/>
      <c r="BB1409" s="144"/>
      <c r="BC1409" s="144"/>
      <c r="BD1409" s="144"/>
      <c r="BE1409" s="144"/>
      <c r="BF1409" s="144"/>
      <c r="BG1409" s="144"/>
      <c r="BH1409" s="144"/>
      <c r="BI1409" s="144"/>
      <c r="BJ1409" s="144"/>
      <c r="BK1409" s="144"/>
      <c r="BL1409" s="144"/>
      <c r="BM1409" s="144"/>
      <c r="BN1409" s="144"/>
      <c r="BO1409" s="144"/>
      <c r="BP1409" s="144"/>
      <c r="BQ1409" s="144"/>
      <c r="BR1409" s="144"/>
      <c r="BS1409" s="144"/>
      <c r="BT1409" s="301"/>
      <c r="BU1409" s="144"/>
      <c r="BV1409" s="144"/>
      <c r="BW1409" s="144"/>
      <c r="BX1409" s="144"/>
      <c r="BY1409" s="144"/>
      <c r="BZ1409" s="144"/>
      <c r="CA1409" s="144"/>
      <c r="CB1409" s="144"/>
      <c r="CC1409" s="144"/>
      <c r="CD1409" s="144"/>
      <c r="CE1409" s="144"/>
      <c r="CF1409" s="144"/>
      <c r="CG1409" s="128"/>
    </row>
    <row r="1410" spans="1:85" x14ac:dyDescent="0.3">
      <c r="A1410" s="150" t="s">
        <v>261</v>
      </c>
      <c r="B1410" s="917" t="s">
        <v>2</v>
      </c>
      <c r="C1410" s="144"/>
      <c r="D1410" s="144"/>
      <c r="E1410" s="144"/>
      <c r="F1410" s="144"/>
      <c r="G1410" s="144"/>
      <c r="H1410" s="144"/>
      <c r="I1410" s="144"/>
      <c r="J1410" s="144"/>
      <c r="K1410" s="144"/>
      <c r="L1410" s="144"/>
      <c r="M1410" s="144"/>
      <c r="N1410" s="144"/>
      <c r="O1410" s="144"/>
      <c r="P1410" s="144"/>
      <c r="Q1410" s="144"/>
      <c r="R1410" s="144"/>
      <c r="S1410" s="144"/>
      <c r="T1410" s="144"/>
      <c r="U1410" s="144"/>
      <c r="V1410" s="144"/>
      <c r="W1410" s="144"/>
      <c r="X1410" s="144"/>
      <c r="Y1410" s="144"/>
      <c r="Z1410" s="144"/>
      <c r="AA1410" s="144"/>
      <c r="AB1410" s="144"/>
      <c r="AC1410" s="144"/>
      <c r="AD1410" s="144"/>
      <c r="AE1410" s="144"/>
      <c r="AF1410" s="144"/>
      <c r="AG1410" s="144"/>
      <c r="AH1410" s="144"/>
      <c r="AI1410" s="144"/>
      <c r="AJ1410" s="144"/>
      <c r="AK1410" s="144"/>
      <c r="AL1410" s="144"/>
      <c r="AM1410" s="144"/>
      <c r="AN1410" s="144"/>
      <c r="AO1410" s="144"/>
      <c r="AP1410" s="144"/>
      <c r="AQ1410" s="144"/>
      <c r="AR1410" s="144"/>
      <c r="AS1410" s="144"/>
      <c r="AT1410" s="144"/>
      <c r="AU1410" s="144"/>
      <c r="AV1410" s="144"/>
      <c r="AW1410" s="144"/>
      <c r="AX1410" s="144"/>
      <c r="AY1410" s="144"/>
      <c r="AZ1410" s="144"/>
      <c r="BA1410" s="144"/>
      <c r="BB1410" s="144"/>
      <c r="BC1410" s="144"/>
      <c r="BD1410" s="144"/>
      <c r="BE1410" s="144"/>
      <c r="BF1410" s="144"/>
      <c r="BG1410" s="144"/>
      <c r="BH1410" s="144"/>
      <c r="BI1410" s="144"/>
      <c r="BJ1410" s="144"/>
      <c r="BK1410" s="144"/>
      <c r="BL1410" s="144"/>
      <c r="BM1410" s="144"/>
      <c r="BN1410" s="144"/>
      <c r="BO1410" s="144"/>
      <c r="BP1410" s="144"/>
      <c r="BQ1410" s="144"/>
      <c r="BR1410" s="144"/>
      <c r="BS1410" s="144"/>
      <c r="BT1410" s="301"/>
      <c r="BU1410" s="144"/>
      <c r="BV1410" s="144"/>
      <c r="BW1410" s="144"/>
      <c r="BX1410" s="144"/>
      <c r="BY1410" s="144"/>
      <c r="BZ1410" s="144"/>
      <c r="CA1410" s="144"/>
      <c r="CB1410" s="144"/>
      <c r="CC1410" s="144"/>
      <c r="CD1410" s="144"/>
      <c r="CE1410" s="144"/>
      <c r="CF1410" s="144"/>
      <c r="CG1410" s="128"/>
    </row>
    <row r="1411" spans="1:85" x14ac:dyDescent="0.3">
      <c r="A1411" s="150" t="s">
        <v>262</v>
      </c>
      <c r="B1411" s="148">
        <f>IF(EXACT(MO.ReportFX,HP.TradeCurrency),1,IF(OR(INDEX(MO_SPT_FXAverage,1,MO.MRFPColumnNumber+1)="N/A",ISERROR(INDEX(MO_SPT_FXAverage,1,MO.MRFPColumnNumber+1))),MO.MRFX.Hardcoded,INDEX(MO_SPT_FXAverage,1,MO.MRFPColumnNumber+1)))</f>
      </c>
      <c r="C1411" s="144"/>
      <c r="D1411" s="144"/>
      <c r="E1411" s="144"/>
      <c r="F1411" s="144"/>
      <c r="G1411" s="144"/>
      <c r="H1411" s="144"/>
      <c r="I1411" s="144"/>
      <c r="J1411" s="144"/>
      <c r="K1411" s="144"/>
      <c r="L1411" s="144"/>
      <c r="M1411" s="144"/>
      <c r="N1411" s="144"/>
      <c r="O1411" s="144"/>
      <c r="P1411" s="144"/>
      <c r="Q1411" s="144"/>
      <c r="R1411" s="144"/>
      <c r="S1411" s="144"/>
      <c r="T1411" s="144"/>
      <c r="U1411" s="144"/>
      <c r="V1411" s="144"/>
      <c r="W1411" s="144"/>
      <c r="X1411" s="144"/>
      <c r="Y1411" s="144"/>
      <c r="Z1411" s="144"/>
      <c r="AA1411" s="144"/>
      <c r="AB1411" s="144"/>
      <c r="AC1411" s="144"/>
      <c r="AD1411" s="144"/>
      <c r="AE1411" s="144"/>
      <c r="AF1411" s="144"/>
      <c r="AG1411" s="144"/>
      <c r="AH1411" s="144"/>
      <c r="AI1411" s="144"/>
      <c r="AJ1411" s="144"/>
      <c r="AK1411" s="144"/>
      <c r="AL1411" s="144"/>
      <c r="AM1411" s="144"/>
      <c r="AN1411" s="144"/>
      <c r="AO1411" s="144"/>
      <c r="AP1411" s="144"/>
      <c r="AQ1411" s="144"/>
      <c r="AR1411" s="144"/>
      <c r="AS1411" s="144"/>
      <c r="AT1411" s="144"/>
      <c r="AU1411" s="144"/>
      <c r="AV1411" s="144"/>
      <c r="AW1411" s="144"/>
      <c r="AX1411" s="144"/>
      <c r="AY1411" s="144"/>
      <c r="AZ1411" s="144"/>
      <c r="BA1411" s="144"/>
      <c r="BB1411" s="144"/>
      <c r="BC1411" s="144"/>
      <c r="BD1411" s="144"/>
      <c r="BE1411" s="144"/>
      <c r="BF1411" s="144"/>
      <c r="BG1411" s="144"/>
      <c r="BH1411" s="144"/>
      <c r="BI1411" s="144"/>
      <c r="BJ1411" s="144"/>
      <c r="BK1411" s="144"/>
      <c r="BL1411" s="144"/>
      <c r="BM1411" s="144"/>
      <c r="BN1411" s="144"/>
      <c r="BO1411" s="144"/>
      <c r="BP1411" s="144"/>
      <c r="BQ1411" s="144"/>
      <c r="BR1411" s="144"/>
      <c r="BS1411" s="144"/>
      <c r="BT1411" s="301"/>
      <c r="BU1411" s="144"/>
      <c r="BV1411" s="144"/>
      <c r="BW1411" s="144"/>
      <c r="BX1411" s="144"/>
      <c r="BY1411" s="144"/>
      <c r="BZ1411" s="144"/>
      <c r="CA1411" s="144"/>
      <c r="CB1411" s="144"/>
      <c r="CC1411" s="144"/>
      <c r="CD1411" s="144"/>
      <c r="CE1411" s="144"/>
      <c r="CF1411" s="144"/>
      <c r="CG1411" s="128"/>
    </row>
    <row r="1412" spans="1:85" x14ac:dyDescent="0.3">
      <c r="A1412" s="150" t="s">
        <v>263</v>
      </c>
      <c r="B1412" s="920">
        <v>1</v>
      </c>
      <c r="C1412" s="144"/>
      <c r="D1412" s="144"/>
      <c r="E1412" s="144"/>
      <c r="F1412" s="144"/>
      <c r="G1412" s="144"/>
      <c r="H1412" s="144"/>
      <c r="I1412" s="144"/>
      <c r="J1412" s="144"/>
      <c r="K1412" s="144"/>
      <c r="L1412" s="144"/>
      <c r="M1412" s="144"/>
      <c r="N1412" s="144"/>
      <c r="O1412" s="144"/>
      <c r="P1412" s="144"/>
      <c r="Q1412" s="144"/>
      <c r="R1412" s="144"/>
      <c r="S1412" s="144"/>
      <c r="T1412" s="144"/>
      <c r="U1412" s="144"/>
      <c r="V1412" s="144"/>
      <c r="W1412" s="144"/>
      <c r="X1412" s="144"/>
      <c r="Y1412" s="144"/>
      <c r="Z1412" s="144"/>
      <c r="AA1412" s="144"/>
      <c r="AB1412" s="144"/>
      <c r="AC1412" s="144"/>
      <c r="AD1412" s="144"/>
      <c r="AE1412" s="144"/>
      <c r="AF1412" s="144"/>
      <c r="AG1412" s="144"/>
      <c r="AH1412" s="144"/>
      <c r="AI1412" s="144"/>
      <c r="AJ1412" s="144"/>
      <c r="AK1412" s="144"/>
      <c r="AL1412" s="144"/>
      <c r="AM1412" s="144"/>
      <c r="AN1412" s="144"/>
      <c r="AO1412" s="144"/>
      <c r="AP1412" s="144"/>
      <c r="AQ1412" s="144"/>
      <c r="AR1412" s="144"/>
      <c r="AS1412" s="144"/>
      <c r="AT1412" s="144"/>
      <c r="AU1412" s="144"/>
      <c r="AV1412" s="144"/>
      <c r="AW1412" s="144"/>
      <c r="AX1412" s="144"/>
      <c r="AY1412" s="144"/>
      <c r="AZ1412" s="144"/>
      <c r="BA1412" s="144"/>
      <c r="BB1412" s="144"/>
      <c r="BC1412" s="144"/>
      <c r="BD1412" s="144"/>
      <c r="BE1412" s="144"/>
      <c r="BF1412" s="144"/>
      <c r="BG1412" s="144"/>
      <c r="BH1412" s="144"/>
      <c r="BI1412" s="144"/>
      <c r="BJ1412" s="144"/>
      <c r="BK1412" s="144"/>
      <c r="BL1412" s="144"/>
      <c r="BM1412" s="144"/>
      <c r="BN1412" s="144"/>
      <c r="BO1412" s="144"/>
      <c r="BP1412" s="144"/>
      <c r="BQ1412" s="144"/>
      <c r="BR1412" s="144"/>
      <c r="BS1412" s="144"/>
      <c r="BT1412" s="301"/>
      <c r="BU1412" s="144"/>
      <c r="BV1412" s="144"/>
      <c r="BW1412" s="144"/>
      <c r="BX1412" s="144"/>
      <c r="BY1412" s="144"/>
      <c r="BZ1412" s="144"/>
      <c r="CA1412" s="144"/>
      <c r="CB1412" s="144"/>
      <c r="CC1412" s="144"/>
      <c r="CD1412" s="144"/>
      <c r="CE1412" s="144"/>
      <c r="CF1412" s="144"/>
      <c r="CG1412" s="128"/>
    </row>
    <row r="1413" spans="1:85" x14ac:dyDescent="0.3">
      <c r="A1413" s="130" t="s">
        <v>264</v>
      </c>
      <c r="B1413" s="131">
        <f>MATCH(MO.MRFP,MO_Common_ColumnHeader,0)</f>
      </c>
      <c r="C1413" s="204"/>
      <c r="D1413" s="204"/>
      <c r="E1413" s="204"/>
      <c r="F1413" s="204"/>
      <c r="G1413" s="204"/>
      <c r="H1413" s="204"/>
      <c r="I1413" s="204"/>
      <c r="J1413" s="204"/>
      <c r="K1413" s="204"/>
      <c r="L1413" s="204"/>
      <c r="M1413" s="204"/>
      <c r="N1413" s="204"/>
      <c r="O1413" s="204"/>
      <c r="P1413" s="204"/>
      <c r="Q1413" s="204"/>
      <c r="R1413" s="204"/>
      <c r="S1413" s="204"/>
      <c r="T1413" s="204"/>
      <c r="U1413" s="204"/>
      <c r="V1413" s="204"/>
      <c r="W1413" s="204"/>
      <c r="X1413" s="204"/>
      <c r="Y1413" s="204"/>
      <c r="Z1413" s="204"/>
      <c r="AA1413" s="204"/>
      <c r="AB1413" s="204"/>
      <c r="AC1413" s="204"/>
      <c r="AD1413" s="204"/>
      <c r="AE1413" s="204"/>
      <c r="AF1413" s="204"/>
      <c r="AG1413" s="204"/>
      <c r="AH1413" s="204"/>
      <c r="AI1413" s="204"/>
      <c r="AJ1413" s="204"/>
      <c r="AK1413" s="204"/>
      <c r="AL1413" s="204"/>
      <c r="AM1413" s="204"/>
      <c r="AN1413" s="204"/>
      <c r="AO1413" s="204"/>
      <c r="AP1413" s="204"/>
      <c r="AQ1413" s="204"/>
      <c r="AR1413" s="204"/>
      <c r="AS1413" s="204"/>
      <c r="AT1413" s="204"/>
      <c r="AU1413" s="204"/>
      <c r="AV1413" s="204"/>
      <c r="AW1413" s="204"/>
      <c r="AX1413" s="204"/>
      <c r="AY1413" s="204"/>
      <c r="AZ1413" s="204"/>
      <c r="BA1413" s="204"/>
      <c r="BB1413" s="204"/>
      <c r="BC1413" s="204"/>
      <c r="BD1413" s="204"/>
      <c r="BE1413" s="204"/>
      <c r="BF1413" s="204"/>
      <c r="BG1413" s="204"/>
      <c r="BH1413" s="204"/>
      <c r="BI1413" s="204"/>
      <c r="BJ1413" s="204"/>
      <c r="BK1413" s="204"/>
      <c r="BL1413" s="204"/>
      <c r="BM1413" s="204"/>
      <c r="BN1413" s="204"/>
      <c r="BO1413" s="204"/>
      <c r="BP1413" s="204"/>
      <c r="BQ1413" s="204"/>
      <c r="BR1413" s="204"/>
      <c r="BS1413" s="204"/>
      <c r="BT1413" s="294"/>
      <c r="BU1413" s="204"/>
      <c r="BV1413" s="204"/>
      <c r="BW1413" s="204"/>
      <c r="BX1413" s="204"/>
      <c r="BY1413" s="204"/>
      <c r="BZ1413" s="204"/>
      <c r="CA1413" s="204"/>
      <c r="CB1413" s="204"/>
      <c r="CC1413" s="204"/>
      <c r="CD1413" s="204"/>
      <c r="CE1413" s="204"/>
      <c r="CF1413" s="204"/>
      <c r="CG1413" s="131"/>
    </row>
    <row r="1414" spans="1:85" x14ac:dyDescent="0.3">
      <c r="A1414" s="130" t="s">
        <v>265</v>
      </c>
      <c r="B1414" s="850" t="s">
        <v>2379</v>
      </c>
      <c r="C1414" s="204"/>
      <c r="D1414" s="204"/>
      <c r="E1414" s="204"/>
      <c r="F1414" s="204"/>
      <c r="G1414" s="204"/>
      <c r="H1414" s="204"/>
      <c r="I1414" s="204"/>
      <c r="J1414" s="204"/>
      <c r="K1414" s="204"/>
      <c r="L1414" s="204"/>
      <c r="M1414" s="204"/>
      <c r="N1414" s="204"/>
      <c r="O1414" s="204"/>
      <c r="P1414" s="204"/>
      <c r="Q1414" s="204"/>
      <c r="R1414" s="204"/>
      <c r="S1414" s="204"/>
      <c r="T1414" s="204"/>
      <c r="U1414" s="204"/>
      <c r="V1414" s="204"/>
      <c r="W1414" s="204"/>
      <c r="X1414" s="204"/>
      <c r="Y1414" s="204"/>
      <c r="Z1414" s="204"/>
      <c r="AA1414" s="204"/>
      <c r="AB1414" s="204"/>
      <c r="AC1414" s="204"/>
      <c r="AD1414" s="204"/>
      <c r="AE1414" s="204"/>
      <c r="AF1414" s="204"/>
      <c r="AG1414" s="204"/>
      <c r="AH1414" s="204"/>
      <c r="AI1414" s="204"/>
      <c r="AJ1414" s="204"/>
      <c r="AK1414" s="204"/>
      <c r="AL1414" s="204"/>
      <c r="AM1414" s="204"/>
      <c r="AN1414" s="204"/>
      <c r="AO1414" s="204"/>
      <c r="AP1414" s="204"/>
      <c r="AQ1414" s="204"/>
      <c r="AR1414" s="204"/>
      <c r="AS1414" s="204"/>
      <c r="AT1414" s="204"/>
      <c r="AU1414" s="204"/>
      <c r="AV1414" s="204"/>
      <c r="AW1414" s="204"/>
      <c r="AX1414" s="204"/>
      <c r="AY1414" s="204"/>
      <c r="AZ1414" s="204"/>
      <c r="BA1414" s="204"/>
      <c r="BB1414" s="204"/>
      <c r="BC1414" s="204"/>
      <c r="BD1414" s="204"/>
      <c r="BE1414" s="204"/>
      <c r="BF1414" s="204"/>
      <c r="BG1414" s="204"/>
      <c r="BH1414" s="204"/>
      <c r="BI1414" s="204"/>
      <c r="BJ1414" s="204"/>
      <c r="BK1414" s="204"/>
      <c r="BL1414" s="204"/>
      <c r="BM1414" s="204"/>
      <c r="BN1414" s="204"/>
      <c r="BO1414" s="204"/>
      <c r="BP1414" s="204"/>
      <c r="BQ1414" s="204"/>
      <c r="BR1414" s="204"/>
      <c r="BS1414" s="204"/>
      <c r="BT1414" s="294"/>
      <c r="BU1414" s="204"/>
      <c r="BV1414" s="204"/>
      <c r="BW1414" s="204"/>
      <c r="BX1414" s="204"/>
      <c r="BY1414" s="204"/>
      <c r="BZ1414" s="204"/>
      <c r="CA1414" s="204"/>
      <c r="CB1414" s="204"/>
      <c r="CC1414" s="204"/>
      <c r="CD1414" s="204"/>
      <c r="CE1414" s="204"/>
      <c r="CF1414" s="204"/>
      <c r="CG1414" s="131"/>
    </row>
    <row r="1415" spans="1:85" x14ac:dyDescent="0.3">
      <c r="A1415" s="130" t="s">
        <v>266</v>
      </c>
      <c r="B1415" s="131" t="str">
        <f>"FY"&amp;RIGHT(MO.MRFP,4)</f>
      </c>
      <c r="C1415" s="204"/>
      <c r="D1415" s="204"/>
      <c r="E1415" s="204"/>
      <c r="F1415" s="204"/>
      <c r="G1415" s="204"/>
      <c r="H1415" s="204"/>
      <c r="I1415" s="204"/>
      <c r="J1415" s="204"/>
      <c r="K1415" s="204"/>
      <c r="L1415" s="204"/>
      <c r="M1415" s="204"/>
      <c r="N1415" s="204"/>
      <c r="O1415" s="204"/>
      <c r="P1415" s="204"/>
      <c r="Q1415" s="204"/>
      <c r="R1415" s="204"/>
      <c r="S1415" s="204"/>
      <c r="T1415" s="204"/>
      <c r="U1415" s="204"/>
      <c r="V1415" s="204"/>
      <c r="W1415" s="204"/>
      <c r="X1415" s="204"/>
      <c r="Y1415" s="204"/>
      <c r="Z1415" s="204"/>
      <c r="AA1415" s="204"/>
      <c r="AB1415" s="204"/>
      <c r="AC1415" s="204"/>
      <c r="AD1415" s="204"/>
      <c r="AE1415" s="204"/>
      <c r="AF1415" s="204"/>
      <c r="AG1415" s="204"/>
      <c r="AH1415" s="204"/>
      <c r="AI1415" s="204"/>
      <c r="AJ1415" s="204"/>
      <c r="AK1415" s="204"/>
      <c r="AL1415" s="204"/>
      <c r="AM1415" s="204"/>
      <c r="AN1415" s="204"/>
      <c r="AO1415" s="204"/>
      <c r="AP1415" s="204"/>
      <c r="AQ1415" s="204"/>
      <c r="AR1415" s="204"/>
      <c r="AS1415" s="204"/>
      <c r="AT1415" s="204"/>
      <c r="AU1415" s="204"/>
      <c r="AV1415" s="204"/>
      <c r="AW1415" s="204"/>
      <c r="AX1415" s="204"/>
      <c r="AY1415" s="204"/>
      <c r="AZ1415" s="204"/>
      <c r="BA1415" s="204"/>
      <c r="BB1415" s="204"/>
      <c r="BC1415" s="204"/>
      <c r="BD1415" s="204"/>
      <c r="BE1415" s="204"/>
      <c r="BF1415" s="204"/>
      <c r="BG1415" s="204"/>
      <c r="BH1415" s="204"/>
      <c r="BI1415" s="204"/>
      <c r="BJ1415" s="204"/>
      <c r="BK1415" s="204"/>
      <c r="BL1415" s="204"/>
      <c r="BM1415" s="204"/>
      <c r="BN1415" s="204"/>
      <c r="BO1415" s="204"/>
      <c r="BP1415" s="204"/>
      <c r="BQ1415" s="204"/>
      <c r="BR1415" s="204"/>
      <c r="BS1415" s="204"/>
      <c r="BT1415" s="294"/>
      <c r="BU1415" s="204"/>
      <c r="BV1415" s="204"/>
      <c r="BW1415" s="204"/>
      <c r="BX1415" s="204"/>
      <c r="BY1415" s="204"/>
      <c r="BZ1415" s="204"/>
      <c r="CA1415" s="204"/>
      <c r="CB1415" s="204"/>
      <c r="CC1415" s="204"/>
      <c r="CD1415" s="204"/>
      <c r="CE1415" s="204"/>
      <c r="CF1415" s="204"/>
      <c r="CG1415" s="131"/>
    </row>
    <row r="1416" spans="1:85" x14ac:dyDescent="0.3">
      <c r="A1416" s="130" t="s">
        <v>364</v>
      </c>
      <c r="B1416" s="131" t="str">
        <f>"FY"&amp;RIGHT(MO.MRFP,4)+IF(LEFT(MO.MRFP,2)="FY",1,0)</f>
      </c>
      <c r="C1416" s="204"/>
      <c r="D1416" s="204"/>
      <c r="E1416" s="204"/>
      <c r="F1416" s="204"/>
      <c r="G1416" s="204"/>
      <c r="H1416" s="204"/>
      <c r="I1416" s="204"/>
      <c r="J1416" s="204"/>
      <c r="K1416" s="204"/>
      <c r="L1416" s="204"/>
      <c r="M1416" s="204"/>
      <c r="N1416" s="204"/>
      <c r="O1416" s="204"/>
      <c r="P1416" s="204"/>
      <c r="Q1416" s="204"/>
      <c r="R1416" s="204"/>
      <c r="S1416" s="204"/>
      <c r="T1416" s="204"/>
      <c r="U1416" s="204"/>
      <c r="V1416" s="204"/>
      <c r="W1416" s="204"/>
      <c r="X1416" s="204"/>
      <c r="Y1416" s="204"/>
      <c r="Z1416" s="204"/>
      <c r="AA1416" s="204"/>
      <c r="AB1416" s="204"/>
      <c r="AC1416" s="204"/>
      <c r="AD1416" s="204"/>
      <c r="AE1416" s="204"/>
      <c r="AF1416" s="204"/>
      <c r="AG1416" s="204"/>
      <c r="AH1416" s="204"/>
      <c r="AI1416" s="204"/>
      <c r="AJ1416" s="204"/>
      <c r="AK1416" s="204"/>
      <c r="AL1416" s="204"/>
      <c r="AM1416" s="204"/>
      <c r="AN1416" s="204"/>
      <c r="AO1416" s="204"/>
      <c r="AP1416" s="204"/>
      <c r="AQ1416" s="204"/>
      <c r="AR1416" s="204"/>
      <c r="AS1416" s="204"/>
      <c r="AT1416" s="204"/>
      <c r="AU1416" s="204"/>
      <c r="AV1416" s="204"/>
      <c r="AW1416" s="204"/>
      <c r="AX1416" s="204"/>
      <c r="AY1416" s="204"/>
      <c r="AZ1416" s="204"/>
      <c r="BA1416" s="204"/>
      <c r="BB1416" s="204"/>
      <c r="BC1416" s="204"/>
      <c r="BD1416" s="204"/>
      <c r="BE1416" s="204"/>
      <c r="BF1416" s="204"/>
      <c r="BG1416" s="204"/>
      <c r="BH1416" s="204"/>
      <c r="BI1416" s="204"/>
      <c r="BJ1416" s="204"/>
      <c r="BK1416" s="204"/>
      <c r="BL1416" s="204"/>
      <c r="BM1416" s="204"/>
      <c r="BN1416" s="204"/>
      <c r="BO1416" s="204"/>
      <c r="BP1416" s="204"/>
      <c r="BQ1416" s="204"/>
      <c r="BR1416" s="204"/>
      <c r="BS1416" s="204"/>
      <c r="BT1416" s="294"/>
      <c r="BU1416" s="204"/>
      <c r="BV1416" s="204"/>
      <c r="BW1416" s="204"/>
      <c r="BX1416" s="204"/>
      <c r="BY1416" s="204"/>
      <c r="BZ1416" s="204"/>
      <c r="CA1416" s="204"/>
      <c r="CB1416" s="204"/>
      <c r="CC1416" s="204"/>
      <c r="CD1416" s="204"/>
      <c r="CE1416" s="204"/>
      <c r="CF1416" s="204"/>
      <c r="CG1416" s="131"/>
    </row>
    <row r="1417" spans="1:85" x14ac:dyDescent="0.3">
      <c r="A1417" s="130" t="s">
        <v>971</v>
      </c>
      <c r="B1417" s="131">
        <f>COUNTA(tb_KPIs)-1</f>
      </c>
      <c r="C1417" s="204"/>
      <c r="D1417" s="204"/>
      <c r="E1417" s="204"/>
      <c r="F1417" s="204"/>
      <c r="G1417" s="204"/>
      <c r="H1417" s="204"/>
      <c r="I1417" s="204"/>
      <c r="J1417" s="204"/>
      <c r="K1417" s="204"/>
      <c r="L1417" s="204"/>
      <c r="M1417" s="204"/>
      <c r="N1417" s="204"/>
      <c r="O1417" s="204"/>
      <c r="P1417" s="204"/>
      <c r="Q1417" s="204"/>
      <c r="R1417" s="204"/>
      <c r="S1417" s="204"/>
      <c r="T1417" s="204"/>
      <c r="U1417" s="204"/>
      <c r="V1417" s="204"/>
      <c r="W1417" s="204"/>
      <c r="X1417" s="204"/>
      <c r="Y1417" s="204"/>
      <c r="Z1417" s="204"/>
      <c r="AA1417" s="204"/>
      <c r="AB1417" s="204"/>
      <c r="AC1417" s="204"/>
      <c r="AD1417" s="204"/>
      <c r="AE1417" s="204"/>
      <c r="AF1417" s="204"/>
      <c r="AG1417" s="204"/>
      <c r="AH1417" s="204"/>
      <c r="AI1417" s="204"/>
      <c r="AJ1417" s="204"/>
      <c r="AK1417" s="204"/>
      <c r="AL1417" s="204"/>
      <c r="AM1417" s="204"/>
      <c r="AN1417" s="204"/>
      <c r="AO1417" s="204"/>
      <c r="AP1417" s="204"/>
      <c r="AQ1417" s="204"/>
      <c r="AR1417" s="204"/>
      <c r="AS1417" s="204"/>
      <c r="AT1417" s="204"/>
      <c r="AU1417" s="204"/>
      <c r="AV1417" s="204"/>
      <c r="AW1417" s="204"/>
      <c r="AX1417" s="204"/>
      <c r="AY1417" s="204"/>
      <c r="AZ1417" s="204"/>
      <c r="BA1417" s="204"/>
      <c r="BB1417" s="204"/>
      <c r="BC1417" s="204"/>
      <c r="BD1417" s="204"/>
      <c r="BE1417" s="204"/>
      <c r="BF1417" s="204"/>
      <c r="BG1417" s="204"/>
      <c r="BH1417" s="204"/>
      <c r="BI1417" s="204"/>
      <c r="BJ1417" s="204"/>
      <c r="BK1417" s="204"/>
      <c r="BL1417" s="204"/>
      <c r="BM1417" s="204"/>
      <c r="BN1417" s="204"/>
      <c r="BO1417" s="204"/>
      <c r="BP1417" s="204"/>
      <c r="BQ1417" s="204"/>
      <c r="BR1417" s="204"/>
      <c r="BS1417" s="204"/>
      <c r="BT1417" s="294"/>
      <c r="BU1417" s="204"/>
      <c r="BV1417" s="204"/>
      <c r="BW1417" s="204"/>
      <c r="BX1417" s="204"/>
      <c r="BY1417" s="204"/>
      <c r="BZ1417" s="204"/>
      <c r="CA1417" s="204"/>
      <c r="CB1417" s="204"/>
      <c r="CC1417" s="204"/>
      <c r="CD1417" s="204"/>
      <c r="CE1417" s="204"/>
      <c r="CF1417" s="204"/>
      <c r="CG1417" s="131"/>
    </row>
    <row r="1418" spans="1:85" x14ac:dyDescent="0.3">
      <c r="A1418" s="132" t="s">
        <v>267</v>
      </c>
      <c r="B1418" s="133">
        <f>IF(MO.DataSourceName="Bloomberg",1,IF(MO.DataSourceName="Capital IQ",2,IF(MO.DataSourceName="FactSet",3,IF(MO.DataSourceName="Refinitiv",4,1))))</f>
      </c>
      <c r="C1418" s="204"/>
      <c r="D1418" s="204"/>
      <c r="E1418" s="204"/>
      <c r="F1418" s="204"/>
      <c r="G1418" s="204"/>
      <c r="H1418" s="204"/>
      <c r="I1418" s="204"/>
      <c r="J1418" s="204"/>
      <c r="K1418" s="204"/>
      <c r="L1418" s="204"/>
      <c r="M1418" s="204"/>
      <c r="N1418" s="204"/>
      <c r="O1418" s="204"/>
      <c r="P1418" s="204"/>
      <c r="Q1418" s="204"/>
      <c r="R1418" s="204"/>
      <c r="S1418" s="204"/>
      <c r="T1418" s="204"/>
      <c r="U1418" s="204"/>
      <c r="V1418" s="204"/>
      <c r="W1418" s="204"/>
      <c r="X1418" s="204"/>
      <c r="Y1418" s="204"/>
      <c r="Z1418" s="204"/>
      <c r="AA1418" s="204"/>
      <c r="AB1418" s="204"/>
      <c r="AC1418" s="204"/>
      <c r="AD1418" s="204"/>
      <c r="AE1418" s="204"/>
      <c r="AF1418" s="204"/>
      <c r="AG1418" s="204"/>
      <c r="AH1418" s="204"/>
      <c r="AI1418" s="204"/>
      <c r="AJ1418" s="204"/>
      <c r="AK1418" s="204"/>
      <c r="AL1418" s="204"/>
      <c r="AM1418" s="204"/>
      <c r="AN1418" s="204"/>
      <c r="AO1418" s="204"/>
      <c r="AP1418" s="204"/>
      <c r="AQ1418" s="204"/>
      <c r="AR1418" s="204"/>
      <c r="AS1418" s="204"/>
      <c r="AT1418" s="204"/>
      <c r="AU1418" s="204"/>
      <c r="AV1418" s="204"/>
      <c r="AW1418" s="204"/>
      <c r="AX1418" s="204"/>
      <c r="AY1418" s="204"/>
      <c r="AZ1418" s="204"/>
      <c r="BA1418" s="204"/>
      <c r="BB1418" s="204"/>
      <c r="BC1418" s="204"/>
      <c r="BD1418" s="204"/>
      <c r="BE1418" s="204"/>
      <c r="BF1418" s="204"/>
      <c r="BG1418" s="204"/>
      <c r="BH1418" s="204"/>
      <c r="BI1418" s="204"/>
      <c r="BJ1418" s="204"/>
      <c r="BK1418" s="204"/>
      <c r="BL1418" s="204"/>
      <c r="BM1418" s="204"/>
      <c r="BN1418" s="204"/>
      <c r="BO1418" s="204"/>
      <c r="BP1418" s="204"/>
      <c r="BQ1418" s="204"/>
      <c r="BR1418" s="204"/>
      <c r="BS1418" s="204"/>
      <c r="BT1418" s="294"/>
      <c r="BU1418" s="204"/>
      <c r="BV1418" s="204"/>
      <c r="BW1418" s="204"/>
      <c r="BX1418" s="204"/>
      <c r="BY1418" s="204"/>
      <c r="BZ1418" s="204"/>
      <c r="CA1418" s="204"/>
      <c r="CB1418" s="204"/>
      <c r="CC1418" s="204"/>
      <c r="CD1418" s="204"/>
      <c r="CE1418" s="204"/>
      <c r="CF1418" s="204"/>
      <c r="CG1418" s="131"/>
    </row>
    <row r="1419" spans="1:85" x14ac:dyDescent="0.3">
      <c r="A1419" s="291"/>
      <c r="B1419" s="291"/>
      <c r="C1419" s="237"/>
      <c r="D1419" s="237"/>
      <c r="E1419" s="237"/>
      <c r="F1419" s="237"/>
      <c r="G1419" s="237"/>
      <c r="H1419" s="237"/>
      <c r="I1419" s="237"/>
      <c r="J1419" s="237"/>
      <c r="K1419" s="237"/>
      <c r="L1419" s="237"/>
      <c r="M1419" s="237"/>
      <c r="N1419" s="237"/>
      <c r="O1419" s="237"/>
      <c r="P1419" s="237"/>
      <c r="Q1419" s="237"/>
      <c r="R1419" s="237"/>
      <c r="S1419" s="237"/>
      <c r="T1419" s="237"/>
      <c r="U1419" s="237"/>
      <c r="V1419" s="237"/>
      <c r="W1419" s="237"/>
      <c r="X1419" s="237"/>
      <c r="Y1419" s="237"/>
      <c r="Z1419" s="237"/>
      <c r="AA1419" s="237"/>
      <c r="AB1419" s="237"/>
      <c r="AC1419" s="237"/>
      <c r="AD1419" s="237"/>
      <c r="AE1419" s="237"/>
      <c r="AF1419" s="237"/>
      <c r="AG1419" s="237"/>
      <c r="AH1419" s="237"/>
      <c r="AI1419" s="237"/>
      <c r="AJ1419" s="237"/>
      <c r="AK1419" s="237"/>
      <c r="AL1419" s="237"/>
      <c r="AM1419" s="237"/>
      <c r="AN1419" s="237"/>
      <c r="AO1419" s="237"/>
      <c r="AP1419" s="237"/>
      <c r="AQ1419" s="237"/>
      <c r="AR1419" s="237"/>
      <c r="AS1419" s="237"/>
      <c r="AT1419" s="237"/>
      <c r="AU1419" s="237"/>
      <c r="AV1419" s="237"/>
      <c r="AW1419" s="237"/>
      <c r="AX1419" s="237"/>
      <c r="AY1419" s="237"/>
      <c r="AZ1419" s="237"/>
      <c r="BA1419" s="237"/>
      <c r="BB1419" s="237"/>
      <c r="BC1419" s="237"/>
      <c r="BD1419" s="237"/>
      <c r="BE1419" s="237"/>
      <c r="BF1419" s="237"/>
      <c r="BG1419" s="237"/>
      <c r="BH1419" s="237"/>
      <c r="BI1419" s="237"/>
      <c r="BJ1419" s="237"/>
      <c r="BK1419" s="237"/>
      <c r="BL1419" s="237"/>
      <c r="BM1419" s="237"/>
      <c r="BN1419" s="237"/>
      <c r="BO1419" s="237"/>
      <c r="BP1419" s="237"/>
      <c r="BQ1419" s="237"/>
      <c r="BR1419" s="237"/>
      <c r="BS1419" s="237"/>
      <c r="BT1419" s="296"/>
      <c r="BU1419" s="237"/>
      <c r="BV1419" s="237"/>
      <c r="BW1419" s="237"/>
      <c r="BX1419" s="237"/>
      <c r="BY1419" s="237"/>
      <c r="BZ1419" s="237"/>
      <c r="CA1419" s="237"/>
      <c r="CB1419" s="237"/>
      <c r="CC1419" s="237"/>
      <c r="CD1419" s="237"/>
      <c r="CE1419" s="237"/>
      <c r="CF1419" s="237"/>
      <c r="CG1419" s="129"/>
    </row>
    <row r="1420" spans="1:85" x14ac:dyDescent="0.3">
      <c r="A1420" s="220"/>
      <c r="B1420" s="134"/>
      <c r="C1420" s="134"/>
      <c r="D1420" s="134"/>
      <c r="E1420" s="134"/>
      <c r="F1420" s="134"/>
      <c r="G1420" s="134"/>
      <c r="H1420" s="134"/>
      <c r="I1420" s="134"/>
      <c r="J1420" s="134"/>
      <c r="K1420" s="134"/>
      <c r="L1420" s="134"/>
      <c r="M1420" s="134"/>
      <c r="N1420" s="134"/>
      <c r="O1420" s="134"/>
      <c r="P1420" s="134"/>
      <c r="Q1420" s="134"/>
      <c r="R1420" s="134"/>
      <c r="S1420" s="134"/>
      <c r="T1420" s="134"/>
      <c r="U1420" s="134"/>
      <c r="V1420" s="134"/>
      <c r="W1420" s="134"/>
      <c r="X1420" s="134"/>
      <c r="Y1420" s="134"/>
      <c r="Z1420" s="134"/>
      <c r="AA1420" s="134"/>
      <c r="AB1420" s="134"/>
      <c r="AC1420" s="134"/>
      <c r="AD1420" s="134"/>
      <c r="AE1420" s="134"/>
      <c r="AF1420" s="134"/>
      <c r="AG1420" s="134"/>
      <c r="AH1420" s="134"/>
      <c r="AI1420" s="134"/>
      <c r="AJ1420" s="134"/>
      <c r="AK1420" s="134"/>
      <c r="AL1420" s="134"/>
      <c r="AM1420" s="134"/>
      <c r="AN1420" s="134"/>
      <c r="AO1420" s="134"/>
      <c r="AP1420" s="134"/>
      <c r="AQ1420" s="134"/>
      <c r="AR1420" s="134"/>
      <c r="AS1420" s="134"/>
      <c r="AT1420" s="134"/>
      <c r="AU1420" s="134"/>
      <c r="AV1420" s="134"/>
      <c r="AW1420" s="134"/>
      <c r="AX1420" s="134"/>
      <c r="AY1420" s="134"/>
      <c r="AZ1420" s="134"/>
      <c r="BA1420" s="134"/>
      <c r="BB1420" s="134"/>
      <c r="BC1420" s="134"/>
      <c r="BD1420" s="134"/>
      <c r="BE1420" s="134"/>
      <c r="BF1420" s="134"/>
      <c r="BG1420" s="134"/>
      <c r="BH1420" s="134"/>
      <c r="BI1420" s="134"/>
      <c r="BJ1420" s="134"/>
      <c r="BK1420" s="134"/>
      <c r="BL1420" s="134"/>
      <c r="BM1420" s="134"/>
      <c r="BN1420" s="134"/>
      <c r="BO1420" s="134"/>
      <c r="BP1420" s="134"/>
      <c r="BQ1420" s="134"/>
      <c r="BR1420" s="134"/>
      <c r="BS1420" s="134"/>
      <c r="BT1420" s="134"/>
      <c r="BU1420" s="134"/>
      <c r="BV1420" s="134"/>
      <c r="BW1420" s="134"/>
      <c r="BX1420" s="134"/>
      <c r="BY1420" s="134"/>
      <c r="BZ1420" s="134"/>
      <c r="CA1420" s="134"/>
      <c r="CB1420" s="134"/>
      <c r="CC1420" s="134"/>
      <c r="CD1420" s="134"/>
      <c r="CE1420" s="134"/>
      <c r="CF1420" s="134"/>
      <c r="CG1420" s="129"/>
    </row>
    <row r="1421" spans="1:85" x14ac:dyDescent="0.3">
      <c r="A1421" s="129"/>
      <c r="B1421" s="129"/>
      <c r="C1421" s="129"/>
      <c r="D1421" s="129"/>
      <c r="E1421" s="129"/>
      <c r="F1421" s="129"/>
      <c r="G1421" s="129"/>
      <c r="H1421" s="129"/>
      <c r="I1421" s="129"/>
      <c r="J1421" s="129"/>
      <c r="K1421" s="129"/>
      <c r="L1421" s="129"/>
      <c r="M1421" s="129"/>
      <c r="N1421" s="129"/>
      <c r="O1421" s="129"/>
      <c r="P1421" s="129"/>
      <c r="Q1421" s="129"/>
      <c r="R1421" s="129"/>
      <c r="S1421" s="129"/>
      <c r="T1421" s="129"/>
      <c r="U1421" s="129"/>
      <c r="V1421" s="129"/>
      <c r="W1421" s="129"/>
      <c r="X1421" s="129"/>
      <c r="Y1421" s="129"/>
      <c r="Z1421" s="129"/>
      <c r="AA1421" s="129"/>
      <c r="AB1421" s="129"/>
      <c r="AC1421" s="129"/>
      <c r="AD1421" s="129"/>
      <c r="AE1421" s="129"/>
      <c r="AF1421" s="129"/>
      <c r="AG1421" s="129"/>
      <c r="AH1421" s="129"/>
      <c r="AI1421" s="129"/>
      <c r="AJ1421" s="129"/>
      <c r="AK1421" s="129"/>
      <c r="AL1421" s="129"/>
      <c r="AM1421" s="129"/>
      <c r="AN1421" s="129"/>
      <c r="AO1421" s="129"/>
      <c r="AP1421" s="129"/>
      <c r="AQ1421" s="129"/>
      <c r="AR1421" s="129"/>
      <c r="AS1421" s="129"/>
      <c r="AT1421" s="129"/>
      <c r="AU1421" s="129"/>
      <c r="AV1421" s="129"/>
      <c r="AW1421" s="129"/>
      <c r="AX1421" s="129"/>
      <c r="AY1421" s="129"/>
      <c r="AZ1421" s="129"/>
      <c r="BA1421" s="129"/>
      <c r="BB1421" s="129"/>
      <c r="BC1421" s="129"/>
      <c r="BD1421" s="129"/>
      <c r="BE1421" s="129"/>
      <c r="BF1421" s="129"/>
      <c r="BG1421" s="129"/>
      <c r="BH1421" s="129"/>
      <c r="BI1421" s="129"/>
      <c r="BJ1421" s="129"/>
      <c r="BK1421" s="129"/>
      <c r="BL1421" s="129"/>
      <c r="BM1421" s="129"/>
      <c r="BN1421" s="129"/>
      <c r="BO1421" s="129"/>
      <c r="BP1421" s="129"/>
      <c r="BQ1421" s="129"/>
      <c r="BR1421" s="129"/>
      <c r="BS1421" s="129"/>
      <c r="BT1421" s="129"/>
      <c r="BU1421" s="129"/>
      <c r="BV1421" s="129"/>
      <c r="BW1421" s="129"/>
      <c r="BX1421" s="129"/>
      <c r="BY1421" s="129"/>
      <c r="BZ1421" s="129"/>
      <c r="CA1421" s="129"/>
      <c r="CB1421" s="129"/>
      <c r="CC1421" s="129"/>
      <c r="CD1421" s="129"/>
      <c r="CE1421" s="129"/>
      <c r="CF1421" s="129"/>
      <c r="CG1421" s="129"/>
    </row>
  </sheetData>
  <conditionalFormatting sqref="C433:CF433">
    <cfRule type="cellIs" dxfId="9" priority="1366" operator="notEqual">
      <formula>0</formula>
    </cfRule>
    <cfRule type="cellIs" dxfId="8" priority="1367" operator="equal">
      <formula>0</formula>
    </cfRule>
  </conditionalFormatting>
  <conditionalFormatting sqref="C1164:CF1164">
    <cfRule type="cellIs" dxfId="7" priority="1364" operator="notEqual">
      <formula>0</formula>
    </cfRule>
    <cfRule type="cellIs" dxfId="6" priority="1365" operator="equal">
      <formula>0</formula>
    </cfRule>
  </conditionalFormatting>
  <conditionalFormatting sqref="C1256:CF1256">
    <cfRule type="cellIs" dxfId="5" priority="1362" operator="notEqual">
      <formula>0</formula>
    </cfRule>
    <cfRule type="cellIs" dxfId="4" priority="1363" operator="equal">
      <formula>0</formula>
    </cfRule>
  </conditionalFormatting>
  <conditionalFormatting sqref="C1259:CF1281">
    <cfRule type="cellIs" dxfId="3" priority="1360" operator="notEqual">
      <formula>0</formula>
    </cfRule>
    <cfRule type="cellIs" dxfId="2" priority="1361" operator="equal">
      <formula>0</formula>
    </cfRule>
  </conditionalFormatting>
  <dataValidations count="1">
    <dataValidation type="list" allowBlank="1" showInputMessage="1" showErrorMessage="1" sqref="B1007" xr:uid="{00000000-0002-0000-0100-000000000000}">
      <formula1>OFFSET(tb_ValuationToggle,1,0,4,1)</formula1>
    </dataValidation>
  </dataValidations>
  <hyperlinks>
    <hyperlink ref="A1" r:id="rId1" xr:uid="{00000000-0004-0000-0100-000000000000}"/>
  </hyperlinks>
  <pageMargins left="0" right="0" top="0.39370078740157499" bottom="0" header="0.196850393700787" footer="0"/>
  <pageSetup scale="21" fitToHeight="0" orientation="landscape" r:id="rId2"/>
  <headerFooter>
    <oddHeader>&amp;CNetflix, Inc.&amp;RPage &amp;P</oddHead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0BD7-D595-422E-A227-F0FB83BF8A97}">
  <dimension ref="A1:CG1801"/>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ColWidth="8.88671875" defaultRowHeight="14.4" customHeight="1" outlineLevelRow="1" outlineLevelCol="1" x14ac:dyDescent="0.3"/>
  <cols>
    <col min="1" max="1" width="46.6640625" style="603" customWidth="1"/>
    <col min="2" max="2" width="10.6640625" style="603" customWidth="1"/>
    <col min="3" max="5" width="10.6640625" style="603" hidden="1" customWidth="1" outlineLevel="1"/>
    <col min="6" max="6" width="10.6640625" style="603" customWidth="1" collapsed="1"/>
    <col min="7" max="10" width="10.6640625" hidden="1" customWidth="1" outlineLevel="1"/>
    <col min="11" max="11" width="10.6640625" style="603" customWidth="1" collapsed="1"/>
    <col min="12" max="15" width="10.6640625" hidden="1" customWidth="1" outlineLevel="1"/>
    <col min="16" max="16" width="10.6640625" style="603" customWidth="1" collapsed="1"/>
    <col min="17" max="20" width="10.6640625" hidden="1" customWidth="1" outlineLevel="1"/>
    <col min="21" max="21" width="10.6640625" style="603" customWidth="1" collapsed="1"/>
    <col min="22" max="25" width="10.6640625" hidden="1" customWidth="1" outlineLevel="1"/>
    <col min="26" max="26" width="10.6640625" style="603" customWidth="1" collapsed="1"/>
    <col min="27" max="30" width="10.6640625" hidden="1" customWidth="1" outlineLevel="1"/>
    <col min="31" max="31" width="10.6640625" style="603" customWidth="1" collapsed="1"/>
    <col min="32" max="35" width="10.6640625" hidden="1" customWidth="1" outlineLevel="1"/>
    <col min="36" max="36" width="10.6640625" style="603" customWidth="1" collapsed="1"/>
    <col min="37" max="40" width="10.6640625" hidden="1" customWidth="1" outlineLevel="1"/>
    <col min="41" max="41" width="10.6640625" style="603" customWidth="1" collapsed="1"/>
    <col min="42" max="45" width="10.6640625" hidden="1" customWidth="1" outlineLevel="1"/>
    <col min="46" max="46" width="10.6640625" style="603" customWidth="1" collapsed="1"/>
    <col min="47" max="50" width="10.6640625" hidden="1" customWidth="1" outlineLevel="1"/>
    <col min="51" max="51" width="10.6640625" style="603" customWidth="1" collapsed="1"/>
    <col min="52" max="55" width="10.6640625" hidden="1" customWidth="1" outlineLevel="1"/>
    <col min="56" max="56" width="10.6640625" style="603" customWidth="1" collapsed="1"/>
    <col min="57" max="60" width="10.6640625" hidden="1" customWidth="1" outlineLevel="1"/>
    <col min="61" max="61" width="10.6640625" style="603" customWidth="1" collapsed="1"/>
    <col min="62" max="65" width="10.6640625" hidden="1" customWidth="1" outlineLevel="1"/>
    <col min="66" max="66" width="10.6640625" style="603" customWidth="1" collapsed="1"/>
    <col min="67" max="70" width="10.6640625" customWidth="1" outlineLevel="1"/>
    <col min="71" max="71" width="10.6640625" style="603" customWidth="1"/>
    <col min="72" max="75" width="10.6640625" style="603" customWidth="1" outlineLevel="1"/>
    <col min="76" max="76" width="10.6640625" style="603" customWidth="1"/>
    <col min="77" max="80" width="10.6640625" style="603" customWidth="1" outlineLevel="1"/>
    <col min="81" max="85" width="10.6640625" style="603" customWidth="1"/>
    <col min="86" max="16384" width="8.88671875" style="603"/>
  </cols>
  <sheetData>
    <row r="1" spans="1:85" s="611" customFormat="1" ht="28.5" customHeight="1" x14ac:dyDescent="0.55000000000000004">
      <c r="A1" s="339" t="str">
        <f>MO.CompanyName</f>
      </c>
      <c r="B1" s="105"/>
      <c r="C1" s="774"/>
      <c r="D1" s="774"/>
      <c r="E1" s="774"/>
      <c r="F1" s="774"/>
      <c r="G1" s="774"/>
      <c r="H1" s="774"/>
      <c r="I1" s="774"/>
      <c r="J1" s="774"/>
      <c r="K1" s="774"/>
      <c r="L1" s="774"/>
      <c r="M1" s="774"/>
      <c r="N1" s="774"/>
      <c r="O1" s="774"/>
      <c r="P1" s="774"/>
      <c r="Q1" s="774"/>
      <c r="R1" s="774"/>
      <c r="S1" s="774"/>
      <c r="T1" s="774"/>
      <c r="U1" s="774"/>
      <c r="V1" s="774"/>
      <c r="W1" s="774"/>
      <c r="X1" s="774"/>
      <c r="Y1" s="774"/>
      <c r="Z1" s="774"/>
      <c r="AA1" s="774"/>
      <c r="AB1" s="774"/>
      <c r="AC1" s="774"/>
      <c r="AD1" s="774"/>
      <c r="AE1" s="774"/>
      <c r="AF1" s="774"/>
      <c r="AG1" s="774"/>
      <c r="AH1" s="774"/>
      <c r="AI1" s="774"/>
      <c r="AJ1" s="774"/>
      <c r="AK1" s="774"/>
      <c r="AL1" s="774"/>
      <c r="AM1" s="774"/>
      <c r="AN1" s="774"/>
      <c r="AO1" s="774"/>
      <c r="AP1" s="774"/>
      <c r="AQ1" s="774"/>
      <c r="AR1" s="774"/>
      <c r="AS1" s="774"/>
      <c r="AT1" s="774"/>
      <c r="AU1" s="774"/>
      <c r="AV1" s="774"/>
      <c r="AW1" s="774"/>
      <c r="AX1" s="774"/>
      <c r="AY1" s="774"/>
      <c r="AZ1" s="774"/>
      <c r="BA1" s="774"/>
      <c r="BB1" s="774"/>
      <c r="BC1" s="774"/>
      <c r="BD1" s="774"/>
      <c r="BE1" s="774"/>
      <c r="BF1" s="774"/>
      <c r="BG1" s="774"/>
      <c r="BH1" s="774"/>
      <c r="BI1" s="774"/>
      <c r="BJ1" s="774"/>
      <c r="BK1" s="774"/>
      <c r="BL1" s="774"/>
      <c r="BM1" s="774"/>
      <c r="BN1" s="774"/>
      <c r="BO1" s="774"/>
      <c r="BP1" s="774"/>
      <c r="BQ1" s="774"/>
      <c r="BR1" s="774"/>
      <c r="BS1" s="774"/>
      <c r="BT1" s="775"/>
      <c r="BU1" s="774"/>
      <c r="BV1" s="774"/>
      <c r="BW1" s="774"/>
      <c r="BX1" s="774"/>
      <c r="BY1" s="774"/>
      <c r="BZ1" s="774"/>
      <c r="CA1" s="774"/>
      <c r="CB1" s="774"/>
      <c r="CC1" s="774"/>
      <c r="CD1" s="774"/>
      <c r="CE1" s="774"/>
      <c r="CF1" s="774"/>
      <c r="CG1" s="347"/>
    </row>
    <row r="2" spans="1:85" s="611" customFormat="1" ht="15" customHeight="1" x14ac:dyDescent="0.3">
      <c r="A2" s="531" t="str">
        <f>MO.Ticker</f>
      </c>
      <c r="B2" s="340"/>
      <c r="C2" s="629">
        <f>Model!C2</f>
      </c>
      <c r="D2" s="629">
        <f>Model!D2</f>
      </c>
      <c r="E2" s="629">
        <f>Model!E2</f>
      </c>
      <c r="F2" s="629">
        <f>Model!F2</f>
      </c>
      <c r="G2" s="629">
        <f>Model!G2</f>
      </c>
      <c r="H2" s="629">
        <f>Model!H2</f>
      </c>
      <c r="I2" s="629">
        <f>Model!I2</f>
      </c>
      <c r="J2" s="629">
        <f>Model!J2</f>
      </c>
      <c r="K2" s="629">
        <f>Model!K2</f>
      </c>
      <c r="L2" s="629">
        <f>Model!L2</f>
      </c>
      <c r="M2" s="629">
        <f>Model!M2</f>
      </c>
      <c r="N2" s="629">
        <f>Model!N2</f>
      </c>
      <c r="O2" s="629">
        <f>Model!O2</f>
      </c>
      <c r="P2" s="629">
        <f>Model!P2</f>
      </c>
      <c r="Q2" s="629">
        <f>Model!Q2</f>
      </c>
      <c r="R2" s="629">
        <f>Model!R2</f>
      </c>
      <c r="S2" s="629">
        <f>Model!S2</f>
      </c>
      <c r="T2" s="629">
        <f>Model!T2</f>
      </c>
      <c r="U2" s="629">
        <f>Model!U2</f>
      </c>
      <c r="V2" s="629">
        <f>Model!V2</f>
      </c>
      <c r="W2" s="629">
        <f>Model!W2</f>
      </c>
      <c r="X2" s="629">
        <f>Model!X2</f>
      </c>
      <c r="Y2" s="629">
        <f>Model!Y2</f>
      </c>
      <c r="Z2" s="629">
        <f>Model!Z2</f>
      </c>
      <c r="AA2" s="629">
        <f>Model!AA2</f>
      </c>
      <c r="AB2" s="629">
        <f>Model!AB2</f>
      </c>
      <c r="AC2" s="629">
        <f>Model!AC2</f>
      </c>
      <c r="AD2" s="629">
        <f>Model!AD2</f>
      </c>
      <c r="AE2" s="629">
        <f>Model!AE2</f>
      </c>
      <c r="AF2" s="629">
        <f>Model!AF2</f>
      </c>
      <c r="AG2" s="629">
        <f>Model!AG2</f>
      </c>
      <c r="AH2" s="629">
        <f>Model!AH2</f>
      </c>
      <c r="AI2" s="629">
        <f>Model!AI2</f>
      </c>
      <c r="AJ2" s="629">
        <f>Model!AJ2</f>
      </c>
      <c r="AK2" s="629">
        <f>Model!AK2</f>
      </c>
      <c r="AL2" s="629">
        <f>Model!AL2</f>
      </c>
      <c r="AM2" s="629">
        <f>Model!AM2</f>
      </c>
      <c r="AN2" s="629">
        <f>Model!AN2</f>
      </c>
      <c r="AO2" s="629">
        <f>Model!AO2</f>
      </c>
      <c r="AP2" s="629">
        <f>Model!AP2</f>
      </c>
      <c r="AQ2" s="629">
        <f>Model!AQ2</f>
      </c>
      <c r="AR2" s="629">
        <f>Model!AR2</f>
      </c>
      <c r="AS2" s="629">
        <f>Model!AS2</f>
      </c>
      <c r="AT2" s="629">
        <f>Model!AT2</f>
      </c>
      <c r="AU2" s="629">
        <f>Model!AU2</f>
      </c>
      <c r="AV2" s="629">
        <f>Model!AV2</f>
      </c>
      <c r="AW2" s="629">
        <f>Model!AW2</f>
      </c>
      <c r="AX2" s="629">
        <f>Model!AX2</f>
      </c>
      <c r="AY2" s="629">
        <f>Model!AY2</f>
      </c>
      <c r="AZ2" s="629">
        <f>Model!AZ2</f>
      </c>
      <c r="BA2" s="629">
        <f>Model!BA2</f>
      </c>
      <c r="BB2" s="629">
        <f>Model!BB2</f>
      </c>
      <c r="BC2" s="629">
        <f>Model!BC2</f>
      </c>
      <c r="BD2" s="629">
        <f>Model!BD2</f>
      </c>
      <c r="BE2" s="629">
        <f>Model!BE2</f>
      </c>
      <c r="BF2" s="629">
        <f>Model!BF2</f>
      </c>
      <c r="BG2" s="629">
        <f>Model!BG2</f>
      </c>
      <c r="BH2" s="629">
        <f>Model!BH2</f>
      </c>
      <c r="BI2" s="629">
        <f>Model!BI2</f>
      </c>
      <c r="BJ2" s="629">
        <f>Model!BJ2</f>
      </c>
      <c r="BK2" s="629">
        <f>Model!BK2</f>
      </c>
      <c r="BL2" s="629">
        <f>Model!BL2</f>
      </c>
      <c r="BM2" s="629">
        <f>Model!BM2</f>
      </c>
      <c r="BN2" s="629">
        <f>Model!BN2</f>
      </c>
      <c r="BO2" s="629">
        <f>Model!BO2</f>
      </c>
      <c r="BP2" s="629">
        <f>Model!BP2</f>
      </c>
      <c r="BQ2" s="629">
        <f>Model!BQ2</f>
      </c>
      <c r="BR2" s="629">
        <f>Model!BR2</f>
      </c>
      <c r="BS2" s="629">
        <f>Model!BS2</f>
      </c>
      <c r="BT2" s="353">
        <f>Model!BT2</f>
      </c>
      <c r="BU2" s="466">
        <f>Model!BU2</f>
      </c>
      <c r="BV2" s="466">
        <f>Model!BV2</f>
      </c>
      <c r="BW2" s="466">
        <f>Model!BW2</f>
      </c>
      <c r="BX2" s="466">
        <f>Model!BX2</f>
      </c>
      <c r="BY2" s="466">
        <f>Model!BY2</f>
      </c>
      <c r="BZ2" s="466">
        <f>Model!BZ2</f>
      </c>
      <c r="CA2" s="466">
        <f>Model!CA2</f>
      </c>
      <c r="CB2" s="466">
        <f>Model!CB2</f>
      </c>
      <c r="CC2" s="466">
        <f>Model!CC2</f>
      </c>
      <c r="CD2" s="466">
        <f>Model!CD2</f>
      </c>
      <c r="CE2" s="466">
        <f>Model!CE2</f>
      </c>
      <c r="CF2" s="466">
        <f>Model!CF2</f>
      </c>
      <c r="CG2" s="347"/>
    </row>
    <row r="3" spans="1:85" s="611" customFormat="1" ht="15" customHeight="1" x14ac:dyDescent="0.3">
      <c r="A3" s="341" t="str">
        <f>MO.TradingCurrency</f>
      </c>
      <c r="B3" s="342">
        <f>MO.LastPrice</f>
      </c>
      <c r="C3" s="1114">
        <f t="shared" ref="C3:AH3" si="0">INDEX(MO_Common_FPDays,0,MATCH(C$5,MO_Common_ColumnHeader,0))</f>
      </c>
      <c r="D3" s="1114">
        <f t="shared" si="0"/>
      </c>
      <c r="E3" s="1114">
        <f t="shared" si="0"/>
      </c>
      <c r="F3" s="1114">
        <f t="shared" si="0"/>
      </c>
      <c r="G3" s="344">
        <f t="shared" si="0"/>
      </c>
      <c r="H3" s="344">
        <f t="shared" si="0"/>
      </c>
      <c r="I3" s="344">
        <f t="shared" si="0"/>
      </c>
      <c r="J3" s="344">
        <f t="shared" si="0"/>
      </c>
      <c r="K3" s="1114">
        <f t="shared" si="0"/>
      </c>
      <c r="L3" s="344">
        <f t="shared" si="0"/>
      </c>
      <c r="M3" s="344">
        <f t="shared" si="0"/>
      </c>
      <c r="N3" s="344">
        <f t="shared" si="0"/>
      </c>
      <c r="O3" s="344">
        <f t="shared" si="0"/>
      </c>
      <c r="P3" s="1114">
        <f t="shared" si="0"/>
      </c>
      <c r="Q3" s="344">
        <f t="shared" si="0"/>
      </c>
      <c r="R3" s="344">
        <f t="shared" si="0"/>
      </c>
      <c r="S3" s="344">
        <f t="shared" si="0"/>
      </c>
      <c r="T3" s="344">
        <f t="shared" si="0"/>
      </c>
      <c r="U3" s="1114">
        <f t="shared" si="0"/>
      </c>
      <c r="V3" s="344">
        <f t="shared" si="0"/>
      </c>
      <c r="W3" s="344">
        <f t="shared" si="0"/>
      </c>
      <c r="X3" s="344">
        <f t="shared" si="0"/>
      </c>
      <c r="Y3" s="344">
        <f t="shared" si="0"/>
      </c>
      <c r="Z3" s="1114">
        <f t="shared" si="0"/>
      </c>
      <c r="AA3" s="344">
        <f t="shared" si="0"/>
      </c>
      <c r="AB3" s="344">
        <f t="shared" si="0"/>
      </c>
      <c r="AC3" s="344">
        <f t="shared" si="0"/>
      </c>
      <c r="AD3" s="344">
        <f t="shared" si="0"/>
      </c>
      <c r="AE3" s="1114">
        <f t="shared" si="0"/>
      </c>
      <c r="AF3" s="344">
        <f t="shared" si="0"/>
      </c>
      <c r="AG3" s="344">
        <f t="shared" si="0"/>
      </c>
      <c r="AH3" s="344">
        <f t="shared" si="0"/>
      </c>
      <c r="AI3" s="344">
        <f t="shared" ref="AI3:BI3" si="1">INDEX(MO_Common_FPDays,0,MATCH(AI$5,MO_Common_ColumnHeader,0))</f>
      </c>
      <c r="AJ3" s="1114">
        <f t="shared" si="1"/>
      </c>
      <c r="AK3" s="344">
        <f t="shared" si="1"/>
      </c>
      <c r="AL3" s="344">
        <f t="shared" si="1"/>
      </c>
      <c r="AM3" s="344">
        <f t="shared" si="1"/>
      </c>
      <c r="AN3" s="344">
        <f t="shared" si="1"/>
      </c>
      <c r="AO3" s="1114">
        <f t="shared" si="1"/>
      </c>
      <c r="AP3" s="344">
        <f t="shared" si="1"/>
      </c>
      <c r="AQ3" s="344">
        <f t="shared" si="1"/>
      </c>
      <c r="AR3" s="344">
        <f t="shared" si="1"/>
      </c>
      <c r="AS3" s="344">
        <f t="shared" si="1"/>
      </c>
      <c r="AT3" s="1114">
        <f t="shared" si="1"/>
      </c>
      <c r="AU3" s="344">
        <f t="shared" si="1"/>
      </c>
      <c r="AV3" s="344">
        <f t="shared" si="1"/>
      </c>
      <c r="AW3" s="344">
        <f t="shared" si="1"/>
      </c>
      <c r="AX3" s="344">
        <f t="shared" si="1"/>
      </c>
      <c r="AY3" s="1114">
        <f t="shared" si="1"/>
      </c>
      <c r="AZ3" s="344">
        <f t="shared" si="1"/>
      </c>
      <c r="BA3" s="344">
        <f t="shared" si="1"/>
      </c>
      <c r="BB3" s="344">
        <f t="shared" si="1"/>
      </c>
      <c r="BC3" s="344">
        <f t="shared" si="1"/>
      </c>
      <c r="BD3" s="1114">
        <f t="shared" si="1"/>
      </c>
      <c r="BE3" s="344">
        <f t="shared" si="1"/>
      </c>
      <c r="BF3" s="344">
        <f t="shared" si="1"/>
      </c>
      <c r="BG3" s="344">
        <f t="shared" si="1"/>
      </c>
      <c r="BH3" s="344">
        <f t="shared" si="1"/>
      </c>
      <c r="BI3" s="1114">
        <f t="shared" si="1"/>
      </c>
      <c r="BJ3" s="344">
        <f t="shared" ref="BJ3:BX3" si="2">INDEX(MO_Common_FPDays,0,MATCH(BJ$5,MO_Common_ColumnHeader,0))</f>
      </c>
      <c r="BK3" s="344">
        <f t="shared" si="2"/>
      </c>
      <c r="BL3" s="344">
        <f t="shared" si="2"/>
      </c>
      <c r="BM3" s="344">
        <f t="shared" si="2"/>
      </c>
      <c r="BN3" s="1114">
        <f t="shared" si="2"/>
      </c>
      <c r="BO3" s="344">
        <f t="shared" ref="BO3:BW3" si="3">INDEX(MO_Common_FPDays,0,MATCH(BO$5,MO_Common_ColumnHeader,0))</f>
      </c>
      <c r="BP3" s="344">
        <f t="shared" si="3"/>
      </c>
      <c r="BQ3" s="344">
        <f t="shared" si="3"/>
      </c>
      <c r="BR3" s="344">
        <f t="shared" si="3"/>
      </c>
      <c r="BS3" s="1114">
        <f t="shared" si="3"/>
      </c>
      <c r="BT3" s="723">
        <f>INDEX(MO_Common_FPDays,0,MATCH(BT$5,MO_Common_ColumnHeader,0))</f>
      </c>
      <c r="BU3" s="467">
        <f t="shared" si="3"/>
      </c>
      <c r="BV3" s="467">
        <f t="shared" si="3"/>
      </c>
      <c r="BW3" s="467">
        <f t="shared" si="3"/>
      </c>
      <c r="BX3" s="1115">
        <f t="shared" si="2"/>
      </c>
      <c r="BY3" s="467">
        <f t="shared" ref="BY3:CF3" si="4">INDEX(MO_Common_FPDays,0,MATCH(BY$5,MO_Common_ColumnHeader,0))</f>
      </c>
      <c r="BZ3" s="467">
        <f t="shared" si="4"/>
      </c>
      <c r="CA3" s="467">
        <f t="shared" si="4"/>
      </c>
      <c r="CB3" s="467">
        <f t="shared" si="4"/>
      </c>
      <c r="CC3" s="1115">
        <f t="shared" si="4"/>
      </c>
      <c r="CD3" s="1115">
        <f t="shared" si="4"/>
      </c>
      <c r="CE3" s="1115">
        <f t="shared" si="4"/>
      </c>
      <c r="CF3" s="1115">
        <f t="shared" si="4"/>
      </c>
      <c r="CG3" s="347"/>
    </row>
    <row r="4" spans="1:85" s="611" customFormat="1" ht="15" customHeight="1" x14ac:dyDescent="0.3">
      <c r="A4" s="343" t="str">
        <f>MO.DataSourceName</f>
      </c>
      <c r="B4" s="344" t="str">
        <f>MO.RealTime</f>
      </c>
      <c r="C4" s="1116">
        <f t="shared" ref="C4:AH4" si="5">INDEX(MO_Common_QEndDate,0,MATCH(C$5,MO_Common_ColumnHeader,0))</f>
      </c>
      <c r="D4" s="1116">
        <f t="shared" si="5"/>
      </c>
      <c r="E4" s="1116">
        <f t="shared" si="5"/>
      </c>
      <c r="F4" s="1116">
        <f t="shared" si="5"/>
      </c>
      <c r="G4" s="630">
        <f t="shared" si="5"/>
      </c>
      <c r="H4" s="630">
        <f t="shared" si="5"/>
      </c>
      <c r="I4" s="630">
        <f t="shared" si="5"/>
      </c>
      <c r="J4" s="630">
        <f t="shared" si="5"/>
      </c>
      <c r="K4" s="1116">
        <f t="shared" si="5"/>
      </c>
      <c r="L4" s="630">
        <f t="shared" si="5"/>
      </c>
      <c r="M4" s="630">
        <f t="shared" si="5"/>
      </c>
      <c r="N4" s="630">
        <f t="shared" si="5"/>
      </c>
      <c r="O4" s="630">
        <f t="shared" si="5"/>
      </c>
      <c r="P4" s="1116">
        <f t="shared" si="5"/>
      </c>
      <c r="Q4" s="630">
        <f t="shared" si="5"/>
      </c>
      <c r="R4" s="630">
        <f t="shared" si="5"/>
      </c>
      <c r="S4" s="630">
        <f t="shared" si="5"/>
      </c>
      <c r="T4" s="630">
        <f t="shared" si="5"/>
      </c>
      <c r="U4" s="1116">
        <f t="shared" si="5"/>
      </c>
      <c r="V4" s="630">
        <f t="shared" si="5"/>
      </c>
      <c r="W4" s="630">
        <f t="shared" si="5"/>
      </c>
      <c r="X4" s="630">
        <f t="shared" si="5"/>
      </c>
      <c r="Y4" s="630">
        <f t="shared" si="5"/>
      </c>
      <c r="Z4" s="1116">
        <f t="shared" si="5"/>
      </c>
      <c r="AA4" s="630">
        <f t="shared" si="5"/>
      </c>
      <c r="AB4" s="630">
        <f t="shared" si="5"/>
      </c>
      <c r="AC4" s="630">
        <f t="shared" si="5"/>
      </c>
      <c r="AD4" s="630">
        <f t="shared" si="5"/>
      </c>
      <c r="AE4" s="1116">
        <f t="shared" si="5"/>
      </c>
      <c r="AF4" s="630">
        <f t="shared" si="5"/>
      </c>
      <c r="AG4" s="630">
        <f t="shared" si="5"/>
      </c>
      <c r="AH4" s="630">
        <f t="shared" si="5"/>
      </c>
      <c r="AI4" s="630">
        <f t="shared" ref="AI4:BI4" si="6">INDEX(MO_Common_QEndDate,0,MATCH(AI$5,MO_Common_ColumnHeader,0))</f>
      </c>
      <c r="AJ4" s="1116">
        <f t="shared" si="6"/>
      </c>
      <c r="AK4" s="630">
        <f t="shared" si="6"/>
      </c>
      <c r="AL4" s="630">
        <f t="shared" si="6"/>
      </c>
      <c r="AM4" s="630">
        <f t="shared" si="6"/>
      </c>
      <c r="AN4" s="630">
        <f t="shared" si="6"/>
      </c>
      <c r="AO4" s="1116">
        <f t="shared" si="6"/>
      </c>
      <c r="AP4" s="630">
        <f t="shared" si="6"/>
      </c>
      <c r="AQ4" s="630">
        <f t="shared" si="6"/>
      </c>
      <c r="AR4" s="630">
        <f t="shared" si="6"/>
      </c>
      <c r="AS4" s="630">
        <f t="shared" si="6"/>
      </c>
      <c r="AT4" s="1116">
        <f t="shared" si="6"/>
      </c>
      <c r="AU4" s="630">
        <f t="shared" si="6"/>
      </c>
      <c r="AV4" s="630">
        <f t="shared" si="6"/>
      </c>
      <c r="AW4" s="630">
        <f t="shared" si="6"/>
      </c>
      <c r="AX4" s="630">
        <f t="shared" si="6"/>
      </c>
      <c r="AY4" s="1116">
        <f t="shared" si="6"/>
      </c>
      <c r="AZ4" s="630">
        <f t="shared" si="6"/>
      </c>
      <c r="BA4" s="630">
        <f t="shared" si="6"/>
      </c>
      <c r="BB4" s="630">
        <f t="shared" si="6"/>
      </c>
      <c r="BC4" s="630">
        <f t="shared" si="6"/>
      </c>
      <c r="BD4" s="1116">
        <f t="shared" si="6"/>
      </c>
      <c r="BE4" s="630">
        <f t="shared" si="6"/>
      </c>
      <c r="BF4" s="630">
        <f t="shared" si="6"/>
      </c>
      <c r="BG4" s="630">
        <f t="shared" si="6"/>
      </c>
      <c r="BH4" s="630">
        <f t="shared" si="6"/>
      </c>
      <c r="BI4" s="1116">
        <f t="shared" si="6"/>
      </c>
      <c r="BJ4" s="630">
        <f t="shared" ref="BJ4:BX4" si="7">INDEX(MO_Common_QEndDate,0,MATCH(BJ$5,MO_Common_ColumnHeader,0))</f>
      </c>
      <c r="BK4" s="630">
        <f t="shared" si="7"/>
      </c>
      <c r="BL4" s="630">
        <f t="shared" si="7"/>
      </c>
      <c r="BM4" s="630">
        <f t="shared" si="7"/>
      </c>
      <c r="BN4" s="1116">
        <f t="shared" si="7"/>
      </c>
      <c r="BO4" s="630">
        <f t="shared" ref="BO4:BW4" si="8">INDEX(MO_Common_QEndDate,0,MATCH(BO$5,MO_Common_ColumnHeader,0))</f>
      </c>
      <c r="BP4" s="630">
        <f t="shared" si="8"/>
      </c>
      <c r="BQ4" s="630">
        <f t="shared" si="8"/>
      </c>
      <c r="BR4" s="630">
        <f t="shared" si="8"/>
      </c>
      <c r="BS4" s="1116">
        <f t="shared" si="8"/>
      </c>
      <c r="BT4" s="724">
        <f>INDEX(MO_Common_QEndDate,0,MATCH(BT$5,MO_Common_ColumnHeader,0))</f>
      </c>
      <c r="BU4" s="443">
        <f t="shared" si="8"/>
      </c>
      <c r="BV4" s="443">
        <f t="shared" si="8"/>
      </c>
      <c r="BW4" s="443">
        <f t="shared" si="8"/>
      </c>
      <c r="BX4" s="1117">
        <f t="shared" si="7"/>
      </c>
      <c r="BY4" s="443">
        <f t="shared" ref="BY4:CF4" si="9">INDEX(MO_Common_QEndDate,0,MATCH(BY$5,MO_Common_ColumnHeader,0))</f>
      </c>
      <c r="BZ4" s="443">
        <f t="shared" si="9"/>
      </c>
      <c r="CA4" s="443">
        <f t="shared" si="9"/>
      </c>
      <c r="CB4" s="443">
        <f t="shared" si="9"/>
      </c>
      <c r="CC4" s="1117">
        <f t="shared" si="9"/>
      </c>
      <c r="CD4" s="1117">
        <f t="shared" si="9"/>
      </c>
      <c r="CE4" s="1117">
        <f t="shared" si="9"/>
      </c>
      <c r="CF4" s="1117">
        <f t="shared" si="9"/>
      </c>
      <c r="CG4" s="347"/>
    </row>
    <row r="5" spans="1:85" s="611" customFormat="1" ht="15" customHeight="1" x14ac:dyDescent="0.3">
      <c r="A5" s="345" t="str">
        <f>MO.ReportFX</f>
      </c>
      <c r="B5" s="346"/>
      <c r="C5" s="1118" t="str">
        <f>Model!C5</f>
      </c>
      <c r="D5" s="1118" t="str">
        <f>Model!D5</f>
      </c>
      <c r="E5" s="1118" t="str">
        <f>Model!E5</f>
      </c>
      <c r="F5" s="1118" t="str">
        <f>Model!F5</f>
      </c>
      <c r="G5" s="1110" t="str">
        <f>Model!G5</f>
      </c>
      <c r="H5" s="1110" t="str">
        <f>Model!H5</f>
      </c>
      <c r="I5" s="1110" t="str">
        <f>Model!I5</f>
      </c>
      <c r="J5" s="1110" t="str">
        <f>Model!J5</f>
      </c>
      <c r="K5" s="1118" t="str">
        <f>Model!K5</f>
      </c>
      <c r="L5" s="1110" t="str">
        <f>Model!L5</f>
      </c>
      <c r="M5" s="1110" t="str">
        <f>Model!M5</f>
      </c>
      <c r="N5" s="1110" t="str">
        <f>Model!N5</f>
      </c>
      <c r="O5" s="1110" t="str">
        <f>Model!O5</f>
      </c>
      <c r="P5" s="1118" t="str">
        <f>Model!P5</f>
      </c>
      <c r="Q5" s="1110" t="str">
        <f>Model!Q5</f>
      </c>
      <c r="R5" s="1110" t="str">
        <f>Model!R5</f>
      </c>
      <c r="S5" s="1110" t="str">
        <f>Model!S5</f>
      </c>
      <c r="T5" s="1110" t="str">
        <f>Model!T5</f>
      </c>
      <c r="U5" s="1118" t="str">
        <f>Model!U5</f>
      </c>
      <c r="V5" s="1110" t="str">
        <f>Model!V5</f>
      </c>
      <c r="W5" s="1110" t="str">
        <f>Model!W5</f>
      </c>
      <c r="X5" s="1110" t="str">
        <f>Model!X5</f>
      </c>
      <c r="Y5" s="1110" t="str">
        <f>Model!Y5</f>
      </c>
      <c r="Z5" s="1118" t="str">
        <f>Model!Z5</f>
      </c>
      <c r="AA5" s="1110" t="str">
        <f>Model!AA5</f>
      </c>
      <c r="AB5" s="1110" t="str">
        <f>Model!AB5</f>
      </c>
      <c r="AC5" s="1110" t="str">
        <f>Model!AC5</f>
      </c>
      <c r="AD5" s="1110" t="str">
        <f>Model!AD5</f>
      </c>
      <c r="AE5" s="1118" t="str">
        <f>Model!AE5</f>
      </c>
      <c r="AF5" s="1110" t="str">
        <f>Model!AF5</f>
      </c>
      <c r="AG5" s="1110" t="str">
        <f>Model!AG5</f>
      </c>
      <c r="AH5" s="1110" t="str">
        <f>Model!AH5</f>
      </c>
      <c r="AI5" s="1110" t="str">
        <f>Model!AI5</f>
      </c>
      <c r="AJ5" s="1118" t="str">
        <f>Model!AJ5</f>
      </c>
      <c r="AK5" s="1110" t="str">
        <f>Model!AK5</f>
      </c>
      <c r="AL5" s="1110" t="str">
        <f>Model!AL5</f>
      </c>
      <c r="AM5" s="1110" t="str">
        <f>Model!AM5</f>
      </c>
      <c r="AN5" s="1110" t="str">
        <f>Model!AN5</f>
      </c>
      <c r="AO5" s="1118" t="str">
        <f>Model!AO5</f>
      </c>
      <c r="AP5" s="1110" t="str">
        <f>Model!AP5</f>
      </c>
      <c r="AQ5" s="1110" t="str">
        <f>Model!AQ5</f>
      </c>
      <c r="AR5" s="1110" t="str">
        <f>Model!AR5</f>
      </c>
      <c r="AS5" s="1110" t="str">
        <f>Model!AS5</f>
      </c>
      <c r="AT5" s="1118" t="str">
        <f>Model!AT5</f>
      </c>
      <c r="AU5" s="1110" t="str">
        <f>Model!AU5</f>
      </c>
      <c r="AV5" s="1110" t="str">
        <f>Model!AV5</f>
      </c>
      <c r="AW5" s="1110" t="str">
        <f>Model!AW5</f>
      </c>
      <c r="AX5" s="1110" t="str">
        <f>Model!AX5</f>
      </c>
      <c r="AY5" s="1118" t="str">
        <f>Model!AY5</f>
      </c>
      <c r="AZ5" s="1110" t="str">
        <f>Model!AZ5</f>
      </c>
      <c r="BA5" s="1110" t="str">
        <f>Model!BA5</f>
      </c>
      <c r="BB5" s="1110" t="str">
        <f>Model!BB5</f>
      </c>
      <c r="BC5" s="1110" t="str">
        <f>Model!BC5</f>
      </c>
      <c r="BD5" s="1118" t="str">
        <f>Model!BD5</f>
      </c>
      <c r="BE5" s="1110" t="str">
        <f>Model!BE5</f>
      </c>
      <c r="BF5" s="1110" t="str">
        <f>Model!BF5</f>
      </c>
      <c r="BG5" s="1110" t="str">
        <f>Model!BG5</f>
      </c>
      <c r="BH5" s="1110" t="str">
        <f>Model!BH5</f>
      </c>
      <c r="BI5" s="1118" t="str">
        <f>Model!BI5</f>
      </c>
      <c r="BJ5" s="1110" t="str">
        <f>Model!BJ5</f>
      </c>
      <c r="BK5" s="1110" t="str">
        <f>Model!BK5</f>
      </c>
      <c r="BL5" s="1110" t="str">
        <f>Model!BL5</f>
      </c>
      <c r="BM5" s="1110" t="str">
        <f>Model!BM5</f>
      </c>
      <c r="BN5" s="1118" t="str">
        <f>Model!BN5</f>
      </c>
      <c r="BO5" s="1110" t="str">
        <f>Model!BO5</f>
      </c>
      <c r="BP5" s="1110" t="str">
        <f>Model!BP5</f>
      </c>
      <c r="BQ5" s="1110" t="str">
        <f>Model!BQ5</f>
      </c>
      <c r="BR5" s="1110" t="str">
        <f>Model!BR5</f>
      </c>
      <c r="BS5" s="1118" t="str">
        <f>Model!BS5</f>
      </c>
      <c r="BT5" s="1111" t="str">
        <f>Model!BT5</f>
      </c>
      <c r="BU5" s="1110" t="str">
        <f>Model!BU5</f>
      </c>
      <c r="BV5" s="1110" t="str">
        <f>Model!BV5</f>
      </c>
      <c r="BW5" s="1110" t="str">
        <f>Model!BW5</f>
      </c>
      <c r="BX5" s="1118" t="str">
        <f>Model!BX5</f>
      </c>
      <c r="BY5" s="1110" t="str">
        <f>Model!BY5</f>
      </c>
      <c r="BZ5" s="1110" t="str">
        <f>Model!BZ5</f>
      </c>
      <c r="CA5" s="1110" t="str">
        <f>Model!CA5</f>
      </c>
      <c r="CB5" s="1110" t="str">
        <f>Model!CB5</f>
      </c>
      <c r="CC5" s="1118" t="str">
        <f>Model!CC5</f>
      </c>
      <c r="CD5" s="1118" t="str">
        <f>Model!CD5</f>
      </c>
      <c r="CE5" s="1118" t="str">
        <f>Model!CE5</f>
      </c>
      <c r="CF5" s="1118" t="str">
        <f>Model!CF5</f>
      </c>
      <c r="CG5" s="347"/>
    </row>
    <row r="6" spans="1:85" s="612" customFormat="1" x14ac:dyDescent="0.3">
      <c r="A6" s="776" t="s">
        <v>2024</v>
      </c>
      <c r="B6" s="776"/>
      <c r="C6" s="776"/>
      <c r="D6" s="776"/>
      <c r="E6" s="776"/>
      <c r="F6" s="776"/>
      <c r="G6" s="776"/>
      <c r="H6" s="776"/>
      <c r="I6" s="776"/>
      <c r="J6" s="776"/>
      <c r="K6" s="776"/>
      <c r="L6" s="776"/>
      <c r="M6" s="776"/>
      <c r="N6" s="776"/>
      <c r="O6" s="776"/>
      <c r="P6" s="776"/>
      <c r="Q6" s="776"/>
      <c r="R6" s="776"/>
      <c r="S6" s="776"/>
      <c r="T6" s="776"/>
      <c r="U6" s="776"/>
      <c r="V6" s="776"/>
      <c r="W6" s="776"/>
      <c r="X6" s="776"/>
      <c r="Y6" s="776"/>
      <c r="Z6" s="776"/>
      <c r="AA6" s="776"/>
      <c r="AB6" s="776"/>
      <c r="AC6" s="776"/>
      <c r="AD6" s="776"/>
      <c r="AE6" s="776"/>
      <c r="AF6" s="776"/>
      <c r="AG6" s="776"/>
      <c r="AH6" s="776"/>
      <c r="AI6" s="776"/>
      <c r="AJ6" s="776"/>
      <c r="AK6" s="776"/>
      <c r="AL6" s="776"/>
      <c r="AM6" s="776"/>
      <c r="AN6" s="776"/>
      <c r="AO6" s="776"/>
      <c r="AP6" s="776"/>
      <c r="AQ6" s="776"/>
      <c r="AR6" s="776"/>
      <c r="AS6" s="776"/>
      <c r="AT6" s="776"/>
      <c r="AU6" s="776"/>
      <c r="AV6" s="776"/>
      <c r="AW6" s="776"/>
      <c r="AX6" s="776"/>
      <c r="AY6" s="776"/>
      <c r="AZ6" s="776"/>
      <c r="BA6" s="776"/>
      <c r="BB6" s="776"/>
      <c r="BC6" s="776"/>
      <c r="BD6" s="776"/>
      <c r="BE6" s="776"/>
      <c r="BF6" s="776"/>
      <c r="BG6" s="776"/>
      <c r="BH6" s="776"/>
      <c r="BI6" s="776"/>
      <c r="BJ6" s="776"/>
      <c r="BK6" s="776"/>
      <c r="BL6" s="776"/>
      <c r="BM6" s="776"/>
      <c r="BN6" s="776"/>
      <c r="BO6" s="776"/>
      <c r="BP6" s="776"/>
      <c r="BQ6" s="776"/>
      <c r="BR6" s="776"/>
      <c r="BS6" s="776"/>
      <c r="BT6" s="777"/>
      <c r="BU6" s="776"/>
      <c r="BV6" s="776"/>
      <c r="BW6" s="776"/>
      <c r="BX6" s="776"/>
      <c r="BY6" s="776"/>
      <c r="BZ6" s="776"/>
      <c r="CA6" s="776"/>
      <c r="CB6" s="776"/>
      <c r="CC6" s="776"/>
      <c r="CD6" s="776"/>
      <c r="CE6" s="776"/>
      <c r="CF6" s="776"/>
      <c r="CG6" s="348"/>
    </row>
    <row r="7" spans="1:85" s="613" customFormat="1" x14ac:dyDescent="0.3">
      <c r="A7" s="107" t="s">
        <v>2023</v>
      </c>
      <c r="B7" s="523"/>
      <c r="C7" s="78"/>
      <c r="D7" s="78"/>
      <c r="E7" s="78"/>
      <c r="F7" s="78"/>
      <c r="G7" s="774"/>
      <c r="H7" s="774"/>
      <c r="I7" s="774"/>
      <c r="J7" s="774"/>
      <c r="K7" s="78"/>
      <c r="L7" s="774"/>
      <c r="M7" s="774"/>
      <c r="N7" s="774"/>
      <c r="O7" s="774"/>
      <c r="P7" s="78"/>
      <c r="Q7" s="774"/>
      <c r="R7" s="774"/>
      <c r="S7" s="774"/>
      <c r="T7" s="774"/>
      <c r="U7" s="78"/>
      <c r="V7" s="774"/>
      <c r="W7" s="774"/>
      <c r="X7" s="774"/>
      <c r="Y7" s="774"/>
      <c r="Z7" s="78"/>
      <c r="AA7" s="774"/>
      <c r="AB7" s="774"/>
      <c r="AC7" s="774"/>
      <c r="AD7" s="774"/>
      <c r="AE7" s="78"/>
      <c r="AF7" s="774"/>
      <c r="AG7" s="774"/>
      <c r="AH7" s="774"/>
      <c r="AI7" s="774"/>
      <c r="AJ7" s="78"/>
      <c r="AK7" s="774"/>
      <c r="AL7" s="774"/>
      <c r="AM7" s="774"/>
      <c r="AN7" s="774"/>
      <c r="AO7" s="78"/>
      <c r="AP7" s="774"/>
      <c r="AQ7" s="774"/>
      <c r="AR7" s="774"/>
      <c r="AS7" s="774"/>
      <c r="AT7" s="1119">
        <v>650</v>
      </c>
      <c r="AU7" s="774"/>
      <c r="AV7" s="774"/>
      <c r="AW7" s="774"/>
      <c r="AX7" s="774"/>
      <c r="AY7" s="1119">
        <v>650</v>
      </c>
      <c r="AZ7" s="774"/>
      <c r="BA7" s="774"/>
      <c r="BB7" s="774"/>
      <c r="BC7" s="774"/>
      <c r="BD7" s="1119">
        <v>650</v>
      </c>
      <c r="BE7" s="774"/>
      <c r="BF7" s="774"/>
      <c r="BG7" s="774"/>
      <c r="BH7" s="774"/>
      <c r="BI7" s="1119">
        <v>2890.3850000000002</v>
      </c>
      <c r="BJ7" s="774"/>
      <c r="BK7" s="774"/>
      <c r="BL7" s="774"/>
      <c r="BM7" s="774"/>
      <c r="BN7" s="1119">
        <v>3000</v>
      </c>
      <c r="BO7" s="774"/>
      <c r="BP7" s="774"/>
      <c r="BQ7" s="774"/>
      <c r="BR7" s="774"/>
      <c r="BS7" s="78"/>
      <c r="BT7" s="775"/>
      <c r="BU7" s="774"/>
      <c r="BV7" s="774"/>
      <c r="BW7" s="774"/>
      <c r="BX7" s="78"/>
      <c r="BY7" s="774"/>
      <c r="BZ7" s="774"/>
      <c r="CA7" s="774"/>
      <c r="CB7" s="774"/>
      <c r="CC7" s="78"/>
      <c r="CD7" s="78"/>
      <c r="CE7" s="78"/>
      <c r="CF7" s="78"/>
      <c r="CG7" s="532"/>
    </row>
    <row r="8" spans="1:85" s="613" customFormat="1" x14ac:dyDescent="0.3">
      <c r="A8" s="107" t="s">
        <v>2381</v>
      </c>
      <c r="B8" s="523"/>
      <c r="C8" s="78"/>
      <c r="D8" s="78"/>
      <c r="E8" s="78"/>
      <c r="F8" s="78"/>
      <c r="G8" s="774"/>
      <c r="H8" s="774"/>
      <c r="I8" s="774"/>
      <c r="J8" s="774"/>
      <c r="K8" s="78"/>
      <c r="L8" s="774"/>
      <c r="M8" s="774"/>
      <c r="N8" s="774"/>
      <c r="O8" s="774"/>
      <c r="P8" s="78"/>
      <c r="Q8" s="774"/>
      <c r="R8" s="774"/>
      <c r="S8" s="774"/>
      <c r="T8" s="774"/>
      <c r="U8" s="78"/>
      <c r="V8" s="774"/>
      <c r="W8" s="774"/>
      <c r="X8" s="774"/>
      <c r="Y8" s="774"/>
      <c r="Z8" s="78"/>
      <c r="AA8" s="774"/>
      <c r="AB8" s="774"/>
      <c r="AC8" s="774"/>
      <c r="AD8" s="774"/>
      <c r="AE8" s="78"/>
      <c r="AF8" s="774"/>
      <c r="AG8" s="774"/>
      <c r="AH8" s="774"/>
      <c r="AI8" s="774"/>
      <c r="AJ8" s="78"/>
      <c r="AK8" s="774"/>
      <c r="AL8" s="774"/>
      <c r="AM8" s="774"/>
      <c r="AN8" s="774"/>
      <c r="AO8" s="78"/>
      <c r="AP8" s="774"/>
      <c r="AQ8" s="774"/>
      <c r="AR8" s="774"/>
      <c r="AS8" s="774"/>
      <c r="AT8" s="78"/>
      <c r="AU8" s="774"/>
      <c r="AV8" s="774"/>
      <c r="AW8" s="774"/>
      <c r="AX8" s="774"/>
      <c r="AY8" s="78"/>
      <c r="AZ8" s="774"/>
      <c r="BA8" s="774"/>
      <c r="BB8" s="774"/>
      <c r="BC8" s="774"/>
      <c r="BD8" s="78"/>
      <c r="BE8" s="774"/>
      <c r="BF8" s="774"/>
      <c r="BG8" s="774"/>
      <c r="BH8" s="774"/>
      <c r="BI8" s="78"/>
      <c r="BJ8" s="774"/>
      <c r="BK8" s="774"/>
      <c r="BL8" s="774"/>
      <c r="BM8" s="774"/>
      <c r="BN8" s="1119">
        <v>42707.872000000003</v>
      </c>
      <c r="BO8" s="774"/>
      <c r="BP8" s="774"/>
      <c r="BQ8" s="774"/>
      <c r="BR8" s="774"/>
      <c r="BS8" s="78"/>
      <c r="BT8" s="775"/>
      <c r="BU8" s="774"/>
      <c r="BV8" s="774"/>
      <c r="BW8" s="774"/>
      <c r="BX8" s="78"/>
      <c r="BY8" s="774"/>
      <c r="BZ8" s="774"/>
      <c r="CA8" s="774"/>
      <c r="CB8" s="774"/>
      <c r="CC8" s="78"/>
      <c r="CD8" s="78"/>
      <c r="CE8" s="78"/>
      <c r="CF8" s="78"/>
      <c r="CG8" s="532"/>
    </row>
    <row r="9" spans="1:85" s="613" customFormat="1" x14ac:dyDescent="0.3">
      <c r="A9" s="107" t="s">
        <v>2022</v>
      </c>
      <c r="B9" s="523"/>
      <c r="C9" s="78"/>
      <c r="D9" s="78"/>
      <c r="E9" s="78"/>
      <c r="F9" s="78"/>
      <c r="G9" s="774"/>
      <c r="H9" s="774"/>
      <c r="I9" s="774"/>
      <c r="J9" s="774"/>
      <c r="K9" s="78"/>
      <c r="L9" s="774"/>
      <c r="M9" s="774"/>
      <c r="N9" s="774"/>
      <c r="O9" s="774"/>
      <c r="P9" s="78"/>
      <c r="Q9" s="774"/>
      <c r="R9" s="774"/>
      <c r="S9" s="774"/>
      <c r="T9" s="774"/>
      <c r="U9" s="78"/>
      <c r="V9" s="774"/>
      <c r="W9" s="774"/>
      <c r="X9" s="774"/>
      <c r="Y9" s="774"/>
      <c r="Z9" s="78"/>
      <c r="AA9" s="774"/>
      <c r="AB9" s="774"/>
      <c r="AC9" s="774"/>
      <c r="AD9" s="774"/>
      <c r="AE9" s="78"/>
      <c r="AF9" s="774"/>
      <c r="AG9" s="774"/>
      <c r="AH9" s="774"/>
      <c r="AI9" s="774"/>
      <c r="AJ9" s="78"/>
      <c r="AK9" s="774"/>
      <c r="AL9" s="774"/>
      <c r="AM9" s="774"/>
      <c r="AN9" s="774"/>
      <c r="AO9" s="78"/>
      <c r="AP9" s="774"/>
      <c r="AQ9" s="774"/>
      <c r="AR9" s="774"/>
      <c r="AS9" s="774"/>
      <c r="AT9" s="1119">
        <v>42428.877999999997</v>
      </c>
      <c r="AU9" s="774"/>
      <c r="AV9" s="774"/>
      <c r="AW9" s="774"/>
      <c r="AX9" s="774"/>
      <c r="AY9" s="1119">
        <v>39731.118000000002</v>
      </c>
      <c r="AZ9" s="774"/>
      <c r="BA9" s="774"/>
      <c r="BB9" s="774"/>
      <c r="BC9" s="774"/>
      <c r="BD9" s="1119">
        <v>49408.182000000001</v>
      </c>
      <c r="BE9" s="774"/>
      <c r="BF9" s="774"/>
      <c r="BG9" s="774"/>
      <c r="BH9" s="774"/>
      <c r="BI9" s="1119">
        <v>22667.588</v>
      </c>
      <c r="BJ9" s="774"/>
      <c r="BK9" s="774"/>
      <c r="BL9" s="774"/>
      <c r="BM9" s="774"/>
      <c r="BN9" s="1119">
        <v>1951.6110000000001</v>
      </c>
      <c r="BO9" s="774"/>
      <c r="BP9" s="774"/>
      <c r="BQ9" s="774"/>
      <c r="BR9" s="774"/>
      <c r="BS9" s="78"/>
      <c r="BT9" s="775"/>
      <c r="BU9" s="774"/>
      <c r="BV9" s="774"/>
      <c r="BW9" s="774"/>
      <c r="BX9" s="78"/>
      <c r="BY9" s="774"/>
      <c r="BZ9" s="774"/>
      <c r="CA9" s="774"/>
      <c r="CB9" s="774"/>
      <c r="CC9" s="78"/>
      <c r="CD9" s="78"/>
      <c r="CE9" s="78"/>
      <c r="CF9" s="78"/>
      <c r="CG9" s="532"/>
    </row>
    <row r="10" spans="1:85" s="613" customFormat="1" x14ac:dyDescent="0.3">
      <c r="A10" s="107" t="s">
        <v>2026</v>
      </c>
      <c r="B10" s="523"/>
      <c r="C10" s="78"/>
      <c r="D10" s="78"/>
      <c r="E10" s="78"/>
      <c r="F10" s="78"/>
      <c r="G10" s="774"/>
      <c r="H10" s="774"/>
      <c r="I10" s="774"/>
      <c r="J10" s="774"/>
      <c r="K10" s="78"/>
      <c r="L10" s="774"/>
      <c r="M10" s="774"/>
      <c r="N10" s="774"/>
      <c r="O10" s="774"/>
      <c r="P10" s="78"/>
      <c r="Q10" s="774"/>
      <c r="R10" s="774"/>
      <c r="S10" s="774"/>
      <c r="T10" s="774"/>
      <c r="U10" s="78"/>
      <c r="V10" s="774"/>
      <c r="W10" s="774"/>
      <c r="X10" s="774"/>
      <c r="Y10" s="774"/>
      <c r="Z10" s="78"/>
      <c r="AA10" s="774"/>
      <c r="AB10" s="774"/>
      <c r="AC10" s="774"/>
      <c r="AD10" s="774"/>
      <c r="AE10" s="78"/>
      <c r="AF10" s="774"/>
      <c r="AG10" s="774"/>
      <c r="AH10" s="774"/>
      <c r="AI10" s="774"/>
      <c r="AJ10" s="78"/>
      <c r="AK10" s="774"/>
      <c r="AL10" s="774"/>
      <c r="AM10" s="774"/>
      <c r="AN10" s="774"/>
      <c r="AO10" s="78"/>
      <c r="AP10" s="774"/>
      <c r="AQ10" s="774"/>
      <c r="AR10" s="774"/>
      <c r="AS10" s="774"/>
      <c r="AT10" s="78"/>
      <c r="AU10" s="774"/>
      <c r="AV10" s="774"/>
      <c r="AW10" s="774"/>
      <c r="AX10" s="774"/>
      <c r="AY10" s="78"/>
      <c r="AZ10" s="774"/>
      <c r="BA10" s="774"/>
      <c r="BB10" s="774"/>
      <c r="BC10" s="774"/>
      <c r="BD10" s="78"/>
      <c r="BE10" s="774"/>
      <c r="BF10" s="774"/>
      <c r="BG10" s="774"/>
      <c r="BH10" s="774"/>
      <c r="BI10" s="1119">
        <v>13938.549000000001</v>
      </c>
      <c r="BJ10" s="774"/>
      <c r="BK10" s="774"/>
      <c r="BL10" s="774"/>
      <c r="BM10" s="774"/>
      <c r="BN10" s="1119">
        <v>12000</v>
      </c>
      <c r="BO10" s="774"/>
      <c r="BP10" s="774"/>
      <c r="BQ10" s="774"/>
      <c r="BR10" s="774"/>
      <c r="BS10" s="78"/>
      <c r="BT10" s="775"/>
      <c r="BU10" s="774"/>
      <c r="BV10" s="774"/>
      <c r="BW10" s="774"/>
      <c r="BX10" s="78"/>
      <c r="BY10" s="774"/>
      <c r="BZ10" s="774"/>
      <c r="CA10" s="774"/>
      <c r="CB10" s="774"/>
      <c r="CC10" s="78"/>
      <c r="CD10" s="78"/>
      <c r="CE10" s="78"/>
      <c r="CF10" s="78"/>
      <c r="CG10" s="532"/>
    </row>
    <row r="11" spans="1:85" s="613" customFormat="1" x14ac:dyDescent="0.3">
      <c r="A11" s="174" t="s">
        <v>2021</v>
      </c>
      <c r="B11" s="528"/>
      <c r="C11" s="1100"/>
      <c r="D11" s="1100"/>
      <c r="E11" s="1100"/>
      <c r="F11" s="1100"/>
      <c r="G11" s="840"/>
      <c r="H11" s="840"/>
      <c r="I11" s="840"/>
      <c r="J11" s="840"/>
      <c r="K11" s="1100"/>
      <c r="L11" s="840"/>
      <c r="M11" s="840"/>
      <c r="N11" s="840"/>
      <c r="O11" s="840"/>
      <c r="P11" s="1100"/>
      <c r="Q11" s="840"/>
      <c r="R11" s="840"/>
      <c r="S11" s="840"/>
      <c r="T11" s="840"/>
      <c r="U11" s="1100"/>
      <c r="V11" s="840"/>
      <c r="W11" s="840"/>
      <c r="X11" s="840"/>
      <c r="Y11" s="840"/>
      <c r="Z11" s="1100"/>
      <c r="AA11" s="840"/>
      <c r="AB11" s="840"/>
      <c r="AC11" s="840"/>
      <c r="AD11" s="840"/>
      <c r="AE11" s="1100"/>
      <c r="AF11" s="840"/>
      <c r="AG11" s="840"/>
      <c r="AH11" s="840"/>
      <c r="AI11" s="840"/>
      <c r="AJ11" s="1100"/>
      <c r="AK11" s="840"/>
      <c r="AL11" s="840"/>
      <c r="AM11" s="840"/>
      <c r="AN11" s="840"/>
      <c r="AO11" s="1100"/>
      <c r="AP11" s="840"/>
      <c r="AQ11" s="840"/>
      <c r="AR11" s="840"/>
      <c r="AS11" s="840"/>
      <c r="AT11" s="1120">
        <v>147.14599999999999</v>
      </c>
      <c r="AU11" s="840"/>
      <c r="AV11" s="840"/>
      <c r="AW11" s="840"/>
      <c r="AX11" s="840"/>
      <c r="AY11" s="1120">
        <v>442.60700000000003</v>
      </c>
      <c r="AZ11" s="840"/>
      <c r="BA11" s="840"/>
      <c r="BB11" s="840"/>
      <c r="BC11" s="840"/>
      <c r="BD11" s="1120">
        <v>1015.0549999999999</v>
      </c>
      <c r="BE11" s="840"/>
      <c r="BF11" s="840"/>
      <c r="BG11" s="840"/>
      <c r="BH11" s="840"/>
      <c r="BI11" s="1120">
        <v>620.60199999999998</v>
      </c>
      <c r="BJ11" s="840"/>
      <c r="BK11" s="840"/>
      <c r="BL11" s="840"/>
      <c r="BM11" s="840"/>
      <c r="BN11" s="1120">
        <v>613.09100000000001</v>
      </c>
      <c r="BO11" s="840"/>
      <c r="BP11" s="840"/>
      <c r="BQ11" s="840"/>
      <c r="BR11" s="840"/>
      <c r="BS11" s="1100"/>
      <c r="BT11" s="841"/>
      <c r="BU11" s="840"/>
      <c r="BV11" s="840"/>
      <c r="BW11" s="840"/>
      <c r="BX11" s="1100"/>
      <c r="BY11" s="840"/>
      <c r="BZ11" s="840"/>
      <c r="CA11" s="840"/>
      <c r="CB11" s="840"/>
      <c r="CC11" s="1100"/>
      <c r="CD11" s="1100"/>
      <c r="CE11" s="1100"/>
      <c r="CF11" s="1100"/>
      <c r="CG11" s="532"/>
    </row>
    <row r="12" spans="1:85" s="612" customFormat="1" x14ac:dyDescent="0.3">
      <c r="A12" s="106" t="s">
        <v>2020</v>
      </c>
      <c r="B12" s="514"/>
      <c r="C12" s="1097"/>
      <c r="D12" s="1097"/>
      <c r="E12" s="1097"/>
      <c r="F12" s="1097"/>
      <c r="G12" s="772"/>
      <c r="H12" s="772"/>
      <c r="I12" s="772"/>
      <c r="J12" s="772"/>
      <c r="K12" s="1097"/>
      <c r="L12" s="772"/>
      <c r="M12" s="772"/>
      <c r="N12" s="772"/>
      <c r="O12" s="772"/>
      <c r="P12" s="1097"/>
      <c r="Q12" s="772"/>
      <c r="R12" s="772"/>
      <c r="S12" s="772"/>
      <c r="T12" s="772"/>
      <c r="U12" s="1097"/>
      <c r="V12" s="772"/>
      <c r="W12" s="772"/>
      <c r="X12" s="772"/>
      <c r="Y12" s="772"/>
      <c r="Z12" s="1097"/>
      <c r="AA12" s="772"/>
      <c r="AB12" s="772"/>
      <c r="AC12" s="772"/>
      <c r="AD12" s="772"/>
      <c r="AE12" s="1097"/>
      <c r="AF12" s="772"/>
      <c r="AG12" s="772"/>
      <c r="AH12" s="772"/>
      <c r="AI12" s="772"/>
      <c r="AJ12" s="1097"/>
      <c r="AK12" s="772"/>
      <c r="AL12" s="772"/>
      <c r="AM12" s="772"/>
      <c r="AN12" s="772"/>
      <c r="AO12" s="1097"/>
      <c r="AP12" s="772"/>
      <c r="AQ12" s="772"/>
      <c r="AR12" s="772"/>
      <c r="AS12" s="772"/>
      <c r="AT12" s="1097">
        <f>SUM(AT7:AT11)</f>
      </c>
      <c r="AU12" s="772"/>
      <c r="AV12" s="772"/>
      <c r="AW12" s="772"/>
      <c r="AX12" s="772"/>
      <c r="AY12" s="1097">
        <f>SUM(AY7:AY11)</f>
      </c>
      <c r="AZ12" s="772"/>
      <c r="BA12" s="772"/>
      <c r="BB12" s="772"/>
      <c r="BC12" s="772"/>
      <c r="BD12" s="1097">
        <f>SUM(BD7:BD11)</f>
      </c>
      <c r="BE12" s="772"/>
      <c r="BF12" s="772"/>
      <c r="BG12" s="772"/>
      <c r="BH12" s="772"/>
      <c r="BI12" s="1097">
        <f>SUM(BI7:BI11)</f>
      </c>
      <c r="BJ12" s="772"/>
      <c r="BK12" s="772"/>
      <c r="BL12" s="772"/>
      <c r="BM12" s="772"/>
      <c r="BN12" s="1097">
        <f>SUM(BN7:BN11)</f>
      </c>
      <c r="BO12" s="772"/>
      <c r="BP12" s="772"/>
      <c r="BQ12" s="772"/>
      <c r="BR12" s="772"/>
      <c r="BS12" s="1097"/>
      <c r="BT12" s="838"/>
      <c r="BU12" s="772"/>
      <c r="BV12" s="772"/>
      <c r="BW12" s="772"/>
      <c r="BX12" s="1097"/>
      <c r="BY12" s="772"/>
      <c r="BZ12" s="772"/>
      <c r="CA12" s="772"/>
      <c r="CB12" s="772"/>
      <c r="CC12" s="1097"/>
      <c r="CD12" s="1097"/>
      <c r="CE12" s="1097"/>
      <c r="CF12" s="1097"/>
      <c r="CG12" s="348"/>
    </row>
    <row r="13" spans="1:85" s="606" customFormat="1" x14ac:dyDescent="0.3">
      <c r="A13" s="116" t="s">
        <v>2019</v>
      </c>
      <c r="B13" s="529"/>
      <c r="C13" s="83"/>
      <c r="D13" s="83"/>
      <c r="E13" s="83"/>
      <c r="F13" s="83"/>
      <c r="G13" s="86"/>
      <c r="H13" s="86"/>
      <c r="I13" s="86"/>
      <c r="J13" s="86"/>
      <c r="K13" s="83"/>
      <c r="L13" s="86"/>
      <c r="M13" s="86"/>
      <c r="N13" s="86"/>
      <c r="O13" s="86"/>
      <c r="P13" s="83"/>
      <c r="Q13" s="86"/>
      <c r="R13" s="86"/>
      <c r="S13" s="86"/>
      <c r="T13" s="86"/>
      <c r="U13" s="83"/>
      <c r="V13" s="86"/>
      <c r="W13" s="86"/>
      <c r="X13" s="86"/>
      <c r="Y13" s="86"/>
      <c r="Z13" s="83"/>
      <c r="AA13" s="86"/>
      <c r="AB13" s="86"/>
      <c r="AC13" s="86"/>
      <c r="AD13" s="86"/>
      <c r="AE13" s="83"/>
      <c r="AF13" s="86"/>
      <c r="AG13" s="86"/>
      <c r="AH13" s="86"/>
      <c r="AI13" s="86"/>
      <c r="AJ13" s="83"/>
      <c r="AK13" s="86"/>
      <c r="AL13" s="86"/>
      <c r="AM13" s="86"/>
      <c r="AN13" s="86"/>
      <c r="AO13" s="83"/>
      <c r="AP13" s="86"/>
      <c r="AQ13" s="86"/>
      <c r="AR13" s="86"/>
      <c r="AS13" s="86"/>
      <c r="AT13" s="83">
        <f>SUM(AT9)/AT12</f>
      </c>
      <c r="AU13" s="86"/>
      <c r="AV13" s="86"/>
      <c r="AW13" s="86"/>
      <c r="AX13" s="86"/>
      <c r="AY13" s="83">
        <f>SUM(AY9)/AY12</f>
      </c>
      <c r="AZ13" s="86"/>
      <c r="BA13" s="86"/>
      <c r="BB13" s="86"/>
      <c r="BC13" s="86"/>
      <c r="BD13" s="83">
        <f>SUM(BD9)/BD12</f>
      </c>
      <c r="BE13" s="86"/>
      <c r="BF13" s="86"/>
      <c r="BG13" s="86"/>
      <c r="BH13" s="86"/>
      <c r="BI13" s="83">
        <f>SUM(BI9)/BI12</f>
      </c>
      <c r="BJ13" s="86"/>
      <c r="BK13" s="86"/>
      <c r="BL13" s="86"/>
      <c r="BM13" s="86"/>
      <c r="BN13" s="83">
        <f>SUM(BN9)/BN12</f>
      </c>
      <c r="BO13" s="86"/>
      <c r="BP13" s="86"/>
      <c r="BQ13" s="86"/>
      <c r="BR13" s="86"/>
      <c r="BS13" s="83"/>
      <c r="BT13" s="725"/>
      <c r="BU13" s="86"/>
      <c r="BV13" s="86"/>
      <c r="BW13" s="86"/>
      <c r="BX13" s="83"/>
      <c r="BY13" s="86"/>
      <c r="BZ13" s="86"/>
      <c r="CA13" s="86"/>
      <c r="CB13" s="86"/>
      <c r="CC13" s="83"/>
      <c r="CD13" s="83"/>
      <c r="CE13" s="83"/>
      <c r="CF13" s="83"/>
      <c r="CG13" s="530"/>
    </row>
    <row r="14" spans="1:85" s="611" customFormat="1" x14ac:dyDescent="0.3">
      <c r="A14" s="224" t="s">
        <v>999</v>
      </c>
      <c r="B14" s="513"/>
      <c r="C14" s="198"/>
      <c r="D14" s="198"/>
      <c r="E14" s="198"/>
      <c r="F14" s="198"/>
      <c r="G14" s="194"/>
      <c r="H14" s="194"/>
      <c r="I14" s="194"/>
      <c r="J14" s="194"/>
      <c r="K14" s="198"/>
      <c r="L14" s="194"/>
      <c r="M14" s="194"/>
      <c r="N14" s="194"/>
      <c r="O14" s="194"/>
      <c r="P14" s="198"/>
      <c r="Q14" s="194"/>
      <c r="R14" s="194"/>
      <c r="S14" s="194"/>
      <c r="T14" s="194"/>
      <c r="U14" s="198"/>
      <c r="V14" s="194"/>
      <c r="W14" s="194"/>
      <c r="X14" s="194"/>
      <c r="Y14" s="194"/>
      <c r="Z14" s="198"/>
      <c r="AA14" s="194"/>
      <c r="AB14" s="194"/>
      <c r="AC14" s="194"/>
      <c r="AD14" s="194"/>
      <c r="AE14" s="198"/>
      <c r="AF14" s="194"/>
      <c r="AG14" s="194"/>
      <c r="AH14" s="194"/>
      <c r="AI14" s="194"/>
      <c r="AJ14" s="198"/>
      <c r="AK14" s="194"/>
      <c r="AL14" s="194"/>
      <c r="AM14" s="194"/>
      <c r="AN14" s="194"/>
      <c r="AO14" s="198"/>
      <c r="AP14" s="194"/>
      <c r="AQ14" s="194"/>
      <c r="AR14" s="194"/>
      <c r="AS14" s="194"/>
      <c r="AT14" s="1121">
        <f>Model!AT1008</f>
      </c>
      <c r="AU14" s="1112">
        <f>Model!AU1008</f>
      </c>
      <c r="AV14" s="1112">
        <f>Model!AV1008</f>
      </c>
      <c r="AW14" s="1112">
        <f>Model!AW1008</f>
      </c>
      <c r="AX14" s="1112">
        <f>Model!AX1008</f>
      </c>
      <c r="AY14" s="1121">
        <f>Model!AY1008</f>
      </c>
      <c r="AZ14" s="1112">
        <f>Model!AZ1008</f>
      </c>
      <c r="BA14" s="1112">
        <f>Model!BA1008</f>
      </c>
      <c r="BB14" s="1112">
        <f>Model!BB1008</f>
      </c>
      <c r="BC14" s="1112">
        <f>Model!BC1008</f>
      </c>
      <c r="BD14" s="1121">
        <f>Model!BD1008</f>
      </c>
      <c r="BE14" s="1112">
        <f>Model!BE1008</f>
      </c>
      <c r="BF14" s="1112">
        <f>Model!BF1008</f>
      </c>
      <c r="BG14" s="1112">
        <f>Model!BG1008</f>
      </c>
      <c r="BH14" s="1112">
        <f>Model!BH1008</f>
      </c>
      <c r="BI14" s="1121">
        <f>Model!BI1008</f>
      </c>
      <c r="BJ14" s="1112">
        <f>Model!BJ1008</f>
      </c>
      <c r="BK14" s="1112">
        <f>Model!BK1008</f>
      </c>
      <c r="BL14" s="1112">
        <f>Model!BL1008</f>
      </c>
      <c r="BM14" s="1112">
        <f>Model!BM1008</f>
      </c>
      <c r="BN14" s="1121">
        <f>Model!BN1008</f>
      </c>
      <c r="BO14" s="1112">
        <f>Model!BO1008</f>
      </c>
      <c r="BP14" s="1112">
        <f>Model!BP1008</f>
      </c>
      <c r="BQ14" s="1112">
        <f>Model!BQ1008</f>
      </c>
      <c r="BR14" s="1112">
        <f>Model!BR1008</f>
      </c>
      <c r="BS14" s="1121">
        <f>Model!BS1008</f>
      </c>
      <c r="BT14" s="1113">
        <f>Model!BT1008</f>
      </c>
      <c r="BU14" s="194"/>
      <c r="BV14" s="194"/>
      <c r="BW14" s="194"/>
      <c r="BX14" s="198"/>
      <c r="BY14" s="194"/>
      <c r="BZ14" s="194"/>
      <c r="CA14" s="194"/>
      <c r="CB14" s="194"/>
      <c r="CC14" s="198"/>
      <c r="CD14" s="198"/>
      <c r="CE14" s="198"/>
      <c r="CF14" s="198"/>
      <c r="CG14" s="347"/>
    </row>
    <row r="15" spans="1:85" s="614" customFormat="1" x14ac:dyDescent="0.3">
      <c r="A15" s="224"/>
      <c r="B15" s="352"/>
      <c r="C15" s="1094"/>
      <c r="D15" s="1094"/>
      <c r="E15" s="1094"/>
      <c r="F15" s="1094"/>
      <c r="G15" s="197"/>
      <c r="H15" s="197"/>
      <c r="I15" s="197"/>
      <c r="J15" s="197"/>
      <c r="K15" s="1094"/>
      <c r="L15" s="197"/>
      <c r="M15" s="197"/>
      <c r="N15" s="197"/>
      <c r="O15" s="197"/>
      <c r="P15" s="1094"/>
      <c r="Q15" s="197"/>
      <c r="R15" s="197"/>
      <c r="S15" s="197"/>
      <c r="T15" s="197"/>
      <c r="U15" s="1094"/>
      <c r="V15" s="197"/>
      <c r="W15" s="197"/>
      <c r="X15" s="197"/>
      <c r="Y15" s="197"/>
      <c r="Z15" s="1094"/>
      <c r="AA15" s="197"/>
      <c r="AB15" s="197"/>
      <c r="AC15" s="197"/>
      <c r="AD15" s="197"/>
      <c r="AE15" s="1094"/>
      <c r="AF15" s="197"/>
      <c r="AG15" s="197"/>
      <c r="AH15" s="197"/>
      <c r="AI15" s="197"/>
      <c r="AJ15" s="1094"/>
      <c r="AK15" s="197"/>
      <c r="AL15" s="197"/>
      <c r="AM15" s="197"/>
      <c r="AN15" s="197"/>
      <c r="AO15" s="1094"/>
      <c r="AP15" s="197"/>
      <c r="AQ15" s="197"/>
      <c r="AR15" s="197"/>
      <c r="AS15" s="197"/>
      <c r="AT15" s="198"/>
      <c r="AU15" s="194"/>
      <c r="AV15" s="194"/>
      <c r="AW15" s="194"/>
      <c r="AX15" s="194"/>
      <c r="AY15" s="198"/>
      <c r="AZ15" s="194"/>
      <c r="BA15" s="194"/>
      <c r="BB15" s="194"/>
      <c r="BC15" s="194"/>
      <c r="BD15" s="198"/>
      <c r="BE15" s="197"/>
      <c r="BF15" s="197"/>
      <c r="BG15" s="197"/>
      <c r="BH15" s="197"/>
      <c r="BI15" s="1094"/>
      <c r="BJ15" s="197"/>
      <c r="BK15" s="197"/>
      <c r="BL15" s="197"/>
      <c r="BM15" s="197"/>
      <c r="BN15" s="1094"/>
      <c r="BO15" s="197"/>
      <c r="BP15" s="197"/>
      <c r="BQ15" s="197"/>
      <c r="BR15" s="197"/>
      <c r="BS15" s="1094"/>
      <c r="BT15" s="727"/>
      <c r="BU15" s="197"/>
      <c r="BV15" s="197"/>
      <c r="BW15" s="197"/>
      <c r="BX15" s="1094"/>
      <c r="BY15" s="197"/>
      <c r="BZ15" s="197"/>
      <c r="CA15" s="197"/>
      <c r="CB15" s="197"/>
      <c r="CC15" s="1094"/>
      <c r="CD15" s="1094"/>
      <c r="CE15" s="1094"/>
      <c r="CF15" s="1094"/>
      <c r="CG15" s="349"/>
    </row>
    <row r="16" spans="1:85" s="613" customFormat="1" x14ac:dyDescent="0.3">
      <c r="A16" s="478" t="s">
        <v>2018</v>
      </c>
      <c r="B16" s="523"/>
      <c r="C16" s="78"/>
      <c r="D16" s="78"/>
      <c r="E16" s="78"/>
      <c r="F16" s="78"/>
      <c r="G16" s="774"/>
      <c r="H16" s="774"/>
      <c r="I16" s="774"/>
      <c r="J16" s="774"/>
      <c r="K16" s="78"/>
      <c r="L16" s="774"/>
      <c r="M16" s="774"/>
      <c r="N16" s="774"/>
      <c r="O16" s="774"/>
      <c r="P16" s="78"/>
      <c r="Q16" s="774"/>
      <c r="R16" s="774"/>
      <c r="S16" s="774"/>
      <c r="T16" s="774"/>
      <c r="U16" s="78"/>
      <c r="V16" s="774"/>
      <c r="W16" s="774"/>
      <c r="X16" s="774"/>
      <c r="Y16" s="774"/>
      <c r="Z16" s="78"/>
      <c r="AA16" s="774"/>
      <c r="AB16" s="774"/>
      <c r="AC16" s="774"/>
      <c r="AD16" s="774"/>
      <c r="AE16" s="78"/>
      <c r="AF16" s="774"/>
      <c r="AG16" s="774"/>
      <c r="AH16" s="774"/>
      <c r="AI16" s="774"/>
      <c r="AJ16" s="78"/>
      <c r="AK16" s="774"/>
      <c r="AL16" s="774"/>
      <c r="AM16" s="774"/>
      <c r="AN16" s="774"/>
      <c r="AO16" s="78"/>
      <c r="AP16" s="774"/>
      <c r="AQ16" s="774"/>
      <c r="AR16" s="774"/>
      <c r="AS16" s="774"/>
      <c r="AT16" s="1119">
        <v>38.801000000000002</v>
      </c>
      <c r="AU16" s="774"/>
      <c r="AV16" s="774"/>
      <c r="AW16" s="774"/>
      <c r="AX16" s="774"/>
      <c r="AY16" s="78"/>
      <c r="AZ16" s="774"/>
      <c r="BA16" s="774"/>
      <c r="BB16" s="774"/>
      <c r="BC16" s="774"/>
      <c r="BD16" s="78"/>
      <c r="BE16" s="774"/>
      <c r="BF16" s="774"/>
      <c r="BG16" s="774"/>
      <c r="BH16" s="774"/>
      <c r="BI16" s="78"/>
      <c r="BJ16" s="774"/>
      <c r="BK16" s="774"/>
      <c r="BL16" s="774"/>
      <c r="BM16" s="774"/>
      <c r="BN16" s="78"/>
      <c r="BO16" s="774"/>
      <c r="BP16" s="774"/>
      <c r="BQ16" s="774"/>
      <c r="BR16" s="774"/>
      <c r="BS16" s="78"/>
      <c r="BT16" s="775"/>
      <c r="BU16" s="774"/>
      <c r="BV16" s="774"/>
      <c r="BW16" s="774"/>
      <c r="BX16" s="78"/>
      <c r="BY16" s="774"/>
      <c r="BZ16" s="774"/>
      <c r="CA16" s="774"/>
      <c r="CB16" s="774"/>
      <c r="CC16" s="78"/>
      <c r="CD16" s="78"/>
      <c r="CE16" s="78"/>
      <c r="CF16" s="78"/>
      <c r="CG16" s="532"/>
    </row>
    <row r="17" spans="1:85" s="615" customFormat="1" x14ac:dyDescent="0.3">
      <c r="A17" s="522" t="s">
        <v>2017</v>
      </c>
      <c r="B17" s="521"/>
      <c r="C17" s="1122"/>
      <c r="D17" s="1122"/>
      <c r="E17" s="1122"/>
      <c r="F17" s="1122"/>
      <c r="G17" s="520"/>
      <c r="H17" s="520"/>
      <c r="I17" s="520"/>
      <c r="J17" s="520"/>
      <c r="K17" s="1122"/>
      <c r="L17" s="520"/>
      <c r="M17" s="520"/>
      <c r="N17" s="520"/>
      <c r="O17" s="520"/>
      <c r="P17" s="1122"/>
      <c r="Q17" s="520"/>
      <c r="R17" s="520"/>
      <c r="S17" s="520"/>
      <c r="T17" s="520"/>
      <c r="U17" s="1122"/>
      <c r="V17" s="520"/>
      <c r="W17" s="520"/>
      <c r="X17" s="520"/>
      <c r="Y17" s="520"/>
      <c r="Z17" s="1122"/>
      <c r="AA17" s="520"/>
      <c r="AB17" s="520"/>
      <c r="AC17" s="520"/>
      <c r="AD17" s="520"/>
      <c r="AE17" s="1122"/>
      <c r="AF17" s="520"/>
      <c r="AG17" s="520"/>
      <c r="AH17" s="520"/>
      <c r="AI17" s="520"/>
      <c r="AJ17" s="1122"/>
      <c r="AK17" s="520"/>
      <c r="AL17" s="520"/>
      <c r="AM17" s="520"/>
      <c r="AN17" s="520"/>
      <c r="AO17" s="1122"/>
      <c r="AP17" s="520"/>
      <c r="AQ17" s="520"/>
      <c r="AR17" s="520"/>
      <c r="AS17" s="520"/>
      <c r="AT17" s="1123">
        <v>16.11</v>
      </c>
      <c r="AU17" s="526"/>
      <c r="AV17" s="526"/>
      <c r="AW17" s="526"/>
      <c r="AX17" s="526"/>
      <c r="AY17" s="1124"/>
      <c r="AZ17" s="526"/>
      <c r="BA17" s="526"/>
      <c r="BB17" s="526"/>
      <c r="BC17" s="526"/>
      <c r="BD17" s="1124"/>
      <c r="BE17" s="520"/>
      <c r="BF17" s="520"/>
      <c r="BG17" s="520"/>
      <c r="BH17" s="520"/>
      <c r="BI17" s="1122"/>
      <c r="BJ17" s="520"/>
      <c r="BK17" s="520"/>
      <c r="BL17" s="520"/>
      <c r="BM17" s="520"/>
      <c r="BN17" s="1122"/>
      <c r="BO17" s="520"/>
      <c r="BP17" s="520"/>
      <c r="BQ17" s="520"/>
      <c r="BR17" s="520"/>
      <c r="BS17" s="1122"/>
      <c r="BT17" s="728"/>
      <c r="BU17" s="520"/>
      <c r="BV17" s="520"/>
      <c r="BW17" s="520"/>
      <c r="BX17" s="1122"/>
      <c r="BY17" s="520"/>
      <c r="BZ17" s="520"/>
      <c r="CA17" s="520"/>
      <c r="CB17" s="520"/>
      <c r="CC17" s="1122"/>
      <c r="CD17" s="1122"/>
      <c r="CE17" s="1122"/>
      <c r="CF17" s="1122"/>
      <c r="CG17" s="519"/>
    </row>
    <row r="18" spans="1:85" s="614" customFormat="1" x14ac:dyDescent="0.3">
      <c r="A18" s="522"/>
      <c r="B18" s="352"/>
      <c r="C18" s="1094"/>
      <c r="D18" s="1094"/>
      <c r="E18" s="1094"/>
      <c r="F18" s="1094"/>
      <c r="G18" s="197"/>
      <c r="H18" s="197"/>
      <c r="I18" s="197"/>
      <c r="J18" s="197"/>
      <c r="K18" s="1094"/>
      <c r="L18" s="197"/>
      <c r="M18" s="197"/>
      <c r="N18" s="197"/>
      <c r="O18" s="197"/>
      <c r="P18" s="1094"/>
      <c r="Q18" s="197"/>
      <c r="R18" s="197"/>
      <c r="S18" s="197"/>
      <c r="T18" s="197"/>
      <c r="U18" s="1094"/>
      <c r="V18" s="197"/>
      <c r="W18" s="197"/>
      <c r="X18" s="197"/>
      <c r="Y18" s="197"/>
      <c r="Z18" s="1094"/>
      <c r="AA18" s="197"/>
      <c r="AB18" s="197"/>
      <c r="AC18" s="197"/>
      <c r="AD18" s="197"/>
      <c r="AE18" s="1094"/>
      <c r="AF18" s="197"/>
      <c r="AG18" s="197"/>
      <c r="AH18" s="197"/>
      <c r="AI18" s="197"/>
      <c r="AJ18" s="1094"/>
      <c r="AK18" s="197"/>
      <c r="AL18" s="197"/>
      <c r="AM18" s="197"/>
      <c r="AN18" s="197"/>
      <c r="AO18" s="1094"/>
      <c r="AP18" s="197"/>
      <c r="AQ18" s="197"/>
      <c r="AR18" s="197"/>
      <c r="AS18" s="197"/>
      <c r="AT18" s="198"/>
      <c r="AU18" s="194"/>
      <c r="AV18" s="194"/>
      <c r="AW18" s="194"/>
      <c r="AX18" s="194"/>
      <c r="AY18" s="198"/>
      <c r="AZ18" s="194"/>
      <c r="BA18" s="194"/>
      <c r="BB18" s="194"/>
      <c r="BC18" s="194"/>
      <c r="BD18" s="198"/>
      <c r="BE18" s="197"/>
      <c r="BF18" s="197"/>
      <c r="BG18" s="197"/>
      <c r="BH18" s="197"/>
      <c r="BI18" s="1094"/>
      <c r="BJ18" s="197"/>
      <c r="BK18" s="197"/>
      <c r="BL18" s="197"/>
      <c r="BM18" s="197"/>
      <c r="BN18" s="1094"/>
      <c r="BO18" s="197"/>
      <c r="BP18" s="197"/>
      <c r="BQ18" s="197"/>
      <c r="BR18" s="197"/>
      <c r="BS18" s="1094"/>
      <c r="BT18" s="727"/>
      <c r="BU18" s="197"/>
      <c r="BV18" s="197"/>
      <c r="BW18" s="197"/>
      <c r="BX18" s="1094"/>
      <c r="BY18" s="197"/>
      <c r="BZ18" s="197"/>
      <c r="CA18" s="197"/>
      <c r="CB18" s="197"/>
      <c r="CC18" s="1094"/>
      <c r="CD18" s="1094"/>
      <c r="CE18" s="1094"/>
      <c r="CF18" s="1094"/>
      <c r="CG18" s="349"/>
    </row>
    <row r="19" spans="1:85" s="613" customFormat="1" x14ac:dyDescent="0.3">
      <c r="A19" s="478" t="s">
        <v>2016</v>
      </c>
      <c r="B19" s="523"/>
      <c r="C19" s="78"/>
      <c r="D19" s="78"/>
      <c r="E19" s="78"/>
      <c r="F19" s="78"/>
      <c r="G19" s="774"/>
      <c r="H19" s="774"/>
      <c r="I19" s="774"/>
      <c r="J19" s="774"/>
      <c r="K19" s="78"/>
      <c r="L19" s="774"/>
      <c r="M19" s="774"/>
      <c r="N19" s="774"/>
      <c r="O19" s="774"/>
      <c r="P19" s="78"/>
      <c r="Q19" s="774"/>
      <c r="R19" s="774"/>
      <c r="S19" s="774"/>
      <c r="T19" s="774"/>
      <c r="U19" s="78"/>
      <c r="V19" s="774"/>
      <c r="W19" s="774"/>
      <c r="X19" s="774"/>
      <c r="Y19" s="774"/>
      <c r="Z19" s="78"/>
      <c r="AA19" s="774"/>
      <c r="AB19" s="774"/>
      <c r="AC19" s="774"/>
      <c r="AD19" s="774"/>
      <c r="AE19" s="78"/>
      <c r="AF19" s="774"/>
      <c r="AG19" s="774"/>
      <c r="AH19" s="774"/>
      <c r="AI19" s="774"/>
      <c r="AJ19" s="78"/>
      <c r="AK19" s="774"/>
      <c r="AL19" s="774"/>
      <c r="AM19" s="774"/>
      <c r="AN19" s="774"/>
      <c r="AO19" s="78"/>
      <c r="AP19" s="774"/>
      <c r="AQ19" s="774"/>
      <c r="AR19" s="774"/>
      <c r="AS19" s="774"/>
      <c r="AT19" s="1119">
        <v>38.387999999999998</v>
      </c>
      <c r="AU19" s="774"/>
      <c r="AV19" s="774"/>
      <c r="AW19" s="774"/>
      <c r="AX19" s="774"/>
      <c r="AY19" s="78"/>
      <c r="AZ19" s="774"/>
      <c r="BA19" s="774"/>
      <c r="BB19" s="774"/>
      <c r="BC19" s="774"/>
      <c r="BD19" s="78"/>
      <c r="BE19" s="774"/>
      <c r="BF19" s="774"/>
      <c r="BG19" s="774"/>
      <c r="BH19" s="774"/>
      <c r="BI19" s="78"/>
      <c r="BJ19" s="774"/>
      <c r="BK19" s="774"/>
      <c r="BL19" s="774"/>
      <c r="BM19" s="774"/>
      <c r="BN19" s="78"/>
      <c r="BO19" s="774"/>
      <c r="BP19" s="774"/>
      <c r="BQ19" s="774"/>
      <c r="BR19" s="774"/>
      <c r="BS19" s="78"/>
      <c r="BT19" s="775"/>
      <c r="BU19" s="774"/>
      <c r="BV19" s="774"/>
      <c r="BW19" s="774"/>
      <c r="BX19" s="78"/>
      <c r="BY19" s="774"/>
      <c r="BZ19" s="774"/>
      <c r="CA19" s="774"/>
      <c r="CB19" s="774"/>
      <c r="CC19" s="78"/>
      <c r="CD19" s="78"/>
      <c r="CE19" s="78"/>
      <c r="CF19" s="78"/>
      <c r="CG19" s="532"/>
    </row>
    <row r="20" spans="1:85" s="615" customFormat="1" x14ac:dyDescent="0.3">
      <c r="A20" s="522" t="s">
        <v>2015</v>
      </c>
      <c r="B20" s="521"/>
      <c r="C20" s="1122"/>
      <c r="D20" s="1122"/>
      <c r="E20" s="1122"/>
      <c r="F20" s="1122"/>
      <c r="G20" s="520"/>
      <c r="H20" s="520"/>
      <c r="I20" s="520"/>
      <c r="J20" s="520"/>
      <c r="K20" s="1122"/>
      <c r="L20" s="520"/>
      <c r="M20" s="520"/>
      <c r="N20" s="520"/>
      <c r="O20" s="520"/>
      <c r="P20" s="1122"/>
      <c r="Q20" s="520"/>
      <c r="R20" s="520"/>
      <c r="S20" s="520"/>
      <c r="T20" s="520"/>
      <c r="U20" s="1122"/>
      <c r="V20" s="520"/>
      <c r="W20" s="520"/>
      <c r="X20" s="520"/>
      <c r="Y20" s="520"/>
      <c r="Z20" s="1122"/>
      <c r="AA20" s="520"/>
      <c r="AB20" s="520"/>
      <c r="AC20" s="520"/>
      <c r="AD20" s="520"/>
      <c r="AE20" s="1122"/>
      <c r="AF20" s="520"/>
      <c r="AG20" s="520"/>
      <c r="AH20" s="520"/>
      <c r="AI20" s="520"/>
      <c r="AJ20" s="1122"/>
      <c r="AK20" s="520"/>
      <c r="AL20" s="520"/>
      <c r="AM20" s="520"/>
      <c r="AN20" s="520"/>
      <c r="AO20" s="1122"/>
      <c r="AP20" s="520"/>
      <c r="AQ20" s="520"/>
      <c r="AR20" s="520"/>
      <c r="AS20" s="520"/>
      <c r="AT20" s="1123">
        <v>16.28</v>
      </c>
      <c r="AU20" s="526"/>
      <c r="AV20" s="526"/>
      <c r="AW20" s="526"/>
      <c r="AX20" s="526"/>
      <c r="AY20" s="1124"/>
      <c r="AZ20" s="526"/>
      <c r="BA20" s="526"/>
      <c r="BB20" s="526"/>
      <c r="BC20" s="526"/>
      <c r="BD20" s="1124"/>
      <c r="BE20" s="520"/>
      <c r="BF20" s="520"/>
      <c r="BG20" s="520"/>
      <c r="BH20" s="520"/>
      <c r="BI20" s="1122"/>
      <c r="BJ20" s="520"/>
      <c r="BK20" s="520"/>
      <c r="BL20" s="520"/>
      <c r="BM20" s="520"/>
      <c r="BN20" s="1122"/>
      <c r="BO20" s="520"/>
      <c r="BP20" s="520"/>
      <c r="BQ20" s="520"/>
      <c r="BR20" s="520"/>
      <c r="BS20" s="1122"/>
      <c r="BT20" s="728"/>
      <c r="BU20" s="520"/>
      <c r="BV20" s="520"/>
      <c r="BW20" s="520"/>
      <c r="BX20" s="1122"/>
      <c r="BY20" s="520"/>
      <c r="BZ20" s="520"/>
      <c r="CA20" s="520"/>
      <c r="CB20" s="520"/>
      <c r="CC20" s="1122"/>
      <c r="CD20" s="1122"/>
      <c r="CE20" s="1122"/>
      <c r="CF20" s="1122"/>
      <c r="CG20" s="519"/>
    </row>
    <row r="21" spans="1:85" s="614" customFormat="1" x14ac:dyDescent="0.3">
      <c r="A21" s="522"/>
      <c r="B21" s="352"/>
      <c r="C21" s="1094"/>
      <c r="D21" s="1094"/>
      <c r="E21" s="1094"/>
      <c r="F21" s="1094"/>
      <c r="G21" s="197"/>
      <c r="H21" s="197"/>
      <c r="I21" s="197"/>
      <c r="J21" s="197"/>
      <c r="K21" s="1094"/>
      <c r="L21" s="197"/>
      <c r="M21" s="197"/>
      <c r="N21" s="197"/>
      <c r="O21" s="197"/>
      <c r="P21" s="1094"/>
      <c r="Q21" s="197"/>
      <c r="R21" s="197"/>
      <c r="S21" s="197"/>
      <c r="T21" s="197"/>
      <c r="U21" s="1094"/>
      <c r="V21" s="197"/>
      <c r="W21" s="197"/>
      <c r="X21" s="197"/>
      <c r="Y21" s="197"/>
      <c r="Z21" s="1094"/>
      <c r="AA21" s="197"/>
      <c r="AB21" s="197"/>
      <c r="AC21" s="197"/>
      <c r="AD21" s="197"/>
      <c r="AE21" s="1094"/>
      <c r="AF21" s="197"/>
      <c r="AG21" s="197"/>
      <c r="AH21" s="197"/>
      <c r="AI21" s="197"/>
      <c r="AJ21" s="1094"/>
      <c r="AK21" s="197"/>
      <c r="AL21" s="197"/>
      <c r="AM21" s="197"/>
      <c r="AN21" s="197"/>
      <c r="AO21" s="1094"/>
      <c r="AP21" s="197"/>
      <c r="AQ21" s="197"/>
      <c r="AR21" s="197"/>
      <c r="AS21" s="197"/>
      <c r="AT21" s="198"/>
      <c r="AU21" s="194"/>
      <c r="AV21" s="194"/>
      <c r="AW21" s="194"/>
      <c r="AX21" s="194"/>
      <c r="AY21" s="198"/>
      <c r="AZ21" s="194"/>
      <c r="BA21" s="194"/>
      <c r="BB21" s="194"/>
      <c r="BC21" s="194"/>
      <c r="BD21" s="198"/>
      <c r="BE21" s="197"/>
      <c r="BF21" s="197"/>
      <c r="BG21" s="197"/>
      <c r="BH21" s="197"/>
      <c r="BI21" s="1094"/>
      <c r="BJ21" s="197"/>
      <c r="BK21" s="197"/>
      <c r="BL21" s="197"/>
      <c r="BM21" s="197"/>
      <c r="BN21" s="1094"/>
      <c r="BO21" s="197"/>
      <c r="BP21" s="197"/>
      <c r="BQ21" s="197"/>
      <c r="BR21" s="197"/>
      <c r="BS21" s="1094"/>
      <c r="BT21" s="727"/>
      <c r="BU21" s="197"/>
      <c r="BV21" s="197"/>
      <c r="BW21" s="197"/>
      <c r="BX21" s="1094"/>
      <c r="BY21" s="197"/>
      <c r="BZ21" s="197"/>
      <c r="CA21" s="197"/>
      <c r="CB21" s="197"/>
      <c r="CC21" s="1094"/>
      <c r="CD21" s="1094"/>
      <c r="CE21" s="1094"/>
      <c r="CF21" s="1094"/>
      <c r="CG21" s="349"/>
    </row>
    <row r="22" spans="1:85" s="613" customFormat="1" x14ac:dyDescent="0.3">
      <c r="A22" s="478" t="s">
        <v>2014</v>
      </c>
      <c r="B22" s="523"/>
      <c r="C22" s="78"/>
      <c r="D22" s="78"/>
      <c r="E22" s="78"/>
      <c r="F22" s="78"/>
      <c r="G22" s="774"/>
      <c r="H22" s="774"/>
      <c r="I22" s="774"/>
      <c r="J22" s="774"/>
      <c r="K22" s="78"/>
      <c r="L22" s="774"/>
      <c r="M22" s="774"/>
      <c r="N22" s="774"/>
      <c r="O22" s="774"/>
      <c r="P22" s="78"/>
      <c r="Q22" s="774"/>
      <c r="R22" s="774"/>
      <c r="S22" s="774"/>
      <c r="T22" s="774"/>
      <c r="U22" s="78"/>
      <c r="V22" s="774"/>
      <c r="W22" s="774"/>
      <c r="X22" s="774"/>
      <c r="Y22" s="774"/>
      <c r="Z22" s="78"/>
      <c r="AA22" s="774"/>
      <c r="AB22" s="774"/>
      <c r="AC22" s="774"/>
      <c r="AD22" s="774"/>
      <c r="AE22" s="78"/>
      <c r="AF22" s="774"/>
      <c r="AG22" s="774"/>
      <c r="AH22" s="774"/>
      <c r="AI22" s="774"/>
      <c r="AJ22" s="78"/>
      <c r="AK22" s="774"/>
      <c r="AL22" s="774"/>
      <c r="AM22" s="774"/>
      <c r="AN22" s="774"/>
      <c r="AO22" s="78"/>
      <c r="AP22" s="774"/>
      <c r="AQ22" s="774"/>
      <c r="AR22" s="774"/>
      <c r="AS22" s="774"/>
      <c r="AT22" s="1119">
        <v>53.774000000000001</v>
      </c>
      <c r="AU22" s="774"/>
      <c r="AV22" s="774"/>
      <c r="AW22" s="774"/>
      <c r="AX22" s="774"/>
      <c r="AY22" s="78"/>
      <c r="AZ22" s="774"/>
      <c r="BA22" s="774"/>
      <c r="BB22" s="774"/>
      <c r="BC22" s="774"/>
      <c r="BD22" s="78"/>
      <c r="BE22" s="774"/>
      <c r="BF22" s="774"/>
      <c r="BG22" s="774"/>
      <c r="BH22" s="774"/>
      <c r="BI22" s="78"/>
      <c r="BJ22" s="774"/>
      <c r="BK22" s="774"/>
      <c r="BL22" s="774"/>
      <c r="BM22" s="774"/>
      <c r="BN22" s="78"/>
      <c r="BO22" s="774"/>
      <c r="BP22" s="774"/>
      <c r="BQ22" s="774"/>
      <c r="BR22" s="774"/>
      <c r="BS22" s="78"/>
      <c r="BT22" s="775"/>
      <c r="BU22" s="774"/>
      <c r="BV22" s="774"/>
      <c r="BW22" s="774"/>
      <c r="BX22" s="78"/>
      <c r="BY22" s="774"/>
      <c r="BZ22" s="774"/>
      <c r="CA22" s="774"/>
      <c r="CB22" s="774"/>
      <c r="CC22" s="78"/>
      <c r="CD22" s="78"/>
      <c r="CE22" s="78"/>
      <c r="CF22" s="78"/>
      <c r="CG22" s="532"/>
    </row>
    <row r="23" spans="1:85" s="615" customFormat="1" x14ac:dyDescent="0.3">
      <c r="A23" s="522" t="s">
        <v>2013</v>
      </c>
      <c r="B23" s="521"/>
      <c r="C23" s="1122"/>
      <c r="D23" s="1122"/>
      <c r="E23" s="1122"/>
      <c r="F23" s="1122"/>
      <c r="G23" s="520"/>
      <c r="H23" s="520"/>
      <c r="I23" s="520"/>
      <c r="J23" s="520"/>
      <c r="K23" s="1122"/>
      <c r="L23" s="520"/>
      <c r="M23" s="520"/>
      <c r="N23" s="520"/>
      <c r="O23" s="520"/>
      <c r="P23" s="1122"/>
      <c r="Q23" s="520"/>
      <c r="R23" s="520"/>
      <c r="S23" s="520"/>
      <c r="T23" s="520"/>
      <c r="U23" s="1122"/>
      <c r="V23" s="520"/>
      <c r="W23" s="520"/>
      <c r="X23" s="520"/>
      <c r="Y23" s="520"/>
      <c r="Z23" s="1122"/>
      <c r="AA23" s="520"/>
      <c r="AB23" s="520"/>
      <c r="AC23" s="520"/>
      <c r="AD23" s="520"/>
      <c r="AE23" s="1122"/>
      <c r="AF23" s="520"/>
      <c r="AG23" s="520"/>
      <c r="AH23" s="520"/>
      <c r="AI23" s="520"/>
      <c r="AJ23" s="1122"/>
      <c r="AK23" s="520"/>
      <c r="AL23" s="520"/>
      <c r="AM23" s="520"/>
      <c r="AN23" s="520"/>
      <c r="AO23" s="1122"/>
      <c r="AP23" s="520"/>
      <c r="AQ23" s="520"/>
      <c r="AR23" s="520"/>
      <c r="AS23" s="520"/>
      <c r="AT23" s="1123">
        <v>11.62</v>
      </c>
      <c r="AU23" s="526"/>
      <c r="AV23" s="526"/>
      <c r="AW23" s="526"/>
      <c r="AX23" s="526"/>
      <c r="AY23" s="1124"/>
      <c r="AZ23" s="526"/>
      <c r="BA23" s="526"/>
      <c r="BB23" s="526"/>
      <c r="BC23" s="526"/>
      <c r="BD23" s="1124"/>
      <c r="BE23" s="520"/>
      <c r="BF23" s="520"/>
      <c r="BG23" s="520"/>
      <c r="BH23" s="520"/>
      <c r="BI23" s="1122"/>
      <c r="BJ23" s="520"/>
      <c r="BK23" s="520"/>
      <c r="BL23" s="520"/>
      <c r="BM23" s="520"/>
      <c r="BN23" s="1122"/>
      <c r="BO23" s="520"/>
      <c r="BP23" s="520"/>
      <c r="BQ23" s="520"/>
      <c r="BR23" s="520"/>
      <c r="BS23" s="1122"/>
      <c r="BT23" s="728"/>
      <c r="BU23" s="520"/>
      <c r="BV23" s="520"/>
      <c r="BW23" s="520"/>
      <c r="BX23" s="1122"/>
      <c r="BY23" s="520"/>
      <c r="BZ23" s="520"/>
      <c r="CA23" s="520"/>
      <c r="CB23" s="520"/>
      <c r="CC23" s="1122"/>
      <c r="CD23" s="1122"/>
      <c r="CE23" s="1122"/>
      <c r="CF23" s="1122"/>
      <c r="CG23" s="519"/>
    </row>
    <row r="24" spans="1:85" s="614" customFormat="1" x14ac:dyDescent="0.3">
      <c r="A24" s="522"/>
      <c r="B24" s="352"/>
      <c r="C24" s="1094"/>
      <c r="D24" s="1094"/>
      <c r="E24" s="1094"/>
      <c r="F24" s="1094"/>
      <c r="G24" s="197"/>
      <c r="H24" s="197"/>
      <c r="I24" s="197"/>
      <c r="J24" s="197"/>
      <c r="K24" s="1094"/>
      <c r="L24" s="197"/>
      <c r="M24" s="197"/>
      <c r="N24" s="197"/>
      <c r="O24" s="197"/>
      <c r="P24" s="1094"/>
      <c r="Q24" s="197"/>
      <c r="R24" s="197"/>
      <c r="S24" s="197"/>
      <c r="T24" s="197"/>
      <c r="U24" s="1094"/>
      <c r="V24" s="197"/>
      <c r="W24" s="197"/>
      <c r="X24" s="197"/>
      <c r="Y24" s="197"/>
      <c r="Z24" s="1094"/>
      <c r="AA24" s="197"/>
      <c r="AB24" s="197"/>
      <c r="AC24" s="197"/>
      <c r="AD24" s="197"/>
      <c r="AE24" s="1094"/>
      <c r="AF24" s="197"/>
      <c r="AG24" s="197"/>
      <c r="AH24" s="197"/>
      <c r="AI24" s="197"/>
      <c r="AJ24" s="1094"/>
      <c r="AK24" s="197"/>
      <c r="AL24" s="197"/>
      <c r="AM24" s="197"/>
      <c r="AN24" s="197"/>
      <c r="AO24" s="1094"/>
      <c r="AP24" s="197"/>
      <c r="AQ24" s="197"/>
      <c r="AR24" s="197"/>
      <c r="AS24" s="197"/>
      <c r="AT24" s="198"/>
      <c r="AU24" s="194"/>
      <c r="AV24" s="194"/>
      <c r="AW24" s="194"/>
      <c r="AX24" s="194"/>
      <c r="AY24" s="198"/>
      <c r="AZ24" s="194"/>
      <c r="BA24" s="194"/>
      <c r="BB24" s="194"/>
      <c r="BC24" s="194"/>
      <c r="BD24" s="198"/>
      <c r="BE24" s="197"/>
      <c r="BF24" s="197"/>
      <c r="BG24" s="197"/>
      <c r="BH24" s="197"/>
      <c r="BI24" s="1094"/>
      <c r="BJ24" s="197"/>
      <c r="BK24" s="197"/>
      <c r="BL24" s="197"/>
      <c r="BM24" s="197"/>
      <c r="BN24" s="1094"/>
      <c r="BO24" s="197"/>
      <c r="BP24" s="197"/>
      <c r="BQ24" s="197"/>
      <c r="BR24" s="197"/>
      <c r="BS24" s="1094"/>
      <c r="BT24" s="727"/>
      <c r="BU24" s="197"/>
      <c r="BV24" s="197"/>
      <c r="BW24" s="197"/>
      <c r="BX24" s="1094"/>
      <c r="BY24" s="197"/>
      <c r="BZ24" s="197"/>
      <c r="CA24" s="197"/>
      <c r="CB24" s="197"/>
      <c r="CC24" s="1094"/>
      <c r="CD24" s="1094"/>
      <c r="CE24" s="1094"/>
      <c r="CF24" s="1094"/>
      <c r="CG24" s="349"/>
    </row>
    <row r="25" spans="1:85" s="613" customFormat="1" x14ac:dyDescent="0.3">
      <c r="A25" s="478" t="s">
        <v>2012</v>
      </c>
      <c r="B25" s="523"/>
      <c r="C25" s="78"/>
      <c r="D25" s="78"/>
      <c r="E25" s="78"/>
      <c r="F25" s="78"/>
      <c r="G25" s="774"/>
      <c r="H25" s="774"/>
      <c r="I25" s="774"/>
      <c r="J25" s="774"/>
      <c r="K25" s="78"/>
      <c r="L25" s="774"/>
      <c r="M25" s="774"/>
      <c r="N25" s="774"/>
      <c r="O25" s="774"/>
      <c r="P25" s="78"/>
      <c r="Q25" s="774"/>
      <c r="R25" s="774"/>
      <c r="S25" s="774"/>
      <c r="T25" s="774"/>
      <c r="U25" s="78"/>
      <c r="V25" s="774"/>
      <c r="W25" s="774"/>
      <c r="X25" s="774"/>
      <c r="Y25" s="774"/>
      <c r="Z25" s="78"/>
      <c r="AA25" s="774"/>
      <c r="AB25" s="774"/>
      <c r="AC25" s="774"/>
      <c r="AD25" s="774"/>
      <c r="AE25" s="78"/>
      <c r="AF25" s="774"/>
      <c r="AG25" s="774"/>
      <c r="AH25" s="774"/>
      <c r="AI25" s="774"/>
      <c r="AJ25" s="78"/>
      <c r="AK25" s="774"/>
      <c r="AL25" s="774"/>
      <c r="AM25" s="774"/>
      <c r="AN25" s="774"/>
      <c r="AO25" s="78"/>
      <c r="AP25" s="774"/>
      <c r="AQ25" s="774"/>
      <c r="AR25" s="774"/>
      <c r="AS25" s="774"/>
      <c r="AT25" s="1119">
        <v>69.503</v>
      </c>
      <c r="AU25" s="774"/>
      <c r="AV25" s="774"/>
      <c r="AW25" s="774"/>
      <c r="AX25" s="774"/>
      <c r="AY25" s="78"/>
      <c r="AZ25" s="774"/>
      <c r="BA25" s="774"/>
      <c r="BB25" s="774"/>
      <c r="BC25" s="774"/>
      <c r="BD25" s="78"/>
      <c r="BE25" s="774"/>
      <c r="BF25" s="774"/>
      <c r="BG25" s="774"/>
      <c r="BH25" s="774"/>
      <c r="BI25" s="78"/>
      <c r="BJ25" s="774"/>
      <c r="BK25" s="774"/>
      <c r="BL25" s="774"/>
      <c r="BM25" s="774"/>
      <c r="BN25" s="78"/>
      <c r="BO25" s="774"/>
      <c r="BP25" s="774"/>
      <c r="BQ25" s="774"/>
      <c r="BR25" s="774"/>
      <c r="BS25" s="78"/>
      <c r="BT25" s="775"/>
      <c r="BU25" s="774"/>
      <c r="BV25" s="774"/>
      <c r="BW25" s="774"/>
      <c r="BX25" s="78"/>
      <c r="BY25" s="774"/>
      <c r="BZ25" s="774"/>
      <c r="CA25" s="774"/>
      <c r="CB25" s="774"/>
      <c r="CC25" s="78"/>
      <c r="CD25" s="78"/>
      <c r="CE25" s="78"/>
      <c r="CF25" s="78"/>
      <c r="CG25" s="532"/>
    </row>
    <row r="26" spans="1:85" s="615" customFormat="1" x14ac:dyDescent="0.3">
      <c r="A26" s="522" t="s">
        <v>2011</v>
      </c>
      <c r="B26" s="521"/>
      <c r="C26" s="1122"/>
      <c r="D26" s="1122"/>
      <c r="E26" s="1122"/>
      <c r="F26" s="1122"/>
      <c r="G26" s="520"/>
      <c r="H26" s="520"/>
      <c r="I26" s="520"/>
      <c r="J26" s="520"/>
      <c r="K26" s="1122"/>
      <c r="L26" s="520"/>
      <c r="M26" s="520"/>
      <c r="N26" s="520"/>
      <c r="O26" s="520"/>
      <c r="P26" s="1122"/>
      <c r="Q26" s="520"/>
      <c r="R26" s="520"/>
      <c r="S26" s="520"/>
      <c r="T26" s="520"/>
      <c r="U26" s="1122"/>
      <c r="V26" s="520"/>
      <c r="W26" s="520"/>
      <c r="X26" s="520"/>
      <c r="Y26" s="520"/>
      <c r="Z26" s="1122"/>
      <c r="AA26" s="520"/>
      <c r="AB26" s="520"/>
      <c r="AC26" s="520"/>
      <c r="AD26" s="520"/>
      <c r="AE26" s="1122"/>
      <c r="AF26" s="520"/>
      <c r="AG26" s="520"/>
      <c r="AH26" s="520"/>
      <c r="AI26" s="520"/>
      <c r="AJ26" s="1122"/>
      <c r="AK26" s="520"/>
      <c r="AL26" s="520"/>
      <c r="AM26" s="520"/>
      <c r="AN26" s="520"/>
      <c r="AO26" s="1122"/>
      <c r="AP26" s="520"/>
      <c r="AQ26" s="520"/>
      <c r="AR26" s="520"/>
      <c r="AS26" s="520"/>
      <c r="AT26" s="1123">
        <v>8.99</v>
      </c>
      <c r="AU26" s="526"/>
      <c r="AV26" s="526"/>
      <c r="AW26" s="526"/>
      <c r="AX26" s="526"/>
      <c r="AY26" s="1124"/>
      <c r="AZ26" s="526"/>
      <c r="BA26" s="526"/>
      <c r="BB26" s="526"/>
      <c r="BC26" s="526"/>
      <c r="BD26" s="1124"/>
      <c r="BE26" s="520"/>
      <c r="BF26" s="520"/>
      <c r="BG26" s="520"/>
      <c r="BH26" s="520"/>
      <c r="BI26" s="1122"/>
      <c r="BJ26" s="520"/>
      <c r="BK26" s="520"/>
      <c r="BL26" s="520"/>
      <c r="BM26" s="520"/>
      <c r="BN26" s="1122"/>
      <c r="BO26" s="520"/>
      <c r="BP26" s="520"/>
      <c r="BQ26" s="520"/>
      <c r="BR26" s="520"/>
      <c r="BS26" s="1122"/>
      <c r="BT26" s="728"/>
      <c r="BU26" s="520"/>
      <c r="BV26" s="520"/>
      <c r="BW26" s="520"/>
      <c r="BX26" s="1122"/>
      <c r="BY26" s="520"/>
      <c r="BZ26" s="520"/>
      <c r="CA26" s="520"/>
      <c r="CB26" s="520"/>
      <c r="CC26" s="1122"/>
      <c r="CD26" s="1122"/>
      <c r="CE26" s="1122"/>
      <c r="CF26" s="1122"/>
      <c r="CG26" s="519"/>
    </row>
    <row r="27" spans="1:85" s="614" customFormat="1" x14ac:dyDescent="0.3">
      <c r="A27" s="522"/>
      <c r="B27" s="352"/>
      <c r="C27" s="1094"/>
      <c r="D27" s="1094"/>
      <c r="E27" s="1094"/>
      <c r="F27" s="1094"/>
      <c r="G27" s="197"/>
      <c r="H27" s="197"/>
      <c r="I27" s="197"/>
      <c r="J27" s="197"/>
      <c r="K27" s="1094"/>
      <c r="L27" s="197"/>
      <c r="M27" s="197"/>
      <c r="N27" s="197"/>
      <c r="O27" s="197"/>
      <c r="P27" s="1094"/>
      <c r="Q27" s="197"/>
      <c r="R27" s="197"/>
      <c r="S27" s="197"/>
      <c r="T27" s="197"/>
      <c r="U27" s="1094"/>
      <c r="V27" s="197"/>
      <c r="W27" s="197"/>
      <c r="X27" s="197"/>
      <c r="Y27" s="197"/>
      <c r="Z27" s="1094"/>
      <c r="AA27" s="197"/>
      <c r="AB27" s="197"/>
      <c r="AC27" s="197"/>
      <c r="AD27" s="197"/>
      <c r="AE27" s="1094"/>
      <c r="AF27" s="197"/>
      <c r="AG27" s="197"/>
      <c r="AH27" s="197"/>
      <c r="AI27" s="197"/>
      <c r="AJ27" s="1094"/>
      <c r="AK27" s="197"/>
      <c r="AL27" s="197"/>
      <c r="AM27" s="197"/>
      <c r="AN27" s="197"/>
      <c r="AO27" s="1094"/>
      <c r="AP27" s="197"/>
      <c r="AQ27" s="197"/>
      <c r="AR27" s="197"/>
      <c r="AS27" s="197"/>
      <c r="AT27" s="198"/>
      <c r="AU27" s="194"/>
      <c r="AV27" s="194"/>
      <c r="AW27" s="194"/>
      <c r="AX27" s="194"/>
      <c r="AY27" s="198"/>
      <c r="AZ27" s="194"/>
      <c r="BA27" s="194"/>
      <c r="BB27" s="194"/>
      <c r="BC27" s="194"/>
      <c r="BD27" s="198"/>
      <c r="BE27" s="197"/>
      <c r="BF27" s="197"/>
      <c r="BG27" s="197"/>
      <c r="BH27" s="197"/>
      <c r="BI27" s="1094"/>
      <c r="BJ27" s="197"/>
      <c r="BK27" s="197"/>
      <c r="BL27" s="197"/>
      <c r="BM27" s="197"/>
      <c r="BN27" s="1094"/>
      <c r="BO27" s="197"/>
      <c r="BP27" s="197"/>
      <c r="BQ27" s="197"/>
      <c r="BR27" s="197"/>
      <c r="BS27" s="1094"/>
      <c r="BT27" s="727"/>
      <c r="BU27" s="197"/>
      <c r="BV27" s="197"/>
      <c r="BW27" s="197"/>
      <c r="BX27" s="1094"/>
      <c r="BY27" s="197"/>
      <c r="BZ27" s="197"/>
      <c r="CA27" s="197"/>
      <c r="CB27" s="197"/>
      <c r="CC27" s="1094"/>
      <c r="CD27" s="1094"/>
      <c r="CE27" s="1094"/>
      <c r="CF27" s="1094"/>
      <c r="CG27" s="349"/>
    </row>
    <row r="28" spans="1:85" s="613" customFormat="1" x14ac:dyDescent="0.3">
      <c r="A28" s="478" t="s">
        <v>2010</v>
      </c>
      <c r="B28" s="523"/>
      <c r="C28" s="78"/>
      <c r="D28" s="78"/>
      <c r="E28" s="78"/>
      <c r="F28" s="78"/>
      <c r="G28" s="774"/>
      <c r="H28" s="774"/>
      <c r="I28" s="774"/>
      <c r="J28" s="774"/>
      <c r="K28" s="78"/>
      <c r="L28" s="774"/>
      <c r="M28" s="774"/>
      <c r="N28" s="774"/>
      <c r="O28" s="774"/>
      <c r="P28" s="78"/>
      <c r="Q28" s="774"/>
      <c r="R28" s="774"/>
      <c r="S28" s="774"/>
      <c r="T28" s="774"/>
      <c r="U28" s="78"/>
      <c r="V28" s="774"/>
      <c r="W28" s="774"/>
      <c r="X28" s="774"/>
      <c r="Y28" s="774"/>
      <c r="Z28" s="78"/>
      <c r="AA28" s="774"/>
      <c r="AB28" s="774"/>
      <c r="AC28" s="774"/>
      <c r="AD28" s="774"/>
      <c r="AE28" s="78"/>
      <c r="AF28" s="774"/>
      <c r="AG28" s="774"/>
      <c r="AH28" s="774"/>
      <c r="AI28" s="774"/>
      <c r="AJ28" s="78"/>
      <c r="AK28" s="774"/>
      <c r="AL28" s="774"/>
      <c r="AM28" s="774"/>
      <c r="AN28" s="774"/>
      <c r="AO28" s="78"/>
      <c r="AP28" s="774"/>
      <c r="AQ28" s="774"/>
      <c r="AR28" s="774"/>
      <c r="AS28" s="774"/>
      <c r="AT28" s="1119">
        <v>64.477000000000004</v>
      </c>
      <c r="AU28" s="774"/>
      <c r="AV28" s="774"/>
      <c r="AW28" s="774"/>
      <c r="AX28" s="774"/>
      <c r="AY28" s="78"/>
      <c r="AZ28" s="774"/>
      <c r="BA28" s="774"/>
      <c r="BB28" s="774"/>
      <c r="BC28" s="774"/>
      <c r="BD28" s="78"/>
      <c r="BE28" s="774"/>
      <c r="BF28" s="774"/>
      <c r="BG28" s="774"/>
      <c r="BH28" s="774"/>
      <c r="BI28" s="78"/>
      <c r="BJ28" s="774"/>
      <c r="BK28" s="774"/>
      <c r="BL28" s="774"/>
      <c r="BM28" s="774"/>
      <c r="BN28" s="78"/>
      <c r="BO28" s="774"/>
      <c r="BP28" s="774"/>
      <c r="BQ28" s="774"/>
      <c r="BR28" s="774"/>
      <c r="BS28" s="78"/>
      <c r="BT28" s="775"/>
      <c r="BU28" s="774"/>
      <c r="BV28" s="774"/>
      <c r="BW28" s="774"/>
      <c r="BX28" s="78"/>
      <c r="BY28" s="774"/>
      <c r="BZ28" s="774"/>
      <c r="CA28" s="774"/>
      <c r="CB28" s="774"/>
      <c r="CC28" s="78"/>
      <c r="CD28" s="78"/>
      <c r="CE28" s="78"/>
      <c r="CF28" s="78"/>
      <c r="CG28" s="532"/>
    </row>
    <row r="29" spans="1:85" s="615" customFormat="1" x14ac:dyDescent="0.3">
      <c r="A29" s="522" t="s">
        <v>2009</v>
      </c>
      <c r="B29" s="521"/>
      <c r="C29" s="1122"/>
      <c r="D29" s="1122"/>
      <c r="E29" s="1122"/>
      <c r="F29" s="1122"/>
      <c r="G29" s="520"/>
      <c r="H29" s="520"/>
      <c r="I29" s="520"/>
      <c r="J29" s="520"/>
      <c r="K29" s="1122"/>
      <c r="L29" s="520"/>
      <c r="M29" s="520"/>
      <c r="N29" s="520"/>
      <c r="O29" s="520"/>
      <c r="P29" s="1122"/>
      <c r="Q29" s="520"/>
      <c r="R29" s="520"/>
      <c r="S29" s="520"/>
      <c r="T29" s="520"/>
      <c r="U29" s="1122"/>
      <c r="V29" s="520"/>
      <c r="W29" s="520"/>
      <c r="X29" s="520"/>
      <c r="Y29" s="520"/>
      <c r="Z29" s="1122"/>
      <c r="AA29" s="520"/>
      <c r="AB29" s="520"/>
      <c r="AC29" s="520"/>
      <c r="AD29" s="520"/>
      <c r="AE29" s="1122"/>
      <c r="AF29" s="520"/>
      <c r="AG29" s="520"/>
      <c r="AH29" s="520"/>
      <c r="AI29" s="520"/>
      <c r="AJ29" s="1122"/>
      <c r="AK29" s="520"/>
      <c r="AL29" s="520"/>
      <c r="AM29" s="520"/>
      <c r="AN29" s="520"/>
      <c r="AO29" s="1122"/>
      <c r="AP29" s="520"/>
      <c r="AQ29" s="520"/>
      <c r="AR29" s="520"/>
      <c r="AS29" s="520"/>
      <c r="AT29" s="1123">
        <v>9.69</v>
      </c>
      <c r="AU29" s="526"/>
      <c r="AV29" s="526"/>
      <c r="AW29" s="526"/>
      <c r="AX29" s="526"/>
      <c r="AY29" s="1124"/>
      <c r="AZ29" s="526"/>
      <c r="BA29" s="526"/>
      <c r="BB29" s="526"/>
      <c r="BC29" s="526"/>
      <c r="BD29" s="1124"/>
      <c r="BE29" s="520"/>
      <c r="BF29" s="520"/>
      <c r="BG29" s="520"/>
      <c r="BH29" s="520"/>
      <c r="BI29" s="1122"/>
      <c r="BJ29" s="520"/>
      <c r="BK29" s="520"/>
      <c r="BL29" s="520"/>
      <c r="BM29" s="520"/>
      <c r="BN29" s="1122"/>
      <c r="BO29" s="520"/>
      <c r="BP29" s="520"/>
      <c r="BQ29" s="520"/>
      <c r="BR29" s="520"/>
      <c r="BS29" s="1122"/>
      <c r="BT29" s="728"/>
      <c r="BU29" s="520"/>
      <c r="BV29" s="520"/>
      <c r="BW29" s="520"/>
      <c r="BX29" s="1122"/>
      <c r="BY29" s="520"/>
      <c r="BZ29" s="520"/>
      <c r="CA29" s="520"/>
      <c r="CB29" s="520"/>
      <c r="CC29" s="1122"/>
      <c r="CD29" s="1122"/>
      <c r="CE29" s="1122"/>
      <c r="CF29" s="1122"/>
      <c r="CG29" s="519"/>
    </row>
    <row r="30" spans="1:85" s="614" customFormat="1" x14ac:dyDescent="0.3">
      <c r="A30" s="522"/>
      <c r="B30" s="352"/>
      <c r="C30" s="1094"/>
      <c r="D30" s="1094"/>
      <c r="E30" s="1094"/>
      <c r="F30" s="1094"/>
      <c r="G30" s="197"/>
      <c r="H30" s="197"/>
      <c r="I30" s="197"/>
      <c r="J30" s="197"/>
      <c r="K30" s="1094"/>
      <c r="L30" s="197"/>
      <c r="M30" s="197"/>
      <c r="N30" s="197"/>
      <c r="O30" s="197"/>
      <c r="P30" s="1094"/>
      <c r="Q30" s="197"/>
      <c r="R30" s="197"/>
      <c r="S30" s="197"/>
      <c r="T30" s="197"/>
      <c r="U30" s="1094"/>
      <c r="V30" s="197"/>
      <c r="W30" s="197"/>
      <c r="X30" s="197"/>
      <c r="Y30" s="197"/>
      <c r="Z30" s="1094"/>
      <c r="AA30" s="197"/>
      <c r="AB30" s="197"/>
      <c r="AC30" s="197"/>
      <c r="AD30" s="197"/>
      <c r="AE30" s="1094"/>
      <c r="AF30" s="197"/>
      <c r="AG30" s="197"/>
      <c r="AH30" s="197"/>
      <c r="AI30" s="197"/>
      <c r="AJ30" s="1094"/>
      <c r="AK30" s="197"/>
      <c r="AL30" s="197"/>
      <c r="AM30" s="197"/>
      <c r="AN30" s="197"/>
      <c r="AO30" s="1094"/>
      <c r="AP30" s="197"/>
      <c r="AQ30" s="197"/>
      <c r="AR30" s="197"/>
      <c r="AS30" s="197"/>
      <c r="AT30" s="198"/>
      <c r="AU30" s="194"/>
      <c r="AV30" s="194"/>
      <c r="AW30" s="194"/>
      <c r="AX30" s="194"/>
      <c r="AY30" s="198"/>
      <c r="AZ30" s="194"/>
      <c r="BA30" s="194"/>
      <c r="BB30" s="194"/>
      <c r="BC30" s="194"/>
      <c r="BD30" s="198"/>
      <c r="BE30" s="197"/>
      <c r="BF30" s="197"/>
      <c r="BG30" s="197"/>
      <c r="BH30" s="197"/>
      <c r="BI30" s="1094"/>
      <c r="BJ30" s="197"/>
      <c r="BK30" s="197"/>
      <c r="BL30" s="197"/>
      <c r="BM30" s="197"/>
      <c r="BN30" s="1094"/>
      <c r="BO30" s="197"/>
      <c r="BP30" s="197"/>
      <c r="BQ30" s="197"/>
      <c r="BR30" s="197"/>
      <c r="BS30" s="1094"/>
      <c r="BT30" s="727"/>
      <c r="BU30" s="197"/>
      <c r="BV30" s="197"/>
      <c r="BW30" s="197"/>
      <c r="BX30" s="1094"/>
      <c r="BY30" s="197"/>
      <c r="BZ30" s="197"/>
      <c r="CA30" s="197"/>
      <c r="CB30" s="197"/>
      <c r="CC30" s="1094"/>
      <c r="CD30" s="1094"/>
      <c r="CE30" s="1094"/>
      <c r="CF30" s="1094"/>
      <c r="CG30" s="349"/>
    </row>
    <row r="31" spans="1:85" s="613" customFormat="1" x14ac:dyDescent="0.3">
      <c r="A31" s="478" t="s">
        <v>2008</v>
      </c>
      <c r="B31" s="523"/>
      <c r="C31" s="78"/>
      <c r="D31" s="78"/>
      <c r="E31" s="78"/>
      <c r="F31" s="78"/>
      <c r="G31" s="774"/>
      <c r="H31" s="774"/>
      <c r="I31" s="774"/>
      <c r="J31" s="774"/>
      <c r="K31" s="78"/>
      <c r="L31" s="774"/>
      <c r="M31" s="774"/>
      <c r="N31" s="774"/>
      <c r="O31" s="774"/>
      <c r="P31" s="78"/>
      <c r="Q31" s="774"/>
      <c r="R31" s="774"/>
      <c r="S31" s="774"/>
      <c r="T31" s="774"/>
      <c r="U31" s="78"/>
      <c r="V31" s="774"/>
      <c r="W31" s="774"/>
      <c r="X31" s="774"/>
      <c r="Y31" s="774"/>
      <c r="Z31" s="78"/>
      <c r="AA31" s="774"/>
      <c r="AB31" s="774"/>
      <c r="AC31" s="774"/>
      <c r="AD31" s="774"/>
      <c r="AE31" s="78"/>
      <c r="AF31" s="774"/>
      <c r="AG31" s="774"/>
      <c r="AH31" s="774"/>
      <c r="AI31" s="774"/>
      <c r="AJ31" s="78"/>
      <c r="AK31" s="774"/>
      <c r="AL31" s="774"/>
      <c r="AM31" s="774"/>
      <c r="AN31" s="774"/>
      <c r="AO31" s="78"/>
      <c r="AP31" s="774"/>
      <c r="AQ31" s="774"/>
      <c r="AR31" s="774"/>
      <c r="AS31" s="774"/>
      <c r="AT31" s="1119">
        <v>80.275999999999996</v>
      </c>
      <c r="AU31" s="774"/>
      <c r="AV31" s="774"/>
      <c r="AW31" s="774"/>
      <c r="AX31" s="774"/>
      <c r="AY31" s="78"/>
      <c r="AZ31" s="774"/>
      <c r="BA31" s="774"/>
      <c r="BB31" s="774"/>
      <c r="BC31" s="774"/>
      <c r="BD31" s="78"/>
      <c r="BE31" s="774"/>
      <c r="BF31" s="774"/>
      <c r="BG31" s="774"/>
      <c r="BH31" s="774"/>
      <c r="BI31" s="78"/>
      <c r="BJ31" s="774"/>
      <c r="BK31" s="774"/>
      <c r="BL31" s="774"/>
      <c r="BM31" s="774"/>
      <c r="BN31" s="78"/>
      <c r="BO31" s="774"/>
      <c r="BP31" s="774"/>
      <c r="BQ31" s="774"/>
      <c r="BR31" s="774"/>
      <c r="BS31" s="78"/>
      <c r="BT31" s="775"/>
      <c r="BU31" s="774"/>
      <c r="BV31" s="774"/>
      <c r="BW31" s="774"/>
      <c r="BX31" s="78"/>
      <c r="BY31" s="774"/>
      <c r="BZ31" s="774"/>
      <c r="CA31" s="774"/>
      <c r="CB31" s="774"/>
      <c r="CC31" s="78"/>
      <c r="CD31" s="78"/>
      <c r="CE31" s="78"/>
      <c r="CF31" s="78"/>
      <c r="CG31" s="532"/>
    </row>
    <row r="32" spans="1:85" s="615" customFormat="1" x14ac:dyDescent="0.3">
      <c r="A32" s="522" t="s">
        <v>2007</v>
      </c>
      <c r="B32" s="521"/>
      <c r="C32" s="1122"/>
      <c r="D32" s="1122"/>
      <c r="E32" s="1122"/>
      <c r="F32" s="1122"/>
      <c r="G32" s="520"/>
      <c r="H32" s="520"/>
      <c r="I32" s="520"/>
      <c r="J32" s="520"/>
      <c r="K32" s="1122"/>
      <c r="L32" s="520"/>
      <c r="M32" s="520"/>
      <c r="N32" s="520"/>
      <c r="O32" s="520"/>
      <c r="P32" s="1122"/>
      <c r="Q32" s="520"/>
      <c r="R32" s="520"/>
      <c r="S32" s="520"/>
      <c r="T32" s="520"/>
      <c r="U32" s="1122"/>
      <c r="V32" s="520"/>
      <c r="W32" s="520"/>
      <c r="X32" s="520"/>
      <c r="Y32" s="520"/>
      <c r="Z32" s="1122"/>
      <c r="AA32" s="520"/>
      <c r="AB32" s="520"/>
      <c r="AC32" s="520"/>
      <c r="AD32" s="520"/>
      <c r="AE32" s="1122"/>
      <c r="AF32" s="520"/>
      <c r="AG32" s="520"/>
      <c r="AH32" s="520"/>
      <c r="AI32" s="520"/>
      <c r="AJ32" s="1122"/>
      <c r="AK32" s="520"/>
      <c r="AL32" s="520"/>
      <c r="AM32" s="520"/>
      <c r="AN32" s="520"/>
      <c r="AO32" s="1122"/>
      <c r="AP32" s="520"/>
      <c r="AQ32" s="520"/>
      <c r="AR32" s="520"/>
      <c r="AS32" s="520"/>
      <c r="AT32" s="1123">
        <v>7.79</v>
      </c>
      <c r="AU32" s="526"/>
      <c r="AV32" s="526"/>
      <c r="AW32" s="526"/>
      <c r="AX32" s="526"/>
      <c r="AY32" s="1124"/>
      <c r="AZ32" s="526"/>
      <c r="BA32" s="526"/>
      <c r="BB32" s="526"/>
      <c r="BC32" s="526"/>
      <c r="BD32" s="1124"/>
      <c r="BE32" s="520"/>
      <c r="BF32" s="520"/>
      <c r="BG32" s="520"/>
      <c r="BH32" s="520"/>
      <c r="BI32" s="1122"/>
      <c r="BJ32" s="520"/>
      <c r="BK32" s="520"/>
      <c r="BL32" s="520"/>
      <c r="BM32" s="520"/>
      <c r="BN32" s="1122"/>
      <c r="BO32" s="520"/>
      <c r="BP32" s="520"/>
      <c r="BQ32" s="520"/>
      <c r="BR32" s="520"/>
      <c r="BS32" s="1122"/>
      <c r="BT32" s="728"/>
      <c r="BU32" s="520"/>
      <c r="BV32" s="520"/>
      <c r="BW32" s="520"/>
      <c r="BX32" s="1122"/>
      <c r="BY32" s="520"/>
      <c r="BZ32" s="520"/>
      <c r="CA32" s="520"/>
      <c r="CB32" s="520"/>
      <c r="CC32" s="1122"/>
      <c r="CD32" s="1122"/>
      <c r="CE32" s="1122"/>
      <c r="CF32" s="1122"/>
      <c r="CG32" s="519"/>
    </row>
    <row r="33" spans="1:85" s="614" customFormat="1" x14ac:dyDescent="0.3">
      <c r="A33" s="522"/>
      <c r="B33" s="352"/>
      <c r="C33" s="1094"/>
      <c r="D33" s="1094"/>
      <c r="E33" s="1094"/>
      <c r="F33" s="1094"/>
      <c r="G33" s="197"/>
      <c r="H33" s="197"/>
      <c r="I33" s="197"/>
      <c r="J33" s="197"/>
      <c r="K33" s="1094"/>
      <c r="L33" s="197"/>
      <c r="M33" s="197"/>
      <c r="N33" s="197"/>
      <c r="O33" s="197"/>
      <c r="P33" s="1094"/>
      <c r="Q33" s="197"/>
      <c r="R33" s="197"/>
      <c r="S33" s="197"/>
      <c r="T33" s="197"/>
      <c r="U33" s="1094"/>
      <c r="V33" s="197"/>
      <c r="W33" s="197"/>
      <c r="X33" s="197"/>
      <c r="Y33" s="197"/>
      <c r="Z33" s="1094"/>
      <c r="AA33" s="197"/>
      <c r="AB33" s="197"/>
      <c r="AC33" s="197"/>
      <c r="AD33" s="197"/>
      <c r="AE33" s="1094"/>
      <c r="AF33" s="197"/>
      <c r="AG33" s="197"/>
      <c r="AH33" s="197"/>
      <c r="AI33" s="197"/>
      <c r="AJ33" s="1094"/>
      <c r="AK33" s="197"/>
      <c r="AL33" s="197"/>
      <c r="AM33" s="197"/>
      <c r="AN33" s="197"/>
      <c r="AO33" s="1094"/>
      <c r="AP33" s="197"/>
      <c r="AQ33" s="197"/>
      <c r="AR33" s="197"/>
      <c r="AS33" s="197"/>
      <c r="AT33" s="198"/>
      <c r="AU33" s="194"/>
      <c r="AV33" s="194"/>
      <c r="AW33" s="194"/>
      <c r="AX33" s="194"/>
      <c r="AY33" s="198"/>
      <c r="AZ33" s="194"/>
      <c r="BA33" s="194"/>
      <c r="BB33" s="194"/>
      <c r="BC33" s="194"/>
      <c r="BD33" s="198"/>
      <c r="BE33" s="197"/>
      <c r="BF33" s="197"/>
      <c r="BG33" s="197"/>
      <c r="BH33" s="197"/>
      <c r="BI33" s="1094"/>
      <c r="BJ33" s="197"/>
      <c r="BK33" s="197"/>
      <c r="BL33" s="197"/>
      <c r="BM33" s="197"/>
      <c r="BN33" s="1094"/>
      <c r="BO33" s="197"/>
      <c r="BP33" s="197"/>
      <c r="BQ33" s="197"/>
      <c r="BR33" s="197"/>
      <c r="BS33" s="1094"/>
      <c r="BT33" s="727"/>
      <c r="BU33" s="197"/>
      <c r="BV33" s="197"/>
      <c r="BW33" s="197"/>
      <c r="BX33" s="1094"/>
      <c r="BY33" s="197"/>
      <c r="BZ33" s="197"/>
      <c r="CA33" s="197"/>
      <c r="CB33" s="197"/>
      <c r="CC33" s="1094"/>
      <c r="CD33" s="1094"/>
      <c r="CE33" s="1094"/>
      <c r="CF33" s="1094"/>
      <c r="CG33" s="349"/>
    </row>
    <row r="34" spans="1:85" s="613" customFormat="1" x14ac:dyDescent="0.3">
      <c r="A34" s="478" t="s">
        <v>2006</v>
      </c>
      <c r="B34" s="523"/>
      <c r="C34" s="78"/>
      <c r="D34" s="78"/>
      <c r="E34" s="78"/>
      <c r="F34" s="78"/>
      <c r="G34" s="774"/>
      <c r="H34" s="774"/>
      <c r="I34" s="774"/>
      <c r="J34" s="774"/>
      <c r="K34" s="78"/>
      <c r="L34" s="774"/>
      <c r="M34" s="774"/>
      <c r="N34" s="774"/>
      <c r="O34" s="774"/>
      <c r="P34" s="78"/>
      <c r="Q34" s="774"/>
      <c r="R34" s="774"/>
      <c r="S34" s="774"/>
      <c r="T34" s="774"/>
      <c r="U34" s="78"/>
      <c r="V34" s="774"/>
      <c r="W34" s="774"/>
      <c r="X34" s="774"/>
      <c r="Y34" s="774"/>
      <c r="Z34" s="78"/>
      <c r="AA34" s="774"/>
      <c r="AB34" s="774"/>
      <c r="AC34" s="774"/>
      <c r="AD34" s="774"/>
      <c r="AE34" s="78"/>
      <c r="AF34" s="774"/>
      <c r="AG34" s="774"/>
      <c r="AH34" s="774"/>
      <c r="AI34" s="774"/>
      <c r="AJ34" s="78"/>
      <c r="AK34" s="774"/>
      <c r="AL34" s="774"/>
      <c r="AM34" s="774"/>
      <c r="AN34" s="774"/>
      <c r="AO34" s="78"/>
      <c r="AP34" s="774"/>
      <c r="AQ34" s="774"/>
      <c r="AR34" s="774"/>
      <c r="AS34" s="774"/>
      <c r="AT34" s="1119">
        <v>78.224999999999994</v>
      </c>
      <c r="AU34" s="774"/>
      <c r="AV34" s="774"/>
      <c r="AW34" s="774"/>
      <c r="AX34" s="774"/>
      <c r="AY34" s="78"/>
      <c r="AZ34" s="774"/>
      <c r="BA34" s="774"/>
      <c r="BB34" s="774"/>
      <c r="BC34" s="774"/>
      <c r="BD34" s="78"/>
      <c r="BE34" s="774"/>
      <c r="BF34" s="774"/>
      <c r="BG34" s="774"/>
      <c r="BH34" s="774"/>
      <c r="BI34" s="78"/>
      <c r="BJ34" s="774"/>
      <c r="BK34" s="774"/>
      <c r="BL34" s="774"/>
      <c r="BM34" s="774"/>
      <c r="BN34" s="78"/>
      <c r="BO34" s="774"/>
      <c r="BP34" s="774"/>
      <c r="BQ34" s="774"/>
      <c r="BR34" s="774"/>
      <c r="BS34" s="78"/>
      <c r="BT34" s="775"/>
      <c r="BU34" s="774"/>
      <c r="BV34" s="774"/>
      <c r="BW34" s="774"/>
      <c r="BX34" s="78"/>
      <c r="BY34" s="774"/>
      <c r="BZ34" s="774"/>
      <c r="CA34" s="774"/>
      <c r="CB34" s="774"/>
      <c r="CC34" s="78"/>
      <c r="CD34" s="78"/>
      <c r="CE34" s="78"/>
      <c r="CF34" s="78"/>
      <c r="CG34" s="532"/>
    </row>
    <row r="35" spans="1:85" s="615" customFormat="1" x14ac:dyDescent="0.3">
      <c r="A35" s="522" t="s">
        <v>2005</v>
      </c>
      <c r="B35" s="521"/>
      <c r="C35" s="1122"/>
      <c r="D35" s="1122"/>
      <c r="E35" s="1122"/>
      <c r="F35" s="1122"/>
      <c r="G35" s="520"/>
      <c r="H35" s="520"/>
      <c r="I35" s="520"/>
      <c r="J35" s="520"/>
      <c r="K35" s="1122"/>
      <c r="L35" s="520"/>
      <c r="M35" s="520"/>
      <c r="N35" s="520"/>
      <c r="O35" s="520"/>
      <c r="P35" s="1122"/>
      <c r="Q35" s="520"/>
      <c r="R35" s="520"/>
      <c r="S35" s="520"/>
      <c r="T35" s="520"/>
      <c r="U35" s="1122"/>
      <c r="V35" s="520"/>
      <c r="W35" s="520"/>
      <c r="X35" s="520"/>
      <c r="Y35" s="520"/>
      <c r="Z35" s="1122"/>
      <c r="AA35" s="520"/>
      <c r="AB35" s="520"/>
      <c r="AC35" s="520"/>
      <c r="AD35" s="520"/>
      <c r="AE35" s="1122"/>
      <c r="AF35" s="520"/>
      <c r="AG35" s="520"/>
      <c r="AH35" s="520"/>
      <c r="AI35" s="520"/>
      <c r="AJ35" s="1122"/>
      <c r="AK35" s="520"/>
      <c r="AL35" s="520"/>
      <c r="AM35" s="520"/>
      <c r="AN35" s="520"/>
      <c r="AO35" s="1122"/>
      <c r="AP35" s="520"/>
      <c r="AQ35" s="520"/>
      <c r="AR35" s="520"/>
      <c r="AS35" s="520"/>
      <c r="AT35" s="1123">
        <v>7.99</v>
      </c>
      <c r="AU35" s="526"/>
      <c r="AV35" s="526"/>
      <c r="AW35" s="526"/>
      <c r="AX35" s="526"/>
      <c r="AY35" s="1124"/>
      <c r="AZ35" s="526"/>
      <c r="BA35" s="526"/>
      <c r="BB35" s="526"/>
      <c r="BC35" s="526"/>
      <c r="BD35" s="1124"/>
      <c r="BE35" s="520"/>
      <c r="BF35" s="520"/>
      <c r="BG35" s="520"/>
      <c r="BH35" s="520"/>
      <c r="BI35" s="1122"/>
      <c r="BJ35" s="520"/>
      <c r="BK35" s="520"/>
      <c r="BL35" s="520"/>
      <c r="BM35" s="520"/>
      <c r="BN35" s="1122"/>
      <c r="BO35" s="520"/>
      <c r="BP35" s="520"/>
      <c r="BQ35" s="520"/>
      <c r="BR35" s="520"/>
      <c r="BS35" s="1122"/>
      <c r="BT35" s="728"/>
      <c r="BU35" s="520"/>
      <c r="BV35" s="520"/>
      <c r="BW35" s="520"/>
      <c r="BX35" s="1122"/>
      <c r="BY35" s="520"/>
      <c r="BZ35" s="520"/>
      <c r="CA35" s="520"/>
      <c r="CB35" s="520"/>
      <c r="CC35" s="1122"/>
      <c r="CD35" s="1122"/>
      <c r="CE35" s="1122"/>
      <c r="CF35" s="1122"/>
      <c r="CG35" s="519"/>
    </row>
    <row r="36" spans="1:85" s="614" customFormat="1" x14ac:dyDescent="0.3">
      <c r="A36" s="522"/>
      <c r="B36" s="352"/>
      <c r="C36" s="1094"/>
      <c r="D36" s="1094"/>
      <c r="E36" s="1094"/>
      <c r="F36" s="1094"/>
      <c r="G36" s="197"/>
      <c r="H36" s="197"/>
      <c r="I36" s="197"/>
      <c r="J36" s="197"/>
      <c r="K36" s="1094"/>
      <c r="L36" s="197"/>
      <c r="M36" s="197"/>
      <c r="N36" s="197"/>
      <c r="O36" s="197"/>
      <c r="P36" s="1094"/>
      <c r="Q36" s="197"/>
      <c r="R36" s="197"/>
      <c r="S36" s="197"/>
      <c r="T36" s="197"/>
      <c r="U36" s="1094"/>
      <c r="V36" s="197"/>
      <c r="W36" s="197"/>
      <c r="X36" s="197"/>
      <c r="Y36" s="197"/>
      <c r="Z36" s="1094"/>
      <c r="AA36" s="197"/>
      <c r="AB36" s="197"/>
      <c r="AC36" s="197"/>
      <c r="AD36" s="197"/>
      <c r="AE36" s="1094"/>
      <c r="AF36" s="197"/>
      <c r="AG36" s="197"/>
      <c r="AH36" s="197"/>
      <c r="AI36" s="197"/>
      <c r="AJ36" s="1094"/>
      <c r="AK36" s="197"/>
      <c r="AL36" s="197"/>
      <c r="AM36" s="197"/>
      <c r="AN36" s="197"/>
      <c r="AO36" s="1094"/>
      <c r="AP36" s="197"/>
      <c r="AQ36" s="197"/>
      <c r="AR36" s="197"/>
      <c r="AS36" s="197"/>
      <c r="AT36" s="198"/>
      <c r="AU36" s="194"/>
      <c r="AV36" s="194"/>
      <c r="AW36" s="194"/>
      <c r="AX36" s="194"/>
      <c r="AY36" s="198"/>
      <c r="AZ36" s="194"/>
      <c r="BA36" s="194"/>
      <c r="BB36" s="194"/>
      <c r="BC36" s="194"/>
      <c r="BD36" s="198"/>
      <c r="BE36" s="197"/>
      <c r="BF36" s="197"/>
      <c r="BG36" s="197"/>
      <c r="BH36" s="197"/>
      <c r="BI36" s="1094"/>
      <c r="BJ36" s="197"/>
      <c r="BK36" s="197"/>
      <c r="BL36" s="197"/>
      <c r="BM36" s="197"/>
      <c r="BN36" s="1094"/>
      <c r="BO36" s="197"/>
      <c r="BP36" s="197"/>
      <c r="BQ36" s="197"/>
      <c r="BR36" s="197"/>
      <c r="BS36" s="1094"/>
      <c r="BT36" s="727"/>
      <c r="BU36" s="197"/>
      <c r="BV36" s="197"/>
      <c r="BW36" s="197"/>
      <c r="BX36" s="1094"/>
      <c r="BY36" s="197"/>
      <c r="BZ36" s="197"/>
      <c r="CA36" s="197"/>
      <c r="CB36" s="197"/>
      <c r="CC36" s="1094"/>
      <c r="CD36" s="1094"/>
      <c r="CE36" s="1094"/>
      <c r="CF36" s="1094"/>
      <c r="CG36" s="349"/>
    </row>
    <row r="37" spans="1:85" s="613" customFormat="1" x14ac:dyDescent="0.3">
      <c r="A37" s="478" t="s">
        <v>2004</v>
      </c>
      <c r="B37" s="523"/>
      <c r="C37" s="78"/>
      <c r="D37" s="78"/>
      <c r="E37" s="78"/>
      <c r="F37" s="78"/>
      <c r="G37" s="774"/>
      <c r="H37" s="774"/>
      <c r="I37" s="774"/>
      <c r="J37" s="774"/>
      <c r="K37" s="78"/>
      <c r="L37" s="774"/>
      <c r="M37" s="774"/>
      <c r="N37" s="774"/>
      <c r="O37" s="774"/>
      <c r="P37" s="78"/>
      <c r="Q37" s="774"/>
      <c r="R37" s="774"/>
      <c r="S37" s="774"/>
      <c r="T37" s="774"/>
      <c r="U37" s="78"/>
      <c r="V37" s="774"/>
      <c r="W37" s="774"/>
      <c r="X37" s="774"/>
      <c r="Y37" s="774"/>
      <c r="Z37" s="78"/>
      <c r="AA37" s="774"/>
      <c r="AB37" s="774"/>
      <c r="AC37" s="774"/>
      <c r="AD37" s="774"/>
      <c r="AE37" s="78"/>
      <c r="AF37" s="774"/>
      <c r="AG37" s="774"/>
      <c r="AH37" s="774"/>
      <c r="AI37" s="774"/>
      <c r="AJ37" s="78"/>
      <c r="AK37" s="774"/>
      <c r="AL37" s="774"/>
      <c r="AM37" s="774"/>
      <c r="AN37" s="774"/>
      <c r="AO37" s="78"/>
      <c r="AP37" s="774"/>
      <c r="AQ37" s="774"/>
      <c r="AR37" s="774"/>
      <c r="AS37" s="774"/>
      <c r="AT37" s="1119">
        <v>78.057000000000002</v>
      </c>
      <c r="AU37" s="774"/>
      <c r="AV37" s="774"/>
      <c r="AW37" s="774"/>
      <c r="AX37" s="774"/>
      <c r="AY37" s="78"/>
      <c r="AZ37" s="774"/>
      <c r="BA37" s="774"/>
      <c r="BB37" s="774"/>
      <c r="BC37" s="774"/>
      <c r="BD37" s="78"/>
      <c r="BE37" s="774"/>
      <c r="BF37" s="774"/>
      <c r="BG37" s="774"/>
      <c r="BH37" s="774"/>
      <c r="BI37" s="78"/>
      <c r="BJ37" s="774"/>
      <c r="BK37" s="774"/>
      <c r="BL37" s="774"/>
      <c r="BM37" s="774"/>
      <c r="BN37" s="78"/>
      <c r="BO37" s="774"/>
      <c r="BP37" s="774"/>
      <c r="BQ37" s="774"/>
      <c r="BR37" s="774"/>
      <c r="BS37" s="78"/>
      <c r="BT37" s="775"/>
      <c r="BU37" s="774"/>
      <c r="BV37" s="774"/>
      <c r="BW37" s="774"/>
      <c r="BX37" s="78"/>
      <c r="BY37" s="774"/>
      <c r="BZ37" s="774"/>
      <c r="CA37" s="774"/>
      <c r="CB37" s="774"/>
      <c r="CC37" s="78"/>
      <c r="CD37" s="78"/>
      <c r="CE37" s="78"/>
      <c r="CF37" s="78"/>
      <c r="CG37" s="532"/>
    </row>
    <row r="38" spans="1:85" s="615" customFormat="1" x14ac:dyDescent="0.3">
      <c r="A38" s="522" t="s">
        <v>2003</v>
      </c>
      <c r="B38" s="521"/>
      <c r="C38" s="1122"/>
      <c r="D38" s="1122"/>
      <c r="E38" s="1122"/>
      <c r="F38" s="1122"/>
      <c r="G38" s="520"/>
      <c r="H38" s="520"/>
      <c r="I38" s="520"/>
      <c r="J38" s="520"/>
      <c r="K38" s="1122"/>
      <c r="L38" s="520"/>
      <c r="M38" s="520"/>
      <c r="N38" s="520"/>
      <c r="O38" s="520"/>
      <c r="P38" s="1122"/>
      <c r="Q38" s="520"/>
      <c r="R38" s="520"/>
      <c r="S38" s="520"/>
      <c r="T38" s="520"/>
      <c r="U38" s="1122"/>
      <c r="V38" s="520"/>
      <c r="W38" s="520"/>
      <c r="X38" s="520"/>
      <c r="Y38" s="520"/>
      <c r="Z38" s="1122"/>
      <c r="AA38" s="520"/>
      <c r="AB38" s="520"/>
      <c r="AC38" s="520"/>
      <c r="AD38" s="520"/>
      <c r="AE38" s="1122"/>
      <c r="AF38" s="520"/>
      <c r="AG38" s="520"/>
      <c r="AH38" s="520"/>
      <c r="AI38" s="520"/>
      <c r="AJ38" s="1122"/>
      <c r="AK38" s="520"/>
      <c r="AL38" s="520"/>
      <c r="AM38" s="520"/>
      <c r="AN38" s="520"/>
      <c r="AO38" s="1122"/>
      <c r="AP38" s="520"/>
      <c r="AQ38" s="520"/>
      <c r="AR38" s="520"/>
      <c r="AS38" s="520"/>
      <c r="AT38" s="1123">
        <v>8.01</v>
      </c>
      <c r="AU38" s="526"/>
      <c r="AV38" s="526"/>
      <c r="AW38" s="526"/>
      <c r="AX38" s="526"/>
      <c r="AY38" s="1124"/>
      <c r="AZ38" s="526"/>
      <c r="BA38" s="526"/>
      <c r="BB38" s="526"/>
      <c r="BC38" s="526"/>
      <c r="BD38" s="1124"/>
      <c r="BE38" s="520"/>
      <c r="BF38" s="520"/>
      <c r="BG38" s="520"/>
      <c r="BH38" s="520"/>
      <c r="BI38" s="1122"/>
      <c r="BJ38" s="520"/>
      <c r="BK38" s="520"/>
      <c r="BL38" s="520"/>
      <c r="BM38" s="520"/>
      <c r="BN38" s="1122"/>
      <c r="BO38" s="520"/>
      <c r="BP38" s="520"/>
      <c r="BQ38" s="520"/>
      <c r="BR38" s="520"/>
      <c r="BS38" s="1122"/>
      <c r="BT38" s="728"/>
      <c r="BU38" s="520"/>
      <c r="BV38" s="520"/>
      <c r="BW38" s="520"/>
      <c r="BX38" s="1122"/>
      <c r="BY38" s="520"/>
      <c r="BZ38" s="520"/>
      <c r="CA38" s="520"/>
      <c r="CB38" s="520"/>
      <c r="CC38" s="1122"/>
      <c r="CD38" s="1122"/>
      <c r="CE38" s="1122"/>
      <c r="CF38" s="1122"/>
      <c r="CG38" s="519"/>
    </row>
    <row r="39" spans="1:85" s="614" customFormat="1" x14ac:dyDescent="0.3">
      <c r="A39" s="522"/>
      <c r="B39" s="352"/>
      <c r="C39" s="1094"/>
      <c r="D39" s="1094"/>
      <c r="E39" s="1094"/>
      <c r="F39" s="1094"/>
      <c r="G39" s="197"/>
      <c r="H39" s="197"/>
      <c r="I39" s="197"/>
      <c r="J39" s="197"/>
      <c r="K39" s="1094"/>
      <c r="L39" s="197"/>
      <c r="M39" s="197"/>
      <c r="N39" s="197"/>
      <c r="O39" s="197"/>
      <c r="P39" s="1094"/>
      <c r="Q39" s="197"/>
      <c r="R39" s="197"/>
      <c r="S39" s="197"/>
      <c r="T39" s="197"/>
      <c r="U39" s="1094"/>
      <c r="V39" s="197"/>
      <c r="W39" s="197"/>
      <c r="X39" s="197"/>
      <c r="Y39" s="197"/>
      <c r="Z39" s="1094"/>
      <c r="AA39" s="197"/>
      <c r="AB39" s="197"/>
      <c r="AC39" s="197"/>
      <c r="AD39" s="197"/>
      <c r="AE39" s="1094"/>
      <c r="AF39" s="197"/>
      <c r="AG39" s="197"/>
      <c r="AH39" s="197"/>
      <c r="AI39" s="197"/>
      <c r="AJ39" s="1094"/>
      <c r="AK39" s="197"/>
      <c r="AL39" s="197"/>
      <c r="AM39" s="197"/>
      <c r="AN39" s="197"/>
      <c r="AO39" s="1094"/>
      <c r="AP39" s="197"/>
      <c r="AQ39" s="197"/>
      <c r="AR39" s="197"/>
      <c r="AS39" s="197"/>
      <c r="AT39" s="198"/>
      <c r="AU39" s="194"/>
      <c r="AV39" s="194"/>
      <c r="AW39" s="194"/>
      <c r="AX39" s="194"/>
      <c r="AY39" s="198"/>
      <c r="AZ39" s="194"/>
      <c r="BA39" s="194"/>
      <c r="BB39" s="194"/>
      <c r="BC39" s="194"/>
      <c r="BD39" s="198"/>
      <c r="BE39" s="197"/>
      <c r="BF39" s="197"/>
      <c r="BG39" s="197"/>
      <c r="BH39" s="197"/>
      <c r="BI39" s="1094"/>
      <c r="BJ39" s="197"/>
      <c r="BK39" s="197"/>
      <c r="BL39" s="197"/>
      <c r="BM39" s="197"/>
      <c r="BN39" s="1094"/>
      <c r="BO39" s="197"/>
      <c r="BP39" s="197"/>
      <c r="BQ39" s="197"/>
      <c r="BR39" s="197"/>
      <c r="BS39" s="1094"/>
      <c r="BT39" s="727"/>
      <c r="BU39" s="197"/>
      <c r="BV39" s="197"/>
      <c r="BW39" s="197"/>
      <c r="BX39" s="1094"/>
      <c r="BY39" s="197"/>
      <c r="BZ39" s="197"/>
      <c r="CA39" s="197"/>
      <c r="CB39" s="197"/>
      <c r="CC39" s="1094"/>
      <c r="CD39" s="1094"/>
      <c r="CE39" s="1094"/>
      <c r="CF39" s="1094"/>
      <c r="CG39" s="349"/>
    </row>
    <row r="40" spans="1:85" s="613" customFormat="1" x14ac:dyDescent="0.3">
      <c r="A40" s="478" t="s">
        <v>2002</v>
      </c>
      <c r="B40" s="523"/>
      <c r="C40" s="78"/>
      <c r="D40" s="78"/>
      <c r="E40" s="78"/>
      <c r="F40" s="78"/>
      <c r="G40" s="774"/>
      <c r="H40" s="774"/>
      <c r="I40" s="774"/>
      <c r="J40" s="774"/>
      <c r="K40" s="78"/>
      <c r="L40" s="774"/>
      <c r="M40" s="774"/>
      <c r="N40" s="774"/>
      <c r="O40" s="774"/>
      <c r="P40" s="78"/>
      <c r="Q40" s="774"/>
      <c r="R40" s="774"/>
      <c r="S40" s="774"/>
      <c r="T40" s="774"/>
      <c r="U40" s="78"/>
      <c r="V40" s="774"/>
      <c r="W40" s="774"/>
      <c r="X40" s="774"/>
      <c r="Y40" s="774"/>
      <c r="Z40" s="78"/>
      <c r="AA40" s="774"/>
      <c r="AB40" s="774"/>
      <c r="AC40" s="774"/>
      <c r="AD40" s="774"/>
      <c r="AE40" s="78"/>
      <c r="AF40" s="774"/>
      <c r="AG40" s="774"/>
      <c r="AH40" s="774"/>
      <c r="AI40" s="774"/>
      <c r="AJ40" s="78"/>
      <c r="AK40" s="774"/>
      <c r="AL40" s="774"/>
      <c r="AM40" s="774"/>
      <c r="AN40" s="774"/>
      <c r="AO40" s="78"/>
      <c r="AP40" s="774"/>
      <c r="AQ40" s="774"/>
      <c r="AR40" s="774"/>
      <c r="AS40" s="774"/>
      <c r="AT40" s="1119">
        <v>56.314999999999998</v>
      </c>
      <c r="AU40" s="774"/>
      <c r="AV40" s="774"/>
      <c r="AW40" s="774"/>
      <c r="AX40" s="774"/>
      <c r="AY40" s="78"/>
      <c r="AZ40" s="774"/>
      <c r="BA40" s="774"/>
      <c r="BB40" s="774"/>
      <c r="BC40" s="774"/>
      <c r="BD40" s="78"/>
      <c r="BE40" s="774"/>
      <c r="BF40" s="774"/>
      <c r="BG40" s="774"/>
      <c r="BH40" s="774"/>
      <c r="BI40" s="78"/>
      <c r="BJ40" s="774"/>
      <c r="BK40" s="774"/>
      <c r="BL40" s="774"/>
      <c r="BM40" s="774"/>
      <c r="BN40" s="78"/>
      <c r="BO40" s="774"/>
      <c r="BP40" s="774"/>
      <c r="BQ40" s="774"/>
      <c r="BR40" s="774"/>
      <c r="BS40" s="78"/>
      <c r="BT40" s="775"/>
      <c r="BU40" s="774"/>
      <c r="BV40" s="774"/>
      <c r="BW40" s="774"/>
      <c r="BX40" s="78"/>
      <c r="BY40" s="774"/>
      <c r="BZ40" s="774"/>
      <c r="CA40" s="774"/>
      <c r="CB40" s="774"/>
      <c r="CC40" s="78"/>
      <c r="CD40" s="78"/>
      <c r="CE40" s="78"/>
      <c r="CF40" s="78"/>
      <c r="CG40" s="532"/>
    </row>
    <row r="41" spans="1:85" s="615" customFormat="1" x14ac:dyDescent="0.3">
      <c r="A41" s="522" t="s">
        <v>2001</v>
      </c>
      <c r="B41" s="521"/>
      <c r="C41" s="1122"/>
      <c r="D41" s="1122"/>
      <c r="E41" s="1122"/>
      <c r="F41" s="1122"/>
      <c r="G41" s="520"/>
      <c r="H41" s="520"/>
      <c r="I41" s="520"/>
      <c r="J41" s="520"/>
      <c r="K41" s="1122"/>
      <c r="L41" s="520"/>
      <c r="M41" s="520"/>
      <c r="N41" s="520"/>
      <c r="O41" s="520"/>
      <c r="P41" s="1122"/>
      <c r="Q41" s="520"/>
      <c r="R41" s="520"/>
      <c r="S41" s="520"/>
      <c r="T41" s="520"/>
      <c r="U41" s="1122"/>
      <c r="V41" s="520"/>
      <c r="W41" s="520"/>
      <c r="X41" s="520"/>
      <c r="Y41" s="520"/>
      <c r="Z41" s="1122"/>
      <c r="AA41" s="520"/>
      <c r="AB41" s="520"/>
      <c r="AC41" s="520"/>
      <c r="AD41" s="520"/>
      <c r="AE41" s="1122"/>
      <c r="AF41" s="520"/>
      <c r="AG41" s="520"/>
      <c r="AH41" s="520"/>
      <c r="AI41" s="520"/>
      <c r="AJ41" s="1122"/>
      <c r="AK41" s="520"/>
      <c r="AL41" s="520"/>
      <c r="AM41" s="520"/>
      <c r="AN41" s="520"/>
      <c r="AO41" s="1122"/>
      <c r="AP41" s="520"/>
      <c r="AQ41" s="520"/>
      <c r="AR41" s="520"/>
      <c r="AS41" s="520"/>
      <c r="AT41" s="1123">
        <v>11.1</v>
      </c>
      <c r="AU41" s="526"/>
      <c r="AV41" s="526"/>
      <c r="AW41" s="526"/>
      <c r="AX41" s="526"/>
      <c r="AY41" s="1124"/>
      <c r="AZ41" s="526"/>
      <c r="BA41" s="526"/>
      <c r="BB41" s="526"/>
      <c r="BC41" s="526"/>
      <c r="BD41" s="1124"/>
      <c r="BE41" s="520"/>
      <c r="BF41" s="520"/>
      <c r="BG41" s="520"/>
      <c r="BH41" s="520"/>
      <c r="BI41" s="1122"/>
      <c r="BJ41" s="520"/>
      <c r="BK41" s="520"/>
      <c r="BL41" s="520"/>
      <c r="BM41" s="520"/>
      <c r="BN41" s="1122"/>
      <c r="BO41" s="520"/>
      <c r="BP41" s="520"/>
      <c r="BQ41" s="520"/>
      <c r="BR41" s="520"/>
      <c r="BS41" s="1122"/>
      <c r="BT41" s="728"/>
      <c r="BU41" s="520"/>
      <c r="BV41" s="520"/>
      <c r="BW41" s="520"/>
      <c r="BX41" s="1122"/>
      <c r="BY41" s="520"/>
      <c r="BZ41" s="520"/>
      <c r="CA41" s="520"/>
      <c r="CB41" s="520"/>
      <c r="CC41" s="1122"/>
      <c r="CD41" s="1122"/>
      <c r="CE41" s="1122"/>
      <c r="CF41" s="1122"/>
      <c r="CG41" s="519"/>
    </row>
    <row r="42" spans="1:85" s="614" customFormat="1" x14ac:dyDescent="0.3">
      <c r="A42" s="522"/>
      <c r="B42" s="352"/>
      <c r="C42" s="1094"/>
      <c r="D42" s="1094"/>
      <c r="E42" s="1094"/>
      <c r="F42" s="1094"/>
      <c r="G42" s="197"/>
      <c r="H42" s="197"/>
      <c r="I42" s="197"/>
      <c r="J42" s="197"/>
      <c r="K42" s="1094"/>
      <c r="L42" s="197"/>
      <c r="M42" s="197"/>
      <c r="N42" s="197"/>
      <c r="O42" s="197"/>
      <c r="P42" s="1094"/>
      <c r="Q42" s="197"/>
      <c r="R42" s="197"/>
      <c r="S42" s="197"/>
      <c r="T42" s="197"/>
      <c r="U42" s="1094"/>
      <c r="V42" s="197"/>
      <c r="W42" s="197"/>
      <c r="X42" s="197"/>
      <c r="Y42" s="197"/>
      <c r="Z42" s="1094"/>
      <c r="AA42" s="197"/>
      <c r="AB42" s="197"/>
      <c r="AC42" s="197"/>
      <c r="AD42" s="197"/>
      <c r="AE42" s="1094"/>
      <c r="AF42" s="197"/>
      <c r="AG42" s="197"/>
      <c r="AH42" s="197"/>
      <c r="AI42" s="197"/>
      <c r="AJ42" s="1094"/>
      <c r="AK42" s="197"/>
      <c r="AL42" s="197"/>
      <c r="AM42" s="197"/>
      <c r="AN42" s="197"/>
      <c r="AO42" s="1094"/>
      <c r="AP42" s="197"/>
      <c r="AQ42" s="197"/>
      <c r="AR42" s="197"/>
      <c r="AS42" s="197"/>
      <c r="AT42" s="198"/>
      <c r="AU42" s="194"/>
      <c r="AV42" s="194"/>
      <c r="AW42" s="194"/>
      <c r="AX42" s="194"/>
      <c r="AY42" s="198"/>
      <c r="AZ42" s="194"/>
      <c r="BA42" s="194"/>
      <c r="BB42" s="194"/>
      <c r="BC42" s="194"/>
      <c r="BD42" s="198"/>
      <c r="BE42" s="197"/>
      <c r="BF42" s="197"/>
      <c r="BG42" s="197"/>
      <c r="BH42" s="197"/>
      <c r="BI42" s="1094"/>
      <c r="BJ42" s="197"/>
      <c r="BK42" s="197"/>
      <c r="BL42" s="197"/>
      <c r="BM42" s="197"/>
      <c r="BN42" s="1094"/>
      <c r="BO42" s="197"/>
      <c r="BP42" s="197"/>
      <c r="BQ42" s="197"/>
      <c r="BR42" s="197"/>
      <c r="BS42" s="1094"/>
      <c r="BT42" s="727"/>
      <c r="BU42" s="197"/>
      <c r="BV42" s="197"/>
      <c r="BW42" s="197"/>
      <c r="BX42" s="1094"/>
      <c r="BY42" s="197"/>
      <c r="BZ42" s="197"/>
      <c r="CA42" s="197"/>
      <c r="CB42" s="197"/>
      <c r="CC42" s="1094"/>
      <c r="CD42" s="1094"/>
      <c r="CE42" s="1094"/>
      <c r="CF42" s="1094"/>
      <c r="CG42" s="349"/>
    </row>
    <row r="43" spans="1:85" s="613" customFormat="1" x14ac:dyDescent="0.3">
      <c r="A43" s="478" t="s">
        <v>2000</v>
      </c>
      <c r="B43" s="523"/>
      <c r="C43" s="78"/>
      <c r="D43" s="78"/>
      <c r="E43" s="78"/>
      <c r="F43" s="78"/>
      <c r="G43" s="774"/>
      <c r="H43" s="774"/>
      <c r="I43" s="774"/>
      <c r="J43" s="774"/>
      <c r="K43" s="78"/>
      <c r="L43" s="774"/>
      <c r="M43" s="774"/>
      <c r="N43" s="774"/>
      <c r="O43" s="774"/>
      <c r="P43" s="78"/>
      <c r="Q43" s="774"/>
      <c r="R43" s="774"/>
      <c r="S43" s="774"/>
      <c r="T43" s="774"/>
      <c r="U43" s="78"/>
      <c r="V43" s="774"/>
      <c r="W43" s="774"/>
      <c r="X43" s="774"/>
      <c r="Y43" s="774"/>
      <c r="Z43" s="78"/>
      <c r="AA43" s="774"/>
      <c r="AB43" s="774"/>
      <c r="AC43" s="774"/>
      <c r="AD43" s="774"/>
      <c r="AE43" s="78"/>
      <c r="AF43" s="774"/>
      <c r="AG43" s="774"/>
      <c r="AH43" s="774"/>
      <c r="AI43" s="774"/>
      <c r="AJ43" s="78"/>
      <c r="AK43" s="774"/>
      <c r="AL43" s="774"/>
      <c r="AM43" s="774"/>
      <c r="AN43" s="774"/>
      <c r="AO43" s="78"/>
      <c r="AP43" s="774"/>
      <c r="AQ43" s="774"/>
      <c r="AR43" s="774"/>
      <c r="AS43" s="774"/>
      <c r="AT43" s="1119">
        <v>57.561</v>
      </c>
      <c r="AU43" s="774"/>
      <c r="AV43" s="774"/>
      <c r="AW43" s="774"/>
      <c r="AX43" s="774"/>
      <c r="AY43" s="78"/>
      <c r="AZ43" s="774"/>
      <c r="BA43" s="774"/>
      <c r="BB43" s="774"/>
      <c r="BC43" s="774"/>
      <c r="BD43" s="78"/>
      <c r="BE43" s="774"/>
      <c r="BF43" s="774"/>
      <c r="BG43" s="774"/>
      <c r="BH43" s="774"/>
      <c r="BI43" s="78"/>
      <c r="BJ43" s="774"/>
      <c r="BK43" s="774"/>
      <c r="BL43" s="774"/>
      <c r="BM43" s="774"/>
      <c r="BN43" s="78"/>
      <c r="BO43" s="774"/>
      <c r="BP43" s="774"/>
      <c r="BQ43" s="774"/>
      <c r="BR43" s="774"/>
      <c r="BS43" s="78"/>
      <c r="BT43" s="775"/>
      <c r="BU43" s="774"/>
      <c r="BV43" s="774"/>
      <c r="BW43" s="774"/>
      <c r="BX43" s="78"/>
      <c r="BY43" s="774"/>
      <c r="BZ43" s="774"/>
      <c r="CA43" s="774"/>
      <c r="CB43" s="774"/>
      <c r="CC43" s="78"/>
      <c r="CD43" s="78"/>
      <c r="CE43" s="78"/>
      <c r="CF43" s="78"/>
      <c r="CG43" s="532"/>
    </row>
    <row r="44" spans="1:85" s="615" customFormat="1" x14ac:dyDescent="0.3">
      <c r="A44" s="522" t="s">
        <v>1999</v>
      </c>
      <c r="B44" s="521"/>
      <c r="C44" s="1122"/>
      <c r="D44" s="1122"/>
      <c r="E44" s="1122"/>
      <c r="F44" s="1122"/>
      <c r="G44" s="520"/>
      <c r="H44" s="520"/>
      <c r="I44" s="520"/>
      <c r="J44" s="520"/>
      <c r="K44" s="1122"/>
      <c r="L44" s="520"/>
      <c r="M44" s="520"/>
      <c r="N44" s="520"/>
      <c r="O44" s="520"/>
      <c r="P44" s="1122"/>
      <c r="Q44" s="520"/>
      <c r="R44" s="520"/>
      <c r="S44" s="520"/>
      <c r="T44" s="520"/>
      <c r="U44" s="1122"/>
      <c r="V44" s="520"/>
      <c r="W44" s="520"/>
      <c r="X44" s="520"/>
      <c r="Y44" s="520"/>
      <c r="Z44" s="1122"/>
      <c r="AA44" s="520"/>
      <c r="AB44" s="520"/>
      <c r="AC44" s="520"/>
      <c r="AD44" s="520"/>
      <c r="AE44" s="1122"/>
      <c r="AF44" s="520"/>
      <c r="AG44" s="520"/>
      <c r="AH44" s="520"/>
      <c r="AI44" s="520"/>
      <c r="AJ44" s="1122"/>
      <c r="AK44" s="520"/>
      <c r="AL44" s="520"/>
      <c r="AM44" s="520"/>
      <c r="AN44" s="520"/>
      <c r="AO44" s="1122"/>
      <c r="AP44" s="520"/>
      <c r="AQ44" s="520"/>
      <c r="AR44" s="520"/>
      <c r="AS44" s="520"/>
      <c r="AT44" s="1123">
        <v>10.86</v>
      </c>
      <c r="AU44" s="526"/>
      <c r="AV44" s="526"/>
      <c r="AW44" s="526"/>
      <c r="AX44" s="526"/>
      <c r="AY44" s="1124"/>
      <c r="AZ44" s="526"/>
      <c r="BA44" s="526"/>
      <c r="BB44" s="526"/>
      <c r="BC44" s="526"/>
      <c r="BD44" s="1124"/>
      <c r="BE44" s="520"/>
      <c r="BF44" s="520"/>
      <c r="BG44" s="520"/>
      <c r="BH44" s="520"/>
      <c r="BI44" s="1122"/>
      <c r="BJ44" s="520"/>
      <c r="BK44" s="520"/>
      <c r="BL44" s="520"/>
      <c r="BM44" s="520"/>
      <c r="BN44" s="1122"/>
      <c r="BO44" s="520"/>
      <c r="BP44" s="520"/>
      <c r="BQ44" s="520"/>
      <c r="BR44" s="520"/>
      <c r="BS44" s="1122"/>
      <c r="BT44" s="728"/>
      <c r="BU44" s="520"/>
      <c r="BV44" s="520"/>
      <c r="BW44" s="520"/>
      <c r="BX44" s="1122"/>
      <c r="BY44" s="520"/>
      <c r="BZ44" s="520"/>
      <c r="CA44" s="520"/>
      <c r="CB44" s="520"/>
      <c r="CC44" s="1122"/>
      <c r="CD44" s="1122"/>
      <c r="CE44" s="1122"/>
      <c r="CF44" s="1122"/>
      <c r="CG44" s="519"/>
    </row>
    <row r="45" spans="1:85" s="614" customFormat="1" x14ac:dyDescent="0.3">
      <c r="A45" s="224"/>
      <c r="B45" s="352"/>
      <c r="C45" s="1094"/>
      <c r="D45" s="1094"/>
      <c r="E45" s="1094"/>
      <c r="F45" s="1094"/>
      <c r="G45" s="197"/>
      <c r="H45" s="197"/>
      <c r="I45" s="197"/>
      <c r="J45" s="197"/>
      <c r="K45" s="1094"/>
      <c r="L45" s="197"/>
      <c r="M45" s="197"/>
      <c r="N45" s="197"/>
      <c r="O45" s="197"/>
      <c r="P45" s="1094"/>
      <c r="Q45" s="197"/>
      <c r="R45" s="197"/>
      <c r="S45" s="197"/>
      <c r="T45" s="197"/>
      <c r="U45" s="1094"/>
      <c r="V45" s="197"/>
      <c r="W45" s="197"/>
      <c r="X45" s="197"/>
      <c r="Y45" s="197"/>
      <c r="Z45" s="1094"/>
      <c r="AA45" s="197"/>
      <c r="AB45" s="197"/>
      <c r="AC45" s="197"/>
      <c r="AD45" s="197"/>
      <c r="AE45" s="1094"/>
      <c r="AF45" s="197"/>
      <c r="AG45" s="197"/>
      <c r="AH45" s="197"/>
      <c r="AI45" s="197"/>
      <c r="AJ45" s="1094"/>
      <c r="AK45" s="197"/>
      <c r="AL45" s="197"/>
      <c r="AM45" s="197"/>
      <c r="AN45" s="197"/>
      <c r="AO45" s="1094"/>
      <c r="AP45" s="197"/>
      <c r="AQ45" s="197"/>
      <c r="AR45" s="197"/>
      <c r="AS45" s="197"/>
      <c r="AT45" s="198"/>
      <c r="AU45" s="194"/>
      <c r="AV45" s="194"/>
      <c r="AW45" s="194"/>
      <c r="AX45" s="194"/>
      <c r="AY45" s="198"/>
      <c r="AZ45" s="194"/>
      <c r="BA45" s="194"/>
      <c r="BB45" s="194"/>
      <c r="BC45" s="194"/>
      <c r="BD45" s="198"/>
      <c r="BE45" s="197"/>
      <c r="BF45" s="197"/>
      <c r="BG45" s="197"/>
      <c r="BH45" s="197"/>
      <c r="BI45" s="1094"/>
      <c r="BJ45" s="197"/>
      <c r="BK45" s="197"/>
      <c r="BL45" s="197"/>
      <c r="BM45" s="197"/>
      <c r="BN45" s="1094"/>
      <c r="BO45" s="197"/>
      <c r="BP45" s="197"/>
      <c r="BQ45" s="197"/>
      <c r="BR45" s="197"/>
      <c r="BS45" s="1094"/>
      <c r="BT45" s="727"/>
      <c r="BU45" s="197"/>
      <c r="BV45" s="197"/>
      <c r="BW45" s="197"/>
      <c r="BX45" s="1094"/>
      <c r="BY45" s="197"/>
      <c r="BZ45" s="197"/>
      <c r="CA45" s="197"/>
      <c r="CB45" s="197"/>
      <c r="CC45" s="1094"/>
      <c r="CD45" s="1094"/>
      <c r="CE45" s="1094"/>
      <c r="CF45" s="1094"/>
      <c r="CG45" s="349"/>
    </row>
    <row r="46" spans="1:85" s="613" customFormat="1" x14ac:dyDescent="0.3">
      <c r="A46" s="478" t="s">
        <v>1998</v>
      </c>
      <c r="B46" s="523"/>
      <c r="C46" s="78"/>
      <c r="D46" s="78"/>
      <c r="E46" s="78"/>
      <c r="F46" s="78"/>
      <c r="G46" s="774"/>
      <c r="H46" s="774"/>
      <c r="I46" s="774"/>
      <c r="J46" s="774"/>
      <c r="K46" s="78"/>
      <c r="L46" s="774"/>
      <c r="M46" s="774"/>
      <c r="N46" s="774"/>
      <c r="O46" s="774"/>
      <c r="P46" s="78"/>
      <c r="Q46" s="774"/>
      <c r="R46" s="774"/>
      <c r="S46" s="774"/>
      <c r="T46" s="774"/>
      <c r="U46" s="78"/>
      <c r="V46" s="774"/>
      <c r="W46" s="774"/>
      <c r="X46" s="774"/>
      <c r="Y46" s="774"/>
      <c r="Z46" s="78"/>
      <c r="AA46" s="774"/>
      <c r="AB46" s="774"/>
      <c r="AC46" s="774"/>
      <c r="AD46" s="774"/>
      <c r="AE46" s="78"/>
      <c r="AF46" s="774"/>
      <c r="AG46" s="774"/>
      <c r="AH46" s="774"/>
      <c r="AI46" s="774"/>
      <c r="AJ46" s="78"/>
      <c r="AK46" s="774"/>
      <c r="AL46" s="774"/>
      <c r="AM46" s="774"/>
      <c r="AN46" s="774"/>
      <c r="AO46" s="78"/>
      <c r="AP46" s="774"/>
      <c r="AQ46" s="774"/>
      <c r="AR46" s="774"/>
      <c r="AS46" s="774"/>
      <c r="AT46" s="1119">
        <v>47.551000000000002</v>
      </c>
      <c r="AU46" s="774"/>
      <c r="AV46" s="774"/>
      <c r="AW46" s="774"/>
      <c r="AX46" s="774"/>
      <c r="AY46" s="78"/>
      <c r="AZ46" s="774"/>
      <c r="BA46" s="774"/>
      <c r="BB46" s="774"/>
      <c r="BC46" s="774"/>
      <c r="BD46" s="78"/>
      <c r="BE46" s="774"/>
      <c r="BF46" s="774"/>
      <c r="BG46" s="774"/>
      <c r="BH46" s="774"/>
      <c r="BI46" s="78"/>
      <c r="BJ46" s="774"/>
      <c r="BK46" s="774"/>
      <c r="BL46" s="774"/>
      <c r="BM46" s="774"/>
      <c r="BN46" s="78"/>
      <c r="BO46" s="774"/>
      <c r="BP46" s="774"/>
      <c r="BQ46" s="774"/>
      <c r="BR46" s="774"/>
      <c r="BS46" s="78"/>
      <c r="BT46" s="775"/>
      <c r="BU46" s="774"/>
      <c r="BV46" s="774"/>
      <c r="BW46" s="774"/>
      <c r="BX46" s="78"/>
      <c r="BY46" s="774"/>
      <c r="BZ46" s="774"/>
      <c r="CA46" s="774"/>
      <c r="CB46" s="774"/>
      <c r="CC46" s="78"/>
      <c r="CD46" s="78"/>
      <c r="CE46" s="78"/>
      <c r="CF46" s="78"/>
      <c r="CG46" s="532"/>
    </row>
    <row r="47" spans="1:85" s="615" customFormat="1" x14ac:dyDescent="0.3">
      <c r="A47" s="522" t="s">
        <v>1997</v>
      </c>
      <c r="B47" s="521"/>
      <c r="C47" s="1122"/>
      <c r="D47" s="1122"/>
      <c r="E47" s="1122"/>
      <c r="F47" s="1122"/>
      <c r="G47" s="520"/>
      <c r="H47" s="520"/>
      <c r="I47" s="520"/>
      <c r="J47" s="520"/>
      <c r="K47" s="1122"/>
      <c r="L47" s="520"/>
      <c r="M47" s="520"/>
      <c r="N47" s="520"/>
      <c r="O47" s="520"/>
      <c r="P47" s="1122"/>
      <c r="Q47" s="520"/>
      <c r="R47" s="520"/>
      <c r="S47" s="520"/>
      <c r="T47" s="520"/>
      <c r="U47" s="1122"/>
      <c r="V47" s="520"/>
      <c r="W47" s="520"/>
      <c r="X47" s="520"/>
      <c r="Y47" s="520"/>
      <c r="Z47" s="1122"/>
      <c r="AA47" s="520"/>
      <c r="AB47" s="520"/>
      <c r="AC47" s="520"/>
      <c r="AD47" s="520"/>
      <c r="AE47" s="1122"/>
      <c r="AF47" s="520"/>
      <c r="AG47" s="520"/>
      <c r="AH47" s="520"/>
      <c r="AI47" s="520"/>
      <c r="AJ47" s="1122"/>
      <c r="AK47" s="520"/>
      <c r="AL47" s="520"/>
      <c r="AM47" s="520"/>
      <c r="AN47" s="520"/>
      <c r="AO47" s="1122"/>
      <c r="AP47" s="520"/>
      <c r="AQ47" s="520"/>
      <c r="AR47" s="520"/>
      <c r="AS47" s="520"/>
      <c r="AT47" s="1123">
        <v>13.14</v>
      </c>
      <c r="AU47" s="526"/>
      <c r="AV47" s="526"/>
      <c r="AW47" s="526"/>
      <c r="AX47" s="526"/>
      <c r="AY47" s="1124"/>
      <c r="AZ47" s="526"/>
      <c r="BA47" s="526"/>
      <c r="BB47" s="526"/>
      <c r="BC47" s="526"/>
      <c r="BD47" s="1124"/>
      <c r="BE47" s="520"/>
      <c r="BF47" s="520"/>
      <c r="BG47" s="520"/>
      <c r="BH47" s="520"/>
      <c r="BI47" s="1122"/>
      <c r="BJ47" s="520"/>
      <c r="BK47" s="520"/>
      <c r="BL47" s="520"/>
      <c r="BM47" s="520"/>
      <c r="BN47" s="1122"/>
      <c r="BO47" s="520"/>
      <c r="BP47" s="520"/>
      <c r="BQ47" s="520"/>
      <c r="BR47" s="520"/>
      <c r="BS47" s="1122"/>
      <c r="BT47" s="728"/>
      <c r="BU47" s="520"/>
      <c r="BV47" s="520"/>
      <c r="BW47" s="520"/>
      <c r="BX47" s="1122"/>
      <c r="BY47" s="520"/>
      <c r="BZ47" s="520"/>
      <c r="CA47" s="520"/>
      <c r="CB47" s="520"/>
      <c r="CC47" s="1122"/>
      <c r="CD47" s="1122"/>
      <c r="CE47" s="1122"/>
      <c r="CF47" s="1122"/>
      <c r="CG47" s="519"/>
    </row>
    <row r="48" spans="1:85" s="614" customFormat="1" x14ac:dyDescent="0.3">
      <c r="A48" s="522"/>
      <c r="B48" s="352"/>
      <c r="C48" s="1094"/>
      <c r="D48" s="1094"/>
      <c r="E48" s="1094"/>
      <c r="F48" s="1094"/>
      <c r="G48" s="197"/>
      <c r="H48" s="197"/>
      <c r="I48" s="197"/>
      <c r="J48" s="197"/>
      <c r="K48" s="1094"/>
      <c r="L48" s="197"/>
      <c r="M48" s="197"/>
      <c r="N48" s="197"/>
      <c r="O48" s="197"/>
      <c r="P48" s="1094"/>
      <c r="Q48" s="197"/>
      <c r="R48" s="197"/>
      <c r="S48" s="197"/>
      <c r="T48" s="197"/>
      <c r="U48" s="1094"/>
      <c r="V48" s="197"/>
      <c r="W48" s="197"/>
      <c r="X48" s="197"/>
      <c r="Y48" s="197"/>
      <c r="Z48" s="1094"/>
      <c r="AA48" s="197"/>
      <c r="AB48" s="197"/>
      <c r="AC48" s="197"/>
      <c r="AD48" s="197"/>
      <c r="AE48" s="1094"/>
      <c r="AF48" s="197"/>
      <c r="AG48" s="197"/>
      <c r="AH48" s="197"/>
      <c r="AI48" s="197"/>
      <c r="AJ48" s="1094"/>
      <c r="AK48" s="197"/>
      <c r="AL48" s="197"/>
      <c r="AM48" s="197"/>
      <c r="AN48" s="197"/>
      <c r="AO48" s="1094"/>
      <c r="AP48" s="197"/>
      <c r="AQ48" s="197"/>
      <c r="AR48" s="197"/>
      <c r="AS48" s="197"/>
      <c r="AT48" s="198"/>
      <c r="AU48" s="194"/>
      <c r="AV48" s="194"/>
      <c r="AW48" s="194"/>
      <c r="AX48" s="194"/>
      <c r="AY48" s="198"/>
      <c r="AZ48" s="194"/>
      <c r="BA48" s="194"/>
      <c r="BB48" s="194"/>
      <c r="BC48" s="194"/>
      <c r="BD48" s="198"/>
      <c r="BE48" s="197"/>
      <c r="BF48" s="197"/>
      <c r="BG48" s="197"/>
      <c r="BH48" s="197"/>
      <c r="BI48" s="1094"/>
      <c r="BJ48" s="197"/>
      <c r="BK48" s="197"/>
      <c r="BL48" s="197"/>
      <c r="BM48" s="197"/>
      <c r="BN48" s="1094"/>
      <c r="BO48" s="197"/>
      <c r="BP48" s="197"/>
      <c r="BQ48" s="197"/>
      <c r="BR48" s="197"/>
      <c r="BS48" s="1094"/>
      <c r="BT48" s="727"/>
      <c r="BU48" s="197"/>
      <c r="BV48" s="197"/>
      <c r="BW48" s="197"/>
      <c r="BX48" s="1094"/>
      <c r="BY48" s="197"/>
      <c r="BZ48" s="197"/>
      <c r="CA48" s="197"/>
      <c r="CB48" s="197"/>
      <c r="CC48" s="1094"/>
      <c r="CD48" s="1094"/>
      <c r="CE48" s="1094"/>
      <c r="CF48" s="1094"/>
      <c r="CG48" s="349"/>
    </row>
    <row r="49" spans="1:85" s="613" customFormat="1" x14ac:dyDescent="0.3">
      <c r="A49" s="478" t="s">
        <v>1996</v>
      </c>
      <c r="B49" s="523"/>
      <c r="C49" s="78"/>
      <c r="D49" s="78"/>
      <c r="E49" s="78"/>
      <c r="F49" s="78"/>
      <c r="G49" s="774"/>
      <c r="H49" s="774"/>
      <c r="I49" s="774"/>
      <c r="J49" s="774"/>
      <c r="K49" s="78"/>
      <c r="L49" s="774"/>
      <c r="M49" s="774"/>
      <c r="N49" s="774"/>
      <c r="O49" s="774"/>
      <c r="P49" s="78"/>
      <c r="Q49" s="774"/>
      <c r="R49" s="774"/>
      <c r="S49" s="774"/>
      <c r="T49" s="774"/>
      <c r="U49" s="78"/>
      <c r="V49" s="774"/>
      <c r="W49" s="774"/>
      <c r="X49" s="774"/>
      <c r="Y49" s="774"/>
      <c r="Z49" s="78"/>
      <c r="AA49" s="774"/>
      <c r="AB49" s="774"/>
      <c r="AC49" s="774"/>
      <c r="AD49" s="774"/>
      <c r="AE49" s="78"/>
      <c r="AF49" s="774"/>
      <c r="AG49" s="774"/>
      <c r="AH49" s="774"/>
      <c r="AI49" s="774"/>
      <c r="AJ49" s="78"/>
      <c r="AK49" s="774"/>
      <c r="AL49" s="774"/>
      <c r="AM49" s="774"/>
      <c r="AN49" s="774"/>
      <c r="AO49" s="78"/>
      <c r="AP49" s="774"/>
      <c r="AQ49" s="774"/>
      <c r="AR49" s="774"/>
      <c r="AS49" s="774"/>
      <c r="AT49" s="1119">
        <v>35.399000000000001</v>
      </c>
      <c r="AU49" s="774"/>
      <c r="AV49" s="774"/>
      <c r="AW49" s="774"/>
      <c r="AX49" s="774"/>
      <c r="AY49" s="78"/>
      <c r="AZ49" s="774"/>
      <c r="BA49" s="774"/>
      <c r="BB49" s="774"/>
      <c r="BC49" s="774"/>
      <c r="BD49" s="78"/>
      <c r="BE49" s="774"/>
      <c r="BF49" s="774"/>
      <c r="BG49" s="774"/>
      <c r="BH49" s="774"/>
      <c r="BI49" s="78"/>
      <c r="BJ49" s="774"/>
      <c r="BK49" s="774"/>
      <c r="BL49" s="774"/>
      <c r="BM49" s="774"/>
      <c r="BN49" s="78"/>
      <c r="BO49" s="774"/>
      <c r="BP49" s="774"/>
      <c r="BQ49" s="774"/>
      <c r="BR49" s="774"/>
      <c r="BS49" s="78"/>
      <c r="BT49" s="775"/>
      <c r="BU49" s="774"/>
      <c r="BV49" s="774"/>
      <c r="BW49" s="774"/>
      <c r="BX49" s="78"/>
      <c r="BY49" s="774"/>
      <c r="BZ49" s="774"/>
      <c r="CA49" s="774"/>
      <c r="CB49" s="774"/>
      <c r="CC49" s="78"/>
      <c r="CD49" s="78"/>
      <c r="CE49" s="78"/>
      <c r="CF49" s="78"/>
      <c r="CG49" s="532"/>
    </row>
    <row r="50" spans="1:85" s="615" customFormat="1" x14ac:dyDescent="0.3">
      <c r="A50" s="522" t="s">
        <v>1995</v>
      </c>
      <c r="B50" s="521"/>
      <c r="C50" s="1122"/>
      <c r="D50" s="1122"/>
      <c r="E50" s="1122"/>
      <c r="F50" s="1122"/>
      <c r="G50" s="520"/>
      <c r="H50" s="520"/>
      <c r="I50" s="520"/>
      <c r="J50" s="520"/>
      <c r="K50" s="1122"/>
      <c r="L50" s="520"/>
      <c r="M50" s="520"/>
      <c r="N50" s="520"/>
      <c r="O50" s="520"/>
      <c r="P50" s="1122"/>
      <c r="Q50" s="520"/>
      <c r="R50" s="520"/>
      <c r="S50" s="520"/>
      <c r="T50" s="520"/>
      <c r="U50" s="1122"/>
      <c r="V50" s="520"/>
      <c r="W50" s="520"/>
      <c r="X50" s="520"/>
      <c r="Y50" s="520"/>
      <c r="Z50" s="1122"/>
      <c r="AA50" s="520"/>
      <c r="AB50" s="520"/>
      <c r="AC50" s="520"/>
      <c r="AD50" s="520"/>
      <c r="AE50" s="1122"/>
      <c r="AF50" s="520"/>
      <c r="AG50" s="520"/>
      <c r="AH50" s="520"/>
      <c r="AI50" s="520"/>
      <c r="AJ50" s="1122"/>
      <c r="AK50" s="520"/>
      <c r="AL50" s="520"/>
      <c r="AM50" s="520"/>
      <c r="AN50" s="520"/>
      <c r="AO50" s="1122"/>
      <c r="AP50" s="520"/>
      <c r="AQ50" s="520"/>
      <c r="AR50" s="520"/>
      <c r="AS50" s="520"/>
      <c r="AT50" s="1123">
        <v>23.54</v>
      </c>
      <c r="AU50" s="526"/>
      <c r="AV50" s="526"/>
      <c r="AW50" s="526"/>
      <c r="AX50" s="526"/>
      <c r="AY50" s="1124"/>
      <c r="AZ50" s="526"/>
      <c r="BA50" s="526"/>
      <c r="BB50" s="526"/>
      <c r="BC50" s="526"/>
      <c r="BD50" s="1124"/>
      <c r="BE50" s="520"/>
      <c r="BF50" s="520"/>
      <c r="BG50" s="520"/>
      <c r="BH50" s="520"/>
      <c r="BI50" s="1122"/>
      <c r="BJ50" s="520"/>
      <c r="BK50" s="520"/>
      <c r="BL50" s="520"/>
      <c r="BM50" s="520"/>
      <c r="BN50" s="1122"/>
      <c r="BO50" s="520"/>
      <c r="BP50" s="520"/>
      <c r="BQ50" s="520"/>
      <c r="BR50" s="520"/>
      <c r="BS50" s="1122"/>
      <c r="BT50" s="728"/>
      <c r="BU50" s="520"/>
      <c r="BV50" s="520"/>
      <c r="BW50" s="520"/>
      <c r="BX50" s="1122"/>
      <c r="BY50" s="520"/>
      <c r="BZ50" s="520"/>
      <c r="CA50" s="520"/>
      <c r="CB50" s="520"/>
      <c r="CC50" s="1122"/>
      <c r="CD50" s="1122"/>
      <c r="CE50" s="1122"/>
      <c r="CF50" s="1122"/>
      <c r="CG50" s="519"/>
    </row>
    <row r="51" spans="1:85" s="614" customFormat="1" x14ac:dyDescent="0.3">
      <c r="A51" s="522"/>
      <c r="B51" s="352"/>
      <c r="C51" s="1094"/>
      <c r="D51" s="1094"/>
      <c r="E51" s="1094"/>
      <c r="F51" s="1094"/>
      <c r="G51" s="197"/>
      <c r="H51" s="197"/>
      <c r="I51" s="197"/>
      <c r="J51" s="197"/>
      <c r="K51" s="1094"/>
      <c r="L51" s="197"/>
      <c r="M51" s="197"/>
      <c r="N51" s="197"/>
      <c r="O51" s="197"/>
      <c r="P51" s="1094"/>
      <c r="Q51" s="197"/>
      <c r="R51" s="197"/>
      <c r="S51" s="197"/>
      <c r="T51" s="197"/>
      <c r="U51" s="1094"/>
      <c r="V51" s="197"/>
      <c r="W51" s="197"/>
      <c r="X51" s="197"/>
      <c r="Y51" s="197"/>
      <c r="Z51" s="1094"/>
      <c r="AA51" s="197"/>
      <c r="AB51" s="197"/>
      <c r="AC51" s="197"/>
      <c r="AD51" s="197"/>
      <c r="AE51" s="1094"/>
      <c r="AF51" s="197"/>
      <c r="AG51" s="197"/>
      <c r="AH51" s="197"/>
      <c r="AI51" s="197"/>
      <c r="AJ51" s="1094"/>
      <c r="AK51" s="197"/>
      <c r="AL51" s="197"/>
      <c r="AM51" s="197"/>
      <c r="AN51" s="197"/>
      <c r="AO51" s="1094"/>
      <c r="AP51" s="197"/>
      <c r="AQ51" s="197"/>
      <c r="AR51" s="197"/>
      <c r="AS51" s="197"/>
      <c r="AT51" s="198"/>
      <c r="AU51" s="194"/>
      <c r="AV51" s="194"/>
      <c r="AW51" s="194"/>
      <c r="AX51" s="194"/>
      <c r="AY51" s="198"/>
      <c r="AZ51" s="194"/>
      <c r="BA51" s="194"/>
      <c r="BB51" s="194"/>
      <c r="BC51" s="194"/>
      <c r="BD51" s="198"/>
      <c r="BE51" s="197"/>
      <c r="BF51" s="197"/>
      <c r="BG51" s="197"/>
      <c r="BH51" s="197"/>
      <c r="BI51" s="1094"/>
      <c r="BJ51" s="197"/>
      <c r="BK51" s="197"/>
      <c r="BL51" s="197"/>
      <c r="BM51" s="197"/>
      <c r="BN51" s="1094"/>
      <c r="BO51" s="197"/>
      <c r="BP51" s="197"/>
      <c r="BQ51" s="197"/>
      <c r="BR51" s="197"/>
      <c r="BS51" s="1094"/>
      <c r="BT51" s="727"/>
      <c r="BU51" s="197"/>
      <c r="BV51" s="197"/>
      <c r="BW51" s="197"/>
      <c r="BX51" s="1094"/>
      <c r="BY51" s="197"/>
      <c r="BZ51" s="197"/>
      <c r="CA51" s="197"/>
      <c r="CB51" s="197"/>
      <c r="CC51" s="1094"/>
      <c r="CD51" s="1094"/>
      <c r="CE51" s="1094"/>
      <c r="CF51" s="1094"/>
      <c r="CG51" s="349"/>
    </row>
    <row r="52" spans="1:85" s="613" customFormat="1" x14ac:dyDescent="0.3">
      <c r="A52" s="478" t="s">
        <v>1994</v>
      </c>
      <c r="B52" s="523"/>
      <c r="C52" s="78"/>
      <c r="D52" s="78"/>
      <c r="E52" s="78"/>
      <c r="F52" s="78"/>
      <c r="G52" s="774"/>
      <c r="H52" s="774"/>
      <c r="I52" s="774"/>
      <c r="J52" s="774"/>
      <c r="K52" s="78"/>
      <c r="L52" s="774"/>
      <c r="M52" s="774"/>
      <c r="N52" s="774"/>
      <c r="O52" s="774"/>
      <c r="P52" s="78"/>
      <c r="Q52" s="774"/>
      <c r="R52" s="774"/>
      <c r="S52" s="774"/>
      <c r="T52" s="774"/>
      <c r="U52" s="78"/>
      <c r="V52" s="774"/>
      <c r="W52" s="774"/>
      <c r="X52" s="774"/>
      <c r="Y52" s="774"/>
      <c r="Z52" s="78"/>
      <c r="AA52" s="774"/>
      <c r="AB52" s="774"/>
      <c r="AC52" s="774"/>
      <c r="AD52" s="774"/>
      <c r="AE52" s="78"/>
      <c r="AF52" s="774"/>
      <c r="AG52" s="774"/>
      <c r="AH52" s="774"/>
      <c r="AI52" s="774"/>
      <c r="AJ52" s="78"/>
      <c r="AK52" s="774"/>
      <c r="AL52" s="774"/>
      <c r="AM52" s="774"/>
      <c r="AN52" s="774"/>
      <c r="AO52" s="78"/>
      <c r="AP52" s="774"/>
      <c r="AQ52" s="774"/>
      <c r="AR52" s="774"/>
      <c r="AS52" s="774"/>
      <c r="AT52" s="1119">
        <v>30.806999999999999</v>
      </c>
      <c r="AU52" s="774"/>
      <c r="AV52" s="774"/>
      <c r="AW52" s="774"/>
      <c r="AX52" s="774"/>
      <c r="AY52" s="78"/>
      <c r="AZ52" s="774"/>
      <c r="BA52" s="774"/>
      <c r="BB52" s="774"/>
      <c r="BC52" s="774"/>
      <c r="BD52" s="78"/>
      <c r="BE52" s="774"/>
      <c r="BF52" s="774"/>
      <c r="BG52" s="774"/>
      <c r="BH52" s="774"/>
      <c r="BI52" s="78"/>
      <c r="BJ52" s="774"/>
      <c r="BK52" s="774"/>
      <c r="BL52" s="774"/>
      <c r="BM52" s="774"/>
      <c r="BN52" s="78"/>
      <c r="BO52" s="774"/>
      <c r="BP52" s="774"/>
      <c r="BQ52" s="774"/>
      <c r="BR52" s="774"/>
      <c r="BS52" s="78"/>
      <c r="BT52" s="775"/>
      <c r="BU52" s="774"/>
      <c r="BV52" s="774"/>
      <c r="BW52" s="774"/>
      <c r="BX52" s="78"/>
      <c r="BY52" s="774"/>
      <c r="BZ52" s="774"/>
      <c r="CA52" s="774"/>
      <c r="CB52" s="774"/>
      <c r="CC52" s="78"/>
      <c r="CD52" s="78"/>
      <c r="CE52" s="78"/>
      <c r="CF52" s="78"/>
      <c r="CG52" s="532"/>
    </row>
    <row r="53" spans="1:85" s="615" customFormat="1" x14ac:dyDescent="0.3">
      <c r="A53" s="522" t="s">
        <v>1993</v>
      </c>
      <c r="B53" s="521"/>
      <c r="C53" s="1122"/>
      <c r="D53" s="1122"/>
      <c r="E53" s="1122"/>
      <c r="F53" s="1122"/>
      <c r="G53" s="520"/>
      <c r="H53" s="520"/>
      <c r="I53" s="520"/>
      <c r="J53" s="520"/>
      <c r="K53" s="1122"/>
      <c r="L53" s="520"/>
      <c r="M53" s="520"/>
      <c r="N53" s="520"/>
      <c r="O53" s="520"/>
      <c r="P53" s="1122"/>
      <c r="Q53" s="520"/>
      <c r="R53" s="520"/>
      <c r="S53" s="520"/>
      <c r="T53" s="520"/>
      <c r="U53" s="1122"/>
      <c r="V53" s="520"/>
      <c r="W53" s="520"/>
      <c r="X53" s="520"/>
      <c r="Y53" s="520"/>
      <c r="Z53" s="1122"/>
      <c r="AA53" s="520"/>
      <c r="AB53" s="520"/>
      <c r="AC53" s="520"/>
      <c r="AD53" s="520"/>
      <c r="AE53" s="1122"/>
      <c r="AF53" s="520"/>
      <c r="AG53" s="520"/>
      <c r="AH53" s="520"/>
      <c r="AI53" s="520"/>
      <c r="AJ53" s="1122"/>
      <c r="AK53" s="520"/>
      <c r="AL53" s="520"/>
      <c r="AM53" s="520"/>
      <c r="AN53" s="520"/>
      <c r="AO53" s="1122"/>
      <c r="AP53" s="520"/>
      <c r="AQ53" s="520"/>
      <c r="AR53" s="520"/>
      <c r="AS53" s="520"/>
      <c r="AT53" s="1123">
        <v>27.05</v>
      </c>
      <c r="AU53" s="526"/>
      <c r="AV53" s="526"/>
      <c r="AW53" s="526"/>
      <c r="AX53" s="526"/>
      <c r="AY53" s="1124"/>
      <c r="AZ53" s="526"/>
      <c r="BA53" s="526"/>
      <c r="BB53" s="526"/>
      <c r="BC53" s="526"/>
      <c r="BD53" s="1124"/>
      <c r="BE53" s="520"/>
      <c r="BF53" s="520"/>
      <c r="BG53" s="520"/>
      <c r="BH53" s="520"/>
      <c r="BI53" s="1122"/>
      <c r="BJ53" s="520"/>
      <c r="BK53" s="520"/>
      <c r="BL53" s="520"/>
      <c r="BM53" s="520"/>
      <c r="BN53" s="1122"/>
      <c r="BO53" s="520"/>
      <c r="BP53" s="520"/>
      <c r="BQ53" s="520"/>
      <c r="BR53" s="520"/>
      <c r="BS53" s="1122"/>
      <c r="BT53" s="728"/>
      <c r="BU53" s="520"/>
      <c r="BV53" s="520"/>
      <c r="BW53" s="520"/>
      <c r="BX53" s="1122"/>
      <c r="BY53" s="520"/>
      <c r="BZ53" s="520"/>
      <c r="CA53" s="520"/>
      <c r="CB53" s="520"/>
      <c r="CC53" s="1122"/>
      <c r="CD53" s="1122"/>
      <c r="CE53" s="1122"/>
      <c r="CF53" s="1122"/>
      <c r="CG53" s="519"/>
    </row>
    <row r="54" spans="1:85" s="614" customFormat="1" x14ac:dyDescent="0.3">
      <c r="A54" s="522"/>
      <c r="B54" s="352"/>
      <c r="C54" s="1094"/>
      <c r="D54" s="1094"/>
      <c r="E54" s="1094"/>
      <c r="F54" s="1094"/>
      <c r="G54" s="197"/>
      <c r="H54" s="197"/>
      <c r="I54" s="197"/>
      <c r="J54" s="197"/>
      <c r="K54" s="1094"/>
      <c r="L54" s="197"/>
      <c r="M54" s="197"/>
      <c r="N54" s="197"/>
      <c r="O54" s="197"/>
      <c r="P54" s="1094"/>
      <c r="Q54" s="197"/>
      <c r="R54" s="197"/>
      <c r="S54" s="197"/>
      <c r="T54" s="197"/>
      <c r="U54" s="1094"/>
      <c r="V54" s="197"/>
      <c r="W54" s="197"/>
      <c r="X54" s="197"/>
      <c r="Y54" s="197"/>
      <c r="Z54" s="1094"/>
      <c r="AA54" s="197"/>
      <c r="AB54" s="197"/>
      <c r="AC54" s="197"/>
      <c r="AD54" s="197"/>
      <c r="AE54" s="1094"/>
      <c r="AF54" s="197"/>
      <c r="AG54" s="197"/>
      <c r="AH54" s="197"/>
      <c r="AI54" s="197"/>
      <c r="AJ54" s="1094"/>
      <c r="AK54" s="197"/>
      <c r="AL54" s="197"/>
      <c r="AM54" s="197"/>
      <c r="AN54" s="197"/>
      <c r="AO54" s="1094"/>
      <c r="AP54" s="197"/>
      <c r="AQ54" s="197"/>
      <c r="AR54" s="197"/>
      <c r="AS54" s="197"/>
      <c r="AT54" s="198"/>
      <c r="AU54" s="194"/>
      <c r="AV54" s="194"/>
      <c r="AW54" s="194"/>
      <c r="AX54" s="194"/>
      <c r="AY54" s="198"/>
      <c r="AZ54" s="194"/>
      <c r="BA54" s="194"/>
      <c r="BB54" s="194"/>
      <c r="BC54" s="194"/>
      <c r="BD54" s="198"/>
      <c r="BE54" s="197"/>
      <c r="BF54" s="197"/>
      <c r="BG54" s="197"/>
      <c r="BH54" s="197"/>
      <c r="BI54" s="1094"/>
      <c r="BJ54" s="197"/>
      <c r="BK54" s="197"/>
      <c r="BL54" s="197"/>
      <c r="BM54" s="197"/>
      <c r="BN54" s="1094"/>
      <c r="BO54" s="197"/>
      <c r="BP54" s="197"/>
      <c r="BQ54" s="197"/>
      <c r="BR54" s="197"/>
      <c r="BS54" s="1094"/>
      <c r="BT54" s="727"/>
      <c r="BU54" s="197"/>
      <c r="BV54" s="197"/>
      <c r="BW54" s="197"/>
      <c r="BX54" s="1094"/>
      <c r="BY54" s="197"/>
      <c r="BZ54" s="197"/>
      <c r="CA54" s="197"/>
      <c r="CB54" s="197"/>
      <c r="CC54" s="1094"/>
      <c r="CD54" s="1094"/>
      <c r="CE54" s="1094"/>
      <c r="CF54" s="1094"/>
      <c r="CG54" s="349"/>
    </row>
    <row r="55" spans="1:85" s="613" customFormat="1" x14ac:dyDescent="0.3">
      <c r="A55" s="478" t="s">
        <v>1992</v>
      </c>
      <c r="B55" s="523"/>
      <c r="C55" s="78"/>
      <c r="D55" s="78"/>
      <c r="E55" s="78"/>
      <c r="F55" s="78"/>
      <c r="G55" s="774"/>
      <c r="H55" s="774"/>
      <c r="I55" s="774"/>
      <c r="J55" s="774"/>
      <c r="K55" s="78"/>
      <c r="L55" s="774"/>
      <c r="M55" s="774"/>
      <c r="N55" s="774"/>
      <c r="O55" s="774"/>
      <c r="P55" s="78"/>
      <c r="Q55" s="774"/>
      <c r="R55" s="774"/>
      <c r="S55" s="774"/>
      <c r="T55" s="774"/>
      <c r="U55" s="78"/>
      <c r="V55" s="774"/>
      <c r="W55" s="774"/>
      <c r="X55" s="774"/>
      <c r="Y55" s="774"/>
      <c r="Z55" s="78"/>
      <c r="AA55" s="774"/>
      <c r="AB55" s="774"/>
      <c r="AC55" s="774"/>
      <c r="AD55" s="774"/>
      <c r="AE55" s="78"/>
      <c r="AF55" s="774"/>
      <c r="AG55" s="774"/>
      <c r="AH55" s="774"/>
      <c r="AI55" s="774"/>
      <c r="AJ55" s="78"/>
      <c r="AK55" s="774"/>
      <c r="AL55" s="774"/>
      <c r="AM55" s="774"/>
      <c r="AN55" s="774"/>
      <c r="AO55" s="78"/>
      <c r="AP55" s="774"/>
      <c r="AQ55" s="774"/>
      <c r="AR55" s="774"/>
      <c r="AS55" s="774"/>
      <c r="AT55" s="1119">
        <v>31.975999999999999</v>
      </c>
      <c r="AU55" s="774"/>
      <c r="AV55" s="774"/>
      <c r="AW55" s="774"/>
      <c r="AX55" s="774"/>
      <c r="AY55" s="78"/>
      <c r="AZ55" s="774"/>
      <c r="BA55" s="774"/>
      <c r="BB55" s="774"/>
      <c r="BC55" s="774"/>
      <c r="BD55" s="78"/>
      <c r="BE55" s="774"/>
      <c r="BF55" s="774"/>
      <c r="BG55" s="774"/>
      <c r="BH55" s="774"/>
      <c r="BI55" s="78"/>
      <c r="BJ55" s="774"/>
      <c r="BK55" s="774"/>
      <c r="BL55" s="774"/>
      <c r="BM55" s="774"/>
      <c r="BN55" s="78"/>
      <c r="BO55" s="774"/>
      <c r="BP55" s="774"/>
      <c r="BQ55" s="774"/>
      <c r="BR55" s="774"/>
      <c r="BS55" s="78"/>
      <c r="BT55" s="775"/>
      <c r="BU55" s="774"/>
      <c r="BV55" s="774"/>
      <c r="BW55" s="774"/>
      <c r="BX55" s="78"/>
      <c r="BY55" s="774"/>
      <c r="BZ55" s="774"/>
      <c r="CA55" s="774"/>
      <c r="CB55" s="774"/>
      <c r="CC55" s="78"/>
      <c r="CD55" s="78"/>
      <c r="CE55" s="78"/>
      <c r="CF55" s="78"/>
      <c r="CG55" s="532"/>
    </row>
    <row r="56" spans="1:85" s="615" customFormat="1" x14ac:dyDescent="0.3">
      <c r="A56" s="522" t="s">
        <v>1991</v>
      </c>
      <c r="B56" s="521"/>
      <c r="C56" s="1122"/>
      <c r="D56" s="1122"/>
      <c r="E56" s="1122"/>
      <c r="F56" s="1122"/>
      <c r="G56" s="520"/>
      <c r="H56" s="520"/>
      <c r="I56" s="520"/>
      <c r="J56" s="520"/>
      <c r="K56" s="1122"/>
      <c r="L56" s="520"/>
      <c r="M56" s="520"/>
      <c r="N56" s="520"/>
      <c r="O56" s="520"/>
      <c r="P56" s="1122"/>
      <c r="Q56" s="520"/>
      <c r="R56" s="520"/>
      <c r="S56" s="520"/>
      <c r="T56" s="520"/>
      <c r="U56" s="1122"/>
      <c r="V56" s="520"/>
      <c r="W56" s="520"/>
      <c r="X56" s="520"/>
      <c r="Y56" s="520"/>
      <c r="Z56" s="1122"/>
      <c r="AA56" s="520"/>
      <c r="AB56" s="520"/>
      <c r="AC56" s="520"/>
      <c r="AD56" s="520"/>
      <c r="AE56" s="1122"/>
      <c r="AF56" s="520"/>
      <c r="AG56" s="520"/>
      <c r="AH56" s="520"/>
      <c r="AI56" s="520"/>
      <c r="AJ56" s="1122"/>
      <c r="AK56" s="520"/>
      <c r="AL56" s="520"/>
      <c r="AM56" s="520"/>
      <c r="AN56" s="520"/>
      <c r="AO56" s="1122"/>
      <c r="AP56" s="520"/>
      <c r="AQ56" s="520"/>
      <c r="AR56" s="520"/>
      <c r="AS56" s="520"/>
      <c r="AT56" s="1123">
        <v>26.06</v>
      </c>
      <c r="AU56" s="526"/>
      <c r="AV56" s="526"/>
      <c r="AW56" s="526"/>
      <c r="AX56" s="526"/>
      <c r="AY56" s="1124"/>
      <c r="AZ56" s="526"/>
      <c r="BA56" s="526"/>
      <c r="BB56" s="526"/>
      <c r="BC56" s="526"/>
      <c r="BD56" s="1124"/>
      <c r="BE56" s="520"/>
      <c r="BF56" s="520"/>
      <c r="BG56" s="520"/>
      <c r="BH56" s="520"/>
      <c r="BI56" s="1122"/>
      <c r="BJ56" s="520"/>
      <c r="BK56" s="520"/>
      <c r="BL56" s="520"/>
      <c r="BM56" s="520"/>
      <c r="BN56" s="1122"/>
      <c r="BO56" s="520"/>
      <c r="BP56" s="520"/>
      <c r="BQ56" s="520"/>
      <c r="BR56" s="520"/>
      <c r="BS56" s="1122"/>
      <c r="BT56" s="728"/>
      <c r="BU56" s="520"/>
      <c r="BV56" s="520"/>
      <c r="BW56" s="520"/>
      <c r="BX56" s="1122"/>
      <c r="BY56" s="520"/>
      <c r="BZ56" s="520"/>
      <c r="CA56" s="520"/>
      <c r="CB56" s="520"/>
      <c r="CC56" s="1122"/>
      <c r="CD56" s="1122"/>
      <c r="CE56" s="1122"/>
      <c r="CF56" s="1122"/>
      <c r="CG56" s="519"/>
    </row>
    <row r="57" spans="1:85" s="614" customFormat="1" x14ac:dyDescent="0.3">
      <c r="A57" s="522"/>
      <c r="B57" s="352"/>
      <c r="C57" s="1094"/>
      <c r="D57" s="1094"/>
      <c r="E57" s="1094"/>
      <c r="F57" s="1094"/>
      <c r="G57" s="197"/>
      <c r="H57" s="197"/>
      <c r="I57" s="197"/>
      <c r="J57" s="197"/>
      <c r="K57" s="1094"/>
      <c r="L57" s="197"/>
      <c r="M57" s="197"/>
      <c r="N57" s="197"/>
      <c r="O57" s="197"/>
      <c r="P57" s="1094"/>
      <c r="Q57" s="197"/>
      <c r="R57" s="197"/>
      <c r="S57" s="197"/>
      <c r="T57" s="197"/>
      <c r="U57" s="1094"/>
      <c r="V57" s="197"/>
      <c r="W57" s="197"/>
      <c r="X57" s="197"/>
      <c r="Y57" s="197"/>
      <c r="Z57" s="1094"/>
      <c r="AA57" s="197"/>
      <c r="AB57" s="197"/>
      <c r="AC57" s="197"/>
      <c r="AD57" s="197"/>
      <c r="AE57" s="1094"/>
      <c r="AF57" s="197"/>
      <c r="AG57" s="197"/>
      <c r="AH57" s="197"/>
      <c r="AI57" s="197"/>
      <c r="AJ57" s="1094"/>
      <c r="AK57" s="197"/>
      <c r="AL57" s="197"/>
      <c r="AM57" s="197"/>
      <c r="AN57" s="197"/>
      <c r="AO57" s="1094"/>
      <c r="AP57" s="197"/>
      <c r="AQ57" s="197"/>
      <c r="AR57" s="197"/>
      <c r="AS57" s="197"/>
      <c r="AT57" s="198"/>
      <c r="AU57" s="194"/>
      <c r="AV57" s="194"/>
      <c r="AW57" s="194"/>
      <c r="AX57" s="194"/>
      <c r="AY57" s="198"/>
      <c r="AZ57" s="194"/>
      <c r="BA57" s="194"/>
      <c r="BB57" s="194"/>
      <c r="BC57" s="194"/>
      <c r="BD57" s="198"/>
      <c r="BE57" s="197"/>
      <c r="BF57" s="197"/>
      <c r="BG57" s="197"/>
      <c r="BH57" s="197"/>
      <c r="BI57" s="1094"/>
      <c r="BJ57" s="197"/>
      <c r="BK57" s="197"/>
      <c r="BL57" s="197"/>
      <c r="BM57" s="197"/>
      <c r="BN57" s="1094"/>
      <c r="BO57" s="197"/>
      <c r="BP57" s="197"/>
      <c r="BQ57" s="197"/>
      <c r="BR57" s="197"/>
      <c r="BS57" s="1094"/>
      <c r="BT57" s="727"/>
      <c r="BU57" s="197"/>
      <c r="BV57" s="197"/>
      <c r="BW57" s="197"/>
      <c r="BX57" s="1094"/>
      <c r="BY57" s="197"/>
      <c r="BZ57" s="197"/>
      <c r="CA57" s="197"/>
      <c r="CB57" s="197"/>
      <c r="CC57" s="1094"/>
      <c r="CD57" s="1094"/>
      <c r="CE57" s="1094"/>
      <c r="CF57" s="1094"/>
      <c r="CG57" s="349"/>
    </row>
    <row r="58" spans="1:85" s="613" customFormat="1" x14ac:dyDescent="0.3">
      <c r="A58" s="478" t="s">
        <v>1990</v>
      </c>
      <c r="B58" s="523"/>
      <c r="C58" s="78"/>
      <c r="D58" s="78"/>
      <c r="E58" s="78"/>
      <c r="F58" s="78"/>
      <c r="G58" s="774"/>
      <c r="H58" s="774"/>
      <c r="I58" s="774"/>
      <c r="J58" s="774"/>
      <c r="K58" s="78"/>
      <c r="L58" s="774"/>
      <c r="M58" s="774"/>
      <c r="N58" s="774"/>
      <c r="O58" s="774"/>
      <c r="P58" s="78"/>
      <c r="Q58" s="774"/>
      <c r="R58" s="774"/>
      <c r="S58" s="774"/>
      <c r="T58" s="774"/>
      <c r="U58" s="78"/>
      <c r="V58" s="774"/>
      <c r="W58" s="774"/>
      <c r="X58" s="774"/>
      <c r="Y58" s="774"/>
      <c r="Z58" s="78"/>
      <c r="AA58" s="774"/>
      <c r="AB58" s="774"/>
      <c r="AC58" s="774"/>
      <c r="AD58" s="774"/>
      <c r="AE58" s="78"/>
      <c r="AF58" s="774"/>
      <c r="AG58" s="774"/>
      <c r="AH58" s="774"/>
      <c r="AI58" s="774"/>
      <c r="AJ58" s="78"/>
      <c r="AK58" s="774"/>
      <c r="AL58" s="774"/>
      <c r="AM58" s="774"/>
      <c r="AN58" s="774"/>
      <c r="AO58" s="78"/>
      <c r="AP58" s="774"/>
      <c r="AQ58" s="774"/>
      <c r="AR58" s="774"/>
      <c r="AS58" s="774"/>
      <c r="AT58" s="1119">
        <v>27.398</v>
      </c>
      <c r="AU58" s="774"/>
      <c r="AV58" s="774"/>
      <c r="AW58" s="774"/>
      <c r="AX58" s="774"/>
      <c r="AY58" s="78"/>
      <c r="AZ58" s="774"/>
      <c r="BA58" s="774"/>
      <c r="BB58" s="774"/>
      <c r="BC58" s="774"/>
      <c r="BD58" s="78"/>
      <c r="BE58" s="774"/>
      <c r="BF58" s="774"/>
      <c r="BG58" s="774"/>
      <c r="BH58" s="774"/>
      <c r="BI58" s="78"/>
      <c r="BJ58" s="774"/>
      <c r="BK58" s="774"/>
      <c r="BL58" s="774"/>
      <c r="BM58" s="774"/>
      <c r="BN58" s="78"/>
      <c r="BO58" s="774"/>
      <c r="BP58" s="774"/>
      <c r="BQ58" s="774"/>
      <c r="BR58" s="774"/>
      <c r="BS58" s="78"/>
      <c r="BT58" s="775"/>
      <c r="BU58" s="774"/>
      <c r="BV58" s="774"/>
      <c r="BW58" s="774"/>
      <c r="BX58" s="78"/>
      <c r="BY58" s="774"/>
      <c r="BZ58" s="774"/>
      <c r="CA58" s="774"/>
      <c r="CB58" s="774"/>
      <c r="CC58" s="78"/>
      <c r="CD58" s="78"/>
      <c r="CE58" s="78"/>
      <c r="CF58" s="78"/>
      <c r="CG58" s="532"/>
    </row>
    <row r="59" spans="1:85" s="615" customFormat="1" x14ac:dyDescent="0.3">
      <c r="A59" s="522" t="s">
        <v>1989</v>
      </c>
      <c r="B59" s="521"/>
      <c r="C59" s="1122"/>
      <c r="D59" s="1122"/>
      <c r="E59" s="1122"/>
      <c r="F59" s="1122"/>
      <c r="G59" s="520"/>
      <c r="H59" s="520"/>
      <c r="I59" s="520"/>
      <c r="J59" s="520"/>
      <c r="K59" s="1122"/>
      <c r="L59" s="520"/>
      <c r="M59" s="520"/>
      <c r="N59" s="520"/>
      <c r="O59" s="520"/>
      <c r="P59" s="1122"/>
      <c r="Q59" s="520"/>
      <c r="R59" s="520"/>
      <c r="S59" s="520"/>
      <c r="T59" s="520"/>
      <c r="U59" s="1122"/>
      <c r="V59" s="520"/>
      <c r="W59" s="520"/>
      <c r="X59" s="520"/>
      <c r="Y59" s="520"/>
      <c r="Z59" s="1122"/>
      <c r="AA59" s="520"/>
      <c r="AB59" s="520"/>
      <c r="AC59" s="520"/>
      <c r="AD59" s="520"/>
      <c r="AE59" s="1122"/>
      <c r="AF59" s="520"/>
      <c r="AG59" s="520"/>
      <c r="AH59" s="520"/>
      <c r="AI59" s="520"/>
      <c r="AJ59" s="1122"/>
      <c r="AK59" s="520"/>
      <c r="AL59" s="520"/>
      <c r="AM59" s="520"/>
      <c r="AN59" s="520"/>
      <c r="AO59" s="1122"/>
      <c r="AP59" s="520"/>
      <c r="AQ59" s="520"/>
      <c r="AR59" s="520"/>
      <c r="AS59" s="520"/>
      <c r="AT59" s="1123">
        <v>30.42</v>
      </c>
      <c r="AU59" s="526"/>
      <c r="AV59" s="526"/>
      <c r="AW59" s="526"/>
      <c r="AX59" s="526"/>
      <c r="AY59" s="1124"/>
      <c r="AZ59" s="526"/>
      <c r="BA59" s="526"/>
      <c r="BB59" s="526"/>
      <c r="BC59" s="526"/>
      <c r="BD59" s="1124"/>
      <c r="BE59" s="520"/>
      <c r="BF59" s="520"/>
      <c r="BG59" s="520"/>
      <c r="BH59" s="520"/>
      <c r="BI59" s="1122"/>
      <c r="BJ59" s="520"/>
      <c r="BK59" s="520"/>
      <c r="BL59" s="520"/>
      <c r="BM59" s="520"/>
      <c r="BN59" s="1122"/>
      <c r="BO59" s="520"/>
      <c r="BP59" s="520"/>
      <c r="BQ59" s="520"/>
      <c r="BR59" s="520"/>
      <c r="BS59" s="1122"/>
      <c r="BT59" s="728"/>
      <c r="BU59" s="520"/>
      <c r="BV59" s="520"/>
      <c r="BW59" s="520"/>
      <c r="BX59" s="1122"/>
      <c r="BY59" s="520"/>
      <c r="BZ59" s="520"/>
      <c r="CA59" s="520"/>
      <c r="CB59" s="520"/>
      <c r="CC59" s="1122"/>
      <c r="CD59" s="1122"/>
      <c r="CE59" s="1122"/>
      <c r="CF59" s="1122"/>
      <c r="CG59" s="519"/>
    </row>
    <row r="60" spans="1:85" s="614" customFormat="1" x14ac:dyDescent="0.3">
      <c r="A60" s="522"/>
      <c r="B60" s="352"/>
      <c r="C60" s="1094"/>
      <c r="D60" s="1094"/>
      <c r="E60" s="1094"/>
      <c r="F60" s="1094"/>
      <c r="G60" s="197"/>
      <c r="H60" s="197"/>
      <c r="I60" s="197"/>
      <c r="J60" s="197"/>
      <c r="K60" s="1094"/>
      <c r="L60" s="197"/>
      <c r="M60" s="197"/>
      <c r="N60" s="197"/>
      <c r="O60" s="197"/>
      <c r="P60" s="1094"/>
      <c r="Q60" s="197"/>
      <c r="R60" s="197"/>
      <c r="S60" s="197"/>
      <c r="T60" s="197"/>
      <c r="U60" s="1094"/>
      <c r="V60" s="197"/>
      <c r="W60" s="197"/>
      <c r="X60" s="197"/>
      <c r="Y60" s="197"/>
      <c r="Z60" s="1094"/>
      <c r="AA60" s="197"/>
      <c r="AB60" s="197"/>
      <c r="AC60" s="197"/>
      <c r="AD60" s="197"/>
      <c r="AE60" s="1094"/>
      <c r="AF60" s="197"/>
      <c r="AG60" s="197"/>
      <c r="AH60" s="197"/>
      <c r="AI60" s="197"/>
      <c r="AJ60" s="1094"/>
      <c r="AK60" s="197"/>
      <c r="AL60" s="197"/>
      <c r="AM60" s="197"/>
      <c r="AN60" s="197"/>
      <c r="AO60" s="1094"/>
      <c r="AP60" s="197"/>
      <c r="AQ60" s="197"/>
      <c r="AR60" s="197"/>
      <c r="AS60" s="197"/>
      <c r="AT60" s="198"/>
      <c r="AU60" s="194"/>
      <c r="AV60" s="194"/>
      <c r="AW60" s="194"/>
      <c r="AX60" s="194"/>
      <c r="AY60" s="198"/>
      <c r="AZ60" s="194"/>
      <c r="BA60" s="194"/>
      <c r="BB60" s="194"/>
      <c r="BC60" s="194"/>
      <c r="BD60" s="198"/>
      <c r="BE60" s="197"/>
      <c r="BF60" s="197"/>
      <c r="BG60" s="197"/>
      <c r="BH60" s="197"/>
      <c r="BI60" s="1094"/>
      <c r="BJ60" s="197"/>
      <c r="BK60" s="197"/>
      <c r="BL60" s="197"/>
      <c r="BM60" s="197"/>
      <c r="BN60" s="1094"/>
      <c r="BO60" s="197"/>
      <c r="BP60" s="197"/>
      <c r="BQ60" s="197"/>
      <c r="BR60" s="197"/>
      <c r="BS60" s="1094"/>
      <c r="BT60" s="727"/>
      <c r="BU60" s="197"/>
      <c r="BV60" s="197"/>
      <c r="BW60" s="197"/>
      <c r="BX60" s="1094"/>
      <c r="BY60" s="197"/>
      <c r="BZ60" s="197"/>
      <c r="CA60" s="197"/>
      <c r="CB60" s="197"/>
      <c r="CC60" s="1094"/>
      <c r="CD60" s="1094"/>
      <c r="CE60" s="1094"/>
      <c r="CF60" s="1094"/>
      <c r="CG60" s="349"/>
    </row>
    <row r="61" spans="1:85" s="613" customFormat="1" x14ac:dyDescent="0.3">
      <c r="A61" s="478" t="s">
        <v>1988</v>
      </c>
      <c r="B61" s="523"/>
      <c r="C61" s="78"/>
      <c r="D61" s="78"/>
      <c r="E61" s="78"/>
      <c r="F61" s="78"/>
      <c r="G61" s="774"/>
      <c r="H61" s="774"/>
      <c r="I61" s="774"/>
      <c r="J61" s="774"/>
      <c r="K61" s="78"/>
      <c r="L61" s="774"/>
      <c r="M61" s="774"/>
      <c r="N61" s="774"/>
      <c r="O61" s="774"/>
      <c r="P61" s="78"/>
      <c r="Q61" s="774"/>
      <c r="R61" s="774"/>
      <c r="S61" s="774"/>
      <c r="T61" s="774"/>
      <c r="U61" s="78"/>
      <c r="V61" s="774"/>
      <c r="W61" s="774"/>
      <c r="X61" s="774"/>
      <c r="Y61" s="774"/>
      <c r="Z61" s="78"/>
      <c r="AA61" s="774"/>
      <c r="AB61" s="774"/>
      <c r="AC61" s="774"/>
      <c r="AD61" s="774"/>
      <c r="AE61" s="78"/>
      <c r="AF61" s="774"/>
      <c r="AG61" s="774"/>
      <c r="AH61" s="774"/>
      <c r="AI61" s="774"/>
      <c r="AJ61" s="78"/>
      <c r="AK61" s="774"/>
      <c r="AL61" s="774"/>
      <c r="AM61" s="774"/>
      <c r="AN61" s="774"/>
      <c r="AO61" s="78"/>
      <c r="AP61" s="774"/>
      <c r="AQ61" s="774"/>
      <c r="AR61" s="774"/>
      <c r="AS61" s="774"/>
      <c r="AT61" s="1119">
        <v>26.277999999999999</v>
      </c>
      <c r="AU61" s="774"/>
      <c r="AV61" s="774"/>
      <c r="AW61" s="774"/>
      <c r="AX61" s="774"/>
      <c r="AY61" s="1119">
        <v>26.277999999999999</v>
      </c>
      <c r="AZ61" s="774"/>
      <c r="BA61" s="774"/>
      <c r="BB61" s="774"/>
      <c r="BC61" s="774"/>
      <c r="BD61" s="1119">
        <v>26.277999999999999</v>
      </c>
      <c r="BE61" s="774"/>
      <c r="BF61" s="774"/>
      <c r="BG61" s="774"/>
      <c r="BH61" s="774"/>
      <c r="BI61" s="78"/>
      <c r="BJ61" s="774"/>
      <c r="BK61" s="774"/>
      <c r="BL61" s="774"/>
      <c r="BM61" s="774"/>
      <c r="BN61" s="78"/>
      <c r="BO61" s="774"/>
      <c r="BP61" s="774"/>
      <c r="BQ61" s="774"/>
      <c r="BR61" s="774"/>
      <c r="BS61" s="78"/>
      <c r="BT61" s="775"/>
      <c r="BU61" s="774"/>
      <c r="BV61" s="774"/>
      <c r="BW61" s="774"/>
      <c r="BX61" s="78"/>
      <c r="BY61" s="774"/>
      <c r="BZ61" s="774"/>
      <c r="CA61" s="774"/>
      <c r="CB61" s="774"/>
      <c r="CC61" s="78"/>
      <c r="CD61" s="78"/>
      <c r="CE61" s="78"/>
      <c r="CF61" s="78"/>
      <c r="CG61" s="532"/>
    </row>
    <row r="62" spans="1:85" s="615" customFormat="1" x14ac:dyDescent="0.3">
      <c r="A62" s="522" t="s">
        <v>1987</v>
      </c>
      <c r="B62" s="521"/>
      <c r="C62" s="1122"/>
      <c r="D62" s="1122"/>
      <c r="E62" s="1122"/>
      <c r="F62" s="1122"/>
      <c r="G62" s="520"/>
      <c r="H62" s="520"/>
      <c r="I62" s="520"/>
      <c r="J62" s="520"/>
      <c r="K62" s="1122"/>
      <c r="L62" s="520"/>
      <c r="M62" s="520"/>
      <c r="N62" s="520"/>
      <c r="O62" s="520"/>
      <c r="P62" s="1122"/>
      <c r="Q62" s="520"/>
      <c r="R62" s="520"/>
      <c r="S62" s="520"/>
      <c r="T62" s="520"/>
      <c r="U62" s="1122"/>
      <c r="V62" s="520"/>
      <c r="W62" s="520"/>
      <c r="X62" s="520"/>
      <c r="Y62" s="520"/>
      <c r="Z62" s="1122"/>
      <c r="AA62" s="520"/>
      <c r="AB62" s="520"/>
      <c r="AC62" s="520"/>
      <c r="AD62" s="520"/>
      <c r="AE62" s="1122"/>
      <c r="AF62" s="520"/>
      <c r="AG62" s="520"/>
      <c r="AH62" s="520"/>
      <c r="AI62" s="520"/>
      <c r="AJ62" s="1122"/>
      <c r="AK62" s="520"/>
      <c r="AL62" s="520"/>
      <c r="AM62" s="520"/>
      <c r="AN62" s="520"/>
      <c r="AO62" s="1122"/>
      <c r="AP62" s="520"/>
      <c r="AQ62" s="520"/>
      <c r="AR62" s="520"/>
      <c r="AS62" s="520"/>
      <c r="AT62" s="1123">
        <v>31.71</v>
      </c>
      <c r="AU62" s="526"/>
      <c r="AV62" s="526"/>
      <c r="AW62" s="526"/>
      <c r="AX62" s="526"/>
      <c r="AY62" s="1123">
        <v>31.71</v>
      </c>
      <c r="AZ62" s="526"/>
      <c r="BA62" s="526"/>
      <c r="BB62" s="526"/>
      <c r="BC62" s="526"/>
      <c r="BD62" s="1123">
        <v>31.71</v>
      </c>
      <c r="BE62" s="520"/>
      <c r="BF62" s="520"/>
      <c r="BG62" s="520"/>
      <c r="BH62" s="520"/>
      <c r="BI62" s="1122"/>
      <c r="BJ62" s="520"/>
      <c r="BK62" s="520"/>
      <c r="BL62" s="520"/>
      <c r="BM62" s="520"/>
      <c r="BN62" s="1122"/>
      <c r="BO62" s="520"/>
      <c r="BP62" s="520"/>
      <c r="BQ62" s="520"/>
      <c r="BR62" s="520"/>
      <c r="BS62" s="1122"/>
      <c r="BT62" s="728"/>
      <c r="BU62" s="520"/>
      <c r="BV62" s="520"/>
      <c r="BW62" s="520"/>
      <c r="BX62" s="1122"/>
      <c r="BY62" s="520"/>
      <c r="BZ62" s="520"/>
      <c r="CA62" s="520"/>
      <c r="CB62" s="520"/>
      <c r="CC62" s="1122"/>
      <c r="CD62" s="1122"/>
      <c r="CE62" s="1122"/>
      <c r="CF62" s="1122"/>
      <c r="CG62" s="519"/>
    </row>
    <row r="63" spans="1:85" s="614" customFormat="1" x14ac:dyDescent="0.3">
      <c r="A63" s="522"/>
      <c r="B63" s="352"/>
      <c r="C63" s="1094"/>
      <c r="D63" s="1094"/>
      <c r="E63" s="1094"/>
      <c r="F63" s="1094"/>
      <c r="G63" s="197"/>
      <c r="H63" s="197"/>
      <c r="I63" s="197"/>
      <c r="J63" s="197"/>
      <c r="K63" s="1094"/>
      <c r="L63" s="197"/>
      <c r="M63" s="197"/>
      <c r="N63" s="197"/>
      <c r="O63" s="197"/>
      <c r="P63" s="1094"/>
      <c r="Q63" s="197"/>
      <c r="R63" s="197"/>
      <c r="S63" s="197"/>
      <c r="T63" s="197"/>
      <c r="U63" s="1094"/>
      <c r="V63" s="197"/>
      <c r="W63" s="197"/>
      <c r="X63" s="197"/>
      <c r="Y63" s="197"/>
      <c r="Z63" s="1094"/>
      <c r="AA63" s="197"/>
      <c r="AB63" s="197"/>
      <c r="AC63" s="197"/>
      <c r="AD63" s="197"/>
      <c r="AE63" s="1094"/>
      <c r="AF63" s="197"/>
      <c r="AG63" s="197"/>
      <c r="AH63" s="197"/>
      <c r="AI63" s="197"/>
      <c r="AJ63" s="1094"/>
      <c r="AK63" s="197"/>
      <c r="AL63" s="197"/>
      <c r="AM63" s="197"/>
      <c r="AN63" s="197"/>
      <c r="AO63" s="1094"/>
      <c r="AP63" s="197"/>
      <c r="AQ63" s="197"/>
      <c r="AR63" s="197"/>
      <c r="AS63" s="197"/>
      <c r="AT63" s="198"/>
      <c r="AU63" s="194"/>
      <c r="AV63" s="194"/>
      <c r="AW63" s="194"/>
      <c r="AX63" s="194"/>
      <c r="AY63" s="198"/>
      <c r="AZ63" s="194"/>
      <c r="BA63" s="194"/>
      <c r="BB63" s="194"/>
      <c r="BC63" s="194"/>
      <c r="BD63" s="198"/>
      <c r="BE63" s="197"/>
      <c r="BF63" s="197"/>
      <c r="BG63" s="197"/>
      <c r="BH63" s="197"/>
      <c r="BI63" s="1094"/>
      <c r="BJ63" s="197"/>
      <c r="BK63" s="197"/>
      <c r="BL63" s="197"/>
      <c r="BM63" s="197"/>
      <c r="BN63" s="1094"/>
      <c r="BO63" s="197"/>
      <c r="BP63" s="197"/>
      <c r="BQ63" s="197"/>
      <c r="BR63" s="197"/>
      <c r="BS63" s="1094"/>
      <c r="BT63" s="727"/>
      <c r="BU63" s="197"/>
      <c r="BV63" s="197"/>
      <c r="BW63" s="197"/>
      <c r="BX63" s="1094"/>
      <c r="BY63" s="197"/>
      <c r="BZ63" s="197"/>
      <c r="CA63" s="197"/>
      <c r="CB63" s="197"/>
      <c r="CC63" s="1094"/>
      <c r="CD63" s="1094"/>
      <c r="CE63" s="1094"/>
      <c r="CF63" s="1094"/>
      <c r="CG63" s="349"/>
    </row>
    <row r="64" spans="1:85" s="613" customFormat="1" x14ac:dyDescent="0.3">
      <c r="A64" s="478" t="s">
        <v>1986</v>
      </c>
      <c r="B64" s="523"/>
      <c r="C64" s="78"/>
      <c r="D64" s="78"/>
      <c r="E64" s="78"/>
      <c r="F64" s="78"/>
      <c r="G64" s="774"/>
      <c r="H64" s="774"/>
      <c r="I64" s="774"/>
      <c r="J64" s="774"/>
      <c r="K64" s="78"/>
      <c r="L64" s="774"/>
      <c r="M64" s="774"/>
      <c r="N64" s="774"/>
      <c r="O64" s="774"/>
      <c r="P64" s="78"/>
      <c r="Q64" s="774"/>
      <c r="R64" s="774"/>
      <c r="S64" s="774"/>
      <c r="T64" s="774"/>
      <c r="U64" s="78"/>
      <c r="V64" s="774"/>
      <c r="W64" s="774"/>
      <c r="X64" s="774"/>
      <c r="Y64" s="774"/>
      <c r="Z64" s="78"/>
      <c r="AA64" s="774"/>
      <c r="AB64" s="774"/>
      <c r="AC64" s="774"/>
      <c r="AD64" s="774"/>
      <c r="AE64" s="78"/>
      <c r="AF64" s="774"/>
      <c r="AG64" s="774"/>
      <c r="AH64" s="774"/>
      <c r="AI64" s="774"/>
      <c r="AJ64" s="78"/>
      <c r="AK64" s="774"/>
      <c r="AL64" s="774"/>
      <c r="AM64" s="774"/>
      <c r="AN64" s="774"/>
      <c r="AO64" s="78"/>
      <c r="AP64" s="774"/>
      <c r="AQ64" s="774"/>
      <c r="AR64" s="774"/>
      <c r="AS64" s="774"/>
      <c r="AT64" s="1119">
        <v>26.012</v>
      </c>
      <c r="AU64" s="774"/>
      <c r="AV64" s="774"/>
      <c r="AW64" s="774"/>
      <c r="AX64" s="774"/>
      <c r="AY64" s="1119">
        <v>26.012</v>
      </c>
      <c r="AZ64" s="774"/>
      <c r="BA64" s="774"/>
      <c r="BB64" s="774"/>
      <c r="BC64" s="774"/>
      <c r="BD64" s="1119">
        <v>26.012</v>
      </c>
      <c r="BE64" s="774"/>
      <c r="BF64" s="774"/>
      <c r="BG64" s="774"/>
      <c r="BH64" s="774"/>
      <c r="BI64" s="78"/>
      <c r="BJ64" s="774"/>
      <c r="BK64" s="774"/>
      <c r="BL64" s="774"/>
      <c r="BM64" s="774"/>
      <c r="BN64" s="78"/>
      <c r="BO64" s="774"/>
      <c r="BP64" s="774"/>
      <c r="BQ64" s="774"/>
      <c r="BR64" s="774"/>
      <c r="BS64" s="78"/>
      <c r="BT64" s="775"/>
      <c r="BU64" s="774"/>
      <c r="BV64" s="774"/>
      <c r="BW64" s="774"/>
      <c r="BX64" s="78"/>
      <c r="BY64" s="774"/>
      <c r="BZ64" s="774"/>
      <c r="CA64" s="774"/>
      <c r="CB64" s="774"/>
      <c r="CC64" s="78"/>
      <c r="CD64" s="78"/>
      <c r="CE64" s="78"/>
      <c r="CF64" s="78"/>
      <c r="CG64" s="532"/>
    </row>
    <row r="65" spans="1:85" s="615" customFormat="1" x14ac:dyDescent="0.3">
      <c r="A65" s="522" t="s">
        <v>1985</v>
      </c>
      <c r="B65" s="521"/>
      <c r="C65" s="1122"/>
      <c r="D65" s="1122"/>
      <c r="E65" s="1122"/>
      <c r="F65" s="1122"/>
      <c r="G65" s="520"/>
      <c r="H65" s="520"/>
      <c r="I65" s="520"/>
      <c r="J65" s="520"/>
      <c r="K65" s="1122"/>
      <c r="L65" s="520"/>
      <c r="M65" s="520"/>
      <c r="N65" s="520"/>
      <c r="O65" s="520"/>
      <c r="P65" s="1122"/>
      <c r="Q65" s="520"/>
      <c r="R65" s="520"/>
      <c r="S65" s="520"/>
      <c r="T65" s="520"/>
      <c r="U65" s="1122"/>
      <c r="V65" s="520"/>
      <c r="W65" s="520"/>
      <c r="X65" s="520"/>
      <c r="Y65" s="520"/>
      <c r="Z65" s="1122"/>
      <c r="AA65" s="520"/>
      <c r="AB65" s="520"/>
      <c r="AC65" s="520"/>
      <c r="AD65" s="520"/>
      <c r="AE65" s="1122"/>
      <c r="AF65" s="520"/>
      <c r="AG65" s="520"/>
      <c r="AH65" s="520"/>
      <c r="AI65" s="520"/>
      <c r="AJ65" s="1122"/>
      <c r="AK65" s="520"/>
      <c r="AL65" s="520"/>
      <c r="AM65" s="520"/>
      <c r="AN65" s="520"/>
      <c r="AO65" s="1122"/>
      <c r="AP65" s="520"/>
      <c r="AQ65" s="520"/>
      <c r="AR65" s="520"/>
      <c r="AS65" s="520"/>
      <c r="AT65" s="1123">
        <v>32.04</v>
      </c>
      <c r="AU65" s="526"/>
      <c r="AV65" s="526"/>
      <c r="AW65" s="526"/>
      <c r="AX65" s="526"/>
      <c r="AY65" s="1123">
        <v>32.04</v>
      </c>
      <c r="AZ65" s="526"/>
      <c r="BA65" s="526"/>
      <c r="BB65" s="526"/>
      <c r="BC65" s="526"/>
      <c r="BD65" s="1123">
        <v>32.04</v>
      </c>
      <c r="BE65" s="520"/>
      <c r="BF65" s="520"/>
      <c r="BG65" s="520"/>
      <c r="BH65" s="520"/>
      <c r="BI65" s="1122"/>
      <c r="BJ65" s="520"/>
      <c r="BK65" s="520"/>
      <c r="BL65" s="520"/>
      <c r="BM65" s="520"/>
      <c r="BN65" s="1122"/>
      <c r="BO65" s="520"/>
      <c r="BP65" s="520"/>
      <c r="BQ65" s="520"/>
      <c r="BR65" s="520"/>
      <c r="BS65" s="1122"/>
      <c r="BT65" s="728"/>
      <c r="BU65" s="520"/>
      <c r="BV65" s="520"/>
      <c r="BW65" s="520"/>
      <c r="BX65" s="1122"/>
      <c r="BY65" s="520"/>
      <c r="BZ65" s="520"/>
      <c r="CA65" s="520"/>
      <c r="CB65" s="520"/>
      <c r="CC65" s="1122"/>
      <c r="CD65" s="1122"/>
      <c r="CE65" s="1122"/>
      <c r="CF65" s="1122"/>
      <c r="CG65" s="519"/>
    </row>
    <row r="66" spans="1:85" s="614" customFormat="1" x14ac:dyDescent="0.3">
      <c r="A66" s="522"/>
      <c r="B66" s="352"/>
      <c r="C66" s="1094"/>
      <c r="D66" s="1094"/>
      <c r="E66" s="1094"/>
      <c r="F66" s="1094"/>
      <c r="G66" s="197"/>
      <c r="H66" s="197"/>
      <c r="I66" s="197"/>
      <c r="J66" s="197"/>
      <c r="K66" s="1094"/>
      <c r="L66" s="197"/>
      <c r="M66" s="197"/>
      <c r="N66" s="197"/>
      <c r="O66" s="197"/>
      <c r="P66" s="1094"/>
      <c r="Q66" s="197"/>
      <c r="R66" s="197"/>
      <c r="S66" s="197"/>
      <c r="T66" s="197"/>
      <c r="U66" s="1094"/>
      <c r="V66" s="197"/>
      <c r="W66" s="197"/>
      <c r="X66" s="197"/>
      <c r="Y66" s="197"/>
      <c r="Z66" s="1094"/>
      <c r="AA66" s="197"/>
      <c r="AB66" s="197"/>
      <c r="AC66" s="197"/>
      <c r="AD66" s="197"/>
      <c r="AE66" s="1094"/>
      <c r="AF66" s="197"/>
      <c r="AG66" s="197"/>
      <c r="AH66" s="197"/>
      <c r="AI66" s="197"/>
      <c r="AJ66" s="1094"/>
      <c r="AK66" s="197"/>
      <c r="AL66" s="197"/>
      <c r="AM66" s="197"/>
      <c r="AN66" s="197"/>
      <c r="AO66" s="1094"/>
      <c r="AP66" s="197"/>
      <c r="AQ66" s="197"/>
      <c r="AR66" s="197"/>
      <c r="AS66" s="197"/>
      <c r="AT66" s="198"/>
      <c r="AU66" s="194"/>
      <c r="AV66" s="194"/>
      <c r="AW66" s="194"/>
      <c r="AX66" s="194"/>
      <c r="AY66" s="198"/>
      <c r="AZ66" s="194"/>
      <c r="BA66" s="194"/>
      <c r="BB66" s="194"/>
      <c r="BC66" s="194"/>
      <c r="BD66" s="198"/>
      <c r="BE66" s="197"/>
      <c r="BF66" s="197"/>
      <c r="BG66" s="197"/>
      <c r="BH66" s="197"/>
      <c r="BI66" s="1094"/>
      <c r="BJ66" s="197"/>
      <c r="BK66" s="197"/>
      <c r="BL66" s="197"/>
      <c r="BM66" s="197"/>
      <c r="BN66" s="1094"/>
      <c r="BO66" s="197"/>
      <c r="BP66" s="197"/>
      <c r="BQ66" s="197"/>
      <c r="BR66" s="197"/>
      <c r="BS66" s="1094"/>
      <c r="BT66" s="727"/>
      <c r="BU66" s="197"/>
      <c r="BV66" s="197"/>
      <c r="BW66" s="197"/>
      <c r="BX66" s="1094"/>
      <c r="BY66" s="197"/>
      <c r="BZ66" s="197"/>
      <c r="CA66" s="197"/>
      <c r="CB66" s="197"/>
      <c r="CC66" s="1094"/>
      <c r="CD66" s="1094"/>
      <c r="CE66" s="1094"/>
      <c r="CF66" s="1094"/>
      <c r="CG66" s="349"/>
    </row>
    <row r="67" spans="1:85" s="613" customFormat="1" x14ac:dyDescent="0.3">
      <c r="A67" s="478" t="s">
        <v>1984</v>
      </c>
      <c r="B67" s="523"/>
      <c r="C67" s="78"/>
      <c r="D67" s="78"/>
      <c r="E67" s="78"/>
      <c r="F67" s="78"/>
      <c r="G67" s="774"/>
      <c r="H67" s="774"/>
      <c r="I67" s="774"/>
      <c r="J67" s="774"/>
      <c r="K67" s="78"/>
      <c r="L67" s="774"/>
      <c r="M67" s="774"/>
      <c r="N67" s="774"/>
      <c r="O67" s="774"/>
      <c r="P67" s="78"/>
      <c r="Q67" s="774"/>
      <c r="R67" s="774"/>
      <c r="S67" s="774"/>
      <c r="T67" s="774"/>
      <c r="U67" s="78"/>
      <c r="V67" s="774"/>
      <c r="W67" s="774"/>
      <c r="X67" s="774"/>
      <c r="Y67" s="774"/>
      <c r="Z67" s="78"/>
      <c r="AA67" s="774"/>
      <c r="AB67" s="774"/>
      <c r="AC67" s="774"/>
      <c r="AD67" s="774"/>
      <c r="AE67" s="78"/>
      <c r="AF67" s="774"/>
      <c r="AG67" s="774"/>
      <c r="AH67" s="774"/>
      <c r="AI67" s="774"/>
      <c r="AJ67" s="78"/>
      <c r="AK67" s="774"/>
      <c r="AL67" s="774"/>
      <c r="AM67" s="774"/>
      <c r="AN67" s="774"/>
      <c r="AO67" s="78"/>
      <c r="AP67" s="774"/>
      <c r="AQ67" s="774"/>
      <c r="AR67" s="774"/>
      <c r="AS67" s="774"/>
      <c r="AT67" s="1119">
        <v>23.414999999999999</v>
      </c>
      <c r="AU67" s="774"/>
      <c r="AV67" s="774"/>
      <c r="AW67" s="774"/>
      <c r="AX67" s="774"/>
      <c r="AY67" s="1119">
        <v>23.414999999999999</v>
      </c>
      <c r="AZ67" s="774"/>
      <c r="BA67" s="774"/>
      <c r="BB67" s="774"/>
      <c r="BC67" s="774"/>
      <c r="BD67" s="1119">
        <v>23.414999999999999</v>
      </c>
      <c r="BE67" s="774"/>
      <c r="BF67" s="774"/>
      <c r="BG67" s="774"/>
      <c r="BH67" s="774"/>
      <c r="BI67" s="78"/>
      <c r="BJ67" s="774"/>
      <c r="BK67" s="774"/>
      <c r="BL67" s="774"/>
      <c r="BM67" s="774"/>
      <c r="BN67" s="78"/>
      <c r="BO67" s="774"/>
      <c r="BP67" s="774"/>
      <c r="BQ67" s="774"/>
      <c r="BR67" s="774"/>
      <c r="BS67" s="78"/>
      <c r="BT67" s="775"/>
      <c r="BU67" s="774"/>
      <c r="BV67" s="774"/>
      <c r="BW67" s="774"/>
      <c r="BX67" s="78"/>
      <c r="BY67" s="774"/>
      <c r="BZ67" s="774"/>
      <c r="CA67" s="774"/>
      <c r="CB67" s="774"/>
      <c r="CC67" s="78"/>
      <c r="CD67" s="78"/>
      <c r="CE67" s="78"/>
      <c r="CF67" s="78"/>
      <c r="CG67" s="532"/>
    </row>
    <row r="68" spans="1:85" s="615" customFormat="1" x14ac:dyDescent="0.3">
      <c r="A68" s="522" t="s">
        <v>1983</v>
      </c>
      <c r="B68" s="521"/>
      <c r="C68" s="1122"/>
      <c r="D68" s="1122"/>
      <c r="E68" s="1122"/>
      <c r="F68" s="1122"/>
      <c r="G68" s="520"/>
      <c r="H68" s="520"/>
      <c r="I68" s="520"/>
      <c r="J68" s="520"/>
      <c r="K68" s="1122"/>
      <c r="L68" s="520"/>
      <c r="M68" s="520"/>
      <c r="N68" s="520"/>
      <c r="O68" s="520"/>
      <c r="P68" s="1122"/>
      <c r="Q68" s="520"/>
      <c r="R68" s="520"/>
      <c r="S68" s="520"/>
      <c r="T68" s="520"/>
      <c r="U68" s="1122"/>
      <c r="V68" s="520"/>
      <c r="W68" s="520"/>
      <c r="X68" s="520"/>
      <c r="Y68" s="520"/>
      <c r="Z68" s="1122"/>
      <c r="AA68" s="520"/>
      <c r="AB68" s="520"/>
      <c r="AC68" s="520"/>
      <c r="AD68" s="520"/>
      <c r="AE68" s="1122"/>
      <c r="AF68" s="520"/>
      <c r="AG68" s="520"/>
      <c r="AH68" s="520"/>
      <c r="AI68" s="520"/>
      <c r="AJ68" s="1122"/>
      <c r="AK68" s="520"/>
      <c r="AL68" s="520"/>
      <c r="AM68" s="520"/>
      <c r="AN68" s="520"/>
      <c r="AO68" s="1122"/>
      <c r="AP68" s="520"/>
      <c r="AQ68" s="520"/>
      <c r="AR68" s="520"/>
      <c r="AS68" s="520"/>
      <c r="AT68" s="1123">
        <v>35.590000000000003</v>
      </c>
      <c r="AU68" s="526"/>
      <c r="AV68" s="526"/>
      <c r="AW68" s="526"/>
      <c r="AX68" s="526"/>
      <c r="AY68" s="1123">
        <v>35.590000000000003</v>
      </c>
      <c r="AZ68" s="526"/>
      <c r="BA68" s="526"/>
      <c r="BB68" s="526"/>
      <c r="BC68" s="526"/>
      <c r="BD68" s="1123">
        <v>35.590000000000003</v>
      </c>
      <c r="BE68" s="520"/>
      <c r="BF68" s="520"/>
      <c r="BG68" s="520"/>
      <c r="BH68" s="520"/>
      <c r="BI68" s="1122"/>
      <c r="BJ68" s="520"/>
      <c r="BK68" s="520"/>
      <c r="BL68" s="520"/>
      <c r="BM68" s="520"/>
      <c r="BN68" s="1122"/>
      <c r="BO68" s="520"/>
      <c r="BP68" s="520"/>
      <c r="BQ68" s="520"/>
      <c r="BR68" s="520"/>
      <c r="BS68" s="1122"/>
      <c r="BT68" s="728"/>
      <c r="BU68" s="520"/>
      <c r="BV68" s="520"/>
      <c r="BW68" s="520"/>
      <c r="BX68" s="1122"/>
      <c r="BY68" s="520"/>
      <c r="BZ68" s="520"/>
      <c r="CA68" s="520"/>
      <c r="CB68" s="520"/>
      <c r="CC68" s="1122"/>
      <c r="CD68" s="1122"/>
      <c r="CE68" s="1122"/>
      <c r="CF68" s="1122"/>
      <c r="CG68" s="519"/>
    </row>
    <row r="69" spans="1:85" s="614" customFormat="1" x14ac:dyDescent="0.3">
      <c r="A69" s="522"/>
      <c r="B69" s="352"/>
      <c r="C69" s="1094"/>
      <c r="D69" s="1094"/>
      <c r="E69" s="1094"/>
      <c r="F69" s="1094"/>
      <c r="G69" s="197"/>
      <c r="H69" s="197"/>
      <c r="I69" s="197"/>
      <c r="J69" s="197"/>
      <c r="K69" s="1094"/>
      <c r="L69" s="197"/>
      <c r="M69" s="197"/>
      <c r="N69" s="197"/>
      <c r="O69" s="197"/>
      <c r="P69" s="1094"/>
      <c r="Q69" s="197"/>
      <c r="R69" s="197"/>
      <c r="S69" s="197"/>
      <c r="T69" s="197"/>
      <c r="U69" s="1094"/>
      <c r="V69" s="197"/>
      <c r="W69" s="197"/>
      <c r="X69" s="197"/>
      <c r="Y69" s="197"/>
      <c r="Z69" s="1094"/>
      <c r="AA69" s="197"/>
      <c r="AB69" s="197"/>
      <c r="AC69" s="197"/>
      <c r="AD69" s="197"/>
      <c r="AE69" s="1094"/>
      <c r="AF69" s="197"/>
      <c r="AG69" s="197"/>
      <c r="AH69" s="197"/>
      <c r="AI69" s="197"/>
      <c r="AJ69" s="1094"/>
      <c r="AK69" s="197"/>
      <c r="AL69" s="197"/>
      <c r="AM69" s="197"/>
      <c r="AN69" s="197"/>
      <c r="AO69" s="1094"/>
      <c r="AP69" s="197"/>
      <c r="AQ69" s="197"/>
      <c r="AR69" s="197"/>
      <c r="AS69" s="197"/>
      <c r="AT69" s="198"/>
      <c r="AU69" s="194"/>
      <c r="AV69" s="194"/>
      <c r="AW69" s="194"/>
      <c r="AX69" s="194"/>
      <c r="AY69" s="198"/>
      <c r="AZ69" s="194"/>
      <c r="BA69" s="194"/>
      <c r="BB69" s="194"/>
      <c r="BC69" s="194"/>
      <c r="BD69" s="198"/>
      <c r="BE69" s="197"/>
      <c r="BF69" s="197"/>
      <c r="BG69" s="197"/>
      <c r="BH69" s="197"/>
      <c r="BI69" s="1094"/>
      <c r="BJ69" s="197"/>
      <c r="BK69" s="197"/>
      <c r="BL69" s="197"/>
      <c r="BM69" s="197"/>
      <c r="BN69" s="1094"/>
      <c r="BO69" s="197"/>
      <c r="BP69" s="197"/>
      <c r="BQ69" s="197"/>
      <c r="BR69" s="197"/>
      <c r="BS69" s="1094"/>
      <c r="BT69" s="727"/>
      <c r="BU69" s="197"/>
      <c r="BV69" s="197"/>
      <c r="BW69" s="197"/>
      <c r="BX69" s="1094"/>
      <c r="BY69" s="197"/>
      <c r="BZ69" s="197"/>
      <c r="CA69" s="197"/>
      <c r="CB69" s="197"/>
      <c r="CC69" s="1094"/>
      <c r="CD69" s="1094"/>
      <c r="CE69" s="1094"/>
      <c r="CF69" s="1094"/>
      <c r="CG69" s="349"/>
    </row>
    <row r="70" spans="1:85" s="613" customFormat="1" x14ac:dyDescent="0.3">
      <c r="A70" s="478" t="s">
        <v>1982</v>
      </c>
      <c r="B70" s="523"/>
      <c r="C70" s="78"/>
      <c r="D70" s="78"/>
      <c r="E70" s="78"/>
      <c r="F70" s="78"/>
      <c r="G70" s="774"/>
      <c r="H70" s="774"/>
      <c r="I70" s="774"/>
      <c r="J70" s="774"/>
      <c r="K70" s="78"/>
      <c r="L70" s="774"/>
      <c r="M70" s="774"/>
      <c r="N70" s="774"/>
      <c r="O70" s="774"/>
      <c r="P70" s="78"/>
      <c r="Q70" s="774"/>
      <c r="R70" s="774"/>
      <c r="S70" s="774"/>
      <c r="T70" s="774"/>
      <c r="U70" s="78"/>
      <c r="V70" s="774"/>
      <c r="W70" s="774"/>
      <c r="X70" s="774"/>
      <c r="Y70" s="774"/>
      <c r="Z70" s="78"/>
      <c r="AA70" s="774"/>
      <c r="AB70" s="774"/>
      <c r="AC70" s="774"/>
      <c r="AD70" s="774"/>
      <c r="AE70" s="78"/>
      <c r="AF70" s="774"/>
      <c r="AG70" s="774"/>
      <c r="AH70" s="774"/>
      <c r="AI70" s="774"/>
      <c r="AJ70" s="78"/>
      <c r="AK70" s="774"/>
      <c r="AL70" s="774"/>
      <c r="AM70" s="774"/>
      <c r="AN70" s="774"/>
      <c r="AO70" s="78"/>
      <c r="AP70" s="774"/>
      <c r="AQ70" s="774"/>
      <c r="AR70" s="774"/>
      <c r="AS70" s="774"/>
      <c r="AT70" s="1119">
        <v>20.187999999999999</v>
      </c>
      <c r="AU70" s="774"/>
      <c r="AV70" s="774"/>
      <c r="AW70" s="774"/>
      <c r="AX70" s="774"/>
      <c r="AY70" s="1119">
        <v>20.187999999999999</v>
      </c>
      <c r="AZ70" s="774"/>
      <c r="BA70" s="774"/>
      <c r="BB70" s="774"/>
      <c r="BC70" s="774"/>
      <c r="BD70" s="1119">
        <v>20.187999999999999</v>
      </c>
      <c r="BE70" s="774"/>
      <c r="BF70" s="774"/>
      <c r="BG70" s="774"/>
      <c r="BH70" s="774"/>
      <c r="BI70" s="78"/>
      <c r="BJ70" s="774"/>
      <c r="BK70" s="774"/>
      <c r="BL70" s="774"/>
      <c r="BM70" s="774"/>
      <c r="BN70" s="78"/>
      <c r="BO70" s="774"/>
      <c r="BP70" s="774"/>
      <c r="BQ70" s="774"/>
      <c r="BR70" s="774"/>
      <c r="BS70" s="78"/>
      <c r="BT70" s="775"/>
      <c r="BU70" s="774"/>
      <c r="BV70" s="774"/>
      <c r="BW70" s="774"/>
      <c r="BX70" s="78"/>
      <c r="BY70" s="774"/>
      <c r="BZ70" s="774"/>
      <c r="CA70" s="774"/>
      <c r="CB70" s="774"/>
      <c r="CC70" s="78"/>
      <c r="CD70" s="78"/>
      <c r="CE70" s="78"/>
      <c r="CF70" s="78"/>
      <c r="CG70" s="532"/>
    </row>
    <row r="71" spans="1:85" s="615" customFormat="1" x14ac:dyDescent="0.3">
      <c r="A71" s="522" t="s">
        <v>1981</v>
      </c>
      <c r="B71" s="521"/>
      <c r="C71" s="1122"/>
      <c r="D71" s="1122"/>
      <c r="E71" s="1122"/>
      <c r="F71" s="1122"/>
      <c r="G71" s="520"/>
      <c r="H71" s="520"/>
      <c r="I71" s="520"/>
      <c r="J71" s="520"/>
      <c r="K71" s="1122"/>
      <c r="L71" s="520"/>
      <c r="M71" s="520"/>
      <c r="N71" s="520"/>
      <c r="O71" s="520"/>
      <c r="P71" s="1122"/>
      <c r="Q71" s="520"/>
      <c r="R71" s="520"/>
      <c r="S71" s="520"/>
      <c r="T71" s="520"/>
      <c r="U71" s="1122"/>
      <c r="V71" s="520"/>
      <c r="W71" s="520"/>
      <c r="X71" s="520"/>
      <c r="Y71" s="520"/>
      <c r="Z71" s="1122"/>
      <c r="AA71" s="520"/>
      <c r="AB71" s="520"/>
      <c r="AC71" s="520"/>
      <c r="AD71" s="520"/>
      <c r="AE71" s="1122"/>
      <c r="AF71" s="520"/>
      <c r="AG71" s="520"/>
      <c r="AH71" s="520"/>
      <c r="AI71" s="520"/>
      <c r="AJ71" s="1122"/>
      <c r="AK71" s="520"/>
      <c r="AL71" s="520"/>
      <c r="AM71" s="520"/>
      <c r="AN71" s="520"/>
      <c r="AO71" s="1122"/>
      <c r="AP71" s="520"/>
      <c r="AQ71" s="520"/>
      <c r="AR71" s="520"/>
      <c r="AS71" s="520"/>
      <c r="AT71" s="1123">
        <v>41.29</v>
      </c>
      <c r="AU71" s="526"/>
      <c r="AV71" s="526"/>
      <c r="AW71" s="526"/>
      <c r="AX71" s="526"/>
      <c r="AY71" s="1123">
        <v>41.29</v>
      </c>
      <c r="AZ71" s="526"/>
      <c r="BA71" s="526"/>
      <c r="BB71" s="526"/>
      <c r="BC71" s="526"/>
      <c r="BD71" s="1123">
        <v>41.29</v>
      </c>
      <c r="BE71" s="520"/>
      <c r="BF71" s="520"/>
      <c r="BG71" s="520"/>
      <c r="BH71" s="520"/>
      <c r="BI71" s="1122"/>
      <c r="BJ71" s="520"/>
      <c r="BK71" s="520"/>
      <c r="BL71" s="520"/>
      <c r="BM71" s="520"/>
      <c r="BN71" s="1122"/>
      <c r="BO71" s="520"/>
      <c r="BP71" s="520"/>
      <c r="BQ71" s="520"/>
      <c r="BR71" s="520"/>
      <c r="BS71" s="1122"/>
      <c r="BT71" s="728"/>
      <c r="BU71" s="520"/>
      <c r="BV71" s="520"/>
      <c r="BW71" s="520"/>
      <c r="BX71" s="1122"/>
      <c r="BY71" s="520"/>
      <c r="BZ71" s="520"/>
      <c r="CA71" s="520"/>
      <c r="CB71" s="520"/>
      <c r="CC71" s="1122"/>
      <c r="CD71" s="1122"/>
      <c r="CE71" s="1122"/>
      <c r="CF71" s="1122"/>
      <c r="CG71" s="519"/>
    </row>
    <row r="72" spans="1:85" s="614" customFormat="1" x14ac:dyDescent="0.3">
      <c r="A72" s="522"/>
      <c r="B72" s="352"/>
      <c r="C72" s="1094"/>
      <c r="D72" s="1094"/>
      <c r="E72" s="1094"/>
      <c r="F72" s="1094"/>
      <c r="G72" s="197"/>
      <c r="H72" s="197"/>
      <c r="I72" s="197"/>
      <c r="J72" s="197"/>
      <c r="K72" s="1094"/>
      <c r="L72" s="197"/>
      <c r="M72" s="197"/>
      <c r="N72" s="197"/>
      <c r="O72" s="197"/>
      <c r="P72" s="1094"/>
      <c r="Q72" s="197"/>
      <c r="R72" s="197"/>
      <c r="S72" s="197"/>
      <c r="T72" s="197"/>
      <c r="U72" s="1094"/>
      <c r="V72" s="197"/>
      <c r="W72" s="197"/>
      <c r="X72" s="197"/>
      <c r="Y72" s="197"/>
      <c r="Z72" s="1094"/>
      <c r="AA72" s="197"/>
      <c r="AB72" s="197"/>
      <c r="AC72" s="197"/>
      <c r="AD72" s="197"/>
      <c r="AE72" s="1094"/>
      <c r="AF72" s="197"/>
      <c r="AG72" s="197"/>
      <c r="AH72" s="197"/>
      <c r="AI72" s="197"/>
      <c r="AJ72" s="1094"/>
      <c r="AK72" s="197"/>
      <c r="AL72" s="197"/>
      <c r="AM72" s="197"/>
      <c r="AN72" s="197"/>
      <c r="AO72" s="1094"/>
      <c r="AP72" s="197"/>
      <c r="AQ72" s="197"/>
      <c r="AR72" s="197"/>
      <c r="AS72" s="197"/>
      <c r="AT72" s="198"/>
      <c r="AU72" s="194"/>
      <c r="AV72" s="194"/>
      <c r="AW72" s="194"/>
      <c r="AX72" s="194"/>
      <c r="AY72" s="198"/>
      <c r="AZ72" s="194"/>
      <c r="BA72" s="194"/>
      <c r="BB72" s="194"/>
      <c r="BC72" s="194"/>
      <c r="BD72" s="198"/>
      <c r="BE72" s="197"/>
      <c r="BF72" s="197"/>
      <c r="BG72" s="197"/>
      <c r="BH72" s="197"/>
      <c r="BI72" s="1094"/>
      <c r="BJ72" s="197"/>
      <c r="BK72" s="197"/>
      <c r="BL72" s="197"/>
      <c r="BM72" s="197"/>
      <c r="BN72" s="1094"/>
      <c r="BO72" s="197"/>
      <c r="BP72" s="197"/>
      <c r="BQ72" s="197"/>
      <c r="BR72" s="197"/>
      <c r="BS72" s="1094"/>
      <c r="BT72" s="727"/>
      <c r="BU72" s="197"/>
      <c r="BV72" s="197"/>
      <c r="BW72" s="197"/>
      <c r="BX72" s="1094"/>
      <c r="BY72" s="197"/>
      <c r="BZ72" s="197"/>
      <c r="CA72" s="197"/>
      <c r="CB72" s="197"/>
      <c r="CC72" s="1094"/>
      <c r="CD72" s="1094"/>
      <c r="CE72" s="1094"/>
      <c r="CF72" s="1094"/>
      <c r="CG72" s="349"/>
    </row>
    <row r="73" spans="1:85" s="613" customFormat="1" x14ac:dyDescent="0.3">
      <c r="A73" s="478" t="s">
        <v>1980</v>
      </c>
      <c r="B73" s="523"/>
      <c r="C73" s="78"/>
      <c r="D73" s="78"/>
      <c r="E73" s="78"/>
      <c r="F73" s="78"/>
      <c r="G73" s="774"/>
      <c r="H73" s="774"/>
      <c r="I73" s="774"/>
      <c r="J73" s="774"/>
      <c r="K73" s="78"/>
      <c r="L73" s="774"/>
      <c r="M73" s="774"/>
      <c r="N73" s="774"/>
      <c r="O73" s="774"/>
      <c r="P73" s="78"/>
      <c r="Q73" s="774"/>
      <c r="R73" s="774"/>
      <c r="S73" s="774"/>
      <c r="T73" s="774"/>
      <c r="U73" s="78"/>
      <c r="V73" s="774"/>
      <c r="W73" s="774"/>
      <c r="X73" s="774"/>
      <c r="Y73" s="774"/>
      <c r="Z73" s="78"/>
      <c r="AA73" s="774"/>
      <c r="AB73" s="774"/>
      <c r="AC73" s="774"/>
      <c r="AD73" s="774"/>
      <c r="AE73" s="78"/>
      <c r="AF73" s="774"/>
      <c r="AG73" s="774"/>
      <c r="AH73" s="774"/>
      <c r="AI73" s="774"/>
      <c r="AJ73" s="78"/>
      <c r="AK73" s="774"/>
      <c r="AL73" s="774"/>
      <c r="AM73" s="774"/>
      <c r="AN73" s="774"/>
      <c r="AO73" s="78"/>
      <c r="AP73" s="774"/>
      <c r="AQ73" s="774"/>
      <c r="AR73" s="774"/>
      <c r="AS73" s="774"/>
      <c r="AT73" s="1119">
        <v>17.969000000000001</v>
      </c>
      <c r="AU73" s="774"/>
      <c r="AV73" s="774"/>
      <c r="AW73" s="774"/>
      <c r="AX73" s="774"/>
      <c r="AY73" s="1119">
        <v>17.969000000000001</v>
      </c>
      <c r="AZ73" s="774"/>
      <c r="BA73" s="774"/>
      <c r="BB73" s="774"/>
      <c r="BC73" s="774"/>
      <c r="BD73" s="1119">
        <v>17.969000000000001</v>
      </c>
      <c r="BE73" s="774"/>
      <c r="BF73" s="774"/>
      <c r="BG73" s="774"/>
      <c r="BH73" s="774"/>
      <c r="BI73" s="78"/>
      <c r="BJ73" s="774"/>
      <c r="BK73" s="774"/>
      <c r="BL73" s="774"/>
      <c r="BM73" s="774"/>
      <c r="BN73" s="78"/>
      <c r="BO73" s="774"/>
      <c r="BP73" s="774"/>
      <c r="BQ73" s="774"/>
      <c r="BR73" s="774"/>
      <c r="BS73" s="78"/>
      <c r="BT73" s="775"/>
      <c r="BU73" s="774"/>
      <c r="BV73" s="774"/>
      <c r="BW73" s="774"/>
      <c r="BX73" s="78"/>
      <c r="BY73" s="774"/>
      <c r="BZ73" s="774"/>
      <c r="CA73" s="774"/>
      <c r="CB73" s="774"/>
      <c r="CC73" s="78"/>
      <c r="CD73" s="78"/>
      <c r="CE73" s="78"/>
      <c r="CF73" s="78"/>
      <c r="CG73" s="532"/>
    </row>
    <row r="74" spans="1:85" s="615" customFormat="1" x14ac:dyDescent="0.3">
      <c r="A74" s="522" t="s">
        <v>1979</v>
      </c>
      <c r="B74" s="521"/>
      <c r="C74" s="1122"/>
      <c r="D74" s="1122"/>
      <c r="E74" s="1122"/>
      <c r="F74" s="1122"/>
      <c r="G74" s="520"/>
      <c r="H74" s="520"/>
      <c r="I74" s="520"/>
      <c r="J74" s="520"/>
      <c r="K74" s="1122"/>
      <c r="L74" s="520"/>
      <c r="M74" s="520"/>
      <c r="N74" s="520"/>
      <c r="O74" s="520"/>
      <c r="P74" s="1122"/>
      <c r="Q74" s="520"/>
      <c r="R74" s="520"/>
      <c r="S74" s="520"/>
      <c r="T74" s="520"/>
      <c r="U74" s="1122"/>
      <c r="V74" s="520"/>
      <c r="W74" s="520"/>
      <c r="X74" s="520"/>
      <c r="Y74" s="520"/>
      <c r="Z74" s="1122"/>
      <c r="AA74" s="520"/>
      <c r="AB74" s="520"/>
      <c r="AC74" s="520"/>
      <c r="AD74" s="520"/>
      <c r="AE74" s="1122"/>
      <c r="AF74" s="520"/>
      <c r="AG74" s="520"/>
      <c r="AH74" s="520"/>
      <c r="AI74" s="520"/>
      <c r="AJ74" s="1122"/>
      <c r="AK74" s="520"/>
      <c r="AL74" s="520"/>
      <c r="AM74" s="520"/>
      <c r="AN74" s="520"/>
      <c r="AO74" s="1122"/>
      <c r="AP74" s="520"/>
      <c r="AQ74" s="520"/>
      <c r="AR74" s="520"/>
      <c r="AS74" s="520"/>
      <c r="AT74" s="1123">
        <v>46.37</v>
      </c>
      <c r="AU74" s="526"/>
      <c r="AV74" s="526"/>
      <c r="AW74" s="526"/>
      <c r="AX74" s="526"/>
      <c r="AY74" s="1123">
        <v>46.37</v>
      </c>
      <c r="AZ74" s="526"/>
      <c r="BA74" s="526"/>
      <c r="BB74" s="526"/>
      <c r="BC74" s="526"/>
      <c r="BD74" s="1123">
        <v>46.37</v>
      </c>
      <c r="BE74" s="520"/>
      <c r="BF74" s="520"/>
      <c r="BG74" s="520"/>
      <c r="BH74" s="520"/>
      <c r="BI74" s="1122"/>
      <c r="BJ74" s="520"/>
      <c r="BK74" s="520"/>
      <c r="BL74" s="520"/>
      <c r="BM74" s="520"/>
      <c r="BN74" s="1122"/>
      <c r="BO74" s="520"/>
      <c r="BP74" s="520"/>
      <c r="BQ74" s="520"/>
      <c r="BR74" s="520"/>
      <c r="BS74" s="1122"/>
      <c r="BT74" s="728"/>
      <c r="BU74" s="520"/>
      <c r="BV74" s="520"/>
      <c r="BW74" s="520"/>
      <c r="BX74" s="1122"/>
      <c r="BY74" s="520"/>
      <c r="BZ74" s="520"/>
      <c r="CA74" s="520"/>
      <c r="CB74" s="520"/>
      <c r="CC74" s="1122"/>
      <c r="CD74" s="1122"/>
      <c r="CE74" s="1122"/>
      <c r="CF74" s="1122"/>
      <c r="CG74" s="519"/>
    </row>
    <row r="75" spans="1:85" s="614" customFormat="1" x14ac:dyDescent="0.3">
      <c r="A75" s="522"/>
      <c r="B75" s="352"/>
      <c r="C75" s="1094"/>
      <c r="D75" s="1094"/>
      <c r="E75" s="1094"/>
      <c r="F75" s="1094"/>
      <c r="G75" s="197"/>
      <c r="H75" s="197"/>
      <c r="I75" s="197"/>
      <c r="J75" s="197"/>
      <c r="K75" s="1094"/>
      <c r="L75" s="197"/>
      <c r="M75" s="197"/>
      <c r="N75" s="197"/>
      <c r="O75" s="197"/>
      <c r="P75" s="1094"/>
      <c r="Q75" s="197"/>
      <c r="R75" s="197"/>
      <c r="S75" s="197"/>
      <c r="T75" s="197"/>
      <c r="U75" s="1094"/>
      <c r="V75" s="197"/>
      <c r="W75" s="197"/>
      <c r="X75" s="197"/>
      <c r="Y75" s="197"/>
      <c r="Z75" s="1094"/>
      <c r="AA75" s="197"/>
      <c r="AB75" s="197"/>
      <c r="AC75" s="197"/>
      <c r="AD75" s="197"/>
      <c r="AE75" s="1094"/>
      <c r="AF75" s="197"/>
      <c r="AG75" s="197"/>
      <c r="AH75" s="197"/>
      <c r="AI75" s="197"/>
      <c r="AJ75" s="1094"/>
      <c r="AK75" s="197"/>
      <c r="AL75" s="197"/>
      <c r="AM75" s="197"/>
      <c r="AN75" s="197"/>
      <c r="AO75" s="1094"/>
      <c r="AP75" s="197"/>
      <c r="AQ75" s="197"/>
      <c r="AR75" s="197"/>
      <c r="AS75" s="197"/>
      <c r="AT75" s="198"/>
      <c r="AU75" s="194"/>
      <c r="AV75" s="194"/>
      <c r="AW75" s="194"/>
      <c r="AX75" s="194"/>
      <c r="AY75" s="198"/>
      <c r="AZ75" s="194"/>
      <c r="BA75" s="194"/>
      <c r="BB75" s="194"/>
      <c r="BC75" s="194"/>
      <c r="BD75" s="198"/>
      <c r="BE75" s="197"/>
      <c r="BF75" s="197"/>
      <c r="BG75" s="197"/>
      <c r="BH75" s="197"/>
      <c r="BI75" s="1094"/>
      <c r="BJ75" s="197"/>
      <c r="BK75" s="197"/>
      <c r="BL75" s="197"/>
      <c r="BM75" s="197"/>
      <c r="BN75" s="1094"/>
      <c r="BO75" s="197"/>
      <c r="BP75" s="197"/>
      <c r="BQ75" s="197"/>
      <c r="BR75" s="197"/>
      <c r="BS75" s="1094"/>
      <c r="BT75" s="727"/>
      <c r="BU75" s="197"/>
      <c r="BV75" s="197"/>
      <c r="BW75" s="197"/>
      <c r="BX75" s="1094"/>
      <c r="BY75" s="197"/>
      <c r="BZ75" s="197"/>
      <c r="CA75" s="197"/>
      <c r="CB75" s="197"/>
      <c r="CC75" s="1094"/>
      <c r="CD75" s="1094"/>
      <c r="CE75" s="1094"/>
      <c r="CF75" s="1094"/>
      <c r="CG75" s="349"/>
    </row>
    <row r="76" spans="1:85" s="613" customFormat="1" x14ac:dyDescent="0.3">
      <c r="A76" s="478" t="s">
        <v>1978</v>
      </c>
      <c r="B76" s="523"/>
      <c r="C76" s="78"/>
      <c r="D76" s="78"/>
      <c r="E76" s="78"/>
      <c r="F76" s="78"/>
      <c r="G76" s="774"/>
      <c r="H76" s="774"/>
      <c r="I76" s="774"/>
      <c r="J76" s="774"/>
      <c r="K76" s="78"/>
      <c r="L76" s="774"/>
      <c r="M76" s="774"/>
      <c r="N76" s="774"/>
      <c r="O76" s="774"/>
      <c r="P76" s="78"/>
      <c r="Q76" s="774"/>
      <c r="R76" s="774"/>
      <c r="S76" s="774"/>
      <c r="T76" s="774"/>
      <c r="U76" s="78"/>
      <c r="V76" s="774"/>
      <c r="W76" s="774"/>
      <c r="X76" s="774"/>
      <c r="Y76" s="774"/>
      <c r="Z76" s="78"/>
      <c r="AA76" s="774"/>
      <c r="AB76" s="774"/>
      <c r="AC76" s="774"/>
      <c r="AD76" s="774"/>
      <c r="AE76" s="78"/>
      <c r="AF76" s="774"/>
      <c r="AG76" s="774"/>
      <c r="AH76" s="774"/>
      <c r="AI76" s="774"/>
      <c r="AJ76" s="78"/>
      <c r="AK76" s="774"/>
      <c r="AL76" s="774"/>
      <c r="AM76" s="774"/>
      <c r="AN76" s="774"/>
      <c r="AO76" s="78"/>
      <c r="AP76" s="774"/>
      <c r="AQ76" s="774"/>
      <c r="AR76" s="774"/>
      <c r="AS76" s="774"/>
      <c r="AT76" s="1119">
        <v>17.716999999999999</v>
      </c>
      <c r="AU76" s="774"/>
      <c r="AV76" s="774"/>
      <c r="AW76" s="774"/>
      <c r="AX76" s="774"/>
      <c r="AY76" s="1119">
        <v>17.716999999999999</v>
      </c>
      <c r="AZ76" s="774"/>
      <c r="BA76" s="774"/>
      <c r="BB76" s="774"/>
      <c r="BC76" s="774"/>
      <c r="BD76" s="1119">
        <v>17.716999999999999</v>
      </c>
      <c r="BE76" s="774"/>
      <c r="BF76" s="774"/>
      <c r="BG76" s="774"/>
      <c r="BH76" s="774"/>
      <c r="BI76" s="78"/>
      <c r="BJ76" s="774"/>
      <c r="BK76" s="774"/>
      <c r="BL76" s="774"/>
      <c r="BM76" s="774"/>
      <c r="BN76" s="78"/>
      <c r="BO76" s="774"/>
      <c r="BP76" s="774"/>
      <c r="BQ76" s="774"/>
      <c r="BR76" s="774"/>
      <c r="BS76" s="78"/>
      <c r="BT76" s="775"/>
      <c r="BU76" s="774"/>
      <c r="BV76" s="774"/>
      <c r="BW76" s="774"/>
      <c r="BX76" s="78"/>
      <c r="BY76" s="774"/>
      <c r="BZ76" s="774"/>
      <c r="CA76" s="774"/>
      <c r="CB76" s="774"/>
      <c r="CC76" s="78"/>
      <c r="CD76" s="78"/>
      <c r="CE76" s="78"/>
      <c r="CF76" s="78"/>
      <c r="CG76" s="532"/>
    </row>
    <row r="77" spans="1:85" s="615" customFormat="1" x14ac:dyDescent="0.3">
      <c r="A77" s="522" t="s">
        <v>1977</v>
      </c>
      <c r="B77" s="521"/>
      <c r="C77" s="1122"/>
      <c r="D77" s="1122"/>
      <c r="E77" s="1122"/>
      <c r="F77" s="1122"/>
      <c r="G77" s="520"/>
      <c r="H77" s="520"/>
      <c r="I77" s="520"/>
      <c r="J77" s="520"/>
      <c r="K77" s="1122"/>
      <c r="L77" s="520"/>
      <c r="M77" s="520"/>
      <c r="N77" s="520"/>
      <c r="O77" s="520"/>
      <c r="P77" s="1122"/>
      <c r="Q77" s="520"/>
      <c r="R77" s="520"/>
      <c r="S77" s="520"/>
      <c r="T77" s="520"/>
      <c r="U77" s="1122"/>
      <c r="V77" s="520"/>
      <c r="W77" s="520"/>
      <c r="X77" s="520"/>
      <c r="Y77" s="520"/>
      <c r="Z77" s="1122"/>
      <c r="AA77" s="520"/>
      <c r="AB77" s="520"/>
      <c r="AC77" s="520"/>
      <c r="AD77" s="520"/>
      <c r="AE77" s="1122"/>
      <c r="AF77" s="520"/>
      <c r="AG77" s="520"/>
      <c r="AH77" s="520"/>
      <c r="AI77" s="520"/>
      <c r="AJ77" s="1122"/>
      <c r="AK77" s="520"/>
      <c r="AL77" s="520"/>
      <c r="AM77" s="520"/>
      <c r="AN77" s="520"/>
      <c r="AO77" s="1122"/>
      <c r="AP77" s="520"/>
      <c r="AQ77" s="520"/>
      <c r="AR77" s="520"/>
      <c r="AS77" s="520"/>
      <c r="AT77" s="1123">
        <v>47.04</v>
      </c>
      <c r="AU77" s="526"/>
      <c r="AV77" s="526"/>
      <c r="AW77" s="526"/>
      <c r="AX77" s="526"/>
      <c r="AY77" s="1123">
        <v>47.04</v>
      </c>
      <c r="AZ77" s="526"/>
      <c r="BA77" s="526"/>
      <c r="BB77" s="526"/>
      <c r="BC77" s="526"/>
      <c r="BD77" s="1123">
        <v>47.04</v>
      </c>
      <c r="BE77" s="520"/>
      <c r="BF77" s="520"/>
      <c r="BG77" s="520"/>
      <c r="BH77" s="520"/>
      <c r="BI77" s="1122"/>
      <c r="BJ77" s="520"/>
      <c r="BK77" s="520"/>
      <c r="BL77" s="520"/>
      <c r="BM77" s="520"/>
      <c r="BN77" s="1122"/>
      <c r="BO77" s="520"/>
      <c r="BP77" s="520"/>
      <c r="BQ77" s="520"/>
      <c r="BR77" s="520"/>
      <c r="BS77" s="1122"/>
      <c r="BT77" s="728"/>
      <c r="BU77" s="520"/>
      <c r="BV77" s="520"/>
      <c r="BW77" s="520"/>
      <c r="BX77" s="1122"/>
      <c r="BY77" s="520"/>
      <c r="BZ77" s="520"/>
      <c r="CA77" s="520"/>
      <c r="CB77" s="520"/>
      <c r="CC77" s="1122"/>
      <c r="CD77" s="1122"/>
      <c r="CE77" s="1122"/>
      <c r="CF77" s="1122"/>
      <c r="CG77" s="519"/>
    </row>
    <row r="78" spans="1:85" s="614" customFormat="1" x14ac:dyDescent="0.3">
      <c r="A78" s="522"/>
      <c r="B78" s="352"/>
      <c r="C78" s="1094"/>
      <c r="D78" s="1094"/>
      <c r="E78" s="1094"/>
      <c r="F78" s="1094"/>
      <c r="G78" s="197"/>
      <c r="H78" s="197"/>
      <c r="I78" s="197"/>
      <c r="J78" s="197"/>
      <c r="K78" s="1094"/>
      <c r="L78" s="197"/>
      <c r="M78" s="197"/>
      <c r="N78" s="197"/>
      <c r="O78" s="197"/>
      <c r="P78" s="1094"/>
      <c r="Q78" s="197"/>
      <c r="R78" s="197"/>
      <c r="S78" s="197"/>
      <c r="T78" s="197"/>
      <c r="U78" s="1094"/>
      <c r="V78" s="197"/>
      <c r="W78" s="197"/>
      <c r="X78" s="197"/>
      <c r="Y78" s="197"/>
      <c r="Z78" s="1094"/>
      <c r="AA78" s="197"/>
      <c r="AB78" s="197"/>
      <c r="AC78" s="197"/>
      <c r="AD78" s="197"/>
      <c r="AE78" s="1094"/>
      <c r="AF78" s="197"/>
      <c r="AG78" s="197"/>
      <c r="AH78" s="197"/>
      <c r="AI78" s="197"/>
      <c r="AJ78" s="1094"/>
      <c r="AK78" s="197"/>
      <c r="AL78" s="197"/>
      <c r="AM78" s="197"/>
      <c r="AN78" s="197"/>
      <c r="AO78" s="1094"/>
      <c r="AP78" s="197"/>
      <c r="AQ78" s="197"/>
      <c r="AR78" s="197"/>
      <c r="AS78" s="197"/>
      <c r="AT78" s="198"/>
      <c r="AU78" s="194"/>
      <c r="AV78" s="194"/>
      <c r="AW78" s="194"/>
      <c r="AX78" s="194"/>
      <c r="AY78" s="198"/>
      <c r="AZ78" s="194"/>
      <c r="BA78" s="194"/>
      <c r="BB78" s="194"/>
      <c r="BC78" s="194"/>
      <c r="BD78" s="198"/>
      <c r="BE78" s="197"/>
      <c r="BF78" s="197"/>
      <c r="BG78" s="197"/>
      <c r="BH78" s="197"/>
      <c r="BI78" s="1094"/>
      <c r="BJ78" s="197"/>
      <c r="BK78" s="197"/>
      <c r="BL78" s="197"/>
      <c r="BM78" s="197"/>
      <c r="BN78" s="1094"/>
      <c r="BO78" s="197"/>
      <c r="BP78" s="197"/>
      <c r="BQ78" s="197"/>
      <c r="BR78" s="197"/>
      <c r="BS78" s="1094"/>
      <c r="BT78" s="727"/>
      <c r="BU78" s="197"/>
      <c r="BV78" s="197"/>
      <c r="BW78" s="197"/>
      <c r="BX78" s="1094"/>
      <c r="BY78" s="197"/>
      <c r="BZ78" s="197"/>
      <c r="CA78" s="197"/>
      <c r="CB78" s="197"/>
      <c r="CC78" s="1094"/>
      <c r="CD78" s="1094"/>
      <c r="CE78" s="1094"/>
      <c r="CF78" s="1094"/>
      <c r="CG78" s="349"/>
    </row>
    <row r="79" spans="1:85" s="613" customFormat="1" x14ac:dyDescent="0.3">
      <c r="A79" s="478" t="s">
        <v>1976</v>
      </c>
      <c r="B79" s="523"/>
      <c r="C79" s="78"/>
      <c r="D79" s="78"/>
      <c r="E79" s="78"/>
      <c r="F79" s="78"/>
      <c r="G79" s="774"/>
      <c r="H79" s="774"/>
      <c r="I79" s="774"/>
      <c r="J79" s="774"/>
      <c r="K79" s="78"/>
      <c r="L79" s="774"/>
      <c r="M79" s="774"/>
      <c r="N79" s="774"/>
      <c r="O79" s="774"/>
      <c r="P79" s="78"/>
      <c r="Q79" s="774"/>
      <c r="R79" s="774"/>
      <c r="S79" s="774"/>
      <c r="T79" s="774"/>
      <c r="U79" s="78"/>
      <c r="V79" s="774"/>
      <c r="W79" s="774"/>
      <c r="X79" s="774"/>
      <c r="Y79" s="774"/>
      <c r="Z79" s="78"/>
      <c r="AA79" s="774"/>
      <c r="AB79" s="774"/>
      <c r="AC79" s="774"/>
      <c r="AD79" s="774"/>
      <c r="AE79" s="78"/>
      <c r="AF79" s="774"/>
      <c r="AG79" s="774"/>
      <c r="AH79" s="774"/>
      <c r="AI79" s="774"/>
      <c r="AJ79" s="78"/>
      <c r="AK79" s="774"/>
      <c r="AL79" s="774"/>
      <c r="AM79" s="774"/>
      <c r="AN79" s="774"/>
      <c r="AO79" s="78"/>
      <c r="AP79" s="774"/>
      <c r="AQ79" s="774"/>
      <c r="AR79" s="774"/>
      <c r="AS79" s="774"/>
      <c r="AT79" s="1119">
        <v>16.03</v>
      </c>
      <c r="AU79" s="774"/>
      <c r="AV79" s="774"/>
      <c r="AW79" s="774"/>
      <c r="AX79" s="774"/>
      <c r="AY79" s="1119">
        <v>16.03</v>
      </c>
      <c r="AZ79" s="774"/>
      <c r="BA79" s="774"/>
      <c r="BB79" s="774"/>
      <c r="BC79" s="774"/>
      <c r="BD79" s="1119">
        <v>16.03</v>
      </c>
      <c r="BE79" s="774"/>
      <c r="BF79" s="774"/>
      <c r="BG79" s="774"/>
      <c r="BH79" s="774"/>
      <c r="BI79" s="78"/>
      <c r="BJ79" s="774"/>
      <c r="BK79" s="774"/>
      <c r="BL79" s="774"/>
      <c r="BM79" s="774"/>
      <c r="BN79" s="78"/>
      <c r="BO79" s="774"/>
      <c r="BP79" s="774"/>
      <c r="BQ79" s="774"/>
      <c r="BR79" s="774"/>
      <c r="BS79" s="78"/>
      <c r="BT79" s="775"/>
      <c r="BU79" s="774"/>
      <c r="BV79" s="774"/>
      <c r="BW79" s="774"/>
      <c r="BX79" s="78"/>
      <c r="BY79" s="774"/>
      <c r="BZ79" s="774"/>
      <c r="CA79" s="774"/>
      <c r="CB79" s="774"/>
      <c r="CC79" s="78"/>
      <c r="CD79" s="78"/>
      <c r="CE79" s="78"/>
      <c r="CF79" s="78"/>
      <c r="CG79" s="532"/>
    </row>
    <row r="80" spans="1:85" s="615" customFormat="1" x14ac:dyDescent="0.3">
      <c r="A80" s="522" t="s">
        <v>1975</v>
      </c>
      <c r="B80" s="521"/>
      <c r="C80" s="1122"/>
      <c r="D80" s="1122"/>
      <c r="E80" s="1122"/>
      <c r="F80" s="1122"/>
      <c r="G80" s="520"/>
      <c r="H80" s="520"/>
      <c r="I80" s="520"/>
      <c r="J80" s="520"/>
      <c r="K80" s="1122"/>
      <c r="L80" s="520"/>
      <c r="M80" s="520"/>
      <c r="N80" s="520"/>
      <c r="O80" s="520"/>
      <c r="P80" s="1122"/>
      <c r="Q80" s="520"/>
      <c r="R80" s="520"/>
      <c r="S80" s="520"/>
      <c r="T80" s="520"/>
      <c r="U80" s="1122"/>
      <c r="V80" s="520"/>
      <c r="W80" s="520"/>
      <c r="X80" s="520"/>
      <c r="Y80" s="520"/>
      <c r="Z80" s="1122"/>
      <c r="AA80" s="520"/>
      <c r="AB80" s="520"/>
      <c r="AC80" s="520"/>
      <c r="AD80" s="520"/>
      <c r="AE80" s="1122"/>
      <c r="AF80" s="520"/>
      <c r="AG80" s="520"/>
      <c r="AH80" s="520"/>
      <c r="AI80" s="520"/>
      <c r="AJ80" s="1122"/>
      <c r="AK80" s="520"/>
      <c r="AL80" s="520"/>
      <c r="AM80" s="520"/>
      <c r="AN80" s="520"/>
      <c r="AO80" s="1122"/>
      <c r="AP80" s="520"/>
      <c r="AQ80" s="520"/>
      <c r="AR80" s="520"/>
      <c r="AS80" s="520"/>
      <c r="AT80" s="1123">
        <v>51.99</v>
      </c>
      <c r="AU80" s="526"/>
      <c r="AV80" s="526"/>
      <c r="AW80" s="526"/>
      <c r="AX80" s="526"/>
      <c r="AY80" s="1123">
        <v>51.99</v>
      </c>
      <c r="AZ80" s="526"/>
      <c r="BA80" s="526"/>
      <c r="BB80" s="526"/>
      <c r="BC80" s="526"/>
      <c r="BD80" s="1123">
        <v>51.99</v>
      </c>
      <c r="BE80" s="520"/>
      <c r="BF80" s="520"/>
      <c r="BG80" s="520"/>
      <c r="BH80" s="520"/>
      <c r="BI80" s="1122"/>
      <c r="BJ80" s="520"/>
      <c r="BK80" s="520"/>
      <c r="BL80" s="520"/>
      <c r="BM80" s="520"/>
      <c r="BN80" s="1122"/>
      <c r="BO80" s="520"/>
      <c r="BP80" s="520"/>
      <c r="BQ80" s="520"/>
      <c r="BR80" s="520"/>
      <c r="BS80" s="1122"/>
      <c r="BT80" s="728"/>
      <c r="BU80" s="520"/>
      <c r="BV80" s="520"/>
      <c r="BW80" s="520"/>
      <c r="BX80" s="1122"/>
      <c r="BY80" s="520"/>
      <c r="BZ80" s="520"/>
      <c r="CA80" s="520"/>
      <c r="CB80" s="520"/>
      <c r="CC80" s="1122"/>
      <c r="CD80" s="1122"/>
      <c r="CE80" s="1122"/>
      <c r="CF80" s="1122"/>
      <c r="CG80" s="519"/>
    </row>
    <row r="81" spans="1:85" s="614" customFormat="1" x14ac:dyDescent="0.3">
      <c r="A81" s="224"/>
      <c r="B81" s="352"/>
      <c r="C81" s="1094"/>
      <c r="D81" s="1094"/>
      <c r="E81" s="1094"/>
      <c r="F81" s="1094"/>
      <c r="G81" s="197"/>
      <c r="H81" s="197"/>
      <c r="I81" s="197"/>
      <c r="J81" s="197"/>
      <c r="K81" s="1094"/>
      <c r="L81" s="197"/>
      <c r="M81" s="197"/>
      <c r="N81" s="197"/>
      <c r="O81" s="197"/>
      <c r="P81" s="1094"/>
      <c r="Q81" s="197"/>
      <c r="R81" s="197"/>
      <c r="S81" s="197"/>
      <c r="T81" s="197"/>
      <c r="U81" s="1094"/>
      <c r="V81" s="197"/>
      <c r="W81" s="197"/>
      <c r="X81" s="197"/>
      <c r="Y81" s="197"/>
      <c r="Z81" s="1094"/>
      <c r="AA81" s="197"/>
      <c r="AB81" s="197"/>
      <c r="AC81" s="197"/>
      <c r="AD81" s="197"/>
      <c r="AE81" s="1094"/>
      <c r="AF81" s="197"/>
      <c r="AG81" s="197"/>
      <c r="AH81" s="197"/>
      <c r="AI81" s="197"/>
      <c r="AJ81" s="1094"/>
      <c r="AK81" s="197"/>
      <c r="AL81" s="197"/>
      <c r="AM81" s="197"/>
      <c r="AN81" s="197"/>
      <c r="AO81" s="1094"/>
      <c r="AP81" s="197"/>
      <c r="AQ81" s="197"/>
      <c r="AR81" s="197"/>
      <c r="AS81" s="197"/>
      <c r="AT81" s="198"/>
      <c r="AU81" s="194"/>
      <c r="AV81" s="194"/>
      <c r="AW81" s="194"/>
      <c r="AX81" s="194"/>
      <c r="AY81" s="198"/>
      <c r="AZ81" s="194"/>
      <c r="BA81" s="194"/>
      <c r="BB81" s="194"/>
      <c r="BC81" s="194"/>
      <c r="BD81" s="198"/>
      <c r="BE81" s="197"/>
      <c r="BF81" s="197"/>
      <c r="BG81" s="197"/>
      <c r="BH81" s="197"/>
      <c r="BI81" s="1094"/>
      <c r="BJ81" s="197"/>
      <c r="BK81" s="197"/>
      <c r="BL81" s="197"/>
      <c r="BM81" s="197"/>
      <c r="BN81" s="1094"/>
      <c r="BO81" s="197"/>
      <c r="BP81" s="197"/>
      <c r="BQ81" s="197"/>
      <c r="BR81" s="197"/>
      <c r="BS81" s="1094"/>
      <c r="BT81" s="727"/>
      <c r="BU81" s="197"/>
      <c r="BV81" s="197"/>
      <c r="BW81" s="197"/>
      <c r="BX81" s="1094"/>
      <c r="BY81" s="197"/>
      <c r="BZ81" s="197"/>
      <c r="CA81" s="197"/>
      <c r="CB81" s="197"/>
      <c r="CC81" s="1094"/>
      <c r="CD81" s="1094"/>
      <c r="CE81" s="1094"/>
      <c r="CF81" s="1094"/>
      <c r="CG81" s="349"/>
    </row>
    <row r="82" spans="1:85" s="613" customFormat="1" x14ac:dyDescent="0.3">
      <c r="A82" s="478" t="s">
        <v>1974</v>
      </c>
      <c r="B82" s="523"/>
      <c r="C82" s="78"/>
      <c r="D82" s="78"/>
      <c r="E82" s="78"/>
      <c r="F82" s="78"/>
      <c r="G82" s="774"/>
      <c r="H82" s="774"/>
      <c r="I82" s="774"/>
      <c r="J82" s="774"/>
      <c r="K82" s="78"/>
      <c r="L82" s="774"/>
      <c r="M82" s="774"/>
      <c r="N82" s="774"/>
      <c r="O82" s="774"/>
      <c r="P82" s="78"/>
      <c r="Q82" s="774"/>
      <c r="R82" s="774"/>
      <c r="S82" s="774"/>
      <c r="T82" s="774"/>
      <c r="U82" s="78"/>
      <c r="V82" s="774"/>
      <c r="W82" s="774"/>
      <c r="X82" s="774"/>
      <c r="Y82" s="774"/>
      <c r="Z82" s="78"/>
      <c r="AA82" s="774"/>
      <c r="AB82" s="774"/>
      <c r="AC82" s="774"/>
      <c r="AD82" s="774"/>
      <c r="AE82" s="78"/>
      <c r="AF82" s="774"/>
      <c r="AG82" s="774"/>
      <c r="AH82" s="774"/>
      <c r="AI82" s="774"/>
      <c r="AJ82" s="78"/>
      <c r="AK82" s="774"/>
      <c r="AL82" s="774"/>
      <c r="AM82" s="774"/>
      <c r="AN82" s="774"/>
      <c r="AO82" s="78"/>
      <c r="AP82" s="774"/>
      <c r="AQ82" s="774"/>
      <c r="AR82" s="774"/>
      <c r="AS82" s="774"/>
      <c r="AT82" s="1119">
        <v>16.079000000000001</v>
      </c>
      <c r="AU82" s="774"/>
      <c r="AV82" s="774"/>
      <c r="AW82" s="774"/>
      <c r="AX82" s="774"/>
      <c r="AY82" s="1119">
        <v>16.079000000000001</v>
      </c>
      <c r="AZ82" s="774"/>
      <c r="BA82" s="774"/>
      <c r="BB82" s="774"/>
      <c r="BC82" s="774"/>
      <c r="BD82" s="1119">
        <v>16.079000000000001</v>
      </c>
      <c r="BE82" s="774"/>
      <c r="BF82" s="774"/>
      <c r="BG82" s="774"/>
      <c r="BH82" s="774"/>
      <c r="BI82" s="78"/>
      <c r="BJ82" s="774"/>
      <c r="BK82" s="774"/>
      <c r="BL82" s="774"/>
      <c r="BM82" s="774"/>
      <c r="BN82" s="78"/>
      <c r="BO82" s="774"/>
      <c r="BP82" s="774"/>
      <c r="BQ82" s="774"/>
      <c r="BR82" s="774"/>
      <c r="BS82" s="78"/>
      <c r="BT82" s="775"/>
      <c r="BU82" s="774"/>
      <c r="BV82" s="774"/>
      <c r="BW82" s="774"/>
      <c r="BX82" s="78"/>
      <c r="BY82" s="774"/>
      <c r="BZ82" s="774"/>
      <c r="CA82" s="774"/>
      <c r="CB82" s="774"/>
      <c r="CC82" s="78"/>
      <c r="CD82" s="78"/>
      <c r="CE82" s="78"/>
      <c r="CF82" s="78"/>
      <c r="CG82" s="532"/>
    </row>
    <row r="83" spans="1:85" s="615" customFormat="1" x14ac:dyDescent="0.3">
      <c r="A83" s="522" t="s">
        <v>1973</v>
      </c>
      <c r="B83" s="521"/>
      <c r="C83" s="1122"/>
      <c r="D83" s="1122"/>
      <c r="E83" s="1122"/>
      <c r="F83" s="1122"/>
      <c r="G83" s="520"/>
      <c r="H83" s="520"/>
      <c r="I83" s="520"/>
      <c r="J83" s="520"/>
      <c r="K83" s="1122"/>
      <c r="L83" s="520"/>
      <c r="M83" s="520"/>
      <c r="N83" s="520"/>
      <c r="O83" s="520"/>
      <c r="P83" s="1122"/>
      <c r="Q83" s="520"/>
      <c r="R83" s="520"/>
      <c r="S83" s="520"/>
      <c r="T83" s="520"/>
      <c r="U83" s="1122"/>
      <c r="V83" s="520"/>
      <c r="W83" s="520"/>
      <c r="X83" s="520"/>
      <c r="Y83" s="520"/>
      <c r="Z83" s="1122"/>
      <c r="AA83" s="520"/>
      <c r="AB83" s="520"/>
      <c r="AC83" s="520"/>
      <c r="AD83" s="520"/>
      <c r="AE83" s="1122"/>
      <c r="AF83" s="520"/>
      <c r="AG83" s="520"/>
      <c r="AH83" s="520"/>
      <c r="AI83" s="520"/>
      <c r="AJ83" s="1122"/>
      <c r="AK83" s="520"/>
      <c r="AL83" s="520"/>
      <c r="AM83" s="520"/>
      <c r="AN83" s="520"/>
      <c r="AO83" s="1122"/>
      <c r="AP83" s="520"/>
      <c r="AQ83" s="520"/>
      <c r="AR83" s="520"/>
      <c r="AS83" s="520"/>
      <c r="AT83" s="1123">
        <v>51.83</v>
      </c>
      <c r="AU83" s="526"/>
      <c r="AV83" s="526"/>
      <c r="AW83" s="526"/>
      <c r="AX83" s="526"/>
      <c r="AY83" s="1123">
        <v>51.83</v>
      </c>
      <c r="AZ83" s="526"/>
      <c r="BA83" s="526"/>
      <c r="BB83" s="526"/>
      <c r="BC83" s="526"/>
      <c r="BD83" s="1123">
        <v>51.83</v>
      </c>
      <c r="BE83" s="520"/>
      <c r="BF83" s="520"/>
      <c r="BG83" s="520"/>
      <c r="BH83" s="520"/>
      <c r="BI83" s="1122"/>
      <c r="BJ83" s="520"/>
      <c r="BK83" s="520"/>
      <c r="BL83" s="520"/>
      <c r="BM83" s="520"/>
      <c r="BN83" s="1122"/>
      <c r="BO83" s="520"/>
      <c r="BP83" s="520"/>
      <c r="BQ83" s="520"/>
      <c r="BR83" s="520"/>
      <c r="BS83" s="1122"/>
      <c r="BT83" s="728"/>
      <c r="BU83" s="520"/>
      <c r="BV83" s="520"/>
      <c r="BW83" s="520"/>
      <c r="BX83" s="1122"/>
      <c r="BY83" s="520"/>
      <c r="BZ83" s="520"/>
      <c r="CA83" s="520"/>
      <c r="CB83" s="520"/>
      <c r="CC83" s="1122"/>
      <c r="CD83" s="1122"/>
      <c r="CE83" s="1122"/>
      <c r="CF83" s="1122"/>
      <c r="CG83" s="519"/>
    </row>
    <row r="84" spans="1:85" s="614" customFormat="1" x14ac:dyDescent="0.3">
      <c r="A84" s="522"/>
      <c r="B84" s="352"/>
      <c r="C84" s="1094"/>
      <c r="D84" s="1094"/>
      <c r="E84" s="1094"/>
      <c r="F84" s="1094"/>
      <c r="G84" s="197"/>
      <c r="H84" s="197"/>
      <c r="I84" s="197"/>
      <c r="J84" s="197"/>
      <c r="K84" s="1094"/>
      <c r="L84" s="197"/>
      <c r="M84" s="197"/>
      <c r="N84" s="197"/>
      <c r="O84" s="197"/>
      <c r="P84" s="1094"/>
      <c r="Q84" s="197"/>
      <c r="R84" s="197"/>
      <c r="S84" s="197"/>
      <c r="T84" s="197"/>
      <c r="U84" s="1094"/>
      <c r="V84" s="197"/>
      <c r="W84" s="197"/>
      <c r="X84" s="197"/>
      <c r="Y84" s="197"/>
      <c r="Z84" s="1094"/>
      <c r="AA84" s="197"/>
      <c r="AB84" s="197"/>
      <c r="AC84" s="197"/>
      <c r="AD84" s="197"/>
      <c r="AE84" s="1094"/>
      <c r="AF84" s="197"/>
      <c r="AG84" s="197"/>
      <c r="AH84" s="197"/>
      <c r="AI84" s="197"/>
      <c r="AJ84" s="1094"/>
      <c r="AK84" s="197"/>
      <c r="AL84" s="197"/>
      <c r="AM84" s="197"/>
      <c r="AN84" s="197"/>
      <c r="AO84" s="1094"/>
      <c r="AP84" s="197"/>
      <c r="AQ84" s="197"/>
      <c r="AR84" s="197"/>
      <c r="AS84" s="197"/>
      <c r="AT84" s="198"/>
      <c r="AU84" s="194"/>
      <c r="AV84" s="194"/>
      <c r="AW84" s="194"/>
      <c r="AX84" s="194"/>
      <c r="AY84" s="198"/>
      <c r="AZ84" s="194"/>
      <c r="BA84" s="194"/>
      <c r="BB84" s="194"/>
      <c r="BC84" s="194"/>
      <c r="BD84" s="198"/>
      <c r="BE84" s="197"/>
      <c r="BF84" s="197"/>
      <c r="BG84" s="197"/>
      <c r="BH84" s="197"/>
      <c r="BI84" s="1094"/>
      <c r="BJ84" s="197"/>
      <c r="BK84" s="197"/>
      <c r="BL84" s="197"/>
      <c r="BM84" s="197"/>
      <c r="BN84" s="1094"/>
      <c r="BO84" s="197"/>
      <c r="BP84" s="197"/>
      <c r="BQ84" s="197"/>
      <c r="BR84" s="197"/>
      <c r="BS84" s="1094"/>
      <c r="BT84" s="727"/>
      <c r="BU84" s="197"/>
      <c r="BV84" s="197"/>
      <c r="BW84" s="197"/>
      <c r="BX84" s="1094"/>
      <c r="BY84" s="197"/>
      <c r="BZ84" s="197"/>
      <c r="CA84" s="197"/>
      <c r="CB84" s="197"/>
      <c r="CC84" s="1094"/>
      <c r="CD84" s="1094"/>
      <c r="CE84" s="1094"/>
      <c r="CF84" s="1094"/>
      <c r="CG84" s="349"/>
    </row>
    <row r="85" spans="1:85" s="613" customFormat="1" x14ac:dyDescent="0.3">
      <c r="A85" s="478" t="s">
        <v>1972</v>
      </c>
      <c r="B85" s="523"/>
      <c r="C85" s="78"/>
      <c r="D85" s="78"/>
      <c r="E85" s="78"/>
      <c r="F85" s="78"/>
      <c r="G85" s="774"/>
      <c r="H85" s="774"/>
      <c r="I85" s="774"/>
      <c r="J85" s="774"/>
      <c r="K85" s="78"/>
      <c r="L85" s="774"/>
      <c r="M85" s="774"/>
      <c r="N85" s="774"/>
      <c r="O85" s="774"/>
      <c r="P85" s="78"/>
      <c r="Q85" s="774"/>
      <c r="R85" s="774"/>
      <c r="S85" s="774"/>
      <c r="T85" s="774"/>
      <c r="U85" s="78"/>
      <c r="V85" s="774"/>
      <c r="W85" s="774"/>
      <c r="X85" s="774"/>
      <c r="Y85" s="774"/>
      <c r="Z85" s="78"/>
      <c r="AA85" s="774"/>
      <c r="AB85" s="774"/>
      <c r="AC85" s="774"/>
      <c r="AD85" s="774"/>
      <c r="AE85" s="78"/>
      <c r="AF85" s="774"/>
      <c r="AG85" s="774"/>
      <c r="AH85" s="774"/>
      <c r="AI85" s="774"/>
      <c r="AJ85" s="78"/>
      <c r="AK85" s="774"/>
      <c r="AL85" s="774"/>
      <c r="AM85" s="774"/>
      <c r="AN85" s="774"/>
      <c r="AO85" s="78"/>
      <c r="AP85" s="774"/>
      <c r="AQ85" s="774"/>
      <c r="AR85" s="774"/>
      <c r="AS85" s="774"/>
      <c r="AT85" s="1119">
        <v>21.637</v>
      </c>
      <c r="AU85" s="774"/>
      <c r="AV85" s="774"/>
      <c r="AW85" s="774"/>
      <c r="AX85" s="774"/>
      <c r="AY85" s="1119">
        <v>21.637</v>
      </c>
      <c r="AZ85" s="774"/>
      <c r="BA85" s="774"/>
      <c r="BB85" s="774"/>
      <c r="BC85" s="774"/>
      <c r="BD85" s="1119">
        <v>21.637</v>
      </c>
      <c r="BE85" s="774"/>
      <c r="BF85" s="774"/>
      <c r="BG85" s="774"/>
      <c r="BH85" s="774"/>
      <c r="BI85" s="78"/>
      <c r="BJ85" s="774"/>
      <c r="BK85" s="774"/>
      <c r="BL85" s="774"/>
      <c r="BM85" s="774"/>
      <c r="BN85" s="78"/>
      <c r="BO85" s="774"/>
      <c r="BP85" s="774"/>
      <c r="BQ85" s="774"/>
      <c r="BR85" s="774"/>
      <c r="BS85" s="78"/>
      <c r="BT85" s="775"/>
      <c r="BU85" s="774"/>
      <c r="BV85" s="774"/>
      <c r="BW85" s="774"/>
      <c r="BX85" s="78"/>
      <c r="BY85" s="774"/>
      <c r="BZ85" s="774"/>
      <c r="CA85" s="774"/>
      <c r="CB85" s="774"/>
      <c r="CC85" s="78"/>
      <c r="CD85" s="78"/>
      <c r="CE85" s="78"/>
      <c r="CF85" s="78"/>
      <c r="CG85" s="532"/>
    </row>
    <row r="86" spans="1:85" s="615" customFormat="1" x14ac:dyDescent="0.3">
      <c r="A86" s="522" t="s">
        <v>1971</v>
      </c>
      <c r="B86" s="521"/>
      <c r="C86" s="1122"/>
      <c r="D86" s="1122"/>
      <c r="E86" s="1122"/>
      <c r="F86" s="1122"/>
      <c r="G86" s="520"/>
      <c r="H86" s="520"/>
      <c r="I86" s="520"/>
      <c r="J86" s="520"/>
      <c r="K86" s="1122"/>
      <c r="L86" s="520"/>
      <c r="M86" s="520"/>
      <c r="N86" s="520"/>
      <c r="O86" s="520"/>
      <c r="P86" s="1122"/>
      <c r="Q86" s="520"/>
      <c r="R86" s="520"/>
      <c r="S86" s="520"/>
      <c r="T86" s="520"/>
      <c r="U86" s="1122"/>
      <c r="V86" s="520"/>
      <c r="W86" s="520"/>
      <c r="X86" s="520"/>
      <c r="Y86" s="520"/>
      <c r="Z86" s="1122"/>
      <c r="AA86" s="520"/>
      <c r="AB86" s="520"/>
      <c r="AC86" s="520"/>
      <c r="AD86" s="520"/>
      <c r="AE86" s="1122"/>
      <c r="AF86" s="520"/>
      <c r="AG86" s="520"/>
      <c r="AH86" s="520"/>
      <c r="AI86" s="520"/>
      <c r="AJ86" s="1122"/>
      <c r="AK86" s="520"/>
      <c r="AL86" s="520"/>
      <c r="AM86" s="520"/>
      <c r="AN86" s="520"/>
      <c r="AO86" s="1122"/>
      <c r="AP86" s="520"/>
      <c r="AQ86" s="520"/>
      <c r="AR86" s="520"/>
      <c r="AS86" s="520"/>
      <c r="AT86" s="1123">
        <v>57.77</v>
      </c>
      <c r="AU86" s="526"/>
      <c r="AV86" s="526"/>
      <c r="AW86" s="526"/>
      <c r="AX86" s="526"/>
      <c r="AY86" s="1123">
        <v>57.77</v>
      </c>
      <c r="AZ86" s="526"/>
      <c r="BA86" s="526"/>
      <c r="BB86" s="526"/>
      <c r="BC86" s="526"/>
      <c r="BD86" s="1123">
        <v>57.77</v>
      </c>
      <c r="BE86" s="520"/>
      <c r="BF86" s="520"/>
      <c r="BG86" s="520"/>
      <c r="BH86" s="520"/>
      <c r="BI86" s="1122"/>
      <c r="BJ86" s="520"/>
      <c r="BK86" s="520"/>
      <c r="BL86" s="520"/>
      <c r="BM86" s="520"/>
      <c r="BN86" s="1122"/>
      <c r="BO86" s="520"/>
      <c r="BP86" s="520"/>
      <c r="BQ86" s="520"/>
      <c r="BR86" s="520"/>
      <c r="BS86" s="1122"/>
      <c r="BT86" s="728"/>
      <c r="BU86" s="520"/>
      <c r="BV86" s="520"/>
      <c r="BW86" s="520"/>
      <c r="BX86" s="1122"/>
      <c r="BY86" s="520"/>
      <c r="BZ86" s="520"/>
      <c r="CA86" s="520"/>
      <c r="CB86" s="520"/>
      <c r="CC86" s="1122"/>
      <c r="CD86" s="1122"/>
      <c r="CE86" s="1122"/>
      <c r="CF86" s="1122"/>
      <c r="CG86" s="519"/>
    </row>
    <row r="87" spans="1:85" s="614" customFormat="1" x14ac:dyDescent="0.3">
      <c r="A87" s="522"/>
      <c r="B87" s="352"/>
      <c r="C87" s="1094"/>
      <c r="D87" s="1094"/>
      <c r="E87" s="1094"/>
      <c r="F87" s="1094"/>
      <c r="G87" s="197"/>
      <c r="H87" s="197"/>
      <c r="I87" s="197"/>
      <c r="J87" s="197"/>
      <c r="K87" s="1094"/>
      <c r="L87" s="197"/>
      <c r="M87" s="197"/>
      <c r="N87" s="197"/>
      <c r="O87" s="197"/>
      <c r="P87" s="1094"/>
      <c r="Q87" s="197"/>
      <c r="R87" s="197"/>
      <c r="S87" s="197"/>
      <c r="T87" s="197"/>
      <c r="U87" s="1094"/>
      <c r="V87" s="197"/>
      <c r="W87" s="197"/>
      <c r="X87" s="197"/>
      <c r="Y87" s="197"/>
      <c r="Z87" s="1094"/>
      <c r="AA87" s="197"/>
      <c r="AB87" s="197"/>
      <c r="AC87" s="197"/>
      <c r="AD87" s="197"/>
      <c r="AE87" s="1094"/>
      <c r="AF87" s="197"/>
      <c r="AG87" s="197"/>
      <c r="AH87" s="197"/>
      <c r="AI87" s="197"/>
      <c r="AJ87" s="1094"/>
      <c r="AK87" s="197"/>
      <c r="AL87" s="197"/>
      <c r="AM87" s="197"/>
      <c r="AN87" s="197"/>
      <c r="AO87" s="1094"/>
      <c r="AP87" s="197"/>
      <c r="AQ87" s="197"/>
      <c r="AR87" s="197"/>
      <c r="AS87" s="197"/>
      <c r="AT87" s="198"/>
      <c r="AU87" s="194"/>
      <c r="AV87" s="194"/>
      <c r="AW87" s="194"/>
      <c r="AX87" s="194"/>
      <c r="AY87" s="198"/>
      <c r="AZ87" s="194"/>
      <c r="BA87" s="194"/>
      <c r="BB87" s="194"/>
      <c r="BC87" s="194"/>
      <c r="BD87" s="198"/>
      <c r="BE87" s="197"/>
      <c r="BF87" s="197"/>
      <c r="BG87" s="197"/>
      <c r="BH87" s="197"/>
      <c r="BI87" s="1094"/>
      <c r="BJ87" s="197"/>
      <c r="BK87" s="197"/>
      <c r="BL87" s="197"/>
      <c r="BM87" s="197"/>
      <c r="BN87" s="1094"/>
      <c r="BO87" s="197"/>
      <c r="BP87" s="197"/>
      <c r="BQ87" s="197"/>
      <c r="BR87" s="197"/>
      <c r="BS87" s="1094"/>
      <c r="BT87" s="727"/>
      <c r="BU87" s="197"/>
      <c r="BV87" s="197"/>
      <c r="BW87" s="197"/>
      <c r="BX87" s="1094"/>
      <c r="BY87" s="197"/>
      <c r="BZ87" s="197"/>
      <c r="CA87" s="197"/>
      <c r="CB87" s="197"/>
      <c r="CC87" s="1094"/>
      <c r="CD87" s="1094"/>
      <c r="CE87" s="1094"/>
      <c r="CF87" s="1094"/>
      <c r="CG87" s="349"/>
    </row>
    <row r="88" spans="1:85" s="613" customFormat="1" x14ac:dyDescent="0.3">
      <c r="A88" s="478" t="s">
        <v>1970</v>
      </c>
      <c r="B88" s="523"/>
      <c r="C88" s="78"/>
      <c r="D88" s="78"/>
      <c r="E88" s="78"/>
      <c r="F88" s="78"/>
      <c r="G88" s="774"/>
      <c r="H88" s="774"/>
      <c r="I88" s="774"/>
      <c r="J88" s="774"/>
      <c r="K88" s="78"/>
      <c r="L88" s="774"/>
      <c r="M88" s="774"/>
      <c r="N88" s="774"/>
      <c r="O88" s="774"/>
      <c r="P88" s="78"/>
      <c r="Q88" s="774"/>
      <c r="R88" s="774"/>
      <c r="S88" s="774"/>
      <c r="T88" s="774"/>
      <c r="U88" s="78"/>
      <c r="V88" s="774"/>
      <c r="W88" s="774"/>
      <c r="X88" s="774"/>
      <c r="Y88" s="774"/>
      <c r="Z88" s="78"/>
      <c r="AA88" s="774"/>
      <c r="AB88" s="774"/>
      <c r="AC88" s="774"/>
      <c r="AD88" s="774"/>
      <c r="AE88" s="78"/>
      <c r="AF88" s="774"/>
      <c r="AG88" s="774"/>
      <c r="AH88" s="774"/>
      <c r="AI88" s="774"/>
      <c r="AJ88" s="78"/>
      <c r="AK88" s="774"/>
      <c r="AL88" s="774"/>
      <c r="AM88" s="774"/>
      <c r="AN88" s="774"/>
      <c r="AO88" s="78"/>
      <c r="AP88" s="774"/>
      <c r="AQ88" s="774"/>
      <c r="AR88" s="774"/>
      <c r="AS88" s="774"/>
      <c r="AT88" s="1119">
        <v>19.635000000000002</v>
      </c>
      <c r="AU88" s="774"/>
      <c r="AV88" s="774"/>
      <c r="AW88" s="774"/>
      <c r="AX88" s="774"/>
      <c r="AY88" s="1119">
        <v>19.635000000000002</v>
      </c>
      <c r="AZ88" s="774"/>
      <c r="BA88" s="774"/>
      <c r="BB88" s="774"/>
      <c r="BC88" s="774"/>
      <c r="BD88" s="1119">
        <v>19.635000000000002</v>
      </c>
      <c r="BE88" s="774"/>
      <c r="BF88" s="774"/>
      <c r="BG88" s="774"/>
      <c r="BH88" s="774"/>
      <c r="BI88" s="78"/>
      <c r="BJ88" s="774"/>
      <c r="BK88" s="774"/>
      <c r="BL88" s="774"/>
      <c r="BM88" s="774"/>
      <c r="BN88" s="78"/>
      <c r="BO88" s="774"/>
      <c r="BP88" s="774"/>
      <c r="BQ88" s="774"/>
      <c r="BR88" s="774"/>
      <c r="BS88" s="78"/>
      <c r="BT88" s="775"/>
      <c r="BU88" s="774"/>
      <c r="BV88" s="774"/>
      <c r="BW88" s="774"/>
      <c r="BX88" s="78"/>
      <c r="BY88" s="774"/>
      <c r="BZ88" s="774"/>
      <c r="CA88" s="774"/>
      <c r="CB88" s="774"/>
      <c r="CC88" s="78"/>
      <c r="CD88" s="78"/>
      <c r="CE88" s="78"/>
      <c r="CF88" s="78"/>
      <c r="CG88" s="532"/>
    </row>
    <row r="89" spans="1:85" s="615" customFormat="1" x14ac:dyDescent="0.3">
      <c r="A89" s="522" t="s">
        <v>1969</v>
      </c>
      <c r="B89" s="521"/>
      <c r="C89" s="1122"/>
      <c r="D89" s="1122"/>
      <c r="E89" s="1122"/>
      <c r="F89" s="1122"/>
      <c r="G89" s="520"/>
      <c r="H89" s="520"/>
      <c r="I89" s="520"/>
      <c r="J89" s="520"/>
      <c r="K89" s="1122"/>
      <c r="L89" s="520"/>
      <c r="M89" s="520"/>
      <c r="N89" s="520"/>
      <c r="O89" s="520"/>
      <c r="P89" s="1122"/>
      <c r="Q89" s="520"/>
      <c r="R89" s="520"/>
      <c r="S89" s="520"/>
      <c r="T89" s="520"/>
      <c r="U89" s="1122"/>
      <c r="V89" s="520"/>
      <c r="W89" s="520"/>
      <c r="X89" s="520"/>
      <c r="Y89" s="520"/>
      <c r="Z89" s="1122"/>
      <c r="AA89" s="520"/>
      <c r="AB89" s="520"/>
      <c r="AC89" s="520"/>
      <c r="AD89" s="520"/>
      <c r="AE89" s="1122"/>
      <c r="AF89" s="520"/>
      <c r="AG89" s="520"/>
      <c r="AH89" s="520"/>
      <c r="AI89" s="520"/>
      <c r="AJ89" s="1122"/>
      <c r="AK89" s="520"/>
      <c r="AL89" s="520"/>
      <c r="AM89" s="520"/>
      <c r="AN89" s="520"/>
      <c r="AO89" s="1122"/>
      <c r="AP89" s="520"/>
      <c r="AQ89" s="520"/>
      <c r="AR89" s="520"/>
      <c r="AS89" s="520"/>
      <c r="AT89" s="1123">
        <v>63.66</v>
      </c>
      <c r="AU89" s="526"/>
      <c r="AV89" s="526"/>
      <c r="AW89" s="526"/>
      <c r="AX89" s="526"/>
      <c r="AY89" s="1123">
        <v>63.66</v>
      </c>
      <c r="AZ89" s="526"/>
      <c r="BA89" s="526"/>
      <c r="BB89" s="526"/>
      <c r="BC89" s="526"/>
      <c r="BD89" s="1123">
        <v>63.66</v>
      </c>
      <c r="BE89" s="520"/>
      <c r="BF89" s="520"/>
      <c r="BG89" s="520"/>
      <c r="BH89" s="520"/>
      <c r="BI89" s="1122"/>
      <c r="BJ89" s="520"/>
      <c r="BK89" s="520"/>
      <c r="BL89" s="520"/>
      <c r="BM89" s="520"/>
      <c r="BN89" s="1122"/>
      <c r="BO89" s="520"/>
      <c r="BP89" s="520"/>
      <c r="BQ89" s="520"/>
      <c r="BR89" s="520"/>
      <c r="BS89" s="1122"/>
      <c r="BT89" s="728"/>
      <c r="BU89" s="520"/>
      <c r="BV89" s="520"/>
      <c r="BW89" s="520"/>
      <c r="BX89" s="1122"/>
      <c r="BY89" s="520"/>
      <c r="BZ89" s="520"/>
      <c r="CA89" s="520"/>
      <c r="CB89" s="520"/>
      <c r="CC89" s="1122"/>
      <c r="CD89" s="1122"/>
      <c r="CE89" s="1122"/>
      <c r="CF89" s="1122"/>
      <c r="CG89" s="519"/>
    </row>
    <row r="90" spans="1:85" s="614" customFormat="1" x14ac:dyDescent="0.3">
      <c r="A90" s="522"/>
      <c r="B90" s="352"/>
      <c r="C90" s="1094"/>
      <c r="D90" s="1094"/>
      <c r="E90" s="1094"/>
      <c r="F90" s="1094"/>
      <c r="G90" s="197"/>
      <c r="H90" s="197"/>
      <c r="I90" s="197"/>
      <c r="J90" s="197"/>
      <c r="K90" s="1094"/>
      <c r="L90" s="197"/>
      <c r="M90" s="197"/>
      <c r="N90" s="197"/>
      <c r="O90" s="197"/>
      <c r="P90" s="1094"/>
      <c r="Q90" s="197"/>
      <c r="R90" s="197"/>
      <c r="S90" s="197"/>
      <c r="T90" s="197"/>
      <c r="U90" s="1094"/>
      <c r="V90" s="197"/>
      <c r="W90" s="197"/>
      <c r="X90" s="197"/>
      <c r="Y90" s="197"/>
      <c r="Z90" s="1094"/>
      <c r="AA90" s="197"/>
      <c r="AB90" s="197"/>
      <c r="AC90" s="197"/>
      <c r="AD90" s="197"/>
      <c r="AE90" s="1094"/>
      <c r="AF90" s="197"/>
      <c r="AG90" s="197"/>
      <c r="AH90" s="197"/>
      <c r="AI90" s="197"/>
      <c r="AJ90" s="1094"/>
      <c r="AK90" s="197"/>
      <c r="AL90" s="197"/>
      <c r="AM90" s="197"/>
      <c r="AN90" s="197"/>
      <c r="AO90" s="1094"/>
      <c r="AP90" s="197"/>
      <c r="AQ90" s="197"/>
      <c r="AR90" s="197"/>
      <c r="AS90" s="197"/>
      <c r="AT90" s="198"/>
      <c r="AU90" s="194"/>
      <c r="AV90" s="194"/>
      <c r="AW90" s="194"/>
      <c r="AX90" s="194"/>
      <c r="AY90" s="198"/>
      <c r="AZ90" s="194"/>
      <c r="BA90" s="194"/>
      <c r="BB90" s="194"/>
      <c r="BC90" s="194"/>
      <c r="BD90" s="198"/>
      <c r="BE90" s="197"/>
      <c r="BF90" s="197"/>
      <c r="BG90" s="197"/>
      <c r="BH90" s="197"/>
      <c r="BI90" s="1094"/>
      <c r="BJ90" s="197"/>
      <c r="BK90" s="197"/>
      <c r="BL90" s="197"/>
      <c r="BM90" s="197"/>
      <c r="BN90" s="1094"/>
      <c r="BO90" s="197"/>
      <c r="BP90" s="197"/>
      <c r="BQ90" s="197"/>
      <c r="BR90" s="197"/>
      <c r="BS90" s="1094"/>
      <c r="BT90" s="727"/>
      <c r="BU90" s="197"/>
      <c r="BV90" s="197"/>
      <c r="BW90" s="197"/>
      <c r="BX90" s="1094"/>
      <c r="BY90" s="197"/>
      <c r="BZ90" s="197"/>
      <c r="CA90" s="197"/>
      <c r="CB90" s="197"/>
      <c r="CC90" s="1094"/>
      <c r="CD90" s="1094"/>
      <c r="CE90" s="1094"/>
      <c r="CF90" s="1094"/>
      <c r="CG90" s="349"/>
    </row>
    <row r="91" spans="1:85" s="613" customFormat="1" x14ac:dyDescent="0.3">
      <c r="A91" s="478" t="s">
        <v>1968</v>
      </c>
      <c r="B91" s="523"/>
      <c r="C91" s="78"/>
      <c r="D91" s="78"/>
      <c r="E91" s="78"/>
      <c r="F91" s="78"/>
      <c r="G91" s="774"/>
      <c r="H91" s="774"/>
      <c r="I91" s="774"/>
      <c r="J91" s="774"/>
      <c r="K91" s="78"/>
      <c r="L91" s="774"/>
      <c r="M91" s="774"/>
      <c r="N91" s="774"/>
      <c r="O91" s="774"/>
      <c r="P91" s="78"/>
      <c r="Q91" s="774"/>
      <c r="R91" s="774"/>
      <c r="S91" s="774"/>
      <c r="T91" s="774"/>
      <c r="U91" s="78"/>
      <c r="V91" s="774"/>
      <c r="W91" s="774"/>
      <c r="X91" s="774"/>
      <c r="Y91" s="774"/>
      <c r="Z91" s="78"/>
      <c r="AA91" s="774"/>
      <c r="AB91" s="774"/>
      <c r="AC91" s="774"/>
      <c r="AD91" s="774"/>
      <c r="AE91" s="78"/>
      <c r="AF91" s="774"/>
      <c r="AG91" s="774"/>
      <c r="AH91" s="774"/>
      <c r="AI91" s="774"/>
      <c r="AJ91" s="78"/>
      <c r="AK91" s="774"/>
      <c r="AL91" s="774"/>
      <c r="AM91" s="774"/>
      <c r="AN91" s="774"/>
      <c r="AO91" s="78"/>
      <c r="AP91" s="774"/>
      <c r="AQ91" s="774"/>
      <c r="AR91" s="774"/>
      <c r="AS91" s="774"/>
      <c r="AT91" s="1119">
        <v>23.995999999999999</v>
      </c>
      <c r="AU91" s="774"/>
      <c r="AV91" s="774"/>
      <c r="AW91" s="774"/>
      <c r="AX91" s="774"/>
      <c r="AY91" s="1119">
        <v>23.995999999999999</v>
      </c>
      <c r="AZ91" s="774"/>
      <c r="BA91" s="774"/>
      <c r="BB91" s="774"/>
      <c r="BC91" s="774"/>
      <c r="BD91" s="1119">
        <v>23.995999999999999</v>
      </c>
      <c r="BE91" s="774"/>
      <c r="BF91" s="774"/>
      <c r="BG91" s="774"/>
      <c r="BH91" s="774"/>
      <c r="BI91" s="78"/>
      <c r="BJ91" s="774"/>
      <c r="BK91" s="774"/>
      <c r="BL91" s="774"/>
      <c r="BM91" s="774"/>
      <c r="BN91" s="78"/>
      <c r="BO91" s="774"/>
      <c r="BP91" s="774"/>
      <c r="BQ91" s="774"/>
      <c r="BR91" s="774"/>
      <c r="BS91" s="78"/>
      <c r="BT91" s="775"/>
      <c r="BU91" s="774"/>
      <c r="BV91" s="774"/>
      <c r="BW91" s="774"/>
      <c r="BX91" s="78"/>
      <c r="BY91" s="774"/>
      <c r="BZ91" s="774"/>
      <c r="CA91" s="774"/>
      <c r="CB91" s="774"/>
      <c r="CC91" s="78"/>
      <c r="CD91" s="78"/>
      <c r="CE91" s="78"/>
      <c r="CF91" s="78"/>
      <c r="CG91" s="532"/>
    </row>
    <row r="92" spans="1:85" s="615" customFormat="1" x14ac:dyDescent="0.3">
      <c r="A92" s="522" t="s">
        <v>1967</v>
      </c>
      <c r="B92" s="521"/>
      <c r="C92" s="1122"/>
      <c r="D92" s="1122"/>
      <c r="E92" s="1122"/>
      <c r="F92" s="1122"/>
      <c r="G92" s="520"/>
      <c r="H92" s="520"/>
      <c r="I92" s="520"/>
      <c r="J92" s="520"/>
      <c r="K92" s="1122"/>
      <c r="L92" s="520"/>
      <c r="M92" s="520"/>
      <c r="N92" s="520"/>
      <c r="O92" s="520"/>
      <c r="P92" s="1122"/>
      <c r="Q92" s="520"/>
      <c r="R92" s="520"/>
      <c r="S92" s="520"/>
      <c r="T92" s="520"/>
      <c r="U92" s="1122"/>
      <c r="V92" s="520"/>
      <c r="W92" s="520"/>
      <c r="X92" s="520"/>
      <c r="Y92" s="520"/>
      <c r="Z92" s="1122"/>
      <c r="AA92" s="520"/>
      <c r="AB92" s="520"/>
      <c r="AC92" s="520"/>
      <c r="AD92" s="520"/>
      <c r="AE92" s="1122"/>
      <c r="AF92" s="520"/>
      <c r="AG92" s="520"/>
      <c r="AH92" s="520"/>
      <c r="AI92" s="520"/>
      <c r="AJ92" s="1122"/>
      <c r="AK92" s="520"/>
      <c r="AL92" s="520"/>
      <c r="AM92" s="520"/>
      <c r="AN92" s="520"/>
      <c r="AO92" s="1122"/>
      <c r="AP92" s="520"/>
      <c r="AQ92" s="520"/>
      <c r="AR92" s="520"/>
      <c r="AS92" s="520"/>
      <c r="AT92" s="1123">
        <v>52.1</v>
      </c>
      <c r="AU92" s="526"/>
      <c r="AV92" s="526"/>
      <c r="AW92" s="526"/>
      <c r="AX92" s="526"/>
      <c r="AY92" s="1123">
        <v>52.1</v>
      </c>
      <c r="AZ92" s="526"/>
      <c r="BA92" s="526"/>
      <c r="BB92" s="526"/>
      <c r="BC92" s="526"/>
      <c r="BD92" s="1123">
        <v>52.1</v>
      </c>
      <c r="BE92" s="520"/>
      <c r="BF92" s="520"/>
      <c r="BG92" s="520"/>
      <c r="BH92" s="520"/>
      <c r="BI92" s="1122"/>
      <c r="BJ92" s="520"/>
      <c r="BK92" s="520"/>
      <c r="BL92" s="520"/>
      <c r="BM92" s="520"/>
      <c r="BN92" s="1122"/>
      <c r="BO92" s="520"/>
      <c r="BP92" s="520"/>
      <c r="BQ92" s="520"/>
      <c r="BR92" s="520"/>
      <c r="BS92" s="1122"/>
      <c r="BT92" s="728"/>
      <c r="BU92" s="520"/>
      <c r="BV92" s="520"/>
      <c r="BW92" s="520"/>
      <c r="BX92" s="1122"/>
      <c r="BY92" s="520"/>
      <c r="BZ92" s="520"/>
      <c r="CA92" s="520"/>
      <c r="CB92" s="520"/>
      <c r="CC92" s="1122"/>
      <c r="CD92" s="1122"/>
      <c r="CE92" s="1122"/>
      <c r="CF92" s="1122"/>
      <c r="CG92" s="519"/>
    </row>
    <row r="93" spans="1:85" s="614" customFormat="1" x14ac:dyDescent="0.3">
      <c r="A93" s="522"/>
      <c r="B93" s="352"/>
      <c r="C93" s="1094"/>
      <c r="D93" s="1094"/>
      <c r="E93" s="1094"/>
      <c r="F93" s="1094"/>
      <c r="G93" s="197"/>
      <c r="H93" s="197"/>
      <c r="I93" s="197"/>
      <c r="J93" s="197"/>
      <c r="K93" s="1094"/>
      <c r="L93" s="197"/>
      <c r="M93" s="197"/>
      <c r="N93" s="197"/>
      <c r="O93" s="197"/>
      <c r="P93" s="1094"/>
      <c r="Q93" s="197"/>
      <c r="R93" s="197"/>
      <c r="S93" s="197"/>
      <c r="T93" s="197"/>
      <c r="U93" s="1094"/>
      <c r="V93" s="197"/>
      <c r="W93" s="197"/>
      <c r="X93" s="197"/>
      <c r="Y93" s="197"/>
      <c r="Z93" s="1094"/>
      <c r="AA93" s="197"/>
      <c r="AB93" s="197"/>
      <c r="AC93" s="197"/>
      <c r="AD93" s="197"/>
      <c r="AE93" s="1094"/>
      <c r="AF93" s="197"/>
      <c r="AG93" s="197"/>
      <c r="AH93" s="197"/>
      <c r="AI93" s="197"/>
      <c r="AJ93" s="1094"/>
      <c r="AK93" s="197"/>
      <c r="AL93" s="197"/>
      <c r="AM93" s="197"/>
      <c r="AN93" s="197"/>
      <c r="AO93" s="1094"/>
      <c r="AP93" s="197"/>
      <c r="AQ93" s="197"/>
      <c r="AR93" s="197"/>
      <c r="AS93" s="197"/>
      <c r="AT93" s="198"/>
      <c r="AU93" s="194"/>
      <c r="AV93" s="194"/>
      <c r="AW93" s="194"/>
      <c r="AX93" s="194"/>
      <c r="AY93" s="198"/>
      <c r="AZ93" s="194"/>
      <c r="BA93" s="194"/>
      <c r="BB93" s="194"/>
      <c r="BC93" s="194"/>
      <c r="BD93" s="198"/>
      <c r="BE93" s="197"/>
      <c r="BF93" s="197"/>
      <c r="BG93" s="197"/>
      <c r="BH93" s="197"/>
      <c r="BI93" s="1094"/>
      <c r="BJ93" s="197"/>
      <c r="BK93" s="197"/>
      <c r="BL93" s="197"/>
      <c r="BM93" s="197"/>
      <c r="BN93" s="1094"/>
      <c r="BO93" s="197"/>
      <c r="BP93" s="197"/>
      <c r="BQ93" s="197"/>
      <c r="BR93" s="197"/>
      <c r="BS93" s="1094"/>
      <c r="BT93" s="727"/>
      <c r="BU93" s="197"/>
      <c r="BV93" s="197"/>
      <c r="BW93" s="197"/>
      <c r="BX93" s="1094"/>
      <c r="BY93" s="197"/>
      <c r="BZ93" s="197"/>
      <c r="CA93" s="197"/>
      <c r="CB93" s="197"/>
      <c r="CC93" s="1094"/>
      <c r="CD93" s="1094"/>
      <c r="CE93" s="1094"/>
      <c r="CF93" s="1094"/>
      <c r="CG93" s="349"/>
    </row>
    <row r="94" spans="1:85" s="613" customFormat="1" x14ac:dyDescent="0.3">
      <c r="A94" s="478" t="s">
        <v>1966</v>
      </c>
      <c r="B94" s="523"/>
      <c r="C94" s="78"/>
      <c r="D94" s="78"/>
      <c r="E94" s="78"/>
      <c r="F94" s="78"/>
      <c r="G94" s="774"/>
      <c r="H94" s="774"/>
      <c r="I94" s="774"/>
      <c r="J94" s="774"/>
      <c r="K94" s="78"/>
      <c r="L94" s="774"/>
      <c r="M94" s="774"/>
      <c r="N94" s="774"/>
      <c r="O94" s="774"/>
      <c r="P94" s="78"/>
      <c r="Q94" s="774"/>
      <c r="R94" s="774"/>
      <c r="S94" s="774"/>
      <c r="T94" s="774"/>
      <c r="U94" s="78"/>
      <c r="V94" s="774"/>
      <c r="W94" s="774"/>
      <c r="X94" s="774"/>
      <c r="Y94" s="774"/>
      <c r="Z94" s="78"/>
      <c r="AA94" s="774"/>
      <c r="AB94" s="774"/>
      <c r="AC94" s="774"/>
      <c r="AD94" s="774"/>
      <c r="AE94" s="78"/>
      <c r="AF94" s="774"/>
      <c r="AG94" s="774"/>
      <c r="AH94" s="774"/>
      <c r="AI94" s="774"/>
      <c r="AJ94" s="78"/>
      <c r="AK94" s="774"/>
      <c r="AL94" s="774"/>
      <c r="AM94" s="774"/>
      <c r="AN94" s="774"/>
      <c r="AO94" s="78"/>
      <c r="AP94" s="774"/>
      <c r="AQ94" s="774"/>
      <c r="AR94" s="774"/>
      <c r="AS94" s="774"/>
      <c r="AT94" s="1119">
        <v>25.998000000000001</v>
      </c>
      <c r="AU94" s="774"/>
      <c r="AV94" s="774"/>
      <c r="AW94" s="774"/>
      <c r="AX94" s="774"/>
      <c r="AY94" s="1119">
        <v>25.998000000000001</v>
      </c>
      <c r="AZ94" s="774"/>
      <c r="BA94" s="774"/>
      <c r="BB94" s="774"/>
      <c r="BC94" s="774"/>
      <c r="BD94" s="1119">
        <v>25.998000000000001</v>
      </c>
      <c r="BE94" s="774"/>
      <c r="BF94" s="774"/>
      <c r="BG94" s="774"/>
      <c r="BH94" s="774"/>
      <c r="BI94" s="78"/>
      <c r="BJ94" s="774"/>
      <c r="BK94" s="774"/>
      <c r="BL94" s="774"/>
      <c r="BM94" s="774"/>
      <c r="BN94" s="78"/>
      <c r="BO94" s="774"/>
      <c r="BP94" s="774"/>
      <c r="BQ94" s="774"/>
      <c r="BR94" s="774"/>
      <c r="BS94" s="78"/>
      <c r="BT94" s="775"/>
      <c r="BU94" s="774"/>
      <c r="BV94" s="774"/>
      <c r="BW94" s="774"/>
      <c r="BX94" s="78"/>
      <c r="BY94" s="774"/>
      <c r="BZ94" s="774"/>
      <c r="CA94" s="774"/>
      <c r="CB94" s="774"/>
      <c r="CC94" s="78"/>
      <c r="CD94" s="78"/>
      <c r="CE94" s="78"/>
      <c r="CF94" s="78"/>
      <c r="CG94" s="532"/>
    </row>
    <row r="95" spans="1:85" s="615" customFormat="1" x14ac:dyDescent="0.3">
      <c r="A95" s="522" t="s">
        <v>1965</v>
      </c>
      <c r="B95" s="521"/>
      <c r="C95" s="1122"/>
      <c r="D95" s="1122"/>
      <c r="E95" s="1122"/>
      <c r="F95" s="1122"/>
      <c r="G95" s="520"/>
      <c r="H95" s="520"/>
      <c r="I95" s="520"/>
      <c r="J95" s="520"/>
      <c r="K95" s="1122"/>
      <c r="L95" s="520"/>
      <c r="M95" s="520"/>
      <c r="N95" s="520"/>
      <c r="O95" s="520"/>
      <c r="P95" s="1122"/>
      <c r="Q95" s="520"/>
      <c r="R95" s="520"/>
      <c r="S95" s="520"/>
      <c r="T95" s="520"/>
      <c r="U95" s="1122"/>
      <c r="V95" s="520"/>
      <c r="W95" s="520"/>
      <c r="X95" s="520"/>
      <c r="Y95" s="520"/>
      <c r="Z95" s="1122"/>
      <c r="AA95" s="520"/>
      <c r="AB95" s="520"/>
      <c r="AC95" s="520"/>
      <c r="AD95" s="520"/>
      <c r="AE95" s="1122"/>
      <c r="AF95" s="520"/>
      <c r="AG95" s="520"/>
      <c r="AH95" s="520"/>
      <c r="AI95" s="520"/>
      <c r="AJ95" s="1122"/>
      <c r="AK95" s="520"/>
      <c r="AL95" s="520"/>
      <c r="AM95" s="520"/>
      <c r="AN95" s="520"/>
      <c r="AO95" s="1122"/>
      <c r="AP95" s="520"/>
      <c r="AQ95" s="520"/>
      <c r="AR95" s="520"/>
      <c r="AS95" s="520"/>
      <c r="AT95" s="1123">
        <v>48.07</v>
      </c>
      <c r="AU95" s="526"/>
      <c r="AV95" s="526"/>
      <c r="AW95" s="526"/>
      <c r="AX95" s="526"/>
      <c r="AY95" s="1123">
        <v>48.07</v>
      </c>
      <c r="AZ95" s="526"/>
      <c r="BA95" s="526"/>
      <c r="BB95" s="526"/>
      <c r="BC95" s="526"/>
      <c r="BD95" s="1123">
        <v>48.07</v>
      </c>
      <c r="BE95" s="520"/>
      <c r="BF95" s="520"/>
      <c r="BG95" s="520"/>
      <c r="BH95" s="520"/>
      <c r="BI95" s="1122"/>
      <c r="BJ95" s="520"/>
      <c r="BK95" s="520"/>
      <c r="BL95" s="520"/>
      <c r="BM95" s="520"/>
      <c r="BN95" s="1122"/>
      <c r="BO95" s="520"/>
      <c r="BP95" s="520"/>
      <c r="BQ95" s="520"/>
      <c r="BR95" s="520"/>
      <c r="BS95" s="1122"/>
      <c r="BT95" s="728"/>
      <c r="BU95" s="520"/>
      <c r="BV95" s="520"/>
      <c r="BW95" s="520"/>
      <c r="BX95" s="1122"/>
      <c r="BY95" s="520"/>
      <c r="BZ95" s="520"/>
      <c r="CA95" s="520"/>
      <c r="CB95" s="520"/>
      <c r="CC95" s="1122"/>
      <c r="CD95" s="1122"/>
      <c r="CE95" s="1122"/>
      <c r="CF95" s="1122"/>
      <c r="CG95" s="519"/>
    </row>
    <row r="96" spans="1:85" s="614" customFormat="1" x14ac:dyDescent="0.3">
      <c r="A96" s="522"/>
      <c r="B96" s="352"/>
      <c r="C96" s="1094"/>
      <c r="D96" s="1094"/>
      <c r="E96" s="1094"/>
      <c r="F96" s="1094"/>
      <c r="G96" s="197"/>
      <c r="H96" s="197"/>
      <c r="I96" s="197"/>
      <c r="J96" s="197"/>
      <c r="K96" s="1094"/>
      <c r="L96" s="197"/>
      <c r="M96" s="197"/>
      <c r="N96" s="197"/>
      <c r="O96" s="197"/>
      <c r="P96" s="1094"/>
      <c r="Q96" s="197"/>
      <c r="R96" s="197"/>
      <c r="S96" s="197"/>
      <c r="T96" s="197"/>
      <c r="U96" s="1094"/>
      <c r="V96" s="197"/>
      <c r="W96" s="197"/>
      <c r="X96" s="197"/>
      <c r="Y96" s="197"/>
      <c r="Z96" s="1094"/>
      <c r="AA96" s="197"/>
      <c r="AB96" s="197"/>
      <c r="AC96" s="197"/>
      <c r="AD96" s="197"/>
      <c r="AE96" s="1094"/>
      <c r="AF96" s="197"/>
      <c r="AG96" s="197"/>
      <c r="AH96" s="197"/>
      <c r="AI96" s="197"/>
      <c r="AJ96" s="1094"/>
      <c r="AK96" s="197"/>
      <c r="AL96" s="197"/>
      <c r="AM96" s="197"/>
      <c r="AN96" s="197"/>
      <c r="AO96" s="1094"/>
      <c r="AP96" s="197"/>
      <c r="AQ96" s="197"/>
      <c r="AR96" s="197"/>
      <c r="AS96" s="197"/>
      <c r="AT96" s="198"/>
      <c r="AU96" s="194"/>
      <c r="AV96" s="194"/>
      <c r="AW96" s="194"/>
      <c r="AX96" s="194"/>
      <c r="AY96" s="198"/>
      <c r="AZ96" s="194"/>
      <c r="BA96" s="194"/>
      <c r="BB96" s="194"/>
      <c r="BC96" s="194"/>
      <c r="BD96" s="198"/>
      <c r="BE96" s="197"/>
      <c r="BF96" s="197"/>
      <c r="BG96" s="197"/>
      <c r="BH96" s="197"/>
      <c r="BI96" s="1094"/>
      <c r="BJ96" s="197"/>
      <c r="BK96" s="197"/>
      <c r="BL96" s="197"/>
      <c r="BM96" s="197"/>
      <c r="BN96" s="1094"/>
      <c r="BO96" s="197"/>
      <c r="BP96" s="197"/>
      <c r="BQ96" s="197"/>
      <c r="BR96" s="197"/>
      <c r="BS96" s="1094"/>
      <c r="BT96" s="727"/>
      <c r="BU96" s="197"/>
      <c r="BV96" s="197"/>
      <c r="BW96" s="197"/>
      <c r="BX96" s="1094"/>
      <c r="BY96" s="197"/>
      <c r="BZ96" s="197"/>
      <c r="CA96" s="197"/>
      <c r="CB96" s="197"/>
      <c r="CC96" s="1094"/>
      <c r="CD96" s="1094"/>
      <c r="CE96" s="1094"/>
      <c r="CF96" s="1094"/>
      <c r="CG96" s="349"/>
    </row>
    <row r="97" spans="1:85" s="613" customFormat="1" x14ac:dyDescent="0.3">
      <c r="A97" s="478" t="s">
        <v>1964</v>
      </c>
      <c r="B97" s="523"/>
      <c r="C97" s="78"/>
      <c r="D97" s="78"/>
      <c r="E97" s="78"/>
      <c r="F97" s="78"/>
      <c r="G97" s="774"/>
      <c r="H97" s="774"/>
      <c r="I97" s="774"/>
      <c r="J97" s="774"/>
      <c r="K97" s="78"/>
      <c r="L97" s="774"/>
      <c r="M97" s="774"/>
      <c r="N97" s="774"/>
      <c r="O97" s="774"/>
      <c r="P97" s="78"/>
      <c r="Q97" s="774"/>
      <c r="R97" s="774"/>
      <c r="S97" s="774"/>
      <c r="T97" s="774"/>
      <c r="U97" s="78"/>
      <c r="V97" s="774"/>
      <c r="W97" s="774"/>
      <c r="X97" s="774"/>
      <c r="Y97" s="774"/>
      <c r="Z97" s="78"/>
      <c r="AA97" s="774"/>
      <c r="AB97" s="774"/>
      <c r="AC97" s="774"/>
      <c r="AD97" s="774"/>
      <c r="AE97" s="78"/>
      <c r="AF97" s="774"/>
      <c r="AG97" s="774"/>
      <c r="AH97" s="774"/>
      <c r="AI97" s="774"/>
      <c r="AJ97" s="78"/>
      <c r="AK97" s="774"/>
      <c r="AL97" s="774"/>
      <c r="AM97" s="774"/>
      <c r="AN97" s="774"/>
      <c r="AO97" s="78"/>
      <c r="AP97" s="774"/>
      <c r="AQ97" s="774"/>
      <c r="AR97" s="774"/>
      <c r="AS97" s="774"/>
      <c r="AT97" s="1119">
        <v>20.734000000000002</v>
      </c>
      <c r="AU97" s="774"/>
      <c r="AV97" s="774"/>
      <c r="AW97" s="774"/>
      <c r="AX97" s="774"/>
      <c r="AY97" s="1119">
        <v>20.734000000000002</v>
      </c>
      <c r="AZ97" s="774"/>
      <c r="BA97" s="774"/>
      <c r="BB97" s="774"/>
      <c r="BC97" s="774"/>
      <c r="BD97" s="1119">
        <v>20.734000000000002</v>
      </c>
      <c r="BE97" s="774"/>
      <c r="BF97" s="774"/>
      <c r="BG97" s="774"/>
      <c r="BH97" s="774"/>
      <c r="BI97" s="78"/>
      <c r="BJ97" s="774"/>
      <c r="BK97" s="774"/>
      <c r="BL97" s="774"/>
      <c r="BM97" s="774"/>
      <c r="BN97" s="78"/>
      <c r="BO97" s="774"/>
      <c r="BP97" s="774"/>
      <c r="BQ97" s="774"/>
      <c r="BR97" s="774"/>
      <c r="BS97" s="78"/>
      <c r="BT97" s="775"/>
      <c r="BU97" s="774"/>
      <c r="BV97" s="774"/>
      <c r="BW97" s="774"/>
      <c r="BX97" s="78"/>
      <c r="BY97" s="774"/>
      <c r="BZ97" s="774"/>
      <c r="CA97" s="774"/>
      <c r="CB97" s="774"/>
      <c r="CC97" s="78"/>
      <c r="CD97" s="78"/>
      <c r="CE97" s="78"/>
      <c r="CF97" s="78"/>
      <c r="CG97" s="532"/>
    </row>
    <row r="98" spans="1:85" s="615" customFormat="1" x14ac:dyDescent="0.3">
      <c r="A98" s="522" t="s">
        <v>1963</v>
      </c>
      <c r="B98" s="521"/>
      <c r="C98" s="1122"/>
      <c r="D98" s="1122"/>
      <c r="E98" s="1122"/>
      <c r="F98" s="1122"/>
      <c r="G98" s="520"/>
      <c r="H98" s="520"/>
      <c r="I98" s="520"/>
      <c r="J98" s="520"/>
      <c r="K98" s="1122"/>
      <c r="L98" s="520"/>
      <c r="M98" s="520"/>
      <c r="N98" s="520"/>
      <c r="O98" s="520"/>
      <c r="P98" s="1122"/>
      <c r="Q98" s="520"/>
      <c r="R98" s="520"/>
      <c r="S98" s="520"/>
      <c r="T98" s="520"/>
      <c r="U98" s="1122"/>
      <c r="V98" s="520"/>
      <c r="W98" s="520"/>
      <c r="X98" s="520"/>
      <c r="Y98" s="520"/>
      <c r="Z98" s="1122"/>
      <c r="AA98" s="520"/>
      <c r="AB98" s="520"/>
      <c r="AC98" s="520"/>
      <c r="AD98" s="520"/>
      <c r="AE98" s="1122"/>
      <c r="AF98" s="520"/>
      <c r="AG98" s="520"/>
      <c r="AH98" s="520"/>
      <c r="AI98" s="520"/>
      <c r="AJ98" s="1122"/>
      <c r="AK98" s="520"/>
      <c r="AL98" s="520"/>
      <c r="AM98" s="520"/>
      <c r="AN98" s="520"/>
      <c r="AO98" s="1122"/>
      <c r="AP98" s="520"/>
      <c r="AQ98" s="520"/>
      <c r="AR98" s="520"/>
      <c r="AS98" s="520"/>
      <c r="AT98" s="1123">
        <v>60.29</v>
      </c>
      <c r="AU98" s="526"/>
      <c r="AV98" s="526"/>
      <c r="AW98" s="526"/>
      <c r="AX98" s="526"/>
      <c r="AY98" s="1123">
        <v>60.29</v>
      </c>
      <c r="AZ98" s="526"/>
      <c r="BA98" s="526"/>
      <c r="BB98" s="526"/>
      <c r="BC98" s="526"/>
      <c r="BD98" s="1123">
        <v>60.29</v>
      </c>
      <c r="BE98" s="520"/>
      <c r="BF98" s="520"/>
      <c r="BG98" s="520"/>
      <c r="BH98" s="520"/>
      <c r="BI98" s="1122"/>
      <c r="BJ98" s="520"/>
      <c r="BK98" s="520"/>
      <c r="BL98" s="520"/>
      <c r="BM98" s="520"/>
      <c r="BN98" s="1122"/>
      <c r="BO98" s="520"/>
      <c r="BP98" s="520"/>
      <c r="BQ98" s="520"/>
      <c r="BR98" s="520"/>
      <c r="BS98" s="1122"/>
      <c r="BT98" s="728"/>
      <c r="BU98" s="520"/>
      <c r="BV98" s="520"/>
      <c r="BW98" s="520"/>
      <c r="BX98" s="1122"/>
      <c r="BY98" s="520"/>
      <c r="BZ98" s="520"/>
      <c r="CA98" s="520"/>
      <c r="CB98" s="520"/>
      <c r="CC98" s="1122"/>
      <c r="CD98" s="1122"/>
      <c r="CE98" s="1122"/>
      <c r="CF98" s="1122"/>
      <c r="CG98" s="519"/>
    </row>
    <row r="99" spans="1:85" s="614" customFormat="1" x14ac:dyDescent="0.3">
      <c r="A99" s="522"/>
      <c r="B99" s="352"/>
      <c r="C99" s="1094"/>
      <c r="D99" s="1094"/>
      <c r="E99" s="1094"/>
      <c r="F99" s="1094"/>
      <c r="G99" s="197"/>
      <c r="H99" s="197"/>
      <c r="I99" s="197"/>
      <c r="J99" s="197"/>
      <c r="K99" s="1094"/>
      <c r="L99" s="197"/>
      <c r="M99" s="197"/>
      <c r="N99" s="197"/>
      <c r="O99" s="197"/>
      <c r="P99" s="1094"/>
      <c r="Q99" s="197"/>
      <c r="R99" s="197"/>
      <c r="S99" s="197"/>
      <c r="T99" s="197"/>
      <c r="U99" s="1094"/>
      <c r="V99" s="197"/>
      <c r="W99" s="197"/>
      <c r="X99" s="197"/>
      <c r="Y99" s="197"/>
      <c r="Z99" s="1094"/>
      <c r="AA99" s="197"/>
      <c r="AB99" s="197"/>
      <c r="AC99" s="197"/>
      <c r="AD99" s="197"/>
      <c r="AE99" s="1094"/>
      <c r="AF99" s="197"/>
      <c r="AG99" s="197"/>
      <c r="AH99" s="197"/>
      <c r="AI99" s="197"/>
      <c r="AJ99" s="1094"/>
      <c r="AK99" s="197"/>
      <c r="AL99" s="197"/>
      <c r="AM99" s="197"/>
      <c r="AN99" s="197"/>
      <c r="AO99" s="1094"/>
      <c r="AP99" s="197"/>
      <c r="AQ99" s="197"/>
      <c r="AR99" s="197"/>
      <c r="AS99" s="197"/>
      <c r="AT99" s="198"/>
      <c r="AU99" s="194"/>
      <c r="AV99" s="194"/>
      <c r="AW99" s="194"/>
      <c r="AX99" s="194"/>
      <c r="AY99" s="198"/>
      <c r="AZ99" s="194"/>
      <c r="BA99" s="194"/>
      <c r="BB99" s="194"/>
      <c r="BC99" s="194"/>
      <c r="BD99" s="198"/>
      <c r="BE99" s="197"/>
      <c r="BF99" s="197"/>
      <c r="BG99" s="197"/>
      <c r="BH99" s="197"/>
      <c r="BI99" s="1094"/>
      <c r="BJ99" s="197"/>
      <c r="BK99" s="197"/>
      <c r="BL99" s="197"/>
      <c r="BM99" s="197"/>
      <c r="BN99" s="1094"/>
      <c r="BO99" s="197"/>
      <c r="BP99" s="197"/>
      <c r="BQ99" s="197"/>
      <c r="BR99" s="197"/>
      <c r="BS99" s="1094"/>
      <c r="BT99" s="727"/>
      <c r="BU99" s="197"/>
      <c r="BV99" s="197"/>
      <c r="BW99" s="197"/>
      <c r="BX99" s="1094"/>
      <c r="BY99" s="197"/>
      <c r="BZ99" s="197"/>
      <c r="CA99" s="197"/>
      <c r="CB99" s="197"/>
      <c r="CC99" s="1094"/>
      <c r="CD99" s="1094"/>
      <c r="CE99" s="1094"/>
      <c r="CF99" s="1094"/>
      <c r="CG99" s="349"/>
    </row>
    <row r="100" spans="1:85" s="613" customFormat="1" x14ac:dyDescent="0.3">
      <c r="A100" s="478" t="s">
        <v>1962</v>
      </c>
      <c r="B100" s="523"/>
      <c r="C100" s="78"/>
      <c r="D100" s="78"/>
      <c r="E100" s="78"/>
      <c r="F100" s="78"/>
      <c r="G100" s="774"/>
      <c r="H100" s="774"/>
      <c r="I100" s="774"/>
      <c r="J100" s="774"/>
      <c r="K100" s="78"/>
      <c r="L100" s="774"/>
      <c r="M100" s="774"/>
      <c r="N100" s="774"/>
      <c r="O100" s="774"/>
      <c r="P100" s="78"/>
      <c r="Q100" s="774"/>
      <c r="R100" s="774"/>
      <c r="S100" s="774"/>
      <c r="T100" s="774"/>
      <c r="U100" s="78"/>
      <c r="V100" s="774"/>
      <c r="W100" s="774"/>
      <c r="X100" s="774"/>
      <c r="Y100" s="774"/>
      <c r="Z100" s="78"/>
      <c r="AA100" s="774"/>
      <c r="AB100" s="774"/>
      <c r="AC100" s="774"/>
      <c r="AD100" s="774"/>
      <c r="AE100" s="78"/>
      <c r="AF100" s="774"/>
      <c r="AG100" s="774"/>
      <c r="AH100" s="774"/>
      <c r="AI100" s="774"/>
      <c r="AJ100" s="78"/>
      <c r="AK100" s="774"/>
      <c r="AL100" s="774"/>
      <c r="AM100" s="774"/>
      <c r="AN100" s="774"/>
      <c r="AO100" s="78"/>
      <c r="AP100" s="774"/>
      <c r="AQ100" s="774"/>
      <c r="AR100" s="774"/>
      <c r="AS100" s="774"/>
      <c r="AT100" s="1119">
        <v>18.494</v>
      </c>
      <c r="AU100" s="774"/>
      <c r="AV100" s="774"/>
      <c r="AW100" s="774"/>
      <c r="AX100" s="774"/>
      <c r="AY100" s="1119">
        <v>18.494</v>
      </c>
      <c r="AZ100" s="774"/>
      <c r="BA100" s="774"/>
      <c r="BB100" s="774"/>
      <c r="BC100" s="774"/>
      <c r="BD100" s="1119">
        <v>18.494</v>
      </c>
      <c r="BE100" s="774"/>
      <c r="BF100" s="774"/>
      <c r="BG100" s="774"/>
      <c r="BH100" s="774"/>
      <c r="BI100" s="78"/>
      <c r="BJ100" s="774"/>
      <c r="BK100" s="774"/>
      <c r="BL100" s="774"/>
      <c r="BM100" s="774"/>
      <c r="BN100" s="78"/>
      <c r="BO100" s="774"/>
      <c r="BP100" s="774"/>
      <c r="BQ100" s="774"/>
      <c r="BR100" s="774"/>
      <c r="BS100" s="78"/>
      <c r="BT100" s="775"/>
      <c r="BU100" s="774"/>
      <c r="BV100" s="774"/>
      <c r="BW100" s="774"/>
      <c r="BX100" s="78"/>
      <c r="BY100" s="774"/>
      <c r="BZ100" s="774"/>
      <c r="CA100" s="774"/>
      <c r="CB100" s="774"/>
      <c r="CC100" s="78"/>
      <c r="CD100" s="78"/>
      <c r="CE100" s="78"/>
      <c r="CF100" s="78"/>
      <c r="CG100" s="532"/>
    </row>
    <row r="101" spans="1:85" s="615" customFormat="1" x14ac:dyDescent="0.3">
      <c r="A101" s="522" t="s">
        <v>1961</v>
      </c>
      <c r="B101" s="521"/>
      <c r="C101" s="1122"/>
      <c r="D101" s="1122"/>
      <c r="E101" s="1122"/>
      <c r="F101" s="1122"/>
      <c r="G101" s="520"/>
      <c r="H101" s="520"/>
      <c r="I101" s="520"/>
      <c r="J101" s="520"/>
      <c r="K101" s="1122"/>
      <c r="L101" s="520"/>
      <c r="M101" s="520"/>
      <c r="N101" s="520"/>
      <c r="O101" s="520"/>
      <c r="P101" s="1122"/>
      <c r="Q101" s="520"/>
      <c r="R101" s="520"/>
      <c r="S101" s="520"/>
      <c r="T101" s="520"/>
      <c r="U101" s="1122"/>
      <c r="V101" s="520"/>
      <c r="W101" s="520"/>
      <c r="X101" s="520"/>
      <c r="Y101" s="520"/>
      <c r="Z101" s="1122"/>
      <c r="AA101" s="520"/>
      <c r="AB101" s="520"/>
      <c r="AC101" s="520"/>
      <c r="AD101" s="520"/>
      <c r="AE101" s="1122"/>
      <c r="AF101" s="520"/>
      <c r="AG101" s="520"/>
      <c r="AH101" s="520"/>
      <c r="AI101" s="520"/>
      <c r="AJ101" s="1122"/>
      <c r="AK101" s="520"/>
      <c r="AL101" s="520"/>
      <c r="AM101" s="520"/>
      <c r="AN101" s="520"/>
      <c r="AO101" s="1122"/>
      <c r="AP101" s="520"/>
      <c r="AQ101" s="520"/>
      <c r="AR101" s="520"/>
      <c r="AS101" s="520"/>
      <c r="AT101" s="1123">
        <v>67.59</v>
      </c>
      <c r="AU101" s="526"/>
      <c r="AV101" s="526"/>
      <c r="AW101" s="526"/>
      <c r="AX101" s="526"/>
      <c r="AY101" s="1123">
        <v>67.59</v>
      </c>
      <c r="AZ101" s="526"/>
      <c r="BA101" s="526"/>
      <c r="BB101" s="526"/>
      <c r="BC101" s="526"/>
      <c r="BD101" s="1123">
        <v>67.59</v>
      </c>
      <c r="BE101" s="520"/>
      <c r="BF101" s="520"/>
      <c r="BG101" s="520"/>
      <c r="BH101" s="520"/>
      <c r="BI101" s="1122"/>
      <c r="BJ101" s="520"/>
      <c r="BK101" s="520"/>
      <c r="BL101" s="520"/>
      <c r="BM101" s="520"/>
      <c r="BN101" s="1122"/>
      <c r="BO101" s="520"/>
      <c r="BP101" s="520"/>
      <c r="BQ101" s="520"/>
      <c r="BR101" s="520"/>
      <c r="BS101" s="1122"/>
      <c r="BT101" s="728"/>
      <c r="BU101" s="520"/>
      <c r="BV101" s="520"/>
      <c r="BW101" s="520"/>
      <c r="BX101" s="1122"/>
      <c r="BY101" s="520"/>
      <c r="BZ101" s="520"/>
      <c r="CA101" s="520"/>
      <c r="CB101" s="520"/>
      <c r="CC101" s="1122"/>
      <c r="CD101" s="1122"/>
      <c r="CE101" s="1122"/>
      <c r="CF101" s="1122"/>
      <c r="CG101" s="519"/>
    </row>
    <row r="102" spans="1:85" s="614" customFormat="1" x14ac:dyDescent="0.3">
      <c r="A102" s="522"/>
      <c r="B102" s="352"/>
      <c r="C102" s="1094"/>
      <c r="D102" s="1094"/>
      <c r="E102" s="1094"/>
      <c r="F102" s="1094"/>
      <c r="G102" s="197"/>
      <c r="H102" s="197"/>
      <c r="I102" s="197"/>
      <c r="J102" s="197"/>
      <c r="K102" s="1094"/>
      <c r="L102" s="197"/>
      <c r="M102" s="197"/>
      <c r="N102" s="197"/>
      <c r="O102" s="197"/>
      <c r="P102" s="1094"/>
      <c r="Q102" s="197"/>
      <c r="R102" s="197"/>
      <c r="S102" s="197"/>
      <c r="T102" s="197"/>
      <c r="U102" s="1094"/>
      <c r="V102" s="197"/>
      <c r="W102" s="197"/>
      <c r="X102" s="197"/>
      <c r="Y102" s="197"/>
      <c r="Z102" s="1094"/>
      <c r="AA102" s="197"/>
      <c r="AB102" s="197"/>
      <c r="AC102" s="197"/>
      <c r="AD102" s="197"/>
      <c r="AE102" s="1094"/>
      <c r="AF102" s="197"/>
      <c r="AG102" s="197"/>
      <c r="AH102" s="197"/>
      <c r="AI102" s="197"/>
      <c r="AJ102" s="1094"/>
      <c r="AK102" s="197"/>
      <c r="AL102" s="197"/>
      <c r="AM102" s="197"/>
      <c r="AN102" s="197"/>
      <c r="AO102" s="1094"/>
      <c r="AP102" s="197"/>
      <c r="AQ102" s="197"/>
      <c r="AR102" s="197"/>
      <c r="AS102" s="197"/>
      <c r="AT102" s="198"/>
      <c r="AU102" s="194"/>
      <c r="AV102" s="194"/>
      <c r="AW102" s="194"/>
      <c r="AX102" s="194"/>
      <c r="AY102" s="198"/>
      <c r="AZ102" s="194"/>
      <c r="BA102" s="194"/>
      <c r="BB102" s="194"/>
      <c r="BC102" s="194"/>
      <c r="BD102" s="198"/>
      <c r="BE102" s="197"/>
      <c r="BF102" s="197"/>
      <c r="BG102" s="197"/>
      <c r="BH102" s="197"/>
      <c r="BI102" s="1094"/>
      <c r="BJ102" s="197"/>
      <c r="BK102" s="197"/>
      <c r="BL102" s="197"/>
      <c r="BM102" s="197"/>
      <c r="BN102" s="1094"/>
      <c r="BO102" s="197"/>
      <c r="BP102" s="197"/>
      <c r="BQ102" s="197"/>
      <c r="BR102" s="197"/>
      <c r="BS102" s="1094"/>
      <c r="BT102" s="727"/>
      <c r="BU102" s="197"/>
      <c r="BV102" s="197"/>
      <c r="BW102" s="197"/>
      <c r="BX102" s="1094"/>
      <c r="BY102" s="197"/>
      <c r="BZ102" s="197"/>
      <c r="CA102" s="197"/>
      <c r="CB102" s="197"/>
      <c r="CC102" s="1094"/>
      <c r="CD102" s="1094"/>
      <c r="CE102" s="1094"/>
      <c r="CF102" s="1094"/>
      <c r="CG102" s="349"/>
    </row>
    <row r="103" spans="1:85" s="613" customFormat="1" x14ac:dyDescent="0.3">
      <c r="A103" s="478" t="s">
        <v>1960</v>
      </c>
      <c r="B103" s="523"/>
      <c r="C103" s="78"/>
      <c r="D103" s="78"/>
      <c r="E103" s="78"/>
      <c r="F103" s="78"/>
      <c r="G103" s="774"/>
      <c r="H103" s="774"/>
      <c r="I103" s="774"/>
      <c r="J103" s="774"/>
      <c r="K103" s="78"/>
      <c r="L103" s="774"/>
      <c r="M103" s="774"/>
      <c r="N103" s="774"/>
      <c r="O103" s="774"/>
      <c r="P103" s="78"/>
      <c r="Q103" s="774"/>
      <c r="R103" s="774"/>
      <c r="S103" s="774"/>
      <c r="T103" s="774"/>
      <c r="U103" s="78"/>
      <c r="V103" s="774"/>
      <c r="W103" s="774"/>
      <c r="X103" s="774"/>
      <c r="Y103" s="774"/>
      <c r="Z103" s="78"/>
      <c r="AA103" s="774"/>
      <c r="AB103" s="774"/>
      <c r="AC103" s="774"/>
      <c r="AD103" s="774"/>
      <c r="AE103" s="78"/>
      <c r="AF103" s="774"/>
      <c r="AG103" s="774"/>
      <c r="AH103" s="774"/>
      <c r="AI103" s="774"/>
      <c r="AJ103" s="78"/>
      <c r="AK103" s="774"/>
      <c r="AL103" s="774"/>
      <c r="AM103" s="774"/>
      <c r="AN103" s="774"/>
      <c r="AO103" s="78"/>
      <c r="AP103" s="774"/>
      <c r="AQ103" s="774"/>
      <c r="AR103" s="774"/>
      <c r="AS103" s="774"/>
      <c r="AT103" s="1119">
        <v>20.565999999999999</v>
      </c>
      <c r="AU103" s="774"/>
      <c r="AV103" s="774"/>
      <c r="AW103" s="774"/>
      <c r="AX103" s="774"/>
      <c r="AY103" s="1119">
        <v>20.565999999999999</v>
      </c>
      <c r="AZ103" s="774"/>
      <c r="BA103" s="774"/>
      <c r="BB103" s="774"/>
      <c r="BC103" s="774"/>
      <c r="BD103" s="1119">
        <v>20.565999999999999</v>
      </c>
      <c r="BE103" s="774"/>
      <c r="BF103" s="774"/>
      <c r="BG103" s="774"/>
      <c r="BH103" s="774"/>
      <c r="BI103" s="78"/>
      <c r="BJ103" s="774"/>
      <c r="BK103" s="774"/>
      <c r="BL103" s="774"/>
      <c r="BM103" s="774"/>
      <c r="BN103" s="78"/>
      <c r="BO103" s="774"/>
      <c r="BP103" s="774"/>
      <c r="BQ103" s="774"/>
      <c r="BR103" s="774"/>
      <c r="BS103" s="78"/>
      <c r="BT103" s="775"/>
      <c r="BU103" s="774"/>
      <c r="BV103" s="774"/>
      <c r="BW103" s="774"/>
      <c r="BX103" s="78"/>
      <c r="BY103" s="774"/>
      <c r="BZ103" s="774"/>
      <c r="CA103" s="774"/>
      <c r="CB103" s="774"/>
      <c r="CC103" s="78"/>
      <c r="CD103" s="78"/>
      <c r="CE103" s="78"/>
      <c r="CF103" s="78"/>
      <c r="CG103" s="532"/>
    </row>
    <row r="104" spans="1:85" s="615" customFormat="1" x14ac:dyDescent="0.3">
      <c r="A104" s="522" t="s">
        <v>1959</v>
      </c>
      <c r="B104" s="521"/>
      <c r="C104" s="1122"/>
      <c r="D104" s="1122"/>
      <c r="E104" s="1122"/>
      <c r="F104" s="1122"/>
      <c r="G104" s="520"/>
      <c r="H104" s="520"/>
      <c r="I104" s="520"/>
      <c r="J104" s="520"/>
      <c r="K104" s="1122"/>
      <c r="L104" s="520"/>
      <c r="M104" s="520"/>
      <c r="N104" s="520"/>
      <c r="O104" s="520"/>
      <c r="P104" s="1122"/>
      <c r="Q104" s="520"/>
      <c r="R104" s="520"/>
      <c r="S104" s="520"/>
      <c r="T104" s="520"/>
      <c r="U104" s="1122"/>
      <c r="V104" s="520"/>
      <c r="W104" s="520"/>
      <c r="X104" s="520"/>
      <c r="Y104" s="520"/>
      <c r="Z104" s="1122"/>
      <c r="AA104" s="520"/>
      <c r="AB104" s="520"/>
      <c r="AC104" s="520"/>
      <c r="AD104" s="520"/>
      <c r="AE104" s="1122"/>
      <c r="AF104" s="520"/>
      <c r="AG104" s="520"/>
      <c r="AH104" s="520"/>
      <c r="AI104" s="520"/>
      <c r="AJ104" s="1122"/>
      <c r="AK104" s="520"/>
      <c r="AL104" s="520"/>
      <c r="AM104" s="520"/>
      <c r="AN104" s="520"/>
      <c r="AO104" s="1122"/>
      <c r="AP104" s="520"/>
      <c r="AQ104" s="520"/>
      <c r="AR104" s="520"/>
      <c r="AS104" s="520"/>
      <c r="AT104" s="1123">
        <v>60.77</v>
      </c>
      <c r="AU104" s="526"/>
      <c r="AV104" s="526"/>
      <c r="AW104" s="526"/>
      <c r="AX104" s="526"/>
      <c r="AY104" s="1123">
        <v>60.77</v>
      </c>
      <c r="AZ104" s="526"/>
      <c r="BA104" s="526"/>
      <c r="BB104" s="526"/>
      <c r="BC104" s="526"/>
      <c r="BD104" s="1123">
        <v>60.77</v>
      </c>
      <c r="BE104" s="520"/>
      <c r="BF104" s="520"/>
      <c r="BG104" s="520"/>
      <c r="BH104" s="520"/>
      <c r="BI104" s="1122"/>
      <c r="BJ104" s="520"/>
      <c r="BK104" s="520"/>
      <c r="BL104" s="520"/>
      <c r="BM104" s="520"/>
      <c r="BN104" s="1122"/>
      <c r="BO104" s="520"/>
      <c r="BP104" s="520"/>
      <c r="BQ104" s="520"/>
      <c r="BR104" s="520"/>
      <c r="BS104" s="1122"/>
      <c r="BT104" s="728"/>
      <c r="BU104" s="520"/>
      <c r="BV104" s="520"/>
      <c r="BW104" s="520"/>
      <c r="BX104" s="1122"/>
      <c r="BY104" s="520"/>
      <c r="BZ104" s="520"/>
      <c r="CA104" s="520"/>
      <c r="CB104" s="520"/>
      <c r="CC104" s="1122"/>
      <c r="CD104" s="1122"/>
      <c r="CE104" s="1122"/>
      <c r="CF104" s="1122"/>
      <c r="CG104" s="519"/>
    </row>
    <row r="105" spans="1:85" s="614" customFormat="1" x14ac:dyDescent="0.3">
      <c r="A105" s="522"/>
      <c r="B105" s="352"/>
      <c r="C105" s="1094"/>
      <c r="D105" s="1094"/>
      <c r="E105" s="1094"/>
      <c r="F105" s="1094"/>
      <c r="G105" s="197"/>
      <c r="H105" s="197"/>
      <c r="I105" s="197"/>
      <c r="J105" s="197"/>
      <c r="K105" s="1094"/>
      <c r="L105" s="197"/>
      <c r="M105" s="197"/>
      <c r="N105" s="197"/>
      <c r="O105" s="197"/>
      <c r="P105" s="1094"/>
      <c r="Q105" s="197"/>
      <c r="R105" s="197"/>
      <c r="S105" s="197"/>
      <c r="T105" s="197"/>
      <c r="U105" s="1094"/>
      <c r="V105" s="197"/>
      <c r="W105" s="197"/>
      <c r="X105" s="197"/>
      <c r="Y105" s="197"/>
      <c r="Z105" s="1094"/>
      <c r="AA105" s="197"/>
      <c r="AB105" s="197"/>
      <c r="AC105" s="197"/>
      <c r="AD105" s="197"/>
      <c r="AE105" s="1094"/>
      <c r="AF105" s="197"/>
      <c r="AG105" s="197"/>
      <c r="AH105" s="197"/>
      <c r="AI105" s="197"/>
      <c r="AJ105" s="1094"/>
      <c r="AK105" s="197"/>
      <c r="AL105" s="197"/>
      <c r="AM105" s="197"/>
      <c r="AN105" s="197"/>
      <c r="AO105" s="1094"/>
      <c r="AP105" s="197"/>
      <c r="AQ105" s="197"/>
      <c r="AR105" s="197"/>
      <c r="AS105" s="197"/>
      <c r="AT105" s="198"/>
      <c r="AU105" s="194"/>
      <c r="AV105" s="194"/>
      <c r="AW105" s="194"/>
      <c r="AX105" s="194"/>
      <c r="AY105" s="198"/>
      <c r="AZ105" s="194"/>
      <c r="BA105" s="194"/>
      <c r="BB105" s="194"/>
      <c r="BC105" s="194"/>
      <c r="BD105" s="198"/>
      <c r="BE105" s="197"/>
      <c r="BF105" s="197"/>
      <c r="BG105" s="197"/>
      <c r="BH105" s="197"/>
      <c r="BI105" s="1094"/>
      <c r="BJ105" s="197"/>
      <c r="BK105" s="197"/>
      <c r="BL105" s="197"/>
      <c r="BM105" s="197"/>
      <c r="BN105" s="1094"/>
      <c r="BO105" s="197"/>
      <c r="BP105" s="197"/>
      <c r="BQ105" s="197"/>
      <c r="BR105" s="197"/>
      <c r="BS105" s="1094"/>
      <c r="BT105" s="727"/>
      <c r="BU105" s="197"/>
      <c r="BV105" s="197"/>
      <c r="BW105" s="197"/>
      <c r="BX105" s="1094"/>
      <c r="BY105" s="197"/>
      <c r="BZ105" s="197"/>
      <c r="CA105" s="197"/>
      <c r="CB105" s="197"/>
      <c r="CC105" s="1094"/>
      <c r="CD105" s="1094"/>
      <c r="CE105" s="1094"/>
      <c r="CF105" s="1094"/>
      <c r="CG105" s="349"/>
    </row>
    <row r="106" spans="1:85" s="613" customFormat="1" x14ac:dyDescent="0.3">
      <c r="A106" s="478" t="s">
        <v>1958</v>
      </c>
      <c r="B106" s="523"/>
      <c r="C106" s="78"/>
      <c r="D106" s="78"/>
      <c r="E106" s="78"/>
      <c r="F106" s="78"/>
      <c r="G106" s="774"/>
      <c r="H106" s="774"/>
      <c r="I106" s="774"/>
      <c r="J106" s="774"/>
      <c r="K106" s="78"/>
      <c r="L106" s="774"/>
      <c r="M106" s="774"/>
      <c r="N106" s="774"/>
      <c r="O106" s="774"/>
      <c r="P106" s="78"/>
      <c r="Q106" s="774"/>
      <c r="R106" s="774"/>
      <c r="S106" s="774"/>
      <c r="T106" s="774"/>
      <c r="U106" s="78"/>
      <c r="V106" s="774"/>
      <c r="W106" s="774"/>
      <c r="X106" s="774"/>
      <c r="Y106" s="774"/>
      <c r="Z106" s="78"/>
      <c r="AA106" s="774"/>
      <c r="AB106" s="774"/>
      <c r="AC106" s="774"/>
      <c r="AD106" s="774"/>
      <c r="AE106" s="78"/>
      <c r="AF106" s="774"/>
      <c r="AG106" s="774"/>
      <c r="AH106" s="774"/>
      <c r="AI106" s="774"/>
      <c r="AJ106" s="78"/>
      <c r="AK106" s="774"/>
      <c r="AL106" s="774"/>
      <c r="AM106" s="774"/>
      <c r="AN106" s="774"/>
      <c r="AO106" s="78"/>
      <c r="AP106" s="774"/>
      <c r="AQ106" s="774"/>
      <c r="AR106" s="774"/>
      <c r="AS106" s="774"/>
      <c r="AT106" s="1119">
        <v>18.361000000000001</v>
      </c>
      <c r="AU106" s="774"/>
      <c r="AV106" s="774"/>
      <c r="AW106" s="774"/>
      <c r="AX106" s="774"/>
      <c r="AY106" s="1119">
        <v>18.361000000000001</v>
      </c>
      <c r="AZ106" s="774"/>
      <c r="BA106" s="774"/>
      <c r="BB106" s="774"/>
      <c r="BC106" s="774"/>
      <c r="BD106" s="1119">
        <v>18.361000000000001</v>
      </c>
      <c r="BE106" s="774"/>
      <c r="BF106" s="774"/>
      <c r="BG106" s="774"/>
      <c r="BH106" s="774"/>
      <c r="BI106" s="78"/>
      <c r="BJ106" s="774"/>
      <c r="BK106" s="774"/>
      <c r="BL106" s="774"/>
      <c r="BM106" s="774"/>
      <c r="BN106" s="78"/>
      <c r="BO106" s="774"/>
      <c r="BP106" s="774"/>
      <c r="BQ106" s="774"/>
      <c r="BR106" s="774"/>
      <c r="BS106" s="78"/>
      <c r="BT106" s="775"/>
      <c r="BU106" s="774"/>
      <c r="BV106" s="774"/>
      <c r="BW106" s="774"/>
      <c r="BX106" s="78"/>
      <c r="BY106" s="774"/>
      <c r="BZ106" s="774"/>
      <c r="CA106" s="774"/>
      <c r="CB106" s="774"/>
      <c r="CC106" s="78"/>
      <c r="CD106" s="78"/>
      <c r="CE106" s="78"/>
      <c r="CF106" s="78"/>
      <c r="CG106" s="532"/>
    </row>
    <row r="107" spans="1:85" s="615" customFormat="1" x14ac:dyDescent="0.3">
      <c r="A107" s="522" t="s">
        <v>1957</v>
      </c>
      <c r="B107" s="521"/>
      <c r="C107" s="1122"/>
      <c r="D107" s="1122"/>
      <c r="E107" s="1122"/>
      <c r="F107" s="1122"/>
      <c r="G107" s="520"/>
      <c r="H107" s="520"/>
      <c r="I107" s="520"/>
      <c r="J107" s="520"/>
      <c r="K107" s="1122"/>
      <c r="L107" s="520"/>
      <c r="M107" s="520"/>
      <c r="N107" s="520"/>
      <c r="O107" s="520"/>
      <c r="P107" s="1122"/>
      <c r="Q107" s="520"/>
      <c r="R107" s="520"/>
      <c r="S107" s="520"/>
      <c r="T107" s="520"/>
      <c r="U107" s="1122"/>
      <c r="V107" s="520"/>
      <c r="W107" s="520"/>
      <c r="X107" s="520"/>
      <c r="Y107" s="520"/>
      <c r="Z107" s="1122"/>
      <c r="AA107" s="520"/>
      <c r="AB107" s="520"/>
      <c r="AC107" s="520"/>
      <c r="AD107" s="520"/>
      <c r="AE107" s="1122"/>
      <c r="AF107" s="520"/>
      <c r="AG107" s="520"/>
      <c r="AH107" s="520"/>
      <c r="AI107" s="520"/>
      <c r="AJ107" s="1122"/>
      <c r="AK107" s="520"/>
      <c r="AL107" s="520"/>
      <c r="AM107" s="520"/>
      <c r="AN107" s="520"/>
      <c r="AO107" s="1122"/>
      <c r="AP107" s="520"/>
      <c r="AQ107" s="520"/>
      <c r="AR107" s="520"/>
      <c r="AS107" s="520"/>
      <c r="AT107" s="1123">
        <v>68.09</v>
      </c>
      <c r="AU107" s="526"/>
      <c r="AV107" s="526"/>
      <c r="AW107" s="526"/>
      <c r="AX107" s="526"/>
      <c r="AY107" s="1123">
        <v>68.09</v>
      </c>
      <c r="AZ107" s="526"/>
      <c r="BA107" s="526"/>
      <c r="BB107" s="526"/>
      <c r="BC107" s="526"/>
      <c r="BD107" s="1123">
        <v>68.09</v>
      </c>
      <c r="BE107" s="520"/>
      <c r="BF107" s="520"/>
      <c r="BG107" s="520"/>
      <c r="BH107" s="520"/>
      <c r="BI107" s="1122"/>
      <c r="BJ107" s="520"/>
      <c r="BK107" s="520"/>
      <c r="BL107" s="520"/>
      <c r="BM107" s="520"/>
      <c r="BN107" s="1122"/>
      <c r="BO107" s="520"/>
      <c r="BP107" s="520"/>
      <c r="BQ107" s="520"/>
      <c r="BR107" s="520"/>
      <c r="BS107" s="1122"/>
      <c r="BT107" s="728"/>
      <c r="BU107" s="520"/>
      <c r="BV107" s="520"/>
      <c r="BW107" s="520"/>
      <c r="BX107" s="1122"/>
      <c r="BY107" s="520"/>
      <c r="BZ107" s="520"/>
      <c r="CA107" s="520"/>
      <c r="CB107" s="520"/>
      <c r="CC107" s="1122"/>
      <c r="CD107" s="1122"/>
      <c r="CE107" s="1122"/>
      <c r="CF107" s="1122"/>
      <c r="CG107" s="519"/>
    </row>
    <row r="108" spans="1:85" s="614" customFormat="1" x14ac:dyDescent="0.3">
      <c r="A108" s="522"/>
      <c r="B108" s="352"/>
      <c r="C108" s="1094"/>
      <c r="D108" s="1094"/>
      <c r="E108" s="1094"/>
      <c r="F108" s="1094"/>
      <c r="G108" s="197"/>
      <c r="H108" s="197"/>
      <c r="I108" s="197"/>
      <c r="J108" s="197"/>
      <c r="K108" s="1094"/>
      <c r="L108" s="197"/>
      <c r="M108" s="197"/>
      <c r="N108" s="197"/>
      <c r="O108" s="197"/>
      <c r="P108" s="1094"/>
      <c r="Q108" s="197"/>
      <c r="R108" s="197"/>
      <c r="S108" s="197"/>
      <c r="T108" s="197"/>
      <c r="U108" s="1094"/>
      <c r="V108" s="197"/>
      <c r="W108" s="197"/>
      <c r="X108" s="197"/>
      <c r="Y108" s="197"/>
      <c r="Z108" s="1094"/>
      <c r="AA108" s="197"/>
      <c r="AB108" s="197"/>
      <c r="AC108" s="197"/>
      <c r="AD108" s="197"/>
      <c r="AE108" s="1094"/>
      <c r="AF108" s="197"/>
      <c r="AG108" s="197"/>
      <c r="AH108" s="197"/>
      <c r="AI108" s="197"/>
      <c r="AJ108" s="1094"/>
      <c r="AK108" s="197"/>
      <c r="AL108" s="197"/>
      <c r="AM108" s="197"/>
      <c r="AN108" s="197"/>
      <c r="AO108" s="1094"/>
      <c r="AP108" s="197"/>
      <c r="AQ108" s="197"/>
      <c r="AR108" s="197"/>
      <c r="AS108" s="197"/>
      <c r="AT108" s="198"/>
      <c r="AU108" s="194"/>
      <c r="AV108" s="194"/>
      <c r="AW108" s="194"/>
      <c r="AX108" s="194"/>
      <c r="AY108" s="198"/>
      <c r="AZ108" s="194"/>
      <c r="BA108" s="194"/>
      <c r="BB108" s="194"/>
      <c r="BC108" s="194"/>
      <c r="BD108" s="198"/>
      <c r="BE108" s="197"/>
      <c r="BF108" s="197"/>
      <c r="BG108" s="197"/>
      <c r="BH108" s="197"/>
      <c r="BI108" s="1094"/>
      <c r="BJ108" s="197"/>
      <c r="BK108" s="197"/>
      <c r="BL108" s="197"/>
      <c r="BM108" s="197"/>
      <c r="BN108" s="1094"/>
      <c r="BO108" s="197"/>
      <c r="BP108" s="197"/>
      <c r="BQ108" s="197"/>
      <c r="BR108" s="197"/>
      <c r="BS108" s="1094"/>
      <c r="BT108" s="727"/>
      <c r="BU108" s="197"/>
      <c r="BV108" s="197"/>
      <c r="BW108" s="197"/>
      <c r="BX108" s="1094"/>
      <c r="BY108" s="197"/>
      <c r="BZ108" s="197"/>
      <c r="CA108" s="197"/>
      <c r="CB108" s="197"/>
      <c r="CC108" s="1094"/>
      <c r="CD108" s="1094"/>
      <c r="CE108" s="1094"/>
      <c r="CF108" s="1094"/>
      <c r="CG108" s="349"/>
    </row>
    <row r="109" spans="1:85" s="613" customFormat="1" x14ac:dyDescent="0.3">
      <c r="A109" s="478" t="s">
        <v>1956</v>
      </c>
      <c r="B109" s="523"/>
      <c r="C109" s="78"/>
      <c r="D109" s="78"/>
      <c r="E109" s="78"/>
      <c r="F109" s="78"/>
      <c r="G109" s="774"/>
      <c r="H109" s="774"/>
      <c r="I109" s="774"/>
      <c r="J109" s="774"/>
      <c r="K109" s="78"/>
      <c r="L109" s="774"/>
      <c r="M109" s="774"/>
      <c r="N109" s="774"/>
      <c r="O109" s="774"/>
      <c r="P109" s="78"/>
      <c r="Q109" s="774"/>
      <c r="R109" s="774"/>
      <c r="S109" s="774"/>
      <c r="T109" s="774"/>
      <c r="U109" s="78"/>
      <c r="V109" s="774"/>
      <c r="W109" s="774"/>
      <c r="X109" s="774"/>
      <c r="Y109" s="774"/>
      <c r="Z109" s="78"/>
      <c r="AA109" s="774"/>
      <c r="AB109" s="774"/>
      <c r="AC109" s="774"/>
      <c r="AD109" s="774"/>
      <c r="AE109" s="78"/>
      <c r="AF109" s="774"/>
      <c r="AG109" s="774"/>
      <c r="AH109" s="774"/>
      <c r="AI109" s="774"/>
      <c r="AJ109" s="78"/>
      <c r="AK109" s="774"/>
      <c r="AL109" s="774"/>
      <c r="AM109" s="774"/>
      <c r="AN109" s="774"/>
      <c r="AO109" s="78"/>
      <c r="AP109" s="774"/>
      <c r="AQ109" s="774"/>
      <c r="AR109" s="774"/>
      <c r="AS109" s="774"/>
      <c r="AT109" s="1119">
        <v>19.943000000000001</v>
      </c>
      <c r="AU109" s="774"/>
      <c r="AV109" s="774"/>
      <c r="AW109" s="774"/>
      <c r="AX109" s="774"/>
      <c r="AY109" s="1119">
        <v>19.943000000000001</v>
      </c>
      <c r="AZ109" s="774"/>
      <c r="BA109" s="774"/>
      <c r="BB109" s="774"/>
      <c r="BC109" s="774"/>
      <c r="BD109" s="1119">
        <v>19.943000000000001</v>
      </c>
      <c r="BE109" s="774"/>
      <c r="BF109" s="774"/>
      <c r="BG109" s="774"/>
      <c r="BH109" s="774"/>
      <c r="BI109" s="78"/>
      <c r="BJ109" s="774"/>
      <c r="BK109" s="774"/>
      <c r="BL109" s="774"/>
      <c r="BM109" s="774"/>
      <c r="BN109" s="78"/>
      <c r="BO109" s="774"/>
      <c r="BP109" s="774"/>
      <c r="BQ109" s="774"/>
      <c r="BR109" s="774"/>
      <c r="BS109" s="78"/>
      <c r="BT109" s="775"/>
      <c r="BU109" s="774"/>
      <c r="BV109" s="774"/>
      <c r="BW109" s="774"/>
      <c r="BX109" s="78"/>
      <c r="BY109" s="774"/>
      <c r="BZ109" s="774"/>
      <c r="CA109" s="774"/>
      <c r="CB109" s="774"/>
      <c r="CC109" s="78"/>
      <c r="CD109" s="78"/>
      <c r="CE109" s="78"/>
      <c r="CF109" s="78"/>
      <c r="CG109" s="532"/>
    </row>
    <row r="110" spans="1:85" s="615" customFormat="1" x14ac:dyDescent="0.3">
      <c r="A110" s="522" t="s">
        <v>1955</v>
      </c>
      <c r="B110" s="521"/>
      <c r="C110" s="1122"/>
      <c r="D110" s="1122"/>
      <c r="E110" s="1122"/>
      <c r="F110" s="1122"/>
      <c r="G110" s="520"/>
      <c r="H110" s="520"/>
      <c r="I110" s="520"/>
      <c r="J110" s="520"/>
      <c r="K110" s="1122"/>
      <c r="L110" s="520"/>
      <c r="M110" s="520"/>
      <c r="N110" s="520"/>
      <c r="O110" s="520"/>
      <c r="P110" s="1122"/>
      <c r="Q110" s="520"/>
      <c r="R110" s="520"/>
      <c r="S110" s="520"/>
      <c r="T110" s="520"/>
      <c r="U110" s="1122"/>
      <c r="V110" s="520"/>
      <c r="W110" s="520"/>
      <c r="X110" s="520"/>
      <c r="Y110" s="520"/>
      <c r="Z110" s="1122"/>
      <c r="AA110" s="520"/>
      <c r="AB110" s="520"/>
      <c r="AC110" s="520"/>
      <c r="AD110" s="520"/>
      <c r="AE110" s="1122"/>
      <c r="AF110" s="520"/>
      <c r="AG110" s="520"/>
      <c r="AH110" s="520"/>
      <c r="AI110" s="520"/>
      <c r="AJ110" s="1122"/>
      <c r="AK110" s="520"/>
      <c r="AL110" s="520"/>
      <c r="AM110" s="520"/>
      <c r="AN110" s="520"/>
      <c r="AO110" s="1122"/>
      <c r="AP110" s="520"/>
      <c r="AQ110" s="520"/>
      <c r="AR110" s="520"/>
      <c r="AS110" s="520"/>
      <c r="AT110" s="1123">
        <v>62.69</v>
      </c>
      <c r="AU110" s="526"/>
      <c r="AV110" s="526"/>
      <c r="AW110" s="526"/>
      <c r="AX110" s="526"/>
      <c r="AY110" s="1123">
        <v>62.69</v>
      </c>
      <c r="AZ110" s="526"/>
      <c r="BA110" s="526"/>
      <c r="BB110" s="526"/>
      <c r="BC110" s="526"/>
      <c r="BD110" s="1123">
        <v>62.69</v>
      </c>
      <c r="BE110" s="520"/>
      <c r="BF110" s="520"/>
      <c r="BG110" s="520"/>
      <c r="BH110" s="520"/>
      <c r="BI110" s="1122"/>
      <c r="BJ110" s="520"/>
      <c r="BK110" s="520"/>
      <c r="BL110" s="520"/>
      <c r="BM110" s="520"/>
      <c r="BN110" s="1122"/>
      <c r="BO110" s="520"/>
      <c r="BP110" s="520"/>
      <c r="BQ110" s="520"/>
      <c r="BR110" s="520"/>
      <c r="BS110" s="1122"/>
      <c r="BT110" s="728"/>
      <c r="BU110" s="520"/>
      <c r="BV110" s="520"/>
      <c r="BW110" s="520"/>
      <c r="BX110" s="1122"/>
      <c r="BY110" s="520"/>
      <c r="BZ110" s="520"/>
      <c r="CA110" s="520"/>
      <c r="CB110" s="520"/>
      <c r="CC110" s="1122"/>
      <c r="CD110" s="1122"/>
      <c r="CE110" s="1122"/>
      <c r="CF110" s="1122"/>
      <c r="CG110" s="519"/>
    </row>
    <row r="111" spans="1:85" s="614" customFormat="1" x14ac:dyDescent="0.3">
      <c r="A111" s="522"/>
      <c r="B111" s="352"/>
      <c r="C111" s="1094"/>
      <c r="D111" s="1094"/>
      <c r="E111" s="1094"/>
      <c r="F111" s="1094"/>
      <c r="G111" s="197"/>
      <c r="H111" s="197"/>
      <c r="I111" s="197"/>
      <c r="J111" s="197"/>
      <c r="K111" s="1094"/>
      <c r="L111" s="197"/>
      <c r="M111" s="197"/>
      <c r="N111" s="197"/>
      <c r="O111" s="197"/>
      <c r="P111" s="1094"/>
      <c r="Q111" s="197"/>
      <c r="R111" s="197"/>
      <c r="S111" s="197"/>
      <c r="T111" s="197"/>
      <c r="U111" s="1094"/>
      <c r="V111" s="197"/>
      <c r="W111" s="197"/>
      <c r="X111" s="197"/>
      <c r="Y111" s="197"/>
      <c r="Z111" s="1094"/>
      <c r="AA111" s="197"/>
      <c r="AB111" s="197"/>
      <c r="AC111" s="197"/>
      <c r="AD111" s="197"/>
      <c r="AE111" s="1094"/>
      <c r="AF111" s="197"/>
      <c r="AG111" s="197"/>
      <c r="AH111" s="197"/>
      <c r="AI111" s="197"/>
      <c r="AJ111" s="1094"/>
      <c r="AK111" s="197"/>
      <c r="AL111" s="197"/>
      <c r="AM111" s="197"/>
      <c r="AN111" s="197"/>
      <c r="AO111" s="1094"/>
      <c r="AP111" s="197"/>
      <c r="AQ111" s="197"/>
      <c r="AR111" s="197"/>
      <c r="AS111" s="197"/>
      <c r="AT111" s="198"/>
      <c r="AU111" s="194"/>
      <c r="AV111" s="194"/>
      <c r="AW111" s="194"/>
      <c r="AX111" s="194"/>
      <c r="AY111" s="198"/>
      <c r="AZ111" s="194"/>
      <c r="BA111" s="194"/>
      <c r="BB111" s="194"/>
      <c r="BC111" s="194"/>
      <c r="BD111" s="198"/>
      <c r="BE111" s="197"/>
      <c r="BF111" s="197"/>
      <c r="BG111" s="197"/>
      <c r="BH111" s="197"/>
      <c r="BI111" s="1094"/>
      <c r="BJ111" s="197"/>
      <c r="BK111" s="197"/>
      <c r="BL111" s="197"/>
      <c r="BM111" s="197"/>
      <c r="BN111" s="1094"/>
      <c r="BO111" s="197"/>
      <c r="BP111" s="197"/>
      <c r="BQ111" s="197"/>
      <c r="BR111" s="197"/>
      <c r="BS111" s="1094"/>
      <c r="BT111" s="727"/>
      <c r="BU111" s="197"/>
      <c r="BV111" s="197"/>
      <c r="BW111" s="197"/>
      <c r="BX111" s="1094"/>
      <c r="BY111" s="197"/>
      <c r="BZ111" s="197"/>
      <c r="CA111" s="197"/>
      <c r="CB111" s="197"/>
      <c r="CC111" s="1094"/>
      <c r="CD111" s="1094"/>
      <c r="CE111" s="1094"/>
      <c r="CF111" s="1094"/>
      <c r="CG111" s="349"/>
    </row>
    <row r="112" spans="1:85" s="613" customFormat="1" x14ac:dyDescent="0.3">
      <c r="A112" s="478" t="s">
        <v>1954</v>
      </c>
      <c r="B112" s="523"/>
      <c r="C112" s="78"/>
      <c r="D112" s="78"/>
      <c r="E112" s="78"/>
      <c r="F112" s="78"/>
      <c r="G112" s="774"/>
      <c r="H112" s="774"/>
      <c r="I112" s="774"/>
      <c r="J112" s="774"/>
      <c r="K112" s="78"/>
      <c r="L112" s="774"/>
      <c r="M112" s="774"/>
      <c r="N112" s="774"/>
      <c r="O112" s="774"/>
      <c r="P112" s="78"/>
      <c r="Q112" s="774"/>
      <c r="R112" s="774"/>
      <c r="S112" s="774"/>
      <c r="T112" s="774"/>
      <c r="U112" s="78"/>
      <c r="V112" s="774"/>
      <c r="W112" s="774"/>
      <c r="X112" s="774"/>
      <c r="Y112" s="774"/>
      <c r="Z112" s="78"/>
      <c r="AA112" s="774"/>
      <c r="AB112" s="774"/>
      <c r="AC112" s="774"/>
      <c r="AD112" s="774"/>
      <c r="AE112" s="78"/>
      <c r="AF112" s="774"/>
      <c r="AG112" s="774"/>
      <c r="AH112" s="774"/>
      <c r="AI112" s="774"/>
      <c r="AJ112" s="78"/>
      <c r="AK112" s="774"/>
      <c r="AL112" s="774"/>
      <c r="AM112" s="774"/>
      <c r="AN112" s="774"/>
      <c r="AO112" s="78"/>
      <c r="AP112" s="774"/>
      <c r="AQ112" s="774"/>
      <c r="AR112" s="774"/>
      <c r="AS112" s="774"/>
      <c r="AT112" s="1119">
        <v>22.526</v>
      </c>
      <c r="AU112" s="774"/>
      <c r="AV112" s="774"/>
      <c r="AW112" s="774"/>
      <c r="AX112" s="774"/>
      <c r="AY112" s="1119">
        <v>22.526</v>
      </c>
      <c r="AZ112" s="774"/>
      <c r="BA112" s="774"/>
      <c r="BB112" s="774"/>
      <c r="BC112" s="774"/>
      <c r="BD112" s="1119">
        <v>22.526</v>
      </c>
      <c r="BE112" s="774"/>
      <c r="BF112" s="774"/>
      <c r="BG112" s="774"/>
      <c r="BH112" s="774"/>
      <c r="BI112" s="78"/>
      <c r="BJ112" s="774"/>
      <c r="BK112" s="774"/>
      <c r="BL112" s="774"/>
      <c r="BM112" s="774"/>
      <c r="BN112" s="78"/>
      <c r="BO112" s="774"/>
      <c r="BP112" s="774"/>
      <c r="BQ112" s="774"/>
      <c r="BR112" s="774"/>
      <c r="BS112" s="78"/>
      <c r="BT112" s="775"/>
      <c r="BU112" s="774"/>
      <c r="BV112" s="774"/>
      <c r="BW112" s="774"/>
      <c r="BX112" s="78"/>
      <c r="BY112" s="774"/>
      <c r="BZ112" s="774"/>
      <c r="CA112" s="774"/>
      <c r="CB112" s="774"/>
      <c r="CC112" s="78"/>
      <c r="CD112" s="78"/>
      <c r="CE112" s="78"/>
      <c r="CF112" s="78"/>
      <c r="CG112" s="532"/>
    </row>
    <row r="113" spans="1:85" s="615" customFormat="1" x14ac:dyDescent="0.3">
      <c r="A113" s="522" t="s">
        <v>1953</v>
      </c>
      <c r="B113" s="521"/>
      <c r="C113" s="1122"/>
      <c r="D113" s="1122"/>
      <c r="E113" s="1122"/>
      <c r="F113" s="1122"/>
      <c r="G113" s="520"/>
      <c r="H113" s="520"/>
      <c r="I113" s="520"/>
      <c r="J113" s="520"/>
      <c r="K113" s="1122"/>
      <c r="L113" s="520"/>
      <c r="M113" s="520"/>
      <c r="N113" s="520"/>
      <c r="O113" s="520"/>
      <c r="P113" s="1122"/>
      <c r="Q113" s="520"/>
      <c r="R113" s="520"/>
      <c r="S113" s="520"/>
      <c r="T113" s="520"/>
      <c r="U113" s="1122"/>
      <c r="V113" s="520"/>
      <c r="W113" s="520"/>
      <c r="X113" s="520"/>
      <c r="Y113" s="520"/>
      <c r="Z113" s="1122"/>
      <c r="AA113" s="520"/>
      <c r="AB113" s="520"/>
      <c r="AC113" s="520"/>
      <c r="AD113" s="520"/>
      <c r="AE113" s="1122"/>
      <c r="AF113" s="520"/>
      <c r="AG113" s="520"/>
      <c r="AH113" s="520"/>
      <c r="AI113" s="520"/>
      <c r="AJ113" s="1122"/>
      <c r="AK113" s="520"/>
      <c r="AL113" s="520"/>
      <c r="AM113" s="520"/>
      <c r="AN113" s="520"/>
      <c r="AO113" s="1122"/>
      <c r="AP113" s="520"/>
      <c r="AQ113" s="520"/>
      <c r="AR113" s="520"/>
      <c r="AS113" s="520"/>
      <c r="AT113" s="1123">
        <v>55.49</v>
      </c>
      <c r="AU113" s="526"/>
      <c r="AV113" s="526"/>
      <c r="AW113" s="526"/>
      <c r="AX113" s="526"/>
      <c r="AY113" s="1123">
        <v>55.49</v>
      </c>
      <c r="AZ113" s="526"/>
      <c r="BA113" s="526"/>
      <c r="BB113" s="526"/>
      <c r="BC113" s="526"/>
      <c r="BD113" s="1123">
        <v>55.49</v>
      </c>
      <c r="BE113" s="520"/>
      <c r="BF113" s="520"/>
      <c r="BG113" s="520"/>
      <c r="BH113" s="520"/>
      <c r="BI113" s="1122"/>
      <c r="BJ113" s="520"/>
      <c r="BK113" s="520"/>
      <c r="BL113" s="520"/>
      <c r="BM113" s="520"/>
      <c r="BN113" s="1122"/>
      <c r="BO113" s="520"/>
      <c r="BP113" s="520"/>
      <c r="BQ113" s="520"/>
      <c r="BR113" s="520"/>
      <c r="BS113" s="1122"/>
      <c r="BT113" s="728"/>
      <c r="BU113" s="520"/>
      <c r="BV113" s="520"/>
      <c r="BW113" s="520"/>
      <c r="BX113" s="1122"/>
      <c r="BY113" s="520"/>
      <c r="BZ113" s="520"/>
      <c r="CA113" s="520"/>
      <c r="CB113" s="520"/>
      <c r="CC113" s="1122"/>
      <c r="CD113" s="1122"/>
      <c r="CE113" s="1122"/>
      <c r="CF113" s="1122"/>
      <c r="CG113" s="519"/>
    </row>
    <row r="114" spans="1:85" s="614" customFormat="1" x14ac:dyDescent="0.3">
      <c r="A114" s="522"/>
      <c r="B114" s="352"/>
      <c r="C114" s="1094"/>
      <c r="D114" s="1094"/>
      <c r="E114" s="1094"/>
      <c r="F114" s="1094"/>
      <c r="G114" s="197"/>
      <c r="H114" s="197"/>
      <c r="I114" s="197"/>
      <c r="J114" s="197"/>
      <c r="K114" s="1094"/>
      <c r="L114" s="197"/>
      <c r="M114" s="197"/>
      <c r="N114" s="197"/>
      <c r="O114" s="197"/>
      <c r="P114" s="1094"/>
      <c r="Q114" s="197"/>
      <c r="R114" s="197"/>
      <c r="S114" s="197"/>
      <c r="T114" s="197"/>
      <c r="U114" s="1094"/>
      <c r="V114" s="197"/>
      <c r="W114" s="197"/>
      <c r="X114" s="197"/>
      <c r="Y114" s="197"/>
      <c r="Z114" s="1094"/>
      <c r="AA114" s="197"/>
      <c r="AB114" s="197"/>
      <c r="AC114" s="197"/>
      <c r="AD114" s="197"/>
      <c r="AE114" s="1094"/>
      <c r="AF114" s="197"/>
      <c r="AG114" s="197"/>
      <c r="AH114" s="197"/>
      <c r="AI114" s="197"/>
      <c r="AJ114" s="1094"/>
      <c r="AK114" s="197"/>
      <c r="AL114" s="197"/>
      <c r="AM114" s="197"/>
      <c r="AN114" s="197"/>
      <c r="AO114" s="1094"/>
      <c r="AP114" s="197"/>
      <c r="AQ114" s="197"/>
      <c r="AR114" s="197"/>
      <c r="AS114" s="197"/>
      <c r="AT114" s="198"/>
      <c r="AU114" s="194"/>
      <c r="AV114" s="194"/>
      <c r="AW114" s="194"/>
      <c r="AX114" s="194"/>
      <c r="AY114" s="198"/>
      <c r="AZ114" s="194"/>
      <c r="BA114" s="194"/>
      <c r="BB114" s="194"/>
      <c r="BC114" s="194"/>
      <c r="BD114" s="198"/>
      <c r="BE114" s="197"/>
      <c r="BF114" s="197"/>
      <c r="BG114" s="197"/>
      <c r="BH114" s="197"/>
      <c r="BI114" s="1094"/>
      <c r="BJ114" s="197"/>
      <c r="BK114" s="197"/>
      <c r="BL114" s="197"/>
      <c r="BM114" s="197"/>
      <c r="BN114" s="1094"/>
      <c r="BO114" s="197"/>
      <c r="BP114" s="197"/>
      <c r="BQ114" s="197"/>
      <c r="BR114" s="197"/>
      <c r="BS114" s="1094"/>
      <c r="BT114" s="727"/>
      <c r="BU114" s="197"/>
      <c r="BV114" s="197"/>
      <c r="BW114" s="197"/>
      <c r="BX114" s="1094"/>
      <c r="BY114" s="197"/>
      <c r="BZ114" s="197"/>
      <c r="CA114" s="197"/>
      <c r="CB114" s="197"/>
      <c r="CC114" s="1094"/>
      <c r="CD114" s="1094"/>
      <c r="CE114" s="1094"/>
      <c r="CF114" s="1094"/>
      <c r="CG114" s="349"/>
    </row>
    <row r="115" spans="1:85" s="613" customFormat="1" x14ac:dyDescent="0.3">
      <c r="A115" s="478" t="s">
        <v>1952</v>
      </c>
      <c r="B115" s="523"/>
      <c r="C115" s="78"/>
      <c r="D115" s="78"/>
      <c r="E115" s="78"/>
      <c r="F115" s="78"/>
      <c r="G115" s="774"/>
      <c r="H115" s="774"/>
      <c r="I115" s="774"/>
      <c r="J115" s="774"/>
      <c r="K115" s="78"/>
      <c r="L115" s="774"/>
      <c r="M115" s="774"/>
      <c r="N115" s="774"/>
      <c r="O115" s="774"/>
      <c r="P115" s="78"/>
      <c r="Q115" s="774"/>
      <c r="R115" s="774"/>
      <c r="S115" s="774"/>
      <c r="T115" s="774"/>
      <c r="U115" s="78"/>
      <c r="V115" s="774"/>
      <c r="W115" s="774"/>
      <c r="X115" s="774"/>
      <c r="Y115" s="774"/>
      <c r="Z115" s="78"/>
      <c r="AA115" s="774"/>
      <c r="AB115" s="774"/>
      <c r="AC115" s="774"/>
      <c r="AD115" s="774"/>
      <c r="AE115" s="78"/>
      <c r="AF115" s="774"/>
      <c r="AG115" s="774"/>
      <c r="AH115" s="774"/>
      <c r="AI115" s="774"/>
      <c r="AJ115" s="78"/>
      <c r="AK115" s="774"/>
      <c r="AL115" s="774"/>
      <c r="AM115" s="774"/>
      <c r="AN115" s="774"/>
      <c r="AO115" s="78"/>
      <c r="AP115" s="774"/>
      <c r="AQ115" s="774"/>
      <c r="AR115" s="774"/>
      <c r="AS115" s="774"/>
      <c r="AT115" s="1119">
        <v>25.599</v>
      </c>
      <c r="AU115" s="774"/>
      <c r="AV115" s="774"/>
      <c r="AW115" s="774"/>
      <c r="AX115" s="774"/>
      <c r="AY115" s="1119">
        <v>25.599</v>
      </c>
      <c r="AZ115" s="774"/>
      <c r="BA115" s="774"/>
      <c r="BB115" s="774"/>
      <c r="BC115" s="774"/>
      <c r="BD115" s="1119">
        <v>25.599</v>
      </c>
      <c r="BE115" s="774"/>
      <c r="BF115" s="774"/>
      <c r="BG115" s="774"/>
      <c r="BH115" s="774"/>
      <c r="BI115" s="78"/>
      <c r="BJ115" s="774"/>
      <c r="BK115" s="774"/>
      <c r="BL115" s="774"/>
      <c r="BM115" s="774"/>
      <c r="BN115" s="78"/>
      <c r="BO115" s="774"/>
      <c r="BP115" s="774"/>
      <c r="BQ115" s="774"/>
      <c r="BR115" s="774"/>
      <c r="BS115" s="78"/>
      <c r="BT115" s="775"/>
      <c r="BU115" s="774"/>
      <c r="BV115" s="774"/>
      <c r="BW115" s="774"/>
      <c r="BX115" s="78"/>
      <c r="BY115" s="774"/>
      <c r="BZ115" s="774"/>
      <c r="CA115" s="774"/>
      <c r="CB115" s="774"/>
      <c r="CC115" s="78"/>
      <c r="CD115" s="78"/>
      <c r="CE115" s="78"/>
      <c r="CF115" s="78"/>
      <c r="CG115" s="532"/>
    </row>
    <row r="116" spans="1:85" s="615" customFormat="1" x14ac:dyDescent="0.3">
      <c r="A116" s="522" t="s">
        <v>1951</v>
      </c>
      <c r="B116" s="521"/>
      <c r="C116" s="1122"/>
      <c r="D116" s="1122"/>
      <c r="E116" s="1122"/>
      <c r="F116" s="1122"/>
      <c r="G116" s="520"/>
      <c r="H116" s="520"/>
      <c r="I116" s="520"/>
      <c r="J116" s="520"/>
      <c r="K116" s="1122"/>
      <c r="L116" s="520"/>
      <c r="M116" s="520"/>
      <c r="N116" s="520"/>
      <c r="O116" s="520"/>
      <c r="P116" s="1122"/>
      <c r="Q116" s="520"/>
      <c r="R116" s="520"/>
      <c r="S116" s="520"/>
      <c r="T116" s="520"/>
      <c r="U116" s="1122"/>
      <c r="V116" s="520"/>
      <c r="W116" s="520"/>
      <c r="X116" s="520"/>
      <c r="Y116" s="520"/>
      <c r="Z116" s="1122"/>
      <c r="AA116" s="520"/>
      <c r="AB116" s="520"/>
      <c r="AC116" s="520"/>
      <c r="AD116" s="520"/>
      <c r="AE116" s="1122"/>
      <c r="AF116" s="520"/>
      <c r="AG116" s="520"/>
      <c r="AH116" s="520"/>
      <c r="AI116" s="520"/>
      <c r="AJ116" s="1122"/>
      <c r="AK116" s="520"/>
      <c r="AL116" s="520"/>
      <c r="AM116" s="520"/>
      <c r="AN116" s="520"/>
      <c r="AO116" s="1122"/>
      <c r="AP116" s="520"/>
      <c r="AQ116" s="520"/>
      <c r="AR116" s="520"/>
      <c r="AS116" s="520"/>
      <c r="AT116" s="1123">
        <v>48.83</v>
      </c>
      <c r="AU116" s="526"/>
      <c r="AV116" s="526"/>
      <c r="AW116" s="526"/>
      <c r="AX116" s="526"/>
      <c r="AY116" s="1123">
        <v>48.83</v>
      </c>
      <c r="AZ116" s="526"/>
      <c r="BA116" s="526"/>
      <c r="BB116" s="526"/>
      <c r="BC116" s="526"/>
      <c r="BD116" s="1123">
        <v>48.83</v>
      </c>
      <c r="BE116" s="520"/>
      <c r="BF116" s="520"/>
      <c r="BG116" s="520"/>
      <c r="BH116" s="520"/>
      <c r="BI116" s="1122"/>
      <c r="BJ116" s="520"/>
      <c r="BK116" s="520"/>
      <c r="BL116" s="520"/>
      <c r="BM116" s="520"/>
      <c r="BN116" s="1122"/>
      <c r="BO116" s="520"/>
      <c r="BP116" s="520"/>
      <c r="BQ116" s="520"/>
      <c r="BR116" s="520"/>
      <c r="BS116" s="1122"/>
      <c r="BT116" s="728"/>
      <c r="BU116" s="520"/>
      <c r="BV116" s="520"/>
      <c r="BW116" s="520"/>
      <c r="BX116" s="1122"/>
      <c r="BY116" s="520"/>
      <c r="BZ116" s="520"/>
      <c r="CA116" s="520"/>
      <c r="CB116" s="520"/>
      <c r="CC116" s="1122"/>
      <c r="CD116" s="1122"/>
      <c r="CE116" s="1122"/>
      <c r="CF116" s="1122"/>
      <c r="CG116" s="519"/>
    </row>
    <row r="117" spans="1:85" s="614" customFormat="1" x14ac:dyDescent="0.3">
      <c r="A117" s="224"/>
      <c r="B117" s="352"/>
      <c r="C117" s="1094"/>
      <c r="D117" s="1094"/>
      <c r="E117" s="1094"/>
      <c r="F117" s="1094"/>
      <c r="G117" s="197"/>
      <c r="H117" s="197"/>
      <c r="I117" s="197"/>
      <c r="J117" s="197"/>
      <c r="K117" s="1094"/>
      <c r="L117" s="197"/>
      <c r="M117" s="197"/>
      <c r="N117" s="197"/>
      <c r="O117" s="197"/>
      <c r="P117" s="1094"/>
      <c r="Q117" s="197"/>
      <c r="R117" s="197"/>
      <c r="S117" s="197"/>
      <c r="T117" s="197"/>
      <c r="U117" s="1094"/>
      <c r="V117" s="197"/>
      <c r="W117" s="197"/>
      <c r="X117" s="197"/>
      <c r="Y117" s="197"/>
      <c r="Z117" s="1094"/>
      <c r="AA117" s="197"/>
      <c r="AB117" s="197"/>
      <c r="AC117" s="197"/>
      <c r="AD117" s="197"/>
      <c r="AE117" s="1094"/>
      <c r="AF117" s="197"/>
      <c r="AG117" s="197"/>
      <c r="AH117" s="197"/>
      <c r="AI117" s="197"/>
      <c r="AJ117" s="1094"/>
      <c r="AK117" s="197"/>
      <c r="AL117" s="197"/>
      <c r="AM117" s="197"/>
      <c r="AN117" s="197"/>
      <c r="AO117" s="1094"/>
      <c r="AP117" s="197"/>
      <c r="AQ117" s="197"/>
      <c r="AR117" s="197"/>
      <c r="AS117" s="197"/>
      <c r="AT117" s="198"/>
      <c r="AU117" s="194"/>
      <c r="AV117" s="194"/>
      <c r="AW117" s="194"/>
      <c r="AX117" s="194"/>
      <c r="AY117" s="198"/>
      <c r="AZ117" s="194"/>
      <c r="BA117" s="194"/>
      <c r="BB117" s="194"/>
      <c r="BC117" s="194"/>
      <c r="BD117" s="198"/>
      <c r="BE117" s="197"/>
      <c r="BF117" s="197"/>
      <c r="BG117" s="197"/>
      <c r="BH117" s="197"/>
      <c r="BI117" s="1094"/>
      <c r="BJ117" s="197"/>
      <c r="BK117" s="197"/>
      <c r="BL117" s="197"/>
      <c r="BM117" s="197"/>
      <c r="BN117" s="1094"/>
      <c r="BO117" s="197"/>
      <c r="BP117" s="197"/>
      <c r="BQ117" s="197"/>
      <c r="BR117" s="197"/>
      <c r="BS117" s="1094"/>
      <c r="BT117" s="727"/>
      <c r="BU117" s="197"/>
      <c r="BV117" s="197"/>
      <c r="BW117" s="197"/>
      <c r="BX117" s="1094"/>
      <c r="BY117" s="197"/>
      <c r="BZ117" s="197"/>
      <c r="CA117" s="197"/>
      <c r="CB117" s="197"/>
      <c r="CC117" s="1094"/>
      <c r="CD117" s="1094"/>
      <c r="CE117" s="1094"/>
      <c r="CF117" s="1094"/>
      <c r="CG117" s="349"/>
    </row>
    <row r="118" spans="1:85" s="613" customFormat="1" x14ac:dyDescent="0.3">
      <c r="A118" s="478" t="s">
        <v>1950</v>
      </c>
      <c r="B118" s="523"/>
      <c r="C118" s="78"/>
      <c r="D118" s="78"/>
      <c r="E118" s="78"/>
      <c r="F118" s="78"/>
      <c r="G118" s="774"/>
      <c r="H118" s="774"/>
      <c r="I118" s="774"/>
      <c r="J118" s="774"/>
      <c r="K118" s="78"/>
      <c r="L118" s="774"/>
      <c r="M118" s="774"/>
      <c r="N118" s="774"/>
      <c r="O118" s="774"/>
      <c r="P118" s="78"/>
      <c r="Q118" s="774"/>
      <c r="R118" s="774"/>
      <c r="S118" s="774"/>
      <c r="T118" s="774"/>
      <c r="U118" s="78"/>
      <c r="V118" s="774"/>
      <c r="W118" s="774"/>
      <c r="X118" s="774"/>
      <c r="Y118" s="774"/>
      <c r="Z118" s="78"/>
      <c r="AA118" s="774"/>
      <c r="AB118" s="774"/>
      <c r="AC118" s="774"/>
      <c r="AD118" s="774"/>
      <c r="AE118" s="78"/>
      <c r="AF118" s="774"/>
      <c r="AG118" s="774"/>
      <c r="AH118" s="774"/>
      <c r="AI118" s="774"/>
      <c r="AJ118" s="78"/>
      <c r="AK118" s="774"/>
      <c r="AL118" s="774"/>
      <c r="AM118" s="774"/>
      <c r="AN118" s="774"/>
      <c r="AO118" s="78"/>
      <c r="AP118" s="774"/>
      <c r="AQ118" s="774"/>
      <c r="AR118" s="774"/>
      <c r="AS118" s="774"/>
      <c r="AT118" s="1119">
        <v>25.074000000000002</v>
      </c>
      <c r="AU118" s="774"/>
      <c r="AV118" s="774"/>
      <c r="AW118" s="774"/>
      <c r="AX118" s="774"/>
      <c r="AY118" s="1119">
        <v>25.074000000000002</v>
      </c>
      <c r="AZ118" s="774"/>
      <c r="BA118" s="774"/>
      <c r="BB118" s="774"/>
      <c r="BC118" s="774"/>
      <c r="BD118" s="1119">
        <v>25.074000000000002</v>
      </c>
      <c r="BE118" s="774"/>
      <c r="BF118" s="774"/>
      <c r="BG118" s="774"/>
      <c r="BH118" s="774"/>
      <c r="BI118" s="78"/>
      <c r="BJ118" s="774"/>
      <c r="BK118" s="774"/>
      <c r="BL118" s="774"/>
      <c r="BM118" s="774"/>
      <c r="BN118" s="78"/>
      <c r="BO118" s="774"/>
      <c r="BP118" s="774"/>
      <c r="BQ118" s="774"/>
      <c r="BR118" s="774"/>
      <c r="BS118" s="78"/>
      <c r="BT118" s="775"/>
      <c r="BU118" s="774"/>
      <c r="BV118" s="774"/>
      <c r="BW118" s="774"/>
      <c r="BX118" s="78"/>
      <c r="BY118" s="774"/>
      <c r="BZ118" s="774"/>
      <c r="CA118" s="774"/>
      <c r="CB118" s="774"/>
      <c r="CC118" s="78"/>
      <c r="CD118" s="78"/>
      <c r="CE118" s="78"/>
      <c r="CF118" s="78"/>
      <c r="CG118" s="532"/>
    </row>
    <row r="119" spans="1:85" s="615" customFormat="1" x14ac:dyDescent="0.3">
      <c r="A119" s="522" t="s">
        <v>1949</v>
      </c>
      <c r="B119" s="521"/>
      <c r="C119" s="1122"/>
      <c r="D119" s="1122"/>
      <c r="E119" s="1122"/>
      <c r="F119" s="1122"/>
      <c r="G119" s="520"/>
      <c r="H119" s="520"/>
      <c r="I119" s="520"/>
      <c r="J119" s="520"/>
      <c r="K119" s="1122"/>
      <c r="L119" s="520"/>
      <c r="M119" s="520"/>
      <c r="N119" s="520"/>
      <c r="O119" s="520"/>
      <c r="P119" s="1122"/>
      <c r="Q119" s="520"/>
      <c r="R119" s="520"/>
      <c r="S119" s="520"/>
      <c r="T119" s="520"/>
      <c r="U119" s="1122"/>
      <c r="V119" s="520"/>
      <c r="W119" s="520"/>
      <c r="X119" s="520"/>
      <c r="Y119" s="520"/>
      <c r="Z119" s="1122"/>
      <c r="AA119" s="520"/>
      <c r="AB119" s="520"/>
      <c r="AC119" s="520"/>
      <c r="AD119" s="520"/>
      <c r="AE119" s="1122"/>
      <c r="AF119" s="520"/>
      <c r="AG119" s="520"/>
      <c r="AH119" s="520"/>
      <c r="AI119" s="520"/>
      <c r="AJ119" s="1122"/>
      <c r="AK119" s="520"/>
      <c r="AL119" s="520"/>
      <c r="AM119" s="520"/>
      <c r="AN119" s="520"/>
      <c r="AO119" s="1122"/>
      <c r="AP119" s="520"/>
      <c r="AQ119" s="520"/>
      <c r="AR119" s="520"/>
      <c r="AS119" s="520"/>
      <c r="AT119" s="1123">
        <v>49.85</v>
      </c>
      <c r="AU119" s="526"/>
      <c r="AV119" s="526"/>
      <c r="AW119" s="526"/>
      <c r="AX119" s="526"/>
      <c r="AY119" s="1123">
        <v>49.85</v>
      </c>
      <c r="AZ119" s="526"/>
      <c r="BA119" s="526"/>
      <c r="BB119" s="526"/>
      <c r="BC119" s="526"/>
      <c r="BD119" s="1123">
        <v>49.85</v>
      </c>
      <c r="BE119" s="520"/>
      <c r="BF119" s="520"/>
      <c r="BG119" s="520"/>
      <c r="BH119" s="520"/>
      <c r="BI119" s="1122"/>
      <c r="BJ119" s="520"/>
      <c r="BK119" s="520"/>
      <c r="BL119" s="520"/>
      <c r="BM119" s="520"/>
      <c r="BN119" s="1122"/>
      <c r="BO119" s="520"/>
      <c r="BP119" s="520"/>
      <c r="BQ119" s="520"/>
      <c r="BR119" s="520"/>
      <c r="BS119" s="1122"/>
      <c r="BT119" s="728"/>
      <c r="BU119" s="520"/>
      <c r="BV119" s="520"/>
      <c r="BW119" s="520"/>
      <c r="BX119" s="1122"/>
      <c r="BY119" s="520"/>
      <c r="BZ119" s="520"/>
      <c r="CA119" s="520"/>
      <c r="CB119" s="520"/>
      <c r="CC119" s="1122"/>
      <c r="CD119" s="1122"/>
      <c r="CE119" s="1122"/>
      <c r="CF119" s="1122"/>
      <c r="CG119" s="519"/>
    </row>
    <row r="120" spans="1:85" s="614" customFormat="1" x14ac:dyDescent="0.3">
      <c r="A120" s="522"/>
      <c r="B120" s="352"/>
      <c r="C120" s="1094"/>
      <c r="D120" s="1094"/>
      <c r="E120" s="1094"/>
      <c r="F120" s="1094"/>
      <c r="G120" s="197"/>
      <c r="H120" s="197"/>
      <c r="I120" s="197"/>
      <c r="J120" s="197"/>
      <c r="K120" s="1094"/>
      <c r="L120" s="197"/>
      <c r="M120" s="197"/>
      <c r="N120" s="197"/>
      <c r="O120" s="197"/>
      <c r="P120" s="1094"/>
      <c r="Q120" s="197"/>
      <c r="R120" s="197"/>
      <c r="S120" s="197"/>
      <c r="T120" s="197"/>
      <c r="U120" s="1094"/>
      <c r="V120" s="197"/>
      <c r="W120" s="197"/>
      <c r="X120" s="197"/>
      <c r="Y120" s="197"/>
      <c r="Z120" s="1094"/>
      <c r="AA120" s="197"/>
      <c r="AB120" s="197"/>
      <c r="AC120" s="197"/>
      <c r="AD120" s="197"/>
      <c r="AE120" s="1094"/>
      <c r="AF120" s="197"/>
      <c r="AG120" s="197"/>
      <c r="AH120" s="197"/>
      <c r="AI120" s="197"/>
      <c r="AJ120" s="1094"/>
      <c r="AK120" s="197"/>
      <c r="AL120" s="197"/>
      <c r="AM120" s="197"/>
      <c r="AN120" s="197"/>
      <c r="AO120" s="1094"/>
      <c r="AP120" s="197"/>
      <c r="AQ120" s="197"/>
      <c r="AR120" s="197"/>
      <c r="AS120" s="197"/>
      <c r="AT120" s="198"/>
      <c r="AU120" s="194"/>
      <c r="AV120" s="194"/>
      <c r="AW120" s="194"/>
      <c r="AX120" s="194"/>
      <c r="AY120" s="198"/>
      <c r="AZ120" s="194"/>
      <c r="BA120" s="194"/>
      <c r="BB120" s="194"/>
      <c r="BC120" s="194"/>
      <c r="BD120" s="198"/>
      <c r="BE120" s="197"/>
      <c r="BF120" s="197"/>
      <c r="BG120" s="197"/>
      <c r="BH120" s="197"/>
      <c r="BI120" s="1094"/>
      <c r="BJ120" s="197"/>
      <c r="BK120" s="197"/>
      <c r="BL120" s="197"/>
      <c r="BM120" s="197"/>
      <c r="BN120" s="1094"/>
      <c r="BO120" s="197"/>
      <c r="BP120" s="197"/>
      <c r="BQ120" s="197"/>
      <c r="BR120" s="197"/>
      <c r="BS120" s="1094"/>
      <c r="BT120" s="727"/>
      <c r="BU120" s="197"/>
      <c r="BV120" s="197"/>
      <c r="BW120" s="197"/>
      <c r="BX120" s="1094"/>
      <c r="BY120" s="197"/>
      <c r="BZ120" s="197"/>
      <c r="CA120" s="197"/>
      <c r="CB120" s="197"/>
      <c r="CC120" s="1094"/>
      <c r="CD120" s="1094"/>
      <c r="CE120" s="1094"/>
      <c r="CF120" s="1094"/>
      <c r="CG120" s="349"/>
    </row>
    <row r="121" spans="1:85" s="613" customFormat="1" x14ac:dyDescent="0.3">
      <c r="A121" s="478" t="s">
        <v>1948</v>
      </c>
      <c r="B121" s="523"/>
      <c r="C121" s="78"/>
      <c r="D121" s="78"/>
      <c r="E121" s="78"/>
      <c r="F121" s="78"/>
      <c r="G121" s="774"/>
      <c r="H121" s="774"/>
      <c r="I121" s="774"/>
      <c r="J121" s="774"/>
      <c r="K121" s="78"/>
      <c r="L121" s="774"/>
      <c r="M121" s="774"/>
      <c r="N121" s="774"/>
      <c r="O121" s="774"/>
      <c r="P121" s="78"/>
      <c r="Q121" s="774"/>
      <c r="R121" s="774"/>
      <c r="S121" s="774"/>
      <c r="T121" s="774"/>
      <c r="U121" s="78"/>
      <c r="V121" s="774"/>
      <c r="W121" s="774"/>
      <c r="X121" s="774"/>
      <c r="Y121" s="774"/>
      <c r="Z121" s="78"/>
      <c r="AA121" s="774"/>
      <c r="AB121" s="774"/>
      <c r="AC121" s="774"/>
      <c r="AD121" s="774"/>
      <c r="AE121" s="78"/>
      <c r="AF121" s="774"/>
      <c r="AG121" s="774"/>
      <c r="AH121" s="774"/>
      <c r="AI121" s="774"/>
      <c r="AJ121" s="78"/>
      <c r="AK121" s="774"/>
      <c r="AL121" s="774"/>
      <c r="AM121" s="774"/>
      <c r="AN121" s="774"/>
      <c r="AO121" s="78"/>
      <c r="AP121" s="774"/>
      <c r="AQ121" s="774"/>
      <c r="AR121" s="774"/>
      <c r="AS121" s="774"/>
      <c r="AT121" s="1119">
        <v>45.29</v>
      </c>
      <c r="AU121" s="774"/>
      <c r="AV121" s="774"/>
      <c r="AW121" s="774"/>
      <c r="AX121" s="774"/>
      <c r="AY121" s="1119">
        <v>45.29</v>
      </c>
      <c r="AZ121" s="774"/>
      <c r="BA121" s="774"/>
      <c r="BB121" s="774"/>
      <c r="BC121" s="774"/>
      <c r="BD121" s="1119">
        <v>45.29</v>
      </c>
      <c r="BE121" s="774"/>
      <c r="BF121" s="774"/>
      <c r="BG121" s="774"/>
      <c r="BH121" s="774"/>
      <c r="BI121" s="78"/>
      <c r="BJ121" s="774"/>
      <c r="BK121" s="774"/>
      <c r="BL121" s="774"/>
      <c r="BM121" s="774"/>
      <c r="BN121" s="78"/>
      <c r="BO121" s="774"/>
      <c r="BP121" s="774"/>
      <c r="BQ121" s="774"/>
      <c r="BR121" s="774"/>
      <c r="BS121" s="78"/>
      <c r="BT121" s="775"/>
      <c r="BU121" s="774"/>
      <c r="BV121" s="774"/>
      <c r="BW121" s="774"/>
      <c r="BX121" s="78"/>
      <c r="BY121" s="774"/>
      <c r="BZ121" s="774"/>
      <c r="CA121" s="774"/>
      <c r="CB121" s="774"/>
      <c r="CC121" s="78"/>
      <c r="CD121" s="78"/>
      <c r="CE121" s="78"/>
      <c r="CF121" s="78"/>
      <c r="CG121" s="532"/>
    </row>
    <row r="122" spans="1:85" s="615" customFormat="1" x14ac:dyDescent="0.3">
      <c r="A122" s="522" t="s">
        <v>1947</v>
      </c>
      <c r="B122" s="521"/>
      <c r="C122" s="1122"/>
      <c r="D122" s="1122"/>
      <c r="E122" s="1122"/>
      <c r="F122" s="1122"/>
      <c r="G122" s="520"/>
      <c r="H122" s="520"/>
      <c r="I122" s="520"/>
      <c r="J122" s="520"/>
      <c r="K122" s="1122"/>
      <c r="L122" s="520"/>
      <c r="M122" s="520"/>
      <c r="N122" s="520"/>
      <c r="O122" s="520"/>
      <c r="P122" s="1122"/>
      <c r="Q122" s="520"/>
      <c r="R122" s="520"/>
      <c r="S122" s="520"/>
      <c r="T122" s="520"/>
      <c r="U122" s="1122"/>
      <c r="V122" s="520"/>
      <c r="W122" s="520"/>
      <c r="X122" s="520"/>
      <c r="Y122" s="520"/>
      <c r="Z122" s="1122"/>
      <c r="AA122" s="520"/>
      <c r="AB122" s="520"/>
      <c r="AC122" s="520"/>
      <c r="AD122" s="520"/>
      <c r="AE122" s="1122"/>
      <c r="AF122" s="520"/>
      <c r="AG122" s="520"/>
      <c r="AH122" s="520"/>
      <c r="AI122" s="520"/>
      <c r="AJ122" s="1122"/>
      <c r="AK122" s="520"/>
      <c r="AL122" s="520"/>
      <c r="AM122" s="520"/>
      <c r="AN122" s="520"/>
      <c r="AO122" s="1122"/>
      <c r="AP122" s="520"/>
      <c r="AQ122" s="520"/>
      <c r="AR122" s="520"/>
      <c r="AS122" s="520"/>
      <c r="AT122" s="1123">
        <v>63.01</v>
      </c>
      <c r="AU122" s="526"/>
      <c r="AV122" s="526"/>
      <c r="AW122" s="526"/>
      <c r="AX122" s="526"/>
      <c r="AY122" s="1123">
        <v>63.01</v>
      </c>
      <c r="AZ122" s="526"/>
      <c r="BA122" s="526"/>
      <c r="BB122" s="526"/>
      <c r="BC122" s="526"/>
      <c r="BD122" s="1123">
        <v>63.01</v>
      </c>
      <c r="BE122" s="520"/>
      <c r="BF122" s="520"/>
      <c r="BG122" s="520"/>
      <c r="BH122" s="520"/>
      <c r="BI122" s="1122"/>
      <c r="BJ122" s="520"/>
      <c r="BK122" s="520"/>
      <c r="BL122" s="520"/>
      <c r="BM122" s="520"/>
      <c r="BN122" s="1122"/>
      <c r="BO122" s="520"/>
      <c r="BP122" s="520"/>
      <c r="BQ122" s="520"/>
      <c r="BR122" s="520"/>
      <c r="BS122" s="1122"/>
      <c r="BT122" s="728"/>
      <c r="BU122" s="520"/>
      <c r="BV122" s="520"/>
      <c r="BW122" s="520"/>
      <c r="BX122" s="1122"/>
      <c r="BY122" s="520"/>
      <c r="BZ122" s="520"/>
      <c r="CA122" s="520"/>
      <c r="CB122" s="520"/>
      <c r="CC122" s="1122"/>
      <c r="CD122" s="1122"/>
      <c r="CE122" s="1122"/>
      <c r="CF122" s="1122"/>
      <c r="CG122" s="519"/>
    </row>
    <row r="123" spans="1:85" s="614" customFormat="1" x14ac:dyDescent="0.3">
      <c r="A123" s="522"/>
      <c r="B123" s="352"/>
      <c r="C123" s="1094"/>
      <c r="D123" s="1094"/>
      <c r="E123" s="1094"/>
      <c r="F123" s="1094"/>
      <c r="G123" s="197"/>
      <c r="H123" s="197"/>
      <c r="I123" s="197"/>
      <c r="J123" s="197"/>
      <c r="K123" s="1094"/>
      <c r="L123" s="197"/>
      <c r="M123" s="197"/>
      <c r="N123" s="197"/>
      <c r="O123" s="197"/>
      <c r="P123" s="1094"/>
      <c r="Q123" s="197"/>
      <c r="R123" s="197"/>
      <c r="S123" s="197"/>
      <c r="T123" s="197"/>
      <c r="U123" s="1094"/>
      <c r="V123" s="197"/>
      <c r="W123" s="197"/>
      <c r="X123" s="197"/>
      <c r="Y123" s="197"/>
      <c r="Z123" s="1094"/>
      <c r="AA123" s="197"/>
      <c r="AB123" s="197"/>
      <c r="AC123" s="197"/>
      <c r="AD123" s="197"/>
      <c r="AE123" s="1094"/>
      <c r="AF123" s="197"/>
      <c r="AG123" s="197"/>
      <c r="AH123" s="197"/>
      <c r="AI123" s="197"/>
      <c r="AJ123" s="1094"/>
      <c r="AK123" s="197"/>
      <c r="AL123" s="197"/>
      <c r="AM123" s="197"/>
      <c r="AN123" s="197"/>
      <c r="AO123" s="1094"/>
      <c r="AP123" s="197"/>
      <c r="AQ123" s="197"/>
      <c r="AR123" s="197"/>
      <c r="AS123" s="197"/>
      <c r="AT123" s="198"/>
      <c r="AU123" s="194"/>
      <c r="AV123" s="194"/>
      <c r="AW123" s="194"/>
      <c r="AX123" s="194"/>
      <c r="AY123" s="198"/>
      <c r="AZ123" s="194"/>
      <c r="BA123" s="194"/>
      <c r="BB123" s="194"/>
      <c r="BC123" s="194"/>
      <c r="BD123" s="198"/>
      <c r="BE123" s="197"/>
      <c r="BF123" s="197"/>
      <c r="BG123" s="197"/>
      <c r="BH123" s="197"/>
      <c r="BI123" s="1094"/>
      <c r="BJ123" s="197"/>
      <c r="BK123" s="197"/>
      <c r="BL123" s="197"/>
      <c r="BM123" s="197"/>
      <c r="BN123" s="1094"/>
      <c r="BO123" s="197"/>
      <c r="BP123" s="197"/>
      <c r="BQ123" s="197"/>
      <c r="BR123" s="197"/>
      <c r="BS123" s="1094"/>
      <c r="BT123" s="727"/>
      <c r="BU123" s="197"/>
      <c r="BV123" s="197"/>
      <c r="BW123" s="197"/>
      <c r="BX123" s="1094"/>
      <c r="BY123" s="197"/>
      <c r="BZ123" s="197"/>
      <c r="CA123" s="197"/>
      <c r="CB123" s="197"/>
      <c r="CC123" s="1094"/>
      <c r="CD123" s="1094"/>
      <c r="CE123" s="1094"/>
      <c r="CF123" s="1094"/>
      <c r="CG123" s="349"/>
    </row>
    <row r="124" spans="1:85" s="613" customFormat="1" x14ac:dyDescent="0.3">
      <c r="A124" s="478" t="s">
        <v>1946</v>
      </c>
      <c r="B124" s="523"/>
      <c r="C124" s="78"/>
      <c r="D124" s="78"/>
      <c r="E124" s="78"/>
      <c r="F124" s="78"/>
      <c r="G124" s="774"/>
      <c r="H124" s="774"/>
      <c r="I124" s="774"/>
      <c r="J124" s="774"/>
      <c r="K124" s="78"/>
      <c r="L124" s="774"/>
      <c r="M124" s="774"/>
      <c r="N124" s="774"/>
      <c r="O124" s="774"/>
      <c r="P124" s="78"/>
      <c r="Q124" s="774"/>
      <c r="R124" s="774"/>
      <c r="S124" s="774"/>
      <c r="T124" s="774"/>
      <c r="U124" s="78"/>
      <c r="V124" s="774"/>
      <c r="W124" s="774"/>
      <c r="X124" s="774"/>
      <c r="Y124" s="774"/>
      <c r="Z124" s="78"/>
      <c r="AA124" s="774"/>
      <c r="AB124" s="774"/>
      <c r="AC124" s="774"/>
      <c r="AD124" s="774"/>
      <c r="AE124" s="78"/>
      <c r="AF124" s="774"/>
      <c r="AG124" s="774"/>
      <c r="AH124" s="774"/>
      <c r="AI124" s="774"/>
      <c r="AJ124" s="78"/>
      <c r="AK124" s="774"/>
      <c r="AL124" s="774"/>
      <c r="AM124" s="774"/>
      <c r="AN124" s="774"/>
      <c r="AO124" s="78"/>
      <c r="AP124" s="774"/>
      <c r="AQ124" s="774"/>
      <c r="AR124" s="774"/>
      <c r="AS124" s="774"/>
      <c r="AT124" s="1119">
        <v>41.600999999999999</v>
      </c>
      <c r="AU124" s="774"/>
      <c r="AV124" s="774"/>
      <c r="AW124" s="774"/>
      <c r="AX124" s="774"/>
      <c r="AY124" s="1119">
        <v>41.600999999999999</v>
      </c>
      <c r="AZ124" s="774"/>
      <c r="BA124" s="774"/>
      <c r="BB124" s="774"/>
      <c r="BC124" s="774"/>
      <c r="BD124" s="1119">
        <v>41.600999999999999</v>
      </c>
      <c r="BE124" s="774"/>
      <c r="BF124" s="774"/>
      <c r="BG124" s="774"/>
      <c r="BH124" s="774"/>
      <c r="BI124" s="78"/>
      <c r="BJ124" s="774"/>
      <c r="BK124" s="774"/>
      <c r="BL124" s="774"/>
      <c r="BM124" s="774"/>
      <c r="BN124" s="78"/>
      <c r="BO124" s="774"/>
      <c r="BP124" s="774"/>
      <c r="BQ124" s="774"/>
      <c r="BR124" s="774"/>
      <c r="BS124" s="78"/>
      <c r="BT124" s="775"/>
      <c r="BU124" s="774"/>
      <c r="BV124" s="774"/>
      <c r="BW124" s="774"/>
      <c r="BX124" s="78"/>
      <c r="BY124" s="774"/>
      <c r="BZ124" s="774"/>
      <c r="CA124" s="774"/>
      <c r="CB124" s="774"/>
      <c r="CC124" s="78"/>
      <c r="CD124" s="78"/>
      <c r="CE124" s="78"/>
      <c r="CF124" s="78"/>
      <c r="CG124" s="532"/>
    </row>
    <row r="125" spans="1:85" s="615" customFormat="1" x14ac:dyDescent="0.3">
      <c r="A125" s="522" t="s">
        <v>1945</v>
      </c>
      <c r="B125" s="521"/>
      <c r="C125" s="1122"/>
      <c r="D125" s="1122"/>
      <c r="E125" s="1122"/>
      <c r="F125" s="1122"/>
      <c r="G125" s="520"/>
      <c r="H125" s="520"/>
      <c r="I125" s="520"/>
      <c r="J125" s="520"/>
      <c r="K125" s="1122"/>
      <c r="L125" s="520"/>
      <c r="M125" s="520"/>
      <c r="N125" s="520"/>
      <c r="O125" s="520"/>
      <c r="P125" s="1122"/>
      <c r="Q125" s="520"/>
      <c r="R125" s="520"/>
      <c r="S125" s="520"/>
      <c r="T125" s="520"/>
      <c r="U125" s="1122"/>
      <c r="V125" s="520"/>
      <c r="W125" s="520"/>
      <c r="X125" s="520"/>
      <c r="Y125" s="520"/>
      <c r="Z125" s="1122"/>
      <c r="AA125" s="520"/>
      <c r="AB125" s="520"/>
      <c r="AC125" s="520"/>
      <c r="AD125" s="520"/>
      <c r="AE125" s="1122"/>
      <c r="AF125" s="520"/>
      <c r="AG125" s="520"/>
      <c r="AH125" s="520"/>
      <c r="AI125" s="520"/>
      <c r="AJ125" s="1122"/>
      <c r="AK125" s="520"/>
      <c r="AL125" s="520"/>
      <c r="AM125" s="520"/>
      <c r="AN125" s="520"/>
      <c r="AO125" s="1122"/>
      <c r="AP125" s="520"/>
      <c r="AQ125" s="520"/>
      <c r="AR125" s="520"/>
      <c r="AS125" s="520"/>
      <c r="AT125" s="1123">
        <v>68.61</v>
      </c>
      <c r="AU125" s="526"/>
      <c r="AV125" s="526"/>
      <c r="AW125" s="526"/>
      <c r="AX125" s="526"/>
      <c r="AY125" s="1123">
        <v>68.61</v>
      </c>
      <c r="AZ125" s="526"/>
      <c r="BA125" s="526"/>
      <c r="BB125" s="526"/>
      <c r="BC125" s="526"/>
      <c r="BD125" s="1123">
        <v>68.61</v>
      </c>
      <c r="BE125" s="520"/>
      <c r="BF125" s="520"/>
      <c r="BG125" s="520"/>
      <c r="BH125" s="520"/>
      <c r="BI125" s="1122"/>
      <c r="BJ125" s="520"/>
      <c r="BK125" s="520"/>
      <c r="BL125" s="520"/>
      <c r="BM125" s="520"/>
      <c r="BN125" s="1122"/>
      <c r="BO125" s="520"/>
      <c r="BP125" s="520"/>
      <c r="BQ125" s="520"/>
      <c r="BR125" s="520"/>
      <c r="BS125" s="1122"/>
      <c r="BT125" s="728"/>
      <c r="BU125" s="520"/>
      <c r="BV125" s="520"/>
      <c r="BW125" s="520"/>
      <c r="BX125" s="1122"/>
      <c r="BY125" s="520"/>
      <c r="BZ125" s="520"/>
      <c r="CA125" s="520"/>
      <c r="CB125" s="520"/>
      <c r="CC125" s="1122"/>
      <c r="CD125" s="1122"/>
      <c r="CE125" s="1122"/>
      <c r="CF125" s="1122"/>
      <c r="CG125" s="519"/>
    </row>
    <row r="126" spans="1:85" s="614" customFormat="1" x14ac:dyDescent="0.3">
      <c r="A126" s="522"/>
      <c r="B126" s="352"/>
      <c r="C126" s="1094"/>
      <c r="D126" s="1094"/>
      <c r="E126" s="1094"/>
      <c r="F126" s="1094"/>
      <c r="G126" s="197"/>
      <c r="H126" s="197"/>
      <c r="I126" s="197"/>
      <c r="J126" s="197"/>
      <c r="K126" s="1094"/>
      <c r="L126" s="197"/>
      <c r="M126" s="197"/>
      <c r="N126" s="197"/>
      <c r="O126" s="197"/>
      <c r="P126" s="1094"/>
      <c r="Q126" s="197"/>
      <c r="R126" s="197"/>
      <c r="S126" s="197"/>
      <c r="T126" s="197"/>
      <c r="U126" s="1094"/>
      <c r="V126" s="197"/>
      <c r="W126" s="197"/>
      <c r="X126" s="197"/>
      <c r="Y126" s="197"/>
      <c r="Z126" s="1094"/>
      <c r="AA126" s="197"/>
      <c r="AB126" s="197"/>
      <c r="AC126" s="197"/>
      <c r="AD126" s="197"/>
      <c r="AE126" s="1094"/>
      <c r="AF126" s="197"/>
      <c r="AG126" s="197"/>
      <c r="AH126" s="197"/>
      <c r="AI126" s="197"/>
      <c r="AJ126" s="1094"/>
      <c r="AK126" s="197"/>
      <c r="AL126" s="197"/>
      <c r="AM126" s="197"/>
      <c r="AN126" s="197"/>
      <c r="AO126" s="1094"/>
      <c r="AP126" s="197"/>
      <c r="AQ126" s="197"/>
      <c r="AR126" s="197"/>
      <c r="AS126" s="197"/>
      <c r="AT126" s="198"/>
      <c r="AU126" s="194"/>
      <c r="AV126" s="194"/>
      <c r="AW126" s="194"/>
      <c r="AX126" s="194"/>
      <c r="AY126" s="198"/>
      <c r="AZ126" s="194"/>
      <c r="BA126" s="194"/>
      <c r="BB126" s="194"/>
      <c r="BC126" s="194"/>
      <c r="BD126" s="198"/>
      <c r="BE126" s="197"/>
      <c r="BF126" s="197"/>
      <c r="BG126" s="197"/>
      <c r="BH126" s="197"/>
      <c r="BI126" s="1094"/>
      <c r="BJ126" s="197"/>
      <c r="BK126" s="197"/>
      <c r="BL126" s="197"/>
      <c r="BM126" s="197"/>
      <c r="BN126" s="1094"/>
      <c r="BO126" s="197"/>
      <c r="BP126" s="197"/>
      <c r="BQ126" s="197"/>
      <c r="BR126" s="197"/>
      <c r="BS126" s="1094"/>
      <c r="BT126" s="727"/>
      <c r="BU126" s="197"/>
      <c r="BV126" s="197"/>
      <c r="BW126" s="197"/>
      <c r="BX126" s="1094"/>
      <c r="BY126" s="197"/>
      <c r="BZ126" s="197"/>
      <c r="CA126" s="197"/>
      <c r="CB126" s="197"/>
      <c r="CC126" s="1094"/>
      <c r="CD126" s="1094"/>
      <c r="CE126" s="1094"/>
      <c r="CF126" s="1094"/>
      <c r="CG126" s="349"/>
    </row>
    <row r="127" spans="1:85" s="613" customFormat="1" x14ac:dyDescent="0.3">
      <c r="A127" s="478" t="s">
        <v>1944</v>
      </c>
      <c r="B127" s="523"/>
      <c r="C127" s="78"/>
      <c r="D127" s="78"/>
      <c r="E127" s="78"/>
      <c r="F127" s="78"/>
      <c r="G127" s="774"/>
      <c r="H127" s="774"/>
      <c r="I127" s="774"/>
      <c r="J127" s="774"/>
      <c r="K127" s="78"/>
      <c r="L127" s="774"/>
      <c r="M127" s="774"/>
      <c r="N127" s="774"/>
      <c r="O127" s="774"/>
      <c r="P127" s="78"/>
      <c r="Q127" s="774"/>
      <c r="R127" s="774"/>
      <c r="S127" s="774"/>
      <c r="T127" s="774"/>
      <c r="U127" s="78"/>
      <c r="V127" s="774"/>
      <c r="W127" s="774"/>
      <c r="X127" s="774"/>
      <c r="Y127" s="774"/>
      <c r="Z127" s="78"/>
      <c r="AA127" s="774"/>
      <c r="AB127" s="774"/>
      <c r="AC127" s="774"/>
      <c r="AD127" s="774"/>
      <c r="AE127" s="78"/>
      <c r="AF127" s="774"/>
      <c r="AG127" s="774"/>
      <c r="AH127" s="774"/>
      <c r="AI127" s="774"/>
      <c r="AJ127" s="78"/>
      <c r="AK127" s="774"/>
      <c r="AL127" s="774"/>
      <c r="AM127" s="774"/>
      <c r="AN127" s="774"/>
      <c r="AO127" s="78"/>
      <c r="AP127" s="774"/>
      <c r="AQ127" s="774"/>
      <c r="AR127" s="774"/>
      <c r="AS127" s="774"/>
      <c r="AT127" s="1119">
        <v>48.363</v>
      </c>
      <c r="AU127" s="774"/>
      <c r="AV127" s="774"/>
      <c r="AW127" s="774"/>
      <c r="AX127" s="774"/>
      <c r="AY127" s="1119">
        <v>48.363</v>
      </c>
      <c r="AZ127" s="774"/>
      <c r="BA127" s="774"/>
      <c r="BB127" s="774"/>
      <c r="BC127" s="774"/>
      <c r="BD127" s="1119">
        <v>48.363</v>
      </c>
      <c r="BE127" s="774"/>
      <c r="BF127" s="774"/>
      <c r="BG127" s="774"/>
      <c r="BH127" s="774"/>
      <c r="BI127" s="78"/>
      <c r="BJ127" s="774"/>
      <c r="BK127" s="774"/>
      <c r="BL127" s="774"/>
      <c r="BM127" s="774"/>
      <c r="BN127" s="78"/>
      <c r="BO127" s="774"/>
      <c r="BP127" s="774"/>
      <c r="BQ127" s="774"/>
      <c r="BR127" s="774"/>
      <c r="BS127" s="78"/>
      <c r="BT127" s="775"/>
      <c r="BU127" s="774"/>
      <c r="BV127" s="774"/>
      <c r="BW127" s="774"/>
      <c r="BX127" s="78"/>
      <c r="BY127" s="774"/>
      <c r="BZ127" s="774"/>
      <c r="CA127" s="774"/>
      <c r="CB127" s="774"/>
      <c r="CC127" s="78"/>
      <c r="CD127" s="78"/>
      <c r="CE127" s="78"/>
      <c r="CF127" s="78"/>
      <c r="CG127" s="532"/>
    </row>
    <row r="128" spans="1:85" s="615" customFormat="1" x14ac:dyDescent="0.3">
      <c r="A128" s="522" t="s">
        <v>1943</v>
      </c>
      <c r="B128" s="521"/>
      <c r="C128" s="1122"/>
      <c r="D128" s="1122"/>
      <c r="E128" s="1122"/>
      <c r="F128" s="1122"/>
      <c r="G128" s="520"/>
      <c r="H128" s="520"/>
      <c r="I128" s="520"/>
      <c r="J128" s="520"/>
      <c r="K128" s="1122"/>
      <c r="L128" s="520"/>
      <c r="M128" s="520"/>
      <c r="N128" s="520"/>
      <c r="O128" s="520"/>
      <c r="P128" s="1122"/>
      <c r="Q128" s="520"/>
      <c r="R128" s="520"/>
      <c r="S128" s="520"/>
      <c r="T128" s="520"/>
      <c r="U128" s="1122"/>
      <c r="V128" s="520"/>
      <c r="W128" s="520"/>
      <c r="X128" s="520"/>
      <c r="Y128" s="520"/>
      <c r="Z128" s="1122"/>
      <c r="AA128" s="520"/>
      <c r="AB128" s="520"/>
      <c r="AC128" s="520"/>
      <c r="AD128" s="520"/>
      <c r="AE128" s="1122"/>
      <c r="AF128" s="520"/>
      <c r="AG128" s="520"/>
      <c r="AH128" s="520"/>
      <c r="AI128" s="520"/>
      <c r="AJ128" s="1122"/>
      <c r="AK128" s="520"/>
      <c r="AL128" s="520"/>
      <c r="AM128" s="520"/>
      <c r="AN128" s="520"/>
      <c r="AO128" s="1122"/>
      <c r="AP128" s="520"/>
      <c r="AQ128" s="520"/>
      <c r="AR128" s="520"/>
      <c r="AS128" s="520"/>
      <c r="AT128" s="1123">
        <v>59.02</v>
      </c>
      <c r="AU128" s="526"/>
      <c r="AV128" s="526"/>
      <c r="AW128" s="526"/>
      <c r="AX128" s="526"/>
      <c r="AY128" s="1123">
        <v>59.02</v>
      </c>
      <c r="AZ128" s="526"/>
      <c r="BA128" s="526"/>
      <c r="BB128" s="526"/>
      <c r="BC128" s="526"/>
      <c r="BD128" s="1123">
        <v>59.02</v>
      </c>
      <c r="BE128" s="520"/>
      <c r="BF128" s="520"/>
      <c r="BG128" s="520"/>
      <c r="BH128" s="520"/>
      <c r="BI128" s="1122"/>
      <c r="BJ128" s="520"/>
      <c r="BK128" s="520"/>
      <c r="BL128" s="520"/>
      <c r="BM128" s="520"/>
      <c r="BN128" s="1122"/>
      <c r="BO128" s="520"/>
      <c r="BP128" s="520"/>
      <c r="BQ128" s="520"/>
      <c r="BR128" s="520"/>
      <c r="BS128" s="1122"/>
      <c r="BT128" s="728"/>
      <c r="BU128" s="520"/>
      <c r="BV128" s="520"/>
      <c r="BW128" s="520"/>
      <c r="BX128" s="1122"/>
      <c r="BY128" s="520"/>
      <c r="BZ128" s="520"/>
      <c r="CA128" s="520"/>
      <c r="CB128" s="520"/>
      <c r="CC128" s="1122"/>
      <c r="CD128" s="1122"/>
      <c r="CE128" s="1122"/>
      <c r="CF128" s="1122"/>
      <c r="CG128" s="519"/>
    </row>
    <row r="129" spans="1:85" s="614" customFormat="1" x14ac:dyDescent="0.3">
      <c r="A129" s="522"/>
      <c r="B129" s="352"/>
      <c r="C129" s="1094"/>
      <c r="D129" s="1094"/>
      <c r="E129" s="1094"/>
      <c r="F129" s="1094"/>
      <c r="G129" s="197"/>
      <c r="H129" s="197"/>
      <c r="I129" s="197"/>
      <c r="J129" s="197"/>
      <c r="K129" s="1094"/>
      <c r="L129" s="197"/>
      <c r="M129" s="197"/>
      <c r="N129" s="197"/>
      <c r="O129" s="197"/>
      <c r="P129" s="1094"/>
      <c r="Q129" s="197"/>
      <c r="R129" s="197"/>
      <c r="S129" s="197"/>
      <c r="T129" s="197"/>
      <c r="U129" s="1094"/>
      <c r="V129" s="197"/>
      <c r="W129" s="197"/>
      <c r="X129" s="197"/>
      <c r="Y129" s="197"/>
      <c r="Z129" s="1094"/>
      <c r="AA129" s="197"/>
      <c r="AB129" s="197"/>
      <c r="AC129" s="197"/>
      <c r="AD129" s="197"/>
      <c r="AE129" s="1094"/>
      <c r="AF129" s="197"/>
      <c r="AG129" s="197"/>
      <c r="AH129" s="197"/>
      <c r="AI129" s="197"/>
      <c r="AJ129" s="1094"/>
      <c r="AK129" s="197"/>
      <c r="AL129" s="197"/>
      <c r="AM129" s="197"/>
      <c r="AN129" s="197"/>
      <c r="AO129" s="1094"/>
      <c r="AP129" s="197"/>
      <c r="AQ129" s="197"/>
      <c r="AR129" s="197"/>
      <c r="AS129" s="197"/>
      <c r="AT129" s="198"/>
      <c r="AU129" s="194"/>
      <c r="AV129" s="194"/>
      <c r="AW129" s="194"/>
      <c r="AX129" s="194"/>
      <c r="AY129" s="198"/>
      <c r="AZ129" s="194"/>
      <c r="BA129" s="194"/>
      <c r="BB129" s="194"/>
      <c r="BC129" s="194"/>
      <c r="BD129" s="198"/>
      <c r="BE129" s="197"/>
      <c r="BF129" s="197"/>
      <c r="BG129" s="197"/>
      <c r="BH129" s="197"/>
      <c r="BI129" s="1094"/>
      <c r="BJ129" s="197"/>
      <c r="BK129" s="197"/>
      <c r="BL129" s="197"/>
      <c r="BM129" s="197"/>
      <c r="BN129" s="1094"/>
      <c r="BO129" s="197"/>
      <c r="BP129" s="197"/>
      <c r="BQ129" s="197"/>
      <c r="BR129" s="197"/>
      <c r="BS129" s="1094"/>
      <c r="BT129" s="727"/>
      <c r="BU129" s="197"/>
      <c r="BV129" s="197"/>
      <c r="BW129" s="197"/>
      <c r="BX129" s="1094"/>
      <c r="BY129" s="197"/>
      <c r="BZ129" s="197"/>
      <c r="CA129" s="197"/>
      <c r="CB129" s="197"/>
      <c r="CC129" s="1094"/>
      <c r="CD129" s="1094"/>
      <c r="CE129" s="1094"/>
      <c r="CF129" s="1094"/>
      <c r="CG129" s="349"/>
    </row>
    <row r="130" spans="1:85" s="613" customFormat="1" x14ac:dyDescent="0.3">
      <c r="A130" s="478" t="s">
        <v>1942</v>
      </c>
      <c r="B130" s="523"/>
      <c r="C130" s="78"/>
      <c r="D130" s="78"/>
      <c r="E130" s="78"/>
      <c r="F130" s="78"/>
      <c r="G130" s="774"/>
      <c r="H130" s="774"/>
      <c r="I130" s="774"/>
      <c r="J130" s="774"/>
      <c r="K130" s="78"/>
      <c r="L130" s="774"/>
      <c r="M130" s="774"/>
      <c r="N130" s="774"/>
      <c r="O130" s="774"/>
      <c r="P130" s="78"/>
      <c r="Q130" s="774"/>
      <c r="R130" s="774"/>
      <c r="S130" s="774"/>
      <c r="T130" s="774"/>
      <c r="U130" s="78"/>
      <c r="V130" s="774"/>
      <c r="W130" s="774"/>
      <c r="X130" s="774"/>
      <c r="Y130" s="774"/>
      <c r="Z130" s="78"/>
      <c r="AA130" s="774"/>
      <c r="AB130" s="774"/>
      <c r="AC130" s="774"/>
      <c r="AD130" s="774"/>
      <c r="AE130" s="78"/>
      <c r="AF130" s="774"/>
      <c r="AG130" s="774"/>
      <c r="AH130" s="774"/>
      <c r="AI130" s="774"/>
      <c r="AJ130" s="78"/>
      <c r="AK130" s="774"/>
      <c r="AL130" s="774"/>
      <c r="AM130" s="774"/>
      <c r="AN130" s="774"/>
      <c r="AO130" s="78"/>
      <c r="AP130" s="774"/>
      <c r="AQ130" s="774"/>
      <c r="AR130" s="774"/>
      <c r="AS130" s="774"/>
      <c r="AT130" s="1119">
        <v>35.868000000000002</v>
      </c>
      <c r="AU130" s="774"/>
      <c r="AV130" s="774"/>
      <c r="AW130" s="774"/>
      <c r="AX130" s="774"/>
      <c r="AY130" s="1119">
        <v>35.868000000000002</v>
      </c>
      <c r="AZ130" s="774"/>
      <c r="BA130" s="774"/>
      <c r="BB130" s="774"/>
      <c r="BC130" s="774"/>
      <c r="BD130" s="1119">
        <v>35.868000000000002</v>
      </c>
      <c r="BE130" s="774"/>
      <c r="BF130" s="774"/>
      <c r="BG130" s="774"/>
      <c r="BH130" s="774"/>
      <c r="BI130" s="78"/>
      <c r="BJ130" s="774"/>
      <c r="BK130" s="774"/>
      <c r="BL130" s="774"/>
      <c r="BM130" s="774"/>
      <c r="BN130" s="78"/>
      <c r="BO130" s="774"/>
      <c r="BP130" s="774"/>
      <c r="BQ130" s="774"/>
      <c r="BR130" s="774"/>
      <c r="BS130" s="78"/>
      <c r="BT130" s="775"/>
      <c r="BU130" s="774"/>
      <c r="BV130" s="774"/>
      <c r="BW130" s="774"/>
      <c r="BX130" s="78"/>
      <c r="BY130" s="774"/>
      <c r="BZ130" s="774"/>
      <c r="CA130" s="774"/>
      <c r="CB130" s="774"/>
      <c r="CC130" s="78"/>
      <c r="CD130" s="78"/>
      <c r="CE130" s="78"/>
      <c r="CF130" s="78"/>
      <c r="CG130" s="532"/>
    </row>
    <row r="131" spans="1:85" s="615" customFormat="1" x14ac:dyDescent="0.3">
      <c r="A131" s="522" t="s">
        <v>1941</v>
      </c>
      <c r="B131" s="521"/>
      <c r="C131" s="1122"/>
      <c r="D131" s="1122"/>
      <c r="E131" s="1122"/>
      <c r="F131" s="1122"/>
      <c r="G131" s="520"/>
      <c r="H131" s="520"/>
      <c r="I131" s="520"/>
      <c r="J131" s="520"/>
      <c r="K131" s="1122"/>
      <c r="L131" s="520"/>
      <c r="M131" s="520"/>
      <c r="N131" s="520"/>
      <c r="O131" s="520"/>
      <c r="P131" s="1122"/>
      <c r="Q131" s="520"/>
      <c r="R131" s="520"/>
      <c r="S131" s="520"/>
      <c r="T131" s="520"/>
      <c r="U131" s="1122"/>
      <c r="V131" s="520"/>
      <c r="W131" s="520"/>
      <c r="X131" s="520"/>
      <c r="Y131" s="520"/>
      <c r="Z131" s="1122"/>
      <c r="AA131" s="520"/>
      <c r="AB131" s="520"/>
      <c r="AC131" s="520"/>
      <c r="AD131" s="520"/>
      <c r="AE131" s="1122"/>
      <c r="AF131" s="520"/>
      <c r="AG131" s="520"/>
      <c r="AH131" s="520"/>
      <c r="AI131" s="520"/>
      <c r="AJ131" s="1122"/>
      <c r="AK131" s="520"/>
      <c r="AL131" s="520"/>
      <c r="AM131" s="520"/>
      <c r="AN131" s="520"/>
      <c r="AO131" s="1122"/>
      <c r="AP131" s="520"/>
      <c r="AQ131" s="520"/>
      <c r="AR131" s="520"/>
      <c r="AS131" s="520"/>
      <c r="AT131" s="1123">
        <v>79.58</v>
      </c>
      <c r="AU131" s="526"/>
      <c r="AV131" s="526"/>
      <c r="AW131" s="526"/>
      <c r="AX131" s="526"/>
      <c r="AY131" s="1123">
        <v>79.58</v>
      </c>
      <c r="AZ131" s="526"/>
      <c r="BA131" s="526"/>
      <c r="BB131" s="526"/>
      <c r="BC131" s="526"/>
      <c r="BD131" s="1123">
        <v>79.58</v>
      </c>
      <c r="BE131" s="520"/>
      <c r="BF131" s="520"/>
      <c r="BG131" s="520"/>
      <c r="BH131" s="520"/>
      <c r="BI131" s="1122"/>
      <c r="BJ131" s="520"/>
      <c r="BK131" s="520"/>
      <c r="BL131" s="520"/>
      <c r="BM131" s="520"/>
      <c r="BN131" s="1122"/>
      <c r="BO131" s="520"/>
      <c r="BP131" s="520"/>
      <c r="BQ131" s="520"/>
      <c r="BR131" s="520"/>
      <c r="BS131" s="1122"/>
      <c r="BT131" s="728"/>
      <c r="BU131" s="520"/>
      <c r="BV131" s="520"/>
      <c r="BW131" s="520"/>
      <c r="BX131" s="1122"/>
      <c r="BY131" s="520"/>
      <c r="BZ131" s="520"/>
      <c r="CA131" s="520"/>
      <c r="CB131" s="520"/>
      <c r="CC131" s="1122"/>
      <c r="CD131" s="1122"/>
      <c r="CE131" s="1122"/>
      <c r="CF131" s="1122"/>
      <c r="CG131" s="519"/>
    </row>
    <row r="132" spans="1:85" s="614" customFormat="1" x14ac:dyDescent="0.3">
      <c r="A132" s="522"/>
      <c r="B132" s="352"/>
      <c r="C132" s="1094"/>
      <c r="D132" s="1094"/>
      <c r="E132" s="1094"/>
      <c r="F132" s="1094"/>
      <c r="G132" s="197"/>
      <c r="H132" s="197"/>
      <c r="I132" s="197"/>
      <c r="J132" s="197"/>
      <c r="K132" s="1094"/>
      <c r="L132" s="197"/>
      <c r="M132" s="197"/>
      <c r="N132" s="197"/>
      <c r="O132" s="197"/>
      <c r="P132" s="1094"/>
      <c r="Q132" s="197"/>
      <c r="R132" s="197"/>
      <c r="S132" s="197"/>
      <c r="T132" s="197"/>
      <c r="U132" s="1094"/>
      <c r="V132" s="197"/>
      <c r="W132" s="197"/>
      <c r="X132" s="197"/>
      <c r="Y132" s="197"/>
      <c r="Z132" s="1094"/>
      <c r="AA132" s="197"/>
      <c r="AB132" s="197"/>
      <c r="AC132" s="197"/>
      <c r="AD132" s="197"/>
      <c r="AE132" s="1094"/>
      <c r="AF132" s="197"/>
      <c r="AG132" s="197"/>
      <c r="AH132" s="197"/>
      <c r="AI132" s="197"/>
      <c r="AJ132" s="1094"/>
      <c r="AK132" s="197"/>
      <c r="AL132" s="197"/>
      <c r="AM132" s="197"/>
      <c r="AN132" s="197"/>
      <c r="AO132" s="1094"/>
      <c r="AP132" s="197"/>
      <c r="AQ132" s="197"/>
      <c r="AR132" s="197"/>
      <c r="AS132" s="197"/>
      <c r="AT132" s="198"/>
      <c r="AU132" s="194"/>
      <c r="AV132" s="194"/>
      <c r="AW132" s="194"/>
      <c r="AX132" s="194"/>
      <c r="AY132" s="198"/>
      <c r="AZ132" s="194"/>
      <c r="BA132" s="194"/>
      <c r="BB132" s="194"/>
      <c r="BC132" s="194"/>
      <c r="BD132" s="198"/>
      <c r="BE132" s="197"/>
      <c r="BF132" s="197"/>
      <c r="BG132" s="197"/>
      <c r="BH132" s="197"/>
      <c r="BI132" s="1094"/>
      <c r="BJ132" s="197"/>
      <c r="BK132" s="197"/>
      <c r="BL132" s="197"/>
      <c r="BM132" s="197"/>
      <c r="BN132" s="1094"/>
      <c r="BO132" s="197"/>
      <c r="BP132" s="197"/>
      <c r="BQ132" s="197"/>
      <c r="BR132" s="197"/>
      <c r="BS132" s="1094"/>
      <c r="BT132" s="727"/>
      <c r="BU132" s="197"/>
      <c r="BV132" s="197"/>
      <c r="BW132" s="197"/>
      <c r="BX132" s="1094"/>
      <c r="BY132" s="197"/>
      <c r="BZ132" s="197"/>
      <c r="CA132" s="197"/>
      <c r="CB132" s="197"/>
      <c r="CC132" s="1094"/>
      <c r="CD132" s="1094"/>
      <c r="CE132" s="1094"/>
      <c r="CF132" s="1094"/>
      <c r="CG132" s="349"/>
    </row>
    <row r="133" spans="1:85" s="613" customFormat="1" x14ac:dyDescent="0.3">
      <c r="A133" s="478" t="s">
        <v>1940</v>
      </c>
      <c r="B133" s="523"/>
      <c r="C133" s="78"/>
      <c r="D133" s="78"/>
      <c r="E133" s="78"/>
      <c r="F133" s="78"/>
      <c r="G133" s="774"/>
      <c r="H133" s="774"/>
      <c r="I133" s="774"/>
      <c r="J133" s="774"/>
      <c r="K133" s="78"/>
      <c r="L133" s="774"/>
      <c r="M133" s="774"/>
      <c r="N133" s="774"/>
      <c r="O133" s="774"/>
      <c r="P133" s="78"/>
      <c r="Q133" s="774"/>
      <c r="R133" s="774"/>
      <c r="S133" s="774"/>
      <c r="T133" s="774"/>
      <c r="U133" s="78"/>
      <c r="V133" s="774"/>
      <c r="W133" s="774"/>
      <c r="X133" s="774"/>
      <c r="Y133" s="774"/>
      <c r="Z133" s="78"/>
      <c r="AA133" s="774"/>
      <c r="AB133" s="774"/>
      <c r="AC133" s="774"/>
      <c r="AD133" s="774"/>
      <c r="AE133" s="78"/>
      <c r="AF133" s="774"/>
      <c r="AG133" s="774"/>
      <c r="AH133" s="774"/>
      <c r="AI133" s="774"/>
      <c r="AJ133" s="78"/>
      <c r="AK133" s="774"/>
      <c r="AL133" s="774"/>
      <c r="AM133" s="774"/>
      <c r="AN133" s="774"/>
      <c r="AO133" s="78"/>
      <c r="AP133" s="774"/>
      <c r="AQ133" s="774"/>
      <c r="AR133" s="774"/>
      <c r="AS133" s="774"/>
      <c r="AT133" s="1119">
        <v>32.067</v>
      </c>
      <c r="AU133" s="774"/>
      <c r="AV133" s="774"/>
      <c r="AW133" s="774"/>
      <c r="AX133" s="774"/>
      <c r="AY133" s="1119">
        <v>32.067</v>
      </c>
      <c r="AZ133" s="774"/>
      <c r="BA133" s="774"/>
      <c r="BB133" s="774"/>
      <c r="BC133" s="774"/>
      <c r="BD133" s="1119">
        <v>32.067</v>
      </c>
      <c r="BE133" s="774"/>
      <c r="BF133" s="774"/>
      <c r="BG133" s="774"/>
      <c r="BH133" s="774"/>
      <c r="BI133" s="78"/>
      <c r="BJ133" s="774"/>
      <c r="BK133" s="774"/>
      <c r="BL133" s="774"/>
      <c r="BM133" s="774"/>
      <c r="BN133" s="78"/>
      <c r="BO133" s="774"/>
      <c r="BP133" s="774"/>
      <c r="BQ133" s="774"/>
      <c r="BR133" s="774"/>
      <c r="BS133" s="78"/>
      <c r="BT133" s="775"/>
      <c r="BU133" s="774"/>
      <c r="BV133" s="774"/>
      <c r="BW133" s="774"/>
      <c r="BX133" s="78"/>
      <c r="BY133" s="774"/>
      <c r="BZ133" s="774"/>
      <c r="CA133" s="774"/>
      <c r="CB133" s="774"/>
      <c r="CC133" s="78"/>
      <c r="CD133" s="78"/>
      <c r="CE133" s="78"/>
      <c r="CF133" s="78"/>
      <c r="CG133" s="532"/>
    </row>
    <row r="134" spans="1:85" s="615" customFormat="1" x14ac:dyDescent="0.3">
      <c r="A134" s="522" t="s">
        <v>1939</v>
      </c>
      <c r="B134" s="521"/>
      <c r="C134" s="1122"/>
      <c r="D134" s="1122"/>
      <c r="E134" s="1122"/>
      <c r="F134" s="1122"/>
      <c r="G134" s="520"/>
      <c r="H134" s="520"/>
      <c r="I134" s="520"/>
      <c r="J134" s="520"/>
      <c r="K134" s="1122"/>
      <c r="L134" s="520"/>
      <c r="M134" s="520"/>
      <c r="N134" s="520"/>
      <c r="O134" s="520"/>
      <c r="P134" s="1122"/>
      <c r="Q134" s="520"/>
      <c r="R134" s="520"/>
      <c r="S134" s="520"/>
      <c r="T134" s="520"/>
      <c r="U134" s="1122"/>
      <c r="V134" s="520"/>
      <c r="W134" s="520"/>
      <c r="X134" s="520"/>
      <c r="Y134" s="520"/>
      <c r="Z134" s="1122"/>
      <c r="AA134" s="520"/>
      <c r="AB134" s="520"/>
      <c r="AC134" s="520"/>
      <c r="AD134" s="520"/>
      <c r="AE134" s="1122"/>
      <c r="AF134" s="520"/>
      <c r="AG134" s="520"/>
      <c r="AH134" s="520"/>
      <c r="AI134" s="520"/>
      <c r="AJ134" s="1122"/>
      <c r="AK134" s="520"/>
      <c r="AL134" s="520"/>
      <c r="AM134" s="520"/>
      <c r="AN134" s="520"/>
      <c r="AO134" s="1122"/>
      <c r="AP134" s="520"/>
      <c r="AQ134" s="520"/>
      <c r="AR134" s="520"/>
      <c r="AS134" s="520"/>
      <c r="AT134" s="1123">
        <v>89</v>
      </c>
      <c r="AU134" s="526"/>
      <c r="AV134" s="526"/>
      <c r="AW134" s="526"/>
      <c r="AX134" s="526"/>
      <c r="AY134" s="1123">
        <v>89</v>
      </c>
      <c r="AZ134" s="526"/>
      <c r="BA134" s="526"/>
      <c r="BB134" s="526"/>
      <c r="BC134" s="526"/>
      <c r="BD134" s="1123">
        <v>89</v>
      </c>
      <c r="BE134" s="520"/>
      <c r="BF134" s="520"/>
      <c r="BG134" s="520"/>
      <c r="BH134" s="520"/>
      <c r="BI134" s="1122"/>
      <c r="BJ134" s="520"/>
      <c r="BK134" s="520"/>
      <c r="BL134" s="520"/>
      <c r="BM134" s="520"/>
      <c r="BN134" s="1122"/>
      <c r="BO134" s="520"/>
      <c r="BP134" s="520"/>
      <c r="BQ134" s="520"/>
      <c r="BR134" s="520"/>
      <c r="BS134" s="1122"/>
      <c r="BT134" s="728"/>
      <c r="BU134" s="520"/>
      <c r="BV134" s="520"/>
      <c r="BW134" s="520"/>
      <c r="BX134" s="1122"/>
      <c r="BY134" s="520"/>
      <c r="BZ134" s="520"/>
      <c r="CA134" s="520"/>
      <c r="CB134" s="520"/>
      <c r="CC134" s="1122"/>
      <c r="CD134" s="1122"/>
      <c r="CE134" s="1122"/>
      <c r="CF134" s="1122"/>
      <c r="CG134" s="519"/>
    </row>
    <row r="135" spans="1:85" s="614" customFormat="1" x14ac:dyDescent="0.3">
      <c r="A135" s="522"/>
      <c r="B135" s="352"/>
      <c r="C135" s="1094"/>
      <c r="D135" s="1094"/>
      <c r="E135" s="1094"/>
      <c r="F135" s="1094"/>
      <c r="G135" s="197"/>
      <c r="H135" s="197"/>
      <c r="I135" s="197"/>
      <c r="J135" s="197"/>
      <c r="K135" s="1094"/>
      <c r="L135" s="197"/>
      <c r="M135" s="197"/>
      <c r="N135" s="197"/>
      <c r="O135" s="197"/>
      <c r="P135" s="1094"/>
      <c r="Q135" s="197"/>
      <c r="R135" s="197"/>
      <c r="S135" s="197"/>
      <c r="T135" s="197"/>
      <c r="U135" s="1094"/>
      <c r="V135" s="197"/>
      <c r="W135" s="197"/>
      <c r="X135" s="197"/>
      <c r="Y135" s="197"/>
      <c r="Z135" s="1094"/>
      <c r="AA135" s="197"/>
      <c r="AB135" s="197"/>
      <c r="AC135" s="197"/>
      <c r="AD135" s="197"/>
      <c r="AE135" s="1094"/>
      <c r="AF135" s="197"/>
      <c r="AG135" s="197"/>
      <c r="AH135" s="197"/>
      <c r="AI135" s="197"/>
      <c r="AJ135" s="1094"/>
      <c r="AK135" s="197"/>
      <c r="AL135" s="197"/>
      <c r="AM135" s="197"/>
      <c r="AN135" s="197"/>
      <c r="AO135" s="1094"/>
      <c r="AP135" s="197"/>
      <c r="AQ135" s="197"/>
      <c r="AR135" s="197"/>
      <c r="AS135" s="197"/>
      <c r="AT135" s="198"/>
      <c r="AU135" s="194"/>
      <c r="AV135" s="194"/>
      <c r="AW135" s="194"/>
      <c r="AX135" s="194"/>
      <c r="AY135" s="198"/>
      <c r="AZ135" s="194"/>
      <c r="BA135" s="194"/>
      <c r="BB135" s="194"/>
      <c r="BC135" s="194"/>
      <c r="BD135" s="198"/>
      <c r="BE135" s="197"/>
      <c r="BF135" s="197"/>
      <c r="BG135" s="197"/>
      <c r="BH135" s="197"/>
      <c r="BI135" s="1094"/>
      <c r="BJ135" s="197"/>
      <c r="BK135" s="197"/>
      <c r="BL135" s="197"/>
      <c r="BM135" s="197"/>
      <c r="BN135" s="1094"/>
      <c r="BO135" s="197"/>
      <c r="BP135" s="197"/>
      <c r="BQ135" s="197"/>
      <c r="BR135" s="197"/>
      <c r="BS135" s="1094"/>
      <c r="BT135" s="727"/>
      <c r="BU135" s="197"/>
      <c r="BV135" s="197"/>
      <c r="BW135" s="197"/>
      <c r="BX135" s="1094"/>
      <c r="BY135" s="197"/>
      <c r="BZ135" s="197"/>
      <c r="CA135" s="197"/>
      <c r="CB135" s="197"/>
      <c r="CC135" s="1094"/>
      <c r="CD135" s="1094"/>
      <c r="CE135" s="1094"/>
      <c r="CF135" s="1094"/>
      <c r="CG135" s="349"/>
    </row>
    <row r="136" spans="1:85" s="613" customFormat="1" x14ac:dyDescent="0.3">
      <c r="A136" s="478" t="s">
        <v>1938</v>
      </c>
      <c r="B136" s="523"/>
      <c r="C136" s="78"/>
      <c r="D136" s="78"/>
      <c r="E136" s="78"/>
      <c r="F136" s="78"/>
      <c r="G136" s="774"/>
      <c r="H136" s="774"/>
      <c r="I136" s="774"/>
      <c r="J136" s="774"/>
      <c r="K136" s="78"/>
      <c r="L136" s="774"/>
      <c r="M136" s="774"/>
      <c r="N136" s="774"/>
      <c r="O136" s="774"/>
      <c r="P136" s="78"/>
      <c r="Q136" s="774"/>
      <c r="R136" s="774"/>
      <c r="S136" s="774"/>
      <c r="T136" s="774"/>
      <c r="U136" s="78"/>
      <c r="V136" s="774"/>
      <c r="W136" s="774"/>
      <c r="X136" s="774"/>
      <c r="Y136" s="774"/>
      <c r="Z136" s="78"/>
      <c r="AA136" s="774"/>
      <c r="AB136" s="774"/>
      <c r="AC136" s="774"/>
      <c r="AD136" s="774"/>
      <c r="AE136" s="78"/>
      <c r="AF136" s="774"/>
      <c r="AG136" s="774"/>
      <c r="AH136" s="774"/>
      <c r="AI136" s="774"/>
      <c r="AJ136" s="78"/>
      <c r="AK136" s="774"/>
      <c r="AL136" s="774"/>
      <c r="AM136" s="774"/>
      <c r="AN136" s="774"/>
      <c r="AO136" s="78"/>
      <c r="AP136" s="774"/>
      <c r="AQ136" s="774"/>
      <c r="AR136" s="774"/>
      <c r="AS136" s="774"/>
      <c r="AT136" s="1119">
        <v>30.484999999999999</v>
      </c>
      <c r="AU136" s="774"/>
      <c r="AV136" s="774"/>
      <c r="AW136" s="774"/>
      <c r="AX136" s="774"/>
      <c r="AY136" s="1119">
        <v>30.484999999999999</v>
      </c>
      <c r="AZ136" s="774"/>
      <c r="BA136" s="774"/>
      <c r="BB136" s="774"/>
      <c r="BC136" s="774"/>
      <c r="BD136" s="1119">
        <v>30.484999999999999</v>
      </c>
      <c r="BE136" s="774"/>
      <c r="BF136" s="774"/>
      <c r="BG136" s="774"/>
      <c r="BH136" s="774"/>
      <c r="BI136" s="78"/>
      <c r="BJ136" s="774"/>
      <c r="BK136" s="774"/>
      <c r="BL136" s="774"/>
      <c r="BM136" s="774"/>
      <c r="BN136" s="78"/>
      <c r="BO136" s="774"/>
      <c r="BP136" s="774"/>
      <c r="BQ136" s="774"/>
      <c r="BR136" s="774"/>
      <c r="BS136" s="78"/>
      <c r="BT136" s="775"/>
      <c r="BU136" s="774"/>
      <c r="BV136" s="774"/>
      <c r="BW136" s="774"/>
      <c r="BX136" s="78"/>
      <c r="BY136" s="774"/>
      <c r="BZ136" s="774"/>
      <c r="CA136" s="774"/>
      <c r="CB136" s="774"/>
      <c r="CC136" s="78"/>
      <c r="CD136" s="78"/>
      <c r="CE136" s="78"/>
      <c r="CF136" s="78"/>
      <c r="CG136" s="532"/>
    </row>
    <row r="137" spans="1:85" s="615" customFormat="1" x14ac:dyDescent="0.3">
      <c r="A137" s="522" t="s">
        <v>1937</v>
      </c>
      <c r="B137" s="521"/>
      <c r="C137" s="1122"/>
      <c r="D137" s="1122"/>
      <c r="E137" s="1122"/>
      <c r="F137" s="1122"/>
      <c r="G137" s="520"/>
      <c r="H137" s="520"/>
      <c r="I137" s="520"/>
      <c r="J137" s="520"/>
      <c r="K137" s="1122"/>
      <c r="L137" s="520"/>
      <c r="M137" s="520"/>
      <c r="N137" s="520"/>
      <c r="O137" s="520"/>
      <c r="P137" s="1122"/>
      <c r="Q137" s="520"/>
      <c r="R137" s="520"/>
      <c r="S137" s="520"/>
      <c r="T137" s="520"/>
      <c r="U137" s="1122"/>
      <c r="V137" s="520"/>
      <c r="W137" s="520"/>
      <c r="X137" s="520"/>
      <c r="Y137" s="520"/>
      <c r="Z137" s="1122"/>
      <c r="AA137" s="520"/>
      <c r="AB137" s="520"/>
      <c r="AC137" s="520"/>
      <c r="AD137" s="520"/>
      <c r="AE137" s="1122"/>
      <c r="AF137" s="520"/>
      <c r="AG137" s="520"/>
      <c r="AH137" s="520"/>
      <c r="AI137" s="520"/>
      <c r="AJ137" s="1122"/>
      <c r="AK137" s="520"/>
      <c r="AL137" s="520"/>
      <c r="AM137" s="520"/>
      <c r="AN137" s="520"/>
      <c r="AO137" s="1122"/>
      <c r="AP137" s="520"/>
      <c r="AQ137" s="520"/>
      <c r="AR137" s="520"/>
      <c r="AS137" s="520"/>
      <c r="AT137" s="1123">
        <v>93.64</v>
      </c>
      <c r="AU137" s="526"/>
      <c r="AV137" s="526"/>
      <c r="AW137" s="526"/>
      <c r="AX137" s="526"/>
      <c r="AY137" s="1123">
        <v>93.64</v>
      </c>
      <c r="AZ137" s="526"/>
      <c r="BA137" s="526"/>
      <c r="BB137" s="526"/>
      <c r="BC137" s="526"/>
      <c r="BD137" s="1123">
        <v>93.64</v>
      </c>
      <c r="BE137" s="520"/>
      <c r="BF137" s="520"/>
      <c r="BG137" s="520"/>
      <c r="BH137" s="520"/>
      <c r="BI137" s="1122"/>
      <c r="BJ137" s="520"/>
      <c r="BK137" s="520"/>
      <c r="BL137" s="520"/>
      <c r="BM137" s="520"/>
      <c r="BN137" s="1122"/>
      <c r="BO137" s="520"/>
      <c r="BP137" s="520"/>
      <c r="BQ137" s="520"/>
      <c r="BR137" s="520"/>
      <c r="BS137" s="1122"/>
      <c r="BT137" s="728"/>
      <c r="BU137" s="520"/>
      <c r="BV137" s="520"/>
      <c r="BW137" s="520"/>
      <c r="BX137" s="1122"/>
      <c r="BY137" s="520"/>
      <c r="BZ137" s="520"/>
      <c r="CA137" s="520"/>
      <c r="CB137" s="520"/>
      <c r="CC137" s="1122"/>
      <c r="CD137" s="1122"/>
      <c r="CE137" s="1122"/>
      <c r="CF137" s="1122"/>
      <c r="CG137" s="519"/>
    </row>
    <row r="138" spans="1:85" s="614" customFormat="1" x14ac:dyDescent="0.3">
      <c r="A138" s="522"/>
      <c r="B138" s="352"/>
      <c r="C138" s="1094"/>
      <c r="D138" s="1094"/>
      <c r="E138" s="1094"/>
      <c r="F138" s="1094"/>
      <c r="G138" s="197"/>
      <c r="H138" s="197"/>
      <c r="I138" s="197"/>
      <c r="J138" s="197"/>
      <c r="K138" s="1094"/>
      <c r="L138" s="197"/>
      <c r="M138" s="197"/>
      <c r="N138" s="197"/>
      <c r="O138" s="197"/>
      <c r="P138" s="1094"/>
      <c r="Q138" s="197"/>
      <c r="R138" s="197"/>
      <c r="S138" s="197"/>
      <c r="T138" s="197"/>
      <c r="U138" s="1094"/>
      <c r="V138" s="197"/>
      <c r="W138" s="197"/>
      <c r="X138" s="197"/>
      <c r="Y138" s="197"/>
      <c r="Z138" s="1094"/>
      <c r="AA138" s="197"/>
      <c r="AB138" s="197"/>
      <c r="AC138" s="197"/>
      <c r="AD138" s="197"/>
      <c r="AE138" s="1094"/>
      <c r="AF138" s="197"/>
      <c r="AG138" s="197"/>
      <c r="AH138" s="197"/>
      <c r="AI138" s="197"/>
      <c r="AJ138" s="1094"/>
      <c r="AK138" s="197"/>
      <c r="AL138" s="197"/>
      <c r="AM138" s="197"/>
      <c r="AN138" s="197"/>
      <c r="AO138" s="1094"/>
      <c r="AP138" s="197"/>
      <c r="AQ138" s="197"/>
      <c r="AR138" s="197"/>
      <c r="AS138" s="197"/>
      <c r="AT138" s="198"/>
      <c r="AU138" s="194"/>
      <c r="AV138" s="194"/>
      <c r="AW138" s="194"/>
      <c r="AX138" s="194"/>
      <c r="AY138" s="198"/>
      <c r="AZ138" s="194"/>
      <c r="BA138" s="194"/>
      <c r="BB138" s="194"/>
      <c r="BC138" s="194"/>
      <c r="BD138" s="198"/>
      <c r="BE138" s="197"/>
      <c r="BF138" s="197"/>
      <c r="BG138" s="197"/>
      <c r="BH138" s="197"/>
      <c r="BI138" s="1094"/>
      <c r="BJ138" s="197"/>
      <c r="BK138" s="197"/>
      <c r="BL138" s="197"/>
      <c r="BM138" s="197"/>
      <c r="BN138" s="1094"/>
      <c r="BO138" s="197"/>
      <c r="BP138" s="197"/>
      <c r="BQ138" s="197"/>
      <c r="BR138" s="197"/>
      <c r="BS138" s="1094"/>
      <c r="BT138" s="727"/>
      <c r="BU138" s="197"/>
      <c r="BV138" s="197"/>
      <c r="BW138" s="197"/>
      <c r="BX138" s="1094"/>
      <c r="BY138" s="197"/>
      <c r="BZ138" s="197"/>
      <c r="CA138" s="197"/>
      <c r="CB138" s="197"/>
      <c r="CC138" s="1094"/>
      <c r="CD138" s="1094"/>
      <c r="CE138" s="1094"/>
      <c r="CF138" s="1094"/>
      <c r="CG138" s="349"/>
    </row>
    <row r="139" spans="1:85" s="613" customFormat="1" x14ac:dyDescent="0.3">
      <c r="A139" s="478" t="s">
        <v>1936</v>
      </c>
      <c r="B139" s="523"/>
      <c r="C139" s="78"/>
      <c r="D139" s="78"/>
      <c r="E139" s="78"/>
      <c r="F139" s="78"/>
      <c r="G139" s="774"/>
      <c r="H139" s="774"/>
      <c r="I139" s="774"/>
      <c r="J139" s="774"/>
      <c r="K139" s="78"/>
      <c r="L139" s="774"/>
      <c r="M139" s="774"/>
      <c r="N139" s="774"/>
      <c r="O139" s="774"/>
      <c r="P139" s="78"/>
      <c r="Q139" s="774"/>
      <c r="R139" s="774"/>
      <c r="S139" s="774"/>
      <c r="T139" s="774"/>
      <c r="U139" s="78"/>
      <c r="V139" s="774"/>
      <c r="W139" s="774"/>
      <c r="X139" s="774"/>
      <c r="Y139" s="774"/>
      <c r="Z139" s="78"/>
      <c r="AA139" s="774"/>
      <c r="AB139" s="774"/>
      <c r="AC139" s="774"/>
      <c r="AD139" s="774"/>
      <c r="AE139" s="78"/>
      <c r="AF139" s="774"/>
      <c r="AG139" s="774"/>
      <c r="AH139" s="774"/>
      <c r="AI139" s="774"/>
      <c r="AJ139" s="78"/>
      <c r="AK139" s="774"/>
      <c r="AL139" s="774"/>
      <c r="AM139" s="774"/>
      <c r="AN139" s="774"/>
      <c r="AO139" s="78"/>
      <c r="AP139" s="774"/>
      <c r="AQ139" s="774"/>
      <c r="AR139" s="774"/>
      <c r="AS139" s="774"/>
      <c r="AT139" s="1119">
        <v>25.36</v>
      </c>
      <c r="AU139" s="774"/>
      <c r="AV139" s="774"/>
      <c r="AW139" s="774"/>
      <c r="AX139" s="774"/>
      <c r="AY139" s="1119">
        <v>25.36</v>
      </c>
      <c r="AZ139" s="774"/>
      <c r="BA139" s="774"/>
      <c r="BB139" s="774"/>
      <c r="BC139" s="774"/>
      <c r="BD139" s="1119">
        <v>25.36</v>
      </c>
      <c r="BE139" s="774"/>
      <c r="BF139" s="774"/>
      <c r="BG139" s="774"/>
      <c r="BH139" s="774"/>
      <c r="BI139" s="78"/>
      <c r="BJ139" s="774"/>
      <c r="BK139" s="774"/>
      <c r="BL139" s="774"/>
      <c r="BM139" s="774"/>
      <c r="BN139" s="78"/>
      <c r="BO139" s="774"/>
      <c r="BP139" s="774"/>
      <c r="BQ139" s="774"/>
      <c r="BR139" s="774"/>
      <c r="BS139" s="78"/>
      <c r="BT139" s="775"/>
      <c r="BU139" s="774"/>
      <c r="BV139" s="774"/>
      <c r="BW139" s="774"/>
      <c r="BX139" s="78"/>
      <c r="BY139" s="774"/>
      <c r="BZ139" s="774"/>
      <c r="CA139" s="774"/>
      <c r="CB139" s="774"/>
      <c r="CC139" s="78"/>
      <c r="CD139" s="78"/>
      <c r="CE139" s="78"/>
      <c r="CF139" s="78"/>
      <c r="CG139" s="532"/>
    </row>
    <row r="140" spans="1:85" s="615" customFormat="1" x14ac:dyDescent="0.3">
      <c r="A140" s="522" t="s">
        <v>1935</v>
      </c>
      <c r="B140" s="521"/>
      <c r="C140" s="1122"/>
      <c r="D140" s="1122"/>
      <c r="E140" s="1122"/>
      <c r="F140" s="1122"/>
      <c r="G140" s="520"/>
      <c r="H140" s="520"/>
      <c r="I140" s="520"/>
      <c r="J140" s="520"/>
      <c r="K140" s="1122"/>
      <c r="L140" s="520"/>
      <c r="M140" s="520"/>
      <c r="N140" s="520"/>
      <c r="O140" s="520"/>
      <c r="P140" s="1122"/>
      <c r="Q140" s="520"/>
      <c r="R140" s="520"/>
      <c r="S140" s="520"/>
      <c r="T140" s="520"/>
      <c r="U140" s="1122"/>
      <c r="V140" s="520"/>
      <c r="W140" s="520"/>
      <c r="X140" s="520"/>
      <c r="Y140" s="520"/>
      <c r="Z140" s="1122"/>
      <c r="AA140" s="520"/>
      <c r="AB140" s="520"/>
      <c r="AC140" s="520"/>
      <c r="AD140" s="520"/>
      <c r="AE140" s="1122"/>
      <c r="AF140" s="520"/>
      <c r="AG140" s="520"/>
      <c r="AH140" s="520"/>
      <c r="AI140" s="520"/>
      <c r="AJ140" s="1122"/>
      <c r="AK140" s="520"/>
      <c r="AL140" s="520"/>
      <c r="AM140" s="520"/>
      <c r="AN140" s="520"/>
      <c r="AO140" s="1122"/>
      <c r="AP140" s="520"/>
      <c r="AQ140" s="520"/>
      <c r="AR140" s="520"/>
      <c r="AS140" s="520"/>
      <c r="AT140" s="1123">
        <v>112.56</v>
      </c>
      <c r="AU140" s="526"/>
      <c r="AV140" s="526"/>
      <c r="AW140" s="526"/>
      <c r="AX140" s="526"/>
      <c r="AY140" s="1123">
        <v>112.56</v>
      </c>
      <c r="AZ140" s="526"/>
      <c r="BA140" s="526"/>
      <c r="BB140" s="526"/>
      <c r="BC140" s="526"/>
      <c r="BD140" s="1123">
        <v>112.56</v>
      </c>
      <c r="BE140" s="520"/>
      <c r="BF140" s="520"/>
      <c r="BG140" s="520"/>
      <c r="BH140" s="520"/>
      <c r="BI140" s="1122"/>
      <c r="BJ140" s="520"/>
      <c r="BK140" s="520"/>
      <c r="BL140" s="520"/>
      <c r="BM140" s="520"/>
      <c r="BN140" s="1122"/>
      <c r="BO140" s="520"/>
      <c r="BP140" s="520"/>
      <c r="BQ140" s="520"/>
      <c r="BR140" s="520"/>
      <c r="BS140" s="1122"/>
      <c r="BT140" s="728"/>
      <c r="BU140" s="520"/>
      <c r="BV140" s="520"/>
      <c r="BW140" s="520"/>
      <c r="BX140" s="1122"/>
      <c r="BY140" s="520"/>
      <c r="BZ140" s="520"/>
      <c r="CA140" s="520"/>
      <c r="CB140" s="520"/>
      <c r="CC140" s="1122"/>
      <c r="CD140" s="1122"/>
      <c r="CE140" s="1122"/>
      <c r="CF140" s="1122"/>
      <c r="CG140" s="519"/>
    </row>
    <row r="141" spans="1:85" s="614" customFormat="1" x14ac:dyDescent="0.3">
      <c r="A141" s="522"/>
      <c r="B141" s="352"/>
      <c r="C141" s="1094"/>
      <c r="D141" s="1094"/>
      <c r="E141" s="1094"/>
      <c r="F141" s="1094"/>
      <c r="G141" s="197"/>
      <c r="H141" s="197"/>
      <c r="I141" s="197"/>
      <c r="J141" s="197"/>
      <c r="K141" s="1094"/>
      <c r="L141" s="197"/>
      <c r="M141" s="197"/>
      <c r="N141" s="197"/>
      <c r="O141" s="197"/>
      <c r="P141" s="1094"/>
      <c r="Q141" s="197"/>
      <c r="R141" s="197"/>
      <c r="S141" s="197"/>
      <c r="T141" s="197"/>
      <c r="U141" s="1094"/>
      <c r="V141" s="197"/>
      <c r="W141" s="197"/>
      <c r="X141" s="197"/>
      <c r="Y141" s="197"/>
      <c r="Z141" s="1094"/>
      <c r="AA141" s="197"/>
      <c r="AB141" s="197"/>
      <c r="AC141" s="197"/>
      <c r="AD141" s="197"/>
      <c r="AE141" s="1094"/>
      <c r="AF141" s="197"/>
      <c r="AG141" s="197"/>
      <c r="AH141" s="197"/>
      <c r="AI141" s="197"/>
      <c r="AJ141" s="1094"/>
      <c r="AK141" s="197"/>
      <c r="AL141" s="197"/>
      <c r="AM141" s="197"/>
      <c r="AN141" s="197"/>
      <c r="AO141" s="1094"/>
      <c r="AP141" s="197"/>
      <c r="AQ141" s="197"/>
      <c r="AR141" s="197"/>
      <c r="AS141" s="197"/>
      <c r="AT141" s="198"/>
      <c r="AU141" s="194"/>
      <c r="AV141" s="194"/>
      <c r="AW141" s="194"/>
      <c r="AX141" s="194"/>
      <c r="AY141" s="198"/>
      <c r="AZ141" s="194"/>
      <c r="BA141" s="194"/>
      <c r="BB141" s="194"/>
      <c r="BC141" s="194"/>
      <c r="BD141" s="198"/>
      <c r="BE141" s="197"/>
      <c r="BF141" s="197"/>
      <c r="BG141" s="197"/>
      <c r="BH141" s="197"/>
      <c r="BI141" s="1094"/>
      <c r="BJ141" s="197"/>
      <c r="BK141" s="197"/>
      <c r="BL141" s="197"/>
      <c r="BM141" s="197"/>
      <c r="BN141" s="1094"/>
      <c r="BO141" s="197"/>
      <c r="BP141" s="197"/>
      <c r="BQ141" s="197"/>
      <c r="BR141" s="197"/>
      <c r="BS141" s="1094"/>
      <c r="BT141" s="727"/>
      <c r="BU141" s="197"/>
      <c r="BV141" s="197"/>
      <c r="BW141" s="197"/>
      <c r="BX141" s="1094"/>
      <c r="BY141" s="197"/>
      <c r="BZ141" s="197"/>
      <c r="CA141" s="197"/>
      <c r="CB141" s="197"/>
      <c r="CC141" s="1094"/>
      <c r="CD141" s="1094"/>
      <c r="CE141" s="1094"/>
      <c r="CF141" s="1094"/>
      <c r="CG141" s="349"/>
    </row>
    <row r="142" spans="1:85" s="613" customFormat="1" x14ac:dyDescent="0.3">
      <c r="A142" s="478" t="s">
        <v>1934</v>
      </c>
      <c r="B142" s="523"/>
      <c r="C142" s="78"/>
      <c r="D142" s="78"/>
      <c r="E142" s="78"/>
      <c r="F142" s="78"/>
      <c r="G142" s="774"/>
      <c r="H142" s="774"/>
      <c r="I142" s="774"/>
      <c r="J142" s="774"/>
      <c r="K142" s="78"/>
      <c r="L142" s="774"/>
      <c r="M142" s="774"/>
      <c r="N142" s="774"/>
      <c r="O142" s="774"/>
      <c r="P142" s="78"/>
      <c r="Q142" s="774"/>
      <c r="R142" s="774"/>
      <c r="S142" s="774"/>
      <c r="T142" s="774"/>
      <c r="U142" s="78"/>
      <c r="V142" s="774"/>
      <c r="W142" s="774"/>
      <c r="X142" s="774"/>
      <c r="Y142" s="774"/>
      <c r="Z142" s="78"/>
      <c r="AA142" s="774"/>
      <c r="AB142" s="774"/>
      <c r="AC142" s="774"/>
      <c r="AD142" s="774"/>
      <c r="AE142" s="78"/>
      <c r="AF142" s="774"/>
      <c r="AG142" s="774"/>
      <c r="AH142" s="774"/>
      <c r="AI142" s="774"/>
      <c r="AJ142" s="78"/>
      <c r="AK142" s="774"/>
      <c r="AL142" s="774"/>
      <c r="AM142" s="774"/>
      <c r="AN142" s="774"/>
      <c r="AO142" s="78"/>
      <c r="AP142" s="774"/>
      <c r="AQ142" s="774"/>
      <c r="AR142" s="774"/>
      <c r="AS142" s="774"/>
      <c r="AT142" s="1119">
        <v>26.977</v>
      </c>
      <c r="AU142" s="774"/>
      <c r="AV142" s="774"/>
      <c r="AW142" s="774"/>
      <c r="AX142" s="774"/>
      <c r="AY142" s="1119">
        <v>26.977</v>
      </c>
      <c r="AZ142" s="774"/>
      <c r="BA142" s="774"/>
      <c r="BB142" s="774"/>
      <c r="BC142" s="774"/>
      <c r="BD142" s="1119">
        <v>26.977</v>
      </c>
      <c r="BE142" s="774"/>
      <c r="BF142" s="774"/>
      <c r="BG142" s="774"/>
      <c r="BH142" s="774"/>
      <c r="BI142" s="78"/>
      <c r="BJ142" s="774"/>
      <c r="BK142" s="774"/>
      <c r="BL142" s="774"/>
      <c r="BM142" s="774"/>
      <c r="BN142" s="78"/>
      <c r="BO142" s="774"/>
      <c r="BP142" s="774"/>
      <c r="BQ142" s="774"/>
      <c r="BR142" s="774"/>
      <c r="BS142" s="78"/>
      <c r="BT142" s="775"/>
      <c r="BU142" s="774"/>
      <c r="BV142" s="774"/>
      <c r="BW142" s="774"/>
      <c r="BX142" s="78"/>
      <c r="BY142" s="774"/>
      <c r="BZ142" s="774"/>
      <c r="CA142" s="774"/>
      <c r="CB142" s="774"/>
      <c r="CC142" s="78"/>
      <c r="CD142" s="78"/>
      <c r="CE142" s="78"/>
      <c r="CF142" s="78"/>
      <c r="CG142" s="532"/>
    </row>
    <row r="143" spans="1:85" s="615" customFormat="1" x14ac:dyDescent="0.3">
      <c r="A143" s="522" t="s">
        <v>1933</v>
      </c>
      <c r="B143" s="521"/>
      <c r="C143" s="1122"/>
      <c r="D143" s="1122"/>
      <c r="E143" s="1122"/>
      <c r="F143" s="1122"/>
      <c r="G143" s="520"/>
      <c r="H143" s="520"/>
      <c r="I143" s="520"/>
      <c r="J143" s="520"/>
      <c r="K143" s="1122"/>
      <c r="L143" s="520"/>
      <c r="M143" s="520"/>
      <c r="N143" s="520"/>
      <c r="O143" s="520"/>
      <c r="P143" s="1122"/>
      <c r="Q143" s="520"/>
      <c r="R143" s="520"/>
      <c r="S143" s="520"/>
      <c r="T143" s="520"/>
      <c r="U143" s="1122"/>
      <c r="V143" s="520"/>
      <c r="W143" s="520"/>
      <c r="X143" s="520"/>
      <c r="Y143" s="520"/>
      <c r="Z143" s="1122"/>
      <c r="AA143" s="520"/>
      <c r="AB143" s="520"/>
      <c r="AC143" s="520"/>
      <c r="AD143" s="520"/>
      <c r="AE143" s="1122"/>
      <c r="AF143" s="520"/>
      <c r="AG143" s="520"/>
      <c r="AH143" s="520"/>
      <c r="AI143" s="520"/>
      <c r="AJ143" s="1122"/>
      <c r="AK143" s="520"/>
      <c r="AL143" s="520"/>
      <c r="AM143" s="520"/>
      <c r="AN143" s="520"/>
      <c r="AO143" s="1122"/>
      <c r="AP143" s="520"/>
      <c r="AQ143" s="520"/>
      <c r="AR143" s="520"/>
      <c r="AS143" s="520"/>
      <c r="AT143" s="1123">
        <v>105.79</v>
      </c>
      <c r="AU143" s="526"/>
      <c r="AV143" s="526"/>
      <c r="AW143" s="526"/>
      <c r="AX143" s="526"/>
      <c r="AY143" s="1123">
        <v>105.79</v>
      </c>
      <c r="AZ143" s="526"/>
      <c r="BA143" s="526"/>
      <c r="BB143" s="526"/>
      <c r="BC143" s="526"/>
      <c r="BD143" s="1123">
        <v>105.79</v>
      </c>
      <c r="BE143" s="520"/>
      <c r="BF143" s="520"/>
      <c r="BG143" s="520"/>
      <c r="BH143" s="520"/>
      <c r="BI143" s="1122"/>
      <c r="BJ143" s="520"/>
      <c r="BK143" s="520"/>
      <c r="BL143" s="520"/>
      <c r="BM143" s="520"/>
      <c r="BN143" s="1122"/>
      <c r="BO143" s="520"/>
      <c r="BP143" s="520"/>
      <c r="BQ143" s="520"/>
      <c r="BR143" s="520"/>
      <c r="BS143" s="1122"/>
      <c r="BT143" s="728"/>
      <c r="BU143" s="520"/>
      <c r="BV143" s="520"/>
      <c r="BW143" s="520"/>
      <c r="BX143" s="1122"/>
      <c r="BY143" s="520"/>
      <c r="BZ143" s="520"/>
      <c r="CA143" s="520"/>
      <c r="CB143" s="520"/>
      <c r="CC143" s="1122"/>
      <c r="CD143" s="1122"/>
      <c r="CE143" s="1122"/>
      <c r="CF143" s="1122"/>
      <c r="CG143" s="519"/>
    </row>
    <row r="144" spans="1:85" s="614" customFormat="1" x14ac:dyDescent="0.3">
      <c r="A144" s="522"/>
      <c r="B144" s="352"/>
      <c r="C144" s="1094"/>
      <c r="D144" s="1094"/>
      <c r="E144" s="1094"/>
      <c r="F144" s="1094"/>
      <c r="G144" s="197"/>
      <c r="H144" s="197"/>
      <c r="I144" s="197"/>
      <c r="J144" s="197"/>
      <c r="K144" s="1094"/>
      <c r="L144" s="197"/>
      <c r="M144" s="197"/>
      <c r="N144" s="197"/>
      <c r="O144" s="197"/>
      <c r="P144" s="1094"/>
      <c r="Q144" s="197"/>
      <c r="R144" s="197"/>
      <c r="S144" s="197"/>
      <c r="T144" s="197"/>
      <c r="U144" s="1094"/>
      <c r="V144" s="197"/>
      <c r="W144" s="197"/>
      <c r="X144" s="197"/>
      <c r="Y144" s="197"/>
      <c r="Z144" s="1094"/>
      <c r="AA144" s="197"/>
      <c r="AB144" s="197"/>
      <c r="AC144" s="197"/>
      <c r="AD144" s="197"/>
      <c r="AE144" s="1094"/>
      <c r="AF144" s="197"/>
      <c r="AG144" s="197"/>
      <c r="AH144" s="197"/>
      <c r="AI144" s="197"/>
      <c r="AJ144" s="1094"/>
      <c r="AK144" s="197"/>
      <c r="AL144" s="197"/>
      <c r="AM144" s="197"/>
      <c r="AN144" s="197"/>
      <c r="AO144" s="1094"/>
      <c r="AP144" s="197"/>
      <c r="AQ144" s="197"/>
      <c r="AR144" s="197"/>
      <c r="AS144" s="197"/>
      <c r="AT144" s="198"/>
      <c r="AU144" s="194"/>
      <c r="AV144" s="194"/>
      <c r="AW144" s="194"/>
      <c r="AX144" s="194"/>
      <c r="AY144" s="198"/>
      <c r="AZ144" s="194"/>
      <c r="BA144" s="194"/>
      <c r="BB144" s="194"/>
      <c r="BC144" s="194"/>
      <c r="BD144" s="198"/>
      <c r="BE144" s="197"/>
      <c r="BF144" s="197"/>
      <c r="BG144" s="197"/>
      <c r="BH144" s="197"/>
      <c r="BI144" s="1094"/>
      <c r="BJ144" s="197"/>
      <c r="BK144" s="197"/>
      <c r="BL144" s="197"/>
      <c r="BM144" s="197"/>
      <c r="BN144" s="1094"/>
      <c r="BO144" s="197"/>
      <c r="BP144" s="197"/>
      <c r="BQ144" s="197"/>
      <c r="BR144" s="197"/>
      <c r="BS144" s="1094"/>
      <c r="BT144" s="727"/>
      <c r="BU144" s="197"/>
      <c r="BV144" s="197"/>
      <c r="BW144" s="197"/>
      <c r="BX144" s="1094"/>
      <c r="BY144" s="197"/>
      <c r="BZ144" s="197"/>
      <c r="CA144" s="197"/>
      <c r="CB144" s="197"/>
      <c r="CC144" s="1094"/>
      <c r="CD144" s="1094"/>
      <c r="CE144" s="1094"/>
      <c r="CF144" s="1094"/>
      <c r="CG144" s="349"/>
    </row>
    <row r="145" spans="1:85" s="613" customFormat="1" x14ac:dyDescent="0.3">
      <c r="A145" s="478" t="s">
        <v>1932</v>
      </c>
      <c r="B145" s="523"/>
      <c r="C145" s="78"/>
      <c r="D145" s="78"/>
      <c r="E145" s="78"/>
      <c r="F145" s="78"/>
      <c r="G145" s="774"/>
      <c r="H145" s="774"/>
      <c r="I145" s="774"/>
      <c r="J145" s="774"/>
      <c r="K145" s="78"/>
      <c r="L145" s="774"/>
      <c r="M145" s="774"/>
      <c r="N145" s="774"/>
      <c r="O145" s="774"/>
      <c r="P145" s="78"/>
      <c r="Q145" s="774"/>
      <c r="R145" s="774"/>
      <c r="S145" s="774"/>
      <c r="T145" s="774"/>
      <c r="U145" s="78"/>
      <c r="V145" s="774"/>
      <c r="W145" s="774"/>
      <c r="X145" s="774"/>
      <c r="Y145" s="774"/>
      <c r="Z145" s="78"/>
      <c r="AA145" s="774"/>
      <c r="AB145" s="774"/>
      <c r="AC145" s="774"/>
      <c r="AD145" s="774"/>
      <c r="AE145" s="78"/>
      <c r="AF145" s="774"/>
      <c r="AG145" s="774"/>
      <c r="AH145" s="774"/>
      <c r="AI145" s="774"/>
      <c r="AJ145" s="78"/>
      <c r="AK145" s="774"/>
      <c r="AL145" s="774"/>
      <c r="AM145" s="774"/>
      <c r="AN145" s="774"/>
      <c r="AO145" s="78"/>
      <c r="AP145" s="774"/>
      <c r="AQ145" s="774"/>
      <c r="AR145" s="774"/>
      <c r="AS145" s="774"/>
      <c r="AT145" s="1119">
        <v>26.933</v>
      </c>
      <c r="AU145" s="774"/>
      <c r="AV145" s="774"/>
      <c r="AW145" s="774"/>
      <c r="AX145" s="774"/>
      <c r="AY145" s="1119">
        <v>26.933</v>
      </c>
      <c r="AZ145" s="774"/>
      <c r="BA145" s="774"/>
      <c r="BB145" s="774"/>
      <c r="BC145" s="774"/>
      <c r="BD145" s="1119">
        <v>26.933</v>
      </c>
      <c r="BE145" s="774"/>
      <c r="BF145" s="774"/>
      <c r="BG145" s="774"/>
      <c r="BH145" s="774"/>
      <c r="BI145" s="78"/>
      <c r="BJ145" s="774"/>
      <c r="BK145" s="774"/>
      <c r="BL145" s="774"/>
      <c r="BM145" s="774"/>
      <c r="BN145" s="78"/>
      <c r="BO145" s="774"/>
      <c r="BP145" s="774"/>
      <c r="BQ145" s="774"/>
      <c r="BR145" s="774"/>
      <c r="BS145" s="78"/>
      <c r="BT145" s="775"/>
      <c r="BU145" s="774"/>
      <c r="BV145" s="774"/>
      <c r="BW145" s="774"/>
      <c r="BX145" s="78"/>
      <c r="BY145" s="774"/>
      <c r="BZ145" s="774"/>
      <c r="CA145" s="774"/>
      <c r="CB145" s="774"/>
      <c r="CC145" s="78"/>
      <c r="CD145" s="78"/>
      <c r="CE145" s="78"/>
      <c r="CF145" s="78"/>
      <c r="CG145" s="532"/>
    </row>
    <row r="146" spans="1:85" s="615" customFormat="1" x14ac:dyDescent="0.3">
      <c r="A146" s="522" t="s">
        <v>1931</v>
      </c>
      <c r="B146" s="521"/>
      <c r="C146" s="1122"/>
      <c r="D146" s="1122"/>
      <c r="E146" s="1122"/>
      <c r="F146" s="1122"/>
      <c r="G146" s="520"/>
      <c r="H146" s="520"/>
      <c r="I146" s="520"/>
      <c r="J146" s="520"/>
      <c r="K146" s="1122"/>
      <c r="L146" s="520"/>
      <c r="M146" s="520"/>
      <c r="N146" s="520"/>
      <c r="O146" s="520"/>
      <c r="P146" s="1122"/>
      <c r="Q146" s="520"/>
      <c r="R146" s="520"/>
      <c r="S146" s="520"/>
      <c r="T146" s="520"/>
      <c r="U146" s="1122"/>
      <c r="V146" s="520"/>
      <c r="W146" s="520"/>
      <c r="X146" s="520"/>
      <c r="Y146" s="520"/>
      <c r="Z146" s="1122"/>
      <c r="AA146" s="520"/>
      <c r="AB146" s="520"/>
      <c r="AC146" s="520"/>
      <c r="AD146" s="520"/>
      <c r="AE146" s="1122"/>
      <c r="AF146" s="520"/>
      <c r="AG146" s="520"/>
      <c r="AH146" s="520"/>
      <c r="AI146" s="520"/>
      <c r="AJ146" s="1122"/>
      <c r="AK146" s="520"/>
      <c r="AL146" s="520"/>
      <c r="AM146" s="520"/>
      <c r="AN146" s="520"/>
      <c r="AO146" s="1122"/>
      <c r="AP146" s="520"/>
      <c r="AQ146" s="520"/>
      <c r="AR146" s="520"/>
      <c r="AS146" s="520"/>
      <c r="AT146" s="1123">
        <v>105.98</v>
      </c>
      <c r="AU146" s="526"/>
      <c r="AV146" s="526"/>
      <c r="AW146" s="526"/>
      <c r="AX146" s="526"/>
      <c r="AY146" s="1123">
        <v>105.98</v>
      </c>
      <c r="AZ146" s="526"/>
      <c r="BA146" s="526"/>
      <c r="BB146" s="526"/>
      <c r="BC146" s="526"/>
      <c r="BD146" s="1123">
        <v>105.98</v>
      </c>
      <c r="BE146" s="520"/>
      <c r="BF146" s="520"/>
      <c r="BG146" s="520"/>
      <c r="BH146" s="520"/>
      <c r="BI146" s="1122"/>
      <c r="BJ146" s="520"/>
      <c r="BK146" s="520"/>
      <c r="BL146" s="520"/>
      <c r="BM146" s="520"/>
      <c r="BN146" s="1122"/>
      <c r="BO146" s="520"/>
      <c r="BP146" s="520"/>
      <c r="BQ146" s="520"/>
      <c r="BR146" s="520"/>
      <c r="BS146" s="1122"/>
      <c r="BT146" s="728"/>
      <c r="BU146" s="520"/>
      <c r="BV146" s="520"/>
      <c r="BW146" s="520"/>
      <c r="BX146" s="1122"/>
      <c r="BY146" s="520"/>
      <c r="BZ146" s="520"/>
      <c r="CA146" s="520"/>
      <c r="CB146" s="520"/>
      <c r="CC146" s="1122"/>
      <c r="CD146" s="1122"/>
      <c r="CE146" s="1122"/>
      <c r="CF146" s="1122"/>
      <c r="CG146" s="519"/>
    </row>
    <row r="147" spans="1:85" s="614" customFormat="1" x14ac:dyDescent="0.3">
      <c r="A147" s="522"/>
      <c r="B147" s="352"/>
      <c r="C147" s="1094"/>
      <c r="D147" s="1094"/>
      <c r="E147" s="1094"/>
      <c r="F147" s="1094"/>
      <c r="G147" s="197"/>
      <c r="H147" s="197"/>
      <c r="I147" s="197"/>
      <c r="J147" s="197"/>
      <c r="K147" s="1094"/>
      <c r="L147" s="197"/>
      <c r="M147" s="197"/>
      <c r="N147" s="197"/>
      <c r="O147" s="197"/>
      <c r="P147" s="1094"/>
      <c r="Q147" s="197"/>
      <c r="R147" s="197"/>
      <c r="S147" s="197"/>
      <c r="T147" s="197"/>
      <c r="U147" s="1094"/>
      <c r="V147" s="197"/>
      <c r="W147" s="197"/>
      <c r="X147" s="197"/>
      <c r="Y147" s="197"/>
      <c r="Z147" s="1094"/>
      <c r="AA147" s="197"/>
      <c r="AB147" s="197"/>
      <c r="AC147" s="197"/>
      <c r="AD147" s="197"/>
      <c r="AE147" s="1094"/>
      <c r="AF147" s="197"/>
      <c r="AG147" s="197"/>
      <c r="AH147" s="197"/>
      <c r="AI147" s="197"/>
      <c r="AJ147" s="1094"/>
      <c r="AK147" s="197"/>
      <c r="AL147" s="197"/>
      <c r="AM147" s="197"/>
      <c r="AN147" s="197"/>
      <c r="AO147" s="1094"/>
      <c r="AP147" s="197"/>
      <c r="AQ147" s="197"/>
      <c r="AR147" s="197"/>
      <c r="AS147" s="197"/>
      <c r="AT147" s="198"/>
      <c r="AU147" s="194"/>
      <c r="AV147" s="194"/>
      <c r="AW147" s="194"/>
      <c r="AX147" s="194"/>
      <c r="AY147" s="198"/>
      <c r="AZ147" s="194"/>
      <c r="BA147" s="194"/>
      <c r="BB147" s="194"/>
      <c r="BC147" s="194"/>
      <c r="BD147" s="198"/>
      <c r="BE147" s="197"/>
      <c r="BF147" s="197"/>
      <c r="BG147" s="197"/>
      <c r="BH147" s="197"/>
      <c r="BI147" s="1094"/>
      <c r="BJ147" s="197"/>
      <c r="BK147" s="197"/>
      <c r="BL147" s="197"/>
      <c r="BM147" s="197"/>
      <c r="BN147" s="1094"/>
      <c r="BO147" s="197"/>
      <c r="BP147" s="197"/>
      <c r="BQ147" s="197"/>
      <c r="BR147" s="197"/>
      <c r="BS147" s="1094"/>
      <c r="BT147" s="727"/>
      <c r="BU147" s="197"/>
      <c r="BV147" s="197"/>
      <c r="BW147" s="197"/>
      <c r="BX147" s="1094"/>
      <c r="BY147" s="197"/>
      <c r="BZ147" s="197"/>
      <c r="CA147" s="197"/>
      <c r="CB147" s="197"/>
      <c r="CC147" s="1094"/>
      <c r="CD147" s="1094"/>
      <c r="CE147" s="1094"/>
      <c r="CF147" s="1094"/>
      <c r="CG147" s="349"/>
    </row>
    <row r="148" spans="1:85" s="613" customFormat="1" x14ac:dyDescent="0.3">
      <c r="A148" s="478" t="s">
        <v>1930</v>
      </c>
      <c r="B148" s="523"/>
      <c r="C148" s="78"/>
      <c r="D148" s="78"/>
      <c r="E148" s="78"/>
      <c r="F148" s="78"/>
      <c r="G148" s="774"/>
      <c r="H148" s="774"/>
      <c r="I148" s="774"/>
      <c r="J148" s="774"/>
      <c r="K148" s="78"/>
      <c r="L148" s="774"/>
      <c r="M148" s="774"/>
      <c r="N148" s="774"/>
      <c r="O148" s="774"/>
      <c r="P148" s="78"/>
      <c r="Q148" s="774"/>
      <c r="R148" s="774"/>
      <c r="S148" s="774"/>
      <c r="T148" s="774"/>
      <c r="U148" s="78"/>
      <c r="V148" s="774"/>
      <c r="W148" s="774"/>
      <c r="X148" s="774"/>
      <c r="Y148" s="774"/>
      <c r="Z148" s="78"/>
      <c r="AA148" s="774"/>
      <c r="AB148" s="774"/>
      <c r="AC148" s="774"/>
      <c r="AD148" s="774"/>
      <c r="AE148" s="78"/>
      <c r="AF148" s="774"/>
      <c r="AG148" s="774"/>
      <c r="AH148" s="774"/>
      <c r="AI148" s="774"/>
      <c r="AJ148" s="78"/>
      <c r="AK148" s="774"/>
      <c r="AL148" s="774"/>
      <c r="AM148" s="774"/>
      <c r="AN148" s="774"/>
      <c r="AO148" s="78"/>
      <c r="AP148" s="774"/>
      <c r="AQ148" s="774"/>
      <c r="AR148" s="774"/>
      <c r="AS148" s="774"/>
      <c r="AT148" s="1119">
        <v>26.513000000000002</v>
      </c>
      <c r="AU148" s="774"/>
      <c r="AV148" s="774"/>
      <c r="AW148" s="774"/>
      <c r="AX148" s="774"/>
      <c r="AY148" s="1119">
        <v>26.513000000000002</v>
      </c>
      <c r="AZ148" s="774"/>
      <c r="BA148" s="774"/>
      <c r="BB148" s="774"/>
      <c r="BC148" s="774"/>
      <c r="BD148" s="1119">
        <v>26.513000000000002</v>
      </c>
      <c r="BE148" s="774"/>
      <c r="BF148" s="774"/>
      <c r="BG148" s="774"/>
      <c r="BH148" s="774"/>
      <c r="BI148" s="78"/>
      <c r="BJ148" s="774"/>
      <c r="BK148" s="774"/>
      <c r="BL148" s="774"/>
      <c r="BM148" s="774"/>
      <c r="BN148" s="78"/>
      <c r="BO148" s="774"/>
      <c r="BP148" s="774"/>
      <c r="BQ148" s="774"/>
      <c r="BR148" s="774"/>
      <c r="BS148" s="78"/>
      <c r="BT148" s="775"/>
      <c r="BU148" s="774"/>
      <c r="BV148" s="774"/>
      <c r="BW148" s="774"/>
      <c r="BX148" s="78"/>
      <c r="BY148" s="774"/>
      <c r="BZ148" s="774"/>
      <c r="CA148" s="774"/>
      <c r="CB148" s="774"/>
      <c r="CC148" s="78"/>
      <c r="CD148" s="78"/>
      <c r="CE148" s="78"/>
      <c r="CF148" s="78"/>
      <c r="CG148" s="532"/>
    </row>
    <row r="149" spans="1:85" s="615" customFormat="1" x14ac:dyDescent="0.3">
      <c r="A149" s="522" t="s">
        <v>1929</v>
      </c>
      <c r="B149" s="521"/>
      <c r="C149" s="1122"/>
      <c r="D149" s="1122"/>
      <c r="E149" s="1122"/>
      <c r="F149" s="1122"/>
      <c r="G149" s="520"/>
      <c r="H149" s="520"/>
      <c r="I149" s="520"/>
      <c r="J149" s="520"/>
      <c r="K149" s="1122"/>
      <c r="L149" s="520"/>
      <c r="M149" s="520"/>
      <c r="N149" s="520"/>
      <c r="O149" s="520"/>
      <c r="P149" s="1122"/>
      <c r="Q149" s="520"/>
      <c r="R149" s="520"/>
      <c r="S149" s="520"/>
      <c r="T149" s="520"/>
      <c r="U149" s="1122"/>
      <c r="V149" s="520"/>
      <c r="W149" s="520"/>
      <c r="X149" s="520"/>
      <c r="Y149" s="520"/>
      <c r="Z149" s="1122"/>
      <c r="AA149" s="520"/>
      <c r="AB149" s="520"/>
      <c r="AC149" s="520"/>
      <c r="AD149" s="520"/>
      <c r="AE149" s="1122"/>
      <c r="AF149" s="520"/>
      <c r="AG149" s="520"/>
      <c r="AH149" s="520"/>
      <c r="AI149" s="520"/>
      <c r="AJ149" s="1122"/>
      <c r="AK149" s="520"/>
      <c r="AL149" s="520"/>
      <c r="AM149" s="520"/>
      <c r="AN149" s="520"/>
      <c r="AO149" s="1122"/>
      <c r="AP149" s="520"/>
      <c r="AQ149" s="520"/>
      <c r="AR149" s="520"/>
      <c r="AS149" s="520"/>
      <c r="AT149" s="1123">
        <v>107.64</v>
      </c>
      <c r="AU149" s="526"/>
      <c r="AV149" s="526"/>
      <c r="AW149" s="526"/>
      <c r="AX149" s="526"/>
      <c r="AY149" s="1123">
        <v>107.64</v>
      </c>
      <c r="AZ149" s="526"/>
      <c r="BA149" s="526"/>
      <c r="BB149" s="526"/>
      <c r="BC149" s="526"/>
      <c r="BD149" s="1123">
        <v>107.64</v>
      </c>
      <c r="BE149" s="520"/>
      <c r="BF149" s="520"/>
      <c r="BG149" s="520"/>
      <c r="BH149" s="520"/>
      <c r="BI149" s="1122"/>
      <c r="BJ149" s="520"/>
      <c r="BK149" s="520"/>
      <c r="BL149" s="520"/>
      <c r="BM149" s="520"/>
      <c r="BN149" s="1122"/>
      <c r="BO149" s="520"/>
      <c r="BP149" s="520"/>
      <c r="BQ149" s="520"/>
      <c r="BR149" s="520"/>
      <c r="BS149" s="1122"/>
      <c r="BT149" s="728"/>
      <c r="BU149" s="520"/>
      <c r="BV149" s="520"/>
      <c r="BW149" s="520"/>
      <c r="BX149" s="1122"/>
      <c r="BY149" s="520"/>
      <c r="BZ149" s="520"/>
      <c r="CA149" s="520"/>
      <c r="CB149" s="520"/>
      <c r="CC149" s="1122"/>
      <c r="CD149" s="1122"/>
      <c r="CE149" s="1122"/>
      <c r="CF149" s="1122"/>
      <c r="CG149" s="519"/>
    </row>
    <row r="150" spans="1:85" s="614" customFormat="1" x14ac:dyDescent="0.3">
      <c r="A150" s="522"/>
      <c r="B150" s="352"/>
      <c r="C150" s="1094"/>
      <c r="D150" s="1094"/>
      <c r="E150" s="1094"/>
      <c r="F150" s="1094"/>
      <c r="G150" s="197"/>
      <c r="H150" s="197"/>
      <c r="I150" s="197"/>
      <c r="J150" s="197"/>
      <c r="K150" s="1094"/>
      <c r="L150" s="197"/>
      <c r="M150" s="197"/>
      <c r="N150" s="197"/>
      <c r="O150" s="197"/>
      <c r="P150" s="1094"/>
      <c r="Q150" s="197"/>
      <c r="R150" s="197"/>
      <c r="S150" s="197"/>
      <c r="T150" s="197"/>
      <c r="U150" s="1094"/>
      <c r="V150" s="197"/>
      <c r="W150" s="197"/>
      <c r="X150" s="197"/>
      <c r="Y150" s="197"/>
      <c r="Z150" s="1094"/>
      <c r="AA150" s="197"/>
      <c r="AB150" s="197"/>
      <c r="AC150" s="197"/>
      <c r="AD150" s="197"/>
      <c r="AE150" s="1094"/>
      <c r="AF150" s="197"/>
      <c r="AG150" s="197"/>
      <c r="AH150" s="197"/>
      <c r="AI150" s="197"/>
      <c r="AJ150" s="1094"/>
      <c r="AK150" s="197"/>
      <c r="AL150" s="197"/>
      <c r="AM150" s="197"/>
      <c r="AN150" s="197"/>
      <c r="AO150" s="1094"/>
      <c r="AP150" s="197"/>
      <c r="AQ150" s="197"/>
      <c r="AR150" s="197"/>
      <c r="AS150" s="197"/>
      <c r="AT150" s="198"/>
      <c r="AU150" s="194"/>
      <c r="AV150" s="194"/>
      <c r="AW150" s="194"/>
      <c r="AX150" s="194"/>
      <c r="AY150" s="198"/>
      <c r="AZ150" s="194"/>
      <c r="BA150" s="194"/>
      <c r="BB150" s="194"/>
      <c r="BC150" s="194"/>
      <c r="BD150" s="198"/>
      <c r="BE150" s="197"/>
      <c r="BF150" s="197"/>
      <c r="BG150" s="197"/>
      <c r="BH150" s="197"/>
      <c r="BI150" s="1094"/>
      <c r="BJ150" s="197"/>
      <c r="BK150" s="197"/>
      <c r="BL150" s="197"/>
      <c r="BM150" s="197"/>
      <c r="BN150" s="1094"/>
      <c r="BO150" s="197"/>
      <c r="BP150" s="197"/>
      <c r="BQ150" s="197"/>
      <c r="BR150" s="197"/>
      <c r="BS150" s="1094"/>
      <c r="BT150" s="727"/>
      <c r="BU150" s="197"/>
      <c r="BV150" s="197"/>
      <c r="BW150" s="197"/>
      <c r="BX150" s="1094"/>
      <c r="BY150" s="197"/>
      <c r="BZ150" s="197"/>
      <c r="CA150" s="197"/>
      <c r="CB150" s="197"/>
      <c r="CC150" s="1094"/>
      <c r="CD150" s="1094"/>
      <c r="CE150" s="1094"/>
      <c r="CF150" s="1094"/>
      <c r="CG150" s="349"/>
    </row>
    <row r="151" spans="1:85" s="613" customFormat="1" x14ac:dyDescent="0.3">
      <c r="A151" s="478" t="s">
        <v>1928</v>
      </c>
      <c r="B151" s="523"/>
      <c r="C151" s="78"/>
      <c r="D151" s="78"/>
      <c r="E151" s="78"/>
      <c r="F151" s="78"/>
      <c r="G151" s="774"/>
      <c r="H151" s="774"/>
      <c r="I151" s="774"/>
      <c r="J151" s="774"/>
      <c r="K151" s="78"/>
      <c r="L151" s="774"/>
      <c r="M151" s="774"/>
      <c r="N151" s="774"/>
      <c r="O151" s="774"/>
      <c r="P151" s="78"/>
      <c r="Q151" s="774"/>
      <c r="R151" s="774"/>
      <c r="S151" s="774"/>
      <c r="T151" s="774"/>
      <c r="U151" s="78"/>
      <c r="V151" s="774"/>
      <c r="W151" s="774"/>
      <c r="X151" s="774"/>
      <c r="Y151" s="774"/>
      <c r="Z151" s="78"/>
      <c r="AA151" s="774"/>
      <c r="AB151" s="774"/>
      <c r="AC151" s="774"/>
      <c r="AD151" s="774"/>
      <c r="AE151" s="78"/>
      <c r="AF151" s="774"/>
      <c r="AG151" s="774"/>
      <c r="AH151" s="774"/>
      <c r="AI151" s="774"/>
      <c r="AJ151" s="78"/>
      <c r="AK151" s="774"/>
      <c r="AL151" s="774"/>
      <c r="AM151" s="774"/>
      <c r="AN151" s="774"/>
      <c r="AO151" s="78"/>
      <c r="AP151" s="774"/>
      <c r="AQ151" s="774"/>
      <c r="AR151" s="774"/>
      <c r="AS151" s="774"/>
      <c r="AT151" s="1119">
        <v>22.765000000000001</v>
      </c>
      <c r="AU151" s="774"/>
      <c r="AV151" s="774"/>
      <c r="AW151" s="774"/>
      <c r="AX151" s="774"/>
      <c r="AY151" s="1119">
        <v>22.765000000000001</v>
      </c>
      <c r="AZ151" s="774"/>
      <c r="BA151" s="774"/>
      <c r="BB151" s="774"/>
      <c r="BC151" s="774"/>
      <c r="BD151" s="1119">
        <v>22.765000000000001</v>
      </c>
      <c r="BE151" s="774"/>
      <c r="BF151" s="774"/>
      <c r="BG151" s="774"/>
      <c r="BH151" s="774"/>
      <c r="BI151" s="78"/>
      <c r="BJ151" s="774"/>
      <c r="BK151" s="774"/>
      <c r="BL151" s="774"/>
      <c r="BM151" s="774"/>
      <c r="BN151" s="78"/>
      <c r="BO151" s="774"/>
      <c r="BP151" s="774"/>
      <c r="BQ151" s="774"/>
      <c r="BR151" s="774"/>
      <c r="BS151" s="78"/>
      <c r="BT151" s="775"/>
      <c r="BU151" s="774"/>
      <c r="BV151" s="774"/>
      <c r="BW151" s="774"/>
      <c r="BX151" s="78"/>
      <c r="BY151" s="774"/>
      <c r="BZ151" s="774"/>
      <c r="CA151" s="774"/>
      <c r="CB151" s="774"/>
      <c r="CC151" s="78"/>
      <c r="CD151" s="78"/>
      <c r="CE151" s="78"/>
      <c r="CF151" s="78"/>
      <c r="CG151" s="532"/>
    </row>
    <row r="152" spans="1:85" s="615" customFormat="1" x14ac:dyDescent="0.3">
      <c r="A152" s="522" t="s">
        <v>1927</v>
      </c>
      <c r="B152" s="521"/>
      <c r="C152" s="1122"/>
      <c r="D152" s="1122"/>
      <c r="E152" s="1122"/>
      <c r="F152" s="1122"/>
      <c r="G152" s="520"/>
      <c r="H152" s="520"/>
      <c r="I152" s="520"/>
      <c r="J152" s="520"/>
      <c r="K152" s="1122"/>
      <c r="L152" s="520"/>
      <c r="M152" s="520"/>
      <c r="N152" s="520"/>
      <c r="O152" s="520"/>
      <c r="P152" s="1122"/>
      <c r="Q152" s="520"/>
      <c r="R152" s="520"/>
      <c r="S152" s="520"/>
      <c r="T152" s="520"/>
      <c r="U152" s="1122"/>
      <c r="V152" s="520"/>
      <c r="W152" s="520"/>
      <c r="X152" s="520"/>
      <c r="Y152" s="520"/>
      <c r="Z152" s="1122"/>
      <c r="AA152" s="520"/>
      <c r="AB152" s="520"/>
      <c r="AC152" s="520"/>
      <c r="AD152" s="520"/>
      <c r="AE152" s="1122"/>
      <c r="AF152" s="520"/>
      <c r="AG152" s="520"/>
      <c r="AH152" s="520"/>
      <c r="AI152" s="520"/>
      <c r="AJ152" s="1122"/>
      <c r="AK152" s="520"/>
      <c r="AL152" s="520"/>
      <c r="AM152" s="520"/>
      <c r="AN152" s="520"/>
      <c r="AO152" s="1122"/>
      <c r="AP152" s="520"/>
      <c r="AQ152" s="520"/>
      <c r="AR152" s="520"/>
      <c r="AS152" s="520"/>
      <c r="AT152" s="1123">
        <v>125.37</v>
      </c>
      <c r="AU152" s="526"/>
      <c r="AV152" s="526"/>
      <c r="AW152" s="526"/>
      <c r="AX152" s="526"/>
      <c r="AY152" s="1123">
        <v>125.37</v>
      </c>
      <c r="AZ152" s="526"/>
      <c r="BA152" s="526"/>
      <c r="BB152" s="526"/>
      <c r="BC152" s="526"/>
      <c r="BD152" s="1123">
        <v>125.37</v>
      </c>
      <c r="BE152" s="520"/>
      <c r="BF152" s="520"/>
      <c r="BG152" s="520"/>
      <c r="BH152" s="520"/>
      <c r="BI152" s="1122"/>
      <c r="BJ152" s="520"/>
      <c r="BK152" s="520"/>
      <c r="BL152" s="520"/>
      <c r="BM152" s="520"/>
      <c r="BN152" s="1122"/>
      <c r="BO152" s="520"/>
      <c r="BP152" s="520"/>
      <c r="BQ152" s="520"/>
      <c r="BR152" s="520"/>
      <c r="BS152" s="1122"/>
      <c r="BT152" s="728"/>
      <c r="BU152" s="520"/>
      <c r="BV152" s="520"/>
      <c r="BW152" s="520"/>
      <c r="BX152" s="1122"/>
      <c r="BY152" s="520"/>
      <c r="BZ152" s="520"/>
      <c r="CA152" s="520"/>
      <c r="CB152" s="520"/>
      <c r="CC152" s="1122"/>
      <c r="CD152" s="1122"/>
      <c r="CE152" s="1122"/>
      <c r="CF152" s="1122"/>
      <c r="CG152" s="519"/>
    </row>
    <row r="153" spans="1:85" s="614" customFormat="1" x14ac:dyDescent="0.3">
      <c r="A153" s="224"/>
      <c r="B153" s="352"/>
      <c r="C153" s="1094"/>
      <c r="D153" s="1094"/>
      <c r="E153" s="1094"/>
      <c r="F153" s="1094"/>
      <c r="G153" s="197"/>
      <c r="H153" s="197"/>
      <c r="I153" s="197"/>
      <c r="J153" s="197"/>
      <c r="K153" s="1094"/>
      <c r="L153" s="197"/>
      <c r="M153" s="197"/>
      <c r="N153" s="197"/>
      <c r="O153" s="197"/>
      <c r="P153" s="1094"/>
      <c r="Q153" s="197"/>
      <c r="R153" s="197"/>
      <c r="S153" s="197"/>
      <c r="T153" s="197"/>
      <c r="U153" s="1094"/>
      <c r="V153" s="197"/>
      <c r="W153" s="197"/>
      <c r="X153" s="197"/>
      <c r="Y153" s="197"/>
      <c r="Z153" s="1094"/>
      <c r="AA153" s="197"/>
      <c r="AB153" s="197"/>
      <c r="AC153" s="197"/>
      <c r="AD153" s="197"/>
      <c r="AE153" s="1094"/>
      <c r="AF153" s="197"/>
      <c r="AG153" s="197"/>
      <c r="AH153" s="197"/>
      <c r="AI153" s="197"/>
      <c r="AJ153" s="1094"/>
      <c r="AK153" s="197"/>
      <c r="AL153" s="197"/>
      <c r="AM153" s="197"/>
      <c r="AN153" s="197"/>
      <c r="AO153" s="1094"/>
      <c r="AP153" s="197"/>
      <c r="AQ153" s="197"/>
      <c r="AR153" s="197"/>
      <c r="AS153" s="197"/>
      <c r="AT153" s="198"/>
      <c r="AU153" s="194"/>
      <c r="AV153" s="194"/>
      <c r="AW153" s="194"/>
      <c r="AX153" s="194"/>
      <c r="AY153" s="198"/>
      <c r="AZ153" s="194"/>
      <c r="BA153" s="194"/>
      <c r="BB153" s="194"/>
      <c r="BC153" s="194"/>
      <c r="BD153" s="198"/>
      <c r="BE153" s="197"/>
      <c r="BF153" s="197"/>
      <c r="BG153" s="197"/>
      <c r="BH153" s="197"/>
      <c r="BI153" s="1094"/>
      <c r="BJ153" s="197"/>
      <c r="BK153" s="197"/>
      <c r="BL153" s="197"/>
      <c r="BM153" s="197"/>
      <c r="BN153" s="1094"/>
      <c r="BO153" s="197"/>
      <c r="BP153" s="197"/>
      <c r="BQ153" s="197"/>
      <c r="BR153" s="197"/>
      <c r="BS153" s="1094"/>
      <c r="BT153" s="727"/>
      <c r="BU153" s="197"/>
      <c r="BV153" s="197"/>
      <c r="BW153" s="197"/>
      <c r="BX153" s="1094"/>
      <c r="BY153" s="197"/>
      <c r="BZ153" s="197"/>
      <c r="CA153" s="197"/>
      <c r="CB153" s="197"/>
      <c r="CC153" s="1094"/>
      <c r="CD153" s="1094"/>
      <c r="CE153" s="1094"/>
      <c r="CF153" s="1094"/>
      <c r="CG153" s="349"/>
    </row>
    <row r="154" spans="1:85" s="613" customFormat="1" x14ac:dyDescent="0.3">
      <c r="A154" s="478" t="s">
        <v>1926</v>
      </c>
      <c r="B154" s="523"/>
      <c r="C154" s="78"/>
      <c r="D154" s="78"/>
      <c r="E154" s="78"/>
      <c r="F154" s="78"/>
      <c r="G154" s="774"/>
      <c r="H154" s="774"/>
      <c r="I154" s="774"/>
      <c r="J154" s="774"/>
      <c r="K154" s="78"/>
      <c r="L154" s="774"/>
      <c r="M154" s="774"/>
      <c r="N154" s="774"/>
      <c r="O154" s="774"/>
      <c r="P154" s="78"/>
      <c r="Q154" s="774"/>
      <c r="R154" s="774"/>
      <c r="S154" s="774"/>
      <c r="T154" s="774"/>
      <c r="U154" s="78"/>
      <c r="V154" s="774"/>
      <c r="W154" s="774"/>
      <c r="X154" s="774"/>
      <c r="Y154" s="774"/>
      <c r="Z154" s="78"/>
      <c r="AA154" s="774"/>
      <c r="AB154" s="774"/>
      <c r="AC154" s="774"/>
      <c r="AD154" s="774"/>
      <c r="AE154" s="78"/>
      <c r="AF154" s="774"/>
      <c r="AG154" s="774"/>
      <c r="AH154" s="774"/>
      <c r="AI154" s="774"/>
      <c r="AJ154" s="78"/>
      <c r="AK154" s="774"/>
      <c r="AL154" s="774"/>
      <c r="AM154" s="774"/>
      <c r="AN154" s="774"/>
      <c r="AO154" s="78"/>
      <c r="AP154" s="774"/>
      <c r="AQ154" s="774"/>
      <c r="AR154" s="774"/>
      <c r="AS154" s="774"/>
      <c r="AT154" s="1119">
        <v>25.959</v>
      </c>
      <c r="AU154" s="774"/>
      <c r="AV154" s="774"/>
      <c r="AW154" s="774"/>
      <c r="AX154" s="774"/>
      <c r="AY154" s="1119">
        <v>25.959</v>
      </c>
      <c r="AZ154" s="774"/>
      <c r="BA154" s="774"/>
      <c r="BB154" s="774"/>
      <c r="BC154" s="774"/>
      <c r="BD154" s="1119">
        <v>25.959</v>
      </c>
      <c r="BE154" s="774"/>
      <c r="BF154" s="774"/>
      <c r="BG154" s="774"/>
      <c r="BH154" s="774"/>
      <c r="BI154" s="78"/>
      <c r="BJ154" s="774"/>
      <c r="BK154" s="774"/>
      <c r="BL154" s="774"/>
      <c r="BM154" s="774"/>
      <c r="BN154" s="78"/>
      <c r="BO154" s="774"/>
      <c r="BP154" s="774"/>
      <c r="BQ154" s="774"/>
      <c r="BR154" s="774"/>
      <c r="BS154" s="78"/>
      <c r="BT154" s="775"/>
      <c r="BU154" s="774"/>
      <c r="BV154" s="774"/>
      <c r="BW154" s="774"/>
      <c r="BX154" s="78"/>
      <c r="BY154" s="774"/>
      <c r="BZ154" s="774"/>
      <c r="CA154" s="774"/>
      <c r="CB154" s="774"/>
      <c r="CC154" s="78"/>
      <c r="CD154" s="78"/>
      <c r="CE154" s="78"/>
      <c r="CF154" s="78"/>
      <c r="CG154" s="532"/>
    </row>
    <row r="155" spans="1:85" s="615" customFormat="1" x14ac:dyDescent="0.3">
      <c r="A155" s="522" t="s">
        <v>1925</v>
      </c>
      <c r="B155" s="521"/>
      <c r="C155" s="1122"/>
      <c r="D155" s="1122"/>
      <c r="E155" s="1122"/>
      <c r="F155" s="1122"/>
      <c r="G155" s="520"/>
      <c r="H155" s="520"/>
      <c r="I155" s="520"/>
      <c r="J155" s="520"/>
      <c r="K155" s="1122"/>
      <c r="L155" s="520"/>
      <c r="M155" s="520"/>
      <c r="N155" s="520"/>
      <c r="O155" s="520"/>
      <c r="P155" s="1122"/>
      <c r="Q155" s="520"/>
      <c r="R155" s="520"/>
      <c r="S155" s="520"/>
      <c r="T155" s="520"/>
      <c r="U155" s="1122"/>
      <c r="V155" s="520"/>
      <c r="W155" s="520"/>
      <c r="X155" s="520"/>
      <c r="Y155" s="520"/>
      <c r="Z155" s="1122"/>
      <c r="AA155" s="520"/>
      <c r="AB155" s="520"/>
      <c r="AC155" s="520"/>
      <c r="AD155" s="520"/>
      <c r="AE155" s="1122"/>
      <c r="AF155" s="520"/>
      <c r="AG155" s="520"/>
      <c r="AH155" s="520"/>
      <c r="AI155" s="520"/>
      <c r="AJ155" s="1122"/>
      <c r="AK155" s="520"/>
      <c r="AL155" s="520"/>
      <c r="AM155" s="520"/>
      <c r="AN155" s="520"/>
      <c r="AO155" s="1122"/>
      <c r="AP155" s="520"/>
      <c r="AQ155" s="520"/>
      <c r="AR155" s="520"/>
      <c r="AS155" s="520"/>
      <c r="AT155" s="1123">
        <v>109.96</v>
      </c>
      <c r="AU155" s="526"/>
      <c r="AV155" s="526"/>
      <c r="AW155" s="526"/>
      <c r="AX155" s="526"/>
      <c r="AY155" s="1123">
        <v>109.96</v>
      </c>
      <c r="AZ155" s="526"/>
      <c r="BA155" s="526"/>
      <c r="BB155" s="526"/>
      <c r="BC155" s="526"/>
      <c r="BD155" s="1123">
        <v>109.96</v>
      </c>
      <c r="BE155" s="520"/>
      <c r="BF155" s="520"/>
      <c r="BG155" s="520"/>
      <c r="BH155" s="520"/>
      <c r="BI155" s="1122"/>
      <c r="BJ155" s="520"/>
      <c r="BK155" s="520"/>
      <c r="BL155" s="520"/>
      <c r="BM155" s="520"/>
      <c r="BN155" s="1122"/>
      <c r="BO155" s="520"/>
      <c r="BP155" s="520"/>
      <c r="BQ155" s="520"/>
      <c r="BR155" s="520"/>
      <c r="BS155" s="1122"/>
      <c r="BT155" s="728"/>
      <c r="BU155" s="520"/>
      <c r="BV155" s="520"/>
      <c r="BW155" s="520"/>
      <c r="BX155" s="1122"/>
      <c r="BY155" s="520"/>
      <c r="BZ155" s="520"/>
      <c r="CA155" s="520"/>
      <c r="CB155" s="520"/>
      <c r="CC155" s="1122"/>
      <c r="CD155" s="1122"/>
      <c r="CE155" s="1122"/>
      <c r="CF155" s="1122"/>
      <c r="CG155" s="519"/>
    </row>
    <row r="156" spans="1:85" s="614" customFormat="1" x14ac:dyDescent="0.3">
      <c r="A156" s="522"/>
      <c r="B156" s="352"/>
      <c r="C156" s="1094"/>
      <c r="D156" s="1094"/>
      <c r="E156" s="1094"/>
      <c r="F156" s="1094"/>
      <c r="G156" s="197"/>
      <c r="H156" s="197"/>
      <c r="I156" s="197"/>
      <c r="J156" s="197"/>
      <c r="K156" s="1094"/>
      <c r="L156" s="197"/>
      <c r="M156" s="197"/>
      <c r="N156" s="197"/>
      <c r="O156" s="197"/>
      <c r="P156" s="1094"/>
      <c r="Q156" s="197"/>
      <c r="R156" s="197"/>
      <c r="S156" s="197"/>
      <c r="T156" s="197"/>
      <c r="U156" s="1094"/>
      <c r="V156" s="197"/>
      <c r="W156" s="197"/>
      <c r="X156" s="197"/>
      <c r="Y156" s="197"/>
      <c r="Z156" s="1094"/>
      <c r="AA156" s="197"/>
      <c r="AB156" s="197"/>
      <c r="AC156" s="197"/>
      <c r="AD156" s="197"/>
      <c r="AE156" s="1094"/>
      <c r="AF156" s="197"/>
      <c r="AG156" s="197"/>
      <c r="AH156" s="197"/>
      <c r="AI156" s="197"/>
      <c r="AJ156" s="1094"/>
      <c r="AK156" s="197"/>
      <c r="AL156" s="197"/>
      <c r="AM156" s="197"/>
      <c r="AN156" s="197"/>
      <c r="AO156" s="1094"/>
      <c r="AP156" s="197"/>
      <c r="AQ156" s="197"/>
      <c r="AR156" s="197"/>
      <c r="AS156" s="197"/>
      <c r="AT156" s="198"/>
      <c r="AU156" s="194"/>
      <c r="AV156" s="194"/>
      <c r="AW156" s="194"/>
      <c r="AX156" s="194"/>
      <c r="AY156" s="198"/>
      <c r="AZ156" s="194"/>
      <c r="BA156" s="194"/>
      <c r="BB156" s="194"/>
      <c r="BC156" s="194"/>
      <c r="BD156" s="198"/>
      <c r="BE156" s="197"/>
      <c r="BF156" s="197"/>
      <c r="BG156" s="197"/>
      <c r="BH156" s="197"/>
      <c r="BI156" s="1094"/>
      <c r="BJ156" s="197"/>
      <c r="BK156" s="197"/>
      <c r="BL156" s="197"/>
      <c r="BM156" s="197"/>
      <c r="BN156" s="1094"/>
      <c r="BO156" s="197"/>
      <c r="BP156" s="197"/>
      <c r="BQ156" s="197"/>
      <c r="BR156" s="197"/>
      <c r="BS156" s="1094"/>
      <c r="BT156" s="727"/>
      <c r="BU156" s="197"/>
      <c r="BV156" s="197"/>
      <c r="BW156" s="197"/>
      <c r="BX156" s="1094"/>
      <c r="BY156" s="197"/>
      <c r="BZ156" s="197"/>
      <c r="CA156" s="197"/>
      <c r="CB156" s="197"/>
      <c r="CC156" s="1094"/>
      <c r="CD156" s="1094"/>
      <c r="CE156" s="1094"/>
      <c r="CF156" s="1094"/>
      <c r="CG156" s="349"/>
    </row>
    <row r="157" spans="1:85" s="613" customFormat="1" x14ac:dyDescent="0.3">
      <c r="A157" s="478" t="s">
        <v>1924</v>
      </c>
      <c r="B157" s="523"/>
      <c r="C157" s="78"/>
      <c r="D157" s="78"/>
      <c r="E157" s="78"/>
      <c r="F157" s="78"/>
      <c r="G157" s="774"/>
      <c r="H157" s="774"/>
      <c r="I157" s="774"/>
      <c r="J157" s="774"/>
      <c r="K157" s="78"/>
      <c r="L157" s="774"/>
      <c r="M157" s="774"/>
      <c r="N157" s="774"/>
      <c r="O157" s="774"/>
      <c r="P157" s="78"/>
      <c r="Q157" s="774"/>
      <c r="R157" s="774"/>
      <c r="S157" s="774"/>
      <c r="T157" s="774"/>
      <c r="U157" s="78"/>
      <c r="V157" s="774"/>
      <c r="W157" s="774"/>
      <c r="X157" s="774"/>
      <c r="Y157" s="774"/>
      <c r="Z157" s="78"/>
      <c r="AA157" s="774"/>
      <c r="AB157" s="774"/>
      <c r="AC157" s="774"/>
      <c r="AD157" s="774"/>
      <c r="AE157" s="78"/>
      <c r="AF157" s="774"/>
      <c r="AG157" s="774"/>
      <c r="AH157" s="774"/>
      <c r="AI157" s="774"/>
      <c r="AJ157" s="78"/>
      <c r="AK157" s="774"/>
      <c r="AL157" s="774"/>
      <c r="AM157" s="774"/>
      <c r="AN157" s="774"/>
      <c r="AO157" s="78"/>
      <c r="AP157" s="774"/>
      <c r="AQ157" s="774"/>
      <c r="AR157" s="774"/>
      <c r="AS157" s="774"/>
      <c r="AT157" s="1119">
        <v>42.176000000000002</v>
      </c>
      <c r="AU157" s="774"/>
      <c r="AV157" s="774"/>
      <c r="AW157" s="774"/>
      <c r="AX157" s="774"/>
      <c r="AY157" s="1119">
        <v>42.176000000000002</v>
      </c>
      <c r="AZ157" s="774"/>
      <c r="BA157" s="774"/>
      <c r="BB157" s="774"/>
      <c r="BC157" s="774"/>
      <c r="BD157" s="1119">
        <v>42.176000000000002</v>
      </c>
      <c r="BE157" s="774"/>
      <c r="BF157" s="774"/>
      <c r="BG157" s="774"/>
      <c r="BH157" s="774"/>
      <c r="BI157" s="78"/>
      <c r="BJ157" s="774"/>
      <c r="BK157" s="774"/>
      <c r="BL157" s="774"/>
      <c r="BM157" s="774"/>
      <c r="BN157" s="78"/>
      <c r="BO157" s="774"/>
      <c r="BP157" s="774"/>
      <c r="BQ157" s="774"/>
      <c r="BR157" s="774"/>
      <c r="BS157" s="78"/>
      <c r="BT157" s="775"/>
      <c r="BU157" s="774"/>
      <c r="BV157" s="774"/>
      <c r="BW157" s="774"/>
      <c r="BX157" s="78"/>
      <c r="BY157" s="774"/>
      <c r="BZ157" s="774"/>
      <c r="CA157" s="774"/>
      <c r="CB157" s="774"/>
      <c r="CC157" s="78"/>
      <c r="CD157" s="78"/>
      <c r="CE157" s="78"/>
      <c r="CF157" s="78"/>
      <c r="CG157" s="532"/>
    </row>
    <row r="158" spans="1:85" s="615" customFormat="1" x14ac:dyDescent="0.3">
      <c r="A158" s="522" t="s">
        <v>1923</v>
      </c>
      <c r="B158" s="521"/>
      <c r="C158" s="1122"/>
      <c r="D158" s="1122"/>
      <c r="E158" s="1122"/>
      <c r="F158" s="1122"/>
      <c r="G158" s="520"/>
      <c r="H158" s="520"/>
      <c r="I158" s="520"/>
      <c r="J158" s="520"/>
      <c r="K158" s="1122"/>
      <c r="L158" s="520"/>
      <c r="M158" s="520"/>
      <c r="N158" s="520"/>
      <c r="O158" s="520"/>
      <c r="P158" s="1122"/>
      <c r="Q158" s="520"/>
      <c r="R158" s="520"/>
      <c r="S158" s="520"/>
      <c r="T158" s="520"/>
      <c r="U158" s="1122"/>
      <c r="V158" s="520"/>
      <c r="W158" s="520"/>
      <c r="X158" s="520"/>
      <c r="Y158" s="520"/>
      <c r="Z158" s="1122"/>
      <c r="AA158" s="520"/>
      <c r="AB158" s="520"/>
      <c r="AC158" s="520"/>
      <c r="AD158" s="520"/>
      <c r="AE158" s="1122"/>
      <c r="AF158" s="520"/>
      <c r="AG158" s="520"/>
      <c r="AH158" s="520"/>
      <c r="AI158" s="520"/>
      <c r="AJ158" s="1122"/>
      <c r="AK158" s="520"/>
      <c r="AL158" s="520"/>
      <c r="AM158" s="520"/>
      <c r="AN158" s="520"/>
      <c r="AO158" s="1122"/>
      <c r="AP158" s="520"/>
      <c r="AQ158" s="520"/>
      <c r="AR158" s="520"/>
      <c r="AS158" s="520"/>
      <c r="AT158" s="1123">
        <v>94.09</v>
      </c>
      <c r="AU158" s="526"/>
      <c r="AV158" s="526"/>
      <c r="AW158" s="526"/>
      <c r="AX158" s="526"/>
      <c r="AY158" s="1123">
        <v>94.09</v>
      </c>
      <c r="AZ158" s="526"/>
      <c r="BA158" s="526"/>
      <c r="BB158" s="526"/>
      <c r="BC158" s="526"/>
      <c r="BD158" s="1123">
        <v>94.09</v>
      </c>
      <c r="BE158" s="520"/>
      <c r="BF158" s="520"/>
      <c r="BG158" s="520"/>
      <c r="BH158" s="520"/>
      <c r="BI158" s="1122"/>
      <c r="BJ158" s="520"/>
      <c r="BK158" s="520"/>
      <c r="BL158" s="520"/>
      <c r="BM158" s="520"/>
      <c r="BN158" s="1122"/>
      <c r="BO158" s="520"/>
      <c r="BP158" s="520"/>
      <c r="BQ158" s="520"/>
      <c r="BR158" s="520"/>
      <c r="BS158" s="1122"/>
      <c r="BT158" s="728"/>
      <c r="BU158" s="520"/>
      <c r="BV158" s="520"/>
      <c r="BW158" s="520"/>
      <c r="BX158" s="1122"/>
      <c r="BY158" s="520"/>
      <c r="BZ158" s="520"/>
      <c r="CA158" s="520"/>
      <c r="CB158" s="520"/>
      <c r="CC158" s="1122"/>
      <c r="CD158" s="1122"/>
      <c r="CE158" s="1122"/>
      <c r="CF158" s="1122"/>
      <c r="CG158" s="519"/>
    </row>
    <row r="159" spans="1:85" s="614" customFormat="1" x14ac:dyDescent="0.3">
      <c r="A159" s="522"/>
      <c r="B159" s="352"/>
      <c r="C159" s="1094"/>
      <c r="D159" s="1094"/>
      <c r="E159" s="1094"/>
      <c r="F159" s="1094"/>
      <c r="G159" s="197"/>
      <c r="H159" s="197"/>
      <c r="I159" s="197"/>
      <c r="J159" s="197"/>
      <c r="K159" s="1094"/>
      <c r="L159" s="197"/>
      <c r="M159" s="197"/>
      <c r="N159" s="197"/>
      <c r="O159" s="197"/>
      <c r="P159" s="1094"/>
      <c r="Q159" s="197"/>
      <c r="R159" s="197"/>
      <c r="S159" s="197"/>
      <c r="T159" s="197"/>
      <c r="U159" s="1094"/>
      <c r="V159" s="197"/>
      <c r="W159" s="197"/>
      <c r="X159" s="197"/>
      <c r="Y159" s="197"/>
      <c r="Z159" s="1094"/>
      <c r="AA159" s="197"/>
      <c r="AB159" s="197"/>
      <c r="AC159" s="197"/>
      <c r="AD159" s="197"/>
      <c r="AE159" s="1094"/>
      <c r="AF159" s="197"/>
      <c r="AG159" s="197"/>
      <c r="AH159" s="197"/>
      <c r="AI159" s="197"/>
      <c r="AJ159" s="1094"/>
      <c r="AK159" s="197"/>
      <c r="AL159" s="197"/>
      <c r="AM159" s="197"/>
      <c r="AN159" s="197"/>
      <c r="AO159" s="1094"/>
      <c r="AP159" s="197"/>
      <c r="AQ159" s="197"/>
      <c r="AR159" s="197"/>
      <c r="AS159" s="197"/>
      <c r="AT159" s="198"/>
      <c r="AU159" s="194"/>
      <c r="AV159" s="194"/>
      <c r="AW159" s="194"/>
      <c r="AX159" s="194"/>
      <c r="AY159" s="198"/>
      <c r="AZ159" s="194"/>
      <c r="BA159" s="194"/>
      <c r="BB159" s="194"/>
      <c r="BC159" s="194"/>
      <c r="BD159" s="198"/>
      <c r="BE159" s="197"/>
      <c r="BF159" s="197"/>
      <c r="BG159" s="197"/>
      <c r="BH159" s="197"/>
      <c r="BI159" s="1094"/>
      <c r="BJ159" s="197"/>
      <c r="BK159" s="197"/>
      <c r="BL159" s="197"/>
      <c r="BM159" s="197"/>
      <c r="BN159" s="1094"/>
      <c r="BO159" s="197"/>
      <c r="BP159" s="197"/>
      <c r="BQ159" s="197"/>
      <c r="BR159" s="197"/>
      <c r="BS159" s="1094"/>
      <c r="BT159" s="727"/>
      <c r="BU159" s="197"/>
      <c r="BV159" s="197"/>
      <c r="BW159" s="197"/>
      <c r="BX159" s="1094"/>
      <c r="BY159" s="197"/>
      <c r="BZ159" s="197"/>
      <c r="CA159" s="197"/>
      <c r="CB159" s="197"/>
      <c r="CC159" s="1094"/>
      <c r="CD159" s="1094"/>
      <c r="CE159" s="1094"/>
      <c r="CF159" s="1094"/>
      <c r="CG159" s="349"/>
    </row>
    <row r="160" spans="1:85" s="613" customFormat="1" x14ac:dyDescent="0.3">
      <c r="A160" s="478" t="s">
        <v>1922</v>
      </c>
      <c r="B160" s="523"/>
      <c r="C160" s="78"/>
      <c r="D160" s="78"/>
      <c r="E160" s="78"/>
      <c r="F160" s="78"/>
      <c r="G160" s="774"/>
      <c r="H160" s="774"/>
      <c r="I160" s="774"/>
      <c r="J160" s="774"/>
      <c r="K160" s="78"/>
      <c r="L160" s="774"/>
      <c r="M160" s="774"/>
      <c r="N160" s="774"/>
      <c r="O160" s="774"/>
      <c r="P160" s="78"/>
      <c r="Q160" s="774"/>
      <c r="R160" s="774"/>
      <c r="S160" s="774"/>
      <c r="T160" s="774"/>
      <c r="U160" s="78"/>
      <c r="V160" s="774"/>
      <c r="W160" s="774"/>
      <c r="X160" s="774"/>
      <c r="Y160" s="774"/>
      <c r="Z160" s="78"/>
      <c r="AA160" s="774"/>
      <c r="AB160" s="774"/>
      <c r="AC160" s="774"/>
      <c r="AD160" s="774"/>
      <c r="AE160" s="78"/>
      <c r="AF160" s="774"/>
      <c r="AG160" s="774"/>
      <c r="AH160" s="774"/>
      <c r="AI160" s="774"/>
      <c r="AJ160" s="78"/>
      <c r="AK160" s="774"/>
      <c r="AL160" s="774"/>
      <c r="AM160" s="774"/>
      <c r="AN160" s="774"/>
      <c r="AO160" s="78"/>
      <c r="AP160" s="774"/>
      <c r="AQ160" s="774"/>
      <c r="AR160" s="774"/>
      <c r="AS160" s="774"/>
      <c r="AT160" s="1119">
        <v>40.374000000000002</v>
      </c>
      <c r="AU160" s="774"/>
      <c r="AV160" s="774"/>
      <c r="AW160" s="774"/>
      <c r="AX160" s="774"/>
      <c r="AY160" s="1119">
        <v>40.374000000000002</v>
      </c>
      <c r="AZ160" s="774"/>
      <c r="BA160" s="774"/>
      <c r="BB160" s="774"/>
      <c r="BC160" s="774"/>
      <c r="BD160" s="1119">
        <v>40.374000000000002</v>
      </c>
      <c r="BE160" s="774"/>
      <c r="BF160" s="774"/>
      <c r="BG160" s="774"/>
      <c r="BH160" s="774"/>
      <c r="BI160" s="78"/>
      <c r="BJ160" s="774"/>
      <c r="BK160" s="774"/>
      <c r="BL160" s="774"/>
      <c r="BM160" s="774"/>
      <c r="BN160" s="78"/>
      <c r="BO160" s="774"/>
      <c r="BP160" s="774"/>
      <c r="BQ160" s="774"/>
      <c r="BR160" s="774"/>
      <c r="BS160" s="78"/>
      <c r="BT160" s="775"/>
      <c r="BU160" s="774"/>
      <c r="BV160" s="774"/>
      <c r="BW160" s="774"/>
      <c r="BX160" s="78"/>
      <c r="BY160" s="774"/>
      <c r="BZ160" s="774"/>
      <c r="CA160" s="774"/>
      <c r="CB160" s="774"/>
      <c r="CC160" s="78"/>
      <c r="CD160" s="78"/>
      <c r="CE160" s="78"/>
      <c r="CF160" s="78"/>
      <c r="CG160" s="532"/>
    </row>
    <row r="161" spans="1:85" s="615" customFormat="1" x14ac:dyDescent="0.3">
      <c r="A161" s="522" t="s">
        <v>1921</v>
      </c>
      <c r="B161" s="521"/>
      <c r="C161" s="1122"/>
      <c r="D161" s="1122"/>
      <c r="E161" s="1122"/>
      <c r="F161" s="1122"/>
      <c r="G161" s="520"/>
      <c r="H161" s="520"/>
      <c r="I161" s="520"/>
      <c r="J161" s="520"/>
      <c r="K161" s="1122"/>
      <c r="L161" s="520"/>
      <c r="M161" s="520"/>
      <c r="N161" s="520"/>
      <c r="O161" s="520"/>
      <c r="P161" s="1122"/>
      <c r="Q161" s="520"/>
      <c r="R161" s="520"/>
      <c r="S161" s="520"/>
      <c r="T161" s="520"/>
      <c r="U161" s="1122"/>
      <c r="V161" s="520"/>
      <c r="W161" s="520"/>
      <c r="X161" s="520"/>
      <c r="Y161" s="520"/>
      <c r="Z161" s="1122"/>
      <c r="AA161" s="520"/>
      <c r="AB161" s="520"/>
      <c r="AC161" s="520"/>
      <c r="AD161" s="520"/>
      <c r="AE161" s="1122"/>
      <c r="AF161" s="520"/>
      <c r="AG161" s="520"/>
      <c r="AH161" s="520"/>
      <c r="AI161" s="520"/>
      <c r="AJ161" s="1122"/>
      <c r="AK161" s="520"/>
      <c r="AL161" s="520"/>
      <c r="AM161" s="520"/>
      <c r="AN161" s="520"/>
      <c r="AO161" s="1122"/>
      <c r="AP161" s="520"/>
      <c r="AQ161" s="520"/>
      <c r="AR161" s="520"/>
      <c r="AS161" s="520"/>
      <c r="AT161" s="1123">
        <v>98.3</v>
      </c>
      <c r="AU161" s="526"/>
      <c r="AV161" s="526"/>
      <c r="AW161" s="526"/>
      <c r="AX161" s="526"/>
      <c r="AY161" s="1123">
        <v>98.3</v>
      </c>
      <c r="AZ161" s="526"/>
      <c r="BA161" s="526"/>
      <c r="BB161" s="526"/>
      <c r="BC161" s="526"/>
      <c r="BD161" s="1123">
        <v>98.3</v>
      </c>
      <c r="BE161" s="520"/>
      <c r="BF161" s="520"/>
      <c r="BG161" s="520"/>
      <c r="BH161" s="520"/>
      <c r="BI161" s="1122"/>
      <c r="BJ161" s="520"/>
      <c r="BK161" s="520"/>
      <c r="BL161" s="520"/>
      <c r="BM161" s="520"/>
      <c r="BN161" s="1122"/>
      <c r="BO161" s="520"/>
      <c r="BP161" s="520"/>
      <c r="BQ161" s="520"/>
      <c r="BR161" s="520"/>
      <c r="BS161" s="1122"/>
      <c r="BT161" s="728"/>
      <c r="BU161" s="520"/>
      <c r="BV161" s="520"/>
      <c r="BW161" s="520"/>
      <c r="BX161" s="1122"/>
      <c r="BY161" s="520"/>
      <c r="BZ161" s="520"/>
      <c r="CA161" s="520"/>
      <c r="CB161" s="520"/>
      <c r="CC161" s="1122"/>
      <c r="CD161" s="1122"/>
      <c r="CE161" s="1122"/>
      <c r="CF161" s="1122"/>
      <c r="CG161" s="519"/>
    </row>
    <row r="162" spans="1:85" s="614" customFormat="1" x14ac:dyDescent="0.3">
      <c r="A162" s="522"/>
      <c r="B162" s="352"/>
      <c r="C162" s="1094"/>
      <c r="D162" s="1094"/>
      <c r="E162" s="1094"/>
      <c r="F162" s="1094"/>
      <c r="G162" s="197"/>
      <c r="H162" s="197"/>
      <c r="I162" s="197"/>
      <c r="J162" s="197"/>
      <c r="K162" s="1094"/>
      <c r="L162" s="197"/>
      <c r="M162" s="197"/>
      <c r="N162" s="197"/>
      <c r="O162" s="197"/>
      <c r="P162" s="1094"/>
      <c r="Q162" s="197"/>
      <c r="R162" s="197"/>
      <c r="S162" s="197"/>
      <c r="T162" s="197"/>
      <c r="U162" s="1094"/>
      <c r="V162" s="197"/>
      <c r="W162" s="197"/>
      <c r="X162" s="197"/>
      <c r="Y162" s="197"/>
      <c r="Z162" s="1094"/>
      <c r="AA162" s="197"/>
      <c r="AB162" s="197"/>
      <c r="AC162" s="197"/>
      <c r="AD162" s="197"/>
      <c r="AE162" s="1094"/>
      <c r="AF162" s="197"/>
      <c r="AG162" s="197"/>
      <c r="AH162" s="197"/>
      <c r="AI162" s="197"/>
      <c r="AJ162" s="1094"/>
      <c r="AK162" s="197"/>
      <c r="AL162" s="197"/>
      <c r="AM162" s="197"/>
      <c r="AN162" s="197"/>
      <c r="AO162" s="1094"/>
      <c r="AP162" s="197"/>
      <c r="AQ162" s="197"/>
      <c r="AR162" s="197"/>
      <c r="AS162" s="197"/>
      <c r="AT162" s="198"/>
      <c r="AU162" s="194"/>
      <c r="AV162" s="194"/>
      <c r="AW162" s="194"/>
      <c r="AX162" s="194"/>
      <c r="AY162" s="198"/>
      <c r="AZ162" s="194"/>
      <c r="BA162" s="194"/>
      <c r="BB162" s="194"/>
      <c r="BC162" s="194"/>
      <c r="BD162" s="198"/>
      <c r="BE162" s="197"/>
      <c r="BF162" s="197"/>
      <c r="BG162" s="197"/>
      <c r="BH162" s="197"/>
      <c r="BI162" s="1094"/>
      <c r="BJ162" s="197"/>
      <c r="BK162" s="197"/>
      <c r="BL162" s="197"/>
      <c r="BM162" s="197"/>
      <c r="BN162" s="1094"/>
      <c r="BO162" s="197"/>
      <c r="BP162" s="197"/>
      <c r="BQ162" s="197"/>
      <c r="BR162" s="197"/>
      <c r="BS162" s="1094"/>
      <c r="BT162" s="727"/>
      <c r="BU162" s="197"/>
      <c r="BV162" s="197"/>
      <c r="BW162" s="197"/>
      <c r="BX162" s="1094"/>
      <c r="BY162" s="197"/>
      <c r="BZ162" s="197"/>
      <c r="CA162" s="197"/>
      <c r="CB162" s="197"/>
      <c r="CC162" s="1094"/>
      <c r="CD162" s="1094"/>
      <c r="CE162" s="1094"/>
      <c r="CF162" s="1094"/>
      <c r="CG162" s="349"/>
    </row>
    <row r="163" spans="1:85" s="613" customFormat="1" x14ac:dyDescent="0.3">
      <c r="A163" s="478" t="s">
        <v>1920</v>
      </c>
      <c r="B163" s="523"/>
      <c r="C163" s="78"/>
      <c r="D163" s="78"/>
      <c r="E163" s="78"/>
      <c r="F163" s="78"/>
      <c r="G163" s="774"/>
      <c r="H163" s="774"/>
      <c r="I163" s="774"/>
      <c r="J163" s="774"/>
      <c r="K163" s="78"/>
      <c r="L163" s="774"/>
      <c r="M163" s="774"/>
      <c r="N163" s="774"/>
      <c r="O163" s="774"/>
      <c r="P163" s="78"/>
      <c r="Q163" s="774"/>
      <c r="R163" s="774"/>
      <c r="S163" s="774"/>
      <c r="T163" s="774"/>
      <c r="U163" s="78"/>
      <c r="V163" s="774"/>
      <c r="W163" s="774"/>
      <c r="X163" s="774"/>
      <c r="Y163" s="774"/>
      <c r="Z163" s="78"/>
      <c r="AA163" s="774"/>
      <c r="AB163" s="774"/>
      <c r="AC163" s="774"/>
      <c r="AD163" s="774"/>
      <c r="AE163" s="78"/>
      <c r="AF163" s="774"/>
      <c r="AG163" s="774"/>
      <c r="AH163" s="774"/>
      <c r="AI163" s="774"/>
      <c r="AJ163" s="78"/>
      <c r="AK163" s="774"/>
      <c r="AL163" s="774"/>
      <c r="AM163" s="774"/>
      <c r="AN163" s="774"/>
      <c r="AO163" s="78"/>
      <c r="AP163" s="774"/>
      <c r="AQ163" s="774"/>
      <c r="AR163" s="774"/>
      <c r="AS163" s="774"/>
      <c r="AT163" s="1119">
        <v>37.546999999999997</v>
      </c>
      <c r="AU163" s="774"/>
      <c r="AV163" s="774"/>
      <c r="AW163" s="774"/>
      <c r="AX163" s="774"/>
      <c r="AY163" s="1119">
        <v>37.546999999999997</v>
      </c>
      <c r="AZ163" s="774"/>
      <c r="BA163" s="774"/>
      <c r="BB163" s="774"/>
      <c r="BC163" s="774"/>
      <c r="BD163" s="1119">
        <v>37.546999999999997</v>
      </c>
      <c r="BE163" s="774"/>
      <c r="BF163" s="774"/>
      <c r="BG163" s="774"/>
      <c r="BH163" s="774"/>
      <c r="BI163" s="78"/>
      <c r="BJ163" s="774"/>
      <c r="BK163" s="774"/>
      <c r="BL163" s="774"/>
      <c r="BM163" s="774"/>
      <c r="BN163" s="78"/>
      <c r="BO163" s="774"/>
      <c r="BP163" s="774"/>
      <c r="BQ163" s="774"/>
      <c r="BR163" s="774"/>
      <c r="BS163" s="78"/>
      <c r="BT163" s="775"/>
      <c r="BU163" s="774"/>
      <c r="BV163" s="774"/>
      <c r="BW163" s="774"/>
      <c r="BX163" s="78"/>
      <c r="BY163" s="774"/>
      <c r="BZ163" s="774"/>
      <c r="CA163" s="774"/>
      <c r="CB163" s="774"/>
      <c r="CC163" s="78"/>
      <c r="CD163" s="78"/>
      <c r="CE163" s="78"/>
      <c r="CF163" s="78"/>
      <c r="CG163" s="532"/>
    </row>
    <row r="164" spans="1:85" s="615" customFormat="1" x14ac:dyDescent="0.3">
      <c r="A164" s="522" t="s">
        <v>1919</v>
      </c>
      <c r="B164" s="521"/>
      <c r="C164" s="1122"/>
      <c r="D164" s="1122"/>
      <c r="E164" s="1122"/>
      <c r="F164" s="1122"/>
      <c r="G164" s="520"/>
      <c r="H164" s="520"/>
      <c r="I164" s="520"/>
      <c r="J164" s="520"/>
      <c r="K164" s="1122"/>
      <c r="L164" s="520"/>
      <c r="M164" s="520"/>
      <c r="N164" s="520"/>
      <c r="O164" s="520"/>
      <c r="P164" s="1122"/>
      <c r="Q164" s="520"/>
      <c r="R164" s="520"/>
      <c r="S164" s="520"/>
      <c r="T164" s="520"/>
      <c r="U164" s="1122"/>
      <c r="V164" s="520"/>
      <c r="W164" s="520"/>
      <c r="X164" s="520"/>
      <c r="Y164" s="520"/>
      <c r="Z164" s="1122"/>
      <c r="AA164" s="520"/>
      <c r="AB164" s="520"/>
      <c r="AC164" s="520"/>
      <c r="AD164" s="520"/>
      <c r="AE164" s="1122"/>
      <c r="AF164" s="520"/>
      <c r="AG164" s="520"/>
      <c r="AH164" s="520"/>
      <c r="AI164" s="520"/>
      <c r="AJ164" s="1122"/>
      <c r="AK164" s="520"/>
      <c r="AL164" s="520"/>
      <c r="AM164" s="520"/>
      <c r="AN164" s="520"/>
      <c r="AO164" s="1122"/>
      <c r="AP164" s="520"/>
      <c r="AQ164" s="520"/>
      <c r="AR164" s="520"/>
      <c r="AS164" s="520"/>
      <c r="AT164" s="1123">
        <v>105.7</v>
      </c>
      <c r="AU164" s="526"/>
      <c r="AV164" s="526"/>
      <c r="AW164" s="526"/>
      <c r="AX164" s="526"/>
      <c r="AY164" s="1123">
        <v>105.7</v>
      </c>
      <c r="AZ164" s="526"/>
      <c r="BA164" s="526"/>
      <c r="BB164" s="526"/>
      <c r="BC164" s="526"/>
      <c r="BD164" s="1123">
        <v>105.7</v>
      </c>
      <c r="BE164" s="520"/>
      <c r="BF164" s="520"/>
      <c r="BG164" s="520"/>
      <c r="BH164" s="520"/>
      <c r="BI164" s="1122"/>
      <c r="BJ164" s="520"/>
      <c r="BK164" s="520"/>
      <c r="BL164" s="520"/>
      <c r="BM164" s="520"/>
      <c r="BN164" s="1122"/>
      <c r="BO164" s="520"/>
      <c r="BP164" s="520"/>
      <c r="BQ164" s="520"/>
      <c r="BR164" s="520"/>
      <c r="BS164" s="1122"/>
      <c r="BT164" s="728"/>
      <c r="BU164" s="520"/>
      <c r="BV164" s="520"/>
      <c r="BW164" s="520"/>
      <c r="BX164" s="1122"/>
      <c r="BY164" s="520"/>
      <c r="BZ164" s="520"/>
      <c r="CA164" s="520"/>
      <c r="CB164" s="520"/>
      <c r="CC164" s="1122"/>
      <c r="CD164" s="1122"/>
      <c r="CE164" s="1122"/>
      <c r="CF164" s="1122"/>
      <c r="CG164" s="519"/>
    </row>
    <row r="165" spans="1:85" s="614" customFormat="1" x14ac:dyDescent="0.3">
      <c r="A165" s="522"/>
      <c r="B165" s="352"/>
      <c r="C165" s="1094"/>
      <c r="D165" s="1094"/>
      <c r="E165" s="1094"/>
      <c r="F165" s="1094"/>
      <c r="G165" s="197"/>
      <c r="H165" s="197"/>
      <c r="I165" s="197"/>
      <c r="J165" s="197"/>
      <c r="K165" s="1094"/>
      <c r="L165" s="197"/>
      <c r="M165" s="197"/>
      <c r="N165" s="197"/>
      <c r="O165" s="197"/>
      <c r="P165" s="1094"/>
      <c r="Q165" s="197"/>
      <c r="R165" s="197"/>
      <c r="S165" s="197"/>
      <c r="T165" s="197"/>
      <c r="U165" s="1094"/>
      <c r="V165" s="197"/>
      <c r="W165" s="197"/>
      <c r="X165" s="197"/>
      <c r="Y165" s="197"/>
      <c r="Z165" s="1094"/>
      <c r="AA165" s="197"/>
      <c r="AB165" s="197"/>
      <c r="AC165" s="197"/>
      <c r="AD165" s="197"/>
      <c r="AE165" s="1094"/>
      <c r="AF165" s="197"/>
      <c r="AG165" s="197"/>
      <c r="AH165" s="197"/>
      <c r="AI165" s="197"/>
      <c r="AJ165" s="1094"/>
      <c r="AK165" s="197"/>
      <c r="AL165" s="197"/>
      <c r="AM165" s="197"/>
      <c r="AN165" s="197"/>
      <c r="AO165" s="1094"/>
      <c r="AP165" s="197"/>
      <c r="AQ165" s="197"/>
      <c r="AR165" s="197"/>
      <c r="AS165" s="197"/>
      <c r="AT165" s="198"/>
      <c r="AU165" s="194"/>
      <c r="AV165" s="194"/>
      <c r="AW165" s="194"/>
      <c r="AX165" s="194"/>
      <c r="AY165" s="198"/>
      <c r="AZ165" s="194"/>
      <c r="BA165" s="194"/>
      <c r="BB165" s="194"/>
      <c r="BC165" s="194"/>
      <c r="BD165" s="198"/>
      <c r="BE165" s="197"/>
      <c r="BF165" s="197"/>
      <c r="BG165" s="197"/>
      <c r="BH165" s="197"/>
      <c r="BI165" s="1094"/>
      <c r="BJ165" s="197"/>
      <c r="BK165" s="197"/>
      <c r="BL165" s="197"/>
      <c r="BM165" s="197"/>
      <c r="BN165" s="1094"/>
      <c r="BO165" s="197"/>
      <c r="BP165" s="197"/>
      <c r="BQ165" s="197"/>
      <c r="BR165" s="197"/>
      <c r="BS165" s="1094"/>
      <c r="BT165" s="727"/>
      <c r="BU165" s="197"/>
      <c r="BV165" s="197"/>
      <c r="BW165" s="197"/>
      <c r="BX165" s="1094"/>
      <c r="BY165" s="197"/>
      <c r="BZ165" s="197"/>
      <c r="CA165" s="197"/>
      <c r="CB165" s="197"/>
      <c r="CC165" s="1094"/>
      <c r="CD165" s="1094"/>
      <c r="CE165" s="1094"/>
      <c r="CF165" s="1094"/>
      <c r="CG165" s="349"/>
    </row>
    <row r="166" spans="1:85" s="613" customFormat="1" x14ac:dyDescent="0.3">
      <c r="A166" s="478" t="s">
        <v>1918</v>
      </c>
      <c r="B166" s="523"/>
      <c r="C166" s="78"/>
      <c r="D166" s="78"/>
      <c r="E166" s="78"/>
      <c r="F166" s="78"/>
      <c r="G166" s="774"/>
      <c r="H166" s="774"/>
      <c r="I166" s="774"/>
      <c r="J166" s="774"/>
      <c r="K166" s="78"/>
      <c r="L166" s="774"/>
      <c r="M166" s="774"/>
      <c r="N166" s="774"/>
      <c r="O166" s="774"/>
      <c r="P166" s="78"/>
      <c r="Q166" s="774"/>
      <c r="R166" s="774"/>
      <c r="S166" s="774"/>
      <c r="T166" s="774"/>
      <c r="U166" s="78"/>
      <c r="V166" s="774"/>
      <c r="W166" s="774"/>
      <c r="X166" s="774"/>
      <c r="Y166" s="774"/>
      <c r="Z166" s="78"/>
      <c r="AA166" s="774"/>
      <c r="AB166" s="774"/>
      <c r="AC166" s="774"/>
      <c r="AD166" s="774"/>
      <c r="AE166" s="78"/>
      <c r="AF166" s="774"/>
      <c r="AG166" s="774"/>
      <c r="AH166" s="774"/>
      <c r="AI166" s="774"/>
      <c r="AJ166" s="78"/>
      <c r="AK166" s="774"/>
      <c r="AL166" s="774"/>
      <c r="AM166" s="774"/>
      <c r="AN166" s="774"/>
      <c r="AO166" s="78"/>
      <c r="AP166" s="774"/>
      <c r="AQ166" s="774"/>
      <c r="AR166" s="774"/>
      <c r="AS166" s="774"/>
      <c r="AT166" s="1119">
        <v>42.628999999999998</v>
      </c>
      <c r="AU166" s="774"/>
      <c r="AV166" s="774"/>
      <c r="AW166" s="774"/>
      <c r="AX166" s="774"/>
      <c r="AY166" s="1119">
        <v>42.628999999999998</v>
      </c>
      <c r="AZ166" s="774"/>
      <c r="BA166" s="774"/>
      <c r="BB166" s="774"/>
      <c r="BC166" s="774"/>
      <c r="BD166" s="1119">
        <v>42.628999999999998</v>
      </c>
      <c r="BE166" s="774"/>
      <c r="BF166" s="774"/>
      <c r="BG166" s="774"/>
      <c r="BH166" s="774"/>
      <c r="BI166" s="78"/>
      <c r="BJ166" s="774"/>
      <c r="BK166" s="774"/>
      <c r="BL166" s="774"/>
      <c r="BM166" s="774"/>
      <c r="BN166" s="78"/>
      <c r="BO166" s="774"/>
      <c r="BP166" s="774"/>
      <c r="BQ166" s="774"/>
      <c r="BR166" s="774"/>
      <c r="BS166" s="78"/>
      <c r="BT166" s="775"/>
      <c r="BU166" s="774"/>
      <c r="BV166" s="774"/>
      <c r="BW166" s="774"/>
      <c r="BX166" s="78"/>
      <c r="BY166" s="774"/>
      <c r="BZ166" s="774"/>
      <c r="CA166" s="774"/>
      <c r="CB166" s="774"/>
      <c r="CC166" s="78"/>
      <c r="CD166" s="78"/>
      <c r="CE166" s="78"/>
      <c r="CF166" s="78"/>
      <c r="CG166" s="532"/>
    </row>
    <row r="167" spans="1:85" s="615" customFormat="1" x14ac:dyDescent="0.3">
      <c r="A167" s="522" t="s">
        <v>1917</v>
      </c>
      <c r="B167" s="521"/>
      <c r="C167" s="1122"/>
      <c r="D167" s="1122"/>
      <c r="E167" s="1122"/>
      <c r="F167" s="1122"/>
      <c r="G167" s="520"/>
      <c r="H167" s="520"/>
      <c r="I167" s="520"/>
      <c r="J167" s="520"/>
      <c r="K167" s="1122"/>
      <c r="L167" s="520"/>
      <c r="M167" s="520"/>
      <c r="N167" s="520"/>
      <c r="O167" s="520"/>
      <c r="P167" s="1122"/>
      <c r="Q167" s="520"/>
      <c r="R167" s="520"/>
      <c r="S167" s="520"/>
      <c r="T167" s="520"/>
      <c r="U167" s="1122"/>
      <c r="V167" s="520"/>
      <c r="W167" s="520"/>
      <c r="X167" s="520"/>
      <c r="Y167" s="520"/>
      <c r="Z167" s="1122"/>
      <c r="AA167" s="520"/>
      <c r="AB167" s="520"/>
      <c r="AC167" s="520"/>
      <c r="AD167" s="520"/>
      <c r="AE167" s="1122"/>
      <c r="AF167" s="520"/>
      <c r="AG167" s="520"/>
      <c r="AH167" s="520"/>
      <c r="AI167" s="520"/>
      <c r="AJ167" s="1122"/>
      <c r="AK167" s="520"/>
      <c r="AL167" s="520"/>
      <c r="AM167" s="520"/>
      <c r="AN167" s="520"/>
      <c r="AO167" s="1122"/>
      <c r="AP167" s="520"/>
      <c r="AQ167" s="520"/>
      <c r="AR167" s="520"/>
      <c r="AS167" s="520"/>
      <c r="AT167" s="1123">
        <v>93.11</v>
      </c>
      <c r="AU167" s="526"/>
      <c r="AV167" s="526"/>
      <c r="AW167" s="526"/>
      <c r="AX167" s="526"/>
      <c r="AY167" s="1123">
        <v>93.11</v>
      </c>
      <c r="AZ167" s="526"/>
      <c r="BA167" s="526"/>
      <c r="BB167" s="526"/>
      <c r="BC167" s="526"/>
      <c r="BD167" s="1123">
        <v>93.11</v>
      </c>
      <c r="BE167" s="520"/>
      <c r="BF167" s="520"/>
      <c r="BG167" s="520"/>
      <c r="BH167" s="520"/>
      <c r="BI167" s="1122"/>
      <c r="BJ167" s="520"/>
      <c r="BK167" s="520"/>
      <c r="BL167" s="520"/>
      <c r="BM167" s="520"/>
      <c r="BN167" s="1122"/>
      <c r="BO167" s="520"/>
      <c r="BP167" s="520"/>
      <c r="BQ167" s="520"/>
      <c r="BR167" s="520"/>
      <c r="BS167" s="1122"/>
      <c r="BT167" s="728"/>
      <c r="BU167" s="520"/>
      <c r="BV167" s="520"/>
      <c r="BW167" s="520"/>
      <c r="BX167" s="1122"/>
      <c r="BY167" s="520"/>
      <c r="BZ167" s="520"/>
      <c r="CA167" s="520"/>
      <c r="CB167" s="520"/>
      <c r="CC167" s="1122"/>
      <c r="CD167" s="1122"/>
      <c r="CE167" s="1122"/>
      <c r="CF167" s="1122"/>
      <c r="CG167" s="519"/>
    </row>
    <row r="168" spans="1:85" s="614" customFormat="1" x14ac:dyDescent="0.3">
      <c r="A168" s="522"/>
      <c r="B168" s="352"/>
      <c r="C168" s="1094"/>
      <c r="D168" s="1094"/>
      <c r="E168" s="1094"/>
      <c r="F168" s="1094"/>
      <c r="G168" s="197"/>
      <c r="H168" s="197"/>
      <c r="I168" s="197"/>
      <c r="J168" s="197"/>
      <c r="K168" s="1094"/>
      <c r="L168" s="197"/>
      <c r="M168" s="197"/>
      <c r="N168" s="197"/>
      <c r="O168" s="197"/>
      <c r="P168" s="1094"/>
      <c r="Q168" s="197"/>
      <c r="R168" s="197"/>
      <c r="S168" s="197"/>
      <c r="T168" s="197"/>
      <c r="U168" s="1094"/>
      <c r="V168" s="197"/>
      <c r="W168" s="197"/>
      <c r="X168" s="197"/>
      <c r="Y168" s="197"/>
      <c r="Z168" s="1094"/>
      <c r="AA168" s="197"/>
      <c r="AB168" s="197"/>
      <c r="AC168" s="197"/>
      <c r="AD168" s="197"/>
      <c r="AE168" s="1094"/>
      <c r="AF168" s="197"/>
      <c r="AG168" s="197"/>
      <c r="AH168" s="197"/>
      <c r="AI168" s="197"/>
      <c r="AJ168" s="1094"/>
      <c r="AK168" s="197"/>
      <c r="AL168" s="197"/>
      <c r="AM168" s="197"/>
      <c r="AN168" s="197"/>
      <c r="AO168" s="1094"/>
      <c r="AP168" s="197"/>
      <c r="AQ168" s="197"/>
      <c r="AR168" s="197"/>
      <c r="AS168" s="197"/>
      <c r="AT168" s="198"/>
      <c r="AU168" s="194"/>
      <c r="AV168" s="194"/>
      <c r="AW168" s="194"/>
      <c r="AX168" s="194"/>
      <c r="AY168" s="198"/>
      <c r="AZ168" s="194"/>
      <c r="BA168" s="194"/>
      <c r="BB168" s="194"/>
      <c r="BC168" s="194"/>
      <c r="BD168" s="198"/>
      <c r="BE168" s="197"/>
      <c r="BF168" s="197"/>
      <c r="BG168" s="197"/>
      <c r="BH168" s="197"/>
      <c r="BI168" s="1094"/>
      <c r="BJ168" s="197"/>
      <c r="BK168" s="197"/>
      <c r="BL168" s="197"/>
      <c r="BM168" s="197"/>
      <c r="BN168" s="1094"/>
      <c r="BO168" s="197"/>
      <c r="BP168" s="197"/>
      <c r="BQ168" s="197"/>
      <c r="BR168" s="197"/>
      <c r="BS168" s="1094"/>
      <c r="BT168" s="727"/>
      <c r="BU168" s="197"/>
      <c r="BV168" s="197"/>
      <c r="BW168" s="197"/>
      <c r="BX168" s="1094"/>
      <c r="BY168" s="197"/>
      <c r="BZ168" s="197"/>
      <c r="CA168" s="197"/>
      <c r="CB168" s="197"/>
      <c r="CC168" s="1094"/>
      <c r="CD168" s="1094"/>
      <c r="CE168" s="1094"/>
      <c r="CF168" s="1094"/>
      <c r="CG168" s="349"/>
    </row>
    <row r="169" spans="1:85" s="613" customFormat="1" x14ac:dyDescent="0.3">
      <c r="A169" s="478" t="s">
        <v>1916</v>
      </c>
      <c r="B169" s="523"/>
      <c r="C169" s="78"/>
      <c r="D169" s="78"/>
      <c r="E169" s="78"/>
      <c r="F169" s="78"/>
      <c r="G169" s="774"/>
      <c r="H169" s="774"/>
      <c r="I169" s="774"/>
      <c r="J169" s="774"/>
      <c r="K169" s="78"/>
      <c r="L169" s="774"/>
      <c r="M169" s="774"/>
      <c r="N169" s="774"/>
      <c r="O169" s="774"/>
      <c r="P169" s="78"/>
      <c r="Q169" s="774"/>
      <c r="R169" s="774"/>
      <c r="S169" s="774"/>
      <c r="T169" s="774"/>
      <c r="U169" s="78"/>
      <c r="V169" s="774"/>
      <c r="W169" s="774"/>
      <c r="X169" s="774"/>
      <c r="Y169" s="774"/>
      <c r="Z169" s="78"/>
      <c r="AA169" s="774"/>
      <c r="AB169" s="774"/>
      <c r="AC169" s="774"/>
      <c r="AD169" s="774"/>
      <c r="AE169" s="78"/>
      <c r="AF169" s="774"/>
      <c r="AG169" s="774"/>
      <c r="AH169" s="774"/>
      <c r="AI169" s="774"/>
      <c r="AJ169" s="78"/>
      <c r="AK169" s="774"/>
      <c r="AL169" s="774"/>
      <c r="AM169" s="774"/>
      <c r="AN169" s="774"/>
      <c r="AO169" s="78"/>
      <c r="AP169" s="774"/>
      <c r="AQ169" s="774"/>
      <c r="AR169" s="774"/>
      <c r="AS169" s="774"/>
      <c r="AT169" s="1119">
        <v>39.097000000000001</v>
      </c>
      <c r="AU169" s="774"/>
      <c r="AV169" s="774"/>
      <c r="AW169" s="774"/>
      <c r="AX169" s="774"/>
      <c r="AY169" s="1119">
        <v>39.097000000000001</v>
      </c>
      <c r="AZ169" s="774"/>
      <c r="BA169" s="774"/>
      <c r="BB169" s="774"/>
      <c r="BC169" s="774"/>
      <c r="BD169" s="1119">
        <v>39.097000000000001</v>
      </c>
      <c r="BE169" s="774"/>
      <c r="BF169" s="774"/>
      <c r="BG169" s="774"/>
      <c r="BH169" s="774"/>
      <c r="BI169" s="78"/>
      <c r="BJ169" s="774"/>
      <c r="BK169" s="774"/>
      <c r="BL169" s="774"/>
      <c r="BM169" s="774"/>
      <c r="BN169" s="78"/>
      <c r="BO169" s="774"/>
      <c r="BP169" s="774"/>
      <c r="BQ169" s="774"/>
      <c r="BR169" s="774"/>
      <c r="BS169" s="78"/>
      <c r="BT169" s="775"/>
      <c r="BU169" s="774"/>
      <c r="BV169" s="774"/>
      <c r="BW169" s="774"/>
      <c r="BX169" s="78"/>
      <c r="BY169" s="774"/>
      <c r="BZ169" s="774"/>
      <c r="CA169" s="774"/>
      <c r="CB169" s="774"/>
      <c r="CC169" s="78"/>
      <c r="CD169" s="78"/>
      <c r="CE169" s="78"/>
      <c r="CF169" s="78"/>
      <c r="CG169" s="532"/>
    </row>
    <row r="170" spans="1:85" s="615" customFormat="1" x14ac:dyDescent="0.3">
      <c r="A170" s="522" t="s">
        <v>1915</v>
      </c>
      <c r="B170" s="521"/>
      <c r="C170" s="1122"/>
      <c r="D170" s="1122"/>
      <c r="E170" s="1122"/>
      <c r="F170" s="1122"/>
      <c r="G170" s="520"/>
      <c r="H170" s="520"/>
      <c r="I170" s="520"/>
      <c r="J170" s="520"/>
      <c r="K170" s="1122"/>
      <c r="L170" s="520"/>
      <c r="M170" s="520"/>
      <c r="N170" s="520"/>
      <c r="O170" s="520"/>
      <c r="P170" s="1122"/>
      <c r="Q170" s="520"/>
      <c r="R170" s="520"/>
      <c r="S170" s="520"/>
      <c r="T170" s="520"/>
      <c r="U170" s="1122"/>
      <c r="V170" s="520"/>
      <c r="W170" s="520"/>
      <c r="X170" s="520"/>
      <c r="Y170" s="520"/>
      <c r="Z170" s="1122"/>
      <c r="AA170" s="520"/>
      <c r="AB170" s="520"/>
      <c r="AC170" s="520"/>
      <c r="AD170" s="520"/>
      <c r="AE170" s="1122"/>
      <c r="AF170" s="520"/>
      <c r="AG170" s="520"/>
      <c r="AH170" s="520"/>
      <c r="AI170" s="520"/>
      <c r="AJ170" s="1122"/>
      <c r="AK170" s="520"/>
      <c r="AL170" s="520"/>
      <c r="AM170" s="520"/>
      <c r="AN170" s="520"/>
      <c r="AO170" s="1122"/>
      <c r="AP170" s="520"/>
      <c r="AQ170" s="520"/>
      <c r="AR170" s="520"/>
      <c r="AS170" s="520"/>
      <c r="AT170" s="1123">
        <v>101.51</v>
      </c>
      <c r="AU170" s="526"/>
      <c r="AV170" s="526"/>
      <c r="AW170" s="526"/>
      <c r="AX170" s="526"/>
      <c r="AY170" s="1123">
        <v>101.51</v>
      </c>
      <c r="AZ170" s="526"/>
      <c r="BA170" s="526"/>
      <c r="BB170" s="526"/>
      <c r="BC170" s="526"/>
      <c r="BD170" s="1123">
        <v>101.51</v>
      </c>
      <c r="BE170" s="520"/>
      <c r="BF170" s="520"/>
      <c r="BG170" s="520"/>
      <c r="BH170" s="520"/>
      <c r="BI170" s="1122"/>
      <c r="BJ170" s="520"/>
      <c r="BK170" s="520"/>
      <c r="BL170" s="520"/>
      <c r="BM170" s="520"/>
      <c r="BN170" s="1122"/>
      <c r="BO170" s="520"/>
      <c r="BP170" s="520"/>
      <c r="BQ170" s="520"/>
      <c r="BR170" s="520"/>
      <c r="BS170" s="1122"/>
      <c r="BT170" s="728"/>
      <c r="BU170" s="520"/>
      <c r="BV170" s="520"/>
      <c r="BW170" s="520"/>
      <c r="BX170" s="1122"/>
      <c r="BY170" s="520"/>
      <c r="BZ170" s="520"/>
      <c r="CA170" s="520"/>
      <c r="CB170" s="520"/>
      <c r="CC170" s="1122"/>
      <c r="CD170" s="1122"/>
      <c r="CE170" s="1122"/>
      <c r="CF170" s="1122"/>
      <c r="CG170" s="519"/>
    </row>
    <row r="171" spans="1:85" s="614" customFormat="1" x14ac:dyDescent="0.3">
      <c r="A171" s="522"/>
      <c r="B171" s="352"/>
      <c r="C171" s="1094"/>
      <c r="D171" s="1094"/>
      <c r="E171" s="1094"/>
      <c r="F171" s="1094"/>
      <c r="G171" s="197"/>
      <c r="H171" s="197"/>
      <c r="I171" s="197"/>
      <c r="J171" s="197"/>
      <c r="K171" s="1094"/>
      <c r="L171" s="197"/>
      <c r="M171" s="197"/>
      <c r="N171" s="197"/>
      <c r="O171" s="197"/>
      <c r="P171" s="1094"/>
      <c r="Q171" s="197"/>
      <c r="R171" s="197"/>
      <c r="S171" s="197"/>
      <c r="T171" s="197"/>
      <c r="U171" s="1094"/>
      <c r="V171" s="197"/>
      <c r="W171" s="197"/>
      <c r="X171" s="197"/>
      <c r="Y171" s="197"/>
      <c r="Z171" s="1094"/>
      <c r="AA171" s="197"/>
      <c r="AB171" s="197"/>
      <c r="AC171" s="197"/>
      <c r="AD171" s="197"/>
      <c r="AE171" s="1094"/>
      <c r="AF171" s="197"/>
      <c r="AG171" s="197"/>
      <c r="AH171" s="197"/>
      <c r="AI171" s="197"/>
      <c r="AJ171" s="1094"/>
      <c r="AK171" s="197"/>
      <c r="AL171" s="197"/>
      <c r="AM171" s="197"/>
      <c r="AN171" s="197"/>
      <c r="AO171" s="1094"/>
      <c r="AP171" s="197"/>
      <c r="AQ171" s="197"/>
      <c r="AR171" s="197"/>
      <c r="AS171" s="197"/>
      <c r="AT171" s="198"/>
      <c r="AU171" s="194"/>
      <c r="AV171" s="194"/>
      <c r="AW171" s="194"/>
      <c r="AX171" s="194"/>
      <c r="AY171" s="198"/>
      <c r="AZ171" s="194"/>
      <c r="BA171" s="194"/>
      <c r="BB171" s="194"/>
      <c r="BC171" s="194"/>
      <c r="BD171" s="198"/>
      <c r="BE171" s="197"/>
      <c r="BF171" s="197"/>
      <c r="BG171" s="197"/>
      <c r="BH171" s="197"/>
      <c r="BI171" s="1094"/>
      <c r="BJ171" s="197"/>
      <c r="BK171" s="197"/>
      <c r="BL171" s="197"/>
      <c r="BM171" s="197"/>
      <c r="BN171" s="1094"/>
      <c r="BO171" s="197"/>
      <c r="BP171" s="197"/>
      <c r="BQ171" s="197"/>
      <c r="BR171" s="197"/>
      <c r="BS171" s="1094"/>
      <c r="BT171" s="727"/>
      <c r="BU171" s="197"/>
      <c r="BV171" s="197"/>
      <c r="BW171" s="197"/>
      <c r="BX171" s="1094"/>
      <c r="BY171" s="197"/>
      <c r="BZ171" s="197"/>
      <c r="CA171" s="197"/>
      <c r="CB171" s="197"/>
      <c r="CC171" s="1094"/>
      <c r="CD171" s="1094"/>
      <c r="CE171" s="1094"/>
      <c r="CF171" s="1094"/>
      <c r="CG171" s="349"/>
    </row>
    <row r="172" spans="1:85" s="613" customFormat="1" x14ac:dyDescent="0.3">
      <c r="A172" s="478" t="s">
        <v>1914</v>
      </c>
      <c r="B172" s="523"/>
      <c r="C172" s="78"/>
      <c r="D172" s="78"/>
      <c r="E172" s="78"/>
      <c r="F172" s="78"/>
      <c r="G172" s="774"/>
      <c r="H172" s="774"/>
      <c r="I172" s="774"/>
      <c r="J172" s="774"/>
      <c r="K172" s="78"/>
      <c r="L172" s="774"/>
      <c r="M172" s="774"/>
      <c r="N172" s="774"/>
      <c r="O172" s="774"/>
      <c r="P172" s="78"/>
      <c r="Q172" s="774"/>
      <c r="R172" s="774"/>
      <c r="S172" s="774"/>
      <c r="T172" s="774"/>
      <c r="U172" s="78"/>
      <c r="V172" s="774"/>
      <c r="W172" s="774"/>
      <c r="X172" s="774"/>
      <c r="Y172" s="774"/>
      <c r="Z172" s="78"/>
      <c r="AA172" s="774"/>
      <c r="AB172" s="774"/>
      <c r="AC172" s="774"/>
      <c r="AD172" s="774"/>
      <c r="AE172" s="78"/>
      <c r="AF172" s="774"/>
      <c r="AG172" s="774"/>
      <c r="AH172" s="774"/>
      <c r="AI172" s="774"/>
      <c r="AJ172" s="78"/>
      <c r="AK172" s="774"/>
      <c r="AL172" s="774"/>
      <c r="AM172" s="774"/>
      <c r="AN172" s="774"/>
      <c r="AO172" s="78"/>
      <c r="AP172" s="774"/>
      <c r="AQ172" s="774"/>
      <c r="AR172" s="774"/>
      <c r="AS172" s="774"/>
      <c r="AT172" s="1119">
        <v>41.055</v>
      </c>
      <c r="AU172" s="774"/>
      <c r="AV172" s="774"/>
      <c r="AW172" s="774"/>
      <c r="AX172" s="774"/>
      <c r="AY172" s="1119">
        <v>41.055</v>
      </c>
      <c r="AZ172" s="774"/>
      <c r="BA172" s="774"/>
      <c r="BB172" s="774"/>
      <c r="BC172" s="774"/>
      <c r="BD172" s="1119">
        <v>41.055</v>
      </c>
      <c r="BE172" s="774"/>
      <c r="BF172" s="774"/>
      <c r="BG172" s="774"/>
      <c r="BH172" s="774"/>
      <c r="BI172" s="78"/>
      <c r="BJ172" s="774"/>
      <c r="BK172" s="774"/>
      <c r="BL172" s="774"/>
      <c r="BM172" s="774"/>
      <c r="BN172" s="78"/>
      <c r="BO172" s="774"/>
      <c r="BP172" s="774"/>
      <c r="BQ172" s="774"/>
      <c r="BR172" s="774"/>
      <c r="BS172" s="78"/>
      <c r="BT172" s="775"/>
      <c r="BU172" s="774"/>
      <c r="BV172" s="774"/>
      <c r="BW172" s="774"/>
      <c r="BX172" s="78"/>
      <c r="BY172" s="774"/>
      <c r="BZ172" s="774"/>
      <c r="CA172" s="774"/>
      <c r="CB172" s="774"/>
      <c r="CC172" s="78"/>
      <c r="CD172" s="78"/>
      <c r="CE172" s="78"/>
      <c r="CF172" s="78"/>
      <c r="CG172" s="532"/>
    </row>
    <row r="173" spans="1:85" s="615" customFormat="1" x14ac:dyDescent="0.3">
      <c r="A173" s="522" t="s">
        <v>1913</v>
      </c>
      <c r="B173" s="521"/>
      <c r="C173" s="1122"/>
      <c r="D173" s="1122"/>
      <c r="E173" s="1122"/>
      <c r="F173" s="1122"/>
      <c r="G173" s="520"/>
      <c r="H173" s="520"/>
      <c r="I173" s="520"/>
      <c r="J173" s="520"/>
      <c r="K173" s="1122"/>
      <c r="L173" s="520"/>
      <c r="M173" s="520"/>
      <c r="N173" s="520"/>
      <c r="O173" s="520"/>
      <c r="P173" s="1122"/>
      <c r="Q173" s="520"/>
      <c r="R173" s="520"/>
      <c r="S173" s="520"/>
      <c r="T173" s="520"/>
      <c r="U173" s="1122"/>
      <c r="V173" s="520"/>
      <c r="W173" s="520"/>
      <c r="X173" s="520"/>
      <c r="Y173" s="520"/>
      <c r="Z173" s="1122"/>
      <c r="AA173" s="520"/>
      <c r="AB173" s="520"/>
      <c r="AC173" s="520"/>
      <c r="AD173" s="520"/>
      <c r="AE173" s="1122"/>
      <c r="AF173" s="520"/>
      <c r="AG173" s="520"/>
      <c r="AH173" s="520"/>
      <c r="AI173" s="520"/>
      <c r="AJ173" s="1122"/>
      <c r="AK173" s="520"/>
      <c r="AL173" s="520"/>
      <c r="AM173" s="520"/>
      <c r="AN173" s="520"/>
      <c r="AO173" s="1122"/>
      <c r="AP173" s="520"/>
      <c r="AQ173" s="520"/>
      <c r="AR173" s="520"/>
      <c r="AS173" s="520"/>
      <c r="AT173" s="1123">
        <v>96.67</v>
      </c>
      <c r="AU173" s="526"/>
      <c r="AV173" s="526"/>
      <c r="AW173" s="526"/>
      <c r="AX173" s="526"/>
      <c r="AY173" s="1123">
        <v>96.67</v>
      </c>
      <c r="AZ173" s="526"/>
      <c r="BA173" s="526"/>
      <c r="BB173" s="526"/>
      <c r="BC173" s="526"/>
      <c r="BD173" s="1123">
        <v>96.67</v>
      </c>
      <c r="BE173" s="520"/>
      <c r="BF173" s="520"/>
      <c r="BG173" s="520"/>
      <c r="BH173" s="520"/>
      <c r="BI173" s="1122"/>
      <c r="BJ173" s="520"/>
      <c r="BK173" s="520"/>
      <c r="BL173" s="520"/>
      <c r="BM173" s="520"/>
      <c r="BN173" s="1122"/>
      <c r="BO173" s="520"/>
      <c r="BP173" s="520"/>
      <c r="BQ173" s="520"/>
      <c r="BR173" s="520"/>
      <c r="BS173" s="1122"/>
      <c r="BT173" s="728"/>
      <c r="BU173" s="520"/>
      <c r="BV173" s="520"/>
      <c r="BW173" s="520"/>
      <c r="BX173" s="1122"/>
      <c r="BY173" s="520"/>
      <c r="BZ173" s="520"/>
      <c r="CA173" s="520"/>
      <c r="CB173" s="520"/>
      <c r="CC173" s="1122"/>
      <c r="CD173" s="1122"/>
      <c r="CE173" s="1122"/>
      <c r="CF173" s="1122"/>
      <c r="CG173" s="519"/>
    </row>
    <row r="174" spans="1:85" s="614" customFormat="1" x14ac:dyDescent="0.3">
      <c r="A174" s="522"/>
      <c r="B174" s="352"/>
      <c r="C174" s="1094"/>
      <c r="D174" s="1094"/>
      <c r="E174" s="1094"/>
      <c r="F174" s="1094"/>
      <c r="G174" s="197"/>
      <c r="H174" s="197"/>
      <c r="I174" s="197"/>
      <c r="J174" s="197"/>
      <c r="K174" s="1094"/>
      <c r="L174" s="197"/>
      <c r="M174" s="197"/>
      <c r="N174" s="197"/>
      <c r="O174" s="197"/>
      <c r="P174" s="1094"/>
      <c r="Q174" s="197"/>
      <c r="R174" s="197"/>
      <c r="S174" s="197"/>
      <c r="T174" s="197"/>
      <c r="U174" s="1094"/>
      <c r="V174" s="197"/>
      <c r="W174" s="197"/>
      <c r="X174" s="197"/>
      <c r="Y174" s="197"/>
      <c r="Z174" s="1094"/>
      <c r="AA174" s="197"/>
      <c r="AB174" s="197"/>
      <c r="AC174" s="197"/>
      <c r="AD174" s="197"/>
      <c r="AE174" s="1094"/>
      <c r="AF174" s="197"/>
      <c r="AG174" s="197"/>
      <c r="AH174" s="197"/>
      <c r="AI174" s="197"/>
      <c r="AJ174" s="1094"/>
      <c r="AK174" s="197"/>
      <c r="AL174" s="197"/>
      <c r="AM174" s="197"/>
      <c r="AN174" s="197"/>
      <c r="AO174" s="1094"/>
      <c r="AP174" s="197"/>
      <c r="AQ174" s="197"/>
      <c r="AR174" s="197"/>
      <c r="AS174" s="197"/>
      <c r="AT174" s="198"/>
      <c r="AU174" s="194"/>
      <c r="AV174" s="194"/>
      <c r="AW174" s="194"/>
      <c r="AX174" s="194"/>
      <c r="AY174" s="198"/>
      <c r="AZ174" s="194"/>
      <c r="BA174" s="194"/>
      <c r="BB174" s="194"/>
      <c r="BC174" s="194"/>
      <c r="BD174" s="198"/>
      <c r="BE174" s="197"/>
      <c r="BF174" s="197"/>
      <c r="BG174" s="197"/>
      <c r="BH174" s="197"/>
      <c r="BI174" s="1094"/>
      <c r="BJ174" s="197"/>
      <c r="BK174" s="197"/>
      <c r="BL174" s="197"/>
      <c r="BM174" s="197"/>
      <c r="BN174" s="1094"/>
      <c r="BO174" s="197"/>
      <c r="BP174" s="197"/>
      <c r="BQ174" s="197"/>
      <c r="BR174" s="197"/>
      <c r="BS174" s="1094"/>
      <c r="BT174" s="727"/>
      <c r="BU174" s="197"/>
      <c r="BV174" s="197"/>
      <c r="BW174" s="197"/>
      <c r="BX174" s="1094"/>
      <c r="BY174" s="197"/>
      <c r="BZ174" s="197"/>
      <c r="CA174" s="197"/>
      <c r="CB174" s="197"/>
      <c r="CC174" s="1094"/>
      <c r="CD174" s="1094"/>
      <c r="CE174" s="1094"/>
      <c r="CF174" s="1094"/>
      <c r="CG174" s="349"/>
    </row>
    <row r="175" spans="1:85" s="613" customFormat="1" x14ac:dyDescent="0.3">
      <c r="A175" s="478" t="s">
        <v>1912</v>
      </c>
      <c r="B175" s="523"/>
      <c r="C175" s="78"/>
      <c r="D175" s="78"/>
      <c r="E175" s="78"/>
      <c r="F175" s="78"/>
      <c r="G175" s="774"/>
      <c r="H175" s="774"/>
      <c r="I175" s="774"/>
      <c r="J175" s="774"/>
      <c r="K175" s="78"/>
      <c r="L175" s="774"/>
      <c r="M175" s="774"/>
      <c r="N175" s="774"/>
      <c r="O175" s="774"/>
      <c r="P175" s="78"/>
      <c r="Q175" s="774"/>
      <c r="R175" s="774"/>
      <c r="S175" s="774"/>
      <c r="T175" s="774"/>
      <c r="U175" s="78"/>
      <c r="V175" s="774"/>
      <c r="W175" s="774"/>
      <c r="X175" s="774"/>
      <c r="Y175" s="774"/>
      <c r="Z175" s="78"/>
      <c r="AA175" s="774"/>
      <c r="AB175" s="774"/>
      <c r="AC175" s="774"/>
      <c r="AD175" s="774"/>
      <c r="AE175" s="78"/>
      <c r="AF175" s="774"/>
      <c r="AG175" s="774"/>
      <c r="AH175" s="774"/>
      <c r="AI175" s="774"/>
      <c r="AJ175" s="78"/>
      <c r="AK175" s="774"/>
      <c r="AL175" s="774"/>
      <c r="AM175" s="774"/>
      <c r="AN175" s="774"/>
      <c r="AO175" s="78"/>
      <c r="AP175" s="774"/>
      <c r="AQ175" s="774"/>
      <c r="AR175" s="774"/>
      <c r="AS175" s="774"/>
      <c r="AT175" s="1119">
        <v>42.055</v>
      </c>
      <c r="AU175" s="774"/>
      <c r="AV175" s="774"/>
      <c r="AW175" s="774"/>
      <c r="AX175" s="774"/>
      <c r="AY175" s="1119">
        <v>42.055</v>
      </c>
      <c r="AZ175" s="774"/>
      <c r="BA175" s="774"/>
      <c r="BB175" s="774"/>
      <c r="BC175" s="774"/>
      <c r="BD175" s="1119">
        <v>42.055</v>
      </c>
      <c r="BE175" s="774"/>
      <c r="BF175" s="774"/>
      <c r="BG175" s="774"/>
      <c r="BH175" s="774"/>
      <c r="BI175" s="78"/>
      <c r="BJ175" s="774"/>
      <c r="BK175" s="774"/>
      <c r="BL175" s="774"/>
      <c r="BM175" s="774"/>
      <c r="BN175" s="78"/>
      <c r="BO175" s="774"/>
      <c r="BP175" s="774"/>
      <c r="BQ175" s="774"/>
      <c r="BR175" s="774"/>
      <c r="BS175" s="78"/>
      <c r="BT175" s="775"/>
      <c r="BU175" s="774"/>
      <c r="BV175" s="774"/>
      <c r="BW175" s="774"/>
      <c r="BX175" s="78"/>
      <c r="BY175" s="774"/>
      <c r="BZ175" s="774"/>
      <c r="CA175" s="774"/>
      <c r="CB175" s="774"/>
      <c r="CC175" s="78"/>
      <c r="CD175" s="78"/>
      <c r="CE175" s="78"/>
      <c r="CF175" s="78"/>
      <c r="CG175" s="532"/>
    </row>
    <row r="176" spans="1:85" s="615" customFormat="1" x14ac:dyDescent="0.3">
      <c r="A176" s="522" t="s">
        <v>1911</v>
      </c>
      <c r="B176" s="521"/>
      <c r="C176" s="1122"/>
      <c r="D176" s="1122"/>
      <c r="E176" s="1122"/>
      <c r="F176" s="1122"/>
      <c r="G176" s="520"/>
      <c r="H176" s="520"/>
      <c r="I176" s="520"/>
      <c r="J176" s="520"/>
      <c r="K176" s="1122"/>
      <c r="L176" s="520"/>
      <c r="M176" s="520"/>
      <c r="N176" s="520"/>
      <c r="O176" s="520"/>
      <c r="P176" s="1122"/>
      <c r="Q176" s="520"/>
      <c r="R176" s="520"/>
      <c r="S176" s="520"/>
      <c r="T176" s="520"/>
      <c r="U176" s="1122"/>
      <c r="V176" s="520"/>
      <c r="W176" s="520"/>
      <c r="X176" s="520"/>
      <c r="Y176" s="520"/>
      <c r="Z176" s="1122"/>
      <c r="AA176" s="520"/>
      <c r="AB176" s="520"/>
      <c r="AC176" s="520"/>
      <c r="AD176" s="520"/>
      <c r="AE176" s="1122"/>
      <c r="AF176" s="520"/>
      <c r="AG176" s="520"/>
      <c r="AH176" s="520"/>
      <c r="AI176" s="520"/>
      <c r="AJ176" s="1122"/>
      <c r="AK176" s="520"/>
      <c r="AL176" s="520"/>
      <c r="AM176" s="520"/>
      <c r="AN176" s="520"/>
      <c r="AO176" s="1122"/>
      <c r="AP176" s="520"/>
      <c r="AQ176" s="520"/>
      <c r="AR176" s="520"/>
      <c r="AS176" s="520"/>
      <c r="AT176" s="1123">
        <v>94.37</v>
      </c>
      <c r="AU176" s="526"/>
      <c r="AV176" s="526"/>
      <c r="AW176" s="526"/>
      <c r="AX176" s="526"/>
      <c r="AY176" s="1123">
        <v>94.37</v>
      </c>
      <c r="AZ176" s="526"/>
      <c r="BA176" s="526"/>
      <c r="BB176" s="526"/>
      <c r="BC176" s="526"/>
      <c r="BD176" s="1123">
        <v>94.37</v>
      </c>
      <c r="BE176" s="520"/>
      <c r="BF176" s="520"/>
      <c r="BG176" s="520"/>
      <c r="BH176" s="520"/>
      <c r="BI176" s="1122"/>
      <c r="BJ176" s="520"/>
      <c r="BK176" s="520"/>
      <c r="BL176" s="520"/>
      <c r="BM176" s="520"/>
      <c r="BN176" s="1122"/>
      <c r="BO176" s="520"/>
      <c r="BP176" s="520"/>
      <c r="BQ176" s="520"/>
      <c r="BR176" s="520"/>
      <c r="BS176" s="1122"/>
      <c r="BT176" s="728"/>
      <c r="BU176" s="520"/>
      <c r="BV176" s="520"/>
      <c r="BW176" s="520"/>
      <c r="BX176" s="1122"/>
      <c r="BY176" s="520"/>
      <c r="BZ176" s="520"/>
      <c r="CA176" s="520"/>
      <c r="CB176" s="520"/>
      <c r="CC176" s="1122"/>
      <c r="CD176" s="1122"/>
      <c r="CE176" s="1122"/>
      <c r="CF176" s="1122"/>
      <c r="CG176" s="519"/>
    </row>
    <row r="177" spans="1:85" s="614" customFormat="1" x14ac:dyDescent="0.3">
      <c r="A177" s="522"/>
      <c r="B177" s="352"/>
      <c r="C177" s="1094"/>
      <c r="D177" s="1094"/>
      <c r="E177" s="1094"/>
      <c r="F177" s="1094"/>
      <c r="G177" s="197"/>
      <c r="H177" s="197"/>
      <c r="I177" s="197"/>
      <c r="J177" s="197"/>
      <c r="K177" s="1094"/>
      <c r="L177" s="197"/>
      <c r="M177" s="197"/>
      <c r="N177" s="197"/>
      <c r="O177" s="197"/>
      <c r="P177" s="1094"/>
      <c r="Q177" s="197"/>
      <c r="R177" s="197"/>
      <c r="S177" s="197"/>
      <c r="T177" s="197"/>
      <c r="U177" s="1094"/>
      <c r="V177" s="197"/>
      <c r="W177" s="197"/>
      <c r="X177" s="197"/>
      <c r="Y177" s="197"/>
      <c r="Z177" s="1094"/>
      <c r="AA177" s="197"/>
      <c r="AB177" s="197"/>
      <c r="AC177" s="197"/>
      <c r="AD177" s="197"/>
      <c r="AE177" s="1094"/>
      <c r="AF177" s="197"/>
      <c r="AG177" s="197"/>
      <c r="AH177" s="197"/>
      <c r="AI177" s="197"/>
      <c r="AJ177" s="1094"/>
      <c r="AK177" s="197"/>
      <c r="AL177" s="197"/>
      <c r="AM177" s="197"/>
      <c r="AN177" s="197"/>
      <c r="AO177" s="1094"/>
      <c r="AP177" s="197"/>
      <c r="AQ177" s="197"/>
      <c r="AR177" s="197"/>
      <c r="AS177" s="197"/>
      <c r="AT177" s="198"/>
      <c r="AU177" s="194"/>
      <c r="AV177" s="194"/>
      <c r="AW177" s="194"/>
      <c r="AX177" s="194"/>
      <c r="AY177" s="198"/>
      <c r="AZ177" s="194"/>
      <c r="BA177" s="194"/>
      <c r="BB177" s="194"/>
      <c r="BC177" s="194"/>
      <c r="BD177" s="198"/>
      <c r="BE177" s="197"/>
      <c r="BF177" s="197"/>
      <c r="BG177" s="197"/>
      <c r="BH177" s="197"/>
      <c r="BI177" s="1094"/>
      <c r="BJ177" s="197"/>
      <c r="BK177" s="197"/>
      <c r="BL177" s="197"/>
      <c r="BM177" s="197"/>
      <c r="BN177" s="1094"/>
      <c r="BO177" s="197"/>
      <c r="BP177" s="197"/>
      <c r="BQ177" s="197"/>
      <c r="BR177" s="197"/>
      <c r="BS177" s="1094"/>
      <c r="BT177" s="727"/>
      <c r="BU177" s="197"/>
      <c r="BV177" s="197"/>
      <c r="BW177" s="197"/>
      <c r="BX177" s="1094"/>
      <c r="BY177" s="197"/>
      <c r="BZ177" s="197"/>
      <c r="CA177" s="197"/>
      <c r="CB177" s="197"/>
      <c r="CC177" s="1094"/>
      <c r="CD177" s="1094"/>
      <c r="CE177" s="1094"/>
      <c r="CF177" s="1094"/>
      <c r="CG177" s="349"/>
    </row>
    <row r="178" spans="1:85" s="613" customFormat="1" x14ac:dyDescent="0.3">
      <c r="A178" s="478" t="s">
        <v>1910</v>
      </c>
      <c r="B178" s="523"/>
      <c r="C178" s="78"/>
      <c r="D178" s="78"/>
      <c r="E178" s="78"/>
      <c r="F178" s="78"/>
      <c r="G178" s="774"/>
      <c r="H178" s="774"/>
      <c r="I178" s="774"/>
      <c r="J178" s="774"/>
      <c r="K178" s="78"/>
      <c r="L178" s="774"/>
      <c r="M178" s="774"/>
      <c r="N178" s="774"/>
      <c r="O178" s="774"/>
      <c r="P178" s="78"/>
      <c r="Q178" s="774"/>
      <c r="R178" s="774"/>
      <c r="S178" s="774"/>
      <c r="T178" s="774"/>
      <c r="U178" s="78"/>
      <c r="V178" s="774"/>
      <c r="W178" s="774"/>
      <c r="X178" s="774"/>
      <c r="Y178" s="774"/>
      <c r="Z178" s="78"/>
      <c r="AA178" s="774"/>
      <c r="AB178" s="774"/>
      <c r="AC178" s="774"/>
      <c r="AD178" s="774"/>
      <c r="AE178" s="78"/>
      <c r="AF178" s="774"/>
      <c r="AG178" s="774"/>
      <c r="AH178" s="774"/>
      <c r="AI178" s="774"/>
      <c r="AJ178" s="78"/>
      <c r="AK178" s="774"/>
      <c r="AL178" s="774"/>
      <c r="AM178" s="774"/>
      <c r="AN178" s="774"/>
      <c r="AO178" s="78"/>
      <c r="AP178" s="774"/>
      <c r="AQ178" s="774"/>
      <c r="AR178" s="774"/>
      <c r="AS178" s="774"/>
      <c r="AT178" s="1119">
        <v>40.755000000000003</v>
      </c>
      <c r="AU178" s="774"/>
      <c r="AV178" s="774"/>
      <c r="AW178" s="774"/>
      <c r="AX178" s="774"/>
      <c r="AY178" s="1119">
        <v>40.755000000000003</v>
      </c>
      <c r="AZ178" s="774"/>
      <c r="BA178" s="774"/>
      <c r="BB178" s="774"/>
      <c r="BC178" s="774"/>
      <c r="BD178" s="1119">
        <v>40.755000000000003</v>
      </c>
      <c r="BE178" s="774"/>
      <c r="BF178" s="774"/>
      <c r="BG178" s="774"/>
      <c r="BH178" s="774"/>
      <c r="BI178" s="1119">
        <v>7.0069999999999997</v>
      </c>
      <c r="BJ178" s="774"/>
      <c r="BK178" s="774"/>
      <c r="BL178" s="774"/>
      <c r="BM178" s="774"/>
      <c r="BN178" s="78"/>
      <c r="BO178" s="774"/>
      <c r="BP178" s="774"/>
      <c r="BQ178" s="774"/>
      <c r="BR178" s="774"/>
      <c r="BS178" s="78"/>
      <c r="BT178" s="775"/>
      <c r="BU178" s="774"/>
      <c r="BV178" s="774"/>
      <c r="BW178" s="774"/>
      <c r="BX178" s="78"/>
      <c r="BY178" s="774"/>
      <c r="BZ178" s="774"/>
      <c r="CA178" s="774"/>
      <c r="CB178" s="774"/>
      <c r="CC178" s="78"/>
      <c r="CD178" s="78"/>
      <c r="CE178" s="78"/>
      <c r="CF178" s="78"/>
      <c r="CG178" s="532"/>
    </row>
    <row r="179" spans="1:85" s="615" customFormat="1" x14ac:dyDescent="0.3">
      <c r="A179" s="522" t="s">
        <v>1909</v>
      </c>
      <c r="B179" s="521"/>
      <c r="C179" s="1122"/>
      <c r="D179" s="1122"/>
      <c r="E179" s="1122"/>
      <c r="F179" s="1122"/>
      <c r="G179" s="520"/>
      <c r="H179" s="520"/>
      <c r="I179" s="520"/>
      <c r="J179" s="520"/>
      <c r="K179" s="1122"/>
      <c r="L179" s="520"/>
      <c r="M179" s="520"/>
      <c r="N179" s="520"/>
      <c r="O179" s="520"/>
      <c r="P179" s="1122"/>
      <c r="Q179" s="520"/>
      <c r="R179" s="520"/>
      <c r="S179" s="520"/>
      <c r="T179" s="520"/>
      <c r="U179" s="1122"/>
      <c r="V179" s="520"/>
      <c r="W179" s="520"/>
      <c r="X179" s="520"/>
      <c r="Y179" s="520"/>
      <c r="Z179" s="1122"/>
      <c r="AA179" s="520"/>
      <c r="AB179" s="520"/>
      <c r="AC179" s="520"/>
      <c r="AD179" s="520"/>
      <c r="AE179" s="1122"/>
      <c r="AF179" s="520"/>
      <c r="AG179" s="520"/>
      <c r="AH179" s="520"/>
      <c r="AI179" s="520"/>
      <c r="AJ179" s="1122"/>
      <c r="AK179" s="520"/>
      <c r="AL179" s="520"/>
      <c r="AM179" s="520"/>
      <c r="AN179" s="520"/>
      <c r="AO179" s="1122"/>
      <c r="AP179" s="520"/>
      <c r="AQ179" s="520"/>
      <c r="AR179" s="520"/>
      <c r="AS179" s="520"/>
      <c r="AT179" s="1123">
        <v>97.38</v>
      </c>
      <c r="AU179" s="526"/>
      <c r="AV179" s="526"/>
      <c r="AW179" s="526"/>
      <c r="AX179" s="526"/>
      <c r="AY179" s="1123">
        <v>97.38</v>
      </c>
      <c r="AZ179" s="526"/>
      <c r="BA179" s="526"/>
      <c r="BB179" s="526"/>
      <c r="BC179" s="526"/>
      <c r="BD179" s="1123">
        <v>97.38</v>
      </c>
      <c r="BE179" s="520"/>
      <c r="BF179" s="520"/>
      <c r="BG179" s="520"/>
      <c r="BH179" s="520"/>
      <c r="BI179" s="1123">
        <v>97.38</v>
      </c>
      <c r="BJ179" s="520"/>
      <c r="BK179" s="520"/>
      <c r="BL179" s="520"/>
      <c r="BM179" s="520"/>
      <c r="BN179" s="1124"/>
      <c r="BO179" s="520"/>
      <c r="BP179" s="520"/>
      <c r="BQ179" s="520"/>
      <c r="BR179" s="520"/>
      <c r="BS179" s="1124"/>
      <c r="BT179" s="728"/>
      <c r="BU179" s="520"/>
      <c r="BV179" s="520"/>
      <c r="BW179" s="520"/>
      <c r="BX179" s="1122"/>
      <c r="BY179" s="520"/>
      <c r="BZ179" s="520"/>
      <c r="CA179" s="520"/>
      <c r="CB179" s="520"/>
      <c r="CC179" s="1122"/>
      <c r="CD179" s="1122"/>
      <c r="CE179" s="1122"/>
      <c r="CF179" s="1122"/>
      <c r="CG179" s="519"/>
    </row>
    <row r="180" spans="1:85" s="614" customFormat="1" x14ac:dyDescent="0.3">
      <c r="A180" s="522"/>
      <c r="B180" s="352"/>
      <c r="C180" s="1094"/>
      <c r="D180" s="1094"/>
      <c r="E180" s="1094"/>
      <c r="F180" s="1094"/>
      <c r="G180" s="197"/>
      <c r="H180" s="197"/>
      <c r="I180" s="197"/>
      <c r="J180" s="197"/>
      <c r="K180" s="1094"/>
      <c r="L180" s="197"/>
      <c r="M180" s="197"/>
      <c r="N180" s="197"/>
      <c r="O180" s="197"/>
      <c r="P180" s="1094"/>
      <c r="Q180" s="197"/>
      <c r="R180" s="197"/>
      <c r="S180" s="197"/>
      <c r="T180" s="197"/>
      <c r="U180" s="1094"/>
      <c r="V180" s="197"/>
      <c r="W180" s="197"/>
      <c r="X180" s="197"/>
      <c r="Y180" s="197"/>
      <c r="Z180" s="1094"/>
      <c r="AA180" s="197"/>
      <c r="AB180" s="197"/>
      <c r="AC180" s="197"/>
      <c r="AD180" s="197"/>
      <c r="AE180" s="1094"/>
      <c r="AF180" s="197"/>
      <c r="AG180" s="197"/>
      <c r="AH180" s="197"/>
      <c r="AI180" s="197"/>
      <c r="AJ180" s="1094"/>
      <c r="AK180" s="197"/>
      <c r="AL180" s="197"/>
      <c r="AM180" s="197"/>
      <c r="AN180" s="197"/>
      <c r="AO180" s="1094"/>
      <c r="AP180" s="197"/>
      <c r="AQ180" s="197"/>
      <c r="AR180" s="197"/>
      <c r="AS180" s="197"/>
      <c r="AT180" s="198"/>
      <c r="AU180" s="194"/>
      <c r="AV180" s="194"/>
      <c r="AW180" s="194"/>
      <c r="AX180" s="194"/>
      <c r="AY180" s="198"/>
      <c r="AZ180" s="194"/>
      <c r="BA180" s="194"/>
      <c r="BB180" s="194"/>
      <c r="BC180" s="194"/>
      <c r="BD180" s="198"/>
      <c r="BE180" s="197"/>
      <c r="BF180" s="197"/>
      <c r="BG180" s="197"/>
      <c r="BH180" s="197"/>
      <c r="BI180" s="1094"/>
      <c r="BJ180" s="197"/>
      <c r="BK180" s="197"/>
      <c r="BL180" s="197"/>
      <c r="BM180" s="197"/>
      <c r="BN180" s="1094"/>
      <c r="BO180" s="197"/>
      <c r="BP180" s="197"/>
      <c r="BQ180" s="197"/>
      <c r="BR180" s="197"/>
      <c r="BS180" s="1094"/>
      <c r="BT180" s="727"/>
      <c r="BU180" s="197"/>
      <c r="BV180" s="197"/>
      <c r="BW180" s="197"/>
      <c r="BX180" s="1094"/>
      <c r="BY180" s="197"/>
      <c r="BZ180" s="197"/>
      <c r="CA180" s="197"/>
      <c r="CB180" s="197"/>
      <c r="CC180" s="1094"/>
      <c r="CD180" s="1094"/>
      <c r="CE180" s="1094"/>
      <c r="CF180" s="1094"/>
      <c r="CG180" s="349"/>
    </row>
    <row r="181" spans="1:85" s="613" customFormat="1" x14ac:dyDescent="0.3">
      <c r="A181" s="478" t="s">
        <v>1908</v>
      </c>
      <c r="B181" s="523"/>
      <c r="C181" s="78"/>
      <c r="D181" s="78"/>
      <c r="E181" s="78"/>
      <c r="F181" s="78"/>
      <c r="G181" s="774"/>
      <c r="H181" s="774"/>
      <c r="I181" s="774"/>
      <c r="J181" s="774"/>
      <c r="K181" s="78"/>
      <c r="L181" s="774"/>
      <c r="M181" s="774"/>
      <c r="N181" s="774"/>
      <c r="O181" s="774"/>
      <c r="P181" s="78"/>
      <c r="Q181" s="774"/>
      <c r="R181" s="774"/>
      <c r="S181" s="774"/>
      <c r="T181" s="774"/>
      <c r="U181" s="78"/>
      <c r="V181" s="774"/>
      <c r="W181" s="774"/>
      <c r="X181" s="774"/>
      <c r="Y181" s="774"/>
      <c r="Z181" s="78"/>
      <c r="AA181" s="774"/>
      <c r="AB181" s="774"/>
      <c r="AC181" s="774"/>
      <c r="AD181" s="774"/>
      <c r="AE181" s="78"/>
      <c r="AF181" s="774"/>
      <c r="AG181" s="774"/>
      <c r="AH181" s="774"/>
      <c r="AI181" s="774"/>
      <c r="AJ181" s="78"/>
      <c r="AK181" s="774"/>
      <c r="AL181" s="774"/>
      <c r="AM181" s="774"/>
      <c r="AN181" s="774"/>
      <c r="AO181" s="78"/>
      <c r="AP181" s="774"/>
      <c r="AQ181" s="774"/>
      <c r="AR181" s="774"/>
      <c r="AS181" s="774"/>
      <c r="AT181" s="1119">
        <v>38.67</v>
      </c>
      <c r="AU181" s="774"/>
      <c r="AV181" s="774"/>
      <c r="AW181" s="774"/>
      <c r="AX181" s="774"/>
      <c r="AY181" s="1119">
        <v>38.67</v>
      </c>
      <c r="AZ181" s="774"/>
      <c r="BA181" s="774"/>
      <c r="BB181" s="774"/>
      <c r="BC181" s="774"/>
      <c r="BD181" s="1119">
        <v>38.67</v>
      </c>
      <c r="BE181" s="774"/>
      <c r="BF181" s="774"/>
      <c r="BG181" s="774"/>
      <c r="BH181" s="774"/>
      <c r="BI181" s="1119">
        <v>6.6479999999999997</v>
      </c>
      <c r="BJ181" s="774"/>
      <c r="BK181" s="774"/>
      <c r="BL181" s="774"/>
      <c r="BM181" s="774"/>
      <c r="BN181" s="78"/>
      <c r="BO181" s="774"/>
      <c r="BP181" s="774"/>
      <c r="BQ181" s="774"/>
      <c r="BR181" s="774"/>
      <c r="BS181" s="78"/>
      <c r="BT181" s="775"/>
      <c r="BU181" s="774"/>
      <c r="BV181" s="774"/>
      <c r="BW181" s="774"/>
      <c r="BX181" s="78"/>
      <c r="BY181" s="774"/>
      <c r="BZ181" s="774"/>
      <c r="CA181" s="774"/>
      <c r="CB181" s="774"/>
      <c r="CC181" s="78"/>
      <c r="CD181" s="78"/>
      <c r="CE181" s="78"/>
      <c r="CF181" s="78"/>
      <c r="CG181" s="532"/>
    </row>
    <row r="182" spans="1:85" s="615" customFormat="1" x14ac:dyDescent="0.3">
      <c r="A182" s="522" t="s">
        <v>1907</v>
      </c>
      <c r="B182" s="521"/>
      <c r="C182" s="1122"/>
      <c r="D182" s="1122"/>
      <c r="E182" s="1122"/>
      <c r="F182" s="1122"/>
      <c r="G182" s="520"/>
      <c r="H182" s="520"/>
      <c r="I182" s="520"/>
      <c r="J182" s="520"/>
      <c r="K182" s="1122"/>
      <c r="L182" s="520"/>
      <c r="M182" s="520"/>
      <c r="N182" s="520"/>
      <c r="O182" s="520"/>
      <c r="P182" s="1122"/>
      <c r="Q182" s="520"/>
      <c r="R182" s="520"/>
      <c r="S182" s="520"/>
      <c r="T182" s="520"/>
      <c r="U182" s="1122"/>
      <c r="V182" s="520"/>
      <c r="W182" s="520"/>
      <c r="X182" s="520"/>
      <c r="Y182" s="520"/>
      <c r="Z182" s="1122"/>
      <c r="AA182" s="520"/>
      <c r="AB182" s="520"/>
      <c r="AC182" s="520"/>
      <c r="AD182" s="520"/>
      <c r="AE182" s="1122"/>
      <c r="AF182" s="520"/>
      <c r="AG182" s="520"/>
      <c r="AH182" s="520"/>
      <c r="AI182" s="520"/>
      <c r="AJ182" s="1122"/>
      <c r="AK182" s="520"/>
      <c r="AL182" s="520"/>
      <c r="AM182" s="520"/>
      <c r="AN182" s="520"/>
      <c r="AO182" s="1122"/>
      <c r="AP182" s="520"/>
      <c r="AQ182" s="520"/>
      <c r="AR182" s="520"/>
      <c r="AS182" s="520"/>
      <c r="AT182" s="1123">
        <v>102.63</v>
      </c>
      <c r="AU182" s="526"/>
      <c r="AV182" s="526"/>
      <c r="AW182" s="526"/>
      <c r="AX182" s="526"/>
      <c r="AY182" s="1123">
        <v>102.63</v>
      </c>
      <c r="AZ182" s="526"/>
      <c r="BA182" s="526"/>
      <c r="BB182" s="526"/>
      <c r="BC182" s="526"/>
      <c r="BD182" s="1123">
        <v>102.63</v>
      </c>
      <c r="BE182" s="520"/>
      <c r="BF182" s="520"/>
      <c r="BG182" s="520"/>
      <c r="BH182" s="520"/>
      <c r="BI182" s="1123">
        <v>102.63</v>
      </c>
      <c r="BJ182" s="520"/>
      <c r="BK182" s="520"/>
      <c r="BL182" s="520"/>
      <c r="BM182" s="520"/>
      <c r="BN182" s="1124"/>
      <c r="BO182" s="520"/>
      <c r="BP182" s="520"/>
      <c r="BQ182" s="520"/>
      <c r="BR182" s="520"/>
      <c r="BS182" s="1124"/>
      <c r="BT182" s="728"/>
      <c r="BU182" s="520"/>
      <c r="BV182" s="520"/>
      <c r="BW182" s="520"/>
      <c r="BX182" s="1122"/>
      <c r="BY182" s="520"/>
      <c r="BZ182" s="520"/>
      <c r="CA182" s="520"/>
      <c r="CB182" s="520"/>
      <c r="CC182" s="1122"/>
      <c r="CD182" s="1122"/>
      <c r="CE182" s="1122"/>
      <c r="CF182" s="1122"/>
      <c r="CG182" s="519"/>
    </row>
    <row r="183" spans="1:85" s="614" customFormat="1" x14ac:dyDescent="0.3">
      <c r="A183" s="522"/>
      <c r="B183" s="352"/>
      <c r="C183" s="1094"/>
      <c r="D183" s="1094"/>
      <c r="E183" s="1094"/>
      <c r="F183" s="1094"/>
      <c r="G183" s="197"/>
      <c r="H183" s="197"/>
      <c r="I183" s="197"/>
      <c r="J183" s="197"/>
      <c r="K183" s="1094"/>
      <c r="L183" s="197"/>
      <c r="M183" s="197"/>
      <c r="N183" s="197"/>
      <c r="O183" s="197"/>
      <c r="P183" s="1094"/>
      <c r="Q183" s="197"/>
      <c r="R183" s="197"/>
      <c r="S183" s="197"/>
      <c r="T183" s="197"/>
      <c r="U183" s="1094"/>
      <c r="V183" s="197"/>
      <c r="W183" s="197"/>
      <c r="X183" s="197"/>
      <c r="Y183" s="197"/>
      <c r="Z183" s="1094"/>
      <c r="AA183" s="197"/>
      <c r="AB183" s="197"/>
      <c r="AC183" s="197"/>
      <c r="AD183" s="197"/>
      <c r="AE183" s="1094"/>
      <c r="AF183" s="197"/>
      <c r="AG183" s="197"/>
      <c r="AH183" s="197"/>
      <c r="AI183" s="197"/>
      <c r="AJ183" s="1094"/>
      <c r="AK183" s="197"/>
      <c r="AL183" s="197"/>
      <c r="AM183" s="197"/>
      <c r="AN183" s="197"/>
      <c r="AO183" s="1094"/>
      <c r="AP183" s="197"/>
      <c r="AQ183" s="197"/>
      <c r="AR183" s="197"/>
      <c r="AS183" s="197"/>
      <c r="AT183" s="198"/>
      <c r="AU183" s="194"/>
      <c r="AV183" s="194"/>
      <c r="AW183" s="194"/>
      <c r="AX183" s="194"/>
      <c r="AY183" s="198"/>
      <c r="AZ183" s="194"/>
      <c r="BA183" s="194"/>
      <c r="BB183" s="194"/>
      <c r="BC183" s="194"/>
      <c r="BD183" s="198"/>
      <c r="BE183" s="197"/>
      <c r="BF183" s="197"/>
      <c r="BG183" s="197"/>
      <c r="BH183" s="197"/>
      <c r="BI183" s="1094"/>
      <c r="BJ183" s="197"/>
      <c r="BK183" s="197"/>
      <c r="BL183" s="197"/>
      <c r="BM183" s="197"/>
      <c r="BN183" s="1094"/>
      <c r="BO183" s="197"/>
      <c r="BP183" s="197"/>
      <c r="BQ183" s="197"/>
      <c r="BR183" s="197"/>
      <c r="BS183" s="1094"/>
      <c r="BT183" s="727"/>
      <c r="BU183" s="197"/>
      <c r="BV183" s="197"/>
      <c r="BW183" s="197"/>
      <c r="BX183" s="1094"/>
      <c r="BY183" s="197"/>
      <c r="BZ183" s="197"/>
      <c r="CA183" s="197"/>
      <c r="CB183" s="197"/>
      <c r="CC183" s="1094"/>
      <c r="CD183" s="1094"/>
      <c r="CE183" s="1094"/>
      <c r="CF183" s="1094"/>
      <c r="CG183" s="349"/>
    </row>
    <row r="184" spans="1:85" s="613" customFormat="1" x14ac:dyDescent="0.3">
      <c r="A184" s="478" t="s">
        <v>1906</v>
      </c>
      <c r="B184" s="523"/>
      <c r="C184" s="78"/>
      <c r="D184" s="78"/>
      <c r="E184" s="78"/>
      <c r="F184" s="78"/>
      <c r="G184" s="774"/>
      <c r="H184" s="774"/>
      <c r="I184" s="774"/>
      <c r="J184" s="774"/>
      <c r="K184" s="78"/>
      <c r="L184" s="774"/>
      <c r="M184" s="774"/>
      <c r="N184" s="774"/>
      <c r="O184" s="774"/>
      <c r="P184" s="78"/>
      <c r="Q184" s="774"/>
      <c r="R184" s="774"/>
      <c r="S184" s="774"/>
      <c r="T184" s="774"/>
      <c r="U184" s="78"/>
      <c r="V184" s="774"/>
      <c r="W184" s="774"/>
      <c r="X184" s="774"/>
      <c r="Y184" s="774"/>
      <c r="Z184" s="78"/>
      <c r="AA184" s="774"/>
      <c r="AB184" s="774"/>
      <c r="AC184" s="774"/>
      <c r="AD184" s="774"/>
      <c r="AE184" s="78"/>
      <c r="AF184" s="774"/>
      <c r="AG184" s="774"/>
      <c r="AH184" s="774"/>
      <c r="AI184" s="774"/>
      <c r="AJ184" s="78"/>
      <c r="AK184" s="774"/>
      <c r="AL184" s="774"/>
      <c r="AM184" s="774"/>
      <c r="AN184" s="774"/>
      <c r="AO184" s="78"/>
      <c r="AP184" s="774"/>
      <c r="AQ184" s="774"/>
      <c r="AR184" s="774"/>
      <c r="AS184" s="774"/>
      <c r="AT184" s="1119">
        <v>32.188000000000002</v>
      </c>
      <c r="AU184" s="774"/>
      <c r="AV184" s="774"/>
      <c r="AW184" s="774"/>
      <c r="AX184" s="774"/>
      <c r="AY184" s="1119">
        <v>32.188000000000002</v>
      </c>
      <c r="AZ184" s="774"/>
      <c r="BA184" s="774"/>
      <c r="BB184" s="774"/>
      <c r="BC184" s="774"/>
      <c r="BD184" s="1119">
        <v>32.188000000000002</v>
      </c>
      <c r="BE184" s="774"/>
      <c r="BF184" s="774"/>
      <c r="BG184" s="774"/>
      <c r="BH184" s="774"/>
      <c r="BI184" s="1119">
        <v>5.5330000000000004</v>
      </c>
      <c r="BJ184" s="774"/>
      <c r="BK184" s="774"/>
      <c r="BL184" s="774"/>
      <c r="BM184" s="774"/>
      <c r="BN184" s="78"/>
      <c r="BO184" s="774"/>
      <c r="BP184" s="774"/>
      <c r="BQ184" s="774"/>
      <c r="BR184" s="774"/>
      <c r="BS184" s="78"/>
      <c r="BT184" s="775"/>
      <c r="BU184" s="774"/>
      <c r="BV184" s="774"/>
      <c r="BW184" s="774"/>
      <c r="BX184" s="78"/>
      <c r="BY184" s="774"/>
      <c r="BZ184" s="774"/>
      <c r="CA184" s="774"/>
      <c r="CB184" s="774"/>
      <c r="CC184" s="78"/>
      <c r="CD184" s="78"/>
      <c r="CE184" s="78"/>
      <c r="CF184" s="78"/>
      <c r="CG184" s="532"/>
    </row>
    <row r="185" spans="1:85" s="615" customFormat="1" x14ac:dyDescent="0.3">
      <c r="A185" s="522" t="s">
        <v>1905</v>
      </c>
      <c r="B185" s="521"/>
      <c r="C185" s="1122"/>
      <c r="D185" s="1122"/>
      <c r="E185" s="1122"/>
      <c r="F185" s="1122"/>
      <c r="G185" s="520"/>
      <c r="H185" s="520"/>
      <c r="I185" s="520"/>
      <c r="J185" s="520"/>
      <c r="K185" s="1122"/>
      <c r="L185" s="520"/>
      <c r="M185" s="520"/>
      <c r="N185" s="520"/>
      <c r="O185" s="520"/>
      <c r="P185" s="1122"/>
      <c r="Q185" s="520"/>
      <c r="R185" s="520"/>
      <c r="S185" s="520"/>
      <c r="T185" s="520"/>
      <c r="U185" s="1122"/>
      <c r="V185" s="520"/>
      <c r="W185" s="520"/>
      <c r="X185" s="520"/>
      <c r="Y185" s="520"/>
      <c r="Z185" s="1122"/>
      <c r="AA185" s="520"/>
      <c r="AB185" s="520"/>
      <c r="AC185" s="520"/>
      <c r="AD185" s="520"/>
      <c r="AE185" s="1122"/>
      <c r="AF185" s="520"/>
      <c r="AG185" s="520"/>
      <c r="AH185" s="520"/>
      <c r="AI185" s="520"/>
      <c r="AJ185" s="1122"/>
      <c r="AK185" s="520"/>
      <c r="AL185" s="520"/>
      <c r="AM185" s="520"/>
      <c r="AN185" s="520"/>
      <c r="AO185" s="1122"/>
      <c r="AP185" s="520"/>
      <c r="AQ185" s="520"/>
      <c r="AR185" s="520"/>
      <c r="AS185" s="520"/>
      <c r="AT185" s="1123">
        <v>123.3</v>
      </c>
      <c r="AU185" s="526"/>
      <c r="AV185" s="526"/>
      <c r="AW185" s="526"/>
      <c r="AX185" s="526"/>
      <c r="AY185" s="1123">
        <v>123.3</v>
      </c>
      <c r="AZ185" s="526"/>
      <c r="BA185" s="526"/>
      <c r="BB185" s="526"/>
      <c r="BC185" s="526"/>
      <c r="BD185" s="1123">
        <v>123.3</v>
      </c>
      <c r="BE185" s="520"/>
      <c r="BF185" s="520"/>
      <c r="BG185" s="520"/>
      <c r="BH185" s="520"/>
      <c r="BI185" s="1123">
        <v>123.3</v>
      </c>
      <c r="BJ185" s="520"/>
      <c r="BK185" s="520"/>
      <c r="BL185" s="520"/>
      <c r="BM185" s="520"/>
      <c r="BN185" s="1124"/>
      <c r="BO185" s="520"/>
      <c r="BP185" s="520"/>
      <c r="BQ185" s="520"/>
      <c r="BR185" s="520"/>
      <c r="BS185" s="1124"/>
      <c r="BT185" s="728"/>
      <c r="BU185" s="520"/>
      <c r="BV185" s="520"/>
      <c r="BW185" s="520"/>
      <c r="BX185" s="1122"/>
      <c r="BY185" s="520"/>
      <c r="BZ185" s="520"/>
      <c r="CA185" s="520"/>
      <c r="CB185" s="520"/>
      <c r="CC185" s="1122"/>
      <c r="CD185" s="1122"/>
      <c r="CE185" s="1122"/>
      <c r="CF185" s="1122"/>
      <c r="CG185" s="519"/>
    </row>
    <row r="186" spans="1:85" s="614" customFormat="1" x14ac:dyDescent="0.3">
      <c r="A186" s="522"/>
      <c r="B186" s="352"/>
      <c r="C186" s="1094"/>
      <c r="D186" s="1094"/>
      <c r="E186" s="1094"/>
      <c r="F186" s="1094"/>
      <c r="G186" s="197"/>
      <c r="H186" s="197"/>
      <c r="I186" s="197"/>
      <c r="J186" s="197"/>
      <c r="K186" s="1094"/>
      <c r="L186" s="197"/>
      <c r="M186" s="197"/>
      <c r="N186" s="197"/>
      <c r="O186" s="197"/>
      <c r="P186" s="1094"/>
      <c r="Q186" s="197"/>
      <c r="R186" s="197"/>
      <c r="S186" s="197"/>
      <c r="T186" s="197"/>
      <c r="U186" s="1094"/>
      <c r="V186" s="197"/>
      <c r="W186" s="197"/>
      <c r="X186" s="197"/>
      <c r="Y186" s="197"/>
      <c r="Z186" s="1094"/>
      <c r="AA186" s="197"/>
      <c r="AB186" s="197"/>
      <c r="AC186" s="197"/>
      <c r="AD186" s="197"/>
      <c r="AE186" s="1094"/>
      <c r="AF186" s="197"/>
      <c r="AG186" s="197"/>
      <c r="AH186" s="197"/>
      <c r="AI186" s="197"/>
      <c r="AJ186" s="1094"/>
      <c r="AK186" s="197"/>
      <c r="AL186" s="197"/>
      <c r="AM186" s="197"/>
      <c r="AN186" s="197"/>
      <c r="AO186" s="1094"/>
      <c r="AP186" s="197"/>
      <c r="AQ186" s="197"/>
      <c r="AR186" s="197"/>
      <c r="AS186" s="197"/>
      <c r="AT186" s="198"/>
      <c r="AU186" s="194"/>
      <c r="AV186" s="194"/>
      <c r="AW186" s="194"/>
      <c r="AX186" s="194"/>
      <c r="AY186" s="198"/>
      <c r="AZ186" s="194"/>
      <c r="BA186" s="194"/>
      <c r="BB186" s="194"/>
      <c r="BC186" s="194"/>
      <c r="BD186" s="198"/>
      <c r="BE186" s="197"/>
      <c r="BF186" s="197"/>
      <c r="BG186" s="197"/>
      <c r="BH186" s="197"/>
      <c r="BI186" s="1094"/>
      <c r="BJ186" s="197"/>
      <c r="BK186" s="197"/>
      <c r="BL186" s="197"/>
      <c r="BM186" s="197"/>
      <c r="BN186" s="1094"/>
      <c r="BO186" s="197"/>
      <c r="BP186" s="197"/>
      <c r="BQ186" s="197"/>
      <c r="BR186" s="197"/>
      <c r="BS186" s="1094"/>
      <c r="BT186" s="727"/>
      <c r="BU186" s="197"/>
      <c r="BV186" s="197"/>
      <c r="BW186" s="197"/>
      <c r="BX186" s="1094"/>
      <c r="BY186" s="197"/>
      <c r="BZ186" s="197"/>
      <c r="CA186" s="197"/>
      <c r="CB186" s="197"/>
      <c r="CC186" s="1094"/>
      <c r="CD186" s="1094"/>
      <c r="CE186" s="1094"/>
      <c r="CF186" s="1094"/>
      <c r="CG186" s="349"/>
    </row>
    <row r="187" spans="1:85" s="613" customFormat="1" x14ac:dyDescent="0.3">
      <c r="A187" s="478" t="s">
        <v>1904</v>
      </c>
      <c r="B187" s="523"/>
      <c r="C187" s="78"/>
      <c r="D187" s="78"/>
      <c r="E187" s="78"/>
      <c r="F187" s="78"/>
      <c r="G187" s="774"/>
      <c r="H187" s="774"/>
      <c r="I187" s="774"/>
      <c r="J187" s="774"/>
      <c r="K187" s="78"/>
      <c r="L187" s="774"/>
      <c r="M187" s="774"/>
      <c r="N187" s="774"/>
      <c r="O187" s="774"/>
      <c r="P187" s="78"/>
      <c r="Q187" s="774"/>
      <c r="R187" s="774"/>
      <c r="S187" s="774"/>
      <c r="T187" s="774"/>
      <c r="U187" s="78"/>
      <c r="V187" s="774"/>
      <c r="W187" s="774"/>
      <c r="X187" s="774"/>
      <c r="Y187" s="774"/>
      <c r="Z187" s="78"/>
      <c r="AA187" s="774"/>
      <c r="AB187" s="774"/>
      <c r="AC187" s="774"/>
      <c r="AD187" s="774"/>
      <c r="AE187" s="78"/>
      <c r="AF187" s="774"/>
      <c r="AG187" s="774"/>
      <c r="AH187" s="774"/>
      <c r="AI187" s="774"/>
      <c r="AJ187" s="78"/>
      <c r="AK187" s="774"/>
      <c r="AL187" s="774"/>
      <c r="AM187" s="774"/>
      <c r="AN187" s="774"/>
      <c r="AO187" s="78"/>
      <c r="AP187" s="774"/>
      <c r="AQ187" s="774"/>
      <c r="AR187" s="774"/>
      <c r="AS187" s="774"/>
      <c r="AT187" s="1119">
        <v>33.856999999999999</v>
      </c>
      <c r="AU187" s="774"/>
      <c r="AV187" s="774"/>
      <c r="AW187" s="774"/>
      <c r="AX187" s="774"/>
      <c r="AY187" s="1119">
        <v>33.856999999999999</v>
      </c>
      <c r="AZ187" s="774"/>
      <c r="BA187" s="774"/>
      <c r="BB187" s="774"/>
      <c r="BC187" s="774"/>
      <c r="BD187" s="1119">
        <v>33.856999999999999</v>
      </c>
      <c r="BE187" s="774"/>
      <c r="BF187" s="774"/>
      <c r="BG187" s="774"/>
      <c r="BH187" s="774"/>
      <c r="BI187" s="1119">
        <v>5.8209999999999997</v>
      </c>
      <c r="BJ187" s="774"/>
      <c r="BK187" s="774"/>
      <c r="BL187" s="774"/>
      <c r="BM187" s="774"/>
      <c r="BN187" s="78"/>
      <c r="BO187" s="774"/>
      <c r="BP187" s="774"/>
      <c r="BQ187" s="774"/>
      <c r="BR187" s="774"/>
      <c r="BS187" s="78"/>
      <c r="BT187" s="775"/>
      <c r="BU187" s="774"/>
      <c r="BV187" s="774"/>
      <c r="BW187" s="774"/>
      <c r="BX187" s="78"/>
      <c r="BY187" s="774"/>
      <c r="BZ187" s="774"/>
      <c r="CA187" s="774"/>
      <c r="CB187" s="774"/>
      <c r="CC187" s="78"/>
      <c r="CD187" s="78"/>
      <c r="CE187" s="78"/>
      <c r="CF187" s="78"/>
      <c r="CG187" s="532"/>
    </row>
    <row r="188" spans="1:85" s="615" customFormat="1" x14ac:dyDescent="0.3">
      <c r="A188" s="522" t="s">
        <v>1903</v>
      </c>
      <c r="B188" s="521"/>
      <c r="C188" s="1122"/>
      <c r="D188" s="1122"/>
      <c r="E188" s="1122"/>
      <c r="F188" s="1122"/>
      <c r="G188" s="520"/>
      <c r="H188" s="520"/>
      <c r="I188" s="520"/>
      <c r="J188" s="520"/>
      <c r="K188" s="1122"/>
      <c r="L188" s="520"/>
      <c r="M188" s="520"/>
      <c r="N188" s="520"/>
      <c r="O188" s="520"/>
      <c r="P188" s="1122"/>
      <c r="Q188" s="520"/>
      <c r="R188" s="520"/>
      <c r="S188" s="520"/>
      <c r="T188" s="520"/>
      <c r="U188" s="1122"/>
      <c r="V188" s="520"/>
      <c r="W188" s="520"/>
      <c r="X188" s="520"/>
      <c r="Y188" s="520"/>
      <c r="Z188" s="1122"/>
      <c r="AA188" s="520"/>
      <c r="AB188" s="520"/>
      <c r="AC188" s="520"/>
      <c r="AD188" s="520"/>
      <c r="AE188" s="1122"/>
      <c r="AF188" s="520"/>
      <c r="AG188" s="520"/>
      <c r="AH188" s="520"/>
      <c r="AI188" s="520"/>
      <c r="AJ188" s="1122"/>
      <c r="AK188" s="520"/>
      <c r="AL188" s="520"/>
      <c r="AM188" s="520"/>
      <c r="AN188" s="520"/>
      <c r="AO188" s="1122"/>
      <c r="AP188" s="520"/>
      <c r="AQ188" s="520"/>
      <c r="AR188" s="520"/>
      <c r="AS188" s="520"/>
      <c r="AT188" s="1123">
        <v>117.22</v>
      </c>
      <c r="AU188" s="526"/>
      <c r="AV188" s="526"/>
      <c r="AW188" s="526"/>
      <c r="AX188" s="526"/>
      <c r="AY188" s="1123">
        <v>117.22</v>
      </c>
      <c r="AZ188" s="526"/>
      <c r="BA188" s="526"/>
      <c r="BB188" s="526"/>
      <c r="BC188" s="526"/>
      <c r="BD188" s="1123">
        <v>117.22</v>
      </c>
      <c r="BE188" s="520"/>
      <c r="BF188" s="520"/>
      <c r="BG188" s="520"/>
      <c r="BH188" s="520"/>
      <c r="BI188" s="1123">
        <v>117.22</v>
      </c>
      <c r="BJ188" s="520"/>
      <c r="BK188" s="520"/>
      <c r="BL188" s="520"/>
      <c r="BM188" s="520"/>
      <c r="BN188" s="1124"/>
      <c r="BO188" s="520"/>
      <c r="BP188" s="520"/>
      <c r="BQ188" s="520"/>
      <c r="BR188" s="520"/>
      <c r="BS188" s="1124"/>
      <c r="BT188" s="728"/>
      <c r="BU188" s="520"/>
      <c r="BV188" s="520"/>
      <c r="BW188" s="520"/>
      <c r="BX188" s="1122"/>
      <c r="BY188" s="520"/>
      <c r="BZ188" s="520"/>
      <c r="CA188" s="520"/>
      <c r="CB188" s="520"/>
      <c r="CC188" s="1122"/>
      <c r="CD188" s="1122"/>
      <c r="CE188" s="1122"/>
      <c r="CF188" s="1122"/>
      <c r="CG188" s="519"/>
    </row>
    <row r="189" spans="1:85" s="614" customFormat="1" x14ac:dyDescent="0.3">
      <c r="A189" s="224"/>
      <c r="B189" s="352"/>
      <c r="C189" s="1094"/>
      <c r="D189" s="1094"/>
      <c r="E189" s="1094"/>
      <c r="F189" s="1094"/>
      <c r="G189" s="197"/>
      <c r="H189" s="197"/>
      <c r="I189" s="197"/>
      <c r="J189" s="197"/>
      <c r="K189" s="1094"/>
      <c r="L189" s="197"/>
      <c r="M189" s="197"/>
      <c r="N189" s="197"/>
      <c r="O189" s="197"/>
      <c r="P189" s="1094"/>
      <c r="Q189" s="197"/>
      <c r="R189" s="197"/>
      <c r="S189" s="197"/>
      <c r="T189" s="197"/>
      <c r="U189" s="1094"/>
      <c r="V189" s="197"/>
      <c r="W189" s="197"/>
      <c r="X189" s="197"/>
      <c r="Y189" s="197"/>
      <c r="Z189" s="1094"/>
      <c r="AA189" s="197"/>
      <c r="AB189" s="197"/>
      <c r="AC189" s="197"/>
      <c r="AD189" s="197"/>
      <c r="AE189" s="1094"/>
      <c r="AF189" s="197"/>
      <c r="AG189" s="197"/>
      <c r="AH189" s="197"/>
      <c r="AI189" s="197"/>
      <c r="AJ189" s="1094"/>
      <c r="AK189" s="197"/>
      <c r="AL189" s="197"/>
      <c r="AM189" s="197"/>
      <c r="AN189" s="197"/>
      <c r="AO189" s="1094"/>
      <c r="AP189" s="197"/>
      <c r="AQ189" s="197"/>
      <c r="AR189" s="197"/>
      <c r="AS189" s="197"/>
      <c r="AT189" s="198"/>
      <c r="AU189" s="194"/>
      <c r="AV189" s="194"/>
      <c r="AW189" s="194"/>
      <c r="AX189" s="194"/>
      <c r="AY189" s="198"/>
      <c r="AZ189" s="194"/>
      <c r="BA189" s="194"/>
      <c r="BB189" s="194"/>
      <c r="BC189" s="194"/>
      <c r="BD189" s="198"/>
      <c r="BE189" s="197"/>
      <c r="BF189" s="197"/>
      <c r="BG189" s="197"/>
      <c r="BH189" s="197"/>
      <c r="BI189" s="1094"/>
      <c r="BJ189" s="197"/>
      <c r="BK189" s="197"/>
      <c r="BL189" s="197"/>
      <c r="BM189" s="197"/>
      <c r="BN189" s="1094"/>
      <c r="BO189" s="197"/>
      <c r="BP189" s="197"/>
      <c r="BQ189" s="197"/>
      <c r="BR189" s="197"/>
      <c r="BS189" s="1094"/>
      <c r="BT189" s="727"/>
      <c r="BU189" s="197"/>
      <c r="BV189" s="197"/>
      <c r="BW189" s="197"/>
      <c r="BX189" s="1094"/>
      <c r="BY189" s="197"/>
      <c r="BZ189" s="197"/>
      <c r="CA189" s="197"/>
      <c r="CB189" s="197"/>
      <c r="CC189" s="1094"/>
      <c r="CD189" s="1094"/>
      <c r="CE189" s="1094"/>
      <c r="CF189" s="1094"/>
      <c r="CG189" s="349"/>
    </row>
    <row r="190" spans="1:85" s="613" customFormat="1" x14ac:dyDescent="0.3">
      <c r="A190" s="478" t="s">
        <v>1902</v>
      </c>
      <c r="B190" s="523"/>
      <c r="C190" s="78"/>
      <c r="D190" s="78"/>
      <c r="E190" s="78"/>
      <c r="F190" s="78"/>
      <c r="G190" s="774"/>
      <c r="H190" s="774"/>
      <c r="I190" s="774"/>
      <c r="J190" s="774"/>
      <c r="K190" s="78"/>
      <c r="L190" s="774"/>
      <c r="M190" s="774"/>
      <c r="N190" s="774"/>
      <c r="O190" s="774"/>
      <c r="P190" s="78"/>
      <c r="Q190" s="774"/>
      <c r="R190" s="774"/>
      <c r="S190" s="774"/>
      <c r="T190" s="774"/>
      <c r="U190" s="78"/>
      <c r="V190" s="774"/>
      <c r="W190" s="774"/>
      <c r="X190" s="774"/>
      <c r="Y190" s="774"/>
      <c r="Z190" s="78"/>
      <c r="AA190" s="774"/>
      <c r="AB190" s="774"/>
      <c r="AC190" s="774"/>
      <c r="AD190" s="774"/>
      <c r="AE190" s="78"/>
      <c r="AF190" s="774"/>
      <c r="AG190" s="774"/>
      <c r="AH190" s="774"/>
      <c r="AI190" s="774"/>
      <c r="AJ190" s="78"/>
      <c r="AK190" s="774"/>
      <c r="AL190" s="774"/>
      <c r="AM190" s="774"/>
      <c r="AN190" s="774"/>
      <c r="AO190" s="78"/>
      <c r="AP190" s="774"/>
      <c r="AQ190" s="774"/>
      <c r="AR190" s="774"/>
      <c r="AS190" s="774"/>
      <c r="AT190" s="1119">
        <v>31.13</v>
      </c>
      <c r="AU190" s="774"/>
      <c r="AV190" s="774"/>
      <c r="AW190" s="774"/>
      <c r="AX190" s="774"/>
      <c r="AY190" s="1119">
        <v>31.13</v>
      </c>
      <c r="AZ190" s="774"/>
      <c r="BA190" s="774"/>
      <c r="BB190" s="774"/>
      <c r="BC190" s="774"/>
      <c r="BD190" s="1119">
        <v>31.13</v>
      </c>
      <c r="BE190" s="774"/>
      <c r="BF190" s="774"/>
      <c r="BG190" s="774"/>
      <c r="BH190" s="774"/>
      <c r="BI190" s="1119">
        <v>5.3520000000000003</v>
      </c>
      <c r="BJ190" s="774"/>
      <c r="BK190" s="774"/>
      <c r="BL190" s="774"/>
      <c r="BM190" s="774"/>
      <c r="BN190" s="78"/>
      <c r="BO190" s="774"/>
      <c r="BP190" s="774"/>
      <c r="BQ190" s="774"/>
      <c r="BR190" s="774"/>
      <c r="BS190" s="78"/>
      <c r="BT190" s="775"/>
      <c r="BU190" s="774"/>
      <c r="BV190" s="774"/>
      <c r="BW190" s="774"/>
      <c r="BX190" s="78"/>
      <c r="BY190" s="774"/>
      <c r="BZ190" s="774"/>
      <c r="CA190" s="774"/>
      <c r="CB190" s="774"/>
      <c r="CC190" s="78"/>
      <c r="CD190" s="78"/>
      <c r="CE190" s="78"/>
      <c r="CF190" s="78"/>
      <c r="CG190" s="532"/>
    </row>
    <row r="191" spans="1:85" s="615" customFormat="1" x14ac:dyDescent="0.3">
      <c r="A191" s="522" t="s">
        <v>1901</v>
      </c>
      <c r="B191" s="521"/>
      <c r="C191" s="1122"/>
      <c r="D191" s="1122"/>
      <c r="E191" s="1122"/>
      <c r="F191" s="1122"/>
      <c r="G191" s="520"/>
      <c r="H191" s="520"/>
      <c r="I191" s="520"/>
      <c r="J191" s="520"/>
      <c r="K191" s="1122"/>
      <c r="L191" s="520"/>
      <c r="M191" s="520"/>
      <c r="N191" s="520"/>
      <c r="O191" s="520"/>
      <c r="P191" s="1122"/>
      <c r="Q191" s="520"/>
      <c r="R191" s="520"/>
      <c r="S191" s="520"/>
      <c r="T191" s="520"/>
      <c r="U191" s="1122"/>
      <c r="V191" s="520"/>
      <c r="W191" s="520"/>
      <c r="X191" s="520"/>
      <c r="Y191" s="520"/>
      <c r="Z191" s="1122"/>
      <c r="AA191" s="520"/>
      <c r="AB191" s="520"/>
      <c r="AC191" s="520"/>
      <c r="AD191" s="520"/>
      <c r="AE191" s="1122"/>
      <c r="AF191" s="520"/>
      <c r="AG191" s="520"/>
      <c r="AH191" s="520"/>
      <c r="AI191" s="520"/>
      <c r="AJ191" s="1122"/>
      <c r="AK191" s="520"/>
      <c r="AL191" s="520"/>
      <c r="AM191" s="520"/>
      <c r="AN191" s="520"/>
      <c r="AO191" s="1122"/>
      <c r="AP191" s="520"/>
      <c r="AQ191" s="520"/>
      <c r="AR191" s="520"/>
      <c r="AS191" s="520"/>
      <c r="AT191" s="1123">
        <v>127.49</v>
      </c>
      <c r="AU191" s="526"/>
      <c r="AV191" s="526"/>
      <c r="AW191" s="526"/>
      <c r="AX191" s="526"/>
      <c r="AY191" s="1123">
        <v>127.49</v>
      </c>
      <c r="AZ191" s="526"/>
      <c r="BA191" s="526"/>
      <c r="BB191" s="526"/>
      <c r="BC191" s="526"/>
      <c r="BD191" s="1123">
        <v>127.49</v>
      </c>
      <c r="BE191" s="520"/>
      <c r="BF191" s="520"/>
      <c r="BG191" s="520"/>
      <c r="BH191" s="520"/>
      <c r="BI191" s="1123">
        <v>127.49</v>
      </c>
      <c r="BJ191" s="520"/>
      <c r="BK191" s="520"/>
      <c r="BL191" s="520"/>
      <c r="BM191" s="520"/>
      <c r="BN191" s="1124"/>
      <c r="BO191" s="520"/>
      <c r="BP191" s="520"/>
      <c r="BQ191" s="520"/>
      <c r="BR191" s="520"/>
      <c r="BS191" s="1124"/>
      <c r="BT191" s="728"/>
      <c r="BU191" s="520"/>
      <c r="BV191" s="520"/>
      <c r="BW191" s="520"/>
      <c r="BX191" s="1122"/>
      <c r="BY191" s="520"/>
      <c r="BZ191" s="520"/>
      <c r="CA191" s="520"/>
      <c r="CB191" s="520"/>
      <c r="CC191" s="1122"/>
      <c r="CD191" s="1122"/>
      <c r="CE191" s="1122"/>
      <c r="CF191" s="1122"/>
      <c r="CG191" s="519"/>
    </row>
    <row r="192" spans="1:85" s="614" customFormat="1" x14ac:dyDescent="0.3">
      <c r="A192" s="522"/>
      <c r="B192" s="352"/>
      <c r="C192" s="1094"/>
      <c r="D192" s="1094"/>
      <c r="E192" s="1094"/>
      <c r="F192" s="1094"/>
      <c r="G192" s="197"/>
      <c r="H192" s="197"/>
      <c r="I192" s="197"/>
      <c r="J192" s="197"/>
      <c r="K192" s="1094"/>
      <c r="L192" s="197"/>
      <c r="M192" s="197"/>
      <c r="N192" s="197"/>
      <c r="O192" s="197"/>
      <c r="P192" s="1094"/>
      <c r="Q192" s="197"/>
      <c r="R192" s="197"/>
      <c r="S192" s="197"/>
      <c r="T192" s="197"/>
      <c r="U192" s="1094"/>
      <c r="V192" s="197"/>
      <c r="W192" s="197"/>
      <c r="X192" s="197"/>
      <c r="Y192" s="197"/>
      <c r="Z192" s="1094"/>
      <c r="AA192" s="197"/>
      <c r="AB192" s="197"/>
      <c r="AC192" s="197"/>
      <c r="AD192" s="197"/>
      <c r="AE192" s="1094"/>
      <c r="AF192" s="197"/>
      <c r="AG192" s="197"/>
      <c r="AH192" s="197"/>
      <c r="AI192" s="197"/>
      <c r="AJ192" s="1094"/>
      <c r="AK192" s="197"/>
      <c r="AL192" s="197"/>
      <c r="AM192" s="197"/>
      <c r="AN192" s="197"/>
      <c r="AO192" s="1094"/>
      <c r="AP192" s="197"/>
      <c r="AQ192" s="197"/>
      <c r="AR192" s="197"/>
      <c r="AS192" s="197"/>
      <c r="AT192" s="198"/>
      <c r="AU192" s="194"/>
      <c r="AV192" s="194"/>
      <c r="AW192" s="194"/>
      <c r="AX192" s="194"/>
      <c r="AY192" s="198"/>
      <c r="AZ192" s="194"/>
      <c r="BA192" s="194"/>
      <c r="BB192" s="194"/>
      <c r="BC192" s="194"/>
      <c r="BD192" s="198"/>
      <c r="BE192" s="197"/>
      <c r="BF192" s="197"/>
      <c r="BG192" s="197"/>
      <c r="BH192" s="197"/>
      <c r="BI192" s="1094"/>
      <c r="BJ192" s="197"/>
      <c r="BK192" s="197"/>
      <c r="BL192" s="197"/>
      <c r="BM192" s="197"/>
      <c r="BN192" s="1094"/>
      <c r="BO192" s="197"/>
      <c r="BP192" s="197"/>
      <c r="BQ192" s="197"/>
      <c r="BR192" s="197"/>
      <c r="BS192" s="1094"/>
      <c r="BT192" s="727"/>
      <c r="BU192" s="197"/>
      <c r="BV192" s="197"/>
      <c r="BW192" s="197"/>
      <c r="BX192" s="1094"/>
      <c r="BY192" s="197"/>
      <c r="BZ192" s="197"/>
      <c r="CA192" s="197"/>
      <c r="CB192" s="197"/>
      <c r="CC192" s="1094"/>
      <c r="CD192" s="1094"/>
      <c r="CE192" s="1094"/>
      <c r="CF192" s="1094"/>
      <c r="CG192" s="349"/>
    </row>
    <row r="193" spans="1:85" s="613" customFormat="1" x14ac:dyDescent="0.3">
      <c r="A193" s="478" t="s">
        <v>1900</v>
      </c>
      <c r="B193" s="523"/>
      <c r="C193" s="78"/>
      <c r="D193" s="78"/>
      <c r="E193" s="78"/>
      <c r="F193" s="78"/>
      <c r="G193" s="774"/>
      <c r="H193" s="774"/>
      <c r="I193" s="774"/>
      <c r="J193" s="774"/>
      <c r="K193" s="78"/>
      <c r="L193" s="774"/>
      <c r="M193" s="774"/>
      <c r="N193" s="774"/>
      <c r="O193" s="774"/>
      <c r="P193" s="78"/>
      <c r="Q193" s="774"/>
      <c r="R193" s="774"/>
      <c r="S193" s="774"/>
      <c r="T193" s="774"/>
      <c r="U193" s="78"/>
      <c r="V193" s="774"/>
      <c r="W193" s="774"/>
      <c r="X193" s="774"/>
      <c r="Y193" s="774"/>
      <c r="Z193" s="78"/>
      <c r="AA193" s="774"/>
      <c r="AB193" s="774"/>
      <c r="AC193" s="774"/>
      <c r="AD193" s="774"/>
      <c r="AE193" s="78"/>
      <c r="AF193" s="774"/>
      <c r="AG193" s="774"/>
      <c r="AH193" s="774"/>
      <c r="AI193" s="774"/>
      <c r="AJ193" s="78"/>
      <c r="AK193" s="774"/>
      <c r="AL193" s="774"/>
      <c r="AM193" s="774"/>
      <c r="AN193" s="774"/>
      <c r="AO193" s="78"/>
      <c r="AP193" s="774"/>
      <c r="AQ193" s="774"/>
      <c r="AR193" s="774"/>
      <c r="AS193" s="774"/>
      <c r="AT193" s="1119">
        <v>31.373000000000001</v>
      </c>
      <c r="AU193" s="774"/>
      <c r="AV193" s="774"/>
      <c r="AW193" s="774"/>
      <c r="AX193" s="774"/>
      <c r="AY193" s="1119">
        <v>31.373000000000001</v>
      </c>
      <c r="AZ193" s="774"/>
      <c r="BA193" s="774"/>
      <c r="BB193" s="774"/>
      <c r="BC193" s="774"/>
      <c r="BD193" s="1119">
        <v>31.373000000000001</v>
      </c>
      <c r="BE193" s="774"/>
      <c r="BF193" s="774"/>
      <c r="BG193" s="774"/>
      <c r="BH193" s="774"/>
      <c r="BI193" s="1119">
        <v>4.8460000000000001</v>
      </c>
      <c r="BJ193" s="774"/>
      <c r="BK193" s="774"/>
      <c r="BL193" s="774"/>
      <c r="BM193" s="774"/>
      <c r="BN193" s="78"/>
      <c r="BO193" s="774"/>
      <c r="BP193" s="774"/>
      <c r="BQ193" s="774"/>
      <c r="BR193" s="774"/>
      <c r="BS193" s="78"/>
      <c r="BT193" s="775"/>
      <c r="BU193" s="774"/>
      <c r="BV193" s="774"/>
      <c r="BW193" s="774"/>
      <c r="BX193" s="78"/>
      <c r="BY193" s="774"/>
      <c r="BZ193" s="774"/>
      <c r="CA193" s="774"/>
      <c r="CB193" s="774"/>
      <c r="CC193" s="78"/>
      <c r="CD193" s="78"/>
      <c r="CE193" s="78"/>
      <c r="CF193" s="78"/>
      <c r="CG193" s="532"/>
    </row>
    <row r="194" spans="1:85" s="615" customFormat="1" x14ac:dyDescent="0.3">
      <c r="A194" s="522" t="s">
        <v>1899</v>
      </c>
      <c r="B194" s="521"/>
      <c r="C194" s="1122"/>
      <c r="D194" s="1122"/>
      <c r="E194" s="1122"/>
      <c r="F194" s="1122"/>
      <c r="G194" s="520"/>
      <c r="H194" s="520"/>
      <c r="I194" s="520"/>
      <c r="J194" s="520"/>
      <c r="K194" s="1122"/>
      <c r="L194" s="520"/>
      <c r="M194" s="520"/>
      <c r="N194" s="520"/>
      <c r="O194" s="520"/>
      <c r="P194" s="1122"/>
      <c r="Q194" s="520"/>
      <c r="R194" s="520"/>
      <c r="S194" s="520"/>
      <c r="T194" s="520"/>
      <c r="U194" s="1122"/>
      <c r="V194" s="520"/>
      <c r="W194" s="520"/>
      <c r="X194" s="520"/>
      <c r="Y194" s="520"/>
      <c r="Z194" s="1122"/>
      <c r="AA194" s="520"/>
      <c r="AB194" s="520"/>
      <c r="AC194" s="520"/>
      <c r="AD194" s="520"/>
      <c r="AE194" s="1122"/>
      <c r="AF194" s="520"/>
      <c r="AG194" s="520"/>
      <c r="AH194" s="520"/>
      <c r="AI194" s="520"/>
      <c r="AJ194" s="1122"/>
      <c r="AK194" s="520"/>
      <c r="AL194" s="520"/>
      <c r="AM194" s="520"/>
      <c r="AN194" s="520"/>
      <c r="AO194" s="1122"/>
      <c r="AP194" s="520"/>
      <c r="AQ194" s="520"/>
      <c r="AR194" s="520"/>
      <c r="AS194" s="520"/>
      <c r="AT194" s="1123">
        <v>140.78</v>
      </c>
      <c r="AU194" s="526"/>
      <c r="AV194" s="526"/>
      <c r="AW194" s="526"/>
      <c r="AX194" s="526"/>
      <c r="AY194" s="1123">
        <v>140.78</v>
      </c>
      <c r="AZ194" s="526"/>
      <c r="BA194" s="526"/>
      <c r="BB194" s="526"/>
      <c r="BC194" s="526"/>
      <c r="BD194" s="1123">
        <v>140.78</v>
      </c>
      <c r="BE194" s="520"/>
      <c r="BF194" s="520"/>
      <c r="BG194" s="520"/>
      <c r="BH194" s="520"/>
      <c r="BI194" s="1123">
        <v>140.78</v>
      </c>
      <c r="BJ194" s="520"/>
      <c r="BK194" s="520"/>
      <c r="BL194" s="520"/>
      <c r="BM194" s="520"/>
      <c r="BN194" s="1124"/>
      <c r="BO194" s="520"/>
      <c r="BP194" s="520"/>
      <c r="BQ194" s="520"/>
      <c r="BR194" s="520"/>
      <c r="BS194" s="1124"/>
      <c r="BT194" s="728"/>
      <c r="BU194" s="520"/>
      <c r="BV194" s="520"/>
      <c r="BW194" s="520"/>
      <c r="BX194" s="1122"/>
      <c r="BY194" s="520"/>
      <c r="BZ194" s="520"/>
      <c r="CA194" s="520"/>
      <c r="CB194" s="520"/>
      <c r="CC194" s="1122"/>
      <c r="CD194" s="1122"/>
      <c r="CE194" s="1122"/>
      <c r="CF194" s="1122"/>
      <c r="CG194" s="519"/>
    </row>
    <row r="195" spans="1:85" s="614" customFormat="1" x14ac:dyDescent="0.3">
      <c r="A195" s="522"/>
      <c r="B195" s="352"/>
      <c r="C195" s="1094"/>
      <c r="D195" s="1094"/>
      <c r="E195" s="1094"/>
      <c r="F195" s="1094"/>
      <c r="G195" s="197"/>
      <c r="H195" s="197"/>
      <c r="I195" s="197"/>
      <c r="J195" s="197"/>
      <c r="K195" s="1094"/>
      <c r="L195" s="197"/>
      <c r="M195" s="197"/>
      <c r="N195" s="197"/>
      <c r="O195" s="197"/>
      <c r="P195" s="1094"/>
      <c r="Q195" s="197"/>
      <c r="R195" s="197"/>
      <c r="S195" s="197"/>
      <c r="T195" s="197"/>
      <c r="U195" s="1094"/>
      <c r="V195" s="197"/>
      <c r="W195" s="197"/>
      <c r="X195" s="197"/>
      <c r="Y195" s="197"/>
      <c r="Z195" s="1094"/>
      <c r="AA195" s="197"/>
      <c r="AB195" s="197"/>
      <c r="AC195" s="197"/>
      <c r="AD195" s="197"/>
      <c r="AE195" s="1094"/>
      <c r="AF195" s="197"/>
      <c r="AG195" s="197"/>
      <c r="AH195" s="197"/>
      <c r="AI195" s="197"/>
      <c r="AJ195" s="1094"/>
      <c r="AK195" s="197"/>
      <c r="AL195" s="197"/>
      <c r="AM195" s="197"/>
      <c r="AN195" s="197"/>
      <c r="AO195" s="1094"/>
      <c r="AP195" s="197"/>
      <c r="AQ195" s="197"/>
      <c r="AR195" s="197"/>
      <c r="AS195" s="197"/>
      <c r="AT195" s="198"/>
      <c r="AU195" s="194"/>
      <c r="AV195" s="194"/>
      <c r="AW195" s="194"/>
      <c r="AX195" s="194"/>
      <c r="AY195" s="198"/>
      <c r="AZ195" s="194"/>
      <c r="BA195" s="194"/>
      <c r="BB195" s="194"/>
      <c r="BC195" s="194"/>
      <c r="BD195" s="198"/>
      <c r="BE195" s="197"/>
      <c r="BF195" s="197"/>
      <c r="BG195" s="197"/>
      <c r="BH195" s="197"/>
      <c r="BI195" s="1094"/>
      <c r="BJ195" s="197"/>
      <c r="BK195" s="197"/>
      <c r="BL195" s="197"/>
      <c r="BM195" s="197"/>
      <c r="BN195" s="1094"/>
      <c r="BO195" s="197"/>
      <c r="BP195" s="197"/>
      <c r="BQ195" s="197"/>
      <c r="BR195" s="197"/>
      <c r="BS195" s="1094"/>
      <c r="BT195" s="727"/>
      <c r="BU195" s="197"/>
      <c r="BV195" s="197"/>
      <c r="BW195" s="197"/>
      <c r="BX195" s="1094"/>
      <c r="BY195" s="197"/>
      <c r="BZ195" s="197"/>
      <c r="CA195" s="197"/>
      <c r="CB195" s="197"/>
      <c r="CC195" s="1094"/>
      <c r="CD195" s="1094"/>
      <c r="CE195" s="1094"/>
      <c r="CF195" s="1094"/>
      <c r="CG195" s="349"/>
    </row>
    <row r="196" spans="1:85" s="613" customFormat="1" x14ac:dyDescent="0.3">
      <c r="A196" s="478" t="s">
        <v>1898</v>
      </c>
      <c r="B196" s="523"/>
      <c r="C196" s="78"/>
      <c r="D196" s="78"/>
      <c r="E196" s="78"/>
      <c r="F196" s="78"/>
      <c r="G196" s="774"/>
      <c r="H196" s="774"/>
      <c r="I196" s="774"/>
      <c r="J196" s="774"/>
      <c r="K196" s="78"/>
      <c r="L196" s="774"/>
      <c r="M196" s="774"/>
      <c r="N196" s="774"/>
      <c r="O196" s="774"/>
      <c r="P196" s="78"/>
      <c r="Q196" s="774"/>
      <c r="R196" s="774"/>
      <c r="S196" s="774"/>
      <c r="T196" s="774"/>
      <c r="U196" s="78"/>
      <c r="V196" s="774"/>
      <c r="W196" s="774"/>
      <c r="X196" s="774"/>
      <c r="Y196" s="774"/>
      <c r="Z196" s="78"/>
      <c r="AA196" s="774"/>
      <c r="AB196" s="774"/>
      <c r="AC196" s="774"/>
      <c r="AD196" s="774"/>
      <c r="AE196" s="78"/>
      <c r="AF196" s="774"/>
      <c r="AG196" s="774"/>
      <c r="AH196" s="774"/>
      <c r="AI196" s="774"/>
      <c r="AJ196" s="78"/>
      <c r="AK196" s="774"/>
      <c r="AL196" s="774"/>
      <c r="AM196" s="774"/>
      <c r="AN196" s="774"/>
      <c r="AO196" s="78"/>
      <c r="AP196" s="774"/>
      <c r="AQ196" s="774"/>
      <c r="AR196" s="774"/>
      <c r="AS196" s="774"/>
      <c r="AT196" s="1119">
        <v>30.960999999999999</v>
      </c>
      <c r="AU196" s="774"/>
      <c r="AV196" s="774"/>
      <c r="AW196" s="774"/>
      <c r="AX196" s="774"/>
      <c r="AY196" s="1119">
        <v>30.960999999999999</v>
      </c>
      <c r="AZ196" s="774"/>
      <c r="BA196" s="774"/>
      <c r="BB196" s="774"/>
      <c r="BC196" s="774"/>
      <c r="BD196" s="1119">
        <v>30.960999999999999</v>
      </c>
      <c r="BE196" s="774"/>
      <c r="BF196" s="774"/>
      <c r="BG196" s="774"/>
      <c r="BH196" s="774"/>
      <c r="BI196" s="1119">
        <v>4.7830000000000004</v>
      </c>
      <c r="BJ196" s="774"/>
      <c r="BK196" s="774"/>
      <c r="BL196" s="774"/>
      <c r="BM196" s="774"/>
      <c r="BN196" s="78"/>
      <c r="BO196" s="774"/>
      <c r="BP196" s="774"/>
      <c r="BQ196" s="774"/>
      <c r="BR196" s="774"/>
      <c r="BS196" s="78"/>
      <c r="BT196" s="775"/>
      <c r="BU196" s="774"/>
      <c r="BV196" s="774"/>
      <c r="BW196" s="774"/>
      <c r="BX196" s="78"/>
      <c r="BY196" s="774"/>
      <c r="BZ196" s="774"/>
      <c r="CA196" s="774"/>
      <c r="CB196" s="774"/>
      <c r="CC196" s="78"/>
      <c r="CD196" s="78"/>
      <c r="CE196" s="78"/>
      <c r="CF196" s="78"/>
      <c r="CG196" s="532"/>
    </row>
    <row r="197" spans="1:85" s="615" customFormat="1" x14ac:dyDescent="0.3">
      <c r="A197" s="522" t="s">
        <v>1897</v>
      </c>
      <c r="B197" s="521"/>
      <c r="C197" s="1122"/>
      <c r="D197" s="1122"/>
      <c r="E197" s="1122"/>
      <c r="F197" s="1122"/>
      <c r="G197" s="520"/>
      <c r="H197" s="520"/>
      <c r="I197" s="520"/>
      <c r="J197" s="520"/>
      <c r="K197" s="1122"/>
      <c r="L197" s="520"/>
      <c r="M197" s="520"/>
      <c r="N197" s="520"/>
      <c r="O197" s="520"/>
      <c r="P197" s="1122"/>
      <c r="Q197" s="520"/>
      <c r="R197" s="520"/>
      <c r="S197" s="520"/>
      <c r="T197" s="520"/>
      <c r="U197" s="1122"/>
      <c r="V197" s="520"/>
      <c r="W197" s="520"/>
      <c r="X197" s="520"/>
      <c r="Y197" s="520"/>
      <c r="Z197" s="1122"/>
      <c r="AA197" s="520"/>
      <c r="AB197" s="520"/>
      <c r="AC197" s="520"/>
      <c r="AD197" s="520"/>
      <c r="AE197" s="1122"/>
      <c r="AF197" s="520"/>
      <c r="AG197" s="520"/>
      <c r="AH197" s="520"/>
      <c r="AI197" s="520"/>
      <c r="AJ197" s="1122"/>
      <c r="AK197" s="520"/>
      <c r="AL197" s="520"/>
      <c r="AM197" s="520"/>
      <c r="AN197" s="520"/>
      <c r="AO197" s="1122"/>
      <c r="AP197" s="520"/>
      <c r="AQ197" s="520"/>
      <c r="AR197" s="520"/>
      <c r="AS197" s="520"/>
      <c r="AT197" s="1123">
        <v>142.65</v>
      </c>
      <c r="AU197" s="526"/>
      <c r="AV197" s="526"/>
      <c r="AW197" s="526"/>
      <c r="AX197" s="526"/>
      <c r="AY197" s="1123">
        <v>142.65</v>
      </c>
      <c r="AZ197" s="526"/>
      <c r="BA197" s="526"/>
      <c r="BB197" s="526"/>
      <c r="BC197" s="526"/>
      <c r="BD197" s="1123">
        <v>142.65</v>
      </c>
      <c r="BE197" s="520"/>
      <c r="BF197" s="520"/>
      <c r="BG197" s="520"/>
      <c r="BH197" s="520"/>
      <c r="BI197" s="1123">
        <v>142.65</v>
      </c>
      <c r="BJ197" s="520"/>
      <c r="BK197" s="520"/>
      <c r="BL197" s="520"/>
      <c r="BM197" s="520"/>
      <c r="BN197" s="1124"/>
      <c r="BO197" s="520"/>
      <c r="BP197" s="520"/>
      <c r="BQ197" s="520"/>
      <c r="BR197" s="520"/>
      <c r="BS197" s="1124"/>
      <c r="BT197" s="728"/>
      <c r="BU197" s="520"/>
      <c r="BV197" s="520"/>
      <c r="BW197" s="520"/>
      <c r="BX197" s="1122"/>
      <c r="BY197" s="520"/>
      <c r="BZ197" s="520"/>
      <c r="CA197" s="520"/>
      <c r="CB197" s="520"/>
      <c r="CC197" s="1122"/>
      <c r="CD197" s="1122"/>
      <c r="CE197" s="1122"/>
      <c r="CF197" s="1122"/>
      <c r="CG197" s="519"/>
    </row>
    <row r="198" spans="1:85" s="614" customFormat="1" x14ac:dyDescent="0.3">
      <c r="A198" s="522"/>
      <c r="B198" s="352"/>
      <c r="C198" s="1094"/>
      <c r="D198" s="1094"/>
      <c r="E198" s="1094"/>
      <c r="F198" s="1094"/>
      <c r="G198" s="197"/>
      <c r="H198" s="197"/>
      <c r="I198" s="197"/>
      <c r="J198" s="197"/>
      <c r="K198" s="1094"/>
      <c r="L198" s="197"/>
      <c r="M198" s="197"/>
      <c r="N198" s="197"/>
      <c r="O198" s="197"/>
      <c r="P198" s="1094"/>
      <c r="Q198" s="197"/>
      <c r="R198" s="197"/>
      <c r="S198" s="197"/>
      <c r="T198" s="197"/>
      <c r="U198" s="1094"/>
      <c r="V198" s="197"/>
      <c r="W198" s="197"/>
      <c r="X198" s="197"/>
      <c r="Y198" s="197"/>
      <c r="Z198" s="1094"/>
      <c r="AA198" s="197"/>
      <c r="AB198" s="197"/>
      <c r="AC198" s="197"/>
      <c r="AD198" s="197"/>
      <c r="AE198" s="1094"/>
      <c r="AF198" s="197"/>
      <c r="AG198" s="197"/>
      <c r="AH198" s="197"/>
      <c r="AI198" s="197"/>
      <c r="AJ198" s="1094"/>
      <c r="AK198" s="197"/>
      <c r="AL198" s="197"/>
      <c r="AM198" s="197"/>
      <c r="AN198" s="197"/>
      <c r="AO198" s="1094"/>
      <c r="AP198" s="197"/>
      <c r="AQ198" s="197"/>
      <c r="AR198" s="197"/>
      <c r="AS198" s="197"/>
      <c r="AT198" s="198"/>
      <c r="AU198" s="194"/>
      <c r="AV198" s="194"/>
      <c r="AW198" s="194"/>
      <c r="AX198" s="194"/>
      <c r="AY198" s="198"/>
      <c r="AZ198" s="194"/>
      <c r="BA198" s="194"/>
      <c r="BB198" s="194"/>
      <c r="BC198" s="194"/>
      <c r="BD198" s="198"/>
      <c r="BE198" s="197"/>
      <c r="BF198" s="197"/>
      <c r="BG198" s="197"/>
      <c r="BH198" s="197"/>
      <c r="BI198" s="1094"/>
      <c r="BJ198" s="197"/>
      <c r="BK198" s="197"/>
      <c r="BL198" s="197"/>
      <c r="BM198" s="197"/>
      <c r="BN198" s="1094"/>
      <c r="BO198" s="197"/>
      <c r="BP198" s="197"/>
      <c r="BQ198" s="197"/>
      <c r="BR198" s="197"/>
      <c r="BS198" s="1094"/>
      <c r="BT198" s="727"/>
      <c r="BU198" s="197"/>
      <c r="BV198" s="197"/>
      <c r="BW198" s="197"/>
      <c r="BX198" s="1094"/>
      <c r="BY198" s="197"/>
      <c r="BZ198" s="197"/>
      <c r="CA198" s="197"/>
      <c r="CB198" s="197"/>
      <c r="CC198" s="1094"/>
      <c r="CD198" s="1094"/>
      <c r="CE198" s="1094"/>
      <c r="CF198" s="1094"/>
      <c r="CG198" s="349"/>
    </row>
    <row r="199" spans="1:85" s="613" customFormat="1" x14ac:dyDescent="0.3">
      <c r="A199" s="478" t="s">
        <v>1896</v>
      </c>
      <c r="B199" s="523"/>
      <c r="C199" s="78"/>
      <c r="D199" s="78"/>
      <c r="E199" s="78"/>
      <c r="F199" s="78"/>
      <c r="G199" s="774"/>
      <c r="H199" s="774"/>
      <c r="I199" s="774"/>
      <c r="J199" s="774"/>
      <c r="K199" s="78"/>
      <c r="L199" s="774"/>
      <c r="M199" s="774"/>
      <c r="N199" s="774"/>
      <c r="O199" s="774"/>
      <c r="P199" s="78"/>
      <c r="Q199" s="774"/>
      <c r="R199" s="774"/>
      <c r="S199" s="774"/>
      <c r="T199" s="774"/>
      <c r="U199" s="78"/>
      <c r="V199" s="774"/>
      <c r="W199" s="774"/>
      <c r="X199" s="774"/>
      <c r="Y199" s="774"/>
      <c r="Z199" s="78"/>
      <c r="AA199" s="774"/>
      <c r="AB199" s="774"/>
      <c r="AC199" s="774"/>
      <c r="AD199" s="774"/>
      <c r="AE199" s="78"/>
      <c r="AF199" s="774"/>
      <c r="AG199" s="774"/>
      <c r="AH199" s="774"/>
      <c r="AI199" s="774"/>
      <c r="AJ199" s="78"/>
      <c r="AK199" s="774"/>
      <c r="AL199" s="774"/>
      <c r="AM199" s="774"/>
      <c r="AN199" s="774"/>
      <c r="AO199" s="78"/>
      <c r="AP199" s="774"/>
      <c r="AQ199" s="774"/>
      <c r="AR199" s="774"/>
      <c r="AS199" s="774"/>
      <c r="AT199" s="1119">
        <v>30.062000000000001</v>
      </c>
      <c r="AU199" s="774"/>
      <c r="AV199" s="774"/>
      <c r="AW199" s="774"/>
      <c r="AX199" s="774"/>
      <c r="AY199" s="1119">
        <v>30.062000000000001</v>
      </c>
      <c r="AZ199" s="774"/>
      <c r="BA199" s="774"/>
      <c r="BB199" s="774"/>
      <c r="BC199" s="774"/>
      <c r="BD199" s="1119">
        <v>30.062000000000001</v>
      </c>
      <c r="BE199" s="774"/>
      <c r="BF199" s="774"/>
      <c r="BG199" s="774"/>
      <c r="BH199" s="774"/>
      <c r="BI199" s="1119">
        <v>4.6440000000000001</v>
      </c>
      <c r="BJ199" s="774"/>
      <c r="BK199" s="774"/>
      <c r="BL199" s="774"/>
      <c r="BM199" s="774"/>
      <c r="BN199" s="78"/>
      <c r="BO199" s="774"/>
      <c r="BP199" s="774"/>
      <c r="BQ199" s="774"/>
      <c r="BR199" s="774"/>
      <c r="BS199" s="78"/>
      <c r="BT199" s="775"/>
      <c r="BU199" s="774"/>
      <c r="BV199" s="774"/>
      <c r="BW199" s="774"/>
      <c r="BX199" s="78"/>
      <c r="BY199" s="774"/>
      <c r="BZ199" s="774"/>
      <c r="CA199" s="774"/>
      <c r="CB199" s="774"/>
      <c r="CC199" s="78"/>
      <c r="CD199" s="78"/>
      <c r="CE199" s="78"/>
      <c r="CF199" s="78"/>
      <c r="CG199" s="532"/>
    </row>
    <row r="200" spans="1:85" s="615" customFormat="1" x14ac:dyDescent="0.3">
      <c r="A200" s="522" t="s">
        <v>1895</v>
      </c>
      <c r="B200" s="521"/>
      <c r="C200" s="1122"/>
      <c r="D200" s="1122"/>
      <c r="E200" s="1122"/>
      <c r="F200" s="1122"/>
      <c r="G200" s="520"/>
      <c r="H200" s="520"/>
      <c r="I200" s="520"/>
      <c r="J200" s="520"/>
      <c r="K200" s="1122"/>
      <c r="L200" s="520"/>
      <c r="M200" s="520"/>
      <c r="N200" s="520"/>
      <c r="O200" s="520"/>
      <c r="P200" s="1122"/>
      <c r="Q200" s="520"/>
      <c r="R200" s="520"/>
      <c r="S200" s="520"/>
      <c r="T200" s="520"/>
      <c r="U200" s="1122"/>
      <c r="V200" s="520"/>
      <c r="W200" s="520"/>
      <c r="X200" s="520"/>
      <c r="Y200" s="520"/>
      <c r="Z200" s="1122"/>
      <c r="AA200" s="520"/>
      <c r="AB200" s="520"/>
      <c r="AC200" s="520"/>
      <c r="AD200" s="520"/>
      <c r="AE200" s="1122"/>
      <c r="AF200" s="520"/>
      <c r="AG200" s="520"/>
      <c r="AH200" s="520"/>
      <c r="AI200" s="520"/>
      <c r="AJ200" s="1122"/>
      <c r="AK200" s="520"/>
      <c r="AL200" s="520"/>
      <c r="AM200" s="520"/>
      <c r="AN200" s="520"/>
      <c r="AO200" s="1122"/>
      <c r="AP200" s="520"/>
      <c r="AQ200" s="520"/>
      <c r="AR200" s="520"/>
      <c r="AS200" s="520"/>
      <c r="AT200" s="1123">
        <v>146.91999999999999</v>
      </c>
      <c r="AU200" s="526"/>
      <c r="AV200" s="526"/>
      <c r="AW200" s="526"/>
      <c r="AX200" s="526"/>
      <c r="AY200" s="1123">
        <v>146.91999999999999</v>
      </c>
      <c r="AZ200" s="526"/>
      <c r="BA200" s="526"/>
      <c r="BB200" s="526"/>
      <c r="BC200" s="526"/>
      <c r="BD200" s="1123">
        <v>146.91999999999999</v>
      </c>
      <c r="BE200" s="520"/>
      <c r="BF200" s="520"/>
      <c r="BG200" s="520"/>
      <c r="BH200" s="520"/>
      <c r="BI200" s="1123">
        <v>146.91999999999999</v>
      </c>
      <c r="BJ200" s="520"/>
      <c r="BK200" s="520"/>
      <c r="BL200" s="520"/>
      <c r="BM200" s="520"/>
      <c r="BN200" s="1124"/>
      <c r="BO200" s="520"/>
      <c r="BP200" s="520"/>
      <c r="BQ200" s="520"/>
      <c r="BR200" s="520"/>
      <c r="BS200" s="1124"/>
      <c r="BT200" s="728"/>
      <c r="BU200" s="520"/>
      <c r="BV200" s="520"/>
      <c r="BW200" s="520"/>
      <c r="BX200" s="1122"/>
      <c r="BY200" s="520"/>
      <c r="BZ200" s="520"/>
      <c r="CA200" s="520"/>
      <c r="CB200" s="520"/>
      <c r="CC200" s="1122"/>
      <c r="CD200" s="1122"/>
      <c r="CE200" s="1122"/>
      <c r="CF200" s="1122"/>
      <c r="CG200" s="519"/>
    </row>
    <row r="201" spans="1:85" s="614" customFormat="1" x14ac:dyDescent="0.3">
      <c r="A201" s="522"/>
      <c r="B201" s="352"/>
      <c r="C201" s="1094"/>
      <c r="D201" s="1094"/>
      <c r="E201" s="1094"/>
      <c r="F201" s="1094"/>
      <c r="G201" s="197"/>
      <c r="H201" s="197"/>
      <c r="I201" s="197"/>
      <c r="J201" s="197"/>
      <c r="K201" s="1094"/>
      <c r="L201" s="197"/>
      <c r="M201" s="197"/>
      <c r="N201" s="197"/>
      <c r="O201" s="197"/>
      <c r="P201" s="1094"/>
      <c r="Q201" s="197"/>
      <c r="R201" s="197"/>
      <c r="S201" s="197"/>
      <c r="T201" s="197"/>
      <c r="U201" s="1094"/>
      <c r="V201" s="197"/>
      <c r="W201" s="197"/>
      <c r="X201" s="197"/>
      <c r="Y201" s="197"/>
      <c r="Z201" s="1094"/>
      <c r="AA201" s="197"/>
      <c r="AB201" s="197"/>
      <c r="AC201" s="197"/>
      <c r="AD201" s="197"/>
      <c r="AE201" s="1094"/>
      <c r="AF201" s="197"/>
      <c r="AG201" s="197"/>
      <c r="AH201" s="197"/>
      <c r="AI201" s="197"/>
      <c r="AJ201" s="1094"/>
      <c r="AK201" s="197"/>
      <c r="AL201" s="197"/>
      <c r="AM201" s="197"/>
      <c r="AN201" s="197"/>
      <c r="AO201" s="1094"/>
      <c r="AP201" s="197"/>
      <c r="AQ201" s="197"/>
      <c r="AR201" s="197"/>
      <c r="AS201" s="197"/>
      <c r="AT201" s="198"/>
      <c r="AU201" s="194"/>
      <c r="AV201" s="194"/>
      <c r="AW201" s="194"/>
      <c r="AX201" s="194"/>
      <c r="AY201" s="198"/>
      <c r="AZ201" s="194"/>
      <c r="BA201" s="194"/>
      <c r="BB201" s="194"/>
      <c r="BC201" s="194"/>
      <c r="BD201" s="198"/>
      <c r="BE201" s="197"/>
      <c r="BF201" s="197"/>
      <c r="BG201" s="197"/>
      <c r="BH201" s="197"/>
      <c r="BI201" s="198"/>
      <c r="BJ201" s="197"/>
      <c r="BK201" s="197"/>
      <c r="BL201" s="197"/>
      <c r="BM201" s="197"/>
      <c r="BN201" s="198"/>
      <c r="BO201" s="197"/>
      <c r="BP201" s="197"/>
      <c r="BQ201" s="197"/>
      <c r="BR201" s="197"/>
      <c r="BS201" s="198"/>
      <c r="BT201" s="727"/>
      <c r="BU201" s="197"/>
      <c r="BV201" s="197"/>
      <c r="BW201" s="197"/>
      <c r="BX201" s="1094"/>
      <c r="BY201" s="197"/>
      <c r="BZ201" s="197"/>
      <c r="CA201" s="197"/>
      <c r="CB201" s="197"/>
      <c r="CC201" s="1094"/>
      <c r="CD201" s="1094"/>
      <c r="CE201" s="1094"/>
      <c r="CF201" s="1094"/>
      <c r="CG201" s="349"/>
    </row>
    <row r="202" spans="1:85" s="613" customFormat="1" x14ac:dyDescent="0.3">
      <c r="A202" s="478" t="s">
        <v>1894</v>
      </c>
      <c r="B202" s="523"/>
      <c r="C202" s="78"/>
      <c r="D202" s="78"/>
      <c r="E202" s="78"/>
      <c r="F202" s="78"/>
      <c r="G202" s="774"/>
      <c r="H202" s="774"/>
      <c r="I202" s="774"/>
      <c r="J202" s="774"/>
      <c r="K202" s="78"/>
      <c r="L202" s="774"/>
      <c r="M202" s="774"/>
      <c r="N202" s="774"/>
      <c r="O202" s="774"/>
      <c r="P202" s="78"/>
      <c r="Q202" s="774"/>
      <c r="R202" s="774"/>
      <c r="S202" s="774"/>
      <c r="T202" s="774"/>
      <c r="U202" s="78"/>
      <c r="V202" s="774"/>
      <c r="W202" s="774"/>
      <c r="X202" s="774"/>
      <c r="Y202" s="774"/>
      <c r="Z202" s="78"/>
      <c r="AA202" s="774"/>
      <c r="AB202" s="774"/>
      <c r="AC202" s="774"/>
      <c r="AD202" s="774"/>
      <c r="AE202" s="78"/>
      <c r="AF202" s="774"/>
      <c r="AG202" s="774"/>
      <c r="AH202" s="774"/>
      <c r="AI202" s="774"/>
      <c r="AJ202" s="78"/>
      <c r="AK202" s="774"/>
      <c r="AL202" s="774"/>
      <c r="AM202" s="774"/>
      <c r="AN202" s="774"/>
      <c r="AO202" s="78"/>
      <c r="AP202" s="774"/>
      <c r="AQ202" s="774"/>
      <c r="AR202" s="774"/>
      <c r="AS202" s="774"/>
      <c r="AT202" s="1119">
        <v>28.431000000000001</v>
      </c>
      <c r="AU202" s="774"/>
      <c r="AV202" s="774"/>
      <c r="AW202" s="774"/>
      <c r="AX202" s="774"/>
      <c r="AY202" s="1119">
        <v>28.431000000000001</v>
      </c>
      <c r="AZ202" s="774"/>
      <c r="BA202" s="774"/>
      <c r="BB202" s="774"/>
      <c r="BC202" s="774"/>
      <c r="BD202" s="1119">
        <v>28.431000000000001</v>
      </c>
      <c r="BE202" s="774"/>
      <c r="BF202" s="774"/>
      <c r="BG202" s="774"/>
      <c r="BH202" s="774"/>
      <c r="BI202" s="1119">
        <v>4.3920000000000003</v>
      </c>
      <c r="BJ202" s="774"/>
      <c r="BK202" s="774"/>
      <c r="BL202" s="774"/>
      <c r="BM202" s="774"/>
      <c r="BN202" s="78"/>
      <c r="BO202" s="774"/>
      <c r="BP202" s="774"/>
      <c r="BQ202" s="774"/>
      <c r="BR202" s="774"/>
      <c r="BS202" s="78"/>
      <c r="BT202" s="775"/>
      <c r="BU202" s="774"/>
      <c r="BV202" s="774"/>
      <c r="BW202" s="774"/>
      <c r="BX202" s="78"/>
      <c r="BY202" s="774"/>
      <c r="BZ202" s="774"/>
      <c r="CA202" s="774"/>
      <c r="CB202" s="774"/>
      <c r="CC202" s="78"/>
      <c r="CD202" s="78"/>
      <c r="CE202" s="78"/>
      <c r="CF202" s="78"/>
      <c r="CG202" s="532"/>
    </row>
    <row r="203" spans="1:85" s="615" customFormat="1" x14ac:dyDescent="0.3">
      <c r="A203" s="522" t="s">
        <v>1893</v>
      </c>
      <c r="B203" s="521"/>
      <c r="C203" s="1122"/>
      <c r="D203" s="1122"/>
      <c r="E203" s="1122"/>
      <c r="F203" s="1122"/>
      <c r="G203" s="520"/>
      <c r="H203" s="520"/>
      <c r="I203" s="520"/>
      <c r="J203" s="520"/>
      <c r="K203" s="1122"/>
      <c r="L203" s="520"/>
      <c r="M203" s="520"/>
      <c r="N203" s="520"/>
      <c r="O203" s="520"/>
      <c r="P203" s="1122"/>
      <c r="Q203" s="520"/>
      <c r="R203" s="520"/>
      <c r="S203" s="520"/>
      <c r="T203" s="520"/>
      <c r="U203" s="1122"/>
      <c r="V203" s="520"/>
      <c r="W203" s="520"/>
      <c r="X203" s="520"/>
      <c r="Y203" s="520"/>
      <c r="Z203" s="1122"/>
      <c r="AA203" s="520"/>
      <c r="AB203" s="520"/>
      <c r="AC203" s="520"/>
      <c r="AD203" s="520"/>
      <c r="AE203" s="1122"/>
      <c r="AF203" s="520"/>
      <c r="AG203" s="520"/>
      <c r="AH203" s="520"/>
      <c r="AI203" s="520"/>
      <c r="AJ203" s="1122"/>
      <c r="AK203" s="520"/>
      <c r="AL203" s="520"/>
      <c r="AM203" s="520"/>
      <c r="AN203" s="520"/>
      <c r="AO203" s="1122"/>
      <c r="AP203" s="520"/>
      <c r="AQ203" s="520"/>
      <c r="AR203" s="520"/>
      <c r="AS203" s="520"/>
      <c r="AT203" s="1123">
        <v>155.35</v>
      </c>
      <c r="AU203" s="526"/>
      <c r="AV203" s="526"/>
      <c r="AW203" s="526"/>
      <c r="AX203" s="526"/>
      <c r="AY203" s="1123">
        <v>155.35</v>
      </c>
      <c r="AZ203" s="526"/>
      <c r="BA203" s="526"/>
      <c r="BB203" s="526"/>
      <c r="BC203" s="526"/>
      <c r="BD203" s="1123">
        <v>155.35</v>
      </c>
      <c r="BE203" s="520"/>
      <c r="BF203" s="520"/>
      <c r="BG203" s="520"/>
      <c r="BH203" s="520"/>
      <c r="BI203" s="1123">
        <v>155.35</v>
      </c>
      <c r="BJ203" s="520"/>
      <c r="BK203" s="520"/>
      <c r="BL203" s="520"/>
      <c r="BM203" s="520"/>
      <c r="BN203" s="1124"/>
      <c r="BO203" s="520"/>
      <c r="BP203" s="520"/>
      <c r="BQ203" s="520"/>
      <c r="BR203" s="520"/>
      <c r="BS203" s="1124"/>
      <c r="BT203" s="728"/>
      <c r="BU203" s="520"/>
      <c r="BV203" s="520"/>
      <c r="BW203" s="520"/>
      <c r="BX203" s="1122"/>
      <c r="BY203" s="520"/>
      <c r="BZ203" s="520"/>
      <c r="CA203" s="520"/>
      <c r="CB203" s="520"/>
      <c r="CC203" s="1122"/>
      <c r="CD203" s="1122"/>
      <c r="CE203" s="1122"/>
      <c r="CF203" s="1122"/>
      <c r="CG203" s="519"/>
    </row>
    <row r="204" spans="1:85" s="614" customFormat="1" x14ac:dyDescent="0.3">
      <c r="A204" s="522"/>
      <c r="B204" s="352"/>
      <c r="C204" s="1094"/>
      <c r="D204" s="1094"/>
      <c r="E204" s="1094"/>
      <c r="F204" s="1094"/>
      <c r="G204" s="197"/>
      <c r="H204" s="197"/>
      <c r="I204" s="197"/>
      <c r="J204" s="197"/>
      <c r="K204" s="1094"/>
      <c r="L204" s="197"/>
      <c r="M204" s="197"/>
      <c r="N204" s="197"/>
      <c r="O204" s="197"/>
      <c r="P204" s="1094"/>
      <c r="Q204" s="197"/>
      <c r="R204" s="197"/>
      <c r="S204" s="197"/>
      <c r="T204" s="197"/>
      <c r="U204" s="1094"/>
      <c r="V204" s="197"/>
      <c r="W204" s="197"/>
      <c r="X204" s="197"/>
      <c r="Y204" s="197"/>
      <c r="Z204" s="1094"/>
      <c r="AA204" s="197"/>
      <c r="AB204" s="197"/>
      <c r="AC204" s="197"/>
      <c r="AD204" s="197"/>
      <c r="AE204" s="1094"/>
      <c r="AF204" s="197"/>
      <c r="AG204" s="197"/>
      <c r="AH204" s="197"/>
      <c r="AI204" s="197"/>
      <c r="AJ204" s="1094"/>
      <c r="AK204" s="197"/>
      <c r="AL204" s="197"/>
      <c r="AM204" s="197"/>
      <c r="AN204" s="197"/>
      <c r="AO204" s="1094"/>
      <c r="AP204" s="197"/>
      <c r="AQ204" s="197"/>
      <c r="AR204" s="197"/>
      <c r="AS204" s="197"/>
      <c r="AT204" s="198"/>
      <c r="AU204" s="194"/>
      <c r="AV204" s="194"/>
      <c r="AW204" s="194"/>
      <c r="AX204" s="194"/>
      <c r="AY204" s="198"/>
      <c r="AZ204" s="194"/>
      <c r="BA204" s="194"/>
      <c r="BB204" s="194"/>
      <c r="BC204" s="194"/>
      <c r="BD204" s="198"/>
      <c r="BE204" s="197"/>
      <c r="BF204" s="197"/>
      <c r="BG204" s="197"/>
      <c r="BH204" s="197"/>
      <c r="BI204" s="198"/>
      <c r="BJ204" s="197"/>
      <c r="BK204" s="197"/>
      <c r="BL204" s="197"/>
      <c r="BM204" s="197"/>
      <c r="BN204" s="198"/>
      <c r="BO204" s="197"/>
      <c r="BP204" s="197"/>
      <c r="BQ204" s="197"/>
      <c r="BR204" s="197"/>
      <c r="BS204" s="198"/>
      <c r="BT204" s="727"/>
      <c r="BU204" s="197"/>
      <c r="BV204" s="197"/>
      <c r="BW204" s="197"/>
      <c r="BX204" s="1094"/>
      <c r="BY204" s="197"/>
      <c r="BZ204" s="197"/>
      <c r="CA204" s="197"/>
      <c r="CB204" s="197"/>
      <c r="CC204" s="1094"/>
      <c r="CD204" s="1094"/>
      <c r="CE204" s="1094"/>
      <c r="CF204" s="1094"/>
      <c r="CG204" s="349"/>
    </row>
    <row r="205" spans="1:85" s="613" customFormat="1" x14ac:dyDescent="0.3">
      <c r="A205" s="478" t="s">
        <v>1892</v>
      </c>
      <c r="B205" s="523"/>
      <c r="C205" s="78"/>
      <c r="D205" s="78"/>
      <c r="E205" s="78"/>
      <c r="F205" s="78"/>
      <c r="G205" s="774"/>
      <c r="H205" s="774"/>
      <c r="I205" s="774"/>
      <c r="J205" s="774"/>
      <c r="K205" s="78"/>
      <c r="L205" s="774"/>
      <c r="M205" s="774"/>
      <c r="N205" s="774"/>
      <c r="O205" s="774"/>
      <c r="P205" s="78"/>
      <c r="Q205" s="774"/>
      <c r="R205" s="774"/>
      <c r="S205" s="774"/>
      <c r="T205" s="774"/>
      <c r="U205" s="78"/>
      <c r="V205" s="774"/>
      <c r="W205" s="774"/>
      <c r="X205" s="774"/>
      <c r="Y205" s="774"/>
      <c r="Z205" s="78"/>
      <c r="AA205" s="774"/>
      <c r="AB205" s="774"/>
      <c r="AC205" s="774"/>
      <c r="AD205" s="774"/>
      <c r="AE205" s="78"/>
      <c r="AF205" s="774"/>
      <c r="AG205" s="774"/>
      <c r="AH205" s="774"/>
      <c r="AI205" s="774"/>
      <c r="AJ205" s="78"/>
      <c r="AK205" s="774"/>
      <c r="AL205" s="774"/>
      <c r="AM205" s="774"/>
      <c r="AN205" s="774"/>
      <c r="AO205" s="78"/>
      <c r="AP205" s="774"/>
      <c r="AQ205" s="774"/>
      <c r="AR205" s="774"/>
      <c r="AS205" s="774"/>
      <c r="AT205" s="1119">
        <v>27.097000000000001</v>
      </c>
      <c r="AU205" s="774"/>
      <c r="AV205" s="774"/>
      <c r="AW205" s="774"/>
      <c r="AX205" s="774"/>
      <c r="AY205" s="1119">
        <v>27.097000000000001</v>
      </c>
      <c r="AZ205" s="774"/>
      <c r="BA205" s="774"/>
      <c r="BB205" s="774"/>
      <c r="BC205" s="774"/>
      <c r="BD205" s="1119">
        <v>27.097000000000001</v>
      </c>
      <c r="BE205" s="774"/>
      <c r="BF205" s="774"/>
      <c r="BG205" s="774"/>
      <c r="BH205" s="774"/>
      <c r="BI205" s="1119">
        <v>4.1859999999999999</v>
      </c>
      <c r="BJ205" s="774"/>
      <c r="BK205" s="774"/>
      <c r="BL205" s="774"/>
      <c r="BM205" s="774"/>
      <c r="BN205" s="78"/>
      <c r="BO205" s="774"/>
      <c r="BP205" s="774"/>
      <c r="BQ205" s="774"/>
      <c r="BR205" s="774"/>
      <c r="BS205" s="78"/>
      <c r="BT205" s="775"/>
      <c r="BU205" s="774"/>
      <c r="BV205" s="774"/>
      <c r="BW205" s="774"/>
      <c r="BX205" s="78"/>
      <c r="BY205" s="774"/>
      <c r="BZ205" s="774"/>
      <c r="CA205" s="774"/>
      <c r="CB205" s="774"/>
      <c r="CC205" s="78"/>
      <c r="CD205" s="78"/>
      <c r="CE205" s="78"/>
      <c r="CF205" s="78"/>
      <c r="CG205" s="532"/>
    </row>
    <row r="206" spans="1:85" s="615" customFormat="1" x14ac:dyDescent="0.3">
      <c r="A206" s="522" t="s">
        <v>1891</v>
      </c>
      <c r="B206" s="521"/>
      <c r="C206" s="1122"/>
      <c r="D206" s="1122"/>
      <c r="E206" s="1122"/>
      <c r="F206" s="1122"/>
      <c r="G206" s="520"/>
      <c r="H206" s="520"/>
      <c r="I206" s="520"/>
      <c r="J206" s="520"/>
      <c r="K206" s="1122"/>
      <c r="L206" s="520"/>
      <c r="M206" s="520"/>
      <c r="N206" s="520"/>
      <c r="O206" s="520"/>
      <c r="P206" s="1122"/>
      <c r="Q206" s="520"/>
      <c r="R206" s="520"/>
      <c r="S206" s="520"/>
      <c r="T206" s="520"/>
      <c r="U206" s="1122"/>
      <c r="V206" s="520"/>
      <c r="W206" s="520"/>
      <c r="X206" s="520"/>
      <c r="Y206" s="520"/>
      <c r="Z206" s="1122"/>
      <c r="AA206" s="520"/>
      <c r="AB206" s="520"/>
      <c r="AC206" s="520"/>
      <c r="AD206" s="520"/>
      <c r="AE206" s="1122"/>
      <c r="AF206" s="520"/>
      <c r="AG206" s="520"/>
      <c r="AH206" s="520"/>
      <c r="AI206" s="520"/>
      <c r="AJ206" s="1122"/>
      <c r="AK206" s="520"/>
      <c r="AL206" s="520"/>
      <c r="AM206" s="520"/>
      <c r="AN206" s="520"/>
      <c r="AO206" s="1122"/>
      <c r="AP206" s="520"/>
      <c r="AQ206" s="520"/>
      <c r="AR206" s="520"/>
      <c r="AS206" s="520"/>
      <c r="AT206" s="1123">
        <v>162.99</v>
      </c>
      <c r="AU206" s="526"/>
      <c r="AV206" s="526"/>
      <c r="AW206" s="526"/>
      <c r="AX206" s="526"/>
      <c r="AY206" s="1123">
        <v>162.99</v>
      </c>
      <c r="AZ206" s="526"/>
      <c r="BA206" s="526"/>
      <c r="BB206" s="526"/>
      <c r="BC206" s="526"/>
      <c r="BD206" s="1123">
        <v>162.99</v>
      </c>
      <c r="BE206" s="520"/>
      <c r="BF206" s="520"/>
      <c r="BG206" s="520"/>
      <c r="BH206" s="520"/>
      <c r="BI206" s="1123">
        <v>162.99</v>
      </c>
      <c r="BJ206" s="520"/>
      <c r="BK206" s="520"/>
      <c r="BL206" s="520"/>
      <c r="BM206" s="520"/>
      <c r="BN206" s="1124"/>
      <c r="BO206" s="520"/>
      <c r="BP206" s="520"/>
      <c r="BQ206" s="520"/>
      <c r="BR206" s="520"/>
      <c r="BS206" s="1124"/>
      <c r="BT206" s="728"/>
      <c r="BU206" s="520"/>
      <c r="BV206" s="520"/>
      <c r="BW206" s="520"/>
      <c r="BX206" s="1122"/>
      <c r="BY206" s="520"/>
      <c r="BZ206" s="520"/>
      <c r="CA206" s="520"/>
      <c r="CB206" s="520"/>
      <c r="CC206" s="1122"/>
      <c r="CD206" s="1122"/>
      <c r="CE206" s="1122"/>
      <c r="CF206" s="1122"/>
      <c r="CG206" s="519"/>
    </row>
    <row r="207" spans="1:85" s="614" customFormat="1" x14ac:dyDescent="0.3">
      <c r="A207" s="522"/>
      <c r="B207" s="352"/>
      <c r="C207" s="1094"/>
      <c r="D207" s="1094"/>
      <c r="E207" s="1094"/>
      <c r="F207" s="1094"/>
      <c r="G207" s="197"/>
      <c r="H207" s="197"/>
      <c r="I207" s="197"/>
      <c r="J207" s="197"/>
      <c r="K207" s="1094"/>
      <c r="L207" s="197"/>
      <c r="M207" s="197"/>
      <c r="N207" s="197"/>
      <c r="O207" s="197"/>
      <c r="P207" s="1094"/>
      <c r="Q207" s="197"/>
      <c r="R207" s="197"/>
      <c r="S207" s="197"/>
      <c r="T207" s="197"/>
      <c r="U207" s="1094"/>
      <c r="V207" s="197"/>
      <c r="W207" s="197"/>
      <c r="X207" s="197"/>
      <c r="Y207" s="197"/>
      <c r="Z207" s="1094"/>
      <c r="AA207" s="197"/>
      <c r="AB207" s="197"/>
      <c r="AC207" s="197"/>
      <c r="AD207" s="197"/>
      <c r="AE207" s="1094"/>
      <c r="AF207" s="197"/>
      <c r="AG207" s="197"/>
      <c r="AH207" s="197"/>
      <c r="AI207" s="197"/>
      <c r="AJ207" s="1094"/>
      <c r="AK207" s="197"/>
      <c r="AL207" s="197"/>
      <c r="AM207" s="197"/>
      <c r="AN207" s="197"/>
      <c r="AO207" s="1094"/>
      <c r="AP207" s="197"/>
      <c r="AQ207" s="197"/>
      <c r="AR207" s="197"/>
      <c r="AS207" s="197"/>
      <c r="AT207" s="198"/>
      <c r="AU207" s="194"/>
      <c r="AV207" s="194"/>
      <c r="AW207" s="194"/>
      <c r="AX207" s="194"/>
      <c r="AY207" s="198"/>
      <c r="AZ207" s="194"/>
      <c r="BA207" s="194"/>
      <c r="BB207" s="194"/>
      <c r="BC207" s="194"/>
      <c r="BD207" s="198"/>
      <c r="BE207" s="197"/>
      <c r="BF207" s="197"/>
      <c r="BG207" s="197"/>
      <c r="BH207" s="197"/>
      <c r="BI207" s="198"/>
      <c r="BJ207" s="197"/>
      <c r="BK207" s="197"/>
      <c r="BL207" s="197"/>
      <c r="BM207" s="197"/>
      <c r="BN207" s="198"/>
      <c r="BO207" s="197"/>
      <c r="BP207" s="197"/>
      <c r="BQ207" s="197"/>
      <c r="BR207" s="197"/>
      <c r="BS207" s="198"/>
      <c r="BT207" s="727"/>
      <c r="BU207" s="197"/>
      <c r="BV207" s="197"/>
      <c r="BW207" s="197"/>
      <c r="BX207" s="1094"/>
      <c r="BY207" s="197"/>
      <c r="BZ207" s="197"/>
      <c r="CA207" s="197"/>
      <c r="CB207" s="197"/>
      <c r="CC207" s="1094"/>
      <c r="CD207" s="1094"/>
      <c r="CE207" s="1094"/>
      <c r="CF207" s="1094"/>
      <c r="CG207" s="349"/>
    </row>
    <row r="208" spans="1:85" s="613" customFormat="1" x14ac:dyDescent="0.3">
      <c r="A208" s="478" t="s">
        <v>1890</v>
      </c>
      <c r="B208" s="523"/>
      <c r="C208" s="78"/>
      <c r="D208" s="78"/>
      <c r="E208" s="78"/>
      <c r="F208" s="78"/>
      <c r="G208" s="774"/>
      <c r="H208" s="774"/>
      <c r="I208" s="774"/>
      <c r="J208" s="774"/>
      <c r="K208" s="78"/>
      <c r="L208" s="774"/>
      <c r="M208" s="774"/>
      <c r="N208" s="774"/>
      <c r="O208" s="774"/>
      <c r="P208" s="78"/>
      <c r="Q208" s="774"/>
      <c r="R208" s="774"/>
      <c r="S208" s="774"/>
      <c r="T208" s="774"/>
      <c r="U208" s="78"/>
      <c r="V208" s="774"/>
      <c r="W208" s="774"/>
      <c r="X208" s="774"/>
      <c r="Y208" s="774"/>
      <c r="Z208" s="78"/>
      <c r="AA208" s="774"/>
      <c r="AB208" s="774"/>
      <c r="AC208" s="774"/>
      <c r="AD208" s="774"/>
      <c r="AE208" s="78"/>
      <c r="AF208" s="774"/>
      <c r="AG208" s="774"/>
      <c r="AH208" s="774"/>
      <c r="AI208" s="774"/>
      <c r="AJ208" s="78"/>
      <c r="AK208" s="774"/>
      <c r="AL208" s="774"/>
      <c r="AM208" s="774"/>
      <c r="AN208" s="774"/>
      <c r="AO208" s="78"/>
      <c r="AP208" s="774"/>
      <c r="AQ208" s="774"/>
      <c r="AR208" s="774"/>
      <c r="AS208" s="774"/>
      <c r="AT208" s="1119">
        <v>30.216000000000001</v>
      </c>
      <c r="AU208" s="774"/>
      <c r="AV208" s="774"/>
      <c r="AW208" s="774"/>
      <c r="AX208" s="774"/>
      <c r="AY208" s="1119">
        <v>30.216000000000001</v>
      </c>
      <c r="AZ208" s="774"/>
      <c r="BA208" s="774"/>
      <c r="BB208" s="774"/>
      <c r="BC208" s="774"/>
      <c r="BD208" s="1119">
        <v>30.216000000000001</v>
      </c>
      <c r="BE208" s="774"/>
      <c r="BF208" s="774"/>
      <c r="BG208" s="774"/>
      <c r="BH208" s="774"/>
      <c r="BI208" s="1119">
        <v>4.6680000000000001</v>
      </c>
      <c r="BJ208" s="774"/>
      <c r="BK208" s="774"/>
      <c r="BL208" s="774"/>
      <c r="BM208" s="774"/>
      <c r="BN208" s="1119">
        <v>4.6680000000000001</v>
      </c>
      <c r="BO208" s="774"/>
      <c r="BP208" s="774"/>
      <c r="BQ208" s="774"/>
      <c r="BR208" s="774"/>
      <c r="BS208" s="78"/>
      <c r="BT208" s="775"/>
      <c r="BU208" s="774"/>
      <c r="BV208" s="774"/>
      <c r="BW208" s="774"/>
      <c r="BX208" s="78"/>
      <c r="BY208" s="774"/>
      <c r="BZ208" s="774"/>
      <c r="CA208" s="774"/>
      <c r="CB208" s="774"/>
      <c r="CC208" s="78"/>
      <c r="CD208" s="78"/>
      <c r="CE208" s="78"/>
      <c r="CF208" s="78"/>
      <c r="CG208" s="532"/>
    </row>
    <row r="209" spans="1:85" s="615" customFormat="1" x14ac:dyDescent="0.3">
      <c r="A209" s="522" t="s">
        <v>1889</v>
      </c>
      <c r="B209" s="521"/>
      <c r="C209" s="1122"/>
      <c r="D209" s="1122"/>
      <c r="E209" s="1122"/>
      <c r="F209" s="1122"/>
      <c r="G209" s="520"/>
      <c r="H209" s="520"/>
      <c r="I209" s="520"/>
      <c r="J209" s="520"/>
      <c r="K209" s="1122"/>
      <c r="L209" s="520"/>
      <c r="M209" s="520"/>
      <c r="N209" s="520"/>
      <c r="O209" s="520"/>
      <c r="P209" s="1122"/>
      <c r="Q209" s="520"/>
      <c r="R209" s="520"/>
      <c r="S209" s="520"/>
      <c r="T209" s="520"/>
      <c r="U209" s="1122"/>
      <c r="V209" s="520"/>
      <c r="W209" s="520"/>
      <c r="X209" s="520"/>
      <c r="Y209" s="520"/>
      <c r="Z209" s="1122"/>
      <c r="AA209" s="520"/>
      <c r="AB209" s="520"/>
      <c r="AC209" s="520"/>
      <c r="AD209" s="520"/>
      <c r="AE209" s="1122"/>
      <c r="AF209" s="520"/>
      <c r="AG209" s="520"/>
      <c r="AH209" s="520"/>
      <c r="AI209" s="520"/>
      <c r="AJ209" s="1122"/>
      <c r="AK209" s="520"/>
      <c r="AL209" s="520"/>
      <c r="AM209" s="520"/>
      <c r="AN209" s="520"/>
      <c r="AO209" s="1122"/>
      <c r="AP209" s="520"/>
      <c r="AQ209" s="520"/>
      <c r="AR209" s="520"/>
      <c r="AS209" s="520"/>
      <c r="AT209" s="1123">
        <v>146.16999999999999</v>
      </c>
      <c r="AU209" s="526"/>
      <c r="AV209" s="526"/>
      <c r="AW209" s="526"/>
      <c r="AX209" s="526"/>
      <c r="AY209" s="1123">
        <v>146.16999999999999</v>
      </c>
      <c r="AZ209" s="526"/>
      <c r="BA209" s="526"/>
      <c r="BB209" s="526"/>
      <c r="BC209" s="526"/>
      <c r="BD209" s="1123">
        <v>146.16999999999999</v>
      </c>
      <c r="BE209" s="520"/>
      <c r="BF209" s="520"/>
      <c r="BG209" s="520"/>
      <c r="BH209" s="520"/>
      <c r="BI209" s="1123">
        <v>146.16999999999999</v>
      </c>
      <c r="BJ209" s="520"/>
      <c r="BK209" s="520"/>
      <c r="BL209" s="520"/>
      <c r="BM209" s="520"/>
      <c r="BN209" s="1123">
        <v>146.16999999999999</v>
      </c>
      <c r="BO209" s="520"/>
      <c r="BP209" s="520"/>
      <c r="BQ209" s="520"/>
      <c r="BR209" s="520"/>
      <c r="BS209" s="1124"/>
      <c r="BT209" s="728"/>
      <c r="BU209" s="520"/>
      <c r="BV209" s="520"/>
      <c r="BW209" s="520"/>
      <c r="BX209" s="1122"/>
      <c r="BY209" s="520"/>
      <c r="BZ209" s="520"/>
      <c r="CA209" s="520"/>
      <c r="CB209" s="520"/>
      <c r="CC209" s="1122"/>
      <c r="CD209" s="1122"/>
      <c r="CE209" s="1122"/>
      <c r="CF209" s="1122"/>
      <c r="CG209" s="519"/>
    </row>
    <row r="210" spans="1:85" s="614" customFormat="1" x14ac:dyDescent="0.3">
      <c r="A210" s="522"/>
      <c r="B210" s="352"/>
      <c r="C210" s="1094"/>
      <c r="D210" s="1094"/>
      <c r="E210" s="1094"/>
      <c r="F210" s="1094"/>
      <c r="G210" s="197"/>
      <c r="H210" s="197"/>
      <c r="I210" s="197"/>
      <c r="J210" s="197"/>
      <c r="K210" s="1094"/>
      <c r="L210" s="197"/>
      <c r="M210" s="197"/>
      <c r="N210" s="197"/>
      <c r="O210" s="197"/>
      <c r="P210" s="1094"/>
      <c r="Q210" s="197"/>
      <c r="R210" s="197"/>
      <c r="S210" s="197"/>
      <c r="T210" s="197"/>
      <c r="U210" s="1094"/>
      <c r="V210" s="197"/>
      <c r="W210" s="197"/>
      <c r="X210" s="197"/>
      <c r="Y210" s="197"/>
      <c r="Z210" s="1094"/>
      <c r="AA210" s="197"/>
      <c r="AB210" s="197"/>
      <c r="AC210" s="197"/>
      <c r="AD210" s="197"/>
      <c r="AE210" s="1094"/>
      <c r="AF210" s="197"/>
      <c r="AG210" s="197"/>
      <c r="AH210" s="197"/>
      <c r="AI210" s="197"/>
      <c r="AJ210" s="1094"/>
      <c r="AK210" s="197"/>
      <c r="AL210" s="197"/>
      <c r="AM210" s="197"/>
      <c r="AN210" s="197"/>
      <c r="AO210" s="1094"/>
      <c r="AP210" s="197"/>
      <c r="AQ210" s="197"/>
      <c r="AR210" s="197"/>
      <c r="AS210" s="197"/>
      <c r="AT210" s="198"/>
      <c r="AU210" s="194"/>
      <c r="AV210" s="194"/>
      <c r="AW210" s="194"/>
      <c r="AX210" s="194"/>
      <c r="AY210" s="198"/>
      <c r="AZ210" s="194"/>
      <c r="BA210" s="194"/>
      <c r="BB210" s="194"/>
      <c r="BC210" s="194"/>
      <c r="BD210" s="198"/>
      <c r="BE210" s="197"/>
      <c r="BF210" s="197"/>
      <c r="BG210" s="197"/>
      <c r="BH210" s="197"/>
      <c r="BI210" s="198"/>
      <c r="BJ210" s="197"/>
      <c r="BK210" s="197"/>
      <c r="BL210" s="197"/>
      <c r="BM210" s="197"/>
      <c r="BN210" s="198"/>
      <c r="BO210" s="197"/>
      <c r="BP210" s="197"/>
      <c r="BQ210" s="197"/>
      <c r="BR210" s="197"/>
      <c r="BS210" s="198"/>
      <c r="BT210" s="727"/>
      <c r="BU210" s="197"/>
      <c r="BV210" s="197"/>
      <c r="BW210" s="197"/>
      <c r="BX210" s="1094"/>
      <c r="BY210" s="197"/>
      <c r="BZ210" s="197"/>
      <c r="CA210" s="197"/>
      <c r="CB210" s="197"/>
      <c r="CC210" s="1094"/>
      <c r="CD210" s="1094"/>
      <c r="CE210" s="1094"/>
      <c r="CF210" s="1094"/>
      <c r="CG210" s="349"/>
    </row>
    <row r="211" spans="1:85" s="613" customFormat="1" x14ac:dyDescent="0.3">
      <c r="A211" s="478" t="s">
        <v>1888</v>
      </c>
      <c r="B211" s="523"/>
      <c r="C211" s="78"/>
      <c r="D211" s="78"/>
      <c r="E211" s="78"/>
      <c r="F211" s="78"/>
      <c r="G211" s="774"/>
      <c r="H211" s="774"/>
      <c r="I211" s="774"/>
      <c r="J211" s="774"/>
      <c r="K211" s="78"/>
      <c r="L211" s="774"/>
      <c r="M211" s="774"/>
      <c r="N211" s="774"/>
      <c r="O211" s="774"/>
      <c r="P211" s="78"/>
      <c r="Q211" s="774"/>
      <c r="R211" s="774"/>
      <c r="S211" s="774"/>
      <c r="T211" s="774"/>
      <c r="U211" s="78"/>
      <c r="V211" s="774"/>
      <c r="W211" s="774"/>
      <c r="X211" s="774"/>
      <c r="Y211" s="774"/>
      <c r="Z211" s="78"/>
      <c r="AA211" s="774"/>
      <c r="AB211" s="774"/>
      <c r="AC211" s="774"/>
      <c r="AD211" s="774"/>
      <c r="AE211" s="78"/>
      <c r="AF211" s="774"/>
      <c r="AG211" s="774"/>
      <c r="AH211" s="774"/>
      <c r="AI211" s="774"/>
      <c r="AJ211" s="78"/>
      <c r="AK211" s="774"/>
      <c r="AL211" s="774"/>
      <c r="AM211" s="774"/>
      <c r="AN211" s="774"/>
      <c r="AO211" s="78"/>
      <c r="AP211" s="774"/>
      <c r="AQ211" s="774"/>
      <c r="AR211" s="774"/>
      <c r="AS211" s="774"/>
      <c r="AT211" s="1119">
        <v>24.263999999999999</v>
      </c>
      <c r="AU211" s="774"/>
      <c r="AV211" s="774"/>
      <c r="AW211" s="774"/>
      <c r="AX211" s="774"/>
      <c r="AY211" s="1119">
        <v>24.263999999999999</v>
      </c>
      <c r="AZ211" s="774"/>
      <c r="BA211" s="774"/>
      <c r="BB211" s="774"/>
      <c r="BC211" s="774"/>
      <c r="BD211" s="1119">
        <v>24.263999999999999</v>
      </c>
      <c r="BE211" s="774"/>
      <c r="BF211" s="774"/>
      <c r="BG211" s="774"/>
      <c r="BH211" s="774"/>
      <c r="BI211" s="1119">
        <v>3.891</v>
      </c>
      <c r="BJ211" s="774"/>
      <c r="BK211" s="774"/>
      <c r="BL211" s="774"/>
      <c r="BM211" s="774"/>
      <c r="BN211" s="1119">
        <v>3.891</v>
      </c>
      <c r="BO211" s="774"/>
      <c r="BP211" s="774"/>
      <c r="BQ211" s="774"/>
      <c r="BR211" s="774"/>
      <c r="BS211" s="78"/>
      <c r="BT211" s="775"/>
      <c r="BU211" s="774"/>
      <c r="BV211" s="774"/>
      <c r="BW211" s="774"/>
      <c r="BX211" s="78"/>
      <c r="BY211" s="774"/>
      <c r="BZ211" s="774"/>
      <c r="CA211" s="774"/>
      <c r="CB211" s="774"/>
      <c r="CC211" s="78"/>
      <c r="CD211" s="78"/>
      <c r="CE211" s="78"/>
      <c r="CF211" s="78"/>
      <c r="CG211" s="532"/>
    </row>
    <row r="212" spans="1:85" s="615" customFormat="1" x14ac:dyDescent="0.3">
      <c r="A212" s="522" t="s">
        <v>1887</v>
      </c>
      <c r="B212" s="521"/>
      <c r="C212" s="1122"/>
      <c r="D212" s="1122"/>
      <c r="E212" s="1122"/>
      <c r="F212" s="1122"/>
      <c r="G212" s="520"/>
      <c r="H212" s="520"/>
      <c r="I212" s="520"/>
      <c r="J212" s="520"/>
      <c r="K212" s="1122"/>
      <c r="L212" s="520"/>
      <c r="M212" s="520"/>
      <c r="N212" s="520"/>
      <c r="O212" s="520"/>
      <c r="P212" s="1122"/>
      <c r="Q212" s="520"/>
      <c r="R212" s="520"/>
      <c r="S212" s="520"/>
      <c r="T212" s="520"/>
      <c r="U212" s="1122"/>
      <c r="V212" s="520"/>
      <c r="W212" s="520"/>
      <c r="X212" s="520"/>
      <c r="Y212" s="520"/>
      <c r="Z212" s="1122"/>
      <c r="AA212" s="520"/>
      <c r="AB212" s="520"/>
      <c r="AC212" s="520"/>
      <c r="AD212" s="520"/>
      <c r="AE212" s="1122"/>
      <c r="AF212" s="520"/>
      <c r="AG212" s="520"/>
      <c r="AH212" s="520"/>
      <c r="AI212" s="520"/>
      <c r="AJ212" s="1122"/>
      <c r="AK212" s="520"/>
      <c r="AL212" s="520"/>
      <c r="AM212" s="520"/>
      <c r="AN212" s="520"/>
      <c r="AO212" s="1122"/>
      <c r="AP212" s="520"/>
      <c r="AQ212" s="520"/>
      <c r="AR212" s="520"/>
      <c r="AS212" s="520"/>
      <c r="AT212" s="1123">
        <v>182.03</v>
      </c>
      <c r="AU212" s="526"/>
      <c r="AV212" s="526"/>
      <c r="AW212" s="526"/>
      <c r="AX212" s="526"/>
      <c r="AY212" s="1123">
        <v>182.03</v>
      </c>
      <c r="AZ212" s="526"/>
      <c r="BA212" s="526"/>
      <c r="BB212" s="526"/>
      <c r="BC212" s="526"/>
      <c r="BD212" s="1123">
        <v>182.03</v>
      </c>
      <c r="BE212" s="520"/>
      <c r="BF212" s="520"/>
      <c r="BG212" s="520"/>
      <c r="BH212" s="520"/>
      <c r="BI212" s="1123">
        <v>182.03</v>
      </c>
      <c r="BJ212" s="520"/>
      <c r="BK212" s="520"/>
      <c r="BL212" s="520"/>
      <c r="BM212" s="520"/>
      <c r="BN212" s="1123">
        <v>182.03</v>
      </c>
      <c r="BO212" s="520"/>
      <c r="BP212" s="520"/>
      <c r="BQ212" s="520"/>
      <c r="BR212" s="520"/>
      <c r="BS212" s="1124"/>
      <c r="BT212" s="728"/>
      <c r="BU212" s="520"/>
      <c r="BV212" s="520"/>
      <c r="BW212" s="520"/>
      <c r="BX212" s="1122"/>
      <c r="BY212" s="520"/>
      <c r="BZ212" s="520"/>
      <c r="CA212" s="520"/>
      <c r="CB212" s="520"/>
      <c r="CC212" s="1122"/>
      <c r="CD212" s="1122"/>
      <c r="CE212" s="1122"/>
      <c r="CF212" s="1122"/>
      <c r="CG212" s="519"/>
    </row>
    <row r="213" spans="1:85" s="614" customFormat="1" x14ac:dyDescent="0.3">
      <c r="A213" s="522"/>
      <c r="B213" s="352"/>
      <c r="C213" s="1094"/>
      <c r="D213" s="1094"/>
      <c r="E213" s="1094"/>
      <c r="F213" s="1094"/>
      <c r="G213" s="197"/>
      <c r="H213" s="197"/>
      <c r="I213" s="197"/>
      <c r="J213" s="197"/>
      <c r="K213" s="1094"/>
      <c r="L213" s="197"/>
      <c r="M213" s="197"/>
      <c r="N213" s="197"/>
      <c r="O213" s="197"/>
      <c r="P213" s="1094"/>
      <c r="Q213" s="197"/>
      <c r="R213" s="197"/>
      <c r="S213" s="197"/>
      <c r="T213" s="197"/>
      <c r="U213" s="1094"/>
      <c r="V213" s="197"/>
      <c r="W213" s="197"/>
      <c r="X213" s="197"/>
      <c r="Y213" s="197"/>
      <c r="Z213" s="1094"/>
      <c r="AA213" s="197"/>
      <c r="AB213" s="197"/>
      <c r="AC213" s="197"/>
      <c r="AD213" s="197"/>
      <c r="AE213" s="1094"/>
      <c r="AF213" s="197"/>
      <c r="AG213" s="197"/>
      <c r="AH213" s="197"/>
      <c r="AI213" s="197"/>
      <c r="AJ213" s="1094"/>
      <c r="AK213" s="197"/>
      <c r="AL213" s="197"/>
      <c r="AM213" s="197"/>
      <c r="AN213" s="197"/>
      <c r="AO213" s="1094"/>
      <c r="AP213" s="197"/>
      <c r="AQ213" s="197"/>
      <c r="AR213" s="197"/>
      <c r="AS213" s="197"/>
      <c r="AT213" s="198"/>
      <c r="AU213" s="194"/>
      <c r="AV213" s="194"/>
      <c r="AW213" s="194"/>
      <c r="AX213" s="194"/>
      <c r="AY213" s="198"/>
      <c r="AZ213" s="194"/>
      <c r="BA213" s="194"/>
      <c r="BB213" s="194"/>
      <c r="BC213" s="194"/>
      <c r="BD213" s="198"/>
      <c r="BE213" s="197"/>
      <c r="BF213" s="197"/>
      <c r="BG213" s="197"/>
      <c r="BH213" s="197"/>
      <c r="BI213" s="198"/>
      <c r="BJ213" s="197"/>
      <c r="BK213" s="197"/>
      <c r="BL213" s="197"/>
      <c r="BM213" s="197"/>
      <c r="BN213" s="198"/>
      <c r="BO213" s="197"/>
      <c r="BP213" s="197"/>
      <c r="BQ213" s="197"/>
      <c r="BR213" s="197"/>
      <c r="BS213" s="198"/>
      <c r="BT213" s="727"/>
      <c r="BU213" s="197"/>
      <c r="BV213" s="197"/>
      <c r="BW213" s="197"/>
      <c r="BX213" s="1094"/>
      <c r="BY213" s="197"/>
      <c r="BZ213" s="197"/>
      <c r="CA213" s="197"/>
      <c r="CB213" s="197"/>
      <c r="CC213" s="1094"/>
      <c r="CD213" s="1094"/>
      <c r="CE213" s="1094"/>
      <c r="CF213" s="1094"/>
      <c r="CG213" s="349"/>
    </row>
    <row r="214" spans="1:85" s="613" customFormat="1" x14ac:dyDescent="0.3">
      <c r="A214" s="478" t="s">
        <v>1886</v>
      </c>
      <c r="B214" s="523"/>
      <c r="C214" s="78"/>
      <c r="D214" s="78"/>
      <c r="E214" s="78"/>
      <c r="F214" s="78"/>
      <c r="G214" s="774"/>
      <c r="H214" s="774"/>
      <c r="I214" s="774"/>
      <c r="J214" s="774"/>
      <c r="K214" s="78"/>
      <c r="L214" s="774"/>
      <c r="M214" s="774"/>
      <c r="N214" s="774"/>
      <c r="O214" s="774"/>
      <c r="P214" s="78"/>
      <c r="Q214" s="774"/>
      <c r="R214" s="774"/>
      <c r="S214" s="774"/>
      <c r="T214" s="774"/>
      <c r="U214" s="78"/>
      <c r="V214" s="774"/>
      <c r="W214" s="774"/>
      <c r="X214" s="774"/>
      <c r="Y214" s="774"/>
      <c r="Z214" s="78"/>
      <c r="AA214" s="774"/>
      <c r="AB214" s="774"/>
      <c r="AC214" s="774"/>
      <c r="AD214" s="774"/>
      <c r="AE214" s="78"/>
      <c r="AF214" s="774"/>
      <c r="AG214" s="774"/>
      <c r="AH214" s="774"/>
      <c r="AI214" s="774"/>
      <c r="AJ214" s="78"/>
      <c r="AK214" s="774"/>
      <c r="AL214" s="774"/>
      <c r="AM214" s="774"/>
      <c r="AN214" s="774"/>
      <c r="AO214" s="78"/>
      <c r="AP214" s="774"/>
      <c r="AQ214" s="774"/>
      <c r="AR214" s="774"/>
      <c r="AS214" s="774"/>
      <c r="AT214" s="1119">
        <v>25.274999999999999</v>
      </c>
      <c r="AU214" s="774"/>
      <c r="AV214" s="774"/>
      <c r="AW214" s="774"/>
      <c r="AX214" s="774"/>
      <c r="AY214" s="1119">
        <v>25.274999999999999</v>
      </c>
      <c r="AZ214" s="774"/>
      <c r="BA214" s="774"/>
      <c r="BB214" s="774"/>
      <c r="BC214" s="774"/>
      <c r="BD214" s="1119">
        <v>25.274999999999999</v>
      </c>
      <c r="BE214" s="774"/>
      <c r="BF214" s="774"/>
      <c r="BG214" s="774"/>
      <c r="BH214" s="774"/>
      <c r="BI214" s="1119">
        <v>4.0540000000000003</v>
      </c>
      <c r="BJ214" s="774"/>
      <c r="BK214" s="774"/>
      <c r="BL214" s="774"/>
      <c r="BM214" s="774"/>
      <c r="BN214" s="1119">
        <v>4.0540000000000003</v>
      </c>
      <c r="BO214" s="774"/>
      <c r="BP214" s="774"/>
      <c r="BQ214" s="774"/>
      <c r="BR214" s="774"/>
      <c r="BS214" s="78"/>
      <c r="BT214" s="775"/>
      <c r="BU214" s="774"/>
      <c r="BV214" s="774"/>
      <c r="BW214" s="774"/>
      <c r="BX214" s="78"/>
      <c r="BY214" s="774"/>
      <c r="BZ214" s="774"/>
      <c r="CA214" s="774"/>
      <c r="CB214" s="774"/>
      <c r="CC214" s="78"/>
      <c r="CD214" s="78"/>
      <c r="CE214" s="78"/>
      <c r="CF214" s="78"/>
      <c r="CG214" s="532"/>
    </row>
    <row r="215" spans="1:85" s="615" customFormat="1" x14ac:dyDescent="0.3">
      <c r="A215" s="522" t="s">
        <v>1885</v>
      </c>
      <c r="B215" s="521"/>
      <c r="C215" s="1122"/>
      <c r="D215" s="1122"/>
      <c r="E215" s="1122"/>
      <c r="F215" s="1122"/>
      <c r="G215" s="520"/>
      <c r="H215" s="520"/>
      <c r="I215" s="520"/>
      <c r="J215" s="520"/>
      <c r="K215" s="1122"/>
      <c r="L215" s="520"/>
      <c r="M215" s="520"/>
      <c r="N215" s="520"/>
      <c r="O215" s="520"/>
      <c r="P215" s="1122"/>
      <c r="Q215" s="520"/>
      <c r="R215" s="520"/>
      <c r="S215" s="520"/>
      <c r="T215" s="520"/>
      <c r="U215" s="1122"/>
      <c r="V215" s="520"/>
      <c r="W215" s="520"/>
      <c r="X215" s="520"/>
      <c r="Y215" s="520"/>
      <c r="Z215" s="1122"/>
      <c r="AA215" s="520"/>
      <c r="AB215" s="520"/>
      <c r="AC215" s="520"/>
      <c r="AD215" s="520"/>
      <c r="AE215" s="1122"/>
      <c r="AF215" s="520"/>
      <c r="AG215" s="520"/>
      <c r="AH215" s="520"/>
      <c r="AI215" s="520"/>
      <c r="AJ215" s="1122"/>
      <c r="AK215" s="520"/>
      <c r="AL215" s="520"/>
      <c r="AM215" s="520"/>
      <c r="AN215" s="520"/>
      <c r="AO215" s="1122"/>
      <c r="AP215" s="520"/>
      <c r="AQ215" s="520"/>
      <c r="AR215" s="520"/>
      <c r="AS215" s="520"/>
      <c r="AT215" s="1123">
        <v>174.74</v>
      </c>
      <c r="AU215" s="526"/>
      <c r="AV215" s="526"/>
      <c r="AW215" s="526"/>
      <c r="AX215" s="526"/>
      <c r="AY215" s="1123">
        <v>174.74</v>
      </c>
      <c r="AZ215" s="526"/>
      <c r="BA215" s="526"/>
      <c r="BB215" s="526"/>
      <c r="BC215" s="526"/>
      <c r="BD215" s="1123">
        <v>174.74</v>
      </c>
      <c r="BE215" s="520"/>
      <c r="BF215" s="520"/>
      <c r="BG215" s="520"/>
      <c r="BH215" s="520"/>
      <c r="BI215" s="1123">
        <v>174.74</v>
      </c>
      <c r="BJ215" s="520"/>
      <c r="BK215" s="520"/>
      <c r="BL215" s="520"/>
      <c r="BM215" s="520"/>
      <c r="BN215" s="1123">
        <v>174.74</v>
      </c>
      <c r="BO215" s="520"/>
      <c r="BP215" s="520"/>
      <c r="BQ215" s="520"/>
      <c r="BR215" s="520"/>
      <c r="BS215" s="1124"/>
      <c r="BT215" s="728"/>
      <c r="BU215" s="520"/>
      <c r="BV215" s="520"/>
      <c r="BW215" s="520"/>
      <c r="BX215" s="1122"/>
      <c r="BY215" s="520"/>
      <c r="BZ215" s="520"/>
      <c r="CA215" s="520"/>
      <c r="CB215" s="520"/>
      <c r="CC215" s="1122"/>
      <c r="CD215" s="1122"/>
      <c r="CE215" s="1122"/>
      <c r="CF215" s="1122"/>
      <c r="CG215" s="519"/>
    </row>
    <row r="216" spans="1:85" s="614" customFormat="1" x14ac:dyDescent="0.3">
      <c r="A216" s="522"/>
      <c r="B216" s="352"/>
      <c r="C216" s="1094"/>
      <c r="D216" s="1094"/>
      <c r="E216" s="1094"/>
      <c r="F216" s="1094"/>
      <c r="G216" s="197"/>
      <c r="H216" s="197"/>
      <c r="I216" s="197"/>
      <c r="J216" s="197"/>
      <c r="K216" s="1094"/>
      <c r="L216" s="197"/>
      <c r="M216" s="197"/>
      <c r="N216" s="197"/>
      <c r="O216" s="197"/>
      <c r="P216" s="1094"/>
      <c r="Q216" s="197"/>
      <c r="R216" s="197"/>
      <c r="S216" s="197"/>
      <c r="T216" s="197"/>
      <c r="U216" s="1094"/>
      <c r="V216" s="197"/>
      <c r="W216" s="197"/>
      <c r="X216" s="197"/>
      <c r="Y216" s="197"/>
      <c r="Z216" s="1094"/>
      <c r="AA216" s="197"/>
      <c r="AB216" s="197"/>
      <c r="AC216" s="197"/>
      <c r="AD216" s="197"/>
      <c r="AE216" s="1094"/>
      <c r="AF216" s="197"/>
      <c r="AG216" s="197"/>
      <c r="AH216" s="197"/>
      <c r="AI216" s="197"/>
      <c r="AJ216" s="1094"/>
      <c r="AK216" s="197"/>
      <c r="AL216" s="197"/>
      <c r="AM216" s="197"/>
      <c r="AN216" s="197"/>
      <c r="AO216" s="1094"/>
      <c r="AP216" s="197"/>
      <c r="AQ216" s="197"/>
      <c r="AR216" s="197"/>
      <c r="AS216" s="197"/>
      <c r="AT216" s="198"/>
      <c r="AU216" s="194"/>
      <c r="AV216" s="194"/>
      <c r="AW216" s="194"/>
      <c r="AX216" s="194"/>
      <c r="AY216" s="198"/>
      <c r="AZ216" s="194"/>
      <c r="BA216" s="194"/>
      <c r="BB216" s="194"/>
      <c r="BC216" s="194"/>
      <c r="BD216" s="198"/>
      <c r="BE216" s="197"/>
      <c r="BF216" s="197"/>
      <c r="BG216" s="197"/>
      <c r="BH216" s="197"/>
      <c r="BI216" s="198"/>
      <c r="BJ216" s="197"/>
      <c r="BK216" s="197"/>
      <c r="BL216" s="197"/>
      <c r="BM216" s="197"/>
      <c r="BN216" s="198"/>
      <c r="BO216" s="197"/>
      <c r="BP216" s="197"/>
      <c r="BQ216" s="197"/>
      <c r="BR216" s="197"/>
      <c r="BS216" s="198"/>
      <c r="BT216" s="727"/>
      <c r="BU216" s="197"/>
      <c r="BV216" s="197"/>
      <c r="BW216" s="197"/>
      <c r="BX216" s="1094"/>
      <c r="BY216" s="197"/>
      <c r="BZ216" s="197"/>
      <c r="CA216" s="197"/>
      <c r="CB216" s="197"/>
      <c r="CC216" s="1094"/>
      <c r="CD216" s="1094"/>
      <c r="CE216" s="1094"/>
      <c r="CF216" s="1094"/>
      <c r="CG216" s="349"/>
    </row>
    <row r="217" spans="1:85" s="613" customFormat="1" x14ac:dyDescent="0.3">
      <c r="A217" s="478" t="s">
        <v>1884</v>
      </c>
      <c r="B217" s="523"/>
      <c r="C217" s="78"/>
      <c r="D217" s="78"/>
      <c r="E217" s="78"/>
      <c r="F217" s="78"/>
      <c r="G217" s="774"/>
      <c r="H217" s="774"/>
      <c r="I217" s="774"/>
      <c r="J217" s="774"/>
      <c r="K217" s="78"/>
      <c r="L217" s="774"/>
      <c r="M217" s="774"/>
      <c r="N217" s="774"/>
      <c r="O217" s="774"/>
      <c r="P217" s="78"/>
      <c r="Q217" s="774"/>
      <c r="R217" s="774"/>
      <c r="S217" s="774"/>
      <c r="T217" s="774"/>
      <c r="U217" s="78"/>
      <c r="V217" s="774"/>
      <c r="W217" s="774"/>
      <c r="X217" s="774"/>
      <c r="Y217" s="774"/>
      <c r="Z217" s="78"/>
      <c r="AA217" s="774"/>
      <c r="AB217" s="774"/>
      <c r="AC217" s="774"/>
      <c r="AD217" s="774"/>
      <c r="AE217" s="78"/>
      <c r="AF217" s="774"/>
      <c r="AG217" s="774"/>
      <c r="AH217" s="774"/>
      <c r="AI217" s="774"/>
      <c r="AJ217" s="78"/>
      <c r="AK217" s="774"/>
      <c r="AL217" s="774"/>
      <c r="AM217" s="774"/>
      <c r="AN217" s="774"/>
      <c r="AO217" s="78"/>
      <c r="AP217" s="774"/>
      <c r="AQ217" s="774"/>
      <c r="AR217" s="774"/>
      <c r="AS217" s="774"/>
      <c r="AT217" s="1119">
        <v>24.952000000000002</v>
      </c>
      <c r="AU217" s="774"/>
      <c r="AV217" s="774"/>
      <c r="AW217" s="774"/>
      <c r="AX217" s="774"/>
      <c r="AY217" s="1119">
        <v>24.952000000000002</v>
      </c>
      <c r="AZ217" s="774"/>
      <c r="BA217" s="774"/>
      <c r="BB217" s="774"/>
      <c r="BC217" s="774"/>
      <c r="BD217" s="1119">
        <v>24.952000000000002</v>
      </c>
      <c r="BE217" s="774"/>
      <c r="BF217" s="774"/>
      <c r="BG217" s="774"/>
      <c r="BH217" s="774"/>
      <c r="BI217" s="1119">
        <v>4.0010000000000003</v>
      </c>
      <c r="BJ217" s="774"/>
      <c r="BK217" s="774"/>
      <c r="BL217" s="774"/>
      <c r="BM217" s="774"/>
      <c r="BN217" s="1119">
        <v>4.0010000000000003</v>
      </c>
      <c r="BO217" s="774"/>
      <c r="BP217" s="774"/>
      <c r="BQ217" s="774"/>
      <c r="BR217" s="774"/>
      <c r="BS217" s="78"/>
      <c r="BT217" s="775"/>
      <c r="BU217" s="774"/>
      <c r="BV217" s="774"/>
      <c r="BW217" s="774"/>
      <c r="BX217" s="78"/>
      <c r="BY217" s="774"/>
      <c r="BZ217" s="774"/>
      <c r="CA217" s="774"/>
      <c r="CB217" s="774"/>
      <c r="CC217" s="78"/>
      <c r="CD217" s="78"/>
      <c r="CE217" s="78"/>
      <c r="CF217" s="78"/>
      <c r="CG217" s="532"/>
    </row>
    <row r="218" spans="1:85" s="615" customFormat="1" x14ac:dyDescent="0.3">
      <c r="A218" s="522" t="s">
        <v>1883</v>
      </c>
      <c r="B218" s="521"/>
      <c r="C218" s="1122"/>
      <c r="D218" s="1122"/>
      <c r="E218" s="1122"/>
      <c r="F218" s="1122"/>
      <c r="G218" s="520"/>
      <c r="H218" s="520"/>
      <c r="I218" s="520"/>
      <c r="J218" s="520"/>
      <c r="K218" s="1122"/>
      <c r="L218" s="520"/>
      <c r="M218" s="520"/>
      <c r="N218" s="520"/>
      <c r="O218" s="520"/>
      <c r="P218" s="1122"/>
      <c r="Q218" s="520"/>
      <c r="R218" s="520"/>
      <c r="S218" s="520"/>
      <c r="T218" s="520"/>
      <c r="U218" s="1122"/>
      <c r="V218" s="520"/>
      <c r="W218" s="520"/>
      <c r="X218" s="520"/>
      <c r="Y218" s="520"/>
      <c r="Z218" s="1122"/>
      <c r="AA218" s="520"/>
      <c r="AB218" s="520"/>
      <c r="AC218" s="520"/>
      <c r="AD218" s="520"/>
      <c r="AE218" s="1122"/>
      <c r="AF218" s="520"/>
      <c r="AG218" s="520"/>
      <c r="AH218" s="520"/>
      <c r="AI218" s="520"/>
      <c r="AJ218" s="1122"/>
      <c r="AK218" s="520"/>
      <c r="AL218" s="520"/>
      <c r="AM218" s="520"/>
      <c r="AN218" s="520"/>
      <c r="AO218" s="1122"/>
      <c r="AP218" s="520"/>
      <c r="AQ218" s="520"/>
      <c r="AR218" s="520"/>
      <c r="AS218" s="520"/>
      <c r="AT218" s="1123">
        <v>177.01</v>
      </c>
      <c r="AU218" s="526"/>
      <c r="AV218" s="526"/>
      <c r="AW218" s="526"/>
      <c r="AX218" s="526"/>
      <c r="AY218" s="1123">
        <v>177.01</v>
      </c>
      <c r="AZ218" s="526"/>
      <c r="BA218" s="526"/>
      <c r="BB218" s="526"/>
      <c r="BC218" s="526"/>
      <c r="BD218" s="1123">
        <v>177.01</v>
      </c>
      <c r="BE218" s="520"/>
      <c r="BF218" s="520"/>
      <c r="BG218" s="520"/>
      <c r="BH218" s="520"/>
      <c r="BI218" s="1123">
        <v>177.01</v>
      </c>
      <c r="BJ218" s="520"/>
      <c r="BK218" s="520"/>
      <c r="BL218" s="520"/>
      <c r="BM218" s="520"/>
      <c r="BN218" s="1123">
        <v>177.01</v>
      </c>
      <c r="BO218" s="520"/>
      <c r="BP218" s="520"/>
      <c r="BQ218" s="520"/>
      <c r="BR218" s="520"/>
      <c r="BS218" s="1124"/>
      <c r="BT218" s="728"/>
      <c r="BU218" s="520"/>
      <c r="BV218" s="520"/>
      <c r="BW218" s="520"/>
      <c r="BX218" s="1122"/>
      <c r="BY218" s="520"/>
      <c r="BZ218" s="520"/>
      <c r="CA218" s="520"/>
      <c r="CB218" s="520"/>
      <c r="CC218" s="1122"/>
      <c r="CD218" s="1122"/>
      <c r="CE218" s="1122"/>
      <c r="CF218" s="1122"/>
      <c r="CG218" s="519"/>
    </row>
    <row r="219" spans="1:85" s="614" customFormat="1" x14ac:dyDescent="0.3">
      <c r="A219" s="522"/>
      <c r="B219" s="352"/>
      <c r="C219" s="1094"/>
      <c r="D219" s="1094"/>
      <c r="E219" s="1094"/>
      <c r="F219" s="1094"/>
      <c r="G219" s="197"/>
      <c r="H219" s="197"/>
      <c r="I219" s="197"/>
      <c r="J219" s="197"/>
      <c r="K219" s="1094"/>
      <c r="L219" s="197"/>
      <c r="M219" s="197"/>
      <c r="N219" s="197"/>
      <c r="O219" s="197"/>
      <c r="P219" s="1094"/>
      <c r="Q219" s="197"/>
      <c r="R219" s="197"/>
      <c r="S219" s="197"/>
      <c r="T219" s="197"/>
      <c r="U219" s="1094"/>
      <c r="V219" s="197"/>
      <c r="W219" s="197"/>
      <c r="X219" s="197"/>
      <c r="Y219" s="197"/>
      <c r="Z219" s="1094"/>
      <c r="AA219" s="197"/>
      <c r="AB219" s="197"/>
      <c r="AC219" s="197"/>
      <c r="AD219" s="197"/>
      <c r="AE219" s="1094"/>
      <c r="AF219" s="197"/>
      <c r="AG219" s="197"/>
      <c r="AH219" s="197"/>
      <c r="AI219" s="197"/>
      <c r="AJ219" s="1094"/>
      <c r="AK219" s="197"/>
      <c r="AL219" s="197"/>
      <c r="AM219" s="197"/>
      <c r="AN219" s="197"/>
      <c r="AO219" s="1094"/>
      <c r="AP219" s="197"/>
      <c r="AQ219" s="197"/>
      <c r="AR219" s="197"/>
      <c r="AS219" s="197"/>
      <c r="AT219" s="198"/>
      <c r="AU219" s="194"/>
      <c r="AV219" s="194"/>
      <c r="AW219" s="194"/>
      <c r="AX219" s="194"/>
      <c r="AY219" s="198"/>
      <c r="AZ219" s="194"/>
      <c r="BA219" s="194"/>
      <c r="BB219" s="194"/>
      <c r="BC219" s="194"/>
      <c r="BD219" s="198"/>
      <c r="BE219" s="197"/>
      <c r="BF219" s="197"/>
      <c r="BG219" s="197"/>
      <c r="BH219" s="197"/>
      <c r="BI219" s="198"/>
      <c r="BJ219" s="197"/>
      <c r="BK219" s="197"/>
      <c r="BL219" s="197"/>
      <c r="BM219" s="197"/>
      <c r="BN219" s="198"/>
      <c r="BO219" s="197"/>
      <c r="BP219" s="197"/>
      <c r="BQ219" s="197"/>
      <c r="BR219" s="197"/>
      <c r="BS219" s="198"/>
      <c r="BT219" s="727"/>
      <c r="BU219" s="197"/>
      <c r="BV219" s="197"/>
      <c r="BW219" s="197"/>
      <c r="BX219" s="1094"/>
      <c r="BY219" s="197"/>
      <c r="BZ219" s="197"/>
      <c r="CA219" s="197"/>
      <c r="CB219" s="197"/>
      <c r="CC219" s="1094"/>
      <c r="CD219" s="1094"/>
      <c r="CE219" s="1094"/>
      <c r="CF219" s="1094"/>
      <c r="CG219" s="349"/>
    </row>
    <row r="220" spans="1:85" s="613" customFormat="1" x14ac:dyDescent="0.3">
      <c r="A220" s="478" t="s">
        <v>1882</v>
      </c>
      <c r="B220" s="523"/>
      <c r="C220" s="78"/>
      <c r="D220" s="78"/>
      <c r="E220" s="78"/>
      <c r="F220" s="78"/>
      <c r="G220" s="774"/>
      <c r="H220" s="774"/>
      <c r="I220" s="774"/>
      <c r="J220" s="774"/>
      <c r="K220" s="78"/>
      <c r="L220" s="774"/>
      <c r="M220" s="774"/>
      <c r="N220" s="774"/>
      <c r="O220" s="774"/>
      <c r="P220" s="78"/>
      <c r="Q220" s="774"/>
      <c r="R220" s="774"/>
      <c r="S220" s="774"/>
      <c r="T220" s="774"/>
      <c r="U220" s="78"/>
      <c r="V220" s="774"/>
      <c r="W220" s="774"/>
      <c r="X220" s="774"/>
      <c r="Y220" s="774"/>
      <c r="Z220" s="78"/>
      <c r="AA220" s="774"/>
      <c r="AB220" s="774"/>
      <c r="AC220" s="774"/>
      <c r="AD220" s="774"/>
      <c r="AE220" s="78"/>
      <c r="AF220" s="774"/>
      <c r="AG220" s="774"/>
      <c r="AH220" s="774"/>
      <c r="AI220" s="774"/>
      <c r="AJ220" s="78"/>
      <c r="AK220" s="774"/>
      <c r="AL220" s="774"/>
      <c r="AM220" s="774"/>
      <c r="AN220" s="774"/>
      <c r="AO220" s="78"/>
      <c r="AP220" s="774"/>
      <c r="AQ220" s="774"/>
      <c r="AR220" s="774"/>
      <c r="AS220" s="774"/>
      <c r="AT220" s="1119">
        <v>22.306000000000001</v>
      </c>
      <c r="AU220" s="774"/>
      <c r="AV220" s="774"/>
      <c r="AW220" s="774"/>
      <c r="AX220" s="774"/>
      <c r="AY220" s="1119">
        <v>22.306000000000001</v>
      </c>
      <c r="AZ220" s="774"/>
      <c r="BA220" s="774"/>
      <c r="BB220" s="774"/>
      <c r="BC220" s="774"/>
      <c r="BD220" s="1119">
        <v>22.306000000000001</v>
      </c>
      <c r="BE220" s="774"/>
      <c r="BF220" s="774"/>
      <c r="BG220" s="774"/>
      <c r="BH220" s="774"/>
      <c r="BI220" s="1119">
        <v>3.5779999999999998</v>
      </c>
      <c r="BJ220" s="774"/>
      <c r="BK220" s="774"/>
      <c r="BL220" s="774"/>
      <c r="BM220" s="774"/>
      <c r="BN220" s="1119">
        <v>3.5779999999999998</v>
      </c>
      <c r="BO220" s="774"/>
      <c r="BP220" s="774"/>
      <c r="BQ220" s="774"/>
      <c r="BR220" s="774"/>
      <c r="BS220" s="78"/>
      <c r="BT220" s="775"/>
      <c r="BU220" s="774"/>
      <c r="BV220" s="774"/>
      <c r="BW220" s="774"/>
      <c r="BX220" s="78"/>
      <c r="BY220" s="774"/>
      <c r="BZ220" s="774"/>
      <c r="CA220" s="774"/>
      <c r="CB220" s="774"/>
      <c r="CC220" s="78"/>
      <c r="CD220" s="78"/>
      <c r="CE220" s="78"/>
      <c r="CF220" s="78"/>
      <c r="CG220" s="532"/>
    </row>
    <row r="221" spans="1:85" s="615" customFormat="1" x14ac:dyDescent="0.3">
      <c r="A221" s="522" t="s">
        <v>1881</v>
      </c>
      <c r="B221" s="521"/>
      <c r="C221" s="1122"/>
      <c r="D221" s="1122"/>
      <c r="E221" s="1122"/>
      <c r="F221" s="1122"/>
      <c r="G221" s="520"/>
      <c r="H221" s="520"/>
      <c r="I221" s="520"/>
      <c r="J221" s="520"/>
      <c r="K221" s="1122"/>
      <c r="L221" s="520"/>
      <c r="M221" s="520"/>
      <c r="N221" s="520"/>
      <c r="O221" s="520"/>
      <c r="P221" s="1122"/>
      <c r="Q221" s="520"/>
      <c r="R221" s="520"/>
      <c r="S221" s="520"/>
      <c r="T221" s="520"/>
      <c r="U221" s="1122"/>
      <c r="V221" s="520"/>
      <c r="W221" s="520"/>
      <c r="X221" s="520"/>
      <c r="Y221" s="520"/>
      <c r="Z221" s="1122"/>
      <c r="AA221" s="520"/>
      <c r="AB221" s="520"/>
      <c r="AC221" s="520"/>
      <c r="AD221" s="520"/>
      <c r="AE221" s="1122"/>
      <c r="AF221" s="520"/>
      <c r="AG221" s="520"/>
      <c r="AH221" s="520"/>
      <c r="AI221" s="520"/>
      <c r="AJ221" s="1122"/>
      <c r="AK221" s="520"/>
      <c r="AL221" s="520"/>
      <c r="AM221" s="520"/>
      <c r="AN221" s="520"/>
      <c r="AO221" s="1122"/>
      <c r="AP221" s="520"/>
      <c r="AQ221" s="520"/>
      <c r="AR221" s="520"/>
      <c r="AS221" s="520"/>
      <c r="AT221" s="1123">
        <v>198</v>
      </c>
      <c r="AU221" s="526"/>
      <c r="AV221" s="526"/>
      <c r="AW221" s="526"/>
      <c r="AX221" s="526"/>
      <c r="AY221" s="1123">
        <v>198</v>
      </c>
      <c r="AZ221" s="526"/>
      <c r="BA221" s="526"/>
      <c r="BB221" s="526"/>
      <c r="BC221" s="526"/>
      <c r="BD221" s="1123">
        <v>198</v>
      </c>
      <c r="BE221" s="520"/>
      <c r="BF221" s="520"/>
      <c r="BG221" s="520"/>
      <c r="BH221" s="520"/>
      <c r="BI221" s="1123">
        <v>198</v>
      </c>
      <c r="BJ221" s="520"/>
      <c r="BK221" s="520"/>
      <c r="BL221" s="520"/>
      <c r="BM221" s="520"/>
      <c r="BN221" s="1123">
        <v>198</v>
      </c>
      <c r="BO221" s="520"/>
      <c r="BP221" s="520"/>
      <c r="BQ221" s="520"/>
      <c r="BR221" s="520"/>
      <c r="BS221" s="1124"/>
      <c r="BT221" s="728"/>
      <c r="BU221" s="520"/>
      <c r="BV221" s="520"/>
      <c r="BW221" s="520"/>
      <c r="BX221" s="1122"/>
      <c r="BY221" s="520"/>
      <c r="BZ221" s="520"/>
      <c r="CA221" s="520"/>
      <c r="CB221" s="520"/>
      <c r="CC221" s="1122"/>
      <c r="CD221" s="1122"/>
      <c r="CE221" s="1122"/>
      <c r="CF221" s="1122"/>
      <c r="CG221" s="519"/>
    </row>
    <row r="222" spans="1:85" s="614" customFormat="1" x14ac:dyDescent="0.3">
      <c r="A222" s="522"/>
      <c r="B222" s="352"/>
      <c r="C222" s="1094"/>
      <c r="D222" s="1094"/>
      <c r="E222" s="1094"/>
      <c r="F222" s="1094"/>
      <c r="G222" s="197"/>
      <c r="H222" s="197"/>
      <c r="I222" s="197"/>
      <c r="J222" s="197"/>
      <c r="K222" s="1094"/>
      <c r="L222" s="197"/>
      <c r="M222" s="197"/>
      <c r="N222" s="197"/>
      <c r="O222" s="197"/>
      <c r="P222" s="1094"/>
      <c r="Q222" s="197"/>
      <c r="R222" s="197"/>
      <c r="S222" s="197"/>
      <c r="T222" s="197"/>
      <c r="U222" s="1094"/>
      <c r="V222" s="197"/>
      <c r="W222" s="197"/>
      <c r="X222" s="197"/>
      <c r="Y222" s="197"/>
      <c r="Z222" s="1094"/>
      <c r="AA222" s="197"/>
      <c r="AB222" s="197"/>
      <c r="AC222" s="197"/>
      <c r="AD222" s="197"/>
      <c r="AE222" s="1094"/>
      <c r="AF222" s="197"/>
      <c r="AG222" s="197"/>
      <c r="AH222" s="197"/>
      <c r="AI222" s="197"/>
      <c r="AJ222" s="1094"/>
      <c r="AK222" s="197"/>
      <c r="AL222" s="197"/>
      <c r="AM222" s="197"/>
      <c r="AN222" s="197"/>
      <c r="AO222" s="1094"/>
      <c r="AP222" s="197"/>
      <c r="AQ222" s="197"/>
      <c r="AR222" s="197"/>
      <c r="AS222" s="197"/>
      <c r="AT222" s="198"/>
      <c r="AU222" s="194"/>
      <c r="AV222" s="194"/>
      <c r="AW222" s="194"/>
      <c r="AX222" s="194"/>
      <c r="AY222" s="198"/>
      <c r="AZ222" s="194"/>
      <c r="BA222" s="194"/>
      <c r="BB222" s="194"/>
      <c r="BC222" s="194"/>
      <c r="BD222" s="198"/>
      <c r="BE222" s="197"/>
      <c r="BF222" s="197"/>
      <c r="BG222" s="197"/>
      <c r="BH222" s="197"/>
      <c r="BI222" s="198"/>
      <c r="BJ222" s="197"/>
      <c r="BK222" s="197"/>
      <c r="BL222" s="197"/>
      <c r="BM222" s="197"/>
      <c r="BN222" s="198"/>
      <c r="BO222" s="197"/>
      <c r="BP222" s="197"/>
      <c r="BQ222" s="197"/>
      <c r="BR222" s="197"/>
      <c r="BS222" s="198"/>
      <c r="BT222" s="727"/>
      <c r="BU222" s="197"/>
      <c r="BV222" s="197"/>
      <c r="BW222" s="197"/>
      <c r="BX222" s="1094"/>
      <c r="BY222" s="197"/>
      <c r="BZ222" s="197"/>
      <c r="CA222" s="197"/>
      <c r="CB222" s="197"/>
      <c r="CC222" s="1094"/>
      <c r="CD222" s="1094"/>
      <c r="CE222" s="1094"/>
      <c r="CF222" s="1094"/>
      <c r="CG222" s="349"/>
    </row>
    <row r="223" spans="1:85" s="613" customFormat="1" x14ac:dyDescent="0.3">
      <c r="A223" s="478" t="s">
        <v>1880</v>
      </c>
      <c r="B223" s="523"/>
      <c r="C223" s="78"/>
      <c r="D223" s="78"/>
      <c r="E223" s="78"/>
      <c r="F223" s="78"/>
      <c r="G223" s="774"/>
      <c r="H223" s="774"/>
      <c r="I223" s="774"/>
      <c r="J223" s="774"/>
      <c r="K223" s="78"/>
      <c r="L223" s="774"/>
      <c r="M223" s="774"/>
      <c r="N223" s="774"/>
      <c r="O223" s="774"/>
      <c r="P223" s="78"/>
      <c r="Q223" s="774"/>
      <c r="R223" s="774"/>
      <c r="S223" s="774"/>
      <c r="T223" s="774"/>
      <c r="U223" s="78"/>
      <c r="V223" s="774"/>
      <c r="W223" s="774"/>
      <c r="X223" s="774"/>
      <c r="Y223" s="774"/>
      <c r="Z223" s="78"/>
      <c r="AA223" s="774"/>
      <c r="AB223" s="774"/>
      <c r="AC223" s="774"/>
      <c r="AD223" s="774"/>
      <c r="AE223" s="78"/>
      <c r="AF223" s="774"/>
      <c r="AG223" s="774"/>
      <c r="AH223" s="774"/>
      <c r="AI223" s="774"/>
      <c r="AJ223" s="78"/>
      <c r="AK223" s="774"/>
      <c r="AL223" s="774"/>
      <c r="AM223" s="774"/>
      <c r="AN223" s="774"/>
      <c r="AO223" s="78"/>
      <c r="AP223" s="774"/>
      <c r="AQ223" s="774"/>
      <c r="AR223" s="774"/>
      <c r="AS223" s="774"/>
      <c r="AT223" s="1119">
        <v>23.640999999999998</v>
      </c>
      <c r="AU223" s="774"/>
      <c r="AV223" s="774"/>
      <c r="AW223" s="774"/>
      <c r="AX223" s="774"/>
      <c r="AY223" s="1119">
        <v>23.640999999999998</v>
      </c>
      <c r="AZ223" s="774"/>
      <c r="BA223" s="774"/>
      <c r="BB223" s="774"/>
      <c r="BC223" s="774"/>
      <c r="BD223" s="1119">
        <v>23.640999999999998</v>
      </c>
      <c r="BE223" s="774"/>
      <c r="BF223" s="774"/>
      <c r="BG223" s="774"/>
      <c r="BH223" s="774"/>
      <c r="BI223" s="1119">
        <v>3.7909999999999999</v>
      </c>
      <c r="BJ223" s="774"/>
      <c r="BK223" s="774"/>
      <c r="BL223" s="774"/>
      <c r="BM223" s="774"/>
      <c r="BN223" s="1119">
        <v>3.7909999999999999</v>
      </c>
      <c r="BO223" s="774"/>
      <c r="BP223" s="774"/>
      <c r="BQ223" s="774"/>
      <c r="BR223" s="774"/>
      <c r="BS223" s="78"/>
      <c r="BT223" s="775"/>
      <c r="BU223" s="774"/>
      <c r="BV223" s="774"/>
      <c r="BW223" s="774"/>
      <c r="BX223" s="78"/>
      <c r="BY223" s="774"/>
      <c r="BZ223" s="774"/>
      <c r="CA223" s="774"/>
      <c r="CB223" s="774"/>
      <c r="CC223" s="78"/>
      <c r="CD223" s="78"/>
      <c r="CE223" s="78"/>
      <c r="CF223" s="78"/>
      <c r="CG223" s="532"/>
    </row>
    <row r="224" spans="1:85" s="615" customFormat="1" x14ac:dyDescent="0.3">
      <c r="A224" s="522" t="s">
        <v>1879</v>
      </c>
      <c r="B224" s="521"/>
      <c r="C224" s="1122"/>
      <c r="D224" s="1122"/>
      <c r="E224" s="1122"/>
      <c r="F224" s="1122"/>
      <c r="G224" s="520"/>
      <c r="H224" s="520"/>
      <c r="I224" s="520"/>
      <c r="J224" s="520"/>
      <c r="K224" s="1122"/>
      <c r="L224" s="520"/>
      <c r="M224" s="520"/>
      <c r="N224" s="520"/>
      <c r="O224" s="520"/>
      <c r="P224" s="1122"/>
      <c r="Q224" s="520"/>
      <c r="R224" s="520"/>
      <c r="S224" s="520"/>
      <c r="T224" s="520"/>
      <c r="U224" s="1122"/>
      <c r="V224" s="520"/>
      <c r="W224" s="520"/>
      <c r="X224" s="520"/>
      <c r="Y224" s="520"/>
      <c r="Z224" s="1122"/>
      <c r="AA224" s="520"/>
      <c r="AB224" s="520"/>
      <c r="AC224" s="520"/>
      <c r="AD224" s="520"/>
      <c r="AE224" s="1122"/>
      <c r="AF224" s="520"/>
      <c r="AG224" s="520"/>
      <c r="AH224" s="520"/>
      <c r="AI224" s="520"/>
      <c r="AJ224" s="1122"/>
      <c r="AK224" s="520"/>
      <c r="AL224" s="520"/>
      <c r="AM224" s="520"/>
      <c r="AN224" s="520"/>
      <c r="AO224" s="1122"/>
      <c r="AP224" s="520"/>
      <c r="AQ224" s="520"/>
      <c r="AR224" s="520"/>
      <c r="AS224" s="520"/>
      <c r="AT224" s="1123">
        <v>186.82</v>
      </c>
      <c r="AU224" s="526"/>
      <c r="AV224" s="526"/>
      <c r="AW224" s="526"/>
      <c r="AX224" s="526"/>
      <c r="AY224" s="1123">
        <v>186.82</v>
      </c>
      <c r="AZ224" s="526"/>
      <c r="BA224" s="526"/>
      <c r="BB224" s="526"/>
      <c r="BC224" s="526"/>
      <c r="BD224" s="1123">
        <v>186.82</v>
      </c>
      <c r="BE224" s="520"/>
      <c r="BF224" s="520"/>
      <c r="BG224" s="520"/>
      <c r="BH224" s="520"/>
      <c r="BI224" s="1123">
        <v>186.82</v>
      </c>
      <c r="BJ224" s="520"/>
      <c r="BK224" s="520"/>
      <c r="BL224" s="520"/>
      <c r="BM224" s="520"/>
      <c r="BN224" s="1123">
        <v>186.82</v>
      </c>
      <c r="BO224" s="520"/>
      <c r="BP224" s="520"/>
      <c r="BQ224" s="520"/>
      <c r="BR224" s="520"/>
      <c r="BS224" s="1124"/>
      <c r="BT224" s="728"/>
      <c r="BU224" s="520"/>
      <c r="BV224" s="520"/>
      <c r="BW224" s="520"/>
      <c r="BX224" s="1122"/>
      <c r="BY224" s="520"/>
      <c r="BZ224" s="520"/>
      <c r="CA224" s="520"/>
      <c r="CB224" s="520"/>
      <c r="CC224" s="1122"/>
      <c r="CD224" s="1122"/>
      <c r="CE224" s="1122"/>
      <c r="CF224" s="1122"/>
      <c r="CG224" s="519"/>
    </row>
    <row r="225" spans="1:85" s="614" customFormat="1" x14ac:dyDescent="0.3">
      <c r="A225" s="224"/>
      <c r="B225" s="352"/>
      <c r="C225" s="1094"/>
      <c r="D225" s="1094"/>
      <c r="E225" s="1094"/>
      <c r="F225" s="1094"/>
      <c r="G225" s="197"/>
      <c r="H225" s="197"/>
      <c r="I225" s="197"/>
      <c r="J225" s="197"/>
      <c r="K225" s="1094"/>
      <c r="L225" s="197"/>
      <c r="M225" s="197"/>
      <c r="N225" s="197"/>
      <c r="O225" s="197"/>
      <c r="P225" s="1094"/>
      <c r="Q225" s="197"/>
      <c r="R225" s="197"/>
      <c r="S225" s="197"/>
      <c r="T225" s="197"/>
      <c r="U225" s="1094"/>
      <c r="V225" s="197"/>
      <c r="W225" s="197"/>
      <c r="X225" s="197"/>
      <c r="Y225" s="197"/>
      <c r="Z225" s="1094"/>
      <c r="AA225" s="197"/>
      <c r="AB225" s="197"/>
      <c r="AC225" s="197"/>
      <c r="AD225" s="197"/>
      <c r="AE225" s="1094"/>
      <c r="AF225" s="197"/>
      <c r="AG225" s="197"/>
      <c r="AH225" s="197"/>
      <c r="AI225" s="197"/>
      <c r="AJ225" s="1094"/>
      <c r="AK225" s="197"/>
      <c r="AL225" s="197"/>
      <c r="AM225" s="197"/>
      <c r="AN225" s="197"/>
      <c r="AO225" s="1094"/>
      <c r="AP225" s="197"/>
      <c r="AQ225" s="197"/>
      <c r="AR225" s="197"/>
      <c r="AS225" s="197"/>
      <c r="AT225" s="198"/>
      <c r="AU225" s="194"/>
      <c r="AV225" s="194"/>
      <c r="AW225" s="194"/>
      <c r="AX225" s="194"/>
      <c r="AY225" s="198"/>
      <c r="AZ225" s="194"/>
      <c r="BA225" s="194"/>
      <c r="BB225" s="194"/>
      <c r="BC225" s="194"/>
      <c r="BD225" s="198"/>
      <c r="BE225" s="197"/>
      <c r="BF225" s="197"/>
      <c r="BG225" s="197"/>
      <c r="BH225" s="197"/>
      <c r="BI225" s="198"/>
      <c r="BJ225" s="197"/>
      <c r="BK225" s="197"/>
      <c r="BL225" s="197"/>
      <c r="BM225" s="197"/>
      <c r="BN225" s="198"/>
      <c r="BO225" s="197"/>
      <c r="BP225" s="197"/>
      <c r="BQ225" s="197"/>
      <c r="BR225" s="197"/>
      <c r="BS225" s="198"/>
      <c r="BT225" s="727"/>
      <c r="BU225" s="197"/>
      <c r="BV225" s="197"/>
      <c r="BW225" s="197"/>
      <c r="BX225" s="1094"/>
      <c r="BY225" s="197"/>
      <c r="BZ225" s="197"/>
      <c r="CA225" s="197"/>
      <c r="CB225" s="197"/>
      <c r="CC225" s="1094"/>
      <c r="CD225" s="1094"/>
      <c r="CE225" s="1094"/>
      <c r="CF225" s="1094"/>
      <c r="CG225" s="349"/>
    </row>
    <row r="226" spans="1:85" s="613" customFormat="1" x14ac:dyDescent="0.3">
      <c r="A226" s="478" t="s">
        <v>1878</v>
      </c>
      <c r="B226" s="523"/>
      <c r="C226" s="78"/>
      <c r="D226" s="78"/>
      <c r="E226" s="78"/>
      <c r="F226" s="78"/>
      <c r="G226" s="774"/>
      <c r="H226" s="774"/>
      <c r="I226" s="774"/>
      <c r="J226" s="774"/>
      <c r="K226" s="78"/>
      <c r="L226" s="774"/>
      <c r="M226" s="774"/>
      <c r="N226" s="774"/>
      <c r="O226" s="774"/>
      <c r="P226" s="78"/>
      <c r="Q226" s="774"/>
      <c r="R226" s="774"/>
      <c r="S226" s="774"/>
      <c r="T226" s="774"/>
      <c r="U226" s="78"/>
      <c r="V226" s="774"/>
      <c r="W226" s="774"/>
      <c r="X226" s="774"/>
      <c r="Y226" s="774"/>
      <c r="Z226" s="78"/>
      <c r="AA226" s="774"/>
      <c r="AB226" s="774"/>
      <c r="AC226" s="774"/>
      <c r="AD226" s="774"/>
      <c r="AE226" s="78"/>
      <c r="AF226" s="774"/>
      <c r="AG226" s="774"/>
      <c r="AH226" s="774"/>
      <c r="AI226" s="774"/>
      <c r="AJ226" s="78"/>
      <c r="AK226" s="774"/>
      <c r="AL226" s="774"/>
      <c r="AM226" s="774"/>
      <c r="AN226" s="774"/>
      <c r="AO226" s="78"/>
      <c r="AP226" s="774"/>
      <c r="AQ226" s="774"/>
      <c r="AR226" s="774"/>
      <c r="AS226" s="774"/>
      <c r="AT226" s="1119">
        <v>21.966000000000001</v>
      </c>
      <c r="AU226" s="774"/>
      <c r="AV226" s="774"/>
      <c r="AW226" s="774"/>
      <c r="AX226" s="774"/>
      <c r="AY226" s="1119">
        <v>21.966000000000001</v>
      </c>
      <c r="AZ226" s="774"/>
      <c r="BA226" s="774"/>
      <c r="BB226" s="774"/>
      <c r="BC226" s="774"/>
      <c r="BD226" s="1119">
        <v>21.966000000000001</v>
      </c>
      <c r="BE226" s="774"/>
      <c r="BF226" s="774"/>
      <c r="BG226" s="774"/>
      <c r="BH226" s="774"/>
      <c r="BI226" s="1119">
        <v>3.5230000000000001</v>
      </c>
      <c r="BJ226" s="774"/>
      <c r="BK226" s="774"/>
      <c r="BL226" s="774"/>
      <c r="BM226" s="774"/>
      <c r="BN226" s="1119">
        <v>3.5230000000000001</v>
      </c>
      <c r="BO226" s="774"/>
      <c r="BP226" s="774"/>
      <c r="BQ226" s="774"/>
      <c r="BR226" s="774"/>
      <c r="BS226" s="78"/>
      <c r="BT226" s="775"/>
      <c r="BU226" s="774"/>
      <c r="BV226" s="774"/>
      <c r="BW226" s="774"/>
      <c r="BX226" s="78"/>
      <c r="BY226" s="774"/>
      <c r="BZ226" s="774"/>
      <c r="CA226" s="774"/>
      <c r="CB226" s="774"/>
      <c r="CC226" s="78"/>
      <c r="CD226" s="78"/>
      <c r="CE226" s="78"/>
      <c r="CF226" s="78"/>
      <c r="CG226" s="532"/>
    </row>
    <row r="227" spans="1:85" s="615" customFormat="1" x14ac:dyDescent="0.3">
      <c r="A227" s="522" t="s">
        <v>1877</v>
      </c>
      <c r="B227" s="521"/>
      <c r="C227" s="1122"/>
      <c r="D227" s="1122"/>
      <c r="E227" s="1122"/>
      <c r="F227" s="1122"/>
      <c r="G227" s="520"/>
      <c r="H227" s="520"/>
      <c r="I227" s="520"/>
      <c r="J227" s="520"/>
      <c r="K227" s="1122"/>
      <c r="L227" s="520"/>
      <c r="M227" s="520"/>
      <c r="N227" s="520"/>
      <c r="O227" s="520"/>
      <c r="P227" s="1122"/>
      <c r="Q227" s="520"/>
      <c r="R227" s="520"/>
      <c r="S227" s="520"/>
      <c r="T227" s="520"/>
      <c r="U227" s="1122"/>
      <c r="V227" s="520"/>
      <c r="W227" s="520"/>
      <c r="X227" s="520"/>
      <c r="Y227" s="520"/>
      <c r="Z227" s="1122"/>
      <c r="AA227" s="520"/>
      <c r="AB227" s="520"/>
      <c r="AC227" s="520"/>
      <c r="AD227" s="520"/>
      <c r="AE227" s="1122"/>
      <c r="AF227" s="520"/>
      <c r="AG227" s="520"/>
      <c r="AH227" s="520"/>
      <c r="AI227" s="520"/>
      <c r="AJ227" s="1122"/>
      <c r="AK227" s="520"/>
      <c r="AL227" s="520"/>
      <c r="AM227" s="520"/>
      <c r="AN227" s="520"/>
      <c r="AO227" s="1122"/>
      <c r="AP227" s="520"/>
      <c r="AQ227" s="520"/>
      <c r="AR227" s="520"/>
      <c r="AS227" s="520"/>
      <c r="AT227" s="1123">
        <v>201.07</v>
      </c>
      <c r="AU227" s="526"/>
      <c r="AV227" s="526"/>
      <c r="AW227" s="526"/>
      <c r="AX227" s="526"/>
      <c r="AY227" s="1123">
        <v>201.07</v>
      </c>
      <c r="AZ227" s="526"/>
      <c r="BA227" s="526"/>
      <c r="BB227" s="526"/>
      <c r="BC227" s="526"/>
      <c r="BD227" s="1123">
        <v>201.07</v>
      </c>
      <c r="BE227" s="520"/>
      <c r="BF227" s="520"/>
      <c r="BG227" s="520"/>
      <c r="BH227" s="520"/>
      <c r="BI227" s="1123">
        <v>201.07</v>
      </c>
      <c r="BJ227" s="520"/>
      <c r="BK227" s="520"/>
      <c r="BL227" s="520"/>
      <c r="BM227" s="520"/>
      <c r="BN227" s="1123">
        <v>201.07</v>
      </c>
      <c r="BO227" s="520"/>
      <c r="BP227" s="520"/>
      <c r="BQ227" s="520"/>
      <c r="BR227" s="520"/>
      <c r="BS227" s="1124"/>
      <c r="BT227" s="728"/>
      <c r="BU227" s="520"/>
      <c r="BV227" s="520"/>
      <c r="BW227" s="520"/>
      <c r="BX227" s="1122"/>
      <c r="BY227" s="520"/>
      <c r="BZ227" s="520"/>
      <c r="CA227" s="520"/>
      <c r="CB227" s="520"/>
      <c r="CC227" s="1122"/>
      <c r="CD227" s="1122"/>
      <c r="CE227" s="1122"/>
      <c r="CF227" s="1122"/>
      <c r="CG227" s="519"/>
    </row>
    <row r="228" spans="1:85" s="614" customFormat="1" x14ac:dyDescent="0.3">
      <c r="A228" s="522"/>
      <c r="B228" s="352"/>
      <c r="C228" s="1094"/>
      <c r="D228" s="1094"/>
      <c r="E228" s="1094"/>
      <c r="F228" s="1094"/>
      <c r="G228" s="197"/>
      <c r="H228" s="197"/>
      <c r="I228" s="197"/>
      <c r="J228" s="197"/>
      <c r="K228" s="1094"/>
      <c r="L228" s="197"/>
      <c r="M228" s="197"/>
      <c r="N228" s="197"/>
      <c r="O228" s="197"/>
      <c r="P228" s="1094"/>
      <c r="Q228" s="197"/>
      <c r="R228" s="197"/>
      <c r="S228" s="197"/>
      <c r="T228" s="197"/>
      <c r="U228" s="1094"/>
      <c r="V228" s="197"/>
      <c r="W228" s="197"/>
      <c r="X228" s="197"/>
      <c r="Y228" s="197"/>
      <c r="Z228" s="1094"/>
      <c r="AA228" s="197"/>
      <c r="AB228" s="197"/>
      <c r="AC228" s="197"/>
      <c r="AD228" s="197"/>
      <c r="AE228" s="1094"/>
      <c r="AF228" s="197"/>
      <c r="AG228" s="197"/>
      <c r="AH228" s="197"/>
      <c r="AI228" s="197"/>
      <c r="AJ228" s="1094"/>
      <c r="AK228" s="197"/>
      <c r="AL228" s="197"/>
      <c r="AM228" s="197"/>
      <c r="AN228" s="197"/>
      <c r="AO228" s="1094"/>
      <c r="AP228" s="197"/>
      <c r="AQ228" s="197"/>
      <c r="AR228" s="197"/>
      <c r="AS228" s="197"/>
      <c r="AT228" s="198"/>
      <c r="AU228" s="194"/>
      <c r="AV228" s="194"/>
      <c r="AW228" s="194"/>
      <c r="AX228" s="194"/>
      <c r="AY228" s="198"/>
      <c r="AZ228" s="194"/>
      <c r="BA228" s="194"/>
      <c r="BB228" s="194"/>
      <c r="BC228" s="194"/>
      <c r="BD228" s="198"/>
      <c r="BE228" s="197"/>
      <c r="BF228" s="197"/>
      <c r="BG228" s="197"/>
      <c r="BH228" s="197"/>
      <c r="BI228" s="198"/>
      <c r="BJ228" s="197"/>
      <c r="BK228" s="197"/>
      <c r="BL228" s="197"/>
      <c r="BM228" s="197"/>
      <c r="BN228" s="198"/>
      <c r="BO228" s="197"/>
      <c r="BP228" s="197"/>
      <c r="BQ228" s="197"/>
      <c r="BR228" s="197"/>
      <c r="BS228" s="198"/>
      <c r="BT228" s="727"/>
      <c r="BU228" s="197"/>
      <c r="BV228" s="197"/>
      <c r="BW228" s="197"/>
      <c r="BX228" s="1094"/>
      <c r="BY228" s="197"/>
      <c r="BZ228" s="197"/>
      <c r="CA228" s="197"/>
      <c r="CB228" s="197"/>
      <c r="CC228" s="1094"/>
      <c r="CD228" s="1094"/>
      <c r="CE228" s="1094"/>
      <c r="CF228" s="1094"/>
      <c r="CG228" s="349"/>
    </row>
    <row r="229" spans="1:85" s="613" customFormat="1" x14ac:dyDescent="0.3">
      <c r="A229" s="478" t="s">
        <v>1876</v>
      </c>
      <c r="B229" s="523"/>
      <c r="C229" s="78"/>
      <c r="D229" s="78"/>
      <c r="E229" s="78"/>
      <c r="F229" s="78"/>
      <c r="G229" s="774"/>
      <c r="H229" s="774"/>
      <c r="I229" s="774"/>
      <c r="J229" s="774"/>
      <c r="K229" s="78"/>
      <c r="L229" s="774"/>
      <c r="M229" s="774"/>
      <c r="N229" s="774"/>
      <c r="O229" s="774"/>
      <c r="P229" s="78"/>
      <c r="Q229" s="774"/>
      <c r="R229" s="774"/>
      <c r="S229" s="774"/>
      <c r="T229" s="774"/>
      <c r="U229" s="78"/>
      <c r="V229" s="774"/>
      <c r="W229" s="774"/>
      <c r="X229" s="774"/>
      <c r="Y229" s="774"/>
      <c r="Z229" s="78"/>
      <c r="AA229" s="774"/>
      <c r="AB229" s="774"/>
      <c r="AC229" s="774"/>
      <c r="AD229" s="774"/>
      <c r="AE229" s="78"/>
      <c r="AF229" s="774"/>
      <c r="AG229" s="774"/>
      <c r="AH229" s="774"/>
      <c r="AI229" s="774"/>
      <c r="AJ229" s="78"/>
      <c r="AK229" s="774"/>
      <c r="AL229" s="774"/>
      <c r="AM229" s="774"/>
      <c r="AN229" s="774"/>
      <c r="AO229" s="78"/>
      <c r="AP229" s="774"/>
      <c r="AQ229" s="774"/>
      <c r="AR229" s="774"/>
      <c r="AS229" s="774"/>
      <c r="AT229" s="1119">
        <v>22.556999999999999</v>
      </c>
      <c r="AU229" s="774"/>
      <c r="AV229" s="774"/>
      <c r="AW229" s="774"/>
      <c r="AX229" s="774"/>
      <c r="AY229" s="1119">
        <v>22.556999999999999</v>
      </c>
      <c r="AZ229" s="774"/>
      <c r="BA229" s="774"/>
      <c r="BB229" s="774"/>
      <c r="BC229" s="774"/>
      <c r="BD229" s="1119">
        <v>22.556999999999999</v>
      </c>
      <c r="BE229" s="774"/>
      <c r="BF229" s="774"/>
      <c r="BG229" s="774"/>
      <c r="BH229" s="774"/>
      <c r="BI229" s="1119">
        <v>5.1870000000000003</v>
      </c>
      <c r="BJ229" s="774"/>
      <c r="BK229" s="774"/>
      <c r="BL229" s="774"/>
      <c r="BM229" s="774"/>
      <c r="BN229" s="1119">
        <v>5.1870000000000003</v>
      </c>
      <c r="BO229" s="774"/>
      <c r="BP229" s="774"/>
      <c r="BQ229" s="774"/>
      <c r="BR229" s="774"/>
      <c r="BS229" s="78"/>
      <c r="BT229" s="775"/>
      <c r="BU229" s="774"/>
      <c r="BV229" s="774"/>
      <c r="BW229" s="774"/>
      <c r="BX229" s="78"/>
      <c r="BY229" s="774"/>
      <c r="BZ229" s="774"/>
      <c r="CA229" s="774"/>
      <c r="CB229" s="774"/>
      <c r="CC229" s="78"/>
      <c r="CD229" s="78"/>
      <c r="CE229" s="78"/>
      <c r="CF229" s="78"/>
      <c r="CG229" s="532"/>
    </row>
    <row r="230" spans="1:85" s="615" customFormat="1" x14ac:dyDescent="0.3">
      <c r="A230" s="522" t="s">
        <v>1875</v>
      </c>
      <c r="B230" s="521"/>
      <c r="C230" s="1122"/>
      <c r="D230" s="1122"/>
      <c r="E230" s="1122"/>
      <c r="F230" s="1122"/>
      <c r="G230" s="520"/>
      <c r="H230" s="520"/>
      <c r="I230" s="520"/>
      <c r="J230" s="520"/>
      <c r="K230" s="1122"/>
      <c r="L230" s="520"/>
      <c r="M230" s="520"/>
      <c r="N230" s="520"/>
      <c r="O230" s="520"/>
      <c r="P230" s="1122"/>
      <c r="Q230" s="520"/>
      <c r="R230" s="520"/>
      <c r="S230" s="520"/>
      <c r="T230" s="520"/>
      <c r="U230" s="1122"/>
      <c r="V230" s="520"/>
      <c r="W230" s="520"/>
      <c r="X230" s="520"/>
      <c r="Y230" s="520"/>
      <c r="Z230" s="1122"/>
      <c r="AA230" s="520"/>
      <c r="AB230" s="520"/>
      <c r="AC230" s="520"/>
      <c r="AD230" s="520"/>
      <c r="AE230" s="1122"/>
      <c r="AF230" s="520"/>
      <c r="AG230" s="520"/>
      <c r="AH230" s="520"/>
      <c r="AI230" s="520"/>
      <c r="AJ230" s="1122"/>
      <c r="AK230" s="520"/>
      <c r="AL230" s="520"/>
      <c r="AM230" s="520"/>
      <c r="AN230" s="520"/>
      <c r="AO230" s="1122"/>
      <c r="AP230" s="520"/>
      <c r="AQ230" s="520"/>
      <c r="AR230" s="520"/>
      <c r="AS230" s="520"/>
      <c r="AT230" s="1123">
        <v>265.07</v>
      </c>
      <c r="AU230" s="526"/>
      <c r="AV230" s="526"/>
      <c r="AW230" s="526"/>
      <c r="AX230" s="526"/>
      <c r="AY230" s="1123">
        <v>265.07</v>
      </c>
      <c r="AZ230" s="526"/>
      <c r="BA230" s="526"/>
      <c r="BB230" s="526"/>
      <c r="BC230" s="526"/>
      <c r="BD230" s="1123">
        <v>265.07</v>
      </c>
      <c r="BE230" s="520"/>
      <c r="BF230" s="520"/>
      <c r="BG230" s="520"/>
      <c r="BH230" s="520"/>
      <c r="BI230" s="1123">
        <v>265.07</v>
      </c>
      <c r="BJ230" s="520"/>
      <c r="BK230" s="520"/>
      <c r="BL230" s="520"/>
      <c r="BM230" s="520"/>
      <c r="BN230" s="1123">
        <v>265.07</v>
      </c>
      <c r="BO230" s="520"/>
      <c r="BP230" s="520"/>
      <c r="BQ230" s="520"/>
      <c r="BR230" s="520"/>
      <c r="BS230" s="1124"/>
      <c r="BT230" s="728"/>
      <c r="BU230" s="520"/>
      <c r="BV230" s="520"/>
      <c r="BW230" s="520"/>
      <c r="BX230" s="1122"/>
      <c r="BY230" s="520"/>
      <c r="BZ230" s="520"/>
      <c r="CA230" s="520"/>
      <c r="CB230" s="520"/>
      <c r="CC230" s="1122"/>
      <c r="CD230" s="1122"/>
      <c r="CE230" s="1122"/>
      <c r="CF230" s="1122"/>
      <c r="CG230" s="519"/>
    </row>
    <row r="231" spans="1:85" s="614" customFormat="1" x14ac:dyDescent="0.3">
      <c r="A231" s="522"/>
      <c r="B231" s="352"/>
      <c r="C231" s="1094"/>
      <c r="D231" s="1094"/>
      <c r="E231" s="1094"/>
      <c r="F231" s="1094"/>
      <c r="G231" s="197"/>
      <c r="H231" s="197"/>
      <c r="I231" s="197"/>
      <c r="J231" s="197"/>
      <c r="K231" s="1094"/>
      <c r="L231" s="197"/>
      <c r="M231" s="197"/>
      <c r="N231" s="197"/>
      <c r="O231" s="197"/>
      <c r="P231" s="1094"/>
      <c r="Q231" s="197"/>
      <c r="R231" s="197"/>
      <c r="S231" s="197"/>
      <c r="T231" s="197"/>
      <c r="U231" s="1094"/>
      <c r="V231" s="197"/>
      <c r="W231" s="197"/>
      <c r="X231" s="197"/>
      <c r="Y231" s="197"/>
      <c r="Z231" s="1094"/>
      <c r="AA231" s="197"/>
      <c r="AB231" s="197"/>
      <c r="AC231" s="197"/>
      <c r="AD231" s="197"/>
      <c r="AE231" s="1094"/>
      <c r="AF231" s="197"/>
      <c r="AG231" s="197"/>
      <c r="AH231" s="197"/>
      <c r="AI231" s="197"/>
      <c r="AJ231" s="1094"/>
      <c r="AK231" s="197"/>
      <c r="AL231" s="197"/>
      <c r="AM231" s="197"/>
      <c r="AN231" s="197"/>
      <c r="AO231" s="1094"/>
      <c r="AP231" s="197"/>
      <c r="AQ231" s="197"/>
      <c r="AR231" s="197"/>
      <c r="AS231" s="197"/>
      <c r="AT231" s="198"/>
      <c r="AU231" s="194"/>
      <c r="AV231" s="194"/>
      <c r="AW231" s="194"/>
      <c r="AX231" s="194"/>
      <c r="AY231" s="198"/>
      <c r="AZ231" s="194"/>
      <c r="BA231" s="194"/>
      <c r="BB231" s="194"/>
      <c r="BC231" s="194"/>
      <c r="BD231" s="198"/>
      <c r="BE231" s="197"/>
      <c r="BF231" s="197"/>
      <c r="BG231" s="197"/>
      <c r="BH231" s="197"/>
      <c r="BI231" s="198"/>
      <c r="BJ231" s="197"/>
      <c r="BK231" s="197"/>
      <c r="BL231" s="197"/>
      <c r="BM231" s="197"/>
      <c r="BN231" s="198"/>
      <c r="BO231" s="197"/>
      <c r="BP231" s="197"/>
      <c r="BQ231" s="197"/>
      <c r="BR231" s="197"/>
      <c r="BS231" s="198"/>
      <c r="BT231" s="727"/>
      <c r="BU231" s="197"/>
      <c r="BV231" s="197"/>
      <c r="BW231" s="197"/>
      <c r="BX231" s="1094"/>
      <c r="BY231" s="197"/>
      <c r="BZ231" s="197"/>
      <c r="CA231" s="197"/>
      <c r="CB231" s="197"/>
      <c r="CC231" s="1094"/>
      <c r="CD231" s="1094"/>
      <c r="CE231" s="1094"/>
      <c r="CF231" s="1094"/>
      <c r="CG231" s="349"/>
    </row>
    <row r="232" spans="1:85" s="613" customFormat="1" x14ac:dyDescent="0.3">
      <c r="A232" s="478" t="s">
        <v>1874</v>
      </c>
      <c r="B232" s="523"/>
      <c r="C232" s="78"/>
      <c r="D232" s="78"/>
      <c r="E232" s="78"/>
      <c r="F232" s="78"/>
      <c r="G232" s="774"/>
      <c r="H232" s="774"/>
      <c r="I232" s="774"/>
      <c r="J232" s="774"/>
      <c r="K232" s="78"/>
      <c r="L232" s="774"/>
      <c r="M232" s="774"/>
      <c r="N232" s="774"/>
      <c r="O232" s="774"/>
      <c r="P232" s="78"/>
      <c r="Q232" s="774"/>
      <c r="R232" s="774"/>
      <c r="S232" s="774"/>
      <c r="T232" s="774"/>
      <c r="U232" s="78"/>
      <c r="V232" s="774"/>
      <c r="W232" s="774"/>
      <c r="X232" s="774"/>
      <c r="Y232" s="774"/>
      <c r="Z232" s="78"/>
      <c r="AA232" s="774"/>
      <c r="AB232" s="774"/>
      <c r="AC232" s="774"/>
      <c r="AD232" s="774"/>
      <c r="AE232" s="78"/>
      <c r="AF232" s="774"/>
      <c r="AG232" s="774"/>
      <c r="AH232" s="774"/>
      <c r="AI232" s="774"/>
      <c r="AJ232" s="78"/>
      <c r="AK232" s="774"/>
      <c r="AL232" s="774"/>
      <c r="AM232" s="774"/>
      <c r="AN232" s="774"/>
      <c r="AO232" s="78"/>
      <c r="AP232" s="774"/>
      <c r="AQ232" s="774"/>
      <c r="AR232" s="774"/>
      <c r="AS232" s="774"/>
      <c r="AT232" s="1119">
        <v>20.59</v>
      </c>
      <c r="AU232" s="774"/>
      <c r="AV232" s="774"/>
      <c r="AW232" s="774"/>
      <c r="AX232" s="774"/>
      <c r="AY232" s="1119">
        <v>20.59</v>
      </c>
      <c r="AZ232" s="774"/>
      <c r="BA232" s="774"/>
      <c r="BB232" s="774"/>
      <c r="BC232" s="774"/>
      <c r="BD232" s="1119">
        <v>20.59</v>
      </c>
      <c r="BE232" s="774"/>
      <c r="BF232" s="774"/>
      <c r="BG232" s="774"/>
      <c r="BH232" s="774"/>
      <c r="BI232" s="1119">
        <v>4.7350000000000003</v>
      </c>
      <c r="BJ232" s="774"/>
      <c r="BK232" s="774"/>
      <c r="BL232" s="774"/>
      <c r="BM232" s="774"/>
      <c r="BN232" s="1119">
        <v>4.7350000000000003</v>
      </c>
      <c r="BO232" s="774"/>
      <c r="BP232" s="774"/>
      <c r="BQ232" s="774"/>
      <c r="BR232" s="774"/>
      <c r="BS232" s="78"/>
      <c r="BT232" s="775"/>
      <c r="BU232" s="774"/>
      <c r="BV232" s="774"/>
      <c r="BW232" s="774"/>
      <c r="BX232" s="78"/>
      <c r="BY232" s="774"/>
      <c r="BZ232" s="774"/>
      <c r="CA232" s="774"/>
      <c r="CB232" s="774"/>
      <c r="CC232" s="78"/>
      <c r="CD232" s="78"/>
      <c r="CE232" s="78"/>
      <c r="CF232" s="78"/>
      <c r="CG232" s="532"/>
    </row>
    <row r="233" spans="1:85" s="615" customFormat="1" x14ac:dyDescent="0.3">
      <c r="A233" s="522" t="s">
        <v>1873</v>
      </c>
      <c r="B233" s="521"/>
      <c r="C233" s="1122"/>
      <c r="D233" s="1122"/>
      <c r="E233" s="1122"/>
      <c r="F233" s="1122"/>
      <c r="G233" s="520"/>
      <c r="H233" s="520"/>
      <c r="I233" s="520"/>
      <c r="J233" s="520"/>
      <c r="K233" s="1122"/>
      <c r="L233" s="520"/>
      <c r="M233" s="520"/>
      <c r="N233" s="520"/>
      <c r="O233" s="520"/>
      <c r="P233" s="1122"/>
      <c r="Q233" s="520"/>
      <c r="R233" s="520"/>
      <c r="S233" s="520"/>
      <c r="T233" s="520"/>
      <c r="U233" s="1122"/>
      <c r="V233" s="520"/>
      <c r="W233" s="520"/>
      <c r="X233" s="520"/>
      <c r="Y233" s="520"/>
      <c r="Z233" s="1122"/>
      <c r="AA233" s="520"/>
      <c r="AB233" s="520"/>
      <c r="AC233" s="520"/>
      <c r="AD233" s="520"/>
      <c r="AE233" s="1122"/>
      <c r="AF233" s="520"/>
      <c r="AG233" s="520"/>
      <c r="AH233" s="520"/>
      <c r="AI233" s="520"/>
      <c r="AJ233" s="1122"/>
      <c r="AK233" s="520"/>
      <c r="AL233" s="520"/>
      <c r="AM233" s="520"/>
      <c r="AN233" s="520"/>
      <c r="AO233" s="1122"/>
      <c r="AP233" s="520"/>
      <c r="AQ233" s="520"/>
      <c r="AR233" s="520"/>
      <c r="AS233" s="520"/>
      <c r="AT233" s="1123">
        <v>290.39</v>
      </c>
      <c r="AU233" s="526"/>
      <c r="AV233" s="526"/>
      <c r="AW233" s="526"/>
      <c r="AX233" s="526"/>
      <c r="AY233" s="1123">
        <v>290.39</v>
      </c>
      <c r="AZ233" s="526"/>
      <c r="BA233" s="526"/>
      <c r="BB233" s="526"/>
      <c r="BC233" s="526"/>
      <c r="BD233" s="1123">
        <v>290.39</v>
      </c>
      <c r="BE233" s="520"/>
      <c r="BF233" s="520"/>
      <c r="BG233" s="520"/>
      <c r="BH233" s="520"/>
      <c r="BI233" s="1123">
        <v>290.39</v>
      </c>
      <c r="BJ233" s="520"/>
      <c r="BK233" s="520"/>
      <c r="BL233" s="520"/>
      <c r="BM233" s="520"/>
      <c r="BN233" s="1123">
        <v>290.39</v>
      </c>
      <c r="BO233" s="520"/>
      <c r="BP233" s="520"/>
      <c r="BQ233" s="520"/>
      <c r="BR233" s="520"/>
      <c r="BS233" s="1124"/>
      <c r="BT233" s="728"/>
      <c r="BU233" s="520"/>
      <c r="BV233" s="520"/>
      <c r="BW233" s="520"/>
      <c r="BX233" s="1122"/>
      <c r="BY233" s="520"/>
      <c r="BZ233" s="520"/>
      <c r="CA233" s="520"/>
      <c r="CB233" s="520"/>
      <c r="CC233" s="1122"/>
      <c r="CD233" s="1122"/>
      <c r="CE233" s="1122"/>
      <c r="CF233" s="1122"/>
      <c r="CG233" s="519"/>
    </row>
    <row r="234" spans="1:85" s="614" customFormat="1" x14ac:dyDescent="0.3">
      <c r="A234" s="522"/>
      <c r="B234" s="352"/>
      <c r="C234" s="1094"/>
      <c r="D234" s="1094"/>
      <c r="E234" s="1094"/>
      <c r="F234" s="1094"/>
      <c r="G234" s="197"/>
      <c r="H234" s="197"/>
      <c r="I234" s="197"/>
      <c r="J234" s="197"/>
      <c r="K234" s="1094"/>
      <c r="L234" s="197"/>
      <c r="M234" s="197"/>
      <c r="N234" s="197"/>
      <c r="O234" s="197"/>
      <c r="P234" s="1094"/>
      <c r="Q234" s="197"/>
      <c r="R234" s="197"/>
      <c r="S234" s="197"/>
      <c r="T234" s="197"/>
      <c r="U234" s="1094"/>
      <c r="V234" s="197"/>
      <c r="W234" s="197"/>
      <c r="X234" s="197"/>
      <c r="Y234" s="197"/>
      <c r="Z234" s="1094"/>
      <c r="AA234" s="197"/>
      <c r="AB234" s="197"/>
      <c r="AC234" s="197"/>
      <c r="AD234" s="197"/>
      <c r="AE234" s="1094"/>
      <c r="AF234" s="197"/>
      <c r="AG234" s="197"/>
      <c r="AH234" s="197"/>
      <c r="AI234" s="197"/>
      <c r="AJ234" s="1094"/>
      <c r="AK234" s="197"/>
      <c r="AL234" s="197"/>
      <c r="AM234" s="197"/>
      <c r="AN234" s="197"/>
      <c r="AO234" s="1094"/>
      <c r="AP234" s="197"/>
      <c r="AQ234" s="197"/>
      <c r="AR234" s="197"/>
      <c r="AS234" s="197"/>
      <c r="AT234" s="198"/>
      <c r="AU234" s="194"/>
      <c r="AV234" s="194"/>
      <c r="AW234" s="194"/>
      <c r="AX234" s="194"/>
      <c r="AY234" s="198"/>
      <c r="AZ234" s="194"/>
      <c r="BA234" s="194"/>
      <c r="BB234" s="194"/>
      <c r="BC234" s="194"/>
      <c r="BD234" s="198"/>
      <c r="BE234" s="197"/>
      <c r="BF234" s="197"/>
      <c r="BG234" s="197"/>
      <c r="BH234" s="197"/>
      <c r="BI234" s="198"/>
      <c r="BJ234" s="197"/>
      <c r="BK234" s="197"/>
      <c r="BL234" s="197"/>
      <c r="BM234" s="197"/>
      <c r="BN234" s="198"/>
      <c r="BO234" s="197"/>
      <c r="BP234" s="197"/>
      <c r="BQ234" s="197"/>
      <c r="BR234" s="197"/>
      <c r="BS234" s="198"/>
      <c r="BT234" s="727"/>
      <c r="BU234" s="197"/>
      <c r="BV234" s="197"/>
      <c r="BW234" s="197"/>
      <c r="BX234" s="1094"/>
      <c r="BY234" s="197"/>
      <c r="BZ234" s="197"/>
      <c r="CA234" s="197"/>
      <c r="CB234" s="197"/>
      <c r="CC234" s="1094"/>
      <c r="CD234" s="1094"/>
      <c r="CE234" s="1094"/>
      <c r="CF234" s="1094"/>
      <c r="CG234" s="349"/>
    </row>
    <row r="235" spans="1:85" s="613" customFormat="1" x14ac:dyDescent="0.3">
      <c r="A235" s="478" t="s">
        <v>1872</v>
      </c>
      <c r="B235" s="523"/>
      <c r="C235" s="78"/>
      <c r="D235" s="78"/>
      <c r="E235" s="78"/>
      <c r="F235" s="78"/>
      <c r="G235" s="774"/>
      <c r="H235" s="774"/>
      <c r="I235" s="774"/>
      <c r="J235" s="774"/>
      <c r="K235" s="78"/>
      <c r="L235" s="774"/>
      <c r="M235" s="774"/>
      <c r="N235" s="774"/>
      <c r="O235" s="774"/>
      <c r="P235" s="78"/>
      <c r="Q235" s="774"/>
      <c r="R235" s="774"/>
      <c r="S235" s="774"/>
      <c r="T235" s="774"/>
      <c r="U235" s="78"/>
      <c r="V235" s="774"/>
      <c r="W235" s="774"/>
      <c r="X235" s="774"/>
      <c r="Y235" s="774"/>
      <c r="Z235" s="78"/>
      <c r="AA235" s="774"/>
      <c r="AB235" s="774"/>
      <c r="AC235" s="774"/>
      <c r="AD235" s="774"/>
      <c r="AE235" s="78"/>
      <c r="AF235" s="774"/>
      <c r="AG235" s="774"/>
      <c r="AH235" s="774"/>
      <c r="AI235" s="774"/>
      <c r="AJ235" s="78"/>
      <c r="AK235" s="774"/>
      <c r="AL235" s="774"/>
      <c r="AM235" s="774"/>
      <c r="AN235" s="774"/>
      <c r="AO235" s="78"/>
      <c r="AP235" s="774"/>
      <c r="AQ235" s="774"/>
      <c r="AR235" s="774"/>
      <c r="AS235" s="774"/>
      <c r="AT235" s="1119">
        <v>21.332000000000001</v>
      </c>
      <c r="AU235" s="774"/>
      <c r="AV235" s="774"/>
      <c r="AW235" s="774"/>
      <c r="AX235" s="774"/>
      <c r="AY235" s="1119">
        <v>21.332000000000001</v>
      </c>
      <c r="AZ235" s="774"/>
      <c r="BA235" s="774"/>
      <c r="BB235" s="774"/>
      <c r="BC235" s="774"/>
      <c r="BD235" s="1119">
        <v>21.332000000000001</v>
      </c>
      <c r="BE235" s="774"/>
      <c r="BF235" s="774"/>
      <c r="BG235" s="774"/>
      <c r="BH235" s="774"/>
      <c r="BI235" s="1119">
        <v>4.9059999999999997</v>
      </c>
      <c r="BJ235" s="774"/>
      <c r="BK235" s="774"/>
      <c r="BL235" s="774"/>
      <c r="BM235" s="774"/>
      <c r="BN235" s="1119">
        <v>4.9059999999999997</v>
      </c>
      <c r="BO235" s="774"/>
      <c r="BP235" s="774"/>
      <c r="BQ235" s="774"/>
      <c r="BR235" s="774"/>
      <c r="BS235" s="78"/>
      <c r="BT235" s="775"/>
      <c r="BU235" s="774"/>
      <c r="BV235" s="774"/>
      <c r="BW235" s="774"/>
      <c r="BX235" s="78"/>
      <c r="BY235" s="774"/>
      <c r="BZ235" s="774"/>
      <c r="CA235" s="774"/>
      <c r="CB235" s="774"/>
      <c r="CC235" s="78"/>
      <c r="CD235" s="78"/>
      <c r="CE235" s="78"/>
      <c r="CF235" s="78"/>
      <c r="CG235" s="532"/>
    </row>
    <row r="236" spans="1:85" s="615" customFormat="1" x14ac:dyDescent="0.3">
      <c r="A236" s="522" t="s">
        <v>1871</v>
      </c>
      <c r="B236" s="521"/>
      <c r="C236" s="1122"/>
      <c r="D236" s="1122"/>
      <c r="E236" s="1122"/>
      <c r="F236" s="1122"/>
      <c r="G236" s="520"/>
      <c r="H236" s="520"/>
      <c r="I236" s="520"/>
      <c r="J236" s="520"/>
      <c r="K236" s="1122"/>
      <c r="L236" s="520"/>
      <c r="M236" s="520"/>
      <c r="N236" s="520"/>
      <c r="O236" s="520"/>
      <c r="P236" s="1122"/>
      <c r="Q236" s="520"/>
      <c r="R236" s="520"/>
      <c r="S236" s="520"/>
      <c r="T236" s="520"/>
      <c r="U236" s="1122"/>
      <c r="V236" s="520"/>
      <c r="W236" s="520"/>
      <c r="X236" s="520"/>
      <c r="Y236" s="520"/>
      <c r="Z236" s="1122"/>
      <c r="AA236" s="520"/>
      <c r="AB236" s="520"/>
      <c r="AC236" s="520"/>
      <c r="AD236" s="520"/>
      <c r="AE236" s="1122"/>
      <c r="AF236" s="520"/>
      <c r="AG236" s="520"/>
      <c r="AH236" s="520"/>
      <c r="AI236" s="520"/>
      <c r="AJ236" s="1122"/>
      <c r="AK236" s="520"/>
      <c r="AL236" s="520"/>
      <c r="AM236" s="520"/>
      <c r="AN236" s="520"/>
      <c r="AO236" s="1122"/>
      <c r="AP236" s="520"/>
      <c r="AQ236" s="520"/>
      <c r="AR236" s="520"/>
      <c r="AS236" s="520"/>
      <c r="AT236" s="1123">
        <v>280.29000000000002</v>
      </c>
      <c r="AU236" s="526"/>
      <c r="AV236" s="526"/>
      <c r="AW236" s="526"/>
      <c r="AX236" s="526"/>
      <c r="AY236" s="1123">
        <v>280.29000000000002</v>
      </c>
      <c r="AZ236" s="526"/>
      <c r="BA236" s="526"/>
      <c r="BB236" s="526"/>
      <c r="BC236" s="526"/>
      <c r="BD236" s="1123">
        <v>280.29000000000002</v>
      </c>
      <c r="BE236" s="520"/>
      <c r="BF236" s="520"/>
      <c r="BG236" s="520"/>
      <c r="BH236" s="520"/>
      <c r="BI236" s="1123">
        <v>280.29000000000002</v>
      </c>
      <c r="BJ236" s="520"/>
      <c r="BK236" s="520"/>
      <c r="BL236" s="520"/>
      <c r="BM236" s="520"/>
      <c r="BN236" s="1123">
        <v>280.29000000000002</v>
      </c>
      <c r="BO236" s="520"/>
      <c r="BP236" s="520"/>
      <c r="BQ236" s="520"/>
      <c r="BR236" s="520"/>
      <c r="BS236" s="1124"/>
      <c r="BT236" s="728"/>
      <c r="BU236" s="520"/>
      <c r="BV236" s="520"/>
      <c r="BW236" s="520"/>
      <c r="BX236" s="1122"/>
      <c r="BY236" s="520"/>
      <c r="BZ236" s="520"/>
      <c r="CA236" s="520"/>
      <c r="CB236" s="520"/>
      <c r="CC236" s="1122"/>
      <c r="CD236" s="1122"/>
      <c r="CE236" s="1122"/>
      <c r="CF236" s="1122"/>
      <c r="CG236" s="519"/>
    </row>
    <row r="237" spans="1:85" s="614" customFormat="1" x14ac:dyDescent="0.3">
      <c r="A237" s="522"/>
      <c r="B237" s="352"/>
      <c r="C237" s="1094"/>
      <c r="D237" s="1094"/>
      <c r="E237" s="1094"/>
      <c r="F237" s="1094"/>
      <c r="G237" s="197"/>
      <c r="H237" s="197"/>
      <c r="I237" s="197"/>
      <c r="J237" s="197"/>
      <c r="K237" s="1094"/>
      <c r="L237" s="197"/>
      <c r="M237" s="197"/>
      <c r="N237" s="197"/>
      <c r="O237" s="197"/>
      <c r="P237" s="1094"/>
      <c r="Q237" s="197"/>
      <c r="R237" s="197"/>
      <c r="S237" s="197"/>
      <c r="T237" s="197"/>
      <c r="U237" s="1094"/>
      <c r="V237" s="197"/>
      <c r="W237" s="197"/>
      <c r="X237" s="197"/>
      <c r="Y237" s="197"/>
      <c r="Z237" s="1094"/>
      <c r="AA237" s="197"/>
      <c r="AB237" s="197"/>
      <c r="AC237" s="197"/>
      <c r="AD237" s="197"/>
      <c r="AE237" s="1094"/>
      <c r="AF237" s="197"/>
      <c r="AG237" s="197"/>
      <c r="AH237" s="197"/>
      <c r="AI237" s="197"/>
      <c r="AJ237" s="1094"/>
      <c r="AK237" s="197"/>
      <c r="AL237" s="197"/>
      <c r="AM237" s="197"/>
      <c r="AN237" s="197"/>
      <c r="AO237" s="1094"/>
      <c r="AP237" s="197"/>
      <c r="AQ237" s="197"/>
      <c r="AR237" s="197"/>
      <c r="AS237" s="197"/>
      <c r="AT237" s="198"/>
      <c r="AU237" s="194"/>
      <c r="AV237" s="194"/>
      <c r="AW237" s="194"/>
      <c r="AX237" s="194"/>
      <c r="AY237" s="198"/>
      <c r="AZ237" s="194"/>
      <c r="BA237" s="194"/>
      <c r="BB237" s="194"/>
      <c r="BC237" s="194"/>
      <c r="BD237" s="198"/>
      <c r="BE237" s="197"/>
      <c r="BF237" s="197"/>
      <c r="BG237" s="197"/>
      <c r="BH237" s="197"/>
      <c r="BI237" s="198"/>
      <c r="BJ237" s="197"/>
      <c r="BK237" s="197"/>
      <c r="BL237" s="197"/>
      <c r="BM237" s="197"/>
      <c r="BN237" s="198"/>
      <c r="BO237" s="197"/>
      <c r="BP237" s="197"/>
      <c r="BQ237" s="197"/>
      <c r="BR237" s="197"/>
      <c r="BS237" s="198"/>
      <c r="BT237" s="727"/>
      <c r="BU237" s="197"/>
      <c r="BV237" s="197"/>
      <c r="BW237" s="197"/>
      <c r="BX237" s="1094"/>
      <c r="BY237" s="197"/>
      <c r="BZ237" s="197"/>
      <c r="CA237" s="197"/>
      <c r="CB237" s="197"/>
      <c r="CC237" s="1094"/>
      <c r="CD237" s="1094"/>
      <c r="CE237" s="1094"/>
      <c r="CF237" s="1094"/>
      <c r="CG237" s="349"/>
    </row>
    <row r="238" spans="1:85" s="613" customFormat="1" x14ac:dyDescent="0.3">
      <c r="A238" s="478" t="s">
        <v>1870</v>
      </c>
      <c r="B238" s="523"/>
      <c r="C238" s="78"/>
      <c r="D238" s="78"/>
      <c r="E238" s="78"/>
      <c r="F238" s="78"/>
      <c r="G238" s="774"/>
      <c r="H238" s="774"/>
      <c r="I238" s="774"/>
      <c r="J238" s="774"/>
      <c r="K238" s="78"/>
      <c r="L238" s="774"/>
      <c r="M238" s="774"/>
      <c r="N238" s="774"/>
      <c r="O238" s="774"/>
      <c r="P238" s="78"/>
      <c r="Q238" s="774"/>
      <c r="R238" s="774"/>
      <c r="S238" s="774"/>
      <c r="T238" s="774"/>
      <c r="U238" s="78"/>
      <c r="V238" s="774"/>
      <c r="W238" s="774"/>
      <c r="X238" s="774"/>
      <c r="Y238" s="774"/>
      <c r="Z238" s="78"/>
      <c r="AA238" s="774"/>
      <c r="AB238" s="774"/>
      <c r="AC238" s="774"/>
      <c r="AD238" s="774"/>
      <c r="AE238" s="78"/>
      <c r="AF238" s="774"/>
      <c r="AG238" s="774"/>
      <c r="AH238" s="774"/>
      <c r="AI238" s="774"/>
      <c r="AJ238" s="78"/>
      <c r="AK238" s="774"/>
      <c r="AL238" s="774"/>
      <c r="AM238" s="774"/>
      <c r="AN238" s="774"/>
      <c r="AO238" s="78"/>
      <c r="AP238" s="774"/>
      <c r="AQ238" s="774"/>
      <c r="AR238" s="774"/>
      <c r="AS238" s="774"/>
      <c r="AT238" s="1119">
        <v>19.085000000000001</v>
      </c>
      <c r="AU238" s="774"/>
      <c r="AV238" s="774"/>
      <c r="AW238" s="774"/>
      <c r="AX238" s="774"/>
      <c r="AY238" s="1119">
        <v>19.085000000000001</v>
      </c>
      <c r="AZ238" s="774"/>
      <c r="BA238" s="774"/>
      <c r="BB238" s="774"/>
      <c r="BC238" s="774"/>
      <c r="BD238" s="1119">
        <v>19.085000000000001</v>
      </c>
      <c r="BE238" s="774"/>
      <c r="BF238" s="774"/>
      <c r="BG238" s="774"/>
      <c r="BH238" s="774"/>
      <c r="BI238" s="1119">
        <v>4.3890000000000002</v>
      </c>
      <c r="BJ238" s="774"/>
      <c r="BK238" s="774"/>
      <c r="BL238" s="774"/>
      <c r="BM238" s="774"/>
      <c r="BN238" s="1119">
        <v>4.3890000000000002</v>
      </c>
      <c r="BO238" s="774"/>
      <c r="BP238" s="774"/>
      <c r="BQ238" s="774"/>
      <c r="BR238" s="774"/>
      <c r="BS238" s="78"/>
      <c r="BT238" s="775"/>
      <c r="BU238" s="774"/>
      <c r="BV238" s="774"/>
      <c r="BW238" s="774"/>
      <c r="BX238" s="78"/>
      <c r="BY238" s="774"/>
      <c r="BZ238" s="774"/>
      <c r="CA238" s="774"/>
      <c r="CB238" s="774"/>
      <c r="CC238" s="78"/>
      <c r="CD238" s="78"/>
      <c r="CE238" s="78"/>
      <c r="CF238" s="78"/>
      <c r="CG238" s="532"/>
    </row>
    <row r="239" spans="1:85" s="615" customFormat="1" x14ac:dyDescent="0.3">
      <c r="A239" s="522" t="s">
        <v>1869</v>
      </c>
      <c r="B239" s="521"/>
      <c r="C239" s="1122"/>
      <c r="D239" s="1122"/>
      <c r="E239" s="1122"/>
      <c r="F239" s="1122"/>
      <c r="G239" s="520"/>
      <c r="H239" s="520"/>
      <c r="I239" s="520"/>
      <c r="J239" s="520"/>
      <c r="K239" s="1122"/>
      <c r="L239" s="520"/>
      <c r="M239" s="520"/>
      <c r="N239" s="520"/>
      <c r="O239" s="520"/>
      <c r="P239" s="1122"/>
      <c r="Q239" s="520"/>
      <c r="R239" s="520"/>
      <c r="S239" s="520"/>
      <c r="T239" s="520"/>
      <c r="U239" s="1122"/>
      <c r="V239" s="520"/>
      <c r="W239" s="520"/>
      <c r="X239" s="520"/>
      <c r="Y239" s="520"/>
      <c r="Z239" s="1122"/>
      <c r="AA239" s="520"/>
      <c r="AB239" s="520"/>
      <c r="AC239" s="520"/>
      <c r="AD239" s="520"/>
      <c r="AE239" s="1122"/>
      <c r="AF239" s="520"/>
      <c r="AG239" s="520"/>
      <c r="AH239" s="520"/>
      <c r="AI239" s="520"/>
      <c r="AJ239" s="1122"/>
      <c r="AK239" s="520"/>
      <c r="AL239" s="520"/>
      <c r="AM239" s="520"/>
      <c r="AN239" s="520"/>
      <c r="AO239" s="1122"/>
      <c r="AP239" s="520"/>
      <c r="AQ239" s="520"/>
      <c r="AR239" s="520"/>
      <c r="AS239" s="520"/>
      <c r="AT239" s="1123">
        <v>313.3</v>
      </c>
      <c r="AU239" s="526"/>
      <c r="AV239" s="526"/>
      <c r="AW239" s="526"/>
      <c r="AX239" s="526"/>
      <c r="AY239" s="1123">
        <v>313.3</v>
      </c>
      <c r="AZ239" s="526"/>
      <c r="BA239" s="526"/>
      <c r="BB239" s="526"/>
      <c r="BC239" s="526"/>
      <c r="BD239" s="1123">
        <v>313.3</v>
      </c>
      <c r="BE239" s="520"/>
      <c r="BF239" s="520"/>
      <c r="BG239" s="520"/>
      <c r="BH239" s="520"/>
      <c r="BI239" s="1123">
        <v>313.3</v>
      </c>
      <c r="BJ239" s="520"/>
      <c r="BK239" s="520"/>
      <c r="BL239" s="520"/>
      <c r="BM239" s="520"/>
      <c r="BN239" s="1123">
        <v>313.3</v>
      </c>
      <c r="BO239" s="520"/>
      <c r="BP239" s="520"/>
      <c r="BQ239" s="520"/>
      <c r="BR239" s="520"/>
      <c r="BS239" s="1124"/>
      <c r="BT239" s="728"/>
      <c r="BU239" s="520"/>
      <c r="BV239" s="520"/>
      <c r="BW239" s="520"/>
      <c r="BX239" s="1122"/>
      <c r="BY239" s="520"/>
      <c r="BZ239" s="520"/>
      <c r="CA239" s="520"/>
      <c r="CB239" s="520"/>
      <c r="CC239" s="1122"/>
      <c r="CD239" s="1122"/>
      <c r="CE239" s="1122"/>
      <c r="CF239" s="1122"/>
      <c r="CG239" s="519"/>
    </row>
    <row r="240" spans="1:85" s="614" customFormat="1" x14ac:dyDescent="0.3">
      <c r="A240" s="522"/>
      <c r="B240" s="352"/>
      <c r="C240" s="1094"/>
      <c r="D240" s="1094"/>
      <c r="E240" s="1094"/>
      <c r="F240" s="1094"/>
      <c r="G240" s="197"/>
      <c r="H240" s="197"/>
      <c r="I240" s="197"/>
      <c r="J240" s="197"/>
      <c r="K240" s="1094"/>
      <c r="L240" s="197"/>
      <c r="M240" s="197"/>
      <c r="N240" s="197"/>
      <c r="O240" s="197"/>
      <c r="P240" s="1094"/>
      <c r="Q240" s="197"/>
      <c r="R240" s="197"/>
      <c r="S240" s="197"/>
      <c r="T240" s="197"/>
      <c r="U240" s="1094"/>
      <c r="V240" s="197"/>
      <c r="W240" s="197"/>
      <c r="X240" s="197"/>
      <c r="Y240" s="197"/>
      <c r="Z240" s="1094"/>
      <c r="AA240" s="197"/>
      <c r="AB240" s="197"/>
      <c r="AC240" s="197"/>
      <c r="AD240" s="197"/>
      <c r="AE240" s="1094"/>
      <c r="AF240" s="197"/>
      <c r="AG240" s="197"/>
      <c r="AH240" s="197"/>
      <c r="AI240" s="197"/>
      <c r="AJ240" s="1094"/>
      <c r="AK240" s="197"/>
      <c r="AL240" s="197"/>
      <c r="AM240" s="197"/>
      <c r="AN240" s="197"/>
      <c r="AO240" s="1094"/>
      <c r="AP240" s="197"/>
      <c r="AQ240" s="197"/>
      <c r="AR240" s="197"/>
      <c r="AS240" s="197"/>
      <c r="AT240" s="198"/>
      <c r="AU240" s="194"/>
      <c r="AV240" s="194"/>
      <c r="AW240" s="194"/>
      <c r="AX240" s="194"/>
      <c r="AY240" s="198"/>
      <c r="AZ240" s="194"/>
      <c r="BA240" s="194"/>
      <c r="BB240" s="194"/>
      <c r="BC240" s="194"/>
      <c r="BD240" s="198"/>
      <c r="BE240" s="197"/>
      <c r="BF240" s="197"/>
      <c r="BG240" s="197"/>
      <c r="BH240" s="197"/>
      <c r="BI240" s="198"/>
      <c r="BJ240" s="197"/>
      <c r="BK240" s="197"/>
      <c r="BL240" s="197"/>
      <c r="BM240" s="197"/>
      <c r="BN240" s="198"/>
      <c r="BO240" s="197"/>
      <c r="BP240" s="197"/>
      <c r="BQ240" s="197"/>
      <c r="BR240" s="197"/>
      <c r="BS240" s="198"/>
      <c r="BT240" s="727"/>
      <c r="BU240" s="197"/>
      <c r="BV240" s="197"/>
      <c r="BW240" s="197"/>
      <c r="BX240" s="1094"/>
      <c r="BY240" s="197"/>
      <c r="BZ240" s="197"/>
      <c r="CA240" s="197"/>
      <c r="CB240" s="197"/>
      <c r="CC240" s="1094"/>
      <c r="CD240" s="1094"/>
      <c r="CE240" s="1094"/>
      <c r="CF240" s="1094"/>
      <c r="CG240" s="349"/>
    </row>
    <row r="241" spans="1:85" s="613" customFormat="1" x14ac:dyDescent="0.3">
      <c r="A241" s="478" t="s">
        <v>1868</v>
      </c>
      <c r="B241" s="523"/>
      <c r="C241" s="78"/>
      <c r="D241" s="78"/>
      <c r="E241" s="78"/>
      <c r="F241" s="78"/>
      <c r="G241" s="774"/>
      <c r="H241" s="774"/>
      <c r="I241" s="774"/>
      <c r="J241" s="774"/>
      <c r="K241" s="78"/>
      <c r="L241" s="774"/>
      <c r="M241" s="774"/>
      <c r="N241" s="774"/>
      <c r="O241" s="774"/>
      <c r="P241" s="78"/>
      <c r="Q241" s="774"/>
      <c r="R241" s="774"/>
      <c r="S241" s="774"/>
      <c r="T241" s="774"/>
      <c r="U241" s="78"/>
      <c r="V241" s="774"/>
      <c r="W241" s="774"/>
      <c r="X241" s="774"/>
      <c r="Y241" s="774"/>
      <c r="Z241" s="78"/>
      <c r="AA241" s="774"/>
      <c r="AB241" s="774"/>
      <c r="AC241" s="774"/>
      <c r="AD241" s="774"/>
      <c r="AE241" s="78"/>
      <c r="AF241" s="774"/>
      <c r="AG241" s="774"/>
      <c r="AH241" s="774"/>
      <c r="AI241" s="774"/>
      <c r="AJ241" s="78"/>
      <c r="AK241" s="774"/>
      <c r="AL241" s="774"/>
      <c r="AM241" s="774"/>
      <c r="AN241" s="774"/>
      <c r="AO241" s="78"/>
      <c r="AP241" s="774"/>
      <c r="AQ241" s="774"/>
      <c r="AR241" s="774"/>
      <c r="AS241" s="774"/>
      <c r="AT241" s="1119">
        <v>16.611999999999998</v>
      </c>
      <c r="AU241" s="774"/>
      <c r="AV241" s="774"/>
      <c r="AW241" s="774"/>
      <c r="AX241" s="774"/>
      <c r="AY241" s="1119">
        <v>16.611999999999998</v>
      </c>
      <c r="AZ241" s="774"/>
      <c r="BA241" s="774"/>
      <c r="BB241" s="774"/>
      <c r="BC241" s="774"/>
      <c r="BD241" s="1119">
        <v>16.611999999999998</v>
      </c>
      <c r="BE241" s="774"/>
      <c r="BF241" s="774"/>
      <c r="BG241" s="774"/>
      <c r="BH241" s="774"/>
      <c r="BI241" s="1119">
        <v>3.82</v>
      </c>
      <c r="BJ241" s="774"/>
      <c r="BK241" s="774"/>
      <c r="BL241" s="774"/>
      <c r="BM241" s="774"/>
      <c r="BN241" s="1119">
        <v>3.82</v>
      </c>
      <c r="BO241" s="774"/>
      <c r="BP241" s="774"/>
      <c r="BQ241" s="774"/>
      <c r="BR241" s="774"/>
      <c r="BS241" s="78"/>
      <c r="BT241" s="775"/>
      <c r="BU241" s="774"/>
      <c r="BV241" s="774"/>
      <c r="BW241" s="774"/>
      <c r="BX241" s="78"/>
      <c r="BY241" s="774"/>
      <c r="BZ241" s="774"/>
      <c r="CA241" s="774"/>
      <c r="CB241" s="774"/>
      <c r="CC241" s="78"/>
      <c r="CD241" s="78"/>
      <c r="CE241" s="78"/>
      <c r="CF241" s="78"/>
      <c r="CG241" s="532"/>
    </row>
    <row r="242" spans="1:85" s="615" customFormat="1" x14ac:dyDescent="0.3">
      <c r="A242" s="522" t="s">
        <v>1867</v>
      </c>
      <c r="B242" s="521"/>
      <c r="C242" s="1122"/>
      <c r="D242" s="1122"/>
      <c r="E242" s="1122"/>
      <c r="F242" s="1122"/>
      <c r="G242" s="520"/>
      <c r="H242" s="520"/>
      <c r="I242" s="520"/>
      <c r="J242" s="520"/>
      <c r="K242" s="1122"/>
      <c r="L242" s="520"/>
      <c r="M242" s="520"/>
      <c r="N242" s="520"/>
      <c r="O242" s="520"/>
      <c r="P242" s="1122"/>
      <c r="Q242" s="520"/>
      <c r="R242" s="520"/>
      <c r="S242" s="520"/>
      <c r="T242" s="520"/>
      <c r="U242" s="1122"/>
      <c r="V242" s="520"/>
      <c r="W242" s="520"/>
      <c r="X242" s="520"/>
      <c r="Y242" s="520"/>
      <c r="Z242" s="1122"/>
      <c r="AA242" s="520"/>
      <c r="AB242" s="520"/>
      <c r="AC242" s="520"/>
      <c r="AD242" s="520"/>
      <c r="AE242" s="1122"/>
      <c r="AF242" s="520"/>
      <c r="AG242" s="520"/>
      <c r="AH242" s="520"/>
      <c r="AI242" s="520"/>
      <c r="AJ242" s="1122"/>
      <c r="AK242" s="520"/>
      <c r="AL242" s="520"/>
      <c r="AM242" s="520"/>
      <c r="AN242" s="520"/>
      <c r="AO242" s="1122"/>
      <c r="AP242" s="520"/>
      <c r="AQ242" s="520"/>
      <c r="AR242" s="520"/>
      <c r="AS242" s="520"/>
      <c r="AT242" s="1123">
        <v>359.93</v>
      </c>
      <c r="AU242" s="526"/>
      <c r="AV242" s="526"/>
      <c r="AW242" s="526"/>
      <c r="AX242" s="526"/>
      <c r="AY242" s="1123">
        <v>359.93</v>
      </c>
      <c r="AZ242" s="526"/>
      <c r="BA242" s="526"/>
      <c r="BB242" s="526"/>
      <c r="BC242" s="526"/>
      <c r="BD242" s="1123">
        <v>359.93</v>
      </c>
      <c r="BE242" s="520"/>
      <c r="BF242" s="520"/>
      <c r="BG242" s="520"/>
      <c r="BH242" s="520"/>
      <c r="BI242" s="1123">
        <v>359.93</v>
      </c>
      <c r="BJ242" s="520"/>
      <c r="BK242" s="520"/>
      <c r="BL242" s="520"/>
      <c r="BM242" s="520"/>
      <c r="BN242" s="1123">
        <v>359.93</v>
      </c>
      <c r="BO242" s="520"/>
      <c r="BP242" s="520"/>
      <c r="BQ242" s="520"/>
      <c r="BR242" s="520"/>
      <c r="BS242" s="1124"/>
      <c r="BT242" s="728"/>
      <c r="BU242" s="520"/>
      <c r="BV242" s="520"/>
      <c r="BW242" s="520"/>
      <c r="BX242" s="1122"/>
      <c r="BY242" s="520"/>
      <c r="BZ242" s="520"/>
      <c r="CA242" s="520"/>
      <c r="CB242" s="520"/>
      <c r="CC242" s="1122"/>
      <c r="CD242" s="1122"/>
      <c r="CE242" s="1122"/>
      <c r="CF242" s="1122"/>
      <c r="CG242" s="519"/>
    </row>
    <row r="243" spans="1:85" s="614" customFormat="1" x14ac:dyDescent="0.3">
      <c r="A243" s="522"/>
      <c r="B243" s="352"/>
      <c r="C243" s="1094"/>
      <c r="D243" s="1094"/>
      <c r="E243" s="1094"/>
      <c r="F243" s="1094"/>
      <c r="G243" s="197"/>
      <c r="H243" s="197"/>
      <c r="I243" s="197"/>
      <c r="J243" s="197"/>
      <c r="K243" s="1094"/>
      <c r="L243" s="197"/>
      <c r="M243" s="197"/>
      <c r="N243" s="197"/>
      <c r="O243" s="197"/>
      <c r="P243" s="1094"/>
      <c r="Q243" s="197"/>
      <c r="R243" s="197"/>
      <c r="S243" s="197"/>
      <c r="T243" s="197"/>
      <c r="U243" s="1094"/>
      <c r="V243" s="197"/>
      <c r="W243" s="197"/>
      <c r="X243" s="197"/>
      <c r="Y243" s="197"/>
      <c r="Z243" s="1094"/>
      <c r="AA243" s="197"/>
      <c r="AB243" s="197"/>
      <c r="AC243" s="197"/>
      <c r="AD243" s="197"/>
      <c r="AE243" s="1094"/>
      <c r="AF243" s="197"/>
      <c r="AG243" s="197"/>
      <c r="AH243" s="197"/>
      <c r="AI243" s="197"/>
      <c r="AJ243" s="1094"/>
      <c r="AK243" s="197"/>
      <c r="AL243" s="197"/>
      <c r="AM243" s="197"/>
      <c r="AN243" s="197"/>
      <c r="AO243" s="1094"/>
      <c r="AP243" s="197"/>
      <c r="AQ243" s="197"/>
      <c r="AR243" s="197"/>
      <c r="AS243" s="197"/>
      <c r="AT243" s="198"/>
      <c r="AU243" s="194"/>
      <c r="AV243" s="194"/>
      <c r="AW243" s="194"/>
      <c r="AX243" s="194"/>
      <c r="AY243" s="198"/>
      <c r="AZ243" s="194"/>
      <c r="BA243" s="194"/>
      <c r="BB243" s="194"/>
      <c r="BC243" s="194"/>
      <c r="BD243" s="198"/>
      <c r="BE243" s="197"/>
      <c r="BF243" s="197"/>
      <c r="BG243" s="197"/>
      <c r="BH243" s="197"/>
      <c r="BI243" s="198"/>
      <c r="BJ243" s="197"/>
      <c r="BK243" s="197"/>
      <c r="BL243" s="197"/>
      <c r="BM243" s="197"/>
      <c r="BN243" s="198"/>
      <c r="BO243" s="197"/>
      <c r="BP243" s="197"/>
      <c r="BQ243" s="197"/>
      <c r="BR243" s="197"/>
      <c r="BS243" s="198"/>
      <c r="BT243" s="727"/>
      <c r="BU243" s="197"/>
      <c r="BV243" s="197"/>
      <c r="BW243" s="197"/>
      <c r="BX243" s="1094"/>
      <c r="BY243" s="197"/>
      <c r="BZ243" s="197"/>
      <c r="CA243" s="197"/>
      <c r="CB243" s="197"/>
      <c r="CC243" s="1094"/>
      <c r="CD243" s="1094"/>
      <c r="CE243" s="1094"/>
      <c r="CF243" s="1094"/>
      <c r="CG243" s="349"/>
    </row>
    <row r="244" spans="1:85" s="613" customFormat="1" x14ac:dyDescent="0.3">
      <c r="A244" s="478" t="s">
        <v>1866</v>
      </c>
      <c r="B244" s="523"/>
      <c r="C244" s="78"/>
      <c r="D244" s="78"/>
      <c r="E244" s="78"/>
      <c r="F244" s="78"/>
      <c r="G244" s="774"/>
      <c r="H244" s="774"/>
      <c r="I244" s="774"/>
      <c r="J244" s="774"/>
      <c r="K244" s="78"/>
      <c r="L244" s="774"/>
      <c r="M244" s="774"/>
      <c r="N244" s="774"/>
      <c r="O244" s="774"/>
      <c r="P244" s="78"/>
      <c r="Q244" s="774"/>
      <c r="R244" s="774"/>
      <c r="S244" s="774"/>
      <c r="T244" s="774"/>
      <c r="U244" s="78"/>
      <c r="V244" s="774"/>
      <c r="W244" s="774"/>
      <c r="X244" s="774"/>
      <c r="Y244" s="774"/>
      <c r="Z244" s="78"/>
      <c r="AA244" s="774"/>
      <c r="AB244" s="774"/>
      <c r="AC244" s="774"/>
      <c r="AD244" s="774"/>
      <c r="AE244" s="78"/>
      <c r="AF244" s="774"/>
      <c r="AG244" s="774"/>
      <c r="AH244" s="774"/>
      <c r="AI244" s="774"/>
      <c r="AJ244" s="78"/>
      <c r="AK244" s="774"/>
      <c r="AL244" s="774"/>
      <c r="AM244" s="774"/>
      <c r="AN244" s="774"/>
      <c r="AO244" s="78"/>
      <c r="AP244" s="774"/>
      <c r="AQ244" s="774"/>
      <c r="AR244" s="774"/>
      <c r="AS244" s="774"/>
      <c r="AT244" s="1119">
        <v>15.016</v>
      </c>
      <c r="AU244" s="774"/>
      <c r="AV244" s="774"/>
      <c r="AW244" s="774"/>
      <c r="AX244" s="774"/>
      <c r="AY244" s="1119">
        <v>15.016</v>
      </c>
      <c r="AZ244" s="774"/>
      <c r="BA244" s="774"/>
      <c r="BB244" s="774"/>
      <c r="BC244" s="774"/>
      <c r="BD244" s="1119">
        <v>15.016</v>
      </c>
      <c r="BE244" s="774"/>
      <c r="BF244" s="774"/>
      <c r="BG244" s="774"/>
      <c r="BH244" s="774"/>
      <c r="BI244" s="1119">
        <v>3.4529999999999998</v>
      </c>
      <c r="BJ244" s="774"/>
      <c r="BK244" s="774"/>
      <c r="BL244" s="774"/>
      <c r="BM244" s="774"/>
      <c r="BN244" s="1119">
        <v>3.4529999999999998</v>
      </c>
      <c r="BO244" s="774"/>
      <c r="BP244" s="774"/>
      <c r="BQ244" s="774"/>
      <c r="BR244" s="774"/>
      <c r="BS244" s="78"/>
      <c r="BT244" s="775"/>
      <c r="BU244" s="774"/>
      <c r="BV244" s="774"/>
      <c r="BW244" s="774"/>
      <c r="BX244" s="78"/>
      <c r="BY244" s="774"/>
      <c r="BZ244" s="774"/>
      <c r="CA244" s="774"/>
      <c r="CB244" s="774"/>
      <c r="CC244" s="78"/>
      <c r="CD244" s="78"/>
      <c r="CE244" s="78"/>
      <c r="CF244" s="78"/>
      <c r="CG244" s="532"/>
    </row>
    <row r="245" spans="1:85" s="615" customFormat="1" x14ac:dyDescent="0.3">
      <c r="A245" s="522" t="s">
        <v>1865</v>
      </c>
      <c r="B245" s="521"/>
      <c r="C245" s="1122"/>
      <c r="D245" s="1122"/>
      <c r="E245" s="1122"/>
      <c r="F245" s="1122"/>
      <c r="G245" s="520"/>
      <c r="H245" s="520"/>
      <c r="I245" s="520"/>
      <c r="J245" s="520"/>
      <c r="K245" s="1122"/>
      <c r="L245" s="520"/>
      <c r="M245" s="520"/>
      <c r="N245" s="520"/>
      <c r="O245" s="520"/>
      <c r="P245" s="1122"/>
      <c r="Q245" s="520"/>
      <c r="R245" s="520"/>
      <c r="S245" s="520"/>
      <c r="T245" s="520"/>
      <c r="U245" s="1122"/>
      <c r="V245" s="520"/>
      <c r="W245" s="520"/>
      <c r="X245" s="520"/>
      <c r="Y245" s="520"/>
      <c r="Z245" s="1122"/>
      <c r="AA245" s="520"/>
      <c r="AB245" s="520"/>
      <c r="AC245" s="520"/>
      <c r="AD245" s="520"/>
      <c r="AE245" s="1122"/>
      <c r="AF245" s="520"/>
      <c r="AG245" s="520"/>
      <c r="AH245" s="520"/>
      <c r="AI245" s="520"/>
      <c r="AJ245" s="1122"/>
      <c r="AK245" s="520"/>
      <c r="AL245" s="520"/>
      <c r="AM245" s="520"/>
      <c r="AN245" s="520"/>
      <c r="AO245" s="1122"/>
      <c r="AP245" s="520"/>
      <c r="AQ245" s="520"/>
      <c r="AR245" s="520"/>
      <c r="AS245" s="520"/>
      <c r="AT245" s="1123">
        <v>398.18</v>
      </c>
      <c r="AU245" s="526"/>
      <c r="AV245" s="526"/>
      <c r="AW245" s="526"/>
      <c r="AX245" s="526"/>
      <c r="AY245" s="1123">
        <v>398.18</v>
      </c>
      <c r="AZ245" s="526"/>
      <c r="BA245" s="526"/>
      <c r="BB245" s="526"/>
      <c r="BC245" s="526"/>
      <c r="BD245" s="1123">
        <v>398.18</v>
      </c>
      <c r="BE245" s="520"/>
      <c r="BF245" s="520"/>
      <c r="BG245" s="520"/>
      <c r="BH245" s="520"/>
      <c r="BI245" s="1123">
        <v>398.18</v>
      </c>
      <c r="BJ245" s="520"/>
      <c r="BK245" s="520"/>
      <c r="BL245" s="520"/>
      <c r="BM245" s="520"/>
      <c r="BN245" s="1123">
        <v>398.18</v>
      </c>
      <c r="BO245" s="520"/>
      <c r="BP245" s="520"/>
      <c r="BQ245" s="520"/>
      <c r="BR245" s="520"/>
      <c r="BS245" s="1124"/>
      <c r="BT245" s="728"/>
      <c r="BU245" s="520"/>
      <c r="BV245" s="520"/>
      <c r="BW245" s="520"/>
      <c r="BX245" s="1122"/>
      <c r="BY245" s="520"/>
      <c r="BZ245" s="520"/>
      <c r="CA245" s="520"/>
      <c r="CB245" s="520"/>
      <c r="CC245" s="1122"/>
      <c r="CD245" s="1122"/>
      <c r="CE245" s="1122"/>
      <c r="CF245" s="1122"/>
      <c r="CG245" s="519"/>
    </row>
    <row r="246" spans="1:85" s="614" customFormat="1" x14ac:dyDescent="0.3">
      <c r="A246" s="522"/>
      <c r="B246" s="352"/>
      <c r="C246" s="1094"/>
      <c r="D246" s="1094"/>
      <c r="E246" s="1094"/>
      <c r="F246" s="1094"/>
      <c r="G246" s="197"/>
      <c r="H246" s="197"/>
      <c r="I246" s="197"/>
      <c r="J246" s="197"/>
      <c r="K246" s="1094"/>
      <c r="L246" s="197"/>
      <c r="M246" s="197"/>
      <c r="N246" s="197"/>
      <c r="O246" s="197"/>
      <c r="P246" s="1094"/>
      <c r="Q246" s="197"/>
      <c r="R246" s="197"/>
      <c r="S246" s="197"/>
      <c r="T246" s="197"/>
      <c r="U246" s="1094"/>
      <c r="V246" s="197"/>
      <c r="W246" s="197"/>
      <c r="X246" s="197"/>
      <c r="Y246" s="197"/>
      <c r="Z246" s="1094"/>
      <c r="AA246" s="197"/>
      <c r="AB246" s="197"/>
      <c r="AC246" s="197"/>
      <c r="AD246" s="197"/>
      <c r="AE246" s="1094"/>
      <c r="AF246" s="197"/>
      <c r="AG246" s="197"/>
      <c r="AH246" s="197"/>
      <c r="AI246" s="197"/>
      <c r="AJ246" s="1094"/>
      <c r="AK246" s="197"/>
      <c r="AL246" s="197"/>
      <c r="AM246" s="197"/>
      <c r="AN246" s="197"/>
      <c r="AO246" s="1094"/>
      <c r="AP246" s="197"/>
      <c r="AQ246" s="197"/>
      <c r="AR246" s="197"/>
      <c r="AS246" s="197"/>
      <c r="AT246" s="198"/>
      <c r="AU246" s="194"/>
      <c r="AV246" s="194"/>
      <c r="AW246" s="194"/>
      <c r="AX246" s="194"/>
      <c r="AY246" s="198"/>
      <c r="AZ246" s="194"/>
      <c r="BA246" s="194"/>
      <c r="BB246" s="194"/>
      <c r="BC246" s="194"/>
      <c r="BD246" s="198"/>
      <c r="BE246" s="197"/>
      <c r="BF246" s="197"/>
      <c r="BG246" s="197"/>
      <c r="BH246" s="197"/>
      <c r="BI246" s="198"/>
      <c r="BJ246" s="197"/>
      <c r="BK246" s="197"/>
      <c r="BL246" s="197"/>
      <c r="BM246" s="197"/>
      <c r="BN246" s="198"/>
      <c r="BO246" s="197"/>
      <c r="BP246" s="197"/>
      <c r="BQ246" s="197"/>
      <c r="BR246" s="197"/>
      <c r="BS246" s="198"/>
      <c r="BT246" s="727"/>
      <c r="BU246" s="197"/>
      <c r="BV246" s="197"/>
      <c r="BW246" s="197"/>
      <c r="BX246" s="1094"/>
      <c r="BY246" s="197"/>
      <c r="BZ246" s="197"/>
      <c r="CA246" s="197"/>
      <c r="CB246" s="197"/>
      <c r="CC246" s="1094"/>
      <c r="CD246" s="1094"/>
      <c r="CE246" s="1094"/>
      <c r="CF246" s="1094"/>
      <c r="CG246" s="349"/>
    </row>
    <row r="247" spans="1:85" s="613" customFormat="1" x14ac:dyDescent="0.3">
      <c r="A247" s="478" t="s">
        <v>1864</v>
      </c>
      <c r="B247" s="523"/>
      <c r="C247" s="78"/>
      <c r="D247" s="78"/>
      <c r="E247" s="78"/>
      <c r="F247" s="78"/>
      <c r="G247" s="774"/>
      <c r="H247" s="774"/>
      <c r="I247" s="774"/>
      <c r="J247" s="774"/>
      <c r="K247" s="78"/>
      <c r="L247" s="774"/>
      <c r="M247" s="774"/>
      <c r="N247" s="774"/>
      <c r="O247" s="774"/>
      <c r="P247" s="78"/>
      <c r="Q247" s="774"/>
      <c r="R247" s="774"/>
      <c r="S247" s="774"/>
      <c r="T247" s="774"/>
      <c r="U247" s="78"/>
      <c r="V247" s="774"/>
      <c r="W247" s="774"/>
      <c r="X247" s="774"/>
      <c r="Y247" s="774"/>
      <c r="Z247" s="78"/>
      <c r="AA247" s="774"/>
      <c r="AB247" s="774"/>
      <c r="AC247" s="774"/>
      <c r="AD247" s="774"/>
      <c r="AE247" s="78"/>
      <c r="AF247" s="774"/>
      <c r="AG247" s="774"/>
      <c r="AH247" s="774"/>
      <c r="AI247" s="774"/>
      <c r="AJ247" s="78"/>
      <c r="AK247" s="774"/>
      <c r="AL247" s="774"/>
      <c r="AM247" s="774"/>
      <c r="AN247" s="774"/>
      <c r="AO247" s="78"/>
      <c r="AP247" s="774"/>
      <c r="AQ247" s="774"/>
      <c r="AR247" s="774"/>
      <c r="AS247" s="774"/>
      <c r="AT247" s="1119">
        <v>17.670000000000002</v>
      </c>
      <c r="AU247" s="774"/>
      <c r="AV247" s="774"/>
      <c r="AW247" s="774"/>
      <c r="AX247" s="774"/>
      <c r="AY247" s="1119">
        <v>17.670000000000002</v>
      </c>
      <c r="AZ247" s="774"/>
      <c r="BA247" s="774"/>
      <c r="BB247" s="774"/>
      <c r="BC247" s="774"/>
      <c r="BD247" s="1119">
        <v>17.670000000000002</v>
      </c>
      <c r="BE247" s="774"/>
      <c r="BF247" s="774"/>
      <c r="BG247" s="774"/>
      <c r="BH247" s="774"/>
      <c r="BI247" s="1119">
        <v>4.0629999999999997</v>
      </c>
      <c r="BJ247" s="774"/>
      <c r="BK247" s="774"/>
      <c r="BL247" s="774"/>
      <c r="BM247" s="774"/>
      <c r="BN247" s="1119">
        <v>4.0629999999999997</v>
      </c>
      <c r="BO247" s="774"/>
      <c r="BP247" s="774"/>
      <c r="BQ247" s="774"/>
      <c r="BR247" s="774"/>
      <c r="BS247" s="78"/>
      <c r="BT247" s="775"/>
      <c r="BU247" s="774"/>
      <c r="BV247" s="774"/>
      <c r="BW247" s="774"/>
      <c r="BX247" s="78"/>
      <c r="BY247" s="774"/>
      <c r="BZ247" s="774"/>
      <c r="CA247" s="774"/>
      <c r="CB247" s="774"/>
      <c r="CC247" s="78"/>
      <c r="CD247" s="78"/>
      <c r="CE247" s="78"/>
      <c r="CF247" s="78"/>
      <c r="CG247" s="532"/>
    </row>
    <row r="248" spans="1:85" s="615" customFormat="1" x14ac:dyDescent="0.3">
      <c r="A248" s="522" t="s">
        <v>1863</v>
      </c>
      <c r="B248" s="521"/>
      <c r="C248" s="1122"/>
      <c r="D248" s="1122"/>
      <c r="E248" s="1122"/>
      <c r="F248" s="1122"/>
      <c r="G248" s="520"/>
      <c r="H248" s="520"/>
      <c r="I248" s="520"/>
      <c r="J248" s="520"/>
      <c r="K248" s="1122"/>
      <c r="L248" s="520"/>
      <c r="M248" s="520"/>
      <c r="N248" s="520"/>
      <c r="O248" s="520"/>
      <c r="P248" s="1122"/>
      <c r="Q248" s="520"/>
      <c r="R248" s="520"/>
      <c r="S248" s="520"/>
      <c r="T248" s="520"/>
      <c r="U248" s="1122"/>
      <c r="V248" s="520"/>
      <c r="W248" s="520"/>
      <c r="X248" s="520"/>
      <c r="Y248" s="520"/>
      <c r="Z248" s="1122"/>
      <c r="AA248" s="520"/>
      <c r="AB248" s="520"/>
      <c r="AC248" s="520"/>
      <c r="AD248" s="520"/>
      <c r="AE248" s="1122"/>
      <c r="AF248" s="520"/>
      <c r="AG248" s="520"/>
      <c r="AH248" s="520"/>
      <c r="AI248" s="520"/>
      <c r="AJ248" s="1122"/>
      <c r="AK248" s="520"/>
      <c r="AL248" s="520"/>
      <c r="AM248" s="520"/>
      <c r="AN248" s="520"/>
      <c r="AO248" s="1122"/>
      <c r="AP248" s="520"/>
      <c r="AQ248" s="520"/>
      <c r="AR248" s="520"/>
      <c r="AS248" s="520"/>
      <c r="AT248" s="1123">
        <v>338.38</v>
      </c>
      <c r="AU248" s="526"/>
      <c r="AV248" s="526"/>
      <c r="AW248" s="526"/>
      <c r="AX248" s="526"/>
      <c r="AY248" s="1123">
        <v>338.38</v>
      </c>
      <c r="AZ248" s="526"/>
      <c r="BA248" s="526"/>
      <c r="BB248" s="526"/>
      <c r="BC248" s="526"/>
      <c r="BD248" s="1123">
        <v>338.38</v>
      </c>
      <c r="BE248" s="520"/>
      <c r="BF248" s="520"/>
      <c r="BG248" s="520"/>
      <c r="BH248" s="520"/>
      <c r="BI248" s="1123">
        <v>338.38</v>
      </c>
      <c r="BJ248" s="520"/>
      <c r="BK248" s="520"/>
      <c r="BL248" s="520"/>
      <c r="BM248" s="520"/>
      <c r="BN248" s="1123">
        <v>338.38</v>
      </c>
      <c r="BO248" s="520"/>
      <c r="BP248" s="520"/>
      <c r="BQ248" s="520"/>
      <c r="BR248" s="520"/>
      <c r="BS248" s="1124"/>
      <c r="BT248" s="728"/>
      <c r="BU248" s="520"/>
      <c r="BV248" s="520"/>
      <c r="BW248" s="520"/>
      <c r="BX248" s="1122"/>
      <c r="BY248" s="520"/>
      <c r="BZ248" s="520"/>
      <c r="CA248" s="520"/>
      <c r="CB248" s="520"/>
      <c r="CC248" s="1122"/>
      <c r="CD248" s="1122"/>
      <c r="CE248" s="1122"/>
      <c r="CF248" s="1122"/>
      <c r="CG248" s="519"/>
    </row>
    <row r="249" spans="1:85" s="614" customFormat="1" x14ac:dyDescent="0.3">
      <c r="A249" s="522"/>
      <c r="B249" s="352"/>
      <c r="C249" s="1094"/>
      <c r="D249" s="1094"/>
      <c r="E249" s="1094"/>
      <c r="F249" s="1094"/>
      <c r="G249" s="197"/>
      <c r="H249" s="197"/>
      <c r="I249" s="197"/>
      <c r="J249" s="197"/>
      <c r="K249" s="1094"/>
      <c r="L249" s="197"/>
      <c r="M249" s="197"/>
      <c r="N249" s="197"/>
      <c r="O249" s="197"/>
      <c r="P249" s="1094"/>
      <c r="Q249" s="197"/>
      <c r="R249" s="197"/>
      <c r="S249" s="197"/>
      <c r="T249" s="197"/>
      <c r="U249" s="1094"/>
      <c r="V249" s="197"/>
      <c r="W249" s="197"/>
      <c r="X249" s="197"/>
      <c r="Y249" s="197"/>
      <c r="Z249" s="1094"/>
      <c r="AA249" s="197"/>
      <c r="AB249" s="197"/>
      <c r="AC249" s="197"/>
      <c r="AD249" s="197"/>
      <c r="AE249" s="1094"/>
      <c r="AF249" s="197"/>
      <c r="AG249" s="197"/>
      <c r="AH249" s="197"/>
      <c r="AI249" s="197"/>
      <c r="AJ249" s="1094"/>
      <c r="AK249" s="197"/>
      <c r="AL249" s="197"/>
      <c r="AM249" s="197"/>
      <c r="AN249" s="197"/>
      <c r="AO249" s="1094"/>
      <c r="AP249" s="197"/>
      <c r="AQ249" s="197"/>
      <c r="AR249" s="197"/>
      <c r="AS249" s="197"/>
      <c r="AT249" s="198"/>
      <c r="AU249" s="194"/>
      <c r="AV249" s="194"/>
      <c r="AW249" s="194"/>
      <c r="AX249" s="194"/>
      <c r="AY249" s="198"/>
      <c r="AZ249" s="194"/>
      <c r="BA249" s="194"/>
      <c r="BB249" s="194"/>
      <c r="BC249" s="194"/>
      <c r="BD249" s="198"/>
      <c r="BE249" s="197"/>
      <c r="BF249" s="197"/>
      <c r="BG249" s="197"/>
      <c r="BH249" s="197"/>
      <c r="BI249" s="198"/>
      <c r="BJ249" s="197"/>
      <c r="BK249" s="197"/>
      <c r="BL249" s="197"/>
      <c r="BM249" s="197"/>
      <c r="BN249" s="198"/>
      <c r="BO249" s="197"/>
      <c r="BP249" s="197"/>
      <c r="BQ249" s="197"/>
      <c r="BR249" s="197"/>
      <c r="BS249" s="198"/>
      <c r="BT249" s="727"/>
      <c r="BU249" s="197"/>
      <c r="BV249" s="197"/>
      <c r="BW249" s="197"/>
      <c r="BX249" s="1094"/>
      <c r="BY249" s="197"/>
      <c r="BZ249" s="197"/>
      <c r="CA249" s="197"/>
      <c r="CB249" s="197"/>
      <c r="CC249" s="1094"/>
      <c r="CD249" s="1094"/>
      <c r="CE249" s="1094"/>
      <c r="CF249" s="1094"/>
      <c r="CG249" s="349"/>
    </row>
    <row r="250" spans="1:85" s="613" customFormat="1" x14ac:dyDescent="0.3">
      <c r="A250" s="478" t="s">
        <v>1862</v>
      </c>
      <c r="B250" s="523"/>
      <c r="C250" s="78"/>
      <c r="D250" s="78"/>
      <c r="E250" s="78"/>
      <c r="F250" s="78"/>
      <c r="G250" s="774"/>
      <c r="H250" s="774"/>
      <c r="I250" s="774"/>
      <c r="J250" s="774"/>
      <c r="K250" s="78"/>
      <c r="L250" s="774"/>
      <c r="M250" s="774"/>
      <c r="N250" s="774"/>
      <c r="O250" s="774"/>
      <c r="P250" s="78"/>
      <c r="Q250" s="774"/>
      <c r="R250" s="774"/>
      <c r="S250" s="774"/>
      <c r="T250" s="774"/>
      <c r="U250" s="78"/>
      <c r="V250" s="774"/>
      <c r="W250" s="774"/>
      <c r="X250" s="774"/>
      <c r="Y250" s="774"/>
      <c r="Z250" s="78"/>
      <c r="AA250" s="774"/>
      <c r="AB250" s="774"/>
      <c r="AC250" s="774"/>
      <c r="AD250" s="774"/>
      <c r="AE250" s="78"/>
      <c r="AF250" s="774"/>
      <c r="AG250" s="774"/>
      <c r="AH250" s="774"/>
      <c r="AI250" s="774"/>
      <c r="AJ250" s="78"/>
      <c r="AK250" s="774"/>
      <c r="AL250" s="774"/>
      <c r="AM250" s="774"/>
      <c r="AN250" s="774"/>
      <c r="AO250" s="78"/>
      <c r="AP250" s="774"/>
      <c r="AQ250" s="774"/>
      <c r="AR250" s="774"/>
      <c r="AS250" s="774"/>
      <c r="AT250" s="1119">
        <v>16.443999999999999</v>
      </c>
      <c r="AU250" s="774"/>
      <c r="AV250" s="774"/>
      <c r="AW250" s="774"/>
      <c r="AX250" s="774"/>
      <c r="AY250" s="1119">
        <v>16.443999999999999</v>
      </c>
      <c r="AZ250" s="774"/>
      <c r="BA250" s="774"/>
      <c r="BB250" s="774"/>
      <c r="BC250" s="774"/>
      <c r="BD250" s="1119">
        <v>16.443999999999999</v>
      </c>
      <c r="BE250" s="774"/>
      <c r="BF250" s="774"/>
      <c r="BG250" s="774"/>
      <c r="BH250" s="774"/>
      <c r="BI250" s="1119">
        <v>3.782</v>
      </c>
      <c r="BJ250" s="774"/>
      <c r="BK250" s="774"/>
      <c r="BL250" s="774"/>
      <c r="BM250" s="774"/>
      <c r="BN250" s="1119">
        <v>3.782</v>
      </c>
      <c r="BO250" s="774"/>
      <c r="BP250" s="774"/>
      <c r="BQ250" s="774"/>
      <c r="BR250" s="774"/>
      <c r="BS250" s="78"/>
      <c r="BT250" s="775"/>
      <c r="BU250" s="774"/>
      <c r="BV250" s="774"/>
      <c r="BW250" s="774"/>
      <c r="BX250" s="78"/>
      <c r="BY250" s="774"/>
      <c r="BZ250" s="774"/>
      <c r="CA250" s="774"/>
      <c r="CB250" s="774"/>
      <c r="CC250" s="78"/>
      <c r="CD250" s="78"/>
      <c r="CE250" s="78"/>
      <c r="CF250" s="78"/>
      <c r="CG250" s="532"/>
    </row>
    <row r="251" spans="1:85" s="615" customFormat="1" x14ac:dyDescent="0.3">
      <c r="A251" s="522" t="s">
        <v>1861</v>
      </c>
      <c r="B251" s="521"/>
      <c r="C251" s="1122"/>
      <c r="D251" s="1122"/>
      <c r="E251" s="1122"/>
      <c r="F251" s="1122"/>
      <c r="G251" s="520"/>
      <c r="H251" s="520"/>
      <c r="I251" s="520"/>
      <c r="J251" s="520"/>
      <c r="K251" s="1122"/>
      <c r="L251" s="520"/>
      <c r="M251" s="520"/>
      <c r="N251" s="520"/>
      <c r="O251" s="520"/>
      <c r="P251" s="1122"/>
      <c r="Q251" s="520"/>
      <c r="R251" s="520"/>
      <c r="S251" s="520"/>
      <c r="T251" s="520"/>
      <c r="U251" s="1122"/>
      <c r="V251" s="520"/>
      <c r="W251" s="520"/>
      <c r="X251" s="520"/>
      <c r="Y251" s="520"/>
      <c r="Z251" s="1122"/>
      <c r="AA251" s="520"/>
      <c r="AB251" s="520"/>
      <c r="AC251" s="520"/>
      <c r="AD251" s="520"/>
      <c r="AE251" s="1122"/>
      <c r="AF251" s="520"/>
      <c r="AG251" s="520"/>
      <c r="AH251" s="520"/>
      <c r="AI251" s="520"/>
      <c r="AJ251" s="1122"/>
      <c r="AK251" s="520"/>
      <c r="AL251" s="520"/>
      <c r="AM251" s="520"/>
      <c r="AN251" s="520"/>
      <c r="AO251" s="1122"/>
      <c r="AP251" s="520"/>
      <c r="AQ251" s="520"/>
      <c r="AR251" s="520"/>
      <c r="AS251" s="520"/>
      <c r="AT251" s="1123">
        <v>363.6</v>
      </c>
      <c r="AU251" s="526"/>
      <c r="AV251" s="526"/>
      <c r="AW251" s="526"/>
      <c r="AX251" s="526"/>
      <c r="AY251" s="1123">
        <v>363.6</v>
      </c>
      <c r="AZ251" s="526"/>
      <c r="BA251" s="526"/>
      <c r="BB251" s="526"/>
      <c r="BC251" s="526"/>
      <c r="BD251" s="1123">
        <v>363.6</v>
      </c>
      <c r="BE251" s="520"/>
      <c r="BF251" s="520"/>
      <c r="BG251" s="520"/>
      <c r="BH251" s="520"/>
      <c r="BI251" s="1123">
        <v>363.6</v>
      </c>
      <c r="BJ251" s="520"/>
      <c r="BK251" s="520"/>
      <c r="BL251" s="520"/>
      <c r="BM251" s="520"/>
      <c r="BN251" s="1123">
        <v>363.6</v>
      </c>
      <c r="BO251" s="520"/>
      <c r="BP251" s="520"/>
      <c r="BQ251" s="520"/>
      <c r="BR251" s="520"/>
      <c r="BS251" s="1124"/>
      <c r="BT251" s="728"/>
      <c r="BU251" s="520"/>
      <c r="BV251" s="520"/>
      <c r="BW251" s="520"/>
      <c r="BX251" s="1122"/>
      <c r="BY251" s="520"/>
      <c r="BZ251" s="520"/>
      <c r="CA251" s="520"/>
      <c r="CB251" s="520"/>
      <c r="CC251" s="1122"/>
      <c r="CD251" s="1122"/>
      <c r="CE251" s="1122"/>
      <c r="CF251" s="1122"/>
      <c r="CG251" s="519"/>
    </row>
    <row r="252" spans="1:85" s="614" customFormat="1" x14ac:dyDescent="0.3">
      <c r="A252" s="522"/>
      <c r="B252" s="352"/>
      <c r="C252" s="1094"/>
      <c r="D252" s="1094"/>
      <c r="E252" s="1094"/>
      <c r="F252" s="1094"/>
      <c r="G252" s="197"/>
      <c r="H252" s="197"/>
      <c r="I252" s="197"/>
      <c r="J252" s="197"/>
      <c r="K252" s="1094"/>
      <c r="L252" s="197"/>
      <c r="M252" s="197"/>
      <c r="N252" s="197"/>
      <c r="O252" s="197"/>
      <c r="P252" s="1094"/>
      <c r="Q252" s="197"/>
      <c r="R252" s="197"/>
      <c r="S252" s="197"/>
      <c r="T252" s="197"/>
      <c r="U252" s="1094"/>
      <c r="V252" s="197"/>
      <c r="W252" s="197"/>
      <c r="X252" s="197"/>
      <c r="Y252" s="197"/>
      <c r="Z252" s="1094"/>
      <c r="AA252" s="197"/>
      <c r="AB252" s="197"/>
      <c r="AC252" s="197"/>
      <c r="AD252" s="197"/>
      <c r="AE252" s="1094"/>
      <c r="AF252" s="197"/>
      <c r="AG252" s="197"/>
      <c r="AH252" s="197"/>
      <c r="AI252" s="197"/>
      <c r="AJ252" s="1094"/>
      <c r="AK252" s="197"/>
      <c r="AL252" s="197"/>
      <c r="AM252" s="197"/>
      <c r="AN252" s="197"/>
      <c r="AO252" s="1094"/>
      <c r="AP252" s="197"/>
      <c r="AQ252" s="197"/>
      <c r="AR252" s="197"/>
      <c r="AS252" s="197"/>
      <c r="AT252" s="198"/>
      <c r="AU252" s="194"/>
      <c r="AV252" s="194"/>
      <c r="AW252" s="194"/>
      <c r="AX252" s="194"/>
      <c r="AY252" s="198"/>
      <c r="AZ252" s="194"/>
      <c r="BA252" s="194"/>
      <c r="BB252" s="194"/>
      <c r="BC252" s="194"/>
      <c r="BD252" s="198"/>
      <c r="BE252" s="197"/>
      <c r="BF252" s="197"/>
      <c r="BG252" s="197"/>
      <c r="BH252" s="197"/>
      <c r="BI252" s="198"/>
      <c r="BJ252" s="197"/>
      <c r="BK252" s="197"/>
      <c r="BL252" s="197"/>
      <c r="BM252" s="197"/>
      <c r="BN252" s="198"/>
      <c r="BO252" s="197"/>
      <c r="BP252" s="197"/>
      <c r="BQ252" s="197"/>
      <c r="BR252" s="197"/>
      <c r="BS252" s="198"/>
      <c r="BT252" s="727"/>
      <c r="BU252" s="197"/>
      <c r="BV252" s="197"/>
      <c r="BW252" s="197"/>
      <c r="BX252" s="1094"/>
      <c r="BY252" s="197"/>
      <c r="BZ252" s="197"/>
      <c r="CA252" s="197"/>
      <c r="CB252" s="197"/>
      <c r="CC252" s="1094"/>
      <c r="CD252" s="1094"/>
      <c r="CE252" s="1094"/>
      <c r="CF252" s="1094"/>
      <c r="CG252" s="349"/>
    </row>
    <row r="253" spans="1:85" s="613" customFormat="1" x14ac:dyDescent="0.3">
      <c r="A253" s="478" t="s">
        <v>1860</v>
      </c>
      <c r="B253" s="523"/>
      <c r="C253" s="78"/>
      <c r="D253" s="78"/>
      <c r="E253" s="78"/>
      <c r="F253" s="78"/>
      <c r="G253" s="774"/>
      <c r="H253" s="774"/>
      <c r="I253" s="774"/>
      <c r="J253" s="774"/>
      <c r="K253" s="78"/>
      <c r="L253" s="774"/>
      <c r="M253" s="774"/>
      <c r="N253" s="774"/>
      <c r="O253" s="774"/>
      <c r="P253" s="78"/>
      <c r="Q253" s="774"/>
      <c r="R253" s="774"/>
      <c r="S253" s="774"/>
      <c r="T253" s="774"/>
      <c r="U253" s="78"/>
      <c r="V253" s="774"/>
      <c r="W253" s="774"/>
      <c r="X253" s="774"/>
      <c r="Y253" s="774"/>
      <c r="Z253" s="78"/>
      <c r="AA253" s="774"/>
      <c r="AB253" s="774"/>
      <c r="AC253" s="774"/>
      <c r="AD253" s="774"/>
      <c r="AE253" s="78"/>
      <c r="AF253" s="774"/>
      <c r="AG253" s="774"/>
      <c r="AH253" s="774"/>
      <c r="AI253" s="774"/>
      <c r="AJ253" s="78"/>
      <c r="AK253" s="774"/>
      <c r="AL253" s="774"/>
      <c r="AM253" s="774"/>
      <c r="AN253" s="774"/>
      <c r="AO253" s="78"/>
      <c r="AP253" s="774"/>
      <c r="AQ253" s="774"/>
      <c r="AR253" s="774"/>
      <c r="AS253" s="774"/>
      <c r="AT253" s="1119">
        <v>15.676</v>
      </c>
      <c r="AU253" s="774"/>
      <c r="AV253" s="774"/>
      <c r="AW253" s="774"/>
      <c r="AX253" s="774"/>
      <c r="AY253" s="1119">
        <v>15.676</v>
      </c>
      <c r="AZ253" s="774"/>
      <c r="BA253" s="774"/>
      <c r="BB253" s="774"/>
      <c r="BC253" s="774"/>
      <c r="BD253" s="1119">
        <v>15.676</v>
      </c>
      <c r="BE253" s="774"/>
      <c r="BF253" s="774"/>
      <c r="BG253" s="774"/>
      <c r="BH253" s="774"/>
      <c r="BI253" s="1119">
        <v>3.605</v>
      </c>
      <c r="BJ253" s="774"/>
      <c r="BK253" s="774"/>
      <c r="BL253" s="774"/>
      <c r="BM253" s="774"/>
      <c r="BN253" s="1119">
        <v>3.605</v>
      </c>
      <c r="BO253" s="774"/>
      <c r="BP253" s="774"/>
      <c r="BQ253" s="774"/>
      <c r="BR253" s="774"/>
      <c r="BS253" s="78"/>
      <c r="BT253" s="775"/>
      <c r="BU253" s="774"/>
      <c r="BV253" s="774"/>
      <c r="BW253" s="774"/>
      <c r="BX253" s="78"/>
      <c r="BY253" s="774"/>
      <c r="BZ253" s="774"/>
      <c r="CA253" s="774"/>
      <c r="CB253" s="774"/>
      <c r="CC253" s="78"/>
      <c r="CD253" s="78"/>
      <c r="CE253" s="78"/>
      <c r="CF253" s="78"/>
      <c r="CG253" s="532"/>
    </row>
    <row r="254" spans="1:85" s="615" customFormat="1" x14ac:dyDescent="0.3">
      <c r="A254" s="522" t="s">
        <v>1859</v>
      </c>
      <c r="B254" s="521"/>
      <c r="C254" s="1122"/>
      <c r="D254" s="1122"/>
      <c r="E254" s="1122"/>
      <c r="F254" s="1122"/>
      <c r="G254" s="520"/>
      <c r="H254" s="520"/>
      <c r="I254" s="520"/>
      <c r="J254" s="520"/>
      <c r="K254" s="1122"/>
      <c r="L254" s="520"/>
      <c r="M254" s="520"/>
      <c r="N254" s="520"/>
      <c r="O254" s="520"/>
      <c r="P254" s="1122"/>
      <c r="Q254" s="520"/>
      <c r="R254" s="520"/>
      <c r="S254" s="520"/>
      <c r="T254" s="520"/>
      <c r="U254" s="1122"/>
      <c r="V254" s="520"/>
      <c r="W254" s="520"/>
      <c r="X254" s="520"/>
      <c r="Y254" s="520"/>
      <c r="Z254" s="1122"/>
      <c r="AA254" s="520"/>
      <c r="AB254" s="520"/>
      <c r="AC254" s="520"/>
      <c r="AD254" s="520"/>
      <c r="AE254" s="1122"/>
      <c r="AF254" s="520"/>
      <c r="AG254" s="520"/>
      <c r="AH254" s="520"/>
      <c r="AI254" s="520"/>
      <c r="AJ254" s="1122"/>
      <c r="AK254" s="520"/>
      <c r="AL254" s="520"/>
      <c r="AM254" s="520"/>
      <c r="AN254" s="520"/>
      <c r="AO254" s="1122"/>
      <c r="AP254" s="520"/>
      <c r="AQ254" s="520"/>
      <c r="AR254" s="520"/>
      <c r="AS254" s="520"/>
      <c r="AT254" s="1123">
        <v>381.43</v>
      </c>
      <c r="AU254" s="526"/>
      <c r="AV254" s="526"/>
      <c r="AW254" s="526"/>
      <c r="AX254" s="526"/>
      <c r="AY254" s="1123">
        <v>381.43</v>
      </c>
      <c r="AZ254" s="526"/>
      <c r="BA254" s="526"/>
      <c r="BB254" s="526"/>
      <c r="BC254" s="526"/>
      <c r="BD254" s="1123">
        <v>381.43</v>
      </c>
      <c r="BE254" s="520"/>
      <c r="BF254" s="520"/>
      <c r="BG254" s="520"/>
      <c r="BH254" s="520"/>
      <c r="BI254" s="1123">
        <v>381.43</v>
      </c>
      <c r="BJ254" s="520"/>
      <c r="BK254" s="520"/>
      <c r="BL254" s="520"/>
      <c r="BM254" s="520"/>
      <c r="BN254" s="1123">
        <v>381.43</v>
      </c>
      <c r="BO254" s="520"/>
      <c r="BP254" s="520"/>
      <c r="BQ254" s="520"/>
      <c r="BR254" s="520"/>
      <c r="BS254" s="1124"/>
      <c r="BT254" s="728"/>
      <c r="BU254" s="520"/>
      <c r="BV254" s="520"/>
      <c r="BW254" s="520"/>
      <c r="BX254" s="1122"/>
      <c r="BY254" s="520"/>
      <c r="BZ254" s="520"/>
      <c r="CA254" s="520"/>
      <c r="CB254" s="520"/>
      <c r="CC254" s="1122"/>
      <c r="CD254" s="1122"/>
      <c r="CE254" s="1122"/>
      <c r="CF254" s="1122"/>
      <c r="CG254" s="519"/>
    </row>
    <row r="255" spans="1:85" s="614" customFormat="1" x14ac:dyDescent="0.3">
      <c r="A255" s="522"/>
      <c r="B255" s="352"/>
      <c r="C255" s="1094"/>
      <c r="D255" s="1094"/>
      <c r="E255" s="1094"/>
      <c r="F255" s="1094"/>
      <c r="G255" s="197"/>
      <c r="H255" s="197"/>
      <c r="I255" s="197"/>
      <c r="J255" s="197"/>
      <c r="K255" s="1094"/>
      <c r="L255" s="197"/>
      <c r="M255" s="197"/>
      <c r="N255" s="197"/>
      <c r="O255" s="197"/>
      <c r="P255" s="1094"/>
      <c r="Q255" s="197"/>
      <c r="R255" s="197"/>
      <c r="S255" s="197"/>
      <c r="T255" s="197"/>
      <c r="U255" s="1094"/>
      <c r="V255" s="197"/>
      <c r="W255" s="197"/>
      <c r="X255" s="197"/>
      <c r="Y255" s="197"/>
      <c r="Z255" s="1094"/>
      <c r="AA255" s="197"/>
      <c r="AB255" s="197"/>
      <c r="AC255" s="197"/>
      <c r="AD255" s="197"/>
      <c r="AE255" s="1094"/>
      <c r="AF255" s="197"/>
      <c r="AG255" s="197"/>
      <c r="AH255" s="197"/>
      <c r="AI255" s="197"/>
      <c r="AJ255" s="1094"/>
      <c r="AK255" s="197"/>
      <c r="AL255" s="197"/>
      <c r="AM255" s="197"/>
      <c r="AN255" s="197"/>
      <c r="AO255" s="1094"/>
      <c r="AP255" s="197"/>
      <c r="AQ255" s="197"/>
      <c r="AR255" s="197"/>
      <c r="AS255" s="197"/>
      <c r="AT255" s="198"/>
      <c r="AU255" s="194"/>
      <c r="AV255" s="194"/>
      <c r="AW255" s="194"/>
      <c r="AX255" s="194"/>
      <c r="AY255" s="198"/>
      <c r="AZ255" s="194"/>
      <c r="BA255" s="194"/>
      <c r="BB255" s="194"/>
      <c r="BC255" s="194"/>
      <c r="BD255" s="198"/>
      <c r="BE255" s="197"/>
      <c r="BF255" s="197"/>
      <c r="BG255" s="197"/>
      <c r="BH255" s="197"/>
      <c r="BI255" s="198"/>
      <c r="BJ255" s="197"/>
      <c r="BK255" s="197"/>
      <c r="BL255" s="197"/>
      <c r="BM255" s="197"/>
      <c r="BN255" s="198"/>
      <c r="BO255" s="197"/>
      <c r="BP255" s="197"/>
      <c r="BQ255" s="197"/>
      <c r="BR255" s="197"/>
      <c r="BS255" s="198"/>
      <c r="BT255" s="727"/>
      <c r="BU255" s="197"/>
      <c r="BV255" s="197"/>
      <c r="BW255" s="197"/>
      <c r="BX255" s="1094"/>
      <c r="BY255" s="197"/>
      <c r="BZ255" s="197"/>
      <c r="CA255" s="197"/>
      <c r="CB255" s="197"/>
      <c r="CC255" s="1094"/>
      <c r="CD255" s="1094"/>
      <c r="CE255" s="1094"/>
      <c r="CF255" s="1094"/>
      <c r="CG255" s="349"/>
    </row>
    <row r="256" spans="1:85" s="613" customFormat="1" x14ac:dyDescent="0.3">
      <c r="A256" s="478" t="s">
        <v>1858</v>
      </c>
      <c r="B256" s="523"/>
      <c r="C256" s="78"/>
      <c r="D256" s="78"/>
      <c r="E256" s="78"/>
      <c r="F256" s="78"/>
      <c r="G256" s="774"/>
      <c r="H256" s="774"/>
      <c r="I256" s="774"/>
      <c r="J256" s="774"/>
      <c r="K256" s="78"/>
      <c r="L256" s="774"/>
      <c r="M256" s="774"/>
      <c r="N256" s="774"/>
      <c r="O256" s="774"/>
      <c r="P256" s="78"/>
      <c r="Q256" s="774"/>
      <c r="R256" s="774"/>
      <c r="S256" s="774"/>
      <c r="T256" s="774"/>
      <c r="U256" s="78"/>
      <c r="V256" s="774"/>
      <c r="W256" s="774"/>
      <c r="X256" s="774"/>
      <c r="Y256" s="774"/>
      <c r="Z256" s="78"/>
      <c r="AA256" s="774"/>
      <c r="AB256" s="774"/>
      <c r="AC256" s="774"/>
      <c r="AD256" s="774"/>
      <c r="AE256" s="78"/>
      <c r="AF256" s="774"/>
      <c r="AG256" s="774"/>
      <c r="AH256" s="774"/>
      <c r="AI256" s="774"/>
      <c r="AJ256" s="78"/>
      <c r="AK256" s="774"/>
      <c r="AL256" s="774"/>
      <c r="AM256" s="774"/>
      <c r="AN256" s="774"/>
      <c r="AO256" s="78"/>
      <c r="AP256" s="774"/>
      <c r="AQ256" s="774"/>
      <c r="AR256" s="774"/>
      <c r="AS256" s="774"/>
      <c r="AT256" s="1119">
        <v>18.838999999999999</v>
      </c>
      <c r="AU256" s="774"/>
      <c r="AV256" s="774"/>
      <c r="AW256" s="774"/>
      <c r="AX256" s="774"/>
      <c r="AY256" s="1119">
        <v>18.838999999999999</v>
      </c>
      <c r="AZ256" s="774"/>
      <c r="BA256" s="774"/>
      <c r="BB256" s="774"/>
      <c r="BC256" s="774"/>
      <c r="BD256" s="1119">
        <v>18.838999999999999</v>
      </c>
      <c r="BE256" s="774"/>
      <c r="BF256" s="774"/>
      <c r="BG256" s="774"/>
      <c r="BH256" s="774"/>
      <c r="BI256" s="1119">
        <v>4.3319999999999999</v>
      </c>
      <c r="BJ256" s="774"/>
      <c r="BK256" s="774"/>
      <c r="BL256" s="774"/>
      <c r="BM256" s="774"/>
      <c r="BN256" s="1119">
        <v>4.3319999999999999</v>
      </c>
      <c r="BO256" s="774"/>
      <c r="BP256" s="774"/>
      <c r="BQ256" s="774"/>
      <c r="BR256" s="774"/>
      <c r="BS256" s="78"/>
      <c r="BT256" s="775"/>
      <c r="BU256" s="774"/>
      <c r="BV256" s="774"/>
      <c r="BW256" s="774"/>
      <c r="BX256" s="78"/>
      <c r="BY256" s="774"/>
      <c r="BZ256" s="774"/>
      <c r="CA256" s="774"/>
      <c r="CB256" s="774"/>
      <c r="CC256" s="78"/>
      <c r="CD256" s="78"/>
      <c r="CE256" s="78"/>
      <c r="CF256" s="78"/>
      <c r="CG256" s="532"/>
    </row>
    <row r="257" spans="1:85" s="615" customFormat="1" x14ac:dyDescent="0.3">
      <c r="A257" s="522" t="s">
        <v>1857</v>
      </c>
      <c r="B257" s="521"/>
      <c r="C257" s="1122"/>
      <c r="D257" s="1122"/>
      <c r="E257" s="1122"/>
      <c r="F257" s="1122"/>
      <c r="G257" s="520"/>
      <c r="H257" s="520"/>
      <c r="I257" s="520"/>
      <c r="J257" s="520"/>
      <c r="K257" s="1122"/>
      <c r="L257" s="520"/>
      <c r="M257" s="520"/>
      <c r="N257" s="520"/>
      <c r="O257" s="520"/>
      <c r="P257" s="1122"/>
      <c r="Q257" s="520"/>
      <c r="R257" s="520"/>
      <c r="S257" s="520"/>
      <c r="T257" s="520"/>
      <c r="U257" s="1122"/>
      <c r="V257" s="520"/>
      <c r="W257" s="520"/>
      <c r="X257" s="520"/>
      <c r="Y257" s="520"/>
      <c r="Z257" s="1122"/>
      <c r="AA257" s="520"/>
      <c r="AB257" s="520"/>
      <c r="AC257" s="520"/>
      <c r="AD257" s="520"/>
      <c r="AE257" s="1122"/>
      <c r="AF257" s="520"/>
      <c r="AG257" s="520"/>
      <c r="AH257" s="520"/>
      <c r="AI257" s="520"/>
      <c r="AJ257" s="1122"/>
      <c r="AK257" s="520"/>
      <c r="AL257" s="520"/>
      <c r="AM257" s="520"/>
      <c r="AN257" s="520"/>
      <c r="AO257" s="1122"/>
      <c r="AP257" s="520"/>
      <c r="AQ257" s="520"/>
      <c r="AR257" s="520"/>
      <c r="AS257" s="520"/>
      <c r="AT257" s="1123">
        <v>317.38</v>
      </c>
      <c r="AU257" s="526"/>
      <c r="AV257" s="526"/>
      <c r="AW257" s="526"/>
      <c r="AX257" s="526"/>
      <c r="AY257" s="1123">
        <v>317.38</v>
      </c>
      <c r="AZ257" s="526"/>
      <c r="BA257" s="526"/>
      <c r="BB257" s="526"/>
      <c r="BC257" s="526"/>
      <c r="BD257" s="1123">
        <v>317.38</v>
      </c>
      <c r="BE257" s="520"/>
      <c r="BF257" s="520"/>
      <c r="BG257" s="520"/>
      <c r="BH257" s="520"/>
      <c r="BI257" s="1123">
        <v>317.38</v>
      </c>
      <c r="BJ257" s="520"/>
      <c r="BK257" s="520"/>
      <c r="BL257" s="520"/>
      <c r="BM257" s="520"/>
      <c r="BN257" s="1123">
        <v>317.38</v>
      </c>
      <c r="BO257" s="520"/>
      <c r="BP257" s="520"/>
      <c r="BQ257" s="520"/>
      <c r="BR257" s="520"/>
      <c r="BS257" s="1124"/>
      <c r="BT257" s="728"/>
      <c r="BU257" s="520"/>
      <c r="BV257" s="520"/>
      <c r="BW257" s="520"/>
      <c r="BX257" s="1122"/>
      <c r="BY257" s="520"/>
      <c r="BZ257" s="520"/>
      <c r="CA257" s="520"/>
      <c r="CB257" s="520"/>
      <c r="CC257" s="1122"/>
      <c r="CD257" s="1122"/>
      <c r="CE257" s="1122"/>
      <c r="CF257" s="1122"/>
      <c r="CG257" s="519"/>
    </row>
    <row r="258" spans="1:85" s="614" customFormat="1" x14ac:dyDescent="0.3">
      <c r="A258" s="522"/>
      <c r="B258" s="352"/>
      <c r="C258" s="1094"/>
      <c r="D258" s="1094"/>
      <c r="E258" s="1094"/>
      <c r="F258" s="1094"/>
      <c r="G258" s="197"/>
      <c r="H258" s="197"/>
      <c r="I258" s="197"/>
      <c r="J258" s="197"/>
      <c r="K258" s="1094"/>
      <c r="L258" s="197"/>
      <c r="M258" s="197"/>
      <c r="N258" s="197"/>
      <c r="O258" s="197"/>
      <c r="P258" s="1094"/>
      <c r="Q258" s="197"/>
      <c r="R258" s="197"/>
      <c r="S258" s="197"/>
      <c r="T258" s="197"/>
      <c r="U258" s="1094"/>
      <c r="V258" s="197"/>
      <c r="W258" s="197"/>
      <c r="X258" s="197"/>
      <c r="Y258" s="197"/>
      <c r="Z258" s="1094"/>
      <c r="AA258" s="197"/>
      <c r="AB258" s="197"/>
      <c r="AC258" s="197"/>
      <c r="AD258" s="197"/>
      <c r="AE258" s="1094"/>
      <c r="AF258" s="197"/>
      <c r="AG258" s="197"/>
      <c r="AH258" s="197"/>
      <c r="AI258" s="197"/>
      <c r="AJ258" s="1094"/>
      <c r="AK258" s="197"/>
      <c r="AL258" s="197"/>
      <c r="AM258" s="197"/>
      <c r="AN258" s="197"/>
      <c r="AO258" s="1094"/>
      <c r="AP258" s="197"/>
      <c r="AQ258" s="197"/>
      <c r="AR258" s="197"/>
      <c r="AS258" s="197"/>
      <c r="AT258" s="198"/>
      <c r="AU258" s="194"/>
      <c r="AV258" s="194"/>
      <c r="AW258" s="194"/>
      <c r="AX258" s="194"/>
      <c r="AY258" s="198"/>
      <c r="AZ258" s="194"/>
      <c r="BA258" s="194"/>
      <c r="BB258" s="194"/>
      <c r="BC258" s="194"/>
      <c r="BD258" s="198"/>
      <c r="BE258" s="197"/>
      <c r="BF258" s="197"/>
      <c r="BG258" s="197"/>
      <c r="BH258" s="197"/>
      <c r="BI258" s="198"/>
      <c r="BJ258" s="197"/>
      <c r="BK258" s="197"/>
      <c r="BL258" s="197"/>
      <c r="BM258" s="197"/>
      <c r="BN258" s="198"/>
      <c r="BO258" s="197"/>
      <c r="BP258" s="197"/>
      <c r="BQ258" s="197"/>
      <c r="BR258" s="197"/>
      <c r="BS258" s="198"/>
      <c r="BT258" s="727"/>
      <c r="BU258" s="197"/>
      <c r="BV258" s="197"/>
      <c r="BW258" s="197"/>
      <c r="BX258" s="1094"/>
      <c r="BY258" s="197"/>
      <c r="BZ258" s="197"/>
      <c r="CA258" s="197"/>
      <c r="CB258" s="197"/>
      <c r="CC258" s="1094"/>
      <c r="CD258" s="1094"/>
      <c r="CE258" s="1094"/>
      <c r="CF258" s="1094"/>
      <c r="CG258" s="349"/>
    </row>
    <row r="259" spans="1:85" s="613" customFormat="1" x14ac:dyDescent="0.3">
      <c r="A259" s="478" t="s">
        <v>1856</v>
      </c>
      <c r="B259" s="523"/>
      <c r="C259" s="78"/>
      <c r="D259" s="78"/>
      <c r="E259" s="78"/>
      <c r="F259" s="78"/>
      <c r="G259" s="774"/>
      <c r="H259" s="774"/>
      <c r="I259" s="774"/>
      <c r="J259" s="774"/>
      <c r="K259" s="78"/>
      <c r="L259" s="774"/>
      <c r="M259" s="774"/>
      <c r="N259" s="774"/>
      <c r="O259" s="774"/>
      <c r="P259" s="78"/>
      <c r="Q259" s="774"/>
      <c r="R259" s="774"/>
      <c r="S259" s="774"/>
      <c r="T259" s="774"/>
      <c r="U259" s="78"/>
      <c r="V259" s="774"/>
      <c r="W259" s="774"/>
      <c r="X259" s="774"/>
      <c r="Y259" s="774"/>
      <c r="Z259" s="78"/>
      <c r="AA259" s="774"/>
      <c r="AB259" s="774"/>
      <c r="AC259" s="774"/>
      <c r="AD259" s="774"/>
      <c r="AE259" s="78"/>
      <c r="AF259" s="774"/>
      <c r="AG259" s="774"/>
      <c r="AH259" s="774"/>
      <c r="AI259" s="774"/>
      <c r="AJ259" s="78"/>
      <c r="AK259" s="774"/>
      <c r="AL259" s="774"/>
      <c r="AM259" s="774"/>
      <c r="AN259" s="774"/>
      <c r="AO259" s="78"/>
      <c r="AP259" s="774"/>
      <c r="AQ259" s="774"/>
      <c r="AR259" s="774"/>
      <c r="AS259" s="774"/>
      <c r="AT259" s="1119">
        <v>20.597000000000001</v>
      </c>
      <c r="AU259" s="774"/>
      <c r="AV259" s="774"/>
      <c r="AW259" s="774"/>
      <c r="AX259" s="774"/>
      <c r="AY259" s="1119">
        <v>20.597000000000001</v>
      </c>
      <c r="AZ259" s="774"/>
      <c r="BA259" s="774"/>
      <c r="BB259" s="774"/>
      <c r="BC259" s="774"/>
      <c r="BD259" s="1119">
        <v>20.597000000000001</v>
      </c>
      <c r="BE259" s="774"/>
      <c r="BF259" s="774"/>
      <c r="BG259" s="774"/>
      <c r="BH259" s="774"/>
      <c r="BI259" s="1119">
        <v>4.7370000000000001</v>
      </c>
      <c r="BJ259" s="774"/>
      <c r="BK259" s="774"/>
      <c r="BL259" s="774"/>
      <c r="BM259" s="774"/>
      <c r="BN259" s="1119">
        <v>4.7370000000000001</v>
      </c>
      <c r="BO259" s="774"/>
      <c r="BP259" s="774"/>
      <c r="BQ259" s="774"/>
      <c r="BR259" s="774"/>
      <c r="BS259" s="78"/>
      <c r="BT259" s="775"/>
      <c r="BU259" s="774"/>
      <c r="BV259" s="774"/>
      <c r="BW259" s="774"/>
      <c r="BX259" s="78"/>
      <c r="BY259" s="774"/>
      <c r="BZ259" s="774"/>
      <c r="CA259" s="774"/>
      <c r="CB259" s="774"/>
      <c r="CC259" s="78"/>
      <c r="CD259" s="78"/>
      <c r="CE259" s="78"/>
      <c r="CF259" s="78"/>
      <c r="CG259" s="532"/>
    </row>
    <row r="260" spans="1:85" s="615" customFormat="1" x14ac:dyDescent="0.3">
      <c r="A260" s="522" t="s">
        <v>1855</v>
      </c>
      <c r="B260" s="521"/>
      <c r="C260" s="1122"/>
      <c r="D260" s="1122"/>
      <c r="E260" s="1122"/>
      <c r="F260" s="1122"/>
      <c r="G260" s="520"/>
      <c r="H260" s="520"/>
      <c r="I260" s="520"/>
      <c r="J260" s="520"/>
      <c r="K260" s="1122"/>
      <c r="L260" s="520"/>
      <c r="M260" s="520"/>
      <c r="N260" s="520"/>
      <c r="O260" s="520"/>
      <c r="P260" s="1122"/>
      <c r="Q260" s="520"/>
      <c r="R260" s="520"/>
      <c r="S260" s="520"/>
      <c r="T260" s="520"/>
      <c r="U260" s="1122"/>
      <c r="V260" s="520"/>
      <c r="W260" s="520"/>
      <c r="X260" s="520"/>
      <c r="Y260" s="520"/>
      <c r="Z260" s="1122"/>
      <c r="AA260" s="520"/>
      <c r="AB260" s="520"/>
      <c r="AC260" s="520"/>
      <c r="AD260" s="520"/>
      <c r="AE260" s="1122"/>
      <c r="AF260" s="520"/>
      <c r="AG260" s="520"/>
      <c r="AH260" s="520"/>
      <c r="AI260" s="520"/>
      <c r="AJ260" s="1122"/>
      <c r="AK260" s="520"/>
      <c r="AL260" s="520"/>
      <c r="AM260" s="520"/>
      <c r="AN260" s="520"/>
      <c r="AO260" s="1122"/>
      <c r="AP260" s="520"/>
      <c r="AQ260" s="520"/>
      <c r="AR260" s="520"/>
      <c r="AS260" s="520"/>
      <c r="AT260" s="1123">
        <v>290.3</v>
      </c>
      <c r="AU260" s="526"/>
      <c r="AV260" s="526"/>
      <c r="AW260" s="526"/>
      <c r="AX260" s="526"/>
      <c r="AY260" s="1123">
        <v>290.3</v>
      </c>
      <c r="AZ260" s="526"/>
      <c r="BA260" s="526"/>
      <c r="BB260" s="526"/>
      <c r="BC260" s="526"/>
      <c r="BD260" s="1123">
        <v>290.3</v>
      </c>
      <c r="BE260" s="520"/>
      <c r="BF260" s="520"/>
      <c r="BG260" s="520"/>
      <c r="BH260" s="520"/>
      <c r="BI260" s="1123">
        <v>290.3</v>
      </c>
      <c r="BJ260" s="520"/>
      <c r="BK260" s="520"/>
      <c r="BL260" s="520"/>
      <c r="BM260" s="520"/>
      <c r="BN260" s="1123">
        <v>290.3</v>
      </c>
      <c r="BO260" s="520"/>
      <c r="BP260" s="520"/>
      <c r="BQ260" s="520"/>
      <c r="BR260" s="520"/>
      <c r="BS260" s="1124"/>
      <c r="BT260" s="728"/>
      <c r="BU260" s="520"/>
      <c r="BV260" s="520"/>
      <c r="BW260" s="520"/>
      <c r="BX260" s="1122"/>
      <c r="BY260" s="520"/>
      <c r="BZ260" s="520"/>
      <c r="CA260" s="520"/>
      <c r="CB260" s="520"/>
      <c r="CC260" s="1122"/>
      <c r="CD260" s="1122"/>
      <c r="CE260" s="1122"/>
      <c r="CF260" s="1122"/>
      <c r="CG260" s="519"/>
    </row>
    <row r="261" spans="1:85" s="614" customFormat="1" x14ac:dyDescent="0.3">
      <c r="A261" s="224"/>
      <c r="B261" s="352"/>
      <c r="C261" s="1094"/>
      <c r="D261" s="1094"/>
      <c r="E261" s="1094"/>
      <c r="F261" s="1094"/>
      <c r="G261" s="197"/>
      <c r="H261" s="197"/>
      <c r="I261" s="197"/>
      <c r="J261" s="197"/>
      <c r="K261" s="1094"/>
      <c r="L261" s="197"/>
      <c r="M261" s="197"/>
      <c r="N261" s="197"/>
      <c r="O261" s="197"/>
      <c r="P261" s="1094"/>
      <c r="Q261" s="197"/>
      <c r="R261" s="197"/>
      <c r="S261" s="197"/>
      <c r="T261" s="197"/>
      <c r="U261" s="1094"/>
      <c r="V261" s="197"/>
      <c r="W261" s="197"/>
      <c r="X261" s="197"/>
      <c r="Y261" s="197"/>
      <c r="Z261" s="1094"/>
      <c r="AA261" s="197"/>
      <c r="AB261" s="197"/>
      <c r="AC261" s="197"/>
      <c r="AD261" s="197"/>
      <c r="AE261" s="1094"/>
      <c r="AF261" s="197"/>
      <c r="AG261" s="197"/>
      <c r="AH261" s="197"/>
      <c r="AI261" s="197"/>
      <c r="AJ261" s="1094"/>
      <c r="AK261" s="197"/>
      <c r="AL261" s="197"/>
      <c r="AM261" s="197"/>
      <c r="AN261" s="197"/>
      <c r="AO261" s="1094"/>
      <c r="AP261" s="197"/>
      <c r="AQ261" s="197"/>
      <c r="AR261" s="197"/>
      <c r="AS261" s="197"/>
      <c r="AT261" s="198"/>
      <c r="AU261" s="194"/>
      <c r="AV261" s="194"/>
      <c r="AW261" s="194"/>
      <c r="AX261" s="194"/>
      <c r="AY261" s="198"/>
      <c r="AZ261" s="194"/>
      <c r="BA261" s="194"/>
      <c r="BB261" s="194"/>
      <c r="BC261" s="194"/>
      <c r="BD261" s="198"/>
      <c r="BE261" s="197"/>
      <c r="BF261" s="197"/>
      <c r="BG261" s="197"/>
      <c r="BH261" s="197"/>
      <c r="BI261" s="198"/>
      <c r="BJ261" s="197"/>
      <c r="BK261" s="197"/>
      <c r="BL261" s="197"/>
      <c r="BM261" s="197"/>
      <c r="BN261" s="198"/>
      <c r="BO261" s="197"/>
      <c r="BP261" s="197"/>
      <c r="BQ261" s="197"/>
      <c r="BR261" s="197"/>
      <c r="BS261" s="198"/>
      <c r="BT261" s="727"/>
      <c r="BU261" s="197"/>
      <c r="BV261" s="197"/>
      <c r="BW261" s="197"/>
      <c r="BX261" s="1094"/>
      <c r="BY261" s="197"/>
      <c r="BZ261" s="197"/>
      <c r="CA261" s="197"/>
      <c r="CB261" s="197"/>
      <c r="CC261" s="1094"/>
      <c r="CD261" s="1094"/>
      <c r="CE261" s="1094"/>
      <c r="CF261" s="1094"/>
      <c r="CG261" s="349"/>
    </row>
    <row r="262" spans="1:85" s="613" customFormat="1" x14ac:dyDescent="0.3">
      <c r="A262" s="478" t="s">
        <v>1854</v>
      </c>
      <c r="B262" s="523"/>
      <c r="C262" s="78"/>
      <c r="D262" s="78"/>
      <c r="E262" s="78"/>
      <c r="F262" s="78"/>
      <c r="G262" s="774"/>
      <c r="H262" s="774"/>
      <c r="I262" s="774"/>
      <c r="J262" s="774"/>
      <c r="K262" s="78"/>
      <c r="L262" s="774"/>
      <c r="M262" s="774"/>
      <c r="N262" s="774"/>
      <c r="O262" s="774"/>
      <c r="P262" s="78"/>
      <c r="Q262" s="774"/>
      <c r="R262" s="774"/>
      <c r="S262" s="774"/>
      <c r="T262" s="774"/>
      <c r="U262" s="78"/>
      <c r="V262" s="774"/>
      <c r="W262" s="774"/>
      <c r="X262" s="774"/>
      <c r="Y262" s="774"/>
      <c r="Z262" s="78"/>
      <c r="AA262" s="774"/>
      <c r="AB262" s="774"/>
      <c r="AC262" s="774"/>
      <c r="AD262" s="774"/>
      <c r="AE262" s="78"/>
      <c r="AF262" s="774"/>
      <c r="AG262" s="774"/>
      <c r="AH262" s="774"/>
      <c r="AI262" s="774"/>
      <c r="AJ262" s="78"/>
      <c r="AK262" s="774"/>
      <c r="AL262" s="774"/>
      <c r="AM262" s="774"/>
      <c r="AN262" s="774"/>
      <c r="AO262" s="78"/>
      <c r="AP262" s="774"/>
      <c r="AQ262" s="774"/>
      <c r="AR262" s="774"/>
      <c r="AS262" s="774"/>
      <c r="AT262" s="1119">
        <v>22.338000000000001</v>
      </c>
      <c r="AU262" s="774"/>
      <c r="AV262" s="774"/>
      <c r="AW262" s="774"/>
      <c r="AX262" s="774"/>
      <c r="AY262" s="1119">
        <v>22.338000000000001</v>
      </c>
      <c r="AZ262" s="774"/>
      <c r="BA262" s="774"/>
      <c r="BB262" s="774"/>
      <c r="BC262" s="774"/>
      <c r="BD262" s="1119">
        <v>22.338000000000001</v>
      </c>
      <c r="BE262" s="774"/>
      <c r="BF262" s="774"/>
      <c r="BG262" s="774"/>
      <c r="BH262" s="774"/>
      <c r="BI262" s="1119">
        <v>5.1369999999999996</v>
      </c>
      <c r="BJ262" s="774"/>
      <c r="BK262" s="774"/>
      <c r="BL262" s="774"/>
      <c r="BM262" s="774"/>
      <c r="BN262" s="1119">
        <v>5.1369999999999996</v>
      </c>
      <c r="BO262" s="774"/>
      <c r="BP262" s="774"/>
      <c r="BQ262" s="774"/>
      <c r="BR262" s="774"/>
      <c r="BS262" s="78"/>
      <c r="BT262" s="775"/>
      <c r="BU262" s="774"/>
      <c r="BV262" s="774"/>
      <c r="BW262" s="774"/>
      <c r="BX262" s="78"/>
      <c r="BY262" s="774"/>
      <c r="BZ262" s="774"/>
      <c r="CA262" s="774"/>
      <c r="CB262" s="774"/>
      <c r="CC262" s="78"/>
      <c r="CD262" s="78"/>
      <c r="CE262" s="78"/>
      <c r="CF262" s="78"/>
      <c r="CG262" s="532"/>
    </row>
    <row r="263" spans="1:85" s="615" customFormat="1" x14ac:dyDescent="0.3">
      <c r="A263" s="522" t="s">
        <v>1853</v>
      </c>
      <c r="B263" s="521"/>
      <c r="C263" s="1122"/>
      <c r="D263" s="1122"/>
      <c r="E263" s="1122"/>
      <c r="F263" s="1122"/>
      <c r="G263" s="520"/>
      <c r="H263" s="520"/>
      <c r="I263" s="520"/>
      <c r="J263" s="520"/>
      <c r="K263" s="1122"/>
      <c r="L263" s="520"/>
      <c r="M263" s="520"/>
      <c r="N263" s="520"/>
      <c r="O263" s="520"/>
      <c r="P263" s="1122"/>
      <c r="Q263" s="520"/>
      <c r="R263" s="520"/>
      <c r="S263" s="520"/>
      <c r="T263" s="520"/>
      <c r="U263" s="1122"/>
      <c r="V263" s="520"/>
      <c r="W263" s="520"/>
      <c r="X263" s="520"/>
      <c r="Y263" s="520"/>
      <c r="Z263" s="1122"/>
      <c r="AA263" s="520"/>
      <c r="AB263" s="520"/>
      <c r="AC263" s="520"/>
      <c r="AD263" s="520"/>
      <c r="AE263" s="1122"/>
      <c r="AF263" s="520"/>
      <c r="AG263" s="520"/>
      <c r="AH263" s="520"/>
      <c r="AI263" s="520"/>
      <c r="AJ263" s="1122"/>
      <c r="AK263" s="520"/>
      <c r="AL263" s="520"/>
      <c r="AM263" s="520"/>
      <c r="AN263" s="520"/>
      <c r="AO263" s="1122"/>
      <c r="AP263" s="520"/>
      <c r="AQ263" s="520"/>
      <c r="AR263" s="520"/>
      <c r="AS263" s="520"/>
      <c r="AT263" s="1123">
        <v>267.66000000000003</v>
      </c>
      <c r="AU263" s="526"/>
      <c r="AV263" s="526"/>
      <c r="AW263" s="526"/>
      <c r="AX263" s="526"/>
      <c r="AY263" s="1123">
        <v>267.66000000000003</v>
      </c>
      <c r="AZ263" s="526"/>
      <c r="BA263" s="526"/>
      <c r="BB263" s="526"/>
      <c r="BC263" s="526"/>
      <c r="BD263" s="1123">
        <v>267.66000000000003</v>
      </c>
      <c r="BE263" s="520"/>
      <c r="BF263" s="520"/>
      <c r="BG263" s="520"/>
      <c r="BH263" s="520"/>
      <c r="BI263" s="1123">
        <v>267.66000000000003</v>
      </c>
      <c r="BJ263" s="520"/>
      <c r="BK263" s="520"/>
      <c r="BL263" s="520"/>
      <c r="BM263" s="520"/>
      <c r="BN263" s="1123">
        <v>267.66000000000003</v>
      </c>
      <c r="BO263" s="520"/>
      <c r="BP263" s="520"/>
      <c r="BQ263" s="520"/>
      <c r="BR263" s="520"/>
      <c r="BS263" s="1124"/>
      <c r="BT263" s="728"/>
      <c r="BU263" s="520"/>
      <c r="BV263" s="520"/>
      <c r="BW263" s="520"/>
      <c r="BX263" s="1122"/>
      <c r="BY263" s="520"/>
      <c r="BZ263" s="520"/>
      <c r="CA263" s="520"/>
      <c r="CB263" s="520"/>
      <c r="CC263" s="1122"/>
      <c r="CD263" s="1122"/>
      <c r="CE263" s="1122"/>
      <c r="CF263" s="1122"/>
      <c r="CG263" s="519"/>
    </row>
    <row r="264" spans="1:85" s="614" customFormat="1" x14ac:dyDescent="0.3">
      <c r="A264" s="522"/>
      <c r="B264" s="352"/>
      <c r="C264" s="1094"/>
      <c r="D264" s="1094"/>
      <c r="E264" s="1094"/>
      <c r="F264" s="1094"/>
      <c r="G264" s="197"/>
      <c r="H264" s="197"/>
      <c r="I264" s="197"/>
      <c r="J264" s="197"/>
      <c r="K264" s="1094"/>
      <c r="L264" s="197"/>
      <c r="M264" s="197"/>
      <c r="N264" s="197"/>
      <c r="O264" s="197"/>
      <c r="P264" s="1094"/>
      <c r="Q264" s="197"/>
      <c r="R264" s="197"/>
      <c r="S264" s="197"/>
      <c r="T264" s="197"/>
      <c r="U264" s="1094"/>
      <c r="V264" s="197"/>
      <c r="W264" s="197"/>
      <c r="X264" s="197"/>
      <c r="Y264" s="197"/>
      <c r="Z264" s="1094"/>
      <c r="AA264" s="197"/>
      <c r="AB264" s="197"/>
      <c r="AC264" s="197"/>
      <c r="AD264" s="197"/>
      <c r="AE264" s="1094"/>
      <c r="AF264" s="197"/>
      <c r="AG264" s="197"/>
      <c r="AH264" s="197"/>
      <c r="AI264" s="197"/>
      <c r="AJ264" s="1094"/>
      <c r="AK264" s="197"/>
      <c r="AL264" s="197"/>
      <c r="AM264" s="197"/>
      <c r="AN264" s="197"/>
      <c r="AO264" s="1094"/>
      <c r="AP264" s="197"/>
      <c r="AQ264" s="197"/>
      <c r="AR264" s="197"/>
      <c r="AS264" s="197"/>
      <c r="AT264" s="198"/>
      <c r="AU264" s="194"/>
      <c r="AV264" s="194"/>
      <c r="AW264" s="194"/>
      <c r="AX264" s="194"/>
      <c r="AY264" s="198"/>
      <c r="AZ264" s="194"/>
      <c r="BA264" s="194"/>
      <c r="BB264" s="194"/>
      <c r="BC264" s="194"/>
      <c r="BD264" s="198"/>
      <c r="BE264" s="197"/>
      <c r="BF264" s="197"/>
      <c r="BG264" s="197"/>
      <c r="BH264" s="197"/>
      <c r="BI264" s="198"/>
      <c r="BJ264" s="197"/>
      <c r="BK264" s="197"/>
      <c r="BL264" s="197"/>
      <c r="BM264" s="197"/>
      <c r="BN264" s="198"/>
      <c r="BO264" s="197"/>
      <c r="BP264" s="197"/>
      <c r="BQ264" s="197"/>
      <c r="BR264" s="197"/>
      <c r="BS264" s="198"/>
      <c r="BT264" s="727"/>
      <c r="BU264" s="197"/>
      <c r="BV264" s="197"/>
      <c r="BW264" s="197"/>
      <c r="BX264" s="1094"/>
      <c r="BY264" s="197"/>
      <c r="BZ264" s="197"/>
      <c r="CA264" s="197"/>
      <c r="CB264" s="197"/>
      <c r="CC264" s="1094"/>
      <c r="CD264" s="1094"/>
      <c r="CE264" s="1094"/>
      <c r="CF264" s="1094"/>
      <c r="CG264" s="349"/>
    </row>
    <row r="265" spans="1:85" s="613" customFormat="1" x14ac:dyDescent="0.3">
      <c r="A265" s="478" t="s">
        <v>1852</v>
      </c>
      <c r="B265" s="523"/>
      <c r="C265" s="78"/>
      <c r="D265" s="78"/>
      <c r="E265" s="78"/>
      <c r="F265" s="78"/>
      <c r="G265" s="774"/>
      <c r="H265" s="774"/>
      <c r="I265" s="774"/>
      <c r="J265" s="774"/>
      <c r="K265" s="78"/>
      <c r="L265" s="774"/>
      <c r="M265" s="774"/>
      <c r="N265" s="774"/>
      <c r="O265" s="774"/>
      <c r="P265" s="78"/>
      <c r="Q265" s="774"/>
      <c r="R265" s="774"/>
      <c r="S265" s="774"/>
      <c r="T265" s="774"/>
      <c r="U265" s="78"/>
      <c r="V265" s="774"/>
      <c r="W265" s="774"/>
      <c r="X265" s="774"/>
      <c r="Y265" s="774"/>
      <c r="Z265" s="78"/>
      <c r="AA265" s="774"/>
      <c r="AB265" s="774"/>
      <c r="AC265" s="774"/>
      <c r="AD265" s="774"/>
      <c r="AE265" s="78"/>
      <c r="AF265" s="774"/>
      <c r="AG265" s="774"/>
      <c r="AH265" s="774"/>
      <c r="AI265" s="774"/>
      <c r="AJ265" s="78"/>
      <c r="AK265" s="774"/>
      <c r="AL265" s="774"/>
      <c r="AM265" s="774"/>
      <c r="AN265" s="774"/>
      <c r="AO265" s="78"/>
      <c r="AP265" s="774"/>
      <c r="AQ265" s="774"/>
      <c r="AR265" s="774"/>
      <c r="AS265" s="774"/>
      <c r="AT265" s="1119">
        <v>18.881</v>
      </c>
      <c r="AU265" s="774"/>
      <c r="AV265" s="774"/>
      <c r="AW265" s="774"/>
      <c r="AX265" s="774"/>
      <c r="AY265" s="1119">
        <v>18.881</v>
      </c>
      <c r="AZ265" s="774"/>
      <c r="BA265" s="774"/>
      <c r="BB265" s="774"/>
      <c r="BC265" s="774"/>
      <c r="BD265" s="1119">
        <v>18.881</v>
      </c>
      <c r="BE265" s="774"/>
      <c r="BF265" s="774"/>
      <c r="BG265" s="774"/>
      <c r="BH265" s="774"/>
      <c r="BI265" s="1119">
        <v>4.1680000000000001</v>
      </c>
      <c r="BJ265" s="774"/>
      <c r="BK265" s="774"/>
      <c r="BL265" s="774"/>
      <c r="BM265" s="774"/>
      <c r="BN265" s="1119">
        <v>4.1680000000000001</v>
      </c>
      <c r="BO265" s="774"/>
      <c r="BP265" s="774"/>
      <c r="BQ265" s="774"/>
      <c r="BR265" s="774"/>
      <c r="BS265" s="78"/>
      <c r="BT265" s="775"/>
      <c r="BU265" s="774"/>
      <c r="BV265" s="774"/>
      <c r="BW265" s="774"/>
      <c r="BX265" s="78"/>
      <c r="BY265" s="774"/>
      <c r="BZ265" s="774"/>
      <c r="CA265" s="774"/>
      <c r="CB265" s="774"/>
      <c r="CC265" s="78"/>
      <c r="CD265" s="78"/>
      <c r="CE265" s="78"/>
      <c r="CF265" s="78"/>
      <c r="CG265" s="532"/>
    </row>
    <row r="266" spans="1:85" s="615" customFormat="1" x14ac:dyDescent="0.3">
      <c r="A266" s="522" t="s">
        <v>1851</v>
      </c>
      <c r="B266" s="521"/>
      <c r="C266" s="1122"/>
      <c r="D266" s="1122"/>
      <c r="E266" s="1122"/>
      <c r="F266" s="1122"/>
      <c r="G266" s="520"/>
      <c r="H266" s="520"/>
      <c r="I266" s="520"/>
      <c r="J266" s="520"/>
      <c r="K266" s="1122"/>
      <c r="L266" s="520"/>
      <c r="M266" s="520"/>
      <c r="N266" s="520"/>
      <c r="O266" s="520"/>
      <c r="P266" s="1122"/>
      <c r="Q266" s="520"/>
      <c r="R266" s="520"/>
      <c r="S266" s="520"/>
      <c r="T266" s="520"/>
      <c r="U266" s="1122"/>
      <c r="V266" s="520"/>
      <c r="W266" s="520"/>
      <c r="X266" s="520"/>
      <c r="Y266" s="520"/>
      <c r="Z266" s="1122"/>
      <c r="AA266" s="520"/>
      <c r="AB266" s="520"/>
      <c r="AC266" s="520"/>
      <c r="AD266" s="520"/>
      <c r="AE266" s="1122"/>
      <c r="AF266" s="520"/>
      <c r="AG266" s="520"/>
      <c r="AH266" s="520"/>
      <c r="AI266" s="520"/>
      <c r="AJ266" s="1122"/>
      <c r="AK266" s="520"/>
      <c r="AL266" s="520"/>
      <c r="AM266" s="520"/>
      <c r="AN266" s="520"/>
      <c r="AO266" s="1122"/>
      <c r="AP266" s="520"/>
      <c r="AQ266" s="520"/>
      <c r="AR266" s="520"/>
      <c r="AS266" s="520"/>
      <c r="AT266" s="1123">
        <v>339.85</v>
      </c>
      <c r="AU266" s="526"/>
      <c r="AV266" s="526"/>
      <c r="AW266" s="526"/>
      <c r="AX266" s="526"/>
      <c r="AY266" s="1123">
        <v>339.85</v>
      </c>
      <c r="AZ266" s="526"/>
      <c r="BA266" s="526"/>
      <c r="BB266" s="526"/>
      <c r="BC266" s="526"/>
      <c r="BD266" s="1123">
        <v>339.85</v>
      </c>
      <c r="BE266" s="520"/>
      <c r="BF266" s="520"/>
      <c r="BG266" s="520"/>
      <c r="BH266" s="520"/>
      <c r="BI266" s="1123">
        <v>339.85</v>
      </c>
      <c r="BJ266" s="520"/>
      <c r="BK266" s="520"/>
      <c r="BL266" s="520"/>
      <c r="BM266" s="520"/>
      <c r="BN266" s="1123">
        <v>339.85</v>
      </c>
      <c r="BO266" s="520"/>
      <c r="BP266" s="520"/>
      <c r="BQ266" s="520"/>
      <c r="BR266" s="520"/>
      <c r="BS266" s="1124"/>
      <c r="BT266" s="728"/>
      <c r="BU266" s="520"/>
      <c r="BV266" s="520"/>
      <c r="BW266" s="520"/>
      <c r="BX266" s="1122"/>
      <c r="BY266" s="520"/>
      <c r="BZ266" s="520"/>
      <c r="CA266" s="520"/>
      <c r="CB266" s="520"/>
      <c r="CC266" s="1122"/>
      <c r="CD266" s="1122"/>
      <c r="CE266" s="1122"/>
      <c r="CF266" s="1122"/>
      <c r="CG266" s="519"/>
    </row>
    <row r="267" spans="1:85" s="614" customFormat="1" x14ac:dyDescent="0.3">
      <c r="A267" s="522"/>
      <c r="B267" s="352"/>
      <c r="C267" s="1094"/>
      <c r="D267" s="1094"/>
      <c r="E267" s="1094"/>
      <c r="F267" s="1094"/>
      <c r="G267" s="197"/>
      <c r="H267" s="197"/>
      <c r="I267" s="197"/>
      <c r="J267" s="197"/>
      <c r="K267" s="1094"/>
      <c r="L267" s="197"/>
      <c r="M267" s="197"/>
      <c r="N267" s="197"/>
      <c r="O267" s="197"/>
      <c r="P267" s="1094"/>
      <c r="Q267" s="197"/>
      <c r="R267" s="197"/>
      <c r="S267" s="197"/>
      <c r="T267" s="197"/>
      <c r="U267" s="1094"/>
      <c r="V267" s="197"/>
      <c r="W267" s="197"/>
      <c r="X267" s="197"/>
      <c r="Y267" s="197"/>
      <c r="Z267" s="1094"/>
      <c r="AA267" s="197"/>
      <c r="AB267" s="197"/>
      <c r="AC267" s="197"/>
      <c r="AD267" s="197"/>
      <c r="AE267" s="1094"/>
      <c r="AF267" s="197"/>
      <c r="AG267" s="197"/>
      <c r="AH267" s="197"/>
      <c r="AI267" s="197"/>
      <c r="AJ267" s="1094"/>
      <c r="AK267" s="197"/>
      <c r="AL267" s="197"/>
      <c r="AM267" s="197"/>
      <c r="AN267" s="197"/>
      <c r="AO267" s="1094"/>
      <c r="AP267" s="197"/>
      <c r="AQ267" s="197"/>
      <c r="AR267" s="197"/>
      <c r="AS267" s="197"/>
      <c r="AT267" s="198"/>
      <c r="AU267" s="194"/>
      <c r="AV267" s="194"/>
      <c r="AW267" s="194"/>
      <c r="AX267" s="194"/>
      <c r="AY267" s="198"/>
      <c r="AZ267" s="194"/>
      <c r="BA267" s="194"/>
      <c r="BB267" s="194"/>
      <c r="BC267" s="194"/>
      <c r="BD267" s="198"/>
      <c r="BE267" s="197"/>
      <c r="BF267" s="197"/>
      <c r="BG267" s="197"/>
      <c r="BH267" s="197"/>
      <c r="BI267" s="198"/>
      <c r="BJ267" s="197"/>
      <c r="BK267" s="197"/>
      <c r="BL267" s="197"/>
      <c r="BM267" s="197"/>
      <c r="BN267" s="198"/>
      <c r="BO267" s="197"/>
      <c r="BP267" s="197"/>
      <c r="BQ267" s="197"/>
      <c r="BR267" s="197"/>
      <c r="BS267" s="198"/>
      <c r="BT267" s="727"/>
      <c r="BU267" s="197"/>
      <c r="BV267" s="197"/>
      <c r="BW267" s="197"/>
      <c r="BX267" s="1094"/>
      <c r="BY267" s="197"/>
      <c r="BZ267" s="197"/>
      <c r="CA267" s="197"/>
      <c r="CB267" s="197"/>
      <c r="CC267" s="1094"/>
      <c r="CD267" s="1094"/>
      <c r="CE267" s="1094"/>
      <c r="CF267" s="1094"/>
      <c r="CG267" s="349"/>
    </row>
    <row r="268" spans="1:85" s="613" customFormat="1" x14ac:dyDescent="0.3">
      <c r="A268" s="478" t="s">
        <v>1850</v>
      </c>
      <c r="B268" s="523"/>
      <c r="C268" s="78"/>
      <c r="D268" s="78"/>
      <c r="E268" s="78"/>
      <c r="F268" s="78"/>
      <c r="G268" s="774"/>
      <c r="H268" s="774"/>
      <c r="I268" s="774"/>
      <c r="J268" s="774"/>
      <c r="K268" s="78"/>
      <c r="L268" s="774"/>
      <c r="M268" s="774"/>
      <c r="N268" s="774"/>
      <c r="O268" s="774"/>
      <c r="P268" s="78"/>
      <c r="Q268" s="774"/>
      <c r="R268" s="774"/>
      <c r="S268" s="774"/>
      <c r="T268" s="774"/>
      <c r="U268" s="78"/>
      <c r="V268" s="774"/>
      <c r="W268" s="774"/>
      <c r="X268" s="774"/>
      <c r="Y268" s="774"/>
      <c r="Z268" s="78"/>
      <c r="AA268" s="774"/>
      <c r="AB268" s="774"/>
      <c r="AC268" s="774"/>
      <c r="AD268" s="774"/>
      <c r="AE268" s="78"/>
      <c r="AF268" s="774"/>
      <c r="AG268" s="774"/>
      <c r="AH268" s="774"/>
      <c r="AI268" s="774"/>
      <c r="AJ268" s="78"/>
      <c r="AK268" s="774"/>
      <c r="AL268" s="774"/>
      <c r="AM268" s="774"/>
      <c r="AN268" s="774"/>
      <c r="AO268" s="78"/>
      <c r="AP268" s="774"/>
      <c r="AQ268" s="774"/>
      <c r="AR268" s="774"/>
      <c r="AS268" s="774"/>
      <c r="AT268" s="1119">
        <v>17.957999999999998</v>
      </c>
      <c r="AU268" s="774"/>
      <c r="AV268" s="774"/>
      <c r="AW268" s="774"/>
      <c r="AX268" s="774"/>
      <c r="AY268" s="1119">
        <v>17.957999999999998</v>
      </c>
      <c r="AZ268" s="774"/>
      <c r="BA268" s="774"/>
      <c r="BB268" s="774"/>
      <c r="BC268" s="774"/>
      <c r="BD268" s="1119">
        <v>17.957999999999998</v>
      </c>
      <c r="BE268" s="774"/>
      <c r="BF268" s="774"/>
      <c r="BG268" s="774"/>
      <c r="BH268" s="774"/>
      <c r="BI268" s="1119">
        <v>3.9649999999999999</v>
      </c>
      <c r="BJ268" s="774"/>
      <c r="BK268" s="774"/>
      <c r="BL268" s="774"/>
      <c r="BM268" s="774"/>
      <c r="BN268" s="1119">
        <v>3.9649999999999999</v>
      </c>
      <c r="BO268" s="774"/>
      <c r="BP268" s="774"/>
      <c r="BQ268" s="774"/>
      <c r="BR268" s="774"/>
      <c r="BS268" s="78"/>
      <c r="BT268" s="775"/>
      <c r="BU268" s="774"/>
      <c r="BV268" s="774"/>
      <c r="BW268" s="774"/>
      <c r="BX268" s="78"/>
      <c r="BY268" s="774"/>
      <c r="BZ268" s="774"/>
      <c r="CA268" s="774"/>
      <c r="CB268" s="774"/>
      <c r="CC268" s="78"/>
      <c r="CD268" s="78"/>
      <c r="CE268" s="78"/>
      <c r="CF268" s="78"/>
      <c r="CG268" s="532"/>
    </row>
    <row r="269" spans="1:85" s="615" customFormat="1" x14ac:dyDescent="0.3">
      <c r="A269" s="522" t="s">
        <v>1849</v>
      </c>
      <c r="B269" s="521"/>
      <c r="C269" s="1122"/>
      <c r="D269" s="1122"/>
      <c r="E269" s="1122"/>
      <c r="F269" s="1122"/>
      <c r="G269" s="520"/>
      <c r="H269" s="520"/>
      <c r="I269" s="520"/>
      <c r="J269" s="520"/>
      <c r="K269" s="1122"/>
      <c r="L269" s="520"/>
      <c r="M269" s="520"/>
      <c r="N269" s="520"/>
      <c r="O269" s="520"/>
      <c r="P269" s="1122"/>
      <c r="Q269" s="520"/>
      <c r="R269" s="520"/>
      <c r="S269" s="520"/>
      <c r="T269" s="520"/>
      <c r="U269" s="1122"/>
      <c r="V269" s="520"/>
      <c r="W269" s="520"/>
      <c r="X269" s="520"/>
      <c r="Y269" s="520"/>
      <c r="Z269" s="1122"/>
      <c r="AA269" s="520"/>
      <c r="AB269" s="520"/>
      <c r="AC269" s="520"/>
      <c r="AD269" s="520"/>
      <c r="AE269" s="1122"/>
      <c r="AF269" s="520"/>
      <c r="AG269" s="520"/>
      <c r="AH269" s="520"/>
      <c r="AI269" s="520"/>
      <c r="AJ269" s="1122"/>
      <c r="AK269" s="520"/>
      <c r="AL269" s="520"/>
      <c r="AM269" s="520"/>
      <c r="AN269" s="520"/>
      <c r="AO269" s="1122"/>
      <c r="AP269" s="520"/>
      <c r="AQ269" s="520"/>
      <c r="AR269" s="520"/>
      <c r="AS269" s="520"/>
      <c r="AT269" s="1123">
        <v>357.32</v>
      </c>
      <c r="AU269" s="526"/>
      <c r="AV269" s="526"/>
      <c r="AW269" s="526"/>
      <c r="AX269" s="526"/>
      <c r="AY269" s="1123">
        <v>357.32</v>
      </c>
      <c r="AZ269" s="526"/>
      <c r="BA269" s="526"/>
      <c r="BB269" s="526"/>
      <c r="BC269" s="526"/>
      <c r="BD269" s="1123">
        <v>357.32</v>
      </c>
      <c r="BE269" s="520"/>
      <c r="BF269" s="520"/>
      <c r="BG269" s="520"/>
      <c r="BH269" s="520"/>
      <c r="BI269" s="1123">
        <v>357.32</v>
      </c>
      <c r="BJ269" s="520"/>
      <c r="BK269" s="520"/>
      <c r="BL269" s="520"/>
      <c r="BM269" s="520"/>
      <c r="BN269" s="1123">
        <v>357.32</v>
      </c>
      <c r="BO269" s="520"/>
      <c r="BP269" s="520"/>
      <c r="BQ269" s="520"/>
      <c r="BR269" s="520"/>
      <c r="BS269" s="1124"/>
      <c r="BT269" s="728"/>
      <c r="BU269" s="520"/>
      <c r="BV269" s="520"/>
      <c r="BW269" s="520"/>
      <c r="BX269" s="1122"/>
      <c r="BY269" s="520"/>
      <c r="BZ269" s="520"/>
      <c r="CA269" s="520"/>
      <c r="CB269" s="520"/>
      <c r="CC269" s="1122"/>
      <c r="CD269" s="1122"/>
      <c r="CE269" s="1122"/>
      <c r="CF269" s="1122"/>
      <c r="CG269" s="519"/>
    </row>
    <row r="270" spans="1:85" s="614" customFormat="1" x14ac:dyDescent="0.3">
      <c r="A270" s="522"/>
      <c r="B270" s="352"/>
      <c r="C270" s="1094"/>
      <c r="D270" s="1094"/>
      <c r="E270" s="1094"/>
      <c r="F270" s="1094"/>
      <c r="G270" s="197"/>
      <c r="H270" s="197"/>
      <c r="I270" s="197"/>
      <c r="J270" s="197"/>
      <c r="K270" s="1094"/>
      <c r="L270" s="197"/>
      <c r="M270" s="197"/>
      <c r="N270" s="197"/>
      <c r="O270" s="197"/>
      <c r="P270" s="1094"/>
      <c r="Q270" s="197"/>
      <c r="R270" s="197"/>
      <c r="S270" s="197"/>
      <c r="T270" s="197"/>
      <c r="U270" s="1094"/>
      <c r="V270" s="197"/>
      <c r="W270" s="197"/>
      <c r="X270" s="197"/>
      <c r="Y270" s="197"/>
      <c r="Z270" s="1094"/>
      <c r="AA270" s="197"/>
      <c r="AB270" s="197"/>
      <c r="AC270" s="197"/>
      <c r="AD270" s="197"/>
      <c r="AE270" s="1094"/>
      <c r="AF270" s="197"/>
      <c r="AG270" s="197"/>
      <c r="AH270" s="197"/>
      <c r="AI270" s="197"/>
      <c r="AJ270" s="1094"/>
      <c r="AK270" s="197"/>
      <c r="AL270" s="197"/>
      <c r="AM270" s="197"/>
      <c r="AN270" s="197"/>
      <c r="AO270" s="1094"/>
      <c r="AP270" s="197"/>
      <c r="AQ270" s="197"/>
      <c r="AR270" s="197"/>
      <c r="AS270" s="197"/>
      <c r="AT270" s="198"/>
      <c r="AU270" s="194"/>
      <c r="AV270" s="194"/>
      <c r="AW270" s="194"/>
      <c r="AX270" s="194"/>
      <c r="AY270" s="198"/>
      <c r="AZ270" s="194"/>
      <c r="BA270" s="194"/>
      <c r="BB270" s="194"/>
      <c r="BC270" s="194"/>
      <c r="BD270" s="198"/>
      <c r="BE270" s="197"/>
      <c r="BF270" s="197"/>
      <c r="BG270" s="197"/>
      <c r="BH270" s="197"/>
      <c r="BI270" s="198"/>
      <c r="BJ270" s="197"/>
      <c r="BK270" s="197"/>
      <c r="BL270" s="197"/>
      <c r="BM270" s="197"/>
      <c r="BN270" s="198"/>
      <c r="BO270" s="197"/>
      <c r="BP270" s="197"/>
      <c r="BQ270" s="197"/>
      <c r="BR270" s="197"/>
      <c r="BS270" s="198"/>
      <c r="BT270" s="727"/>
      <c r="BU270" s="197"/>
      <c r="BV270" s="197"/>
      <c r="BW270" s="197"/>
      <c r="BX270" s="1094"/>
      <c r="BY270" s="197"/>
      <c r="BZ270" s="197"/>
      <c r="CA270" s="197"/>
      <c r="CB270" s="197"/>
      <c r="CC270" s="1094"/>
      <c r="CD270" s="1094"/>
      <c r="CE270" s="1094"/>
      <c r="CF270" s="1094"/>
      <c r="CG270" s="349"/>
    </row>
    <row r="271" spans="1:85" s="613" customFormat="1" x14ac:dyDescent="0.3">
      <c r="A271" s="478" t="s">
        <v>1848</v>
      </c>
      <c r="B271" s="523"/>
      <c r="C271" s="78"/>
      <c r="D271" s="78"/>
      <c r="E271" s="78"/>
      <c r="F271" s="78"/>
      <c r="G271" s="774"/>
      <c r="H271" s="774"/>
      <c r="I271" s="774"/>
      <c r="J271" s="774"/>
      <c r="K271" s="78"/>
      <c r="L271" s="774"/>
      <c r="M271" s="774"/>
      <c r="N271" s="774"/>
      <c r="O271" s="774"/>
      <c r="P271" s="78"/>
      <c r="Q271" s="774"/>
      <c r="R271" s="774"/>
      <c r="S271" s="774"/>
      <c r="T271" s="774"/>
      <c r="U271" s="78"/>
      <c r="V271" s="774"/>
      <c r="W271" s="774"/>
      <c r="X271" s="774"/>
      <c r="Y271" s="774"/>
      <c r="Z271" s="78"/>
      <c r="AA271" s="774"/>
      <c r="AB271" s="774"/>
      <c r="AC271" s="774"/>
      <c r="AD271" s="774"/>
      <c r="AE271" s="78"/>
      <c r="AF271" s="774"/>
      <c r="AG271" s="774"/>
      <c r="AH271" s="774"/>
      <c r="AI271" s="774"/>
      <c r="AJ271" s="78"/>
      <c r="AK271" s="774"/>
      <c r="AL271" s="774"/>
      <c r="AM271" s="774"/>
      <c r="AN271" s="774"/>
      <c r="AO271" s="78"/>
      <c r="AP271" s="774"/>
      <c r="AQ271" s="774"/>
      <c r="AR271" s="774"/>
      <c r="AS271" s="774"/>
      <c r="AT271" s="1119">
        <v>17.486000000000001</v>
      </c>
      <c r="AU271" s="774"/>
      <c r="AV271" s="774"/>
      <c r="AW271" s="774"/>
      <c r="AX271" s="774"/>
      <c r="AY271" s="1119">
        <v>17.486000000000001</v>
      </c>
      <c r="AZ271" s="774"/>
      <c r="BA271" s="774"/>
      <c r="BB271" s="774"/>
      <c r="BC271" s="774"/>
      <c r="BD271" s="1119">
        <v>17.486000000000001</v>
      </c>
      <c r="BE271" s="774"/>
      <c r="BF271" s="774"/>
      <c r="BG271" s="774"/>
      <c r="BH271" s="774"/>
      <c r="BI271" s="1119">
        <v>3.8610000000000002</v>
      </c>
      <c r="BJ271" s="774"/>
      <c r="BK271" s="774"/>
      <c r="BL271" s="774"/>
      <c r="BM271" s="774"/>
      <c r="BN271" s="1119">
        <v>3.8610000000000002</v>
      </c>
      <c r="BO271" s="774"/>
      <c r="BP271" s="774"/>
      <c r="BQ271" s="774"/>
      <c r="BR271" s="774"/>
      <c r="BS271" s="78"/>
      <c r="BT271" s="775"/>
      <c r="BU271" s="774"/>
      <c r="BV271" s="774"/>
      <c r="BW271" s="774"/>
      <c r="BX271" s="78"/>
      <c r="BY271" s="774"/>
      <c r="BZ271" s="774"/>
      <c r="CA271" s="774"/>
      <c r="CB271" s="774"/>
      <c r="CC271" s="78"/>
      <c r="CD271" s="78"/>
      <c r="CE271" s="78"/>
      <c r="CF271" s="78"/>
      <c r="CG271" s="532"/>
    </row>
    <row r="272" spans="1:85" s="615" customFormat="1" x14ac:dyDescent="0.3">
      <c r="A272" s="522" t="s">
        <v>1847</v>
      </c>
      <c r="B272" s="521"/>
      <c r="C272" s="1122"/>
      <c r="D272" s="1122"/>
      <c r="E272" s="1122"/>
      <c r="F272" s="1122"/>
      <c r="G272" s="520"/>
      <c r="H272" s="520"/>
      <c r="I272" s="520"/>
      <c r="J272" s="520"/>
      <c r="K272" s="1122"/>
      <c r="L272" s="520"/>
      <c r="M272" s="520"/>
      <c r="N272" s="520"/>
      <c r="O272" s="520"/>
      <c r="P272" s="1122"/>
      <c r="Q272" s="520"/>
      <c r="R272" s="520"/>
      <c r="S272" s="520"/>
      <c r="T272" s="520"/>
      <c r="U272" s="1122"/>
      <c r="V272" s="520"/>
      <c r="W272" s="520"/>
      <c r="X272" s="520"/>
      <c r="Y272" s="520"/>
      <c r="Z272" s="1122"/>
      <c r="AA272" s="520"/>
      <c r="AB272" s="520"/>
      <c r="AC272" s="520"/>
      <c r="AD272" s="520"/>
      <c r="AE272" s="1122"/>
      <c r="AF272" s="520"/>
      <c r="AG272" s="520"/>
      <c r="AH272" s="520"/>
      <c r="AI272" s="520"/>
      <c r="AJ272" s="1122"/>
      <c r="AK272" s="520"/>
      <c r="AL272" s="520"/>
      <c r="AM272" s="520"/>
      <c r="AN272" s="520"/>
      <c r="AO272" s="1122"/>
      <c r="AP272" s="520"/>
      <c r="AQ272" s="520"/>
      <c r="AR272" s="520"/>
      <c r="AS272" s="520"/>
      <c r="AT272" s="1123">
        <v>366.96</v>
      </c>
      <c r="AU272" s="526"/>
      <c r="AV272" s="526"/>
      <c r="AW272" s="526"/>
      <c r="AX272" s="526"/>
      <c r="AY272" s="1123">
        <v>366.96</v>
      </c>
      <c r="AZ272" s="526"/>
      <c r="BA272" s="526"/>
      <c r="BB272" s="526"/>
      <c r="BC272" s="526"/>
      <c r="BD272" s="1123">
        <v>366.96</v>
      </c>
      <c r="BE272" s="520"/>
      <c r="BF272" s="520"/>
      <c r="BG272" s="520"/>
      <c r="BH272" s="520"/>
      <c r="BI272" s="1123">
        <v>366.96</v>
      </c>
      <c r="BJ272" s="520"/>
      <c r="BK272" s="520"/>
      <c r="BL272" s="520"/>
      <c r="BM272" s="520"/>
      <c r="BN272" s="1123">
        <v>366.96</v>
      </c>
      <c r="BO272" s="520"/>
      <c r="BP272" s="520"/>
      <c r="BQ272" s="520"/>
      <c r="BR272" s="520"/>
      <c r="BS272" s="1124"/>
      <c r="BT272" s="728"/>
      <c r="BU272" s="520"/>
      <c r="BV272" s="520"/>
      <c r="BW272" s="520"/>
      <c r="BX272" s="1122"/>
      <c r="BY272" s="520"/>
      <c r="BZ272" s="520"/>
      <c r="CA272" s="520"/>
      <c r="CB272" s="520"/>
      <c r="CC272" s="1122"/>
      <c r="CD272" s="1122"/>
      <c r="CE272" s="1122"/>
      <c r="CF272" s="1122"/>
      <c r="CG272" s="519"/>
    </row>
    <row r="273" spans="1:85" s="614" customFormat="1" x14ac:dyDescent="0.3">
      <c r="A273" s="522"/>
      <c r="B273" s="352"/>
      <c r="C273" s="1094"/>
      <c r="D273" s="1094"/>
      <c r="E273" s="1094"/>
      <c r="F273" s="1094"/>
      <c r="G273" s="197"/>
      <c r="H273" s="197"/>
      <c r="I273" s="197"/>
      <c r="J273" s="197"/>
      <c r="K273" s="1094"/>
      <c r="L273" s="197"/>
      <c r="M273" s="197"/>
      <c r="N273" s="197"/>
      <c r="O273" s="197"/>
      <c r="P273" s="1094"/>
      <c r="Q273" s="197"/>
      <c r="R273" s="197"/>
      <c r="S273" s="197"/>
      <c r="T273" s="197"/>
      <c r="U273" s="1094"/>
      <c r="V273" s="197"/>
      <c r="W273" s="197"/>
      <c r="X273" s="197"/>
      <c r="Y273" s="197"/>
      <c r="Z273" s="1094"/>
      <c r="AA273" s="197"/>
      <c r="AB273" s="197"/>
      <c r="AC273" s="197"/>
      <c r="AD273" s="197"/>
      <c r="AE273" s="1094"/>
      <c r="AF273" s="197"/>
      <c r="AG273" s="197"/>
      <c r="AH273" s="197"/>
      <c r="AI273" s="197"/>
      <c r="AJ273" s="1094"/>
      <c r="AK273" s="197"/>
      <c r="AL273" s="197"/>
      <c r="AM273" s="197"/>
      <c r="AN273" s="197"/>
      <c r="AO273" s="1094"/>
      <c r="AP273" s="197"/>
      <c r="AQ273" s="197"/>
      <c r="AR273" s="197"/>
      <c r="AS273" s="197"/>
      <c r="AT273" s="198"/>
      <c r="AU273" s="194"/>
      <c r="AV273" s="194"/>
      <c r="AW273" s="194"/>
      <c r="AX273" s="194"/>
      <c r="AY273" s="198"/>
      <c r="AZ273" s="194"/>
      <c r="BA273" s="194"/>
      <c r="BB273" s="194"/>
      <c r="BC273" s="194"/>
      <c r="BD273" s="198"/>
      <c r="BE273" s="197"/>
      <c r="BF273" s="197"/>
      <c r="BG273" s="197"/>
      <c r="BH273" s="197"/>
      <c r="BI273" s="198"/>
      <c r="BJ273" s="197"/>
      <c r="BK273" s="197"/>
      <c r="BL273" s="197"/>
      <c r="BM273" s="197"/>
      <c r="BN273" s="198"/>
      <c r="BO273" s="197"/>
      <c r="BP273" s="197"/>
      <c r="BQ273" s="197"/>
      <c r="BR273" s="197"/>
      <c r="BS273" s="198"/>
      <c r="BT273" s="727"/>
      <c r="BU273" s="197"/>
      <c r="BV273" s="197"/>
      <c r="BW273" s="197"/>
      <c r="BX273" s="1094"/>
      <c r="BY273" s="197"/>
      <c r="BZ273" s="197"/>
      <c r="CA273" s="197"/>
      <c r="CB273" s="197"/>
      <c r="CC273" s="1094"/>
      <c r="CD273" s="1094"/>
      <c r="CE273" s="1094"/>
      <c r="CF273" s="1094"/>
      <c r="CG273" s="349"/>
    </row>
    <row r="274" spans="1:85" s="613" customFormat="1" x14ac:dyDescent="0.3">
      <c r="A274" s="478" t="s">
        <v>1846</v>
      </c>
      <c r="B274" s="523"/>
      <c r="C274" s="78"/>
      <c r="D274" s="78"/>
      <c r="E274" s="78"/>
      <c r="F274" s="78"/>
      <c r="G274" s="774"/>
      <c r="H274" s="774"/>
      <c r="I274" s="774"/>
      <c r="J274" s="774"/>
      <c r="K274" s="78"/>
      <c r="L274" s="774"/>
      <c r="M274" s="774"/>
      <c r="N274" s="774"/>
      <c r="O274" s="774"/>
      <c r="P274" s="78"/>
      <c r="Q274" s="774"/>
      <c r="R274" s="774"/>
      <c r="S274" s="774"/>
      <c r="T274" s="774"/>
      <c r="U274" s="78"/>
      <c r="V274" s="774"/>
      <c r="W274" s="774"/>
      <c r="X274" s="774"/>
      <c r="Y274" s="774"/>
      <c r="Z274" s="78"/>
      <c r="AA274" s="774"/>
      <c r="AB274" s="774"/>
      <c r="AC274" s="774"/>
      <c r="AD274" s="774"/>
      <c r="AE274" s="78"/>
      <c r="AF274" s="774"/>
      <c r="AG274" s="774"/>
      <c r="AH274" s="774"/>
      <c r="AI274" s="774"/>
      <c r="AJ274" s="78"/>
      <c r="AK274" s="774"/>
      <c r="AL274" s="774"/>
      <c r="AM274" s="774"/>
      <c r="AN274" s="774"/>
      <c r="AO274" s="78"/>
      <c r="AP274" s="774"/>
      <c r="AQ274" s="774"/>
      <c r="AR274" s="774"/>
      <c r="AS274" s="774"/>
      <c r="AT274" s="1119">
        <v>16.939</v>
      </c>
      <c r="AU274" s="774"/>
      <c r="AV274" s="774"/>
      <c r="AW274" s="774"/>
      <c r="AX274" s="774"/>
      <c r="AY274" s="1119">
        <v>16.939</v>
      </c>
      <c r="AZ274" s="774"/>
      <c r="BA274" s="774"/>
      <c r="BB274" s="774"/>
      <c r="BC274" s="774"/>
      <c r="BD274" s="1119">
        <v>16.939</v>
      </c>
      <c r="BE274" s="774"/>
      <c r="BF274" s="774"/>
      <c r="BG274" s="774"/>
      <c r="BH274" s="774"/>
      <c r="BI274" s="1119">
        <v>3.7389999999999999</v>
      </c>
      <c r="BJ274" s="774"/>
      <c r="BK274" s="774"/>
      <c r="BL274" s="774"/>
      <c r="BM274" s="774"/>
      <c r="BN274" s="1119">
        <v>3.7389999999999999</v>
      </c>
      <c r="BO274" s="774"/>
      <c r="BP274" s="774"/>
      <c r="BQ274" s="774"/>
      <c r="BR274" s="774"/>
      <c r="BS274" s="78"/>
      <c r="BT274" s="775"/>
      <c r="BU274" s="774"/>
      <c r="BV274" s="774"/>
      <c r="BW274" s="774"/>
      <c r="BX274" s="78"/>
      <c r="BY274" s="774"/>
      <c r="BZ274" s="774"/>
      <c r="CA274" s="774"/>
      <c r="CB274" s="774"/>
      <c r="CC274" s="78"/>
      <c r="CD274" s="78"/>
      <c r="CE274" s="78"/>
      <c r="CF274" s="78"/>
      <c r="CG274" s="532"/>
    </row>
    <row r="275" spans="1:85" s="615" customFormat="1" x14ac:dyDescent="0.3">
      <c r="A275" s="522" t="s">
        <v>1845</v>
      </c>
      <c r="B275" s="521"/>
      <c r="C275" s="1122"/>
      <c r="D275" s="1122"/>
      <c r="E275" s="1122"/>
      <c r="F275" s="1122"/>
      <c r="G275" s="520"/>
      <c r="H275" s="520"/>
      <c r="I275" s="520"/>
      <c r="J275" s="520"/>
      <c r="K275" s="1122"/>
      <c r="L275" s="520"/>
      <c r="M275" s="520"/>
      <c r="N275" s="520"/>
      <c r="O275" s="520"/>
      <c r="P275" s="1122"/>
      <c r="Q275" s="520"/>
      <c r="R275" s="520"/>
      <c r="S275" s="520"/>
      <c r="T275" s="520"/>
      <c r="U275" s="1122"/>
      <c r="V275" s="520"/>
      <c r="W275" s="520"/>
      <c r="X275" s="520"/>
      <c r="Y275" s="520"/>
      <c r="Z275" s="1122"/>
      <c r="AA275" s="520"/>
      <c r="AB275" s="520"/>
      <c r="AC275" s="520"/>
      <c r="AD275" s="520"/>
      <c r="AE275" s="1122"/>
      <c r="AF275" s="520"/>
      <c r="AG275" s="520"/>
      <c r="AH275" s="520"/>
      <c r="AI275" s="520"/>
      <c r="AJ275" s="1122"/>
      <c r="AK275" s="520"/>
      <c r="AL275" s="520"/>
      <c r="AM275" s="520"/>
      <c r="AN275" s="520"/>
      <c r="AO275" s="1122"/>
      <c r="AP275" s="520"/>
      <c r="AQ275" s="520"/>
      <c r="AR275" s="520"/>
      <c r="AS275" s="520"/>
      <c r="AT275" s="1123">
        <v>378.81</v>
      </c>
      <c r="AU275" s="526"/>
      <c r="AV275" s="526"/>
      <c r="AW275" s="526"/>
      <c r="AX275" s="526"/>
      <c r="AY275" s="1123">
        <v>378.81</v>
      </c>
      <c r="AZ275" s="526"/>
      <c r="BA275" s="526"/>
      <c r="BB275" s="526"/>
      <c r="BC275" s="526"/>
      <c r="BD275" s="1123">
        <v>378.81</v>
      </c>
      <c r="BE275" s="520"/>
      <c r="BF275" s="520"/>
      <c r="BG275" s="520"/>
      <c r="BH275" s="520"/>
      <c r="BI275" s="1123">
        <v>378.81</v>
      </c>
      <c r="BJ275" s="520"/>
      <c r="BK275" s="520"/>
      <c r="BL275" s="520"/>
      <c r="BM275" s="520"/>
      <c r="BN275" s="1123">
        <v>378.81</v>
      </c>
      <c r="BO275" s="520"/>
      <c r="BP275" s="520"/>
      <c r="BQ275" s="520"/>
      <c r="BR275" s="520"/>
      <c r="BS275" s="1124"/>
      <c r="BT275" s="728"/>
      <c r="BU275" s="520"/>
      <c r="BV275" s="520"/>
      <c r="BW275" s="520"/>
      <c r="BX275" s="1122"/>
      <c r="BY275" s="520"/>
      <c r="BZ275" s="520"/>
      <c r="CA275" s="520"/>
      <c r="CB275" s="520"/>
      <c r="CC275" s="1122"/>
      <c r="CD275" s="1122"/>
      <c r="CE275" s="1122"/>
      <c r="CF275" s="1122"/>
      <c r="CG275" s="519"/>
    </row>
    <row r="276" spans="1:85" s="614" customFormat="1" x14ac:dyDescent="0.3">
      <c r="A276" s="522"/>
      <c r="B276" s="352"/>
      <c r="C276" s="1094"/>
      <c r="D276" s="1094"/>
      <c r="E276" s="1094"/>
      <c r="F276" s="1094"/>
      <c r="G276" s="197"/>
      <c r="H276" s="197"/>
      <c r="I276" s="197"/>
      <c r="J276" s="197"/>
      <c r="K276" s="1094"/>
      <c r="L276" s="197"/>
      <c r="M276" s="197"/>
      <c r="N276" s="197"/>
      <c r="O276" s="197"/>
      <c r="P276" s="1094"/>
      <c r="Q276" s="197"/>
      <c r="R276" s="197"/>
      <c r="S276" s="197"/>
      <c r="T276" s="197"/>
      <c r="U276" s="1094"/>
      <c r="V276" s="197"/>
      <c r="W276" s="197"/>
      <c r="X276" s="197"/>
      <c r="Y276" s="197"/>
      <c r="Z276" s="1094"/>
      <c r="AA276" s="197"/>
      <c r="AB276" s="197"/>
      <c r="AC276" s="197"/>
      <c r="AD276" s="197"/>
      <c r="AE276" s="1094"/>
      <c r="AF276" s="197"/>
      <c r="AG276" s="197"/>
      <c r="AH276" s="197"/>
      <c r="AI276" s="197"/>
      <c r="AJ276" s="1094"/>
      <c r="AK276" s="197"/>
      <c r="AL276" s="197"/>
      <c r="AM276" s="197"/>
      <c r="AN276" s="197"/>
      <c r="AO276" s="1094"/>
      <c r="AP276" s="197"/>
      <c r="AQ276" s="197"/>
      <c r="AR276" s="197"/>
      <c r="AS276" s="197"/>
      <c r="AT276" s="198"/>
      <c r="AU276" s="194"/>
      <c r="AV276" s="194"/>
      <c r="AW276" s="194"/>
      <c r="AX276" s="194"/>
      <c r="AY276" s="198"/>
      <c r="AZ276" s="194"/>
      <c r="BA276" s="194"/>
      <c r="BB276" s="194"/>
      <c r="BC276" s="194"/>
      <c r="BD276" s="198"/>
      <c r="BE276" s="197"/>
      <c r="BF276" s="197"/>
      <c r="BG276" s="197"/>
      <c r="BH276" s="197"/>
      <c r="BI276" s="198"/>
      <c r="BJ276" s="197"/>
      <c r="BK276" s="197"/>
      <c r="BL276" s="197"/>
      <c r="BM276" s="197"/>
      <c r="BN276" s="198"/>
      <c r="BO276" s="197"/>
      <c r="BP276" s="197"/>
      <c r="BQ276" s="197"/>
      <c r="BR276" s="197"/>
      <c r="BS276" s="198"/>
      <c r="BT276" s="727"/>
      <c r="BU276" s="197"/>
      <c r="BV276" s="197"/>
      <c r="BW276" s="197"/>
      <c r="BX276" s="1094"/>
      <c r="BY276" s="197"/>
      <c r="BZ276" s="197"/>
      <c r="CA276" s="197"/>
      <c r="CB276" s="197"/>
      <c r="CC276" s="1094"/>
      <c r="CD276" s="1094"/>
      <c r="CE276" s="1094"/>
      <c r="CF276" s="1094"/>
      <c r="CG276" s="349"/>
    </row>
    <row r="277" spans="1:85" s="613" customFormat="1" x14ac:dyDescent="0.3">
      <c r="A277" s="478" t="s">
        <v>1844</v>
      </c>
      <c r="B277" s="523"/>
      <c r="C277" s="78"/>
      <c r="D277" s="78"/>
      <c r="E277" s="78"/>
      <c r="F277" s="78"/>
      <c r="G277" s="774"/>
      <c r="H277" s="774"/>
      <c r="I277" s="774"/>
      <c r="J277" s="774"/>
      <c r="K277" s="78"/>
      <c r="L277" s="774"/>
      <c r="M277" s="774"/>
      <c r="N277" s="774"/>
      <c r="O277" s="774"/>
      <c r="P277" s="78"/>
      <c r="Q277" s="774"/>
      <c r="R277" s="774"/>
      <c r="S277" s="774"/>
      <c r="T277" s="774"/>
      <c r="U277" s="78"/>
      <c r="V277" s="774"/>
      <c r="W277" s="774"/>
      <c r="X277" s="774"/>
      <c r="Y277" s="774"/>
      <c r="Z277" s="78"/>
      <c r="AA277" s="774"/>
      <c r="AB277" s="774"/>
      <c r="AC277" s="774"/>
      <c r="AD277" s="774"/>
      <c r="AE277" s="78"/>
      <c r="AF277" s="774"/>
      <c r="AG277" s="774"/>
      <c r="AH277" s="774"/>
      <c r="AI277" s="774"/>
      <c r="AJ277" s="78"/>
      <c r="AK277" s="774"/>
      <c r="AL277" s="774"/>
      <c r="AM277" s="774"/>
      <c r="AN277" s="774"/>
      <c r="AO277" s="78"/>
      <c r="AP277" s="774"/>
      <c r="AQ277" s="774"/>
      <c r="AR277" s="774"/>
      <c r="AS277" s="774"/>
      <c r="AT277" s="1119">
        <v>19.061</v>
      </c>
      <c r="AU277" s="774"/>
      <c r="AV277" s="774"/>
      <c r="AW277" s="774"/>
      <c r="AX277" s="774"/>
      <c r="AY277" s="1119">
        <v>19.061</v>
      </c>
      <c r="AZ277" s="774"/>
      <c r="BA277" s="774"/>
      <c r="BB277" s="774"/>
      <c r="BC277" s="774"/>
      <c r="BD277" s="1119">
        <v>19.061</v>
      </c>
      <c r="BE277" s="774"/>
      <c r="BF277" s="774"/>
      <c r="BG277" s="774"/>
      <c r="BH277" s="774"/>
      <c r="BI277" s="1119">
        <v>4.2089999999999996</v>
      </c>
      <c r="BJ277" s="774"/>
      <c r="BK277" s="774"/>
      <c r="BL277" s="774"/>
      <c r="BM277" s="774"/>
      <c r="BN277" s="1119">
        <v>4.2089999999999996</v>
      </c>
      <c r="BO277" s="774"/>
      <c r="BP277" s="774"/>
      <c r="BQ277" s="774"/>
      <c r="BR277" s="774"/>
      <c r="BS277" s="78"/>
      <c r="BT277" s="775"/>
      <c r="BU277" s="774"/>
      <c r="BV277" s="774"/>
      <c r="BW277" s="774"/>
      <c r="BX277" s="78"/>
      <c r="BY277" s="774"/>
      <c r="BZ277" s="774"/>
      <c r="CA277" s="774"/>
      <c r="CB277" s="774"/>
      <c r="CC277" s="78"/>
      <c r="CD277" s="78"/>
      <c r="CE277" s="78"/>
      <c r="CF277" s="78"/>
      <c r="CG277" s="532"/>
    </row>
    <row r="278" spans="1:85" s="615" customFormat="1" x14ac:dyDescent="0.3">
      <c r="A278" s="522" t="s">
        <v>1843</v>
      </c>
      <c r="B278" s="521"/>
      <c r="C278" s="1122"/>
      <c r="D278" s="1122"/>
      <c r="E278" s="1122"/>
      <c r="F278" s="1122"/>
      <c r="G278" s="520"/>
      <c r="H278" s="520"/>
      <c r="I278" s="520"/>
      <c r="J278" s="520"/>
      <c r="K278" s="1122"/>
      <c r="L278" s="520"/>
      <c r="M278" s="520"/>
      <c r="N278" s="520"/>
      <c r="O278" s="520"/>
      <c r="P278" s="1122"/>
      <c r="Q278" s="520"/>
      <c r="R278" s="520"/>
      <c r="S278" s="520"/>
      <c r="T278" s="520"/>
      <c r="U278" s="1122"/>
      <c r="V278" s="520"/>
      <c r="W278" s="520"/>
      <c r="X278" s="520"/>
      <c r="Y278" s="520"/>
      <c r="Z278" s="1122"/>
      <c r="AA278" s="520"/>
      <c r="AB278" s="520"/>
      <c r="AC278" s="520"/>
      <c r="AD278" s="520"/>
      <c r="AE278" s="1122"/>
      <c r="AF278" s="520"/>
      <c r="AG278" s="520"/>
      <c r="AH278" s="520"/>
      <c r="AI278" s="520"/>
      <c r="AJ278" s="1122"/>
      <c r="AK278" s="520"/>
      <c r="AL278" s="520"/>
      <c r="AM278" s="520"/>
      <c r="AN278" s="520"/>
      <c r="AO278" s="1122"/>
      <c r="AP278" s="520"/>
      <c r="AQ278" s="520"/>
      <c r="AR278" s="520"/>
      <c r="AS278" s="520"/>
      <c r="AT278" s="1123">
        <v>336.63</v>
      </c>
      <c r="AU278" s="526"/>
      <c r="AV278" s="526"/>
      <c r="AW278" s="526"/>
      <c r="AX278" s="526"/>
      <c r="AY278" s="1123">
        <v>336.63</v>
      </c>
      <c r="AZ278" s="526"/>
      <c r="BA278" s="526"/>
      <c r="BB278" s="526"/>
      <c r="BC278" s="526"/>
      <c r="BD278" s="1123">
        <v>336.63</v>
      </c>
      <c r="BE278" s="520"/>
      <c r="BF278" s="520"/>
      <c r="BG278" s="520"/>
      <c r="BH278" s="520"/>
      <c r="BI278" s="1123">
        <v>336.63</v>
      </c>
      <c r="BJ278" s="520"/>
      <c r="BK278" s="520"/>
      <c r="BL278" s="520"/>
      <c r="BM278" s="520"/>
      <c r="BN278" s="1123">
        <v>336.63</v>
      </c>
      <c r="BO278" s="520"/>
      <c r="BP278" s="520"/>
      <c r="BQ278" s="520"/>
      <c r="BR278" s="520"/>
      <c r="BS278" s="1124"/>
      <c r="BT278" s="728"/>
      <c r="BU278" s="520"/>
      <c r="BV278" s="520"/>
      <c r="BW278" s="520"/>
      <c r="BX278" s="1122"/>
      <c r="BY278" s="520"/>
      <c r="BZ278" s="520"/>
      <c r="CA278" s="520"/>
      <c r="CB278" s="520"/>
      <c r="CC278" s="1122"/>
      <c r="CD278" s="1122"/>
      <c r="CE278" s="1122"/>
      <c r="CF278" s="1122"/>
      <c r="CG278" s="519"/>
    </row>
    <row r="279" spans="1:85" s="614" customFormat="1" x14ac:dyDescent="0.3">
      <c r="A279" s="522"/>
      <c r="B279" s="352"/>
      <c r="C279" s="1094"/>
      <c r="D279" s="1094"/>
      <c r="E279" s="1094"/>
      <c r="F279" s="1094"/>
      <c r="G279" s="197"/>
      <c r="H279" s="197"/>
      <c r="I279" s="197"/>
      <c r="J279" s="197"/>
      <c r="K279" s="1094"/>
      <c r="L279" s="197"/>
      <c r="M279" s="197"/>
      <c r="N279" s="197"/>
      <c r="O279" s="197"/>
      <c r="P279" s="1094"/>
      <c r="Q279" s="197"/>
      <c r="R279" s="197"/>
      <c r="S279" s="197"/>
      <c r="T279" s="197"/>
      <c r="U279" s="1094"/>
      <c r="V279" s="197"/>
      <c r="W279" s="197"/>
      <c r="X279" s="197"/>
      <c r="Y279" s="197"/>
      <c r="Z279" s="1094"/>
      <c r="AA279" s="197"/>
      <c r="AB279" s="197"/>
      <c r="AC279" s="197"/>
      <c r="AD279" s="197"/>
      <c r="AE279" s="1094"/>
      <c r="AF279" s="197"/>
      <c r="AG279" s="197"/>
      <c r="AH279" s="197"/>
      <c r="AI279" s="197"/>
      <c r="AJ279" s="1094"/>
      <c r="AK279" s="197"/>
      <c r="AL279" s="197"/>
      <c r="AM279" s="197"/>
      <c r="AN279" s="197"/>
      <c r="AO279" s="1094"/>
      <c r="AP279" s="197"/>
      <c r="AQ279" s="197"/>
      <c r="AR279" s="197"/>
      <c r="AS279" s="197"/>
      <c r="AT279" s="198"/>
      <c r="AU279" s="194"/>
      <c r="AV279" s="194"/>
      <c r="AW279" s="194"/>
      <c r="AX279" s="194"/>
      <c r="AY279" s="198"/>
      <c r="AZ279" s="194"/>
      <c r="BA279" s="194"/>
      <c r="BB279" s="194"/>
      <c r="BC279" s="194"/>
      <c r="BD279" s="198"/>
      <c r="BE279" s="197"/>
      <c r="BF279" s="197"/>
      <c r="BG279" s="197"/>
      <c r="BH279" s="197"/>
      <c r="BI279" s="198"/>
      <c r="BJ279" s="197"/>
      <c r="BK279" s="197"/>
      <c r="BL279" s="197"/>
      <c r="BM279" s="197"/>
      <c r="BN279" s="198"/>
      <c r="BO279" s="197"/>
      <c r="BP279" s="197"/>
      <c r="BQ279" s="197"/>
      <c r="BR279" s="197"/>
      <c r="BS279" s="198"/>
      <c r="BT279" s="727"/>
      <c r="BU279" s="197"/>
      <c r="BV279" s="197"/>
      <c r="BW279" s="197"/>
      <c r="BX279" s="1094"/>
      <c r="BY279" s="197"/>
      <c r="BZ279" s="197"/>
      <c r="CA279" s="197"/>
      <c r="CB279" s="197"/>
      <c r="CC279" s="1094"/>
      <c r="CD279" s="1094"/>
      <c r="CE279" s="1094"/>
      <c r="CF279" s="1094"/>
      <c r="CG279" s="349"/>
    </row>
    <row r="280" spans="1:85" s="613" customFormat="1" x14ac:dyDescent="0.3">
      <c r="A280" s="478" t="s">
        <v>1842</v>
      </c>
      <c r="B280" s="523"/>
      <c r="C280" s="78"/>
      <c r="D280" s="78"/>
      <c r="E280" s="78"/>
      <c r="F280" s="78"/>
      <c r="G280" s="774"/>
      <c r="H280" s="774"/>
      <c r="I280" s="774"/>
      <c r="J280" s="774"/>
      <c r="K280" s="78"/>
      <c r="L280" s="774"/>
      <c r="M280" s="774"/>
      <c r="N280" s="774"/>
      <c r="O280" s="774"/>
      <c r="P280" s="78"/>
      <c r="Q280" s="774"/>
      <c r="R280" s="774"/>
      <c r="S280" s="774"/>
      <c r="T280" s="774"/>
      <c r="U280" s="78"/>
      <c r="V280" s="774"/>
      <c r="W280" s="774"/>
      <c r="X280" s="774"/>
      <c r="Y280" s="774"/>
      <c r="Z280" s="78"/>
      <c r="AA280" s="774"/>
      <c r="AB280" s="774"/>
      <c r="AC280" s="774"/>
      <c r="AD280" s="774"/>
      <c r="AE280" s="78"/>
      <c r="AF280" s="774"/>
      <c r="AG280" s="774"/>
      <c r="AH280" s="774"/>
      <c r="AI280" s="774"/>
      <c r="AJ280" s="78"/>
      <c r="AK280" s="774"/>
      <c r="AL280" s="774"/>
      <c r="AM280" s="774"/>
      <c r="AN280" s="774"/>
      <c r="AO280" s="78"/>
      <c r="AP280" s="774"/>
      <c r="AQ280" s="774"/>
      <c r="AR280" s="774"/>
      <c r="AS280" s="774"/>
      <c r="AT280" s="1119">
        <v>17.13</v>
      </c>
      <c r="AU280" s="774"/>
      <c r="AV280" s="774"/>
      <c r="AW280" s="774"/>
      <c r="AX280" s="774"/>
      <c r="AY280" s="1119">
        <v>17.13</v>
      </c>
      <c r="AZ280" s="774"/>
      <c r="BA280" s="774"/>
      <c r="BB280" s="774"/>
      <c r="BC280" s="774"/>
      <c r="BD280" s="1119">
        <v>17.13</v>
      </c>
      <c r="BE280" s="774"/>
      <c r="BF280" s="774"/>
      <c r="BG280" s="774"/>
      <c r="BH280" s="774"/>
      <c r="BI280" s="1119">
        <v>3.782</v>
      </c>
      <c r="BJ280" s="774"/>
      <c r="BK280" s="774"/>
      <c r="BL280" s="774"/>
      <c r="BM280" s="774"/>
      <c r="BN280" s="1119">
        <v>3.782</v>
      </c>
      <c r="BO280" s="774"/>
      <c r="BP280" s="774"/>
      <c r="BQ280" s="774"/>
      <c r="BR280" s="774"/>
      <c r="BS280" s="78"/>
      <c r="BT280" s="775"/>
      <c r="BU280" s="774"/>
      <c r="BV280" s="774"/>
      <c r="BW280" s="774"/>
      <c r="BX280" s="78"/>
      <c r="BY280" s="774"/>
      <c r="BZ280" s="774"/>
      <c r="CA280" s="774"/>
      <c r="CB280" s="774"/>
      <c r="CC280" s="78"/>
      <c r="CD280" s="78"/>
      <c r="CE280" s="78"/>
      <c r="CF280" s="78"/>
      <c r="CG280" s="532"/>
    </row>
    <row r="281" spans="1:85" s="615" customFormat="1" x14ac:dyDescent="0.3">
      <c r="A281" s="522" t="s">
        <v>1841</v>
      </c>
      <c r="B281" s="521"/>
      <c r="C281" s="1122"/>
      <c r="D281" s="1122"/>
      <c r="E281" s="1122"/>
      <c r="F281" s="1122"/>
      <c r="G281" s="520"/>
      <c r="H281" s="520"/>
      <c r="I281" s="520"/>
      <c r="J281" s="520"/>
      <c r="K281" s="1122"/>
      <c r="L281" s="520"/>
      <c r="M281" s="520"/>
      <c r="N281" s="520"/>
      <c r="O281" s="520"/>
      <c r="P281" s="1122"/>
      <c r="Q281" s="520"/>
      <c r="R281" s="520"/>
      <c r="S281" s="520"/>
      <c r="T281" s="520"/>
      <c r="U281" s="1122"/>
      <c r="V281" s="520"/>
      <c r="W281" s="520"/>
      <c r="X281" s="520"/>
      <c r="Y281" s="520"/>
      <c r="Z281" s="1122"/>
      <c r="AA281" s="520"/>
      <c r="AB281" s="520"/>
      <c r="AC281" s="520"/>
      <c r="AD281" s="520"/>
      <c r="AE281" s="1122"/>
      <c r="AF281" s="520"/>
      <c r="AG281" s="520"/>
      <c r="AH281" s="520"/>
      <c r="AI281" s="520"/>
      <c r="AJ281" s="1122"/>
      <c r="AK281" s="520"/>
      <c r="AL281" s="520"/>
      <c r="AM281" s="520"/>
      <c r="AN281" s="520"/>
      <c r="AO281" s="1122"/>
      <c r="AP281" s="520"/>
      <c r="AQ281" s="520"/>
      <c r="AR281" s="520"/>
      <c r="AS281" s="520"/>
      <c r="AT281" s="1123">
        <v>374.6</v>
      </c>
      <c r="AU281" s="526"/>
      <c r="AV281" s="526"/>
      <c r="AW281" s="526"/>
      <c r="AX281" s="526"/>
      <c r="AY281" s="1123">
        <v>374.6</v>
      </c>
      <c r="AZ281" s="526"/>
      <c r="BA281" s="526"/>
      <c r="BB281" s="526"/>
      <c r="BC281" s="526"/>
      <c r="BD281" s="1123">
        <v>374.6</v>
      </c>
      <c r="BE281" s="520"/>
      <c r="BF281" s="520"/>
      <c r="BG281" s="520"/>
      <c r="BH281" s="520"/>
      <c r="BI281" s="1123">
        <v>374.6</v>
      </c>
      <c r="BJ281" s="520"/>
      <c r="BK281" s="520"/>
      <c r="BL281" s="520"/>
      <c r="BM281" s="520"/>
      <c r="BN281" s="1123">
        <v>374.6</v>
      </c>
      <c r="BO281" s="520"/>
      <c r="BP281" s="520"/>
      <c r="BQ281" s="520"/>
      <c r="BR281" s="520"/>
      <c r="BS281" s="1124"/>
      <c r="BT281" s="728"/>
      <c r="BU281" s="520"/>
      <c r="BV281" s="520"/>
      <c r="BW281" s="520"/>
      <c r="BX281" s="1122"/>
      <c r="BY281" s="520"/>
      <c r="BZ281" s="520"/>
      <c r="CA281" s="520"/>
      <c r="CB281" s="520"/>
      <c r="CC281" s="1122"/>
      <c r="CD281" s="1122"/>
      <c r="CE281" s="1122"/>
      <c r="CF281" s="1122"/>
      <c r="CG281" s="519"/>
    </row>
    <row r="282" spans="1:85" s="614" customFormat="1" x14ac:dyDescent="0.3">
      <c r="A282" s="522"/>
      <c r="B282" s="352"/>
      <c r="C282" s="1094"/>
      <c r="D282" s="1094"/>
      <c r="E282" s="1094"/>
      <c r="F282" s="1094"/>
      <c r="G282" s="197"/>
      <c r="H282" s="197"/>
      <c r="I282" s="197"/>
      <c r="J282" s="197"/>
      <c r="K282" s="1094"/>
      <c r="L282" s="197"/>
      <c r="M282" s="197"/>
      <c r="N282" s="197"/>
      <c r="O282" s="197"/>
      <c r="P282" s="1094"/>
      <c r="Q282" s="197"/>
      <c r="R282" s="197"/>
      <c r="S282" s="197"/>
      <c r="T282" s="197"/>
      <c r="U282" s="1094"/>
      <c r="V282" s="197"/>
      <c r="W282" s="197"/>
      <c r="X282" s="197"/>
      <c r="Y282" s="197"/>
      <c r="Z282" s="1094"/>
      <c r="AA282" s="197"/>
      <c r="AB282" s="197"/>
      <c r="AC282" s="197"/>
      <c r="AD282" s="197"/>
      <c r="AE282" s="1094"/>
      <c r="AF282" s="197"/>
      <c r="AG282" s="197"/>
      <c r="AH282" s="197"/>
      <c r="AI282" s="197"/>
      <c r="AJ282" s="1094"/>
      <c r="AK282" s="197"/>
      <c r="AL282" s="197"/>
      <c r="AM282" s="197"/>
      <c r="AN282" s="197"/>
      <c r="AO282" s="1094"/>
      <c r="AP282" s="197"/>
      <c r="AQ282" s="197"/>
      <c r="AR282" s="197"/>
      <c r="AS282" s="197"/>
      <c r="AT282" s="198"/>
      <c r="AU282" s="194"/>
      <c r="AV282" s="194"/>
      <c r="AW282" s="194"/>
      <c r="AX282" s="194"/>
      <c r="AY282" s="198"/>
      <c r="AZ282" s="194"/>
      <c r="BA282" s="194"/>
      <c r="BB282" s="194"/>
      <c r="BC282" s="194"/>
      <c r="BD282" s="198"/>
      <c r="BE282" s="197"/>
      <c r="BF282" s="197"/>
      <c r="BG282" s="197"/>
      <c r="BH282" s="197"/>
      <c r="BI282" s="198"/>
      <c r="BJ282" s="197"/>
      <c r="BK282" s="197"/>
      <c r="BL282" s="197"/>
      <c r="BM282" s="197"/>
      <c r="BN282" s="198"/>
      <c r="BO282" s="197"/>
      <c r="BP282" s="197"/>
      <c r="BQ282" s="197"/>
      <c r="BR282" s="197"/>
      <c r="BS282" s="198"/>
      <c r="BT282" s="727"/>
      <c r="BU282" s="197"/>
      <c r="BV282" s="197"/>
      <c r="BW282" s="197"/>
      <c r="BX282" s="1094"/>
      <c r="BY282" s="197"/>
      <c r="BZ282" s="197"/>
      <c r="CA282" s="197"/>
      <c r="CB282" s="197"/>
      <c r="CC282" s="1094"/>
      <c r="CD282" s="1094"/>
      <c r="CE282" s="1094"/>
      <c r="CF282" s="1094"/>
      <c r="CG282" s="349"/>
    </row>
    <row r="283" spans="1:85" s="613" customFormat="1" x14ac:dyDescent="0.3">
      <c r="A283" s="478" t="s">
        <v>1840</v>
      </c>
      <c r="B283" s="523"/>
      <c r="C283" s="78"/>
      <c r="D283" s="78"/>
      <c r="E283" s="78"/>
      <c r="F283" s="78"/>
      <c r="G283" s="774"/>
      <c r="H283" s="774"/>
      <c r="I283" s="774"/>
      <c r="J283" s="774"/>
      <c r="K283" s="78"/>
      <c r="L283" s="774"/>
      <c r="M283" s="774"/>
      <c r="N283" s="774"/>
      <c r="O283" s="774"/>
      <c r="P283" s="78"/>
      <c r="Q283" s="774"/>
      <c r="R283" s="774"/>
      <c r="S283" s="774"/>
      <c r="T283" s="774"/>
      <c r="U283" s="78"/>
      <c r="V283" s="774"/>
      <c r="W283" s="774"/>
      <c r="X283" s="774"/>
      <c r="Y283" s="774"/>
      <c r="Z283" s="78"/>
      <c r="AA283" s="774"/>
      <c r="AB283" s="774"/>
      <c r="AC283" s="774"/>
      <c r="AD283" s="774"/>
      <c r="AE283" s="78"/>
      <c r="AF283" s="774"/>
      <c r="AG283" s="774"/>
      <c r="AH283" s="774"/>
      <c r="AI283" s="774"/>
      <c r="AJ283" s="78"/>
      <c r="AK283" s="774"/>
      <c r="AL283" s="774"/>
      <c r="AM283" s="774"/>
      <c r="AN283" s="774"/>
      <c r="AO283" s="78"/>
      <c r="AP283" s="774"/>
      <c r="AQ283" s="774"/>
      <c r="AR283" s="774"/>
      <c r="AS283" s="774"/>
      <c r="AT283" s="1119">
        <v>20.082999999999998</v>
      </c>
      <c r="AU283" s="774"/>
      <c r="AV283" s="774"/>
      <c r="AW283" s="774"/>
      <c r="AX283" s="774"/>
      <c r="AY283" s="1119">
        <v>20.082999999999998</v>
      </c>
      <c r="AZ283" s="774"/>
      <c r="BA283" s="774"/>
      <c r="BB283" s="774"/>
      <c r="BC283" s="774"/>
      <c r="BD283" s="1119">
        <v>20.082999999999998</v>
      </c>
      <c r="BE283" s="774"/>
      <c r="BF283" s="774"/>
      <c r="BG283" s="774"/>
      <c r="BH283" s="774"/>
      <c r="BI283" s="1119">
        <v>4.4340000000000002</v>
      </c>
      <c r="BJ283" s="774"/>
      <c r="BK283" s="774"/>
      <c r="BL283" s="774"/>
      <c r="BM283" s="774"/>
      <c r="BN283" s="1119">
        <v>4.4340000000000002</v>
      </c>
      <c r="BO283" s="774"/>
      <c r="BP283" s="774"/>
      <c r="BQ283" s="774"/>
      <c r="BR283" s="774"/>
      <c r="BS283" s="78"/>
      <c r="BT283" s="775"/>
      <c r="BU283" s="774"/>
      <c r="BV283" s="774"/>
      <c r="BW283" s="774"/>
      <c r="BX283" s="78"/>
      <c r="BY283" s="774"/>
      <c r="BZ283" s="774"/>
      <c r="CA283" s="774"/>
      <c r="CB283" s="774"/>
      <c r="CC283" s="78"/>
      <c r="CD283" s="78"/>
      <c r="CE283" s="78"/>
      <c r="CF283" s="78"/>
      <c r="CG283" s="532"/>
    </row>
    <row r="284" spans="1:85" s="615" customFormat="1" x14ac:dyDescent="0.3">
      <c r="A284" s="522" t="s">
        <v>1839</v>
      </c>
      <c r="B284" s="521"/>
      <c r="C284" s="1122"/>
      <c r="D284" s="1122"/>
      <c r="E284" s="1122"/>
      <c r="F284" s="1122"/>
      <c r="G284" s="520"/>
      <c r="H284" s="520"/>
      <c r="I284" s="520"/>
      <c r="J284" s="520"/>
      <c r="K284" s="1122"/>
      <c r="L284" s="520"/>
      <c r="M284" s="520"/>
      <c r="N284" s="520"/>
      <c r="O284" s="520"/>
      <c r="P284" s="1122"/>
      <c r="Q284" s="520"/>
      <c r="R284" s="520"/>
      <c r="S284" s="520"/>
      <c r="T284" s="520"/>
      <c r="U284" s="1122"/>
      <c r="V284" s="520"/>
      <c r="W284" s="520"/>
      <c r="X284" s="520"/>
      <c r="Y284" s="520"/>
      <c r="Z284" s="1122"/>
      <c r="AA284" s="520"/>
      <c r="AB284" s="520"/>
      <c r="AC284" s="520"/>
      <c r="AD284" s="520"/>
      <c r="AE284" s="1122"/>
      <c r="AF284" s="520"/>
      <c r="AG284" s="520"/>
      <c r="AH284" s="520"/>
      <c r="AI284" s="520"/>
      <c r="AJ284" s="1122"/>
      <c r="AK284" s="520"/>
      <c r="AL284" s="520"/>
      <c r="AM284" s="520"/>
      <c r="AN284" s="520"/>
      <c r="AO284" s="1122"/>
      <c r="AP284" s="520"/>
      <c r="AQ284" s="520"/>
      <c r="AR284" s="520"/>
      <c r="AS284" s="520"/>
      <c r="AT284" s="1123">
        <v>319.5</v>
      </c>
      <c r="AU284" s="526"/>
      <c r="AV284" s="526"/>
      <c r="AW284" s="526"/>
      <c r="AX284" s="526"/>
      <c r="AY284" s="1123">
        <v>319.5</v>
      </c>
      <c r="AZ284" s="526"/>
      <c r="BA284" s="526"/>
      <c r="BB284" s="526"/>
      <c r="BC284" s="526"/>
      <c r="BD284" s="1123">
        <v>319.5</v>
      </c>
      <c r="BE284" s="520"/>
      <c r="BF284" s="520"/>
      <c r="BG284" s="520"/>
      <c r="BH284" s="520"/>
      <c r="BI284" s="1123">
        <v>319.5</v>
      </c>
      <c r="BJ284" s="520"/>
      <c r="BK284" s="520"/>
      <c r="BL284" s="520"/>
      <c r="BM284" s="520"/>
      <c r="BN284" s="1123">
        <v>319.5</v>
      </c>
      <c r="BO284" s="520"/>
      <c r="BP284" s="520"/>
      <c r="BQ284" s="520"/>
      <c r="BR284" s="520"/>
      <c r="BS284" s="1124"/>
      <c r="BT284" s="728"/>
      <c r="BU284" s="520"/>
      <c r="BV284" s="520"/>
      <c r="BW284" s="520"/>
      <c r="BX284" s="1122"/>
      <c r="BY284" s="520"/>
      <c r="BZ284" s="520"/>
      <c r="CA284" s="520"/>
      <c r="CB284" s="520"/>
      <c r="CC284" s="1122"/>
      <c r="CD284" s="1122"/>
      <c r="CE284" s="1122"/>
      <c r="CF284" s="1122"/>
      <c r="CG284" s="519"/>
    </row>
    <row r="285" spans="1:85" s="614" customFormat="1" x14ac:dyDescent="0.3">
      <c r="A285" s="522"/>
      <c r="B285" s="352"/>
      <c r="C285" s="1094"/>
      <c r="D285" s="1094"/>
      <c r="E285" s="1094"/>
      <c r="F285" s="1094"/>
      <c r="G285" s="197"/>
      <c r="H285" s="197"/>
      <c r="I285" s="197"/>
      <c r="J285" s="197"/>
      <c r="K285" s="1094"/>
      <c r="L285" s="197"/>
      <c r="M285" s="197"/>
      <c r="N285" s="197"/>
      <c r="O285" s="197"/>
      <c r="P285" s="1094"/>
      <c r="Q285" s="197"/>
      <c r="R285" s="197"/>
      <c r="S285" s="197"/>
      <c r="T285" s="197"/>
      <c r="U285" s="1094"/>
      <c r="V285" s="197"/>
      <c r="W285" s="197"/>
      <c r="X285" s="197"/>
      <c r="Y285" s="197"/>
      <c r="Z285" s="1094"/>
      <c r="AA285" s="197"/>
      <c r="AB285" s="197"/>
      <c r="AC285" s="197"/>
      <c r="AD285" s="197"/>
      <c r="AE285" s="1094"/>
      <c r="AF285" s="197"/>
      <c r="AG285" s="197"/>
      <c r="AH285" s="197"/>
      <c r="AI285" s="197"/>
      <c r="AJ285" s="1094"/>
      <c r="AK285" s="197"/>
      <c r="AL285" s="197"/>
      <c r="AM285" s="197"/>
      <c r="AN285" s="197"/>
      <c r="AO285" s="1094"/>
      <c r="AP285" s="197"/>
      <c r="AQ285" s="197"/>
      <c r="AR285" s="197"/>
      <c r="AS285" s="197"/>
      <c r="AT285" s="198"/>
      <c r="AU285" s="194"/>
      <c r="AV285" s="194"/>
      <c r="AW285" s="194"/>
      <c r="AX285" s="194"/>
      <c r="AY285" s="198"/>
      <c r="AZ285" s="194"/>
      <c r="BA285" s="194"/>
      <c r="BB285" s="194"/>
      <c r="BC285" s="194"/>
      <c r="BD285" s="198"/>
      <c r="BE285" s="197"/>
      <c r="BF285" s="197"/>
      <c r="BG285" s="197"/>
      <c r="BH285" s="197"/>
      <c r="BI285" s="198"/>
      <c r="BJ285" s="197"/>
      <c r="BK285" s="197"/>
      <c r="BL285" s="197"/>
      <c r="BM285" s="197"/>
      <c r="BN285" s="198"/>
      <c r="BO285" s="197"/>
      <c r="BP285" s="197"/>
      <c r="BQ285" s="197"/>
      <c r="BR285" s="197"/>
      <c r="BS285" s="198"/>
      <c r="BT285" s="727"/>
      <c r="BU285" s="197"/>
      <c r="BV285" s="197"/>
      <c r="BW285" s="197"/>
      <c r="BX285" s="1094"/>
      <c r="BY285" s="197"/>
      <c r="BZ285" s="197"/>
      <c r="CA285" s="197"/>
      <c r="CB285" s="197"/>
      <c r="CC285" s="1094"/>
      <c r="CD285" s="1094"/>
      <c r="CE285" s="1094"/>
      <c r="CF285" s="1094"/>
      <c r="CG285" s="349"/>
    </row>
    <row r="286" spans="1:85" s="613" customFormat="1" x14ac:dyDescent="0.3">
      <c r="A286" s="478" t="s">
        <v>1838</v>
      </c>
      <c r="B286" s="523"/>
      <c r="C286" s="78"/>
      <c r="D286" s="78"/>
      <c r="E286" s="78"/>
      <c r="F286" s="78"/>
      <c r="G286" s="774"/>
      <c r="H286" s="774"/>
      <c r="I286" s="774"/>
      <c r="J286" s="774"/>
      <c r="K286" s="78"/>
      <c r="L286" s="774"/>
      <c r="M286" s="774"/>
      <c r="N286" s="774"/>
      <c r="O286" s="774"/>
      <c r="P286" s="78"/>
      <c r="Q286" s="774"/>
      <c r="R286" s="774"/>
      <c r="S286" s="774"/>
      <c r="T286" s="774"/>
      <c r="U286" s="78"/>
      <c r="V286" s="774"/>
      <c r="W286" s="774"/>
      <c r="X286" s="774"/>
      <c r="Y286" s="774"/>
      <c r="Z286" s="78"/>
      <c r="AA286" s="774"/>
      <c r="AB286" s="774"/>
      <c r="AC286" s="774"/>
      <c r="AD286" s="774"/>
      <c r="AE286" s="78"/>
      <c r="AF286" s="774"/>
      <c r="AG286" s="774"/>
      <c r="AH286" s="774"/>
      <c r="AI286" s="774"/>
      <c r="AJ286" s="78"/>
      <c r="AK286" s="774"/>
      <c r="AL286" s="774"/>
      <c r="AM286" s="774"/>
      <c r="AN286" s="774"/>
      <c r="AO286" s="78"/>
      <c r="AP286" s="774"/>
      <c r="AQ286" s="774"/>
      <c r="AR286" s="774"/>
      <c r="AS286" s="774"/>
      <c r="AT286" s="1119">
        <v>22.181000000000001</v>
      </c>
      <c r="AU286" s="774"/>
      <c r="AV286" s="774"/>
      <c r="AW286" s="774"/>
      <c r="AX286" s="774"/>
      <c r="AY286" s="1119">
        <v>22.181000000000001</v>
      </c>
      <c r="AZ286" s="774"/>
      <c r="BA286" s="774"/>
      <c r="BB286" s="774"/>
      <c r="BC286" s="774"/>
      <c r="BD286" s="1119">
        <v>22.181000000000001</v>
      </c>
      <c r="BE286" s="774"/>
      <c r="BF286" s="774"/>
      <c r="BG286" s="774"/>
      <c r="BH286" s="774"/>
      <c r="BI286" s="1119">
        <v>4.8970000000000002</v>
      </c>
      <c r="BJ286" s="774"/>
      <c r="BK286" s="774"/>
      <c r="BL286" s="774"/>
      <c r="BM286" s="774"/>
      <c r="BN286" s="1119">
        <v>4.8970000000000002</v>
      </c>
      <c r="BO286" s="774"/>
      <c r="BP286" s="774"/>
      <c r="BQ286" s="774"/>
      <c r="BR286" s="774"/>
      <c r="BS286" s="78"/>
      <c r="BT286" s="775"/>
      <c r="BU286" s="774"/>
      <c r="BV286" s="774"/>
      <c r="BW286" s="774"/>
      <c r="BX286" s="78"/>
      <c r="BY286" s="774"/>
      <c r="BZ286" s="774"/>
      <c r="CA286" s="774"/>
      <c r="CB286" s="774"/>
      <c r="CC286" s="78"/>
      <c r="CD286" s="78"/>
      <c r="CE286" s="78"/>
      <c r="CF286" s="78"/>
      <c r="CG286" s="532"/>
    </row>
    <row r="287" spans="1:85" s="615" customFormat="1" x14ac:dyDescent="0.3">
      <c r="A287" s="522" t="s">
        <v>1837</v>
      </c>
      <c r="B287" s="521"/>
      <c r="C287" s="1122"/>
      <c r="D287" s="1122"/>
      <c r="E287" s="1122"/>
      <c r="F287" s="1122"/>
      <c r="G287" s="520"/>
      <c r="H287" s="520"/>
      <c r="I287" s="520"/>
      <c r="J287" s="520"/>
      <c r="K287" s="1122"/>
      <c r="L287" s="520"/>
      <c r="M287" s="520"/>
      <c r="N287" s="520"/>
      <c r="O287" s="520"/>
      <c r="P287" s="1122"/>
      <c r="Q287" s="520"/>
      <c r="R287" s="520"/>
      <c r="S287" s="520"/>
      <c r="T287" s="520"/>
      <c r="U287" s="1122"/>
      <c r="V287" s="520"/>
      <c r="W287" s="520"/>
      <c r="X287" s="520"/>
      <c r="Y287" s="520"/>
      <c r="Z287" s="1122"/>
      <c r="AA287" s="520"/>
      <c r="AB287" s="520"/>
      <c r="AC287" s="520"/>
      <c r="AD287" s="520"/>
      <c r="AE287" s="1122"/>
      <c r="AF287" s="520"/>
      <c r="AG287" s="520"/>
      <c r="AH287" s="520"/>
      <c r="AI287" s="520"/>
      <c r="AJ287" s="1122"/>
      <c r="AK287" s="520"/>
      <c r="AL287" s="520"/>
      <c r="AM287" s="520"/>
      <c r="AN287" s="520"/>
      <c r="AO287" s="1122"/>
      <c r="AP287" s="520"/>
      <c r="AQ287" s="520"/>
      <c r="AR287" s="520"/>
      <c r="AS287" s="520"/>
      <c r="AT287" s="1123">
        <v>289.29000000000002</v>
      </c>
      <c r="AU287" s="526"/>
      <c r="AV287" s="526"/>
      <c r="AW287" s="526"/>
      <c r="AX287" s="526"/>
      <c r="AY287" s="1123">
        <v>289.29000000000002</v>
      </c>
      <c r="AZ287" s="526"/>
      <c r="BA287" s="526"/>
      <c r="BB287" s="526"/>
      <c r="BC287" s="526"/>
      <c r="BD287" s="1123">
        <v>289.29000000000002</v>
      </c>
      <c r="BE287" s="520"/>
      <c r="BF287" s="520"/>
      <c r="BG287" s="520"/>
      <c r="BH287" s="520"/>
      <c r="BI287" s="1123">
        <v>289.29000000000002</v>
      </c>
      <c r="BJ287" s="520"/>
      <c r="BK287" s="520"/>
      <c r="BL287" s="520"/>
      <c r="BM287" s="520"/>
      <c r="BN287" s="1123">
        <v>289.29000000000002</v>
      </c>
      <c r="BO287" s="520"/>
      <c r="BP287" s="520"/>
      <c r="BQ287" s="520"/>
      <c r="BR287" s="520"/>
      <c r="BS287" s="1124"/>
      <c r="BT287" s="728"/>
      <c r="BU287" s="520"/>
      <c r="BV287" s="520"/>
      <c r="BW287" s="520"/>
      <c r="BX287" s="1122"/>
      <c r="BY287" s="520"/>
      <c r="BZ287" s="520"/>
      <c r="CA287" s="520"/>
      <c r="CB287" s="520"/>
      <c r="CC287" s="1122"/>
      <c r="CD287" s="1122"/>
      <c r="CE287" s="1122"/>
      <c r="CF287" s="1122"/>
      <c r="CG287" s="519"/>
    </row>
    <row r="288" spans="1:85" s="614" customFormat="1" x14ac:dyDescent="0.3">
      <c r="A288" s="522"/>
      <c r="B288" s="352"/>
      <c r="C288" s="1094"/>
      <c r="D288" s="1094"/>
      <c r="E288" s="1094"/>
      <c r="F288" s="1094"/>
      <c r="G288" s="197"/>
      <c r="H288" s="197"/>
      <c r="I288" s="197"/>
      <c r="J288" s="197"/>
      <c r="K288" s="1094"/>
      <c r="L288" s="197"/>
      <c r="M288" s="197"/>
      <c r="N288" s="197"/>
      <c r="O288" s="197"/>
      <c r="P288" s="1094"/>
      <c r="Q288" s="197"/>
      <c r="R288" s="197"/>
      <c r="S288" s="197"/>
      <c r="T288" s="197"/>
      <c r="U288" s="1094"/>
      <c r="V288" s="197"/>
      <c r="W288" s="197"/>
      <c r="X288" s="197"/>
      <c r="Y288" s="197"/>
      <c r="Z288" s="1094"/>
      <c r="AA288" s="197"/>
      <c r="AB288" s="197"/>
      <c r="AC288" s="197"/>
      <c r="AD288" s="197"/>
      <c r="AE288" s="1094"/>
      <c r="AF288" s="197"/>
      <c r="AG288" s="197"/>
      <c r="AH288" s="197"/>
      <c r="AI288" s="197"/>
      <c r="AJ288" s="1094"/>
      <c r="AK288" s="197"/>
      <c r="AL288" s="197"/>
      <c r="AM288" s="197"/>
      <c r="AN288" s="197"/>
      <c r="AO288" s="1094"/>
      <c r="AP288" s="197"/>
      <c r="AQ288" s="197"/>
      <c r="AR288" s="197"/>
      <c r="AS288" s="197"/>
      <c r="AT288" s="198"/>
      <c r="AU288" s="194"/>
      <c r="AV288" s="194"/>
      <c r="AW288" s="194"/>
      <c r="AX288" s="194"/>
      <c r="AY288" s="198"/>
      <c r="AZ288" s="194"/>
      <c r="BA288" s="194"/>
      <c r="BB288" s="194"/>
      <c r="BC288" s="194"/>
      <c r="BD288" s="198"/>
      <c r="BE288" s="197"/>
      <c r="BF288" s="197"/>
      <c r="BG288" s="197"/>
      <c r="BH288" s="197"/>
      <c r="BI288" s="198"/>
      <c r="BJ288" s="197"/>
      <c r="BK288" s="197"/>
      <c r="BL288" s="197"/>
      <c r="BM288" s="197"/>
      <c r="BN288" s="198"/>
      <c r="BO288" s="197"/>
      <c r="BP288" s="197"/>
      <c r="BQ288" s="197"/>
      <c r="BR288" s="197"/>
      <c r="BS288" s="198"/>
      <c r="BT288" s="727"/>
      <c r="BU288" s="197"/>
      <c r="BV288" s="197"/>
      <c r="BW288" s="197"/>
      <c r="BX288" s="1094"/>
      <c r="BY288" s="197"/>
      <c r="BZ288" s="197"/>
      <c r="CA288" s="197"/>
      <c r="CB288" s="197"/>
      <c r="CC288" s="1094"/>
      <c r="CD288" s="1094"/>
      <c r="CE288" s="1094"/>
      <c r="CF288" s="1094"/>
      <c r="CG288" s="349"/>
    </row>
    <row r="289" spans="1:85" s="613" customFormat="1" x14ac:dyDescent="0.3">
      <c r="A289" s="478" t="s">
        <v>1836</v>
      </c>
      <c r="B289" s="523"/>
      <c r="C289" s="78"/>
      <c r="D289" s="78"/>
      <c r="E289" s="78"/>
      <c r="F289" s="78"/>
      <c r="G289" s="774"/>
      <c r="H289" s="774"/>
      <c r="I289" s="774"/>
      <c r="J289" s="774"/>
      <c r="K289" s="78"/>
      <c r="L289" s="774"/>
      <c r="M289" s="774"/>
      <c r="N289" s="774"/>
      <c r="O289" s="774"/>
      <c r="P289" s="78"/>
      <c r="Q289" s="774"/>
      <c r="R289" s="774"/>
      <c r="S289" s="774"/>
      <c r="T289" s="774"/>
      <c r="U289" s="78"/>
      <c r="V289" s="774"/>
      <c r="W289" s="774"/>
      <c r="X289" s="774"/>
      <c r="Y289" s="774"/>
      <c r="Z289" s="78"/>
      <c r="AA289" s="774"/>
      <c r="AB289" s="774"/>
      <c r="AC289" s="774"/>
      <c r="AD289" s="774"/>
      <c r="AE289" s="78"/>
      <c r="AF289" s="774"/>
      <c r="AG289" s="774"/>
      <c r="AH289" s="774"/>
      <c r="AI289" s="774"/>
      <c r="AJ289" s="78"/>
      <c r="AK289" s="774"/>
      <c r="AL289" s="774"/>
      <c r="AM289" s="774"/>
      <c r="AN289" s="774"/>
      <c r="AO289" s="78"/>
      <c r="AP289" s="774"/>
      <c r="AQ289" s="774"/>
      <c r="AR289" s="774"/>
      <c r="AS289" s="774"/>
      <c r="AT289" s="1119">
        <v>23.802</v>
      </c>
      <c r="AU289" s="774"/>
      <c r="AV289" s="774"/>
      <c r="AW289" s="774"/>
      <c r="AX289" s="774"/>
      <c r="AY289" s="1119">
        <v>23.802</v>
      </c>
      <c r="AZ289" s="774"/>
      <c r="BA289" s="774"/>
      <c r="BB289" s="774"/>
      <c r="BC289" s="774"/>
      <c r="BD289" s="1119">
        <v>23.802</v>
      </c>
      <c r="BE289" s="774"/>
      <c r="BF289" s="774"/>
      <c r="BG289" s="774"/>
      <c r="BH289" s="774"/>
      <c r="BI289" s="1119">
        <v>5.2549999999999999</v>
      </c>
      <c r="BJ289" s="774"/>
      <c r="BK289" s="774"/>
      <c r="BL289" s="774"/>
      <c r="BM289" s="774"/>
      <c r="BN289" s="1119">
        <v>5.2549999999999999</v>
      </c>
      <c r="BO289" s="774"/>
      <c r="BP289" s="774"/>
      <c r="BQ289" s="774"/>
      <c r="BR289" s="774"/>
      <c r="BS289" s="78"/>
      <c r="BT289" s="775"/>
      <c r="BU289" s="774"/>
      <c r="BV289" s="774"/>
      <c r="BW289" s="774"/>
      <c r="BX289" s="78"/>
      <c r="BY289" s="774"/>
      <c r="BZ289" s="774"/>
      <c r="CA289" s="774"/>
      <c r="CB289" s="774"/>
      <c r="CC289" s="78"/>
      <c r="CD289" s="78"/>
      <c r="CE289" s="78"/>
      <c r="CF289" s="78"/>
      <c r="CG289" s="532"/>
    </row>
    <row r="290" spans="1:85" s="615" customFormat="1" x14ac:dyDescent="0.3">
      <c r="A290" s="522" t="s">
        <v>1835</v>
      </c>
      <c r="B290" s="521"/>
      <c r="C290" s="1122"/>
      <c r="D290" s="1122"/>
      <c r="E290" s="1122"/>
      <c r="F290" s="1122"/>
      <c r="G290" s="520"/>
      <c r="H290" s="520"/>
      <c r="I290" s="520"/>
      <c r="J290" s="520"/>
      <c r="K290" s="1122"/>
      <c r="L290" s="520"/>
      <c r="M290" s="520"/>
      <c r="N290" s="520"/>
      <c r="O290" s="520"/>
      <c r="P290" s="1122"/>
      <c r="Q290" s="520"/>
      <c r="R290" s="520"/>
      <c r="S290" s="520"/>
      <c r="T290" s="520"/>
      <c r="U290" s="1122"/>
      <c r="V290" s="520"/>
      <c r="W290" s="520"/>
      <c r="X290" s="520"/>
      <c r="Y290" s="520"/>
      <c r="Z290" s="1122"/>
      <c r="AA290" s="520"/>
      <c r="AB290" s="520"/>
      <c r="AC290" s="520"/>
      <c r="AD290" s="520"/>
      <c r="AE290" s="1122"/>
      <c r="AF290" s="520"/>
      <c r="AG290" s="520"/>
      <c r="AH290" s="520"/>
      <c r="AI290" s="520"/>
      <c r="AJ290" s="1122"/>
      <c r="AK290" s="520"/>
      <c r="AL290" s="520"/>
      <c r="AM290" s="520"/>
      <c r="AN290" s="520"/>
      <c r="AO290" s="1122"/>
      <c r="AP290" s="520"/>
      <c r="AQ290" s="520"/>
      <c r="AR290" s="520"/>
      <c r="AS290" s="520"/>
      <c r="AT290" s="1123">
        <v>269.58</v>
      </c>
      <c r="AU290" s="526"/>
      <c r="AV290" s="526"/>
      <c r="AW290" s="526"/>
      <c r="AX290" s="526"/>
      <c r="AY290" s="1123">
        <v>269.58</v>
      </c>
      <c r="AZ290" s="526"/>
      <c r="BA290" s="526"/>
      <c r="BB290" s="526"/>
      <c r="BC290" s="526"/>
      <c r="BD290" s="1123">
        <v>269.58</v>
      </c>
      <c r="BE290" s="520"/>
      <c r="BF290" s="520"/>
      <c r="BG290" s="520"/>
      <c r="BH290" s="520"/>
      <c r="BI290" s="1123">
        <v>269.58</v>
      </c>
      <c r="BJ290" s="520"/>
      <c r="BK290" s="520"/>
      <c r="BL290" s="520"/>
      <c r="BM290" s="520"/>
      <c r="BN290" s="1123">
        <v>269.58</v>
      </c>
      <c r="BO290" s="520"/>
      <c r="BP290" s="520"/>
      <c r="BQ290" s="520"/>
      <c r="BR290" s="520"/>
      <c r="BS290" s="1124"/>
      <c r="BT290" s="728"/>
      <c r="BU290" s="520"/>
      <c r="BV290" s="520"/>
      <c r="BW290" s="520"/>
      <c r="BX290" s="1122"/>
      <c r="BY290" s="520"/>
      <c r="BZ290" s="520"/>
      <c r="CA290" s="520"/>
      <c r="CB290" s="520"/>
      <c r="CC290" s="1122"/>
      <c r="CD290" s="1122"/>
      <c r="CE290" s="1122"/>
      <c r="CF290" s="1122"/>
      <c r="CG290" s="519"/>
    </row>
    <row r="291" spans="1:85" s="614" customFormat="1" x14ac:dyDescent="0.3">
      <c r="A291" s="522"/>
      <c r="B291" s="352"/>
      <c r="C291" s="1094"/>
      <c r="D291" s="1094"/>
      <c r="E291" s="1094"/>
      <c r="F291" s="1094"/>
      <c r="G291" s="197"/>
      <c r="H291" s="197"/>
      <c r="I291" s="197"/>
      <c r="J291" s="197"/>
      <c r="K291" s="1094"/>
      <c r="L291" s="197"/>
      <c r="M291" s="197"/>
      <c r="N291" s="197"/>
      <c r="O291" s="197"/>
      <c r="P291" s="1094"/>
      <c r="Q291" s="197"/>
      <c r="R291" s="197"/>
      <c r="S291" s="197"/>
      <c r="T291" s="197"/>
      <c r="U291" s="1094"/>
      <c r="V291" s="197"/>
      <c r="W291" s="197"/>
      <c r="X291" s="197"/>
      <c r="Y291" s="197"/>
      <c r="Z291" s="1094"/>
      <c r="AA291" s="197"/>
      <c r="AB291" s="197"/>
      <c r="AC291" s="197"/>
      <c r="AD291" s="197"/>
      <c r="AE291" s="1094"/>
      <c r="AF291" s="197"/>
      <c r="AG291" s="197"/>
      <c r="AH291" s="197"/>
      <c r="AI291" s="197"/>
      <c r="AJ291" s="1094"/>
      <c r="AK291" s="197"/>
      <c r="AL291" s="197"/>
      <c r="AM291" s="197"/>
      <c r="AN291" s="197"/>
      <c r="AO291" s="1094"/>
      <c r="AP291" s="197"/>
      <c r="AQ291" s="197"/>
      <c r="AR291" s="197"/>
      <c r="AS291" s="197"/>
      <c r="AT291" s="198"/>
      <c r="AU291" s="194"/>
      <c r="AV291" s="194"/>
      <c r="AW291" s="194"/>
      <c r="AX291" s="194"/>
      <c r="AY291" s="198"/>
      <c r="AZ291" s="194"/>
      <c r="BA291" s="194"/>
      <c r="BB291" s="194"/>
      <c r="BC291" s="194"/>
      <c r="BD291" s="198"/>
      <c r="BE291" s="197"/>
      <c r="BF291" s="197"/>
      <c r="BG291" s="197"/>
      <c r="BH291" s="197"/>
      <c r="BI291" s="198"/>
      <c r="BJ291" s="197"/>
      <c r="BK291" s="197"/>
      <c r="BL291" s="197"/>
      <c r="BM291" s="197"/>
      <c r="BN291" s="198"/>
      <c r="BO291" s="197"/>
      <c r="BP291" s="197"/>
      <c r="BQ291" s="197"/>
      <c r="BR291" s="197"/>
      <c r="BS291" s="198"/>
      <c r="BT291" s="727"/>
      <c r="BU291" s="197"/>
      <c r="BV291" s="197"/>
      <c r="BW291" s="197"/>
      <c r="BX291" s="1094"/>
      <c r="BY291" s="197"/>
      <c r="BZ291" s="197"/>
      <c r="CA291" s="197"/>
      <c r="CB291" s="197"/>
      <c r="CC291" s="1094"/>
      <c r="CD291" s="1094"/>
      <c r="CE291" s="1094"/>
      <c r="CF291" s="1094"/>
      <c r="CG291" s="349"/>
    </row>
    <row r="292" spans="1:85" s="613" customFormat="1" x14ac:dyDescent="0.3">
      <c r="A292" s="478" t="s">
        <v>1834</v>
      </c>
      <c r="B292" s="523"/>
      <c r="C292" s="78"/>
      <c r="D292" s="78"/>
      <c r="E292" s="78"/>
      <c r="F292" s="78"/>
      <c r="G292" s="774"/>
      <c r="H292" s="774"/>
      <c r="I292" s="774"/>
      <c r="J292" s="774"/>
      <c r="K292" s="78"/>
      <c r="L292" s="774"/>
      <c r="M292" s="774"/>
      <c r="N292" s="774"/>
      <c r="O292" s="774"/>
      <c r="P292" s="78"/>
      <c r="Q292" s="774"/>
      <c r="R292" s="774"/>
      <c r="S292" s="774"/>
      <c r="T292" s="774"/>
      <c r="U292" s="78"/>
      <c r="V292" s="774"/>
      <c r="W292" s="774"/>
      <c r="X292" s="774"/>
      <c r="Y292" s="774"/>
      <c r="Z292" s="78"/>
      <c r="AA292" s="774"/>
      <c r="AB292" s="774"/>
      <c r="AC292" s="774"/>
      <c r="AD292" s="774"/>
      <c r="AE292" s="78"/>
      <c r="AF292" s="774"/>
      <c r="AG292" s="774"/>
      <c r="AH292" s="774"/>
      <c r="AI292" s="774"/>
      <c r="AJ292" s="78"/>
      <c r="AK292" s="774"/>
      <c r="AL292" s="774"/>
      <c r="AM292" s="774"/>
      <c r="AN292" s="774"/>
      <c r="AO292" s="78"/>
      <c r="AP292" s="774"/>
      <c r="AQ292" s="774"/>
      <c r="AR292" s="774"/>
      <c r="AS292" s="774"/>
      <c r="AT292" s="1119">
        <v>22.373000000000001</v>
      </c>
      <c r="AU292" s="774"/>
      <c r="AV292" s="774"/>
      <c r="AW292" s="774"/>
      <c r="AX292" s="774"/>
      <c r="AY292" s="1119">
        <v>22.373000000000001</v>
      </c>
      <c r="AZ292" s="774"/>
      <c r="BA292" s="774"/>
      <c r="BB292" s="774"/>
      <c r="BC292" s="774"/>
      <c r="BD292" s="1119">
        <v>22.373000000000001</v>
      </c>
      <c r="BE292" s="774"/>
      <c r="BF292" s="774"/>
      <c r="BG292" s="774"/>
      <c r="BH292" s="774"/>
      <c r="BI292" s="1119">
        <v>4.9390000000000001</v>
      </c>
      <c r="BJ292" s="774"/>
      <c r="BK292" s="774"/>
      <c r="BL292" s="774"/>
      <c r="BM292" s="774"/>
      <c r="BN292" s="1119">
        <v>4.9390000000000001</v>
      </c>
      <c r="BO292" s="774"/>
      <c r="BP292" s="774"/>
      <c r="BQ292" s="774"/>
      <c r="BR292" s="774"/>
      <c r="BS292" s="78"/>
      <c r="BT292" s="775"/>
      <c r="BU292" s="774"/>
      <c r="BV292" s="774"/>
      <c r="BW292" s="774"/>
      <c r="BX292" s="78"/>
      <c r="BY292" s="774"/>
      <c r="BZ292" s="774"/>
      <c r="CA292" s="774"/>
      <c r="CB292" s="774"/>
      <c r="CC292" s="78"/>
      <c r="CD292" s="78"/>
      <c r="CE292" s="78"/>
      <c r="CF292" s="78"/>
      <c r="CG292" s="532"/>
    </row>
    <row r="293" spans="1:85" s="615" customFormat="1" x14ac:dyDescent="0.3">
      <c r="A293" s="522" t="s">
        <v>1833</v>
      </c>
      <c r="B293" s="521"/>
      <c r="C293" s="1122"/>
      <c r="D293" s="1122"/>
      <c r="E293" s="1122"/>
      <c r="F293" s="1122"/>
      <c r="G293" s="520"/>
      <c r="H293" s="520"/>
      <c r="I293" s="520"/>
      <c r="J293" s="520"/>
      <c r="K293" s="1122"/>
      <c r="L293" s="520"/>
      <c r="M293" s="520"/>
      <c r="N293" s="520"/>
      <c r="O293" s="520"/>
      <c r="P293" s="1122"/>
      <c r="Q293" s="520"/>
      <c r="R293" s="520"/>
      <c r="S293" s="520"/>
      <c r="T293" s="520"/>
      <c r="U293" s="1122"/>
      <c r="V293" s="520"/>
      <c r="W293" s="520"/>
      <c r="X293" s="520"/>
      <c r="Y293" s="520"/>
      <c r="Z293" s="1122"/>
      <c r="AA293" s="520"/>
      <c r="AB293" s="520"/>
      <c r="AC293" s="520"/>
      <c r="AD293" s="520"/>
      <c r="AE293" s="1122"/>
      <c r="AF293" s="520"/>
      <c r="AG293" s="520"/>
      <c r="AH293" s="520"/>
      <c r="AI293" s="520"/>
      <c r="AJ293" s="1122"/>
      <c r="AK293" s="520"/>
      <c r="AL293" s="520"/>
      <c r="AM293" s="520"/>
      <c r="AN293" s="520"/>
      <c r="AO293" s="1122"/>
      <c r="AP293" s="520"/>
      <c r="AQ293" s="520"/>
      <c r="AR293" s="520"/>
      <c r="AS293" s="520"/>
      <c r="AT293" s="1123">
        <v>286.81</v>
      </c>
      <c r="AU293" s="526"/>
      <c r="AV293" s="526"/>
      <c r="AW293" s="526"/>
      <c r="AX293" s="526"/>
      <c r="AY293" s="1123">
        <v>286.81</v>
      </c>
      <c r="AZ293" s="526"/>
      <c r="BA293" s="526"/>
      <c r="BB293" s="526"/>
      <c r="BC293" s="526"/>
      <c r="BD293" s="1123">
        <v>286.81</v>
      </c>
      <c r="BE293" s="520"/>
      <c r="BF293" s="520"/>
      <c r="BG293" s="520"/>
      <c r="BH293" s="520"/>
      <c r="BI293" s="1123">
        <v>286.81</v>
      </c>
      <c r="BJ293" s="520"/>
      <c r="BK293" s="520"/>
      <c r="BL293" s="520"/>
      <c r="BM293" s="520"/>
      <c r="BN293" s="1123">
        <v>286.81</v>
      </c>
      <c r="BO293" s="520"/>
      <c r="BP293" s="520"/>
      <c r="BQ293" s="520"/>
      <c r="BR293" s="520"/>
      <c r="BS293" s="1124"/>
      <c r="BT293" s="728"/>
      <c r="BU293" s="520"/>
      <c r="BV293" s="520"/>
      <c r="BW293" s="520"/>
      <c r="BX293" s="1122"/>
      <c r="BY293" s="520"/>
      <c r="BZ293" s="520"/>
      <c r="CA293" s="520"/>
      <c r="CB293" s="520"/>
      <c r="CC293" s="1122"/>
      <c r="CD293" s="1122"/>
      <c r="CE293" s="1122"/>
      <c r="CF293" s="1122"/>
      <c r="CG293" s="519"/>
    </row>
    <row r="294" spans="1:85" s="614" customFormat="1" x14ac:dyDescent="0.3">
      <c r="A294" s="522"/>
      <c r="B294" s="352"/>
      <c r="C294" s="1094"/>
      <c r="D294" s="1094"/>
      <c r="E294" s="1094"/>
      <c r="F294" s="1094"/>
      <c r="G294" s="197"/>
      <c r="H294" s="197"/>
      <c r="I294" s="197"/>
      <c r="J294" s="197"/>
      <c r="K294" s="1094"/>
      <c r="L294" s="197"/>
      <c r="M294" s="197"/>
      <c r="N294" s="197"/>
      <c r="O294" s="197"/>
      <c r="P294" s="1094"/>
      <c r="Q294" s="197"/>
      <c r="R294" s="197"/>
      <c r="S294" s="197"/>
      <c r="T294" s="197"/>
      <c r="U294" s="1094"/>
      <c r="V294" s="197"/>
      <c r="W294" s="197"/>
      <c r="X294" s="197"/>
      <c r="Y294" s="197"/>
      <c r="Z294" s="1094"/>
      <c r="AA294" s="197"/>
      <c r="AB294" s="197"/>
      <c r="AC294" s="197"/>
      <c r="AD294" s="197"/>
      <c r="AE294" s="1094"/>
      <c r="AF294" s="197"/>
      <c r="AG294" s="197"/>
      <c r="AH294" s="197"/>
      <c r="AI294" s="197"/>
      <c r="AJ294" s="1094"/>
      <c r="AK294" s="197"/>
      <c r="AL294" s="197"/>
      <c r="AM294" s="197"/>
      <c r="AN294" s="197"/>
      <c r="AO294" s="1094"/>
      <c r="AP294" s="197"/>
      <c r="AQ294" s="197"/>
      <c r="AR294" s="197"/>
      <c r="AS294" s="197"/>
      <c r="AT294" s="198"/>
      <c r="AU294" s="194"/>
      <c r="AV294" s="194"/>
      <c r="AW294" s="194"/>
      <c r="AX294" s="194"/>
      <c r="AY294" s="198"/>
      <c r="AZ294" s="194"/>
      <c r="BA294" s="194"/>
      <c r="BB294" s="194"/>
      <c r="BC294" s="194"/>
      <c r="BD294" s="198"/>
      <c r="BE294" s="197"/>
      <c r="BF294" s="197"/>
      <c r="BG294" s="197"/>
      <c r="BH294" s="197"/>
      <c r="BI294" s="198"/>
      <c r="BJ294" s="197"/>
      <c r="BK294" s="197"/>
      <c r="BL294" s="197"/>
      <c r="BM294" s="197"/>
      <c r="BN294" s="198"/>
      <c r="BO294" s="197"/>
      <c r="BP294" s="197"/>
      <c r="BQ294" s="197"/>
      <c r="BR294" s="197"/>
      <c r="BS294" s="198"/>
      <c r="BT294" s="727"/>
      <c r="BU294" s="197"/>
      <c r="BV294" s="197"/>
      <c r="BW294" s="197"/>
      <c r="BX294" s="1094"/>
      <c r="BY294" s="197"/>
      <c r="BZ294" s="197"/>
      <c r="CA294" s="197"/>
      <c r="CB294" s="197"/>
      <c r="CC294" s="1094"/>
      <c r="CD294" s="1094"/>
      <c r="CE294" s="1094"/>
      <c r="CF294" s="1094"/>
      <c r="CG294" s="349"/>
    </row>
    <row r="295" spans="1:85" s="613" customFormat="1" x14ac:dyDescent="0.3">
      <c r="A295" s="478" t="s">
        <v>1832</v>
      </c>
      <c r="B295" s="523"/>
      <c r="C295" s="78"/>
      <c r="D295" s="78"/>
      <c r="E295" s="78"/>
      <c r="F295" s="78"/>
      <c r="G295" s="774"/>
      <c r="H295" s="774"/>
      <c r="I295" s="774"/>
      <c r="J295" s="774"/>
      <c r="K295" s="78"/>
      <c r="L295" s="774"/>
      <c r="M295" s="774"/>
      <c r="N295" s="774"/>
      <c r="O295" s="774"/>
      <c r="P295" s="78"/>
      <c r="Q295" s="774"/>
      <c r="R295" s="774"/>
      <c r="S295" s="774"/>
      <c r="T295" s="774"/>
      <c r="U295" s="78"/>
      <c r="V295" s="774"/>
      <c r="W295" s="774"/>
      <c r="X295" s="774"/>
      <c r="Y295" s="774"/>
      <c r="Z295" s="78"/>
      <c r="AA295" s="774"/>
      <c r="AB295" s="774"/>
      <c r="AC295" s="774"/>
      <c r="AD295" s="774"/>
      <c r="AE295" s="78"/>
      <c r="AF295" s="774"/>
      <c r="AG295" s="774"/>
      <c r="AH295" s="774"/>
      <c r="AI295" s="774"/>
      <c r="AJ295" s="78"/>
      <c r="AK295" s="774"/>
      <c r="AL295" s="774"/>
      <c r="AM295" s="774"/>
      <c r="AN295" s="774"/>
      <c r="AO295" s="78"/>
      <c r="AP295" s="774"/>
      <c r="AQ295" s="774"/>
      <c r="AR295" s="774"/>
      <c r="AS295" s="774"/>
      <c r="AT295" s="1119">
        <v>20.699000000000002</v>
      </c>
      <c r="AU295" s="774"/>
      <c r="AV295" s="774"/>
      <c r="AW295" s="774"/>
      <c r="AX295" s="774"/>
      <c r="AY295" s="1119">
        <v>20.699000000000002</v>
      </c>
      <c r="AZ295" s="774"/>
      <c r="BA295" s="774"/>
      <c r="BB295" s="774"/>
      <c r="BC295" s="774"/>
      <c r="BD295" s="1119">
        <v>20.699000000000002</v>
      </c>
      <c r="BE295" s="774"/>
      <c r="BF295" s="774"/>
      <c r="BG295" s="774"/>
      <c r="BH295" s="774"/>
      <c r="BI295" s="1119">
        <v>4.57</v>
      </c>
      <c r="BJ295" s="774"/>
      <c r="BK295" s="774"/>
      <c r="BL295" s="774"/>
      <c r="BM295" s="774"/>
      <c r="BN295" s="1119">
        <v>4.57</v>
      </c>
      <c r="BO295" s="774"/>
      <c r="BP295" s="774"/>
      <c r="BQ295" s="774"/>
      <c r="BR295" s="774"/>
      <c r="BS295" s="78"/>
      <c r="BT295" s="775"/>
      <c r="BU295" s="774"/>
      <c r="BV295" s="774"/>
      <c r="BW295" s="774"/>
      <c r="BX295" s="78"/>
      <c r="BY295" s="774"/>
      <c r="BZ295" s="774"/>
      <c r="CA295" s="774"/>
      <c r="CB295" s="774"/>
      <c r="CC295" s="78"/>
      <c r="CD295" s="78"/>
      <c r="CE295" s="78"/>
      <c r="CF295" s="78"/>
      <c r="CG295" s="532"/>
    </row>
    <row r="296" spans="1:85" s="615" customFormat="1" x14ac:dyDescent="0.3">
      <c r="A296" s="522" t="s">
        <v>1831</v>
      </c>
      <c r="B296" s="521"/>
      <c r="C296" s="1122"/>
      <c r="D296" s="1122"/>
      <c r="E296" s="1122"/>
      <c r="F296" s="1122"/>
      <c r="G296" s="520"/>
      <c r="H296" s="520"/>
      <c r="I296" s="520"/>
      <c r="J296" s="520"/>
      <c r="K296" s="1122"/>
      <c r="L296" s="520"/>
      <c r="M296" s="520"/>
      <c r="N296" s="520"/>
      <c r="O296" s="520"/>
      <c r="P296" s="1122"/>
      <c r="Q296" s="520"/>
      <c r="R296" s="520"/>
      <c r="S296" s="520"/>
      <c r="T296" s="520"/>
      <c r="U296" s="1122"/>
      <c r="V296" s="520"/>
      <c r="W296" s="520"/>
      <c r="X296" s="520"/>
      <c r="Y296" s="520"/>
      <c r="Z296" s="1122"/>
      <c r="AA296" s="520"/>
      <c r="AB296" s="520"/>
      <c r="AC296" s="520"/>
      <c r="AD296" s="520"/>
      <c r="AE296" s="1122"/>
      <c r="AF296" s="520"/>
      <c r="AG296" s="520"/>
      <c r="AH296" s="520"/>
      <c r="AI296" s="520"/>
      <c r="AJ296" s="1122"/>
      <c r="AK296" s="520"/>
      <c r="AL296" s="520"/>
      <c r="AM296" s="520"/>
      <c r="AN296" s="520"/>
      <c r="AO296" s="1122"/>
      <c r="AP296" s="520"/>
      <c r="AQ296" s="520"/>
      <c r="AR296" s="520"/>
      <c r="AS296" s="520"/>
      <c r="AT296" s="1123">
        <v>309.99</v>
      </c>
      <c r="AU296" s="526"/>
      <c r="AV296" s="526"/>
      <c r="AW296" s="526"/>
      <c r="AX296" s="526"/>
      <c r="AY296" s="1123">
        <v>309.99</v>
      </c>
      <c r="AZ296" s="526"/>
      <c r="BA296" s="526"/>
      <c r="BB296" s="526"/>
      <c r="BC296" s="526"/>
      <c r="BD296" s="1123">
        <v>309.99</v>
      </c>
      <c r="BE296" s="520"/>
      <c r="BF296" s="520"/>
      <c r="BG296" s="520"/>
      <c r="BH296" s="520"/>
      <c r="BI296" s="1123">
        <v>309.99</v>
      </c>
      <c r="BJ296" s="520"/>
      <c r="BK296" s="520"/>
      <c r="BL296" s="520"/>
      <c r="BM296" s="520"/>
      <c r="BN296" s="1123">
        <v>309.99</v>
      </c>
      <c r="BO296" s="520"/>
      <c r="BP296" s="520"/>
      <c r="BQ296" s="520"/>
      <c r="BR296" s="520"/>
      <c r="BS296" s="1124"/>
      <c r="BT296" s="728"/>
      <c r="BU296" s="520"/>
      <c r="BV296" s="520"/>
      <c r="BW296" s="520"/>
      <c r="BX296" s="1122"/>
      <c r="BY296" s="520"/>
      <c r="BZ296" s="520"/>
      <c r="CA296" s="520"/>
      <c r="CB296" s="520"/>
      <c r="CC296" s="1122"/>
      <c r="CD296" s="1122"/>
      <c r="CE296" s="1122"/>
      <c r="CF296" s="1122"/>
      <c r="CG296" s="519"/>
    </row>
    <row r="297" spans="1:85" s="614" customFormat="1" x14ac:dyDescent="0.3">
      <c r="A297" s="224"/>
      <c r="B297" s="352"/>
      <c r="C297" s="1094"/>
      <c r="D297" s="1094"/>
      <c r="E297" s="1094"/>
      <c r="F297" s="1094"/>
      <c r="G297" s="197"/>
      <c r="H297" s="197"/>
      <c r="I297" s="197"/>
      <c r="J297" s="197"/>
      <c r="K297" s="1094"/>
      <c r="L297" s="197"/>
      <c r="M297" s="197"/>
      <c r="N297" s="197"/>
      <c r="O297" s="197"/>
      <c r="P297" s="1094"/>
      <c r="Q297" s="197"/>
      <c r="R297" s="197"/>
      <c r="S297" s="197"/>
      <c r="T297" s="197"/>
      <c r="U297" s="1094"/>
      <c r="V297" s="197"/>
      <c r="W297" s="197"/>
      <c r="X297" s="197"/>
      <c r="Y297" s="197"/>
      <c r="Z297" s="1094"/>
      <c r="AA297" s="197"/>
      <c r="AB297" s="197"/>
      <c r="AC297" s="197"/>
      <c r="AD297" s="197"/>
      <c r="AE297" s="1094"/>
      <c r="AF297" s="197"/>
      <c r="AG297" s="197"/>
      <c r="AH297" s="197"/>
      <c r="AI297" s="197"/>
      <c r="AJ297" s="1094"/>
      <c r="AK297" s="197"/>
      <c r="AL297" s="197"/>
      <c r="AM297" s="197"/>
      <c r="AN297" s="197"/>
      <c r="AO297" s="1094"/>
      <c r="AP297" s="197"/>
      <c r="AQ297" s="197"/>
      <c r="AR297" s="197"/>
      <c r="AS297" s="197"/>
      <c r="AT297" s="198"/>
      <c r="AU297" s="194"/>
      <c r="AV297" s="194"/>
      <c r="AW297" s="194"/>
      <c r="AX297" s="194"/>
      <c r="AY297" s="198"/>
      <c r="AZ297" s="194"/>
      <c r="BA297" s="194"/>
      <c r="BB297" s="194"/>
      <c r="BC297" s="194"/>
      <c r="BD297" s="198"/>
      <c r="BE297" s="197"/>
      <c r="BF297" s="197"/>
      <c r="BG297" s="197"/>
      <c r="BH297" s="197"/>
      <c r="BI297" s="198"/>
      <c r="BJ297" s="197"/>
      <c r="BK297" s="197"/>
      <c r="BL297" s="197"/>
      <c r="BM297" s="197"/>
      <c r="BN297" s="198"/>
      <c r="BO297" s="197"/>
      <c r="BP297" s="197"/>
      <c r="BQ297" s="197"/>
      <c r="BR297" s="197"/>
      <c r="BS297" s="198"/>
      <c r="BT297" s="727"/>
      <c r="BU297" s="197"/>
      <c r="BV297" s="197"/>
      <c r="BW297" s="197"/>
      <c r="BX297" s="1094"/>
      <c r="BY297" s="197"/>
      <c r="BZ297" s="197"/>
      <c r="CA297" s="197"/>
      <c r="CB297" s="197"/>
      <c r="CC297" s="1094"/>
      <c r="CD297" s="1094"/>
      <c r="CE297" s="1094"/>
      <c r="CF297" s="1094"/>
      <c r="CG297" s="349"/>
    </row>
    <row r="298" spans="1:85" s="613" customFormat="1" x14ac:dyDescent="0.3">
      <c r="A298" s="478" t="s">
        <v>1830</v>
      </c>
      <c r="B298" s="523"/>
      <c r="C298" s="78"/>
      <c r="D298" s="78"/>
      <c r="E298" s="78"/>
      <c r="F298" s="78"/>
      <c r="G298" s="774"/>
      <c r="H298" s="774"/>
      <c r="I298" s="774"/>
      <c r="J298" s="774"/>
      <c r="K298" s="78"/>
      <c r="L298" s="774"/>
      <c r="M298" s="774"/>
      <c r="N298" s="774"/>
      <c r="O298" s="774"/>
      <c r="P298" s="78"/>
      <c r="Q298" s="774"/>
      <c r="R298" s="774"/>
      <c r="S298" s="774"/>
      <c r="T298" s="774"/>
      <c r="U298" s="78"/>
      <c r="V298" s="774"/>
      <c r="W298" s="774"/>
      <c r="X298" s="774"/>
      <c r="Y298" s="774"/>
      <c r="Z298" s="78"/>
      <c r="AA298" s="774"/>
      <c r="AB298" s="774"/>
      <c r="AC298" s="774"/>
      <c r="AD298" s="774"/>
      <c r="AE298" s="78"/>
      <c r="AF298" s="774"/>
      <c r="AG298" s="774"/>
      <c r="AH298" s="774"/>
      <c r="AI298" s="774"/>
      <c r="AJ298" s="78"/>
      <c r="AK298" s="774"/>
      <c r="AL298" s="774"/>
      <c r="AM298" s="774"/>
      <c r="AN298" s="774"/>
      <c r="AO298" s="78"/>
      <c r="AP298" s="774"/>
      <c r="AQ298" s="774"/>
      <c r="AR298" s="774"/>
      <c r="AS298" s="774"/>
      <c r="AT298" s="1119">
        <v>19.456</v>
      </c>
      <c r="AU298" s="774"/>
      <c r="AV298" s="774"/>
      <c r="AW298" s="774"/>
      <c r="AX298" s="774"/>
      <c r="AY298" s="1119">
        <v>19.456</v>
      </c>
      <c r="AZ298" s="774"/>
      <c r="BA298" s="774"/>
      <c r="BB298" s="774"/>
      <c r="BC298" s="774"/>
      <c r="BD298" s="1119">
        <v>19.456</v>
      </c>
      <c r="BE298" s="774"/>
      <c r="BF298" s="774"/>
      <c r="BG298" s="774"/>
      <c r="BH298" s="774"/>
      <c r="BI298" s="1119">
        <v>4.2960000000000003</v>
      </c>
      <c r="BJ298" s="774"/>
      <c r="BK298" s="774"/>
      <c r="BL298" s="774"/>
      <c r="BM298" s="774"/>
      <c r="BN298" s="1119">
        <v>4.2960000000000003</v>
      </c>
      <c r="BO298" s="774"/>
      <c r="BP298" s="774"/>
      <c r="BQ298" s="774"/>
      <c r="BR298" s="774"/>
      <c r="BS298" s="78"/>
      <c r="BT298" s="775"/>
      <c r="BU298" s="774"/>
      <c r="BV298" s="774"/>
      <c r="BW298" s="774"/>
      <c r="BX298" s="78"/>
      <c r="BY298" s="774"/>
      <c r="BZ298" s="774"/>
      <c r="CA298" s="774"/>
      <c r="CB298" s="774"/>
      <c r="CC298" s="78"/>
      <c r="CD298" s="78"/>
      <c r="CE298" s="78"/>
      <c r="CF298" s="78"/>
      <c r="CG298" s="532"/>
    </row>
    <row r="299" spans="1:85" s="615" customFormat="1" x14ac:dyDescent="0.3">
      <c r="A299" s="522" t="s">
        <v>1829</v>
      </c>
      <c r="B299" s="521"/>
      <c r="C299" s="1122"/>
      <c r="D299" s="1122"/>
      <c r="E299" s="1122"/>
      <c r="F299" s="1122"/>
      <c r="G299" s="520"/>
      <c r="H299" s="520"/>
      <c r="I299" s="520"/>
      <c r="J299" s="520"/>
      <c r="K299" s="1122"/>
      <c r="L299" s="520"/>
      <c r="M299" s="520"/>
      <c r="N299" s="520"/>
      <c r="O299" s="520"/>
      <c r="P299" s="1122"/>
      <c r="Q299" s="520"/>
      <c r="R299" s="520"/>
      <c r="S299" s="520"/>
      <c r="T299" s="520"/>
      <c r="U299" s="1122"/>
      <c r="V299" s="520"/>
      <c r="W299" s="520"/>
      <c r="X299" s="520"/>
      <c r="Y299" s="520"/>
      <c r="Z299" s="1122"/>
      <c r="AA299" s="520"/>
      <c r="AB299" s="520"/>
      <c r="AC299" s="520"/>
      <c r="AD299" s="520"/>
      <c r="AE299" s="1122"/>
      <c r="AF299" s="520"/>
      <c r="AG299" s="520"/>
      <c r="AH299" s="520"/>
      <c r="AI299" s="520"/>
      <c r="AJ299" s="1122"/>
      <c r="AK299" s="520"/>
      <c r="AL299" s="520"/>
      <c r="AM299" s="520"/>
      <c r="AN299" s="520"/>
      <c r="AO299" s="1122"/>
      <c r="AP299" s="520"/>
      <c r="AQ299" s="520"/>
      <c r="AR299" s="520"/>
      <c r="AS299" s="520"/>
      <c r="AT299" s="1123">
        <v>329.81</v>
      </c>
      <c r="AU299" s="526"/>
      <c r="AV299" s="526"/>
      <c r="AW299" s="526"/>
      <c r="AX299" s="526"/>
      <c r="AY299" s="1123">
        <v>329.81</v>
      </c>
      <c r="AZ299" s="526"/>
      <c r="BA299" s="526"/>
      <c r="BB299" s="526"/>
      <c r="BC299" s="526"/>
      <c r="BD299" s="1123">
        <v>329.81</v>
      </c>
      <c r="BE299" s="520"/>
      <c r="BF299" s="520"/>
      <c r="BG299" s="520"/>
      <c r="BH299" s="520"/>
      <c r="BI299" s="1123">
        <v>329.81</v>
      </c>
      <c r="BJ299" s="520"/>
      <c r="BK299" s="520"/>
      <c r="BL299" s="520"/>
      <c r="BM299" s="520"/>
      <c r="BN299" s="1123">
        <v>329.81</v>
      </c>
      <c r="BO299" s="520"/>
      <c r="BP299" s="520"/>
      <c r="BQ299" s="520"/>
      <c r="BR299" s="520"/>
      <c r="BS299" s="1124"/>
      <c r="BT299" s="728"/>
      <c r="BU299" s="520"/>
      <c r="BV299" s="520"/>
      <c r="BW299" s="520"/>
      <c r="BX299" s="1122"/>
      <c r="BY299" s="520"/>
      <c r="BZ299" s="520"/>
      <c r="CA299" s="520"/>
      <c r="CB299" s="520"/>
      <c r="CC299" s="1122"/>
      <c r="CD299" s="1122"/>
      <c r="CE299" s="1122"/>
      <c r="CF299" s="1122"/>
      <c r="CG299" s="519"/>
    </row>
    <row r="300" spans="1:85" s="614" customFormat="1" x14ac:dyDescent="0.3">
      <c r="A300" s="522"/>
      <c r="B300" s="352"/>
      <c r="C300" s="1094"/>
      <c r="D300" s="1094"/>
      <c r="E300" s="1094"/>
      <c r="F300" s="1094"/>
      <c r="G300" s="197"/>
      <c r="H300" s="197"/>
      <c r="I300" s="197"/>
      <c r="J300" s="197"/>
      <c r="K300" s="1094"/>
      <c r="L300" s="197"/>
      <c r="M300" s="197"/>
      <c r="N300" s="197"/>
      <c r="O300" s="197"/>
      <c r="P300" s="1094"/>
      <c r="Q300" s="197"/>
      <c r="R300" s="197"/>
      <c r="S300" s="197"/>
      <c r="T300" s="197"/>
      <c r="U300" s="1094"/>
      <c r="V300" s="197"/>
      <c r="W300" s="197"/>
      <c r="X300" s="197"/>
      <c r="Y300" s="197"/>
      <c r="Z300" s="1094"/>
      <c r="AA300" s="197"/>
      <c r="AB300" s="197"/>
      <c r="AC300" s="197"/>
      <c r="AD300" s="197"/>
      <c r="AE300" s="1094"/>
      <c r="AF300" s="197"/>
      <c r="AG300" s="197"/>
      <c r="AH300" s="197"/>
      <c r="AI300" s="197"/>
      <c r="AJ300" s="1094"/>
      <c r="AK300" s="197"/>
      <c r="AL300" s="197"/>
      <c r="AM300" s="197"/>
      <c r="AN300" s="197"/>
      <c r="AO300" s="1094"/>
      <c r="AP300" s="197"/>
      <c r="AQ300" s="197"/>
      <c r="AR300" s="197"/>
      <c r="AS300" s="197"/>
      <c r="AT300" s="198"/>
      <c r="AU300" s="194"/>
      <c r="AV300" s="194"/>
      <c r="AW300" s="194"/>
      <c r="AX300" s="194"/>
      <c r="AY300" s="198"/>
      <c r="AZ300" s="194"/>
      <c r="BA300" s="194"/>
      <c r="BB300" s="194"/>
      <c r="BC300" s="194"/>
      <c r="BD300" s="198"/>
      <c r="BE300" s="197"/>
      <c r="BF300" s="197"/>
      <c r="BG300" s="197"/>
      <c r="BH300" s="197"/>
      <c r="BI300" s="198"/>
      <c r="BJ300" s="197"/>
      <c r="BK300" s="197"/>
      <c r="BL300" s="197"/>
      <c r="BM300" s="197"/>
      <c r="BN300" s="198"/>
      <c r="BO300" s="197"/>
      <c r="BP300" s="197"/>
      <c r="BQ300" s="197"/>
      <c r="BR300" s="197"/>
      <c r="BS300" s="198"/>
      <c r="BT300" s="727"/>
      <c r="BU300" s="197"/>
      <c r="BV300" s="197"/>
      <c r="BW300" s="197"/>
      <c r="BX300" s="1094"/>
      <c r="BY300" s="197"/>
      <c r="BZ300" s="197"/>
      <c r="CA300" s="197"/>
      <c r="CB300" s="197"/>
      <c r="CC300" s="1094"/>
      <c r="CD300" s="1094"/>
      <c r="CE300" s="1094"/>
      <c r="CF300" s="1094"/>
      <c r="CG300" s="349"/>
    </row>
    <row r="301" spans="1:85" s="613" customFormat="1" x14ac:dyDescent="0.3">
      <c r="A301" s="478" t="s">
        <v>1828</v>
      </c>
      <c r="B301" s="523"/>
      <c r="C301" s="78"/>
      <c r="D301" s="78"/>
      <c r="E301" s="78"/>
      <c r="F301" s="78"/>
      <c r="G301" s="774"/>
      <c r="H301" s="774"/>
      <c r="I301" s="774"/>
      <c r="J301" s="774"/>
      <c r="K301" s="78"/>
      <c r="L301" s="774"/>
      <c r="M301" s="774"/>
      <c r="N301" s="774"/>
      <c r="O301" s="774"/>
      <c r="P301" s="78"/>
      <c r="Q301" s="774"/>
      <c r="R301" s="774"/>
      <c r="S301" s="774"/>
      <c r="T301" s="774"/>
      <c r="U301" s="78"/>
      <c r="V301" s="774"/>
      <c r="W301" s="774"/>
      <c r="X301" s="774"/>
      <c r="Y301" s="774"/>
      <c r="Z301" s="78"/>
      <c r="AA301" s="774"/>
      <c r="AB301" s="774"/>
      <c r="AC301" s="774"/>
      <c r="AD301" s="774"/>
      <c r="AE301" s="78"/>
      <c r="AF301" s="774"/>
      <c r="AG301" s="774"/>
      <c r="AH301" s="774"/>
      <c r="AI301" s="774"/>
      <c r="AJ301" s="78"/>
      <c r="AK301" s="774"/>
      <c r="AL301" s="774"/>
      <c r="AM301" s="774"/>
      <c r="AN301" s="774"/>
      <c r="AO301" s="78"/>
      <c r="AP301" s="774"/>
      <c r="AQ301" s="774"/>
      <c r="AR301" s="774"/>
      <c r="AS301" s="774"/>
      <c r="AT301" s="1119">
        <v>19.786000000000001</v>
      </c>
      <c r="AU301" s="774"/>
      <c r="AV301" s="774"/>
      <c r="AW301" s="774"/>
      <c r="AX301" s="774"/>
      <c r="AY301" s="1119">
        <v>19.786000000000001</v>
      </c>
      <c r="AZ301" s="774"/>
      <c r="BA301" s="774"/>
      <c r="BB301" s="774"/>
      <c r="BC301" s="774"/>
      <c r="BD301" s="1119">
        <v>19.786000000000001</v>
      </c>
      <c r="BE301" s="774"/>
      <c r="BF301" s="774"/>
      <c r="BG301" s="774"/>
      <c r="BH301" s="774"/>
      <c r="BI301" s="1119">
        <v>4.0149999999999997</v>
      </c>
      <c r="BJ301" s="774"/>
      <c r="BK301" s="774"/>
      <c r="BL301" s="774"/>
      <c r="BM301" s="774"/>
      <c r="BN301" s="1119">
        <v>4.0149999999999997</v>
      </c>
      <c r="BO301" s="774"/>
      <c r="BP301" s="774"/>
      <c r="BQ301" s="774"/>
      <c r="BR301" s="774"/>
      <c r="BS301" s="78"/>
      <c r="BT301" s="775"/>
      <c r="BU301" s="774"/>
      <c r="BV301" s="774"/>
      <c r="BW301" s="774"/>
      <c r="BX301" s="78"/>
      <c r="BY301" s="774"/>
      <c r="BZ301" s="774"/>
      <c r="CA301" s="774"/>
      <c r="CB301" s="774"/>
      <c r="CC301" s="78"/>
      <c r="CD301" s="78"/>
      <c r="CE301" s="78"/>
      <c r="CF301" s="78"/>
      <c r="CG301" s="532"/>
    </row>
    <row r="302" spans="1:85" s="615" customFormat="1" x14ac:dyDescent="0.3">
      <c r="A302" s="522" t="s">
        <v>1827</v>
      </c>
      <c r="B302" s="521"/>
      <c r="C302" s="1122"/>
      <c r="D302" s="1122"/>
      <c r="E302" s="1122"/>
      <c r="F302" s="1122"/>
      <c r="G302" s="520"/>
      <c r="H302" s="520"/>
      <c r="I302" s="520"/>
      <c r="J302" s="520"/>
      <c r="K302" s="1122"/>
      <c r="L302" s="520"/>
      <c r="M302" s="520"/>
      <c r="N302" s="520"/>
      <c r="O302" s="520"/>
      <c r="P302" s="1122"/>
      <c r="Q302" s="520"/>
      <c r="R302" s="520"/>
      <c r="S302" s="520"/>
      <c r="T302" s="520"/>
      <c r="U302" s="1122"/>
      <c r="V302" s="520"/>
      <c r="W302" s="520"/>
      <c r="X302" s="520"/>
      <c r="Y302" s="520"/>
      <c r="Z302" s="1122"/>
      <c r="AA302" s="520"/>
      <c r="AB302" s="520"/>
      <c r="AC302" s="520"/>
      <c r="AD302" s="520"/>
      <c r="AE302" s="1122"/>
      <c r="AF302" s="520"/>
      <c r="AG302" s="520"/>
      <c r="AH302" s="520"/>
      <c r="AI302" s="520"/>
      <c r="AJ302" s="1122"/>
      <c r="AK302" s="520"/>
      <c r="AL302" s="520"/>
      <c r="AM302" s="520"/>
      <c r="AN302" s="520"/>
      <c r="AO302" s="1122"/>
      <c r="AP302" s="520"/>
      <c r="AQ302" s="520"/>
      <c r="AR302" s="520"/>
      <c r="AS302" s="520"/>
      <c r="AT302" s="1123">
        <v>358</v>
      </c>
      <c r="AU302" s="526"/>
      <c r="AV302" s="526"/>
      <c r="AW302" s="526"/>
      <c r="AX302" s="526"/>
      <c r="AY302" s="1123">
        <v>358</v>
      </c>
      <c r="AZ302" s="526"/>
      <c r="BA302" s="526"/>
      <c r="BB302" s="526"/>
      <c r="BC302" s="526"/>
      <c r="BD302" s="1123">
        <v>358</v>
      </c>
      <c r="BE302" s="520"/>
      <c r="BF302" s="520"/>
      <c r="BG302" s="520"/>
      <c r="BH302" s="520"/>
      <c r="BI302" s="1123">
        <v>358</v>
      </c>
      <c r="BJ302" s="520"/>
      <c r="BK302" s="520"/>
      <c r="BL302" s="520"/>
      <c r="BM302" s="520"/>
      <c r="BN302" s="1123">
        <v>358</v>
      </c>
      <c r="BO302" s="520"/>
      <c r="BP302" s="520"/>
      <c r="BQ302" s="520"/>
      <c r="BR302" s="520"/>
      <c r="BS302" s="1124"/>
      <c r="BT302" s="728"/>
      <c r="BU302" s="520"/>
      <c r="BV302" s="520"/>
      <c r="BW302" s="520"/>
      <c r="BX302" s="1122"/>
      <c r="BY302" s="520"/>
      <c r="BZ302" s="520"/>
      <c r="CA302" s="520"/>
      <c r="CB302" s="520"/>
      <c r="CC302" s="1122"/>
      <c r="CD302" s="1122"/>
      <c r="CE302" s="1122"/>
      <c r="CF302" s="1122"/>
      <c r="CG302" s="519"/>
    </row>
    <row r="303" spans="1:85" s="614" customFormat="1" x14ac:dyDescent="0.3">
      <c r="A303" s="522"/>
      <c r="B303" s="352"/>
      <c r="C303" s="1094"/>
      <c r="D303" s="1094"/>
      <c r="E303" s="1094"/>
      <c r="F303" s="1094"/>
      <c r="G303" s="197"/>
      <c r="H303" s="197"/>
      <c r="I303" s="197"/>
      <c r="J303" s="197"/>
      <c r="K303" s="1094"/>
      <c r="L303" s="197"/>
      <c r="M303" s="197"/>
      <c r="N303" s="197"/>
      <c r="O303" s="197"/>
      <c r="P303" s="1094"/>
      <c r="Q303" s="197"/>
      <c r="R303" s="197"/>
      <c r="S303" s="197"/>
      <c r="T303" s="197"/>
      <c r="U303" s="1094"/>
      <c r="V303" s="197"/>
      <c r="W303" s="197"/>
      <c r="X303" s="197"/>
      <c r="Y303" s="197"/>
      <c r="Z303" s="1094"/>
      <c r="AA303" s="197"/>
      <c r="AB303" s="197"/>
      <c r="AC303" s="197"/>
      <c r="AD303" s="197"/>
      <c r="AE303" s="1094"/>
      <c r="AF303" s="197"/>
      <c r="AG303" s="197"/>
      <c r="AH303" s="197"/>
      <c r="AI303" s="197"/>
      <c r="AJ303" s="1094"/>
      <c r="AK303" s="197"/>
      <c r="AL303" s="197"/>
      <c r="AM303" s="197"/>
      <c r="AN303" s="197"/>
      <c r="AO303" s="1094"/>
      <c r="AP303" s="197"/>
      <c r="AQ303" s="197"/>
      <c r="AR303" s="197"/>
      <c r="AS303" s="197"/>
      <c r="AT303" s="198"/>
      <c r="AU303" s="194"/>
      <c r="AV303" s="194"/>
      <c r="AW303" s="194"/>
      <c r="AX303" s="194"/>
      <c r="AY303" s="198"/>
      <c r="AZ303" s="194"/>
      <c r="BA303" s="194"/>
      <c r="BB303" s="194"/>
      <c r="BC303" s="194"/>
      <c r="BD303" s="198"/>
      <c r="BE303" s="197"/>
      <c r="BF303" s="197"/>
      <c r="BG303" s="197"/>
      <c r="BH303" s="197"/>
      <c r="BI303" s="198"/>
      <c r="BJ303" s="197"/>
      <c r="BK303" s="197"/>
      <c r="BL303" s="197"/>
      <c r="BM303" s="197"/>
      <c r="BN303" s="198"/>
      <c r="BO303" s="197"/>
      <c r="BP303" s="197"/>
      <c r="BQ303" s="197"/>
      <c r="BR303" s="197"/>
      <c r="BS303" s="198"/>
      <c r="BT303" s="727"/>
      <c r="BU303" s="197"/>
      <c r="BV303" s="197"/>
      <c r="BW303" s="197"/>
      <c r="BX303" s="1094"/>
      <c r="BY303" s="197"/>
      <c r="BZ303" s="197"/>
      <c r="CA303" s="197"/>
      <c r="CB303" s="197"/>
      <c r="CC303" s="1094"/>
      <c r="CD303" s="1094"/>
      <c r="CE303" s="1094"/>
      <c r="CF303" s="1094"/>
      <c r="CG303" s="349"/>
    </row>
    <row r="304" spans="1:85" s="613" customFormat="1" x14ac:dyDescent="0.3">
      <c r="A304" s="478" t="s">
        <v>1826</v>
      </c>
      <c r="B304" s="523"/>
      <c r="C304" s="78"/>
      <c r="D304" s="78"/>
      <c r="E304" s="78"/>
      <c r="F304" s="78"/>
      <c r="G304" s="774"/>
      <c r="H304" s="774"/>
      <c r="I304" s="774"/>
      <c r="J304" s="774"/>
      <c r="K304" s="78"/>
      <c r="L304" s="774"/>
      <c r="M304" s="774"/>
      <c r="N304" s="774"/>
      <c r="O304" s="774"/>
      <c r="P304" s="78"/>
      <c r="Q304" s="774"/>
      <c r="R304" s="774"/>
      <c r="S304" s="774"/>
      <c r="T304" s="774"/>
      <c r="U304" s="78"/>
      <c r="V304" s="774"/>
      <c r="W304" s="774"/>
      <c r="X304" s="774"/>
      <c r="Y304" s="774"/>
      <c r="Z304" s="78"/>
      <c r="AA304" s="774"/>
      <c r="AB304" s="774"/>
      <c r="AC304" s="774"/>
      <c r="AD304" s="774"/>
      <c r="AE304" s="78"/>
      <c r="AF304" s="774"/>
      <c r="AG304" s="774"/>
      <c r="AH304" s="774"/>
      <c r="AI304" s="774"/>
      <c r="AJ304" s="78"/>
      <c r="AK304" s="774"/>
      <c r="AL304" s="774"/>
      <c r="AM304" s="774"/>
      <c r="AN304" s="774"/>
      <c r="AO304" s="78"/>
      <c r="AP304" s="774"/>
      <c r="AQ304" s="774"/>
      <c r="AR304" s="774"/>
      <c r="AS304" s="774"/>
      <c r="AT304" s="1119">
        <v>18.588999999999999</v>
      </c>
      <c r="AU304" s="774"/>
      <c r="AV304" s="774"/>
      <c r="AW304" s="774"/>
      <c r="AX304" s="774"/>
      <c r="AY304" s="1119">
        <v>18.588999999999999</v>
      </c>
      <c r="AZ304" s="774"/>
      <c r="BA304" s="774"/>
      <c r="BB304" s="774"/>
      <c r="BC304" s="774"/>
      <c r="BD304" s="1119">
        <v>18.588999999999999</v>
      </c>
      <c r="BE304" s="774"/>
      <c r="BF304" s="774"/>
      <c r="BG304" s="774"/>
      <c r="BH304" s="774"/>
      <c r="BI304" s="1119">
        <v>3.7719999999999998</v>
      </c>
      <c r="BJ304" s="774"/>
      <c r="BK304" s="774"/>
      <c r="BL304" s="774"/>
      <c r="BM304" s="774"/>
      <c r="BN304" s="1119">
        <v>3.7719999999999998</v>
      </c>
      <c r="BO304" s="774"/>
      <c r="BP304" s="774"/>
      <c r="BQ304" s="774"/>
      <c r="BR304" s="774"/>
      <c r="BS304" s="78"/>
      <c r="BT304" s="775"/>
      <c r="BU304" s="774"/>
      <c r="BV304" s="774"/>
      <c r="BW304" s="774"/>
      <c r="BX304" s="78"/>
      <c r="BY304" s="774"/>
      <c r="BZ304" s="774"/>
      <c r="CA304" s="774"/>
      <c r="CB304" s="774"/>
      <c r="CC304" s="78"/>
      <c r="CD304" s="78"/>
      <c r="CE304" s="78"/>
      <c r="CF304" s="78"/>
      <c r="CG304" s="532"/>
    </row>
    <row r="305" spans="1:85" s="615" customFormat="1" x14ac:dyDescent="0.3">
      <c r="A305" s="522" t="s">
        <v>1825</v>
      </c>
      <c r="B305" s="521"/>
      <c r="C305" s="1122"/>
      <c r="D305" s="1122"/>
      <c r="E305" s="1122"/>
      <c r="F305" s="1122"/>
      <c r="G305" s="520"/>
      <c r="H305" s="520"/>
      <c r="I305" s="520"/>
      <c r="J305" s="520"/>
      <c r="K305" s="1122"/>
      <c r="L305" s="520"/>
      <c r="M305" s="520"/>
      <c r="N305" s="520"/>
      <c r="O305" s="520"/>
      <c r="P305" s="1122"/>
      <c r="Q305" s="520"/>
      <c r="R305" s="520"/>
      <c r="S305" s="520"/>
      <c r="T305" s="520"/>
      <c r="U305" s="1122"/>
      <c r="V305" s="520"/>
      <c r="W305" s="520"/>
      <c r="X305" s="520"/>
      <c r="Y305" s="520"/>
      <c r="Z305" s="1122"/>
      <c r="AA305" s="520"/>
      <c r="AB305" s="520"/>
      <c r="AC305" s="520"/>
      <c r="AD305" s="520"/>
      <c r="AE305" s="1122"/>
      <c r="AF305" s="520"/>
      <c r="AG305" s="520"/>
      <c r="AH305" s="520"/>
      <c r="AI305" s="520"/>
      <c r="AJ305" s="1122"/>
      <c r="AK305" s="520"/>
      <c r="AL305" s="520"/>
      <c r="AM305" s="520"/>
      <c r="AN305" s="520"/>
      <c r="AO305" s="1122"/>
      <c r="AP305" s="520"/>
      <c r="AQ305" s="520"/>
      <c r="AR305" s="520"/>
      <c r="AS305" s="520"/>
      <c r="AT305" s="1123">
        <v>381.05</v>
      </c>
      <c r="AU305" s="526"/>
      <c r="AV305" s="526"/>
      <c r="AW305" s="526"/>
      <c r="AX305" s="526"/>
      <c r="AY305" s="1123">
        <v>381.05</v>
      </c>
      <c r="AZ305" s="526"/>
      <c r="BA305" s="526"/>
      <c r="BB305" s="526"/>
      <c r="BC305" s="526"/>
      <c r="BD305" s="1123">
        <v>381.05</v>
      </c>
      <c r="BE305" s="520"/>
      <c r="BF305" s="520"/>
      <c r="BG305" s="520"/>
      <c r="BH305" s="520"/>
      <c r="BI305" s="1123">
        <v>381.05</v>
      </c>
      <c r="BJ305" s="520"/>
      <c r="BK305" s="520"/>
      <c r="BL305" s="520"/>
      <c r="BM305" s="520"/>
      <c r="BN305" s="1123">
        <v>381.05</v>
      </c>
      <c r="BO305" s="520"/>
      <c r="BP305" s="520"/>
      <c r="BQ305" s="520"/>
      <c r="BR305" s="520"/>
      <c r="BS305" s="1124"/>
      <c r="BT305" s="728"/>
      <c r="BU305" s="520"/>
      <c r="BV305" s="520"/>
      <c r="BW305" s="520"/>
      <c r="BX305" s="1122"/>
      <c r="BY305" s="520"/>
      <c r="BZ305" s="520"/>
      <c r="CA305" s="520"/>
      <c r="CB305" s="520"/>
      <c r="CC305" s="1122"/>
      <c r="CD305" s="1122"/>
      <c r="CE305" s="1122"/>
      <c r="CF305" s="1122"/>
      <c r="CG305" s="519"/>
    </row>
    <row r="306" spans="1:85" s="614" customFormat="1" x14ac:dyDescent="0.3">
      <c r="A306" s="522"/>
      <c r="B306" s="352"/>
      <c r="C306" s="1094"/>
      <c r="D306" s="1094"/>
      <c r="E306" s="1094"/>
      <c r="F306" s="1094"/>
      <c r="G306" s="197"/>
      <c r="H306" s="197"/>
      <c r="I306" s="197"/>
      <c r="J306" s="197"/>
      <c r="K306" s="1094"/>
      <c r="L306" s="197"/>
      <c r="M306" s="197"/>
      <c r="N306" s="197"/>
      <c r="O306" s="197"/>
      <c r="P306" s="1094"/>
      <c r="Q306" s="197"/>
      <c r="R306" s="197"/>
      <c r="S306" s="197"/>
      <c r="T306" s="197"/>
      <c r="U306" s="1094"/>
      <c r="V306" s="197"/>
      <c r="W306" s="197"/>
      <c r="X306" s="197"/>
      <c r="Y306" s="197"/>
      <c r="Z306" s="1094"/>
      <c r="AA306" s="197"/>
      <c r="AB306" s="197"/>
      <c r="AC306" s="197"/>
      <c r="AD306" s="197"/>
      <c r="AE306" s="1094"/>
      <c r="AF306" s="197"/>
      <c r="AG306" s="197"/>
      <c r="AH306" s="197"/>
      <c r="AI306" s="197"/>
      <c r="AJ306" s="1094"/>
      <c r="AK306" s="197"/>
      <c r="AL306" s="197"/>
      <c r="AM306" s="197"/>
      <c r="AN306" s="197"/>
      <c r="AO306" s="1094"/>
      <c r="AP306" s="197"/>
      <c r="AQ306" s="197"/>
      <c r="AR306" s="197"/>
      <c r="AS306" s="197"/>
      <c r="AT306" s="198"/>
      <c r="AU306" s="194"/>
      <c r="AV306" s="194"/>
      <c r="AW306" s="194"/>
      <c r="AX306" s="194"/>
      <c r="AY306" s="198"/>
      <c r="AZ306" s="194"/>
      <c r="BA306" s="194"/>
      <c r="BB306" s="194"/>
      <c r="BC306" s="194"/>
      <c r="BD306" s="198"/>
      <c r="BE306" s="197"/>
      <c r="BF306" s="197"/>
      <c r="BG306" s="197"/>
      <c r="BH306" s="197"/>
      <c r="BI306" s="198"/>
      <c r="BJ306" s="197"/>
      <c r="BK306" s="197"/>
      <c r="BL306" s="197"/>
      <c r="BM306" s="197"/>
      <c r="BN306" s="198"/>
      <c r="BO306" s="197"/>
      <c r="BP306" s="197"/>
      <c r="BQ306" s="197"/>
      <c r="BR306" s="197"/>
      <c r="BS306" s="198"/>
      <c r="BT306" s="727"/>
      <c r="BU306" s="197"/>
      <c r="BV306" s="197"/>
      <c r="BW306" s="197"/>
      <c r="BX306" s="1094"/>
      <c r="BY306" s="197"/>
      <c r="BZ306" s="197"/>
      <c r="CA306" s="197"/>
      <c r="CB306" s="197"/>
      <c r="CC306" s="1094"/>
      <c r="CD306" s="1094"/>
      <c r="CE306" s="1094"/>
      <c r="CF306" s="1094"/>
      <c r="CG306" s="349"/>
    </row>
    <row r="307" spans="1:85" s="613" customFormat="1" x14ac:dyDescent="0.3">
      <c r="A307" s="478" t="s">
        <v>1824</v>
      </c>
      <c r="B307" s="523"/>
      <c r="C307" s="78"/>
      <c r="D307" s="78"/>
      <c r="E307" s="78"/>
      <c r="F307" s="78"/>
      <c r="G307" s="774"/>
      <c r="H307" s="774"/>
      <c r="I307" s="774"/>
      <c r="J307" s="774"/>
      <c r="K307" s="78"/>
      <c r="L307" s="774"/>
      <c r="M307" s="774"/>
      <c r="N307" s="774"/>
      <c r="O307" s="774"/>
      <c r="P307" s="78"/>
      <c r="Q307" s="774"/>
      <c r="R307" s="774"/>
      <c r="S307" s="774"/>
      <c r="T307" s="774"/>
      <c r="U307" s="78"/>
      <c r="V307" s="774"/>
      <c r="W307" s="774"/>
      <c r="X307" s="774"/>
      <c r="Y307" s="774"/>
      <c r="Z307" s="78"/>
      <c r="AA307" s="774"/>
      <c r="AB307" s="774"/>
      <c r="AC307" s="774"/>
      <c r="AD307" s="774"/>
      <c r="AE307" s="78"/>
      <c r="AF307" s="774"/>
      <c r="AG307" s="774"/>
      <c r="AH307" s="774"/>
      <c r="AI307" s="774"/>
      <c r="AJ307" s="78"/>
      <c r="AK307" s="774"/>
      <c r="AL307" s="774"/>
      <c r="AM307" s="774"/>
      <c r="AN307" s="774"/>
      <c r="AO307" s="78"/>
      <c r="AP307" s="774"/>
      <c r="AQ307" s="774"/>
      <c r="AR307" s="774"/>
      <c r="AS307" s="774"/>
      <c r="AT307" s="1119">
        <v>19.454999999999998</v>
      </c>
      <c r="AU307" s="774"/>
      <c r="AV307" s="774"/>
      <c r="AW307" s="774"/>
      <c r="AX307" s="774"/>
      <c r="AY307" s="1119">
        <v>19.454999999999998</v>
      </c>
      <c r="AZ307" s="774"/>
      <c r="BA307" s="774"/>
      <c r="BB307" s="774"/>
      <c r="BC307" s="774"/>
      <c r="BD307" s="1119">
        <v>19.454999999999998</v>
      </c>
      <c r="BE307" s="774"/>
      <c r="BF307" s="774"/>
      <c r="BG307" s="774"/>
      <c r="BH307" s="774"/>
      <c r="BI307" s="1119">
        <v>3.9489999999999998</v>
      </c>
      <c r="BJ307" s="774"/>
      <c r="BK307" s="774"/>
      <c r="BL307" s="774"/>
      <c r="BM307" s="774"/>
      <c r="BN307" s="1119">
        <v>3.9489999999999998</v>
      </c>
      <c r="BO307" s="774"/>
      <c r="BP307" s="774"/>
      <c r="BQ307" s="774"/>
      <c r="BR307" s="774"/>
      <c r="BS307" s="78"/>
      <c r="BT307" s="775"/>
      <c r="BU307" s="774"/>
      <c r="BV307" s="774"/>
      <c r="BW307" s="774"/>
      <c r="BX307" s="78"/>
      <c r="BY307" s="774"/>
      <c r="BZ307" s="774"/>
      <c r="CA307" s="774"/>
      <c r="CB307" s="774"/>
      <c r="CC307" s="78"/>
      <c r="CD307" s="78"/>
      <c r="CE307" s="78"/>
      <c r="CF307" s="78"/>
      <c r="CG307" s="532"/>
    </row>
    <row r="308" spans="1:85" s="615" customFormat="1" x14ac:dyDescent="0.3">
      <c r="A308" s="522" t="s">
        <v>1823</v>
      </c>
      <c r="B308" s="521"/>
      <c r="C308" s="1122"/>
      <c r="D308" s="1122"/>
      <c r="E308" s="1122"/>
      <c r="F308" s="1122"/>
      <c r="G308" s="520"/>
      <c r="H308" s="520"/>
      <c r="I308" s="520"/>
      <c r="J308" s="520"/>
      <c r="K308" s="1122"/>
      <c r="L308" s="520"/>
      <c r="M308" s="520"/>
      <c r="N308" s="520"/>
      <c r="O308" s="520"/>
      <c r="P308" s="1122"/>
      <c r="Q308" s="520"/>
      <c r="R308" s="520"/>
      <c r="S308" s="520"/>
      <c r="T308" s="520"/>
      <c r="U308" s="1122"/>
      <c r="V308" s="520"/>
      <c r="W308" s="520"/>
      <c r="X308" s="520"/>
      <c r="Y308" s="520"/>
      <c r="Z308" s="1122"/>
      <c r="AA308" s="520"/>
      <c r="AB308" s="520"/>
      <c r="AC308" s="520"/>
      <c r="AD308" s="520"/>
      <c r="AE308" s="1122"/>
      <c r="AF308" s="520"/>
      <c r="AG308" s="520"/>
      <c r="AH308" s="520"/>
      <c r="AI308" s="520"/>
      <c r="AJ308" s="1122"/>
      <c r="AK308" s="520"/>
      <c r="AL308" s="520"/>
      <c r="AM308" s="520"/>
      <c r="AN308" s="520"/>
      <c r="AO308" s="1122"/>
      <c r="AP308" s="520"/>
      <c r="AQ308" s="520"/>
      <c r="AR308" s="520"/>
      <c r="AS308" s="520"/>
      <c r="AT308" s="1123">
        <v>364.08</v>
      </c>
      <c r="AU308" s="526"/>
      <c r="AV308" s="526"/>
      <c r="AW308" s="526"/>
      <c r="AX308" s="526"/>
      <c r="AY308" s="1123">
        <v>364.08</v>
      </c>
      <c r="AZ308" s="526"/>
      <c r="BA308" s="526"/>
      <c r="BB308" s="526"/>
      <c r="BC308" s="526"/>
      <c r="BD308" s="1123">
        <v>364.08</v>
      </c>
      <c r="BE308" s="520"/>
      <c r="BF308" s="520"/>
      <c r="BG308" s="520"/>
      <c r="BH308" s="520"/>
      <c r="BI308" s="1123">
        <v>364.08</v>
      </c>
      <c r="BJ308" s="520"/>
      <c r="BK308" s="520"/>
      <c r="BL308" s="520"/>
      <c r="BM308" s="520"/>
      <c r="BN308" s="1123">
        <v>364.08</v>
      </c>
      <c r="BO308" s="520"/>
      <c r="BP308" s="520"/>
      <c r="BQ308" s="520"/>
      <c r="BR308" s="520"/>
      <c r="BS308" s="1124"/>
      <c r="BT308" s="728"/>
      <c r="BU308" s="520"/>
      <c r="BV308" s="520"/>
      <c r="BW308" s="520"/>
      <c r="BX308" s="1122"/>
      <c r="BY308" s="520"/>
      <c r="BZ308" s="520"/>
      <c r="CA308" s="520"/>
      <c r="CB308" s="520"/>
      <c r="CC308" s="1122"/>
      <c r="CD308" s="1122"/>
      <c r="CE308" s="1122"/>
      <c r="CF308" s="1122"/>
      <c r="CG308" s="519"/>
    </row>
    <row r="309" spans="1:85" s="614" customFormat="1" x14ac:dyDescent="0.3">
      <c r="A309" s="522"/>
      <c r="B309" s="352"/>
      <c r="C309" s="1094"/>
      <c r="D309" s="1094"/>
      <c r="E309" s="1094"/>
      <c r="F309" s="1094"/>
      <c r="G309" s="197"/>
      <c r="H309" s="197"/>
      <c r="I309" s="197"/>
      <c r="J309" s="197"/>
      <c r="K309" s="1094"/>
      <c r="L309" s="197"/>
      <c r="M309" s="197"/>
      <c r="N309" s="197"/>
      <c r="O309" s="197"/>
      <c r="P309" s="1094"/>
      <c r="Q309" s="197"/>
      <c r="R309" s="197"/>
      <c r="S309" s="197"/>
      <c r="T309" s="197"/>
      <c r="U309" s="1094"/>
      <c r="V309" s="197"/>
      <c r="W309" s="197"/>
      <c r="X309" s="197"/>
      <c r="Y309" s="197"/>
      <c r="Z309" s="1094"/>
      <c r="AA309" s="197"/>
      <c r="AB309" s="197"/>
      <c r="AC309" s="197"/>
      <c r="AD309" s="197"/>
      <c r="AE309" s="1094"/>
      <c r="AF309" s="197"/>
      <c r="AG309" s="197"/>
      <c r="AH309" s="197"/>
      <c r="AI309" s="197"/>
      <c r="AJ309" s="1094"/>
      <c r="AK309" s="197"/>
      <c r="AL309" s="197"/>
      <c r="AM309" s="197"/>
      <c r="AN309" s="197"/>
      <c r="AO309" s="1094"/>
      <c r="AP309" s="197"/>
      <c r="AQ309" s="197"/>
      <c r="AR309" s="197"/>
      <c r="AS309" s="197"/>
      <c r="AT309" s="198"/>
      <c r="AU309" s="194"/>
      <c r="AV309" s="194"/>
      <c r="AW309" s="194"/>
      <c r="AX309" s="194"/>
      <c r="AY309" s="198"/>
      <c r="AZ309" s="194"/>
      <c r="BA309" s="194"/>
      <c r="BB309" s="194"/>
      <c r="BC309" s="194"/>
      <c r="BD309" s="198"/>
      <c r="BE309" s="197"/>
      <c r="BF309" s="197"/>
      <c r="BG309" s="197"/>
      <c r="BH309" s="197"/>
      <c r="BI309" s="198"/>
      <c r="BJ309" s="197"/>
      <c r="BK309" s="197"/>
      <c r="BL309" s="197"/>
      <c r="BM309" s="197"/>
      <c r="BN309" s="198"/>
      <c r="BO309" s="197"/>
      <c r="BP309" s="197"/>
      <c r="BQ309" s="197"/>
      <c r="BR309" s="197"/>
      <c r="BS309" s="198"/>
      <c r="BT309" s="727"/>
      <c r="BU309" s="197"/>
      <c r="BV309" s="197"/>
      <c r="BW309" s="197"/>
      <c r="BX309" s="1094"/>
      <c r="BY309" s="197"/>
      <c r="BZ309" s="197"/>
      <c r="CA309" s="197"/>
      <c r="CB309" s="197"/>
      <c r="CC309" s="1094"/>
      <c r="CD309" s="1094"/>
      <c r="CE309" s="1094"/>
      <c r="CF309" s="1094"/>
      <c r="CG309" s="349"/>
    </row>
    <row r="310" spans="1:85" s="613" customFormat="1" x14ac:dyDescent="0.3">
      <c r="A310" s="478" t="s">
        <v>1822</v>
      </c>
      <c r="B310" s="523"/>
      <c r="C310" s="78"/>
      <c r="D310" s="78"/>
      <c r="E310" s="78"/>
      <c r="F310" s="78"/>
      <c r="G310" s="774"/>
      <c r="H310" s="774"/>
      <c r="I310" s="774"/>
      <c r="J310" s="774"/>
      <c r="K310" s="78"/>
      <c r="L310" s="774"/>
      <c r="M310" s="774"/>
      <c r="N310" s="774"/>
      <c r="O310" s="774"/>
      <c r="P310" s="78"/>
      <c r="Q310" s="774"/>
      <c r="R310" s="774"/>
      <c r="S310" s="774"/>
      <c r="T310" s="774"/>
      <c r="U310" s="78"/>
      <c r="V310" s="774"/>
      <c r="W310" s="774"/>
      <c r="X310" s="774"/>
      <c r="Y310" s="774"/>
      <c r="Z310" s="78"/>
      <c r="AA310" s="774"/>
      <c r="AB310" s="774"/>
      <c r="AC310" s="774"/>
      <c r="AD310" s="774"/>
      <c r="AE310" s="78"/>
      <c r="AF310" s="774"/>
      <c r="AG310" s="774"/>
      <c r="AH310" s="774"/>
      <c r="AI310" s="774"/>
      <c r="AJ310" s="78"/>
      <c r="AK310" s="774"/>
      <c r="AL310" s="774"/>
      <c r="AM310" s="774"/>
      <c r="AN310" s="774"/>
      <c r="AO310" s="78"/>
      <c r="AP310" s="774"/>
      <c r="AQ310" s="774"/>
      <c r="AR310" s="774"/>
      <c r="AS310" s="774"/>
      <c r="AT310" s="1119">
        <v>17.056999999999999</v>
      </c>
      <c r="AU310" s="774"/>
      <c r="AV310" s="774"/>
      <c r="AW310" s="774"/>
      <c r="AX310" s="774"/>
      <c r="AY310" s="1119">
        <v>17.056999999999999</v>
      </c>
      <c r="AZ310" s="774"/>
      <c r="BA310" s="774"/>
      <c r="BB310" s="774"/>
      <c r="BC310" s="774"/>
      <c r="BD310" s="1119">
        <v>17.056999999999999</v>
      </c>
      <c r="BE310" s="774"/>
      <c r="BF310" s="774"/>
      <c r="BG310" s="774"/>
      <c r="BH310" s="774"/>
      <c r="BI310" s="1119">
        <v>3.4609999999999999</v>
      </c>
      <c r="BJ310" s="774"/>
      <c r="BK310" s="774"/>
      <c r="BL310" s="774"/>
      <c r="BM310" s="774"/>
      <c r="BN310" s="1119">
        <v>3.4609999999999999</v>
      </c>
      <c r="BO310" s="774"/>
      <c r="BP310" s="774"/>
      <c r="BQ310" s="774"/>
      <c r="BR310" s="774"/>
      <c r="BS310" s="78"/>
      <c r="BT310" s="775"/>
      <c r="BU310" s="774"/>
      <c r="BV310" s="774"/>
      <c r="BW310" s="774"/>
      <c r="BX310" s="78"/>
      <c r="BY310" s="774"/>
      <c r="BZ310" s="774"/>
      <c r="CA310" s="774"/>
      <c r="CB310" s="774"/>
      <c r="CC310" s="78"/>
      <c r="CD310" s="78"/>
      <c r="CE310" s="78"/>
      <c r="CF310" s="78"/>
      <c r="CG310" s="532"/>
    </row>
    <row r="311" spans="1:85" s="615" customFormat="1" x14ac:dyDescent="0.3">
      <c r="A311" s="522" t="s">
        <v>1821</v>
      </c>
      <c r="B311" s="521"/>
      <c r="C311" s="1122"/>
      <c r="D311" s="1122"/>
      <c r="E311" s="1122"/>
      <c r="F311" s="1122"/>
      <c r="G311" s="520"/>
      <c r="H311" s="520"/>
      <c r="I311" s="520"/>
      <c r="J311" s="520"/>
      <c r="K311" s="1122"/>
      <c r="L311" s="520"/>
      <c r="M311" s="520"/>
      <c r="N311" s="520"/>
      <c r="O311" s="520"/>
      <c r="P311" s="1122"/>
      <c r="Q311" s="520"/>
      <c r="R311" s="520"/>
      <c r="S311" s="520"/>
      <c r="T311" s="520"/>
      <c r="U311" s="1122"/>
      <c r="V311" s="520"/>
      <c r="W311" s="520"/>
      <c r="X311" s="520"/>
      <c r="Y311" s="520"/>
      <c r="Z311" s="1122"/>
      <c r="AA311" s="520"/>
      <c r="AB311" s="520"/>
      <c r="AC311" s="520"/>
      <c r="AD311" s="520"/>
      <c r="AE311" s="1122"/>
      <c r="AF311" s="520"/>
      <c r="AG311" s="520"/>
      <c r="AH311" s="520"/>
      <c r="AI311" s="520"/>
      <c r="AJ311" s="1122"/>
      <c r="AK311" s="520"/>
      <c r="AL311" s="520"/>
      <c r="AM311" s="520"/>
      <c r="AN311" s="520"/>
      <c r="AO311" s="1122"/>
      <c r="AP311" s="520"/>
      <c r="AQ311" s="520"/>
      <c r="AR311" s="520"/>
      <c r="AS311" s="520"/>
      <c r="AT311" s="1123">
        <v>415.27</v>
      </c>
      <c r="AU311" s="526"/>
      <c r="AV311" s="526"/>
      <c r="AW311" s="526"/>
      <c r="AX311" s="526"/>
      <c r="AY311" s="1123">
        <v>415.27</v>
      </c>
      <c r="AZ311" s="526"/>
      <c r="BA311" s="526"/>
      <c r="BB311" s="526"/>
      <c r="BC311" s="526"/>
      <c r="BD311" s="1123">
        <v>415.27</v>
      </c>
      <c r="BE311" s="520"/>
      <c r="BF311" s="520"/>
      <c r="BG311" s="520"/>
      <c r="BH311" s="520"/>
      <c r="BI311" s="1123">
        <v>415.27</v>
      </c>
      <c r="BJ311" s="520"/>
      <c r="BK311" s="520"/>
      <c r="BL311" s="520"/>
      <c r="BM311" s="520"/>
      <c r="BN311" s="1123">
        <v>415.27</v>
      </c>
      <c r="BO311" s="520"/>
      <c r="BP311" s="520"/>
      <c r="BQ311" s="520"/>
      <c r="BR311" s="520"/>
      <c r="BS311" s="1124"/>
      <c r="BT311" s="728"/>
      <c r="BU311" s="520"/>
      <c r="BV311" s="520"/>
      <c r="BW311" s="520"/>
      <c r="BX311" s="1122"/>
      <c r="BY311" s="520"/>
      <c r="BZ311" s="520"/>
      <c r="CA311" s="520"/>
      <c r="CB311" s="520"/>
      <c r="CC311" s="1122"/>
      <c r="CD311" s="1122"/>
      <c r="CE311" s="1122"/>
      <c r="CF311" s="1122"/>
      <c r="CG311" s="519"/>
    </row>
    <row r="312" spans="1:85" s="614" customFormat="1" x14ac:dyDescent="0.3">
      <c r="A312" s="522"/>
      <c r="B312" s="352"/>
      <c r="C312" s="1094"/>
      <c r="D312" s="1094"/>
      <c r="E312" s="1094"/>
      <c r="F312" s="1094"/>
      <c r="G312" s="197"/>
      <c r="H312" s="197"/>
      <c r="I312" s="197"/>
      <c r="J312" s="197"/>
      <c r="K312" s="1094"/>
      <c r="L312" s="197"/>
      <c r="M312" s="197"/>
      <c r="N312" s="197"/>
      <c r="O312" s="197"/>
      <c r="P312" s="1094"/>
      <c r="Q312" s="197"/>
      <c r="R312" s="197"/>
      <c r="S312" s="197"/>
      <c r="T312" s="197"/>
      <c r="U312" s="1094"/>
      <c r="V312" s="197"/>
      <c r="W312" s="197"/>
      <c r="X312" s="197"/>
      <c r="Y312" s="197"/>
      <c r="Z312" s="1094"/>
      <c r="AA312" s="197"/>
      <c r="AB312" s="197"/>
      <c r="AC312" s="197"/>
      <c r="AD312" s="197"/>
      <c r="AE312" s="1094"/>
      <c r="AF312" s="197"/>
      <c r="AG312" s="197"/>
      <c r="AH312" s="197"/>
      <c r="AI312" s="197"/>
      <c r="AJ312" s="1094"/>
      <c r="AK312" s="197"/>
      <c r="AL312" s="197"/>
      <c r="AM312" s="197"/>
      <c r="AN312" s="197"/>
      <c r="AO312" s="1094"/>
      <c r="AP312" s="197"/>
      <c r="AQ312" s="197"/>
      <c r="AR312" s="197"/>
      <c r="AS312" s="197"/>
      <c r="AT312" s="198"/>
      <c r="AU312" s="194"/>
      <c r="AV312" s="194"/>
      <c r="AW312" s="194"/>
      <c r="AX312" s="194"/>
      <c r="AY312" s="198"/>
      <c r="AZ312" s="194"/>
      <c r="BA312" s="194"/>
      <c r="BB312" s="194"/>
      <c r="BC312" s="194"/>
      <c r="BD312" s="198"/>
      <c r="BE312" s="197"/>
      <c r="BF312" s="197"/>
      <c r="BG312" s="197"/>
      <c r="BH312" s="197"/>
      <c r="BI312" s="198"/>
      <c r="BJ312" s="197"/>
      <c r="BK312" s="197"/>
      <c r="BL312" s="197"/>
      <c r="BM312" s="197"/>
      <c r="BN312" s="198"/>
      <c r="BO312" s="197"/>
      <c r="BP312" s="197"/>
      <c r="BQ312" s="197"/>
      <c r="BR312" s="197"/>
      <c r="BS312" s="198"/>
      <c r="BT312" s="727"/>
      <c r="BU312" s="197"/>
      <c r="BV312" s="197"/>
      <c r="BW312" s="197"/>
      <c r="BX312" s="1094"/>
      <c r="BY312" s="197"/>
      <c r="BZ312" s="197"/>
      <c r="CA312" s="197"/>
      <c r="CB312" s="197"/>
      <c r="CC312" s="1094"/>
      <c r="CD312" s="1094"/>
      <c r="CE312" s="1094"/>
      <c r="CF312" s="1094"/>
      <c r="CG312" s="349"/>
    </row>
    <row r="313" spans="1:85" s="613" customFormat="1" x14ac:dyDescent="0.3">
      <c r="A313" s="478" t="s">
        <v>1820</v>
      </c>
      <c r="B313" s="523"/>
      <c r="C313" s="78"/>
      <c r="D313" s="78"/>
      <c r="E313" s="78"/>
      <c r="F313" s="78"/>
      <c r="G313" s="774"/>
      <c r="H313" s="774"/>
      <c r="I313" s="774"/>
      <c r="J313" s="774"/>
      <c r="K313" s="78"/>
      <c r="L313" s="774"/>
      <c r="M313" s="774"/>
      <c r="N313" s="774"/>
      <c r="O313" s="774"/>
      <c r="P313" s="78"/>
      <c r="Q313" s="774"/>
      <c r="R313" s="774"/>
      <c r="S313" s="774"/>
      <c r="T313" s="774"/>
      <c r="U313" s="78"/>
      <c r="V313" s="774"/>
      <c r="W313" s="774"/>
      <c r="X313" s="774"/>
      <c r="Y313" s="774"/>
      <c r="Z313" s="78"/>
      <c r="AA313" s="774"/>
      <c r="AB313" s="774"/>
      <c r="AC313" s="774"/>
      <c r="AD313" s="774"/>
      <c r="AE313" s="78"/>
      <c r="AF313" s="774"/>
      <c r="AG313" s="774"/>
      <c r="AH313" s="774"/>
      <c r="AI313" s="774"/>
      <c r="AJ313" s="78"/>
      <c r="AK313" s="774"/>
      <c r="AL313" s="774"/>
      <c r="AM313" s="774"/>
      <c r="AN313" s="774"/>
      <c r="AO313" s="78"/>
      <c r="AP313" s="774"/>
      <c r="AQ313" s="774"/>
      <c r="AR313" s="774"/>
      <c r="AS313" s="774"/>
      <c r="AT313" s="1119">
        <v>16.631</v>
      </c>
      <c r="AU313" s="774"/>
      <c r="AV313" s="774"/>
      <c r="AW313" s="774"/>
      <c r="AX313" s="774"/>
      <c r="AY313" s="1119">
        <v>16.631</v>
      </c>
      <c r="AZ313" s="774"/>
      <c r="BA313" s="774"/>
      <c r="BB313" s="774"/>
      <c r="BC313" s="774"/>
      <c r="BD313" s="1119">
        <v>16.631</v>
      </c>
      <c r="BE313" s="774"/>
      <c r="BF313" s="774"/>
      <c r="BG313" s="774"/>
      <c r="BH313" s="774"/>
      <c r="BI313" s="1119">
        <v>3.375</v>
      </c>
      <c r="BJ313" s="774"/>
      <c r="BK313" s="774"/>
      <c r="BL313" s="774"/>
      <c r="BM313" s="774"/>
      <c r="BN313" s="1119">
        <v>3.375</v>
      </c>
      <c r="BO313" s="774"/>
      <c r="BP313" s="774"/>
      <c r="BQ313" s="774"/>
      <c r="BR313" s="774"/>
      <c r="BS313" s="78"/>
      <c r="BT313" s="775"/>
      <c r="BU313" s="774"/>
      <c r="BV313" s="774"/>
      <c r="BW313" s="774"/>
      <c r="BX313" s="78"/>
      <c r="BY313" s="774"/>
      <c r="BZ313" s="774"/>
      <c r="CA313" s="774"/>
      <c r="CB313" s="774"/>
      <c r="CC313" s="78"/>
      <c r="CD313" s="78"/>
      <c r="CE313" s="78"/>
      <c r="CF313" s="78"/>
      <c r="CG313" s="532"/>
    </row>
    <row r="314" spans="1:85" s="615" customFormat="1" x14ac:dyDescent="0.3">
      <c r="A314" s="522" t="s">
        <v>1819</v>
      </c>
      <c r="B314" s="521"/>
      <c r="C314" s="1122"/>
      <c r="D314" s="1122"/>
      <c r="E314" s="1122"/>
      <c r="F314" s="1122"/>
      <c r="G314" s="520"/>
      <c r="H314" s="520"/>
      <c r="I314" s="520"/>
      <c r="J314" s="520"/>
      <c r="K314" s="1122"/>
      <c r="L314" s="520"/>
      <c r="M314" s="520"/>
      <c r="N314" s="520"/>
      <c r="O314" s="520"/>
      <c r="P314" s="1122"/>
      <c r="Q314" s="520"/>
      <c r="R314" s="520"/>
      <c r="S314" s="520"/>
      <c r="T314" s="520"/>
      <c r="U314" s="1122"/>
      <c r="V314" s="520"/>
      <c r="W314" s="520"/>
      <c r="X314" s="520"/>
      <c r="Y314" s="520"/>
      <c r="Z314" s="1122"/>
      <c r="AA314" s="520"/>
      <c r="AB314" s="520"/>
      <c r="AC314" s="520"/>
      <c r="AD314" s="520"/>
      <c r="AE314" s="1122"/>
      <c r="AF314" s="520"/>
      <c r="AG314" s="520"/>
      <c r="AH314" s="520"/>
      <c r="AI314" s="520"/>
      <c r="AJ314" s="1122"/>
      <c r="AK314" s="520"/>
      <c r="AL314" s="520"/>
      <c r="AM314" s="520"/>
      <c r="AN314" s="520"/>
      <c r="AO314" s="1122"/>
      <c r="AP314" s="520"/>
      <c r="AQ314" s="520"/>
      <c r="AR314" s="520"/>
      <c r="AS314" s="520"/>
      <c r="AT314" s="1123">
        <v>425.92</v>
      </c>
      <c r="AU314" s="526"/>
      <c r="AV314" s="526"/>
      <c r="AW314" s="526"/>
      <c r="AX314" s="526"/>
      <c r="AY314" s="1123">
        <v>425.92</v>
      </c>
      <c r="AZ314" s="526"/>
      <c r="BA314" s="526"/>
      <c r="BB314" s="526"/>
      <c r="BC314" s="526"/>
      <c r="BD314" s="1123">
        <v>425.92</v>
      </c>
      <c r="BE314" s="520"/>
      <c r="BF314" s="520"/>
      <c r="BG314" s="520"/>
      <c r="BH314" s="520"/>
      <c r="BI314" s="1123">
        <v>425.92</v>
      </c>
      <c r="BJ314" s="520"/>
      <c r="BK314" s="520"/>
      <c r="BL314" s="520"/>
      <c r="BM314" s="520"/>
      <c r="BN314" s="1123">
        <v>425.92</v>
      </c>
      <c r="BO314" s="520"/>
      <c r="BP314" s="520"/>
      <c r="BQ314" s="520"/>
      <c r="BR314" s="520"/>
      <c r="BS314" s="1124"/>
      <c r="BT314" s="728"/>
      <c r="BU314" s="520"/>
      <c r="BV314" s="520"/>
      <c r="BW314" s="520"/>
      <c r="BX314" s="1122"/>
      <c r="BY314" s="520"/>
      <c r="BZ314" s="520"/>
      <c r="CA314" s="520"/>
      <c r="CB314" s="520"/>
      <c r="CC314" s="1122"/>
      <c r="CD314" s="1122"/>
      <c r="CE314" s="1122"/>
      <c r="CF314" s="1122"/>
      <c r="CG314" s="519"/>
    </row>
    <row r="315" spans="1:85" s="614" customFormat="1" x14ac:dyDescent="0.3">
      <c r="A315" s="522"/>
      <c r="B315" s="352"/>
      <c r="C315" s="1094"/>
      <c r="D315" s="1094"/>
      <c r="E315" s="1094"/>
      <c r="F315" s="1094"/>
      <c r="G315" s="197"/>
      <c r="H315" s="197"/>
      <c r="I315" s="197"/>
      <c r="J315" s="197"/>
      <c r="K315" s="1094"/>
      <c r="L315" s="197"/>
      <c r="M315" s="197"/>
      <c r="N315" s="197"/>
      <c r="O315" s="197"/>
      <c r="P315" s="1094"/>
      <c r="Q315" s="197"/>
      <c r="R315" s="197"/>
      <c r="S315" s="197"/>
      <c r="T315" s="197"/>
      <c r="U315" s="1094"/>
      <c r="V315" s="197"/>
      <c r="W315" s="197"/>
      <c r="X315" s="197"/>
      <c r="Y315" s="197"/>
      <c r="Z315" s="1094"/>
      <c r="AA315" s="197"/>
      <c r="AB315" s="197"/>
      <c r="AC315" s="197"/>
      <c r="AD315" s="197"/>
      <c r="AE315" s="1094"/>
      <c r="AF315" s="197"/>
      <c r="AG315" s="197"/>
      <c r="AH315" s="197"/>
      <c r="AI315" s="197"/>
      <c r="AJ315" s="1094"/>
      <c r="AK315" s="197"/>
      <c r="AL315" s="197"/>
      <c r="AM315" s="197"/>
      <c r="AN315" s="197"/>
      <c r="AO315" s="1094"/>
      <c r="AP315" s="197"/>
      <c r="AQ315" s="197"/>
      <c r="AR315" s="197"/>
      <c r="AS315" s="197"/>
      <c r="AT315" s="198"/>
      <c r="AU315" s="194"/>
      <c r="AV315" s="194"/>
      <c r="AW315" s="194"/>
      <c r="AX315" s="194"/>
      <c r="AY315" s="198"/>
      <c r="AZ315" s="194"/>
      <c r="BA315" s="194"/>
      <c r="BB315" s="194"/>
      <c r="BC315" s="194"/>
      <c r="BD315" s="198"/>
      <c r="BE315" s="197"/>
      <c r="BF315" s="197"/>
      <c r="BG315" s="197"/>
      <c r="BH315" s="197"/>
      <c r="BI315" s="198"/>
      <c r="BJ315" s="197"/>
      <c r="BK315" s="197"/>
      <c r="BL315" s="197"/>
      <c r="BM315" s="197"/>
      <c r="BN315" s="198"/>
      <c r="BO315" s="197"/>
      <c r="BP315" s="197"/>
      <c r="BQ315" s="197"/>
      <c r="BR315" s="197"/>
      <c r="BS315" s="198"/>
      <c r="BT315" s="727"/>
      <c r="BU315" s="197"/>
      <c r="BV315" s="197"/>
      <c r="BW315" s="197"/>
      <c r="BX315" s="1094"/>
      <c r="BY315" s="197"/>
      <c r="BZ315" s="197"/>
      <c r="CA315" s="197"/>
      <c r="CB315" s="197"/>
      <c r="CC315" s="1094"/>
      <c r="CD315" s="1094"/>
      <c r="CE315" s="1094"/>
      <c r="CF315" s="1094"/>
      <c r="CG315" s="349"/>
    </row>
    <row r="316" spans="1:85" s="613" customFormat="1" x14ac:dyDescent="0.3">
      <c r="A316" s="478" t="s">
        <v>1818</v>
      </c>
      <c r="B316" s="523"/>
      <c r="C316" s="78"/>
      <c r="D316" s="78"/>
      <c r="E316" s="78"/>
      <c r="F316" s="78"/>
      <c r="G316" s="774"/>
      <c r="H316" s="774"/>
      <c r="I316" s="774"/>
      <c r="J316" s="774"/>
      <c r="K316" s="78"/>
      <c r="L316" s="774"/>
      <c r="M316" s="774"/>
      <c r="N316" s="774"/>
      <c r="O316" s="774"/>
      <c r="P316" s="78"/>
      <c r="Q316" s="774"/>
      <c r="R316" s="774"/>
      <c r="S316" s="774"/>
      <c r="T316" s="774"/>
      <c r="U316" s="78"/>
      <c r="V316" s="774"/>
      <c r="W316" s="774"/>
      <c r="X316" s="774"/>
      <c r="Y316" s="774"/>
      <c r="Z316" s="78"/>
      <c r="AA316" s="774"/>
      <c r="AB316" s="774"/>
      <c r="AC316" s="774"/>
      <c r="AD316" s="774"/>
      <c r="AE316" s="78"/>
      <c r="AF316" s="774"/>
      <c r="AG316" s="774"/>
      <c r="AH316" s="774"/>
      <c r="AI316" s="774"/>
      <c r="AJ316" s="78"/>
      <c r="AK316" s="774"/>
      <c r="AL316" s="774"/>
      <c r="AM316" s="774"/>
      <c r="AN316" s="774"/>
      <c r="AO316" s="78"/>
      <c r="AP316" s="774"/>
      <c r="AQ316" s="774"/>
      <c r="AR316" s="774"/>
      <c r="AS316" s="774"/>
      <c r="AT316" s="1119">
        <v>14.585000000000001</v>
      </c>
      <c r="AU316" s="774"/>
      <c r="AV316" s="774"/>
      <c r="AW316" s="774"/>
      <c r="AX316" s="774"/>
      <c r="AY316" s="1119">
        <v>14.585000000000001</v>
      </c>
      <c r="AZ316" s="774"/>
      <c r="BA316" s="774"/>
      <c r="BB316" s="774"/>
      <c r="BC316" s="774"/>
      <c r="BD316" s="1119">
        <v>14.585000000000001</v>
      </c>
      <c r="BE316" s="774"/>
      <c r="BF316" s="774"/>
      <c r="BG316" s="774"/>
      <c r="BH316" s="774"/>
      <c r="BI316" s="1119">
        <v>2.96</v>
      </c>
      <c r="BJ316" s="774"/>
      <c r="BK316" s="774"/>
      <c r="BL316" s="774"/>
      <c r="BM316" s="774"/>
      <c r="BN316" s="1119">
        <v>2.96</v>
      </c>
      <c r="BO316" s="774"/>
      <c r="BP316" s="774"/>
      <c r="BQ316" s="774"/>
      <c r="BR316" s="774"/>
      <c r="BS316" s="78"/>
      <c r="BT316" s="775"/>
      <c r="BU316" s="774"/>
      <c r="BV316" s="774"/>
      <c r="BW316" s="774"/>
      <c r="BX316" s="78"/>
      <c r="BY316" s="774"/>
      <c r="BZ316" s="774"/>
      <c r="CA316" s="774"/>
      <c r="CB316" s="774"/>
      <c r="CC316" s="78"/>
      <c r="CD316" s="78"/>
      <c r="CE316" s="78"/>
      <c r="CF316" s="78"/>
      <c r="CG316" s="532"/>
    </row>
    <row r="317" spans="1:85" s="615" customFormat="1" x14ac:dyDescent="0.3">
      <c r="A317" s="522" t="s">
        <v>1817</v>
      </c>
      <c r="B317" s="521"/>
      <c r="C317" s="1122"/>
      <c r="D317" s="1122"/>
      <c r="E317" s="1122"/>
      <c r="F317" s="1122"/>
      <c r="G317" s="520"/>
      <c r="H317" s="520"/>
      <c r="I317" s="520"/>
      <c r="J317" s="520"/>
      <c r="K317" s="1122"/>
      <c r="L317" s="520"/>
      <c r="M317" s="520"/>
      <c r="N317" s="520"/>
      <c r="O317" s="520"/>
      <c r="P317" s="1122"/>
      <c r="Q317" s="520"/>
      <c r="R317" s="520"/>
      <c r="S317" s="520"/>
      <c r="T317" s="520"/>
      <c r="U317" s="1122"/>
      <c r="V317" s="520"/>
      <c r="W317" s="520"/>
      <c r="X317" s="520"/>
      <c r="Y317" s="520"/>
      <c r="Z317" s="1122"/>
      <c r="AA317" s="520"/>
      <c r="AB317" s="520"/>
      <c r="AC317" s="520"/>
      <c r="AD317" s="520"/>
      <c r="AE317" s="1122"/>
      <c r="AF317" s="520"/>
      <c r="AG317" s="520"/>
      <c r="AH317" s="520"/>
      <c r="AI317" s="520"/>
      <c r="AJ317" s="1122"/>
      <c r="AK317" s="520"/>
      <c r="AL317" s="520"/>
      <c r="AM317" s="520"/>
      <c r="AN317" s="520"/>
      <c r="AO317" s="1122"/>
      <c r="AP317" s="520"/>
      <c r="AQ317" s="520"/>
      <c r="AR317" s="520"/>
      <c r="AS317" s="520"/>
      <c r="AT317" s="1123">
        <v>485.64</v>
      </c>
      <c r="AU317" s="526"/>
      <c r="AV317" s="526"/>
      <c r="AW317" s="526"/>
      <c r="AX317" s="526"/>
      <c r="AY317" s="1123">
        <v>485.64</v>
      </c>
      <c r="AZ317" s="526"/>
      <c r="BA317" s="526"/>
      <c r="BB317" s="526"/>
      <c r="BC317" s="526"/>
      <c r="BD317" s="1123">
        <v>485.64</v>
      </c>
      <c r="BE317" s="520"/>
      <c r="BF317" s="520"/>
      <c r="BG317" s="520"/>
      <c r="BH317" s="520"/>
      <c r="BI317" s="1123">
        <v>485.64</v>
      </c>
      <c r="BJ317" s="520"/>
      <c r="BK317" s="520"/>
      <c r="BL317" s="520"/>
      <c r="BM317" s="520"/>
      <c r="BN317" s="1123">
        <v>485.64</v>
      </c>
      <c r="BO317" s="520"/>
      <c r="BP317" s="520"/>
      <c r="BQ317" s="520"/>
      <c r="BR317" s="520"/>
      <c r="BS317" s="1124"/>
      <c r="BT317" s="728"/>
      <c r="BU317" s="520"/>
      <c r="BV317" s="520"/>
      <c r="BW317" s="520"/>
      <c r="BX317" s="1122"/>
      <c r="BY317" s="520"/>
      <c r="BZ317" s="520"/>
      <c r="CA317" s="520"/>
      <c r="CB317" s="520"/>
      <c r="CC317" s="1122"/>
      <c r="CD317" s="1122"/>
      <c r="CE317" s="1122"/>
      <c r="CF317" s="1122"/>
      <c r="CG317" s="519"/>
    </row>
    <row r="318" spans="1:85" s="614" customFormat="1" x14ac:dyDescent="0.3">
      <c r="A318" s="522"/>
      <c r="B318" s="352"/>
      <c r="C318" s="1094"/>
      <c r="D318" s="1094"/>
      <c r="E318" s="1094"/>
      <c r="F318" s="1094"/>
      <c r="G318" s="197"/>
      <c r="H318" s="197"/>
      <c r="I318" s="197"/>
      <c r="J318" s="197"/>
      <c r="K318" s="1094"/>
      <c r="L318" s="197"/>
      <c r="M318" s="197"/>
      <c r="N318" s="197"/>
      <c r="O318" s="197"/>
      <c r="P318" s="1094"/>
      <c r="Q318" s="197"/>
      <c r="R318" s="197"/>
      <c r="S318" s="197"/>
      <c r="T318" s="197"/>
      <c r="U318" s="1094"/>
      <c r="V318" s="197"/>
      <c r="W318" s="197"/>
      <c r="X318" s="197"/>
      <c r="Y318" s="197"/>
      <c r="Z318" s="1094"/>
      <c r="AA318" s="197"/>
      <c r="AB318" s="197"/>
      <c r="AC318" s="197"/>
      <c r="AD318" s="197"/>
      <c r="AE318" s="1094"/>
      <c r="AF318" s="197"/>
      <c r="AG318" s="197"/>
      <c r="AH318" s="197"/>
      <c r="AI318" s="197"/>
      <c r="AJ318" s="1094"/>
      <c r="AK318" s="197"/>
      <c r="AL318" s="197"/>
      <c r="AM318" s="197"/>
      <c r="AN318" s="197"/>
      <c r="AO318" s="1094"/>
      <c r="AP318" s="197"/>
      <c r="AQ318" s="197"/>
      <c r="AR318" s="197"/>
      <c r="AS318" s="197"/>
      <c r="AT318" s="198"/>
      <c r="AU318" s="194"/>
      <c r="AV318" s="194"/>
      <c r="AW318" s="194"/>
      <c r="AX318" s="194"/>
      <c r="AY318" s="198"/>
      <c r="AZ318" s="194"/>
      <c r="BA318" s="194"/>
      <c r="BB318" s="194"/>
      <c r="BC318" s="194"/>
      <c r="BD318" s="198"/>
      <c r="BE318" s="197"/>
      <c r="BF318" s="197"/>
      <c r="BG318" s="197"/>
      <c r="BH318" s="197"/>
      <c r="BI318" s="198"/>
      <c r="BJ318" s="197"/>
      <c r="BK318" s="197"/>
      <c r="BL318" s="197"/>
      <c r="BM318" s="197"/>
      <c r="BN318" s="198"/>
      <c r="BO318" s="197"/>
      <c r="BP318" s="197"/>
      <c r="BQ318" s="197"/>
      <c r="BR318" s="197"/>
      <c r="BS318" s="198"/>
      <c r="BT318" s="727"/>
      <c r="BU318" s="197"/>
      <c r="BV318" s="197"/>
      <c r="BW318" s="197"/>
      <c r="BX318" s="1094"/>
      <c r="BY318" s="197"/>
      <c r="BZ318" s="197"/>
      <c r="CA318" s="197"/>
      <c r="CB318" s="197"/>
      <c r="CC318" s="1094"/>
      <c r="CD318" s="1094"/>
      <c r="CE318" s="1094"/>
      <c r="CF318" s="1094"/>
      <c r="CG318" s="349"/>
    </row>
    <row r="319" spans="1:85" s="613" customFormat="1" x14ac:dyDescent="0.3">
      <c r="A319" s="478" t="s">
        <v>1816</v>
      </c>
      <c r="B319" s="523"/>
      <c r="C319" s="78"/>
      <c r="D319" s="78"/>
      <c r="E319" s="78"/>
      <c r="F319" s="78"/>
      <c r="G319" s="774"/>
      <c r="H319" s="774"/>
      <c r="I319" s="774"/>
      <c r="J319" s="774"/>
      <c r="K319" s="78"/>
      <c r="L319" s="774"/>
      <c r="M319" s="774"/>
      <c r="N319" s="774"/>
      <c r="O319" s="774"/>
      <c r="P319" s="78"/>
      <c r="Q319" s="774"/>
      <c r="R319" s="774"/>
      <c r="S319" s="774"/>
      <c r="T319" s="774"/>
      <c r="U319" s="78"/>
      <c r="V319" s="774"/>
      <c r="W319" s="774"/>
      <c r="X319" s="774"/>
      <c r="Y319" s="774"/>
      <c r="Z319" s="78"/>
      <c r="AA319" s="774"/>
      <c r="AB319" s="774"/>
      <c r="AC319" s="774"/>
      <c r="AD319" s="774"/>
      <c r="AE319" s="78"/>
      <c r="AF319" s="774"/>
      <c r="AG319" s="774"/>
      <c r="AH319" s="774"/>
      <c r="AI319" s="774"/>
      <c r="AJ319" s="78"/>
      <c r="AK319" s="774"/>
      <c r="AL319" s="774"/>
      <c r="AM319" s="774"/>
      <c r="AN319" s="774"/>
      <c r="AO319" s="78"/>
      <c r="AP319" s="774"/>
      <c r="AQ319" s="774"/>
      <c r="AR319" s="774"/>
      <c r="AS319" s="774"/>
      <c r="AT319" s="1119">
        <v>14.206</v>
      </c>
      <c r="AU319" s="774"/>
      <c r="AV319" s="774"/>
      <c r="AW319" s="774"/>
      <c r="AX319" s="774"/>
      <c r="AY319" s="1119">
        <v>14.206</v>
      </c>
      <c r="AZ319" s="774"/>
      <c r="BA319" s="774"/>
      <c r="BB319" s="774"/>
      <c r="BC319" s="774"/>
      <c r="BD319" s="1119">
        <v>14.206</v>
      </c>
      <c r="BE319" s="774"/>
      <c r="BF319" s="774"/>
      <c r="BG319" s="774"/>
      <c r="BH319" s="774"/>
      <c r="BI319" s="1119">
        <v>2.883</v>
      </c>
      <c r="BJ319" s="774"/>
      <c r="BK319" s="774"/>
      <c r="BL319" s="774"/>
      <c r="BM319" s="774"/>
      <c r="BN319" s="1119">
        <v>2.883</v>
      </c>
      <c r="BO319" s="774"/>
      <c r="BP319" s="774"/>
      <c r="BQ319" s="774"/>
      <c r="BR319" s="774"/>
      <c r="BS319" s="78"/>
      <c r="BT319" s="775"/>
      <c r="BU319" s="774"/>
      <c r="BV319" s="774"/>
      <c r="BW319" s="774"/>
      <c r="BX319" s="78"/>
      <c r="BY319" s="774"/>
      <c r="BZ319" s="774"/>
      <c r="CA319" s="774"/>
      <c r="CB319" s="774"/>
      <c r="CC319" s="78"/>
      <c r="CD319" s="78"/>
      <c r="CE319" s="78"/>
      <c r="CF319" s="78"/>
      <c r="CG319" s="532"/>
    </row>
    <row r="320" spans="1:85" s="615" customFormat="1" x14ac:dyDescent="0.3">
      <c r="A320" s="522" t="s">
        <v>1815</v>
      </c>
      <c r="B320" s="521"/>
      <c r="C320" s="1122"/>
      <c r="D320" s="1122"/>
      <c r="E320" s="1122"/>
      <c r="F320" s="1122"/>
      <c r="G320" s="520"/>
      <c r="H320" s="520"/>
      <c r="I320" s="520"/>
      <c r="J320" s="520"/>
      <c r="K320" s="1122"/>
      <c r="L320" s="520"/>
      <c r="M320" s="520"/>
      <c r="N320" s="520"/>
      <c r="O320" s="520"/>
      <c r="P320" s="1122"/>
      <c r="Q320" s="520"/>
      <c r="R320" s="520"/>
      <c r="S320" s="520"/>
      <c r="T320" s="520"/>
      <c r="U320" s="1122"/>
      <c r="V320" s="520"/>
      <c r="W320" s="520"/>
      <c r="X320" s="520"/>
      <c r="Y320" s="520"/>
      <c r="Z320" s="1122"/>
      <c r="AA320" s="520"/>
      <c r="AB320" s="520"/>
      <c r="AC320" s="520"/>
      <c r="AD320" s="520"/>
      <c r="AE320" s="1122"/>
      <c r="AF320" s="520"/>
      <c r="AG320" s="520"/>
      <c r="AH320" s="520"/>
      <c r="AI320" s="520"/>
      <c r="AJ320" s="1122"/>
      <c r="AK320" s="520"/>
      <c r="AL320" s="520"/>
      <c r="AM320" s="520"/>
      <c r="AN320" s="520"/>
      <c r="AO320" s="1122"/>
      <c r="AP320" s="520"/>
      <c r="AQ320" s="520"/>
      <c r="AR320" s="520"/>
      <c r="AS320" s="520"/>
      <c r="AT320" s="1123">
        <v>498.62</v>
      </c>
      <c r="AU320" s="526"/>
      <c r="AV320" s="526"/>
      <c r="AW320" s="526"/>
      <c r="AX320" s="526"/>
      <c r="AY320" s="1123">
        <v>498.62</v>
      </c>
      <c r="AZ320" s="526"/>
      <c r="BA320" s="526"/>
      <c r="BB320" s="526"/>
      <c r="BC320" s="526"/>
      <c r="BD320" s="1123">
        <v>498.62</v>
      </c>
      <c r="BE320" s="520"/>
      <c r="BF320" s="520"/>
      <c r="BG320" s="520"/>
      <c r="BH320" s="520"/>
      <c r="BI320" s="1123">
        <v>498.62</v>
      </c>
      <c r="BJ320" s="520"/>
      <c r="BK320" s="520"/>
      <c r="BL320" s="520"/>
      <c r="BM320" s="520"/>
      <c r="BN320" s="1123">
        <v>498.62</v>
      </c>
      <c r="BO320" s="520"/>
      <c r="BP320" s="520"/>
      <c r="BQ320" s="520"/>
      <c r="BR320" s="520"/>
      <c r="BS320" s="1124"/>
      <c r="BT320" s="728"/>
      <c r="BU320" s="520"/>
      <c r="BV320" s="520"/>
      <c r="BW320" s="520"/>
      <c r="BX320" s="1122"/>
      <c r="BY320" s="520"/>
      <c r="BZ320" s="520"/>
      <c r="CA320" s="520"/>
      <c r="CB320" s="520"/>
      <c r="CC320" s="1122"/>
      <c r="CD320" s="1122"/>
      <c r="CE320" s="1122"/>
      <c r="CF320" s="1122"/>
      <c r="CG320" s="519"/>
    </row>
    <row r="321" spans="1:85" s="614" customFormat="1" x14ac:dyDescent="0.3">
      <c r="A321" s="522"/>
      <c r="B321" s="352"/>
      <c r="C321" s="1094"/>
      <c r="D321" s="1094"/>
      <c r="E321" s="1094"/>
      <c r="F321" s="1094"/>
      <c r="G321" s="197"/>
      <c r="H321" s="197"/>
      <c r="I321" s="197"/>
      <c r="J321" s="197"/>
      <c r="K321" s="1094"/>
      <c r="L321" s="197"/>
      <c r="M321" s="197"/>
      <c r="N321" s="197"/>
      <c r="O321" s="197"/>
      <c r="P321" s="1094"/>
      <c r="Q321" s="197"/>
      <c r="R321" s="197"/>
      <c r="S321" s="197"/>
      <c r="T321" s="197"/>
      <c r="U321" s="1094"/>
      <c r="V321" s="197"/>
      <c r="W321" s="197"/>
      <c r="X321" s="197"/>
      <c r="Y321" s="197"/>
      <c r="Z321" s="1094"/>
      <c r="AA321" s="197"/>
      <c r="AB321" s="197"/>
      <c r="AC321" s="197"/>
      <c r="AD321" s="197"/>
      <c r="AE321" s="1094"/>
      <c r="AF321" s="197"/>
      <c r="AG321" s="197"/>
      <c r="AH321" s="197"/>
      <c r="AI321" s="197"/>
      <c r="AJ321" s="1094"/>
      <c r="AK321" s="197"/>
      <c r="AL321" s="197"/>
      <c r="AM321" s="197"/>
      <c r="AN321" s="197"/>
      <c r="AO321" s="1094"/>
      <c r="AP321" s="197"/>
      <c r="AQ321" s="197"/>
      <c r="AR321" s="197"/>
      <c r="AS321" s="197"/>
      <c r="AT321" s="198"/>
      <c r="AU321" s="194"/>
      <c r="AV321" s="194"/>
      <c r="AW321" s="194"/>
      <c r="AX321" s="194"/>
      <c r="AY321" s="198"/>
      <c r="AZ321" s="194"/>
      <c r="BA321" s="194"/>
      <c r="BB321" s="194"/>
      <c r="BC321" s="194"/>
      <c r="BD321" s="198"/>
      <c r="BE321" s="197"/>
      <c r="BF321" s="197"/>
      <c r="BG321" s="197"/>
      <c r="BH321" s="197"/>
      <c r="BI321" s="198"/>
      <c r="BJ321" s="197"/>
      <c r="BK321" s="197"/>
      <c r="BL321" s="197"/>
      <c r="BM321" s="197"/>
      <c r="BN321" s="198"/>
      <c r="BO321" s="197"/>
      <c r="BP321" s="197"/>
      <c r="BQ321" s="197"/>
      <c r="BR321" s="197"/>
      <c r="BS321" s="198"/>
      <c r="BT321" s="727"/>
      <c r="BU321" s="197"/>
      <c r="BV321" s="197"/>
      <c r="BW321" s="197"/>
      <c r="BX321" s="1094"/>
      <c r="BY321" s="197"/>
      <c r="BZ321" s="197"/>
      <c r="CA321" s="197"/>
      <c r="CB321" s="197"/>
      <c r="CC321" s="1094"/>
      <c r="CD321" s="1094"/>
      <c r="CE321" s="1094"/>
      <c r="CF321" s="1094"/>
      <c r="CG321" s="349"/>
    </row>
    <row r="322" spans="1:85" s="613" customFormat="1" x14ac:dyDescent="0.3">
      <c r="A322" s="478" t="s">
        <v>1814</v>
      </c>
      <c r="B322" s="523"/>
      <c r="C322" s="78"/>
      <c r="D322" s="78"/>
      <c r="E322" s="78"/>
      <c r="F322" s="78"/>
      <c r="G322" s="774"/>
      <c r="H322" s="774"/>
      <c r="I322" s="774"/>
      <c r="J322" s="774"/>
      <c r="K322" s="78"/>
      <c r="L322" s="774"/>
      <c r="M322" s="774"/>
      <c r="N322" s="774"/>
      <c r="O322" s="774"/>
      <c r="P322" s="78"/>
      <c r="Q322" s="774"/>
      <c r="R322" s="774"/>
      <c r="S322" s="774"/>
      <c r="T322" s="774"/>
      <c r="U322" s="78"/>
      <c r="V322" s="774"/>
      <c r="W322" s="774"/>
      <c r="X322" s="774"/>
      <c r="Y322" s="774"/>
      <c r="Z322" s="78"/>
      <c r="AA322" s="774"/>
      <c r="AB322" s="774"/>
      <c r="AC322" s="774"/>
      <c r="AD322" s="774"/>
      <c r="AE322" s="78"/>
      <c r="AF322" s="774"/>
      <c r="AG322" s="774"/>
      <c r="AH322" s="774"/>
      <c r="AI322" s="774"/>
      <c r="AJ322" s="78"/>
      <c r="AK322" s="774"/>
      <c r="AL322" s="774"/>
      <c r="AM322" s="774"/>
      <c r="AN322" s="774"/>
      <c r="AO322" s="78"/>
      <c r="AP322" s="774"/>
      <c r="AQ322" s="774"/>
      <c r="AR322" s="774"/>
      <c r="AS322" s="774"/>
      <c r="AT322" s="1119">
        <v>12.727</v>
      </c>
      <c r="AU322" s="774"/>
      <c r="AV322" s="774"/>
      <c r="AW322" s="774"/>
      <c r="AX322" s="774"/>
      <c r="AY322" s="1119">
        <v>12.727</v>
      </c>
      <c r="AZ322" s="774"/>
      <c r="BA322" s="774"/>
      <c r="BB322" s="774"/>
      <c r="BC322" s="774"/>
      <c r="BD322" s="1119">
        <v>12.727</v>
      </c>
      <c r="BE322" s="774"/>
      <c r="BF322" s="774"/>
      <c r="BG322" s="774"/>
      <c r="BH322" s="774"/>
      <c r="BI322" s="1119">
        <v>2.5830000000000002</v>
      </c>
      <c r="BJ322" s="774"/>
      <c r="BK322" s="774"/>
      <c r="BL322" s="774"/>
      <c r="BM322" s="774"/>
      <c r="BN322" s="1119">
        <v>2.5830000000000002</v>
      </c>
      <c r="BO322" s="774"/>
      <c r="BP322" s="774"/>
      <c r="BQ322" s="774"/>
      <c r="BR322" s="774"/>
      <c r="BS322" s="78"/>
      <c r="BT322" s="775"/>
      <c r="BU322" s="774"/>
      <c r="BV322" s="774"/>
      <c r="BW322" s="774"/>
      <c r="BX322" s="78"/>
      <c r="BY322" s="774"/>
      <c r="BZ322" s="774"/>
      <c r="CA322" s="774"/>
      <c r="CB322" s="774"/>
      <c r="CC322" s="78"/>
      <c r="CD322" s="78"/>
      <c r="CE322" s="78"/>
      <c r="CF322" s="78"/>
      <c r="CG322" s="532"/>
    </row>
    <row r="323" spans="1:85" s="615" customFormat="1" x14ac:dyDescent="0.3">
      <c r="A323" s="522" t="s">
        <v>1813</v>
      </c>
      <c r="B323" s="521"/>
      <c r="C323" s="1122"/>
      <c r="D323" s="1122"/>
      <c r="E323" s="1122"/>
      <c r="F323" s="1122"/>
      <c r="G323" s="520"/>
      <c r="H323" s="520"/>
      <c r="I323" s="520"/>
      <c r="J323" s="520"/>
      <c r="K323" s="1122"/>
      <c r="L323" s="520"/>
      <c r="M323" s="520"/>
      <c r="N323" s="520"/>
      <c r="O323" s="520"/>
      <c r="P323" s="1122"/>
      <c r="Q323" s="520"/>
      <c r="R323" s="520"/>
      <c r="S323" s="520"/>
      <c r="T323" s="520"/>
      <c r="U323" s="1122"/>
      <c r="V323" s="520"/>
      <c r="W323" s="520"/>
      <c r="X323" s="520"/>
      <c r="Y323" s="520"/>
      <c r="Z323" s="1122"/>
      <c r="AA323" s="520"/>
      <c r="AB323" s="520"/>
      <c r="AC323" s="520"/>
      <c r="AD323" s="520"/>
      <c r="AE323" s="1122"/>
      <c r="AF323" s="520"/>
      <c r="AG323" s="520"/>
      <c r="AH323" s="520"/>
      <c r="AI323" s="520"/>
      <c r="AJ323" s="1122"/>
      <c r="AK323" s="520"/>
      <c r="AL323" s="520"/>
      <c r="AM323" s="520"/>
      <c r="AN323" s="520"/>
      <c r="AO323" s="1122"/>
      <c r="AP323" s="520"/>
      <c r="AQ323" s="520"/>
      <c r="AR323" s="520"/>
      <c r="AS323" s="520"/>
      <c r="AT323" s="1123">
        <v>556.54999999999995</v>
      </c>
      <c r="AU323" s="526"/>
      <c r="AV323" s="526"/>
      <c r="AW323" s="526"/>
      <c r="AX323" s="526"/>
      <c r="AY323" s="1123">
        <v>556.54999999999995</v>
      </c>
      <c r="AZ323" s="526"/>
      <c r="BA323" s="526"/>
      <c r="BB323" s="526"/>
      <c r="BC323" s="526"/>
      <c r="BD323" s="1123">
        <v>556.54999999999995</v>
      </c>
      <c r="BE323" s="520"/>
      <c r="BF323" s="520"/>
      <c r="BG323" s="520"/>
      <c r="BH323" s="520"/>
      <c r="BI323" s="1123">
        <v>556.54999999999995</v>
      </c>
      <c r="BJ323" s="520"/>
      <c r="BK323" s="520"/>
      <c r="BL323" s="520"/>
      <c r="BM323" s="520"/>
      <c r="BN323" s="1123">
        <v>556.54999999999995</v>
      </c>
      <c r="BO323" s="520"/>
      <c r="BP323" s="520"/>
      <c r="BQ323" s="520"/>
      <c r="BR323" s="520"/>
      <c r="BS323" s="1124"/>
      <c r="BT323" s="728"/>
      <c r="BU323" s="520"/>
      <c r="BV323" s="520"/>
      <c r="BW323" s="520"/>
      <c r="BX323" s="1122"/>
      <c r="BY323" s="520"/>
      <c r="BZ323" s="520"/>
      <c r="CA323" s="520"/>
      <c r="CB323" s="520"/>
      <c r="CC323" s="1122"/>
      <c r="CD323" s="1122"/>
      <c r="CE323" s="1122"/>
      <c r="CF323" s="1122"/>
      <c r="CG323" s="519"/>
    </row>
    <row r="324" spans="1:85" s="614" customFormat="1" x14ac:dyDescent="0.3">
      <c r="A324" s="522"/>
      <c r="B324" s="352"/>
      <c r="C324" s="1094"/>
      <c r="D324" s="1094"/>
      <c r="E324" s="1094"/>
      <c r="F324" s="1094"/>
      <c r="G324" s="197"/>
      <c r="H324" s="197"/>
      <c r="I324" s="197"/>
      <c r="J324" s="197"/>
      <c r="K324" s="1094"/>
      <c r="L324" s="197"/>
      <c r="M324" s="197"/>
      <c r="N324" s="197"/>
      <c r="O324" s="197"/>
      <c r="P324" s="1094"/>
      <c r="Q324" s="197"/>
      <c r="R324" s="197"/>
      <c r="S324" s="197"/>
      <c r="T324" s="197"/>
      <c r="U324" s="1094"/>
      <c r="V324" s="197"/>
      <c r="W324" s="197"/>
      <c r="X324" s="197"/>
      <c r="Y324" s="197"/>
      <c r="Z324" s="1094"/>
      <c r="AA324" s="197"/>
      <c r="AB324" s="197"/>
      <c r="AC324" s="197"/>
      <c r="AD324" s="197"/>
      <c r="AE324" s="1094"/>
      <c r="AF324" s="197"/>
      <c r="AG324" s="197"/>
      <c r="AH324" s="197"/>
      <c r="AI324" s="197"/>
      <c r="AJ324" s="1094"/>
      <c r="AK324" s="197"/>
      <c r="AL324" s="197"/>
      <c r="AM324" s="197"/>
      <c r="AN324" s="197"/>
      <c r="AO324" s="1094"/>
      <c r="AP324" s="197"/>
      <c r="AQ324" s="197"/>
      <c r="AR324" s="197"/>
      <c r="AS324" s="197"/>
      <c r="AT324" s="198"/>
      <c r="AU324" s="194"/>
      <c r="AV324" s="194"/>
      <c r="AW324" s="194"/>
      <c r="AX324" s="194"/>
      <c r="AY324" s="198"/>
      <c r="AZ324" s="194"/>
      <c r="BA324" s="194"/>
      <c r="BB324" s="194"/>
      <c r="BC324" s="194"/>
      <c r="BD324" s="198"/>
      <c r="BE324" s="197"/>
      <c r="BF324" s="197"/>
      <c r="BG324" s="197"/>
      <c r="BH324" s="197"/>
      <c r="BI324" s="198"/>
      <c r="BJ324" s="197"/>
      <c r="BK324" s="197"/>
      <c r="BL324" s="197"/>
      <c r="BM324" s="197"/>
      <c r="BN324" s="198"/>
      <c r="BO324" s="197"/>
      <c r="BP324" s="197"/>
      <c r="BQ324" s="197"/>
      <c r="BR324" s="197"/>
      <c r="BS324" s="198"/>
      <c r="BT324" s="727"/>
      <c r="BU324" s="197"/>
      <c r="BV324" s="197"/>
      <c r="BW324" s="197"/>
      <c r="BX324" s="1094"/>
      <c r="BY324" s="197"/>
      <c r="BZ324" s="197"/>
      <c r="CA324" s="197"/>
      <c r="CB324" s="197"/>
      <c r="CC324" s="1094"/>
      <c r="CD324" s="1094"/>
      <c r="CE324" s="1094"/>
      <c r="CF324" s="1094"/>
      <c r="CG324" s="349"/>
    </row>
    <row r="325" spans="1:85" s="613" customFormat="1" x14ac:dyDescent="0.3">
      <c r="A325" s="478" t="s">
        <v>1812</v>
      </c>
      <c r="B325" s="523"/>
      <c r="C325" s="78"/>
      <c r="D325" s="78"/>
      <c r="E325" s="78"/>
      <c r="F325" s="78"/>
      <c r="G325" s="774"/>
      <c r="H325" s="774"/>
      <c r="I325" s="774"/>
      <c r="J325" s="774"/>
      <c r="K325" s="78"/>
      <c r="L325" s="774"/>
      <c r="M325" s="774"/>
      <c r="N325" s="774"/>
      <c r="O325" s="774"/>
      <c r="P325" s="78"/>
      <c r="Q325" s="774"/>
      <c r="R325" s="774"/>
      <c r="S325" s="774"/>
      <c r="T325" s="774"/>
      <c r="U325" s="78"/>
      <c r="V325" s="774"/>
      <c r="W325" s="774"/>
      <c r="X325" s="774"/>
      <c r="Y325" s="774"/>
      <c r="Z325" s="78"/>
      <c r="AA325" s="774"/>
      <c r="AB325" s="774"/>
      <c r="AC325" s="774"/>
      <c r="AD325" s="774"/>
      <c r="AE325" s="78"/>
      <c r="AF325" s="774"/>
      <c r="AG325" s="774"/>
      <c r="AH325" s="774"/>
      <c r="AI325" s="774"/>
      <c r="AJ325" s="78"/>
      <c r="AK325" s="774"/>
      <c r="AL325" s="774"/>
      <c r="AM325" s="774"/>
      <c r="AN325" s="774"/>
      <c r="AO325" s="78"/>
      <c r="AP325" s="774"/>
      <c r="AQ325" s="774"/>
      <c r="AR325" s="774"/>
      <c r="AS325" s="774"/>
      <c r="AT325" s="1119">
        <v>13.428000000000001</v>
      </c>
      <c r="AU325" s="774"/>
      <c r="AV325" s="774"/>
      <c r="AW325" s="774"/>
      <c r="AX325" s="774"/>
      <c r="AY325" s="1119">
        <v>13.428000000000001</v>
      </c>
      <c r="AZ325" s="774"/>
      <c r="BA325" s="774"/>
      <c r="BB325" s="774"/>
      <c r="BC325" s="774"/>
      <c r="BD325" s="1119">
        <v>13.428000000000001</v>
      </c>
      <c r="BE325" s="774"/>
      <c r="BF325" s="774"/>
      <c r="BG325" s="774"/>
      <c r="BH325" s="774"/>
      <c r="BI325" s="1119">
        <v>2.7250000000000001</v>
      </c>
      <c r="BJ325" s="774"/>
      <c r="BK325" s="774"/>
      <c r="BL325" s="774"/>
      <c r="BM325" s="774"/>
      <c r="BN325" s="1119">
        <v>2.7250000000000001</v>
      </c>
      <c r="BO325" s="774"/>
      <c r="BP325" s="774"/>
      <c r="BQ325" s="774"/>
      <c r="BR325" s="774"/>
      <c r="BS325" s="78"/>
      <c r="BT325" s="775"/>
      <c r="BU325" s="774"/>
      <c r="BV325" s="774"/>
      <c r="BW325" s="774"/>
      <c r="BX325" s="78"/>
      <c r="BY325" s="774"/>
      <c r="BZ325" s="774"/>
      <c r="CA325" s="774"/>
      <c r="CB325" s="774"/>
      <c r="CC325" s="78"/>
      <c r="CD325" s="78"/>
      <c r="CE325" s="78"/>
      <c r="CF325" s="78"/>
      <c r="CG325" s="532"/>
    </row>
    <row r="326" spans="1:85" s="615" customFormat="1" x14ac:dyDescent="0.3">
      <c r="A326" s="522" t="s">
        <v>1811</v>
      </c>
      <c r="B326" s="521"/>
      <c r="C326" s="1122"/>
      <c r="D326" s="1122"/>
      <c r="E326" s="1122"/>
      <c r="F326" s="1122"/>
      <c r="G326" s="520"/>
      <c r="H326" s="520"/>
      <c r="I326" s="520"/>
      <c r="J326" s="520"/>
      <c r="K326" s="1122"/>
      <c r="L326" s="520"/>
      <c r="M326" s="520"/>
      <c r="N326" s="520"/>
      <c r="O326" s="520"/>
      <c r="P326" s="1122"/>
      <c r="Q326" s="520"/>
      <c r="R326" s="520"/>
      <c r="S326" s="520"/>
      <c r="T326" s="520"/>
      <c r="U326" s="1122"/>
      <c r="V326" s="520"/>
      <c r="W326" s="520"/>
      <c r="X326" s="520"/>
      <c r="Y326" s="520"/>
      <c r="Z326" s="1122"/>
      <c r="AA326" s="520"/>
      <c r="AB326" s="520"/>
      <c r="AC326" s="520"/>
      <c r="AD326" s="520"/>
      <c r="AE326" s="1122"/>
      <c r="AF326" s="520"/>
      <c r="AG326" s="520"/>
      <c r="AH326" s="520"/>
      <c r="AI326" s="520"/>
      <c r="AJ326" s="1122"/>
      <c r="AK326" s="520"/>
      <c r="AL326" s="520"/>
      <c r="AM326" s="520"/>
      <c r="AN326" s="520"/>
      <c r="AO326" s="1122"/>
      <c r="AP326" s="520"/>
      <c r="AQ326" s="520"/>
      <c r="AR326" s="520"/>
      <c r="AS326" s="520"/>
      <c r="AT326" s="1123">
        <v>527.51</v>
      </c>
      <c r="AU326" s="526"/>
      <c r="AV326" s="526"/>
      <c r="AW326" s="526"/>
      <c r="AX326" s="526"/>
      <c r="AY326" s="1123">
        <v>527.51</v>
      </c>
      <c r="AZ326" s="526"/>
      <c r="BA326" s="526"/>
      <c r="BB326" s="526"/>
      <c r="BC326" s="526"/>
      <c r="BD326" s="1123">
        <v>527.51</v>
      </c>
      <c r="BE326" s="520"/>
      <c r="BF326" s="520"/>
      <c r="BG326" s="520"/>
      <c r="BH326" s="520"/>
      <c r="BI326" s="1123">
        <v>527.51</v>
      </c>
      <c r="BJ326" s="520"/>
      <c r="BK326" s="520"/>
      <c r="BL326" s="520"/>
      <c r="BM326" s="520"/>
      <c r="BN326" s="1123">
        <v>527.51</v>
      </c>
      <c r="BO326" s="520"/>
      <c r="BP326" s="520"/>
      <c r="BQ326" s="520"/>
      <c r="BR326" s="520"/>
      <c r="BS326" s="1124"/>
      <c r="BT326" s="728"/>
      <c r="BU326" s="520"/>
      <c r="BV326" s="520"/>
      <c r="BW326" s="520"/>
      <c r="BX326" s="1122"/>
      <c r="BY326" s="520"/>
      <c r="BZ326" s="520"/>
      <c r="CA326" s="520"/>
      <c r="CB326" s="520"/>
      <c r="CC326" s="1122"/>
      <c r="CD326" s="1122"/>
      <c r="CE326" s="1122"/>
      <c r="CF326" s="1122"/>
      <c r="CG326" s="519"/>
    </row>
    <row r="327" spans="1:85" s="614" customFormat="1" x14ac:dyDescent="0.3">
      <c r="A327" s="522"/>
      <c r="B327" s="352"/>
      <c r="C327" s="1094"/>
      <c r="D327" s="1094"/>
      <c r="E327" s="1094"/>
      <c r="F327" s="1094"/>
      <c r="G327" s="197"/>
      <c r="H327" s="197"/>
      <c r="I327" s="197"/>
      <c r="J327" s="197"/>
      <c r="K327" s="1094"/>
      <c r="L327" s="197"/>
      <c r="M327" s="197"/>
      <c r="N327" s="197"/>
      <c r="O327" s="197"/>
      <c r="P327" s="1094"/>
      <c r="Q327" s="197"/>
      <c r="R327" s="197"/>
      <c r="S327" s="197"/>
      <c r="T327" s="197"/>
      <c r="U327" s="1094"/>
      <c r="V327" s="197"/>
      <c r="W327" s="197"/>
      <c r="X327" s="197"/>
      <c r="Y327" s="197"/>
      <c r="Z327" s="1094"/>
      <c r="AA327" s="197"/>
      <c r="AB327" s="197"/>
      <c r="AC327" s="197"/>
      <c r="AD327" s="197"/>
      <c r="AE327" s="1094"/>
      <c r="AF327" s="197"/>
      <c r="AG327" s="197"/>
      <c r="AH327" s="197"/>
      <c r="AI327" s="197"/>
      <c r="AJ327" s="1094"/>
      <c r="AK327" s="197"/>
      <c r="AL327" s="197"/>
      <c r="AM327" s="197"/>
      <c r="AN327" s="197"/>
      <c r="AO327" s="1094"/>
      <c r="AP327" s="197"/>
      <c r="AQ327" s="197"/>
      <c r="AR327" s="197"/>
      <c r="AS327" s="197"/>
      <c r="AT327" s="198"/>
      <c r="AU327" s="194"/>
      <c r="AV327" s="194"/>
      <c r="AW327" s="194"/>
      <c r="AX327" s="194"/>
      <c r="AY327" s="198"/>
      <c r="AZ327" s="194"/>
      <c r="BA327" s="194"/>
      <c r="BB327" s="194"/>
      <c r="BC327" s="194"/>
      <c r="BD327" s="198"/>
      <c r="BE327" s="197"/>
      <c r="BF327" s="197"/>
      <c r="BG327" s="197"/>
      <c r="BH327" s="197"/>
      <c r="BI327" s="198"/>
      <c r="BJ327" s="197"/>
      <c r="BK327" s="197"/>
      <c r="BL327" s="197"/>
      <c r="BM327" s="197"/>
      <c r="BN327" s="198"/>
      <c r="BO327" s="197"/>
      <c r="BP327" s="197"/>
      <c r="BQ327" s="197"/>
      <c r="BR327" s="197"/>
      <c r="BS327" s="198"/>
      <c r="BT327" s="727"/>
      <c r="BU327" s="197"/>
      <c r="BV327" s="197"/>
      <c r="BW327" s="197"/>
      <c r="BX327" s="1094"/>
      <c r="BY327" s="197"/>
      <c r="BZ327" s="197"/>
      <c r="CA327" s="197"/>
      <c r="CB327" s="197"/>
      <c r="CC327" s="1094"/>
      <c r="CD327" s="1094"/>
      <c r="CE327" s="1094"/>
      <c r="CF327" s="1094"/>
      <c r="CG327" s="349"/>
    </row>
    <row r="328" spans="1:85" s="613" customFormat="1" x14ac:dyDescent="0.3">
      <c r="A328" s="478" t="s">
        <v>1810</v>
      </c>
      <c r="B328" s="523"/>
      <c r="C328" s="78"/>
      <c r="D328" s="78"/>
      <c r="E328" s="78"/>
      <c r="F328" s="78"/>
      <c r="G328" s="774"/>
      <c r="H328" s="774"/>
      <c r="I328" s="774"/>
      <c r="J328" s="774"/>
      <c r="K328" s="78"/>
      <c r="L328" s="774"/>
      <c r="M328" s="774"/>
      <c r="N328" s="774"/>
      <c r="O328" s="774"/>
      <c r="P328" s="78"/>
      <c r="Q328" s="774"/>
      <c r="R328" s="774"/>
      <c r="S328" s="774"/>
      <c r="T328" s="774"/>
      <c r="U328" s="78"/>
      <c r="V328" s="774"/>
      <c r="W328" s="774"/>
      <c r="X328" s="774"/>
      <c r="Y328" s="774"/>
      <c r="Z328" s="78"/>
      <c r="AA328" s="774"/>
      <c r="AB328" s="774"/>
      <c r="AC328" s="774"/>
      <c r="AD328" s="774"/>
      <c r="AE328" s="78"/>
      <c r="AF328" s="774"/>
      <c r="AG328" s="774"/>
      <c r="AH328" s="774"/>
      <c r="AI328" s="774"/>
      <c r="AJ328" s="78"/>
      <c r="AK328" s="774"/>
      <c r="AL328" s="774"/>
      <c r="AM328" s="774"/>
      <c r="AN328" s="774"/>
      <c r="AO328" s="78"/>
      <c r="AP328" s="774"/>
      <c r="AQ328" s="774"/>
      <c r="AR328" s="774"/>
      <c r="AS328" s="774"/>
      <c r="AT328" s="1119">
        <v>14.632</v>
      </c>
      <c r="AU328" s="774"/>
      <c r="AV328" s="774"/>
      <c r="AW328" s="774"/>
      <c r="AX328" s="774"/>
      <c r="AY328" s="1119">
        <v>14.632</v>
      </c>
      <c r="AZ328" s="774"/>
      <c r="BA328" s="774"/>
      <c r="BB328" s="774"/>
      <c r="BC328" s="774"/>
      <c r="BD328" s="1119">
        <v>14.632</v>
      </c>
      <c r="BE328" s="774"/>
      <c r="BF328" s="774"/>
      <c r="BG328" s="774"/>
      <c r="BH328" s="774"/>
      <c r="BI328" s="1119">
        <v>2.9689999999999999</v>
      </c>
      <c r="BJ328" s="774"/>
      <c r="BK328" s="774"/>
      <c r="BL328" s="774"/>
      <c r="BM328" s="774"/>
      <c r="BN328" s="1119">
        <v>2.9689999999999999</v>
      </c>
      <c r="BO328" s="774"/>
      <c r="BP328" s="774"/>
      <c r="BQ328" s="774"/>
      <c r="BR328" s="774"/>
      <c r="BS328" s="78"/>
      <c r="BT328" s="775"/>
      <c r="BU328" s="774"/>
      <c r="BV328" s="774"/>
      <c r="BW328" s="774"/>
      <c r="BX328" s="78"/>
      <c r="BY328" s="774"/>
      <c r="BZ328" s="774"/>
      <c r="CA328" s="774"/>
      <c r="CB328" s="774"/>
      <c r="CC328" s="78"/>
      <c r="CD328" s="78"/>
      <c r="CE328" s="78"/>
      <c r="CF328" s="78"/>
      <c r="CG328" s="532"/>
    </row>
    <row r="329" spans="1:85" s="615" customFormat="1" x14ac:dyDescent="0.3">
      <c r="A329" s="522" t="s">
        <v>1809</v>
      </c>
      <c r="B329" s="521"/>
      <c r="C329" s="1122"/>
      <c r="D329" s="1122"/>
      <c r="E329" s="1122"/>
      <c r="F329" s="1122"/>
      <c r="G329" s="520"/>
      <c r="H329" s="520"/>
      <c r="I329" s="520"/>
      <c r="J329" s="520"/>
      <c r="K329" s="1122"/>
      <c r="L329" s="520"/>
      <c r="M329" s="520"/>
      <c r="N329" s="520"/>
      <c r="O329" s="520"/>
      <c r="P329" s="1122"/>
      <c r="Q329" s="520"/>
      <c r="R329" s="520"/>
      <c r="S329" s="520"/>
      <c r="T329" s="520"/>
      <c r="U329" s="1122"/>
      <c r="V329" s="520"/>
      <c r="W329" s="520"/>
      <c r="X329" s="520"/>
      <c r="Y329" s="520"/>
      <c r="Z329" s="1122"/>
      <c r="AA329" s="520"/>
      <c r="AB329" s="520"/>
      <c r="AC329" s="520"/>
      <c r="AD329" s="520"/>
      <c r="AE329" s="1122"/>
      <c r="AF329" s="520"/>
      <c r="AG329" s="520"/>
      <c r="AH329" s="520"/>
      <c r="AI329" s="520"/>
      <c r="AJ329" s="1122"/>
      <c r="AK329" s="520"/>
      <c r="AL329" s="520"/>
      <c r="AM329" s="520"/>
      <c r="AN329" s="520"/>
      <c r="AO329" s="1122"/>
      <c r="AP329" s="520"/>
      <c r="AQ329" s="520"/>
      <c r="AR329" s="520"/>
      <c r="AS329" s="520"/>
      <c r="AT329" s="1123">
        <v>484.12</v>
      </c>
      <c r="AU329" s="526"/>
      <c r="AV329" s="526"/>
      <c r="AW329" s="526"/>
      <c r="AX329" s="526"/>
      <c r="AY329" s="1123">
        <v>484.12</v>
      </c>
      <c r="AZ329" s="526"/>
      <c r="BA329" s="526"/>
      <c r="BB329" s="526"/>
      <c r="BC329" s="526"/>
      <c r="BD329" s="1123">
        <v>484.12</v>
      </c>
      <c r="BE329" s="520"/>
      <c r="BF329" s="520"/>
      <c r="BG329" s="520"/>
      <c r="BH329" s="520"/>
      <c r="BI329" s="1123">
        <v>484.12</v>
      </c>
      <c r="BJ329" s="520"/>
      <c r="BK329" s="520"/>
      <c r="BL329" s="520"/>
      <c r="BM329" s="520"/>
      <c r="BN329" s="1123">
        <v>484.12</v>
      </c>
      <c r="BO329" s="520"/>
      <c r="BP329" s="520"/>
      <c r="BQ329" s="520"/>
      <c r="BR329" s="520"/>
      <c r="BS329" s="1124"/>
      <c r="BT329" s="728"/>
      <c r="BU329" s="520"/>
      <c r="BV329" s="520"/>
      <c r="BW329" s="520"/>
      <c r="BX329" s="1122"/>
      <c r="BY329" s="520"/>
      <c r="BZ329" s="520"/>
      <c r="CA329" s="520"/>
      <c r="CB329" s="520"/>
      <c r="CC329" s="1122"/>
      <c r="CD329" s="1122"/>
      <c r="CE329" s="1122"/>
      <c r="CF329" s="1122"/>
      <c r="CG329" s="519"/>
    </row>
    <row r="330" spans="1:85" s="614" customFormat="1" x14ac:dyDescent="0.3">
      <c r="A330" s="522"/>
      <c r="B330" s="352"/>
      <c r="C330" s="1094"/>
      <c r="D330" s="1094"/>
      <c r="E330" s="1094"/>
      <c r="F330" s="1094"/>
      <c r="G330" s="197"/>
      <c r="H330" s="197"/>
      <c r="I330" s="197"/>
      <c r="J330" s="197"/>
      <c r="K330" s="1094"/>
      <c r="L330" s="197"/>
      <c r="M330" s="197"/>
      <c r="N330" s="197"/>
      <c r="O330" s="197"/>
      <c r="P330" s="1094"/>
      <c r="Q330" s="197"/>
      <c r="R330" s="197"/>
      <c r="S330" s="197"/>
      <c r="T330" s="197"/>
      <c r="U330" s="1094"/>
      <c r="V330" s="197"/>
      <c r="W330" s="197"/>
      <c r="X330" s="197"/>
      <c r="Y330" s="197"/>
      <c r="Z330" s="1094"/>
      <c r="AA330" s="197"/>
      <c r="AB330" s="197"/>
      <c r="AC330" s="197"/>
      <c r="AD330" s="197"/>
      <c r="AE330" s="1094"/>
      <c r="AF330" s="197"/>
      <c r="AG330" s="197"/>
      <c r="AH330" s="197"/>
      <c r="AI330" s="197"/>
      <c r="AJ330" s="1094"/>
      <c r="AK330" s="197"/>
      <c r="AL330" s="197"/>
      <c r="AM330" s="197"/>
      <c r="AN330" s="197"/>
      <c r="AO330" s="1094"/>
      <c r="AP330" s="197"/>
      <c r="AQ330" s="197"/>
      <c r="AR330" s="197"/>
      <c r="AS330" s="197"/>
      <c r="AT330" s="198"/>
      <c r="AU330" s="194"/>
      <c r="AV330" s="194"/>
      <c r="AW330" s="194"/>
      <c r="AX330" s="194"/>
      <c r="AY330" s="198"/>
      <c r="AZ330" s="194"/>
      <c r="BA330" s="194"/>
      <c r="BB330" s="194"/>
      <c r="BC330" s="194"/>
      <c r="BD330" s="198"/>
      <c r="BE330" s="197"/>
      <c r="BF330" s="197"/>
      <c r="BG330" s="197"/>
      <c r="BH330" s="197"/>
      <c r="BI330" s="198"/>
      <c r="BJ330" s="197"/>
      <c r="BK330" s="197"/>
      <c r="BL330" s="197"/>
      <c r="BM330" s="197"/>
      <c r="BN330" s="198"/>
      <c r="BO330" s="197"/>
      <c r="BP330" s="197"/>
      <c r="BQ330" s="197"/>
      <c r="BR330" s="197"/>
      <c r="BS330" s="198"/>
      <c r="BT330" s="727"/>
      <c r="BU330" s="197"/>
      <c r="BV330" s="197"/>
      <c r="BW330" s="197"/>
      <c r="BX330" s="1094"/>
      <c r="BY330" s="197"/>
      <c r="BZ330" s="197"/>
      <c r="CA330" s="197"/>
      <c r="CB330" s="197"/>
      <c r="CC330" s="1094"/>
      <c r="CD330" s="1094"/>
      <c r="CE330" s="1094"/>
      <c r="CF330" s="1094"/>
      <c r="CG330" s="349"/>
    </row>
    <row r="331" spans="1:85" s="613" customFormat="1" x14ac:dyDescent="0.3">
      <c r="A331" s="478" t="s">
        <v>1808</v>
      </c>
      <c r="B331" s="523"/>
      <c r="C331" s="78"/>
      <c r="D331" s="78"/>
      <c r="E331" s="78"/>
      <c r="F331" s="78"/>
      <c r="G331" s="774"/>
      <c r="H331" s="774"/>
      <c r="I331" s="774"/>
      <c r="J331" s="774"/>
      <c r="K331" s="78"/>
      <c r="L331" s="774"/>
      <c r="M331" s="774"/>
      <c r="N331" s="774"/>
      <c r="O331" s="774"/>
      <c r="P331" s="78"/>
      <c r="Q331" s="774"/>
      <c r="R331" s="774"/>
      <c r="S331" s="774"/>
      <c r="T331" s="774"/>
      <c r="U331" s="78"/>
      <c r="V331" s="774"/>
      <c r="W331" s="774"/>
      <c r="X331" s="774"/>
      <c r="Y331" s="774"/>
      <c r="Z331" s="78"/>
      <c r="AA331" s="774"/>
      <c r="AB331" s="774"/>
      <c r="AC331" s="774"/>
      <c r="AD331" s="774"/>
      <c r="AE331" s="78"/>
      <c r="AF331" s="774"/>
      <c r="AG331" s="774"/>
      <c r="AH331" s="774"/>
      <c r="AI331" s="774"/>
      <c r="AJ331" s="78"/>
      <c r="AK331" s="774"/>
      <c r="AL331" s="774"/>
      <c r="AM331" s="774"/>
      <c r="AN331" s="774"/>
      <c r="AO331" s="78"/>
      <c r="AP331" s="774"/>
      <c r="AQ331" s="774"/>
      <c r="AR331" s="774"/>
      <c r="AS331" s="774"/>
      <c r="AT331" s="1119">
        <v>14.038</v>
      </c>
      <c r="AU331" s="774"/>
      <c r="AV331" s="774"/>
      <c r="AW331" s="774"/>
      <c r="AX331" s="774"/>
      <c r="AY331" s="1119">
        <v>14.038</v>
      </c>
      <c r="AZ331" s="774"/>
      <c r="BA331" s="774"/>
      <c r="BB331" s="774"/>
      <c r="BC331" s="774"/>
      <c r="BD331" s="1119">
        <v>14.038</v>
      </c>
      <c r="BE331" s="774"/>
      <c r="BF331" s="774"/>
      <c r="BG331" s="774"/>
      <c r="BH331" s="774"/>
      <c r="BI331" s="1119">
        <v>2.8490000000000002</v>
      </c>
      <c r="BJ331" s="774"/>
      <c r="BK331" s="774"/>
      <c r="BL331" s="774"/>
      <c r="BM331" s="774"/>
      <c r="BN331" s="1119">
        <v>2.8490000000000002</v>
      </c>
      <c r="BO331" s="774"/>
      <c r="BP331" s="774"/>
      <c r="BQ331" s="774"/>
      <c r="BR331" s="774"/>
      <c r="BS331" s="78"/>
      <c r="BT331" s="775"/>
      <c r="BU331" s="774"/>
      <c r="BV331" s="774"/>
      <c r="BW331" s="774"/>
      <c r="BX331" s="78"/>
      <c r="BY331" s="774"/>
      <c r="BZ331" s="774"/>
      <c r="CA331" s="774"/>
      <c r="CB331" s="774"/>
      <c r="CC331" s="78"/>
      <c r="CD331" s="78"/>
      <c r="CE331" s="78"/>
      <c r="CF331" s="78"/>
      <c r="CG331" s="532"/>
    </row>
    <row r="332" spans="1:85" s="615" customFormat="1" x14ac:dyDescent="0.3">
      <c r="A332" s="522" t="s">
        <v>1807</v>
      </c>
      <c r="B332" s="521"/>
      <c r="C332" s="1122"/>
      <c r="D332" s="1122"/>
      <c r="E332" s="1122"/>
      <c r="F332" s="1122"/>
      <c r="G332" s="520"/>
      <c r="H332" s="520"/>
      <c r="I332" s="520"/>
      <c r="J332" s="520"/>
      <c r="K332" s="1122"/>
      <c r="L332" s="520"/>
      <c r="M332" s="520"/>
      <c r="N332" s="520"/>
      <c r="O332" s="520"/>
      <c r="P332" s="1122"/>
      <c r="Q332" s="520"/>
      <c r="R332" s="520"/>
      <c r="S332" s="520"/>
      <c r="T332" s="520"/>
      <c r="U332" s="1122"/>
      <c r="V332" s="520"/>
      <c r="W332" s="520"/>
      <c r="X332" s="520"/>
      <c r="Y332" s="520"/>
      <c r="Z332" s="1122"/>
      <c r="AA332" s="520"/>
      <c r="AB332" s="520"/>
      <c r="AC332" s="520"/>
      <c r="AD332" s="520"/>
      <c r="AE332" s="1122"/>
      <c r="AF332" s="520"/>
      <c r="AG332" s="520"/>
      <c r="AH332" s="520"/>
      <c r="AI332" s="520"/>
      <c r="AJ332" s="1122"/>
      <c r="AK332" s="520"/>
      <c r="AL332" s="520"/>
      <c r="AM332" s="520"/>
      <c r="AN332" s="520"/>
      <c r="AO332" s="1122"/>
      <c r="AP332" s="520"/>
      <c r="AQ332" s="520"/>
      <c r="AR332" s="520"/>
      <c r="AS332" s="520"/>
      <c r="AT332" s="1123">
        <v>504.58</v>
      </c>
      <c r="AU332" s="526"/>
      <c r="AV332" s="526"/>
      <c r="AW332" s="526"/>
      <c r="AX332" s="526"/>
      <c r="AY332" s="1123">
        <v>504.58</v>
      </c>
      <c r="AZ332" s="526"/>
      <c r="BA332" s="526"/>
      <c r="BB332" s="526"/>
      <c r="BC332" s="526"/>
      <c r="BD332" s="1123">
        <v>504.58</v>
      </c>
      <c r="BE332" s="520"/>
      <c r="BF332" s="520"/>
      <c r="BG332" s="520"/>
      <c r="BH332" s="520"/>
      <c r="BI332" s="1123">
        <v>504.58</v>
      </c>
      <c r="BJ332" s="520"/>
      <c r="BK332" s="520"/>
      <c r="BL332" s="520"/>
      <c r="BM332" s="520"/>
      <c r="BN332" s="1123">
        <v>504.58</v>
      </c>
      <c r="BO332" s="520"/>
      <c r="BP332" s="520"/>
      <c r="BQ332" s="520"/>
      <c r="BR332" s="520"/>
      <c r="BS332" s="1124"/>
      <c r="BT332" s="728"/>
      <c r="BU332" s="520"/>
      <c r="BV332" s="520"/>
      <c r="BW332" s="520"/>
      <c r="BX332" s="1122"/>
      <c r="BY332" s="520"/>
      <c r="BZ332" s="520"/>
      <c r="CA332" s="520"/>
      <c r="CB332" s="520"/>
      <c r="CC332" s="1122"/>
      <c r="CD332" s="1122"/>
      <c r="CE332" s="1122"/>
      <c r="CF332" s="1122"/>
      <c r="CG332" s="519"/>
    </row>
    <row r="333" spans="1:85" s="614" customFormat="1" x14ac:dyDescent="0.3">
      <c r="A333" s="522"/>
      <c r="B333" s="352"/>
      <c r="C333" s="1094"/>
      <c r="D333" s="1094"/>
      <c r="E333" s="1094"/>
      <c r="F333" s="1094"/>
      <c r="G333" s="197"/>
      <c r="H333" s="197"/>
      <c r="I333" s="197"/>
      <c r="J333" s="197"/>
      <c r="K333" s="1094"/>
      <c r="L333" s="197"/>
      <c r="M333" s="197"/>
      <c r="N333" s="197"/>
      <c r="O333" s="197"/>
      <c r="P333" s="1094"/>
      <c r="Q333" s="197"/>
      <c r="R333" s="197"/>
      <c r="S333" s="197"/>
      <c r="T333" s="197"/>
      <c r="U333" s="1094"/>
      <c r="V333" s="197"/>
      <c r="W333" s="197"/>
      <c r="X333" s="197"/>
      <c r="Y333" s="197"/>
      <c r="Z333" s="1094"/>
      <c r="AA333" s="197"/>
      <c r="AB333" s="197"/>
      <c r="AC333" s="197"/>
      <c r="AD333" s="197"/>
      <c r="AE333" s="1094"/>
      <c r="AF333" s="197"/>
      <c r="AG333" s="197"/>
      <c r="AH333" s="197"/>
      <c r="AI333" s="197"/>
      <c r="AJ333" s="1094"/>
      <c r="AK333" s="197"/>
      <c r="AL333" s="197"/>
      <c r="AM333" s="197"/>
      <c r="AN333" s="197"/>
      <c r="AO333" s="1094"/>
      <c r="AP333" s="197"/>
      <c r="AQ333" s="197"/>
      <c r="AR333" s="197"/>
      <c r="AS333" s="197"/>
      <c r="AT333" s="198"/>
      <c r="AU333" s="194"/>
      <c r="AV333" s="194"/>
      <c r="AW333" s="194"/>
      <c r="AX333" s="194"/>
      <c r="AY333" s="198"/>
      <c r="AZ333" s="194"/>
      <c r="BA333" s="194"/>
      <c r="BB333" s="194"/>
      <c r="BC333" s="194"/>
      <c r="BD333" s="198"/>
      <c r="BE333" s="197"/>
      <c r="BF333" s="197"/>
      <c r="BG333" s="197"/>
      <c r="BH333" s="197"/>
      <c r="BI333" s="198"/>
      <c r="BJ333" s="197"/>
      <c r="BK333" s="197"/>
      <c r="BL333" s="197"/>
      <c r="BM333" s="197"/>
      <c r="BN333" s="198"/>
      <c r="BO333" s="197"/>
      <c r="BP333" s="197"/>
      <c r="BQ333" s="197"/>
      <c r="BR333" s="197"/>
      <c r="BS333" s="198"/>
      <c r="BT333" s="727"/>
      <c r="BU333" s="197"/>
      <c r="BV333" s="197"/>
      <c r="BW333" s="197"/>
      <c r="BX333" s="1094"/>
      <c r="BY333" s="197"/>
      <c r="BZ333" s="197"/>
      <c r="CA333" s="197"/>
      <c r="CB333" s="197"/>
      <c r="CC333" s="1094"/>
      <c r="CD333" s="1094"/>
      <c r="CE333" s="1094"/>
      <c r="CF333" s="1094"/>
      <c r="CG333" s="349"/>
    </row>
    <row r="334" spans="1:85" s="613" customFormat="1" x14ac:dyDescent="0.3">
      <c r="A334" s="478" t="s">
        <v>1806</v>
      </c>
      <c r="B334" s="523"/>
      <c r="C334" s="78"/>
      <c r="D334" s="78"/>
      <c r="E334" s="78"/>
      <c r="F334" s="78"/>
      <c r="G334" s="774"/>
      <c r="H334" s="774"/>
      <c r="I334" s="774"/>
      <c r="J334" s="774"/>
      <c r="K334" s="78"/>
      <c r="L334" s="774"/>
      <c r="M334" s="774"/>
      <c r="N334" s="774"/>
      <c r="O334" s="774"/>
      <c r="P334" s="78"/>
      <c r="Q334" s="774"/>
      <c r="R334" s="774"/>
      <c r="S334" s="774"/>
      <c r="T334" s="774"/>
      <c r="U334" s="78"/>
      <c r="V334" s="774"/>
      <c r="W334" s="774"/>
      <c r="X334" s="774"/>
      <c r="Y334" s="774"/>
      <c r="Z334" s="78"/>
      <c r="AA334" s="774"/>
      <c r="AB334" s="774"/>
      <c r="AC334" s="774"/>
      <c r="AD334" s="774"/>
      <c r="AE334" s="78"/>
      <c r="AF334" s="774"/>
      <c r="AG334" s="774"/>
      <c r="AH334" s="774"/>
      <c r="AI334" s="774"/>
      <c r="AJ334" s="78"/>
      <c r="AK334" s="774"/>
      <c r="AL334" s="774"/>
      <c r="AM334" s="774"/>
      <c r="AN334" s="774"/>
      <c r="AO334" s="78"/>
      <c r="AP334" s="774"/>
      <c r="AQ334" s="774"/>
      <c r="AR334" s="774"/>
      <c r="AS334" s="774"/>
      <c r="AT334" s="78"/>
      <c r="AU334" s="774"/>
      <c r="AV334" s="774"/>
      <c r="AW334" s="774"/>
      <c r="AX334" s="774"/>
      <c r="AY334" s="1119">
        <v>13.547000000000001</v>
      </c>
      <c r="AZ334" s="774"/>
      <c r="BA334" s="774"/>
      <c r="BB334" s="774"/>
      <c r="BC334" s="774"/>
      <c r="BD334" s="1119">
        <v>13.547000000000001</v>
      </c>
      <c r="BE334" s="774"/>
      <c r="BF334" s="774"/>
      <c r="BG334" s="774"/>
      <c r="BH334" s="774"/>
      <c r="BI334" s="1119">
        <v>2.75</v>
      </c>
      <c r="BJ334" s="774"/>
      <c r="BK334" s="774"/>
      <c r="BL334" s="774"/>
      <c r="BM334" s="774"/>
      <c r="BN334" s="1119">
        <v>2.75</v>
      </c>
      <c r="BO334" s="774"/>
      <c r="BP334" s="774"/>
      <c r="BQ334" s="774"/>
      <c r="BR334" s="774"/>
      <c r="BS334" s="78"/>
      <c r="BT334" s="775"/>
      <c r="BU334" s="774"/>
      <c r="BV334" s="774"/>
      <c r="BW334" s="774"/>
      <c r="BX334" s="78"/>
      <c r="BY334" s="774"/>
      <c r="BZ334" s="774"/>
      <c r="CA334" s="774"/>
      <c r="CB334" s="774"/>
      <c r="CC334" s="78"/>
      <c r="CD334" s="78"/>
      <c r="CE334" s="78"/>
      <c r="CF334" s="78"/>
      <c r="CG334" s="532"/>
    </row>
    <row r="335" spans="1:85" s="615" customFormat="1" x14ac:dyDescent="0.3">
      <c r="A335" s="522" t="s">
        <v>1805</v>
      </c>
      <c r="B335" s="521"/>
      <c r="C335" s="1122"/>
      <c r="D335" s="1122"/>
      <c r="E335" s="1122"/>
      <c r="F335" s="1122"/>
      <c r="G335" s="520"/>
      <c r="H335" s="520"/>
      <c r="I335" s="520"/>
      <c r="J335" s="520"/>
      <c r="K335" s="1122"/>
      <c r="L335" s="520"/>
      <c r="M335" s="520"/>
      <c r="N335" s="520"/>
      <c r="O335" s="520"/>
      <c r="P335" s="1122"/>
      <c r="Q335" s="520"/>
      <c r="R335" s="520"/>
      <c r="S335" s="520"/>
      <c r="T335" s="520"/>
      <c r="U335" s="1122"/>
      <c r="V335" s="520"/>
      <c r="W335" s="520"/>
      <c r="X335" s="520"/>
      <c r="Y335" s="520"/>
      <c r="Z335" s="1122"/>
      <c r="AA335" s="520"/>
      <c r="AB335" s="520"/>
      <c r="AC335" s="520"/>
      <c r="AD335" s="520"/>
      <c r="AE335" s="1122"/>
      <c r="AF335" s="520"/>
      <c r="AG335" s="520"/>
      <c r="AH335" s="520"/>
      <c r="AI335" s="520"/>
      <c r="AJ335" s="1122"/>
      <c r="AK335" s="520"/>
      <c r="AL335" s="520"/>
      <c r="AM335" s="520"/>
      <c r="AN335" s="520"/>
      <c r="AO335" s="1122"/>
      <c r="AP335" s="520"/>
      <c r="AQ335" s="520"/>
      <c r="AR335" s="520"/>
      <c r="AS335" s="520"/>
      <c r="AT335" s="1124"/>
      <c r="AU335" s="526"/>
      <c r="AV335" s="526"/>
      <c r="AW335" s="526"/>
      <c r="AX335" s="526"/>
      <c r="AY335" s="1123">
        <v>522.86</v>
      </c>
      <c r="AZ335" s="526"/>
      <c r="BA335" s="526"/>
      <c r="BB335" s="526"/>
      <c r="BC335" s="526"/>
      <c r="BD335" s="1123">
        <v>522.86</v>
      </c>
      <c r="BE335" s="520"/>
      <c r="BF335" s="520"/>
      <c r="BG335" s="520"/>
      <c r="BH335" s="520"/>
      <c r="BI335" s="1123">
        <v>522.86</v>
      </c>
      <c r="BJ335" s="520"/>
      <c r="BK335" s="520"/>
      <c r="BL335" s="520"/>
      <c r="BM335" s="520"/>
      <c r="BN335" s="1123">
        <v>522.86</v>
      </c>
      <c r="BO335" s="520"/>
      <c r="BP335" s="520"/>
      <c r="BQ335" s="520"/>
      <c r="BR335" s="520"/>
      <c r="BS335" s="1124"/>
      <c r="BT335" s="728"/>
      <c r="BU335" s="520"/>
      <c r="BV335" s="520"/>
      <c r="BW335" s="520"/>
      <c r="BX335" s="1122"/>
      <c r="BY335" s="520"/>
      <c r="BZ335" s="520"/>
      <c r="CA335" s="520"/>
      <c r="CB335" s="520"/>
      <c r="CC335" s="1122"/>
      <c r="CD335" s="1122"/>
      <c r="CE335" s="1122"/>
      <c r="CF335" s="1122"/>
      <c r="CG335" s="519"/>
    </row>
    <row r="336" spans="1:85" s="614" customFormat="1" x14ac:dyDescent="0.3">
      <c r="A336" s="522"/>
      <c r="B336" s="352"/>
      <c r="C336" s="1094"/>
      <c r="D336" s="1094"/>
      <c r="E336" s="1094"/>
      <c r="F336" s="1094"/>
      <c r="G336" s="197"/>
      <c r="H336" s="197"/>
      <c r="I336" s="197"/>
      <c r="J336" s="197"/>
      <c r="K336" s="1094"/>
      <c r="L336" s="197"/>
      <c r="M336" s="197"/>
      <c r="N336" s="197"/>
      <c r="O336" s="197"/>
      <c r="P336" s="1094"/>
      <c r="Q336" s="197"/>
      <c r="R336" s="197"/>
      <c r="S336" s="197"/>
      <c r="T336" s="197"/>
      <c r="U336" s="1094"/>
      <c r="V336" s="197"/>
      <c r="W336" s="197"/>
      <c r="X336" s="197"/>
      <c r="Y336" s="197"/>
      <c r="Z336" s="1094"/>
      <c r="AA336" s="197"/>
      <c r="AB336" s="197"/>
      <c r="AC336" s="197"/>
      <c r="AD336" s="197"/>
      <c r="AE336" s="1094"/>
      <c r="AF336" s="197"/>
      <c r="AG336" s="197"/>
      <c r="AH336" s="197"/>
      <c r="AI336" s="197"/>
      <c r="AJ336" s="1094"/>
      <c r="AK336" s="197"/>
      <c r="AL336" s="197"/>
      <c r="AM336" s="197"/>
      <c r="AN336" s="197"/>
      <c r="AO336" s="1094"/>
      <c r="AP336" s="197"/>
      <c r="AQ336" s="197"/>
      <c r="AR336" s="197"/>
      <c r="AS336" s="197"/>
      <c r="AT336" s="198"/>
      <c r="AU336" s="194"/>
      <c r="AV336" s="194"/>
      <c r="AW336" s="194"/>
      <c r="AX336" s="194"/>
      <c r="AY336" s="198"/>
      <c r="AZ336" s="194"/>
      <c r="BA336" s="194"/>
      <c r="BB336" s="194"/>
      <c r="BC336" s="194"/>
      <c r="BD336" s="198"/>
      <c r="BE336" s="197"/>
      <c r="BF336" s="197"/>
      <c r="BG336" s="197"/>
      <c r="BH336" s="197"/>
      <c r="BI336" s="198"/>
      <c r="BJ336" s="197"/>
      <c r="BK336" s="197"/>
      <c r="BL336" s="197"/>
      <c r="BM336" s="197"/>
      <c r="BN336" s="198"/>
      <c r="BO336" s="197"/>
      <c r="BP336" s="197"/>
      <c r="BQ336" s="197"/>
      <c r="BR336" s="197"/>
      <c r="BS336" s="198"/>
      <c r="BT336" s="727"/>
      <c r="BU336" s="197"/>
      <c r="BV336" s="197"/>
      <c r="BW336" s="197"/>
      <c r="BX336" s="1094"/>
      <c r="BY336" s="197"/>
      <c r="BZ336" s="197"/>
      <c r="CA336" s="197"/>
      <c r="CB336" s="197"/>
      <c r="CC336" s="1094"/>
      <c r="CD336" s="1094"/>
      <c r="CE336" s="1094"/>
      <c r="CF336" s="1094"/>
      <c r="CG336" s="349"/>
    </row>
    <row r="337" spans="1:85" s="613" customFormat="1" x14ac:dyDescent="0.3">
      <c r="A337" s="478" t="s">
        <v>1804</v>
      </c>
      <c r="B337" s="523"/>
      <c r="C337" s="78"/>
      <c r="D337" s="78"/>
      <c r="E337" s="78"/>
      <c r="F337" s="78"/>
      <c r="G337" s="774"/>
      <c r="H337" s="774"/>
      <c r="I337" s="774"/>
      <c r="J337" s="774"/>
      <c r="K337" s="78"/>
      <c r="L337" s="774"/>
      <c r="M337" s="774"/>
      <c r="N337" s="774"/>
      <c r="O337" s="774"/>
      <c r="P337" s="78"/>
      <c r="Q337" s="774"/>
      <c r="R337" s="774"/>
      <c r="S337" s="774"/>
      <c r="T337" s="774"/>
      <c r="U337" s="78"/>
      <c r="V337" s="774"/>
      <c r="W337" s="774"/>
      <c r="X337" s="774"/>
      <c r="Y337" s="774"/>
      <c r="Z337" s="78"/>
      <c r="AA337" s="774"/>
      <c r="AB337" s="774"/>
      <c r="AC337" s="774"/>
      <c r="AD337" s="774"/>
      <c r="AE337" s="78"/>
      <c r="AF337" s="774"/>
      <c r="AG337" s="774"/>
      <c r="AH337" s="774"/>
      <c r="AI337" s="774"/>
      <c r="AJ337" s="78"/>
      <c r="AK337" s="774"/>
      <c r="AL337" s="774"/>
      <c r="AM337" s="774"/>
      <c r="AN337" s="774"/>
      <c r="AO337" s="78"/>
      <c r="AP337" s="774"/>
      <c r="AQ337" s="774"/>
      <c r="AR337" s="774"/>
      <c r="AS337" s="774"/>
      <c r="AT337" s="78"/>
      <c r="AU337" s="774"/>
      <c r="AV337" s="774"/>
      <c r="AW337" s="774"/>
      <c r="AX337" s="774"/>
      <c r="AY337" s="1119">
        <v>13.141</v>
      </c>
      <c r="AZ337" s="774"/>
      <c r="BA337" s="774"/>
      <c r="BB337" s="774"/>
      <c r="BC337" s="774"/>
      <c r="BD337" s="1119">
        <v>13.141</v>
      </c>
      <c r="BE337" s="774"/>
      <c r="BF337" s="774"/>
      <c r="BG337" s="774"/>
      <c r="BH337" s="774"/>
      <c r="BI337" s="1119">
        <v>2.6659999999999999</v>
      </c>
      <c r="BJ337" s="774"/>
      <c r="BK337" s="774"/>
      <c r="BL337" s="774"/>
      <c r="BM337" s="774"/>
      <c r="BN337" s="1119">
        <v>2.6659999999999999</v>
      </c>
      <c r="BO337" s="774"/>
      <c r="BP337" s="774"/>
      <c r="BQ337" s="774"/>
      <c r="BR337" s="774"/>
      <c r="BS337" s="78"/>
      <c r="BT337" s="775"/>
      <c r="BU337" s="774"/>
      <c r="BV337" s="774"/>
      <c r="BW337" s="774"/>
      <c r="BX337" s="78"/>
      <c r="BY337" s="774"/>
      <c r="BZ337" s="774"/>
      <c r="CA337" s="774"/>
      <c r="CB337" s="774"/>
      <c r="CC337" s="78"/>
      <c r="CD337" s="78"/>
      <c r="CE337" s="78"/>
      <c r="CF337" s="78"/>
      <c r="CG337" s="532"/>
    </row>
    <row r="338" spans="1:85" s="615" customFormat="1" x14ac:dyDescent="0.3">
      <c r="A338" s="522" t="s">
        <v>1803</v>
      </c>
      <c r="B338" s="521"/>
      <c r="C338" s="1122"/>
      <c r="D338" s="1122"/>
      <c r="E338" s="1122"/>
      <c r="F338" s="1122"/>
      <c r="G338" s="520"/>
      <c r="H338" s="520"/>
      <c r="I338" s="520"/>
      <c r="J338" s="520"/>
      <c r="K338" s="1122"/>
      <c r="L338" s="520"/>
      <c r="M338" s="520"/>
      <c r="N338" s="520"/>
      <c r="O338" s="520"/>
      <c r="P338" s="1122"/>
      <c r="Q338" s="520"/>
      <c r="R338" s="520"/>
      <c r="S338" s="520"/>
      <c r="T338" s="520"/>
      <c r="U338" s="1122"/>
      <c r="V338" s="520"/>
      <c r="W338" s="520"/>
      <c r="X338" s="520"/>
      <c r="Y338" s="520"/>
      <c r="Z338" s="1122"/>
      <c r="AA338" s="520"/>
      <c r="AB338" s="520"/>
      <c r="AC338" s="520"/>
      <c r="AD338" s="520"/>
      <c r="AE338" s="1122"/>
      <c r="AF338" s="520"/>
      <c r="AG338" s="520"/>
      <c r="AH338" s="520"/>
      <c r="AI338" s="520"/>
      <c r="AJ338" s="1122"/>
      <c r="AK338" s="520"/>
      <c r="AL338" s="520"/>
      <c r="AM338" s="520"/>
      <c r="AN338" s="520"/>
      <c r="AO338" s="1122"/>
      <c r="AP338" s="520"/>
      <c r="AQ338" s="520"/>
      <c r="AR338" s="520"/>
      <c r="AS338" s="520"/>
      <c r="AT338" s="1124"/>
      <c r="AU338" s="526"/>
      <c r="AV338" s="526"/>
      <c r="AW338" s="526"/>
      <c r="AX338" s="526"/>
      <c r="AY338" s="1123">
        <v>539.04</v>
      </c>
      <c r="AZ338" s="526"/>
      <c r="BA338" s="526"/>
      <c r="BB338" s="526"/>
      <c r="BC338" s="526"/>
      <c r="BD338" s="1123">
        <v>539.04</v>
      </c>
      <c r="BE338" s="520"/>
      <c r="BF338" s="520"/>
      <c r="BG338" s="520"/>
      <c r="BH338" s="520"/>
      <c r="BI338" s="1123">
        <v>539.04</v>
      </c>
      <c r="BJ338" s="520"/>
      <c r="BK338" s="520"/>
      <c r="BL338" s="520"/>
      <c r="BM338" s="520"/>
      <c r="BN338" s="1123">
        <v>539.04</v>
      </c>
      <c r="BO338" s="520"/>
      <c r="BP338" s="520"/>
      <c r="BQ338" s="520"/>
      <c r="BR338" s="520"/>
      <c r="BS338" s="1124"/>
      <c r="BT338" s="728"/>
      <c r="BU338" s="520"/>
      <c r="BV338" s="520"/>
      <c r="BW338" s="520"/>
      <c r="BX338" s="1122"/>
      <c r="BY338" s="520"/>
      <c r="BZ338" s="520"/>
      <c r="CA338" s="520"/>
      <c r="CB338" s="520"/>
      <c r="CC338" s="1122"/>
      <c r="CD338" s="1122"/>
      <c r="CE338" s="1122"/>
      <c r="CF338" s="1122"/>
      <c r="CG338" s="519"/>
    </row>
    <row r="339" spans="1:85" s="614" customFormat="1" x14ac:dyDescent="0.3">
      <c r="A339" s="522"/>
      <c r="B339" s="352"/>
      <c r="C339" s="1094"/>
      <c r="D339" s="1094"/>
      <c r="E339" s="1094"/>
      <c r="F339" s="1094"/>
      <c r="G339" s="197"/>
      <c r="H339" s="197"/>
      <c r="I339" s="197"/>
      <c r="J339" s="197"/>
      <c r="K339" s="1094"/>
      <c r="L339" s="197"/>
      <c r="M339" s="197"/>
      <c r="N339" s="197"/>
      <c r="O339" s="197"/>
      <c r="P339" s="1094"/>
      <c r="Q339" s="197"/>
      <c r="R339" s="197"/>
      <c r="S339" s="197"/>
      <c r="T339" s="197"/>
      <c r="U339" s="1094"/>
      <c r="V339" s="197"/>
      <c r="W339" s="197"/>
      <c r="X339" s="197"/>
      <c r="Y339" s="197"/>
      <c r="Z339" s="1094"/>
      <c r="AA339" s="197"/>
      <c r="AB339" s="197"/>
      <c r="AC339" s="197"/>
      <c r="AD339" s="197"/>
      <c r="AE339" s="1094"/>
      <c r="AF339" s="197"/>
      <c r="AG339" s="197"/>
      <c r="AH339" s="197"/>
      <c r="AI339" s="197"/>
      <c r="AJ339" s="1094"/>
      <c r="AK339" s="197"/>
      <c r="AL339" s="197"/>
      <c r="AM339" s="197"/>
      <c r="AN339" s="197"/>
      <c r="AO339" s="1094"/>
      <c r="AP339" s="197"/>
      <c r="AQ339" s="197"/>
      <c r="AR339" s="197"/>
      <c r="AS339" s="197"/>
      <c r="AT339" s="198"/>
      <c r="AU339" s="194"/>
      <c r="AV339" s="194"/>
      <c r="AW339" s="194"/>
      <c r="AX339" s="194"/>
      <c r="AY339" s="198"/>
      <c r="AZ339" s="194"/>
      <c r="BA339" s="194"/>
      <c r="BB339" s="194"/>
      <c r="BC339" s="194"/>
      <c r="BD339" s="198"/>
      <c r="BE339" s="197"/>
      <c r="BF339" s="197"/>
      <c r="BG339" s="197"/>
      <c r="BH339" s="197"/>
      <c r="BI339" s="198"/>
      <c r="BJ339" s="197"/>
      <c r="BK339" s="197"/>
      <c r="BL339" s="197"/>
      <c r="BM339" s="197"/>
      <c r="BN339" s="198"/>
      <c r="BO339" s="197"/>
      <c r="BP339" s="197"/>
      <c r="BQ339" s="197"/>
      <c r="BR339" s="197"/>
      <c r="BS339" s="198"/>
      <c r="BT339" s="727"/>
      <c r="BU339" s="197"/>
      <c r="BV339" s="197"/>
      <c r="BW339" s="197"/>
      <c r="BX339" s="1094"/>
      <c r="BY339" s="197"/>
      <c r="BZ339" s="197"/>
      <c r="CA339" s="197"/>
      <c r="CB339" s="197"/>
      <c r="CC339" s="1094"/>
      <c r="CD339" s="1094"/>
      <c r="CE339" s="1094"/>
      <c r="CF339" s="1094"/>
      <c r="CG339" s="349"/>
    </row>
    <row r="340" spans="1:85" s="613" customFormat="1" x14ac:dyDescent="0.3">
      <c r="A340" s="478" t="s">
        <v>1802</v>
      </c>
      <c r="B340" s="523"/>
      <c r="C340" s="78"/>
      <c r="D340" s="78"/>
      <c r="E340" s="78"/>
      <c r="F340" s="78"/>
      <c r="G340" s="774"/>
      <c r="H340" s="774"/>
      <c r="I340" s="774"/>
      <c r="J340" s="774"/>
      <c r="K340" s="78"/>
      <c r="L340" s="774"/>
      <c r="M340" s="774"/>
      <c r="N340" s="774"/>
      <c r="O340" s="774"/>
      <c r="P340" s="78"/>
      <c r="Q340" s="774"/>
      <c r="R340" s="774"/>
      <c r="S340" s="774"/>
      <c r="T340" s="774"/>
      <c r="U340" s="78"/>
      <c r="V340" s="774"/>
      <c r="W340" s="774"/>
      <c r="X340" s="774"/>
      <c r="Y340" s="774"/>
      <c r="Z340" s="78"/>
      <c r="AA340" s="774"/>
      <c r="AB340" s="774"/>
      <c r="AC340" s="774"/>
      <c r="AD340" s="774"/>
      <c r="AE340" s="78"/>
      <c r="AF340" s="774"/>
      <c r="AG340" s="774"/>
      <c r="AH340" s="774"/>
      <c r="AI340" s="774"/>
      <c r="AJ340" s="78"/>
      <c r="AK340" s="774"/>
      <c r="AL340" s="774"/>
      <c r="AM340" s="774"/>
      <c r="AN340" s="774"/>
      <c r="AO340" s="78"/>
      <c r="AP340" s="774"/>
      <c r="AQ340" s="774"/>
      <c r="AR340" s="774"/>
      <c r="AS340" s="774"/>
      <c r="AT340" s="78"/>
      <c r="AU340" s="774"/>
      <c r="AV340" s="774"/>
      <c r="AW340" s="774"/>
      <c r="AX340" s="774"/>
      <c r="AY340" s="1119">
        <v>12.864000000000001</v>
      </c>
      <c r="AZ340" s="774"/>
      <c r="BA340" s="774"/>
      <c r="BB340" s="774"/>
      <c r="BC340" s="774"/>
      <c r="BD340" s="1119">
        <v>12.864000000000001</v>
      </c>
      <c r="BE340" s="774"/>
      <c r="BF340" s="774"/>
      <c r="BG340" s="774"/>
      <c r="BH340" s="774"/>
      <c r="BI340" s="1119">
        <v>2.6110000000000002</v>
      </c>
      <c r="BJ340" s="774"/>
      <c r="BK340" s="774"/>
      <c r="BL340" s="774"/>
      <c r="BM340" s="774"/>
      <c r="BN340" s="1119">
        <v>2.6110000000000002</v>
      </c>
      <c r="BO340" s="774"/>
      <c r="BP340" s="774"/>
      <c r="BQ340" s="774"/>
      <c r="BR340" s="774"/>
      <c r="BS340" s="78"/>
      <c r="BT340" s="775"/>
      <c r="BU340" s="774"/>
      <c r="BV340" s="774"/>
      <c r="BW340" s="774"/>
      <c r="BX340" s="78"/>
      <c r="BY340" s="774"/>
      <c r="BZ340" s="774"/>
      <c r="CA340" s="774"/>
      <c r="CB340" s="774"/>
      <c r="CC340" s="78"/>
      <c r="CD340" s="78"/>
      <c r="CE340" s="78"/>
      <c r="CF340" s="78"/>
      <c r="CG340" s="532"/>
    </row>
    <row r="341" spans="1:85" s="615" customFormat="1" x14ac:dyDescent="0.3">
      <c r="A341" s="522" t="s">
        <v>1801</v>
      </c>
      <c r="B341" s="521"/>
      <c r="C341" s="1122"/>
      <c r="D341" s="1122"/>
      <c r="E341" s="1122"/>
      <c r="F341" s="1122"/>
      <c r="G341" s="520"/>
      <c r="H341" s="520"/>
      <c r="I341" s="520"/>
      <c r="J341" s="520"/>
      <c r="K341" s="1122"/>
      <c r="L341" s="520"/>
      <c r="M341" s="520"/>
      <c r="N341" s="520"/>
      <c r="O341" s="520"/>
      <c r="P341" s="1122"/>
      <c r="Q341" s="520"/>
      <c r="R341" s="520"/>
      <c r="S341" s="520"/>
      <c r="T341" s="520"/>
      <c r="U341" s="1122"/>
      <c r="V341" s="520"/>
      <c r="W341" s="520"/>
      <c r="X341" s="520"/>
      <c r="Y341" s="520"/>
      <c r="Z341" s="1122"/>
      <c r="AA341" s="520"/>
      <c r="AB341" s="520"/>
      <c r="AC341" s="520"/>
      <c r="AD341" s="520"/>
      <c r="AE341" s="1122"/>
      <c r="AF341" s="520"/>
      <c r="AG341" s="520"/>
      <c r="AH341" s="520"/>
      <c r="AI341" s="520"/>
      <c r="AJ341" s="1122"/>
      <c r="AK341" s="520"/>
      <c r="AL341" s="520"/>
      <c r="AM341" s="520"/>
      <c r="AN341" s="520"/>
      <c r="AO341" s="1122"/>
      <c r="AP341" s="520"/>
      <c r="AQ341" s="520"/>
      <c r="AR341" s="520"/>
      <c r="AS341" s="520"/>
      <c r="AT341" s="1124"/>
      <c r="AU341" s="526"/>
      <c r="AV341" s="526"/>
      <c r="AW341" s="526"/>
      <c r="AX341" s="526"/>
      <c r="AY341" s="1123">
        <v>550.64</v>
      </c>
      <c r="AZ341" s="526"/>
      <c r="BA341" s="526"/>
      <c r="BB341" s="526"/>
      <c r="BC341" s="526"/>
      <c r="BD341" s="1123">
        <v>550.64</v>
      </c>
      <c r="BE341" s="520"/>
      <c r="BF341" s="520"/>
      <c r="BG341" s="520"/>
      <c r="BH341" s="520"/>
      <c r="BI341" s="1123">
        <v>550.64</v>
      </c>
      <c r="BJ341" s="520"/>
      <c r="BK341" s="520"/>
      <c r="BL341" s="520"/>
      <c r="BM341" s="520"/>
      <c r="BN341" s="1123">
        <v>550.64</v>
      </c>
      <c r="BO341" s="520"/>
      <c r="BP341" s="520"/>
      <c r="BQ341" s="520"/>
      <c r="BR341" s="520"/>
      <c r="BS341" s="1124"/>
      <c r="BT341" s="728"/>
      <c r="BU341" s="520"/>
      <c r="BV341" s="520"/>
      <c r="BW341" s="520"/>
      <c r="BX341" s="1122"/>
      <c r="BY341" s="520"/>
      <c r="BZ341" s="520"/>
      <c r="CA341" s="520"/>
      <c r="CB341" s="520"/>
      <c r="CC341" s="1122"/>
      <c r="CD341" s="1122"/>
      <c r="CE341" s="1122"/>
      <c r="CF341" s="1122"/>
      <c r="CG341" s="519"/>
    </row>
    <row r="342" spans="1:85" s="614" customFormat="1" x14ac:dyDescent="0.3">
      <c r="A342" s="522"/>
      <c r="B342" s="352"/>
      <c r="C342" s="1094"/>
      <c r="D342" s="1094"/>
      <c r="E342" s="1094"/>
      <c r="F342" s="1094"/>
      <c r="G342" s="197"/>
      <c r="H342" s="197"/>
      <c r="I342" s="197"/>
      <c r="J342" s="197"/>
      <c r="K342" s="1094"/>
      <c r="L342" s="197"/>
      <c r="M342" s="197"/>
      <c r="N342" s="197"/>
      <c r="O342" s="197"/>
      <c r="P342" s="1094"/>
      <c r="Q342" s="197"/>
      <c r="R342" s="197"/>
      <c r="S342" s="197"/>
      <c r="T342" s="197"/>
      <c r="U342" s="1094"/>
      <c r="V342" s="197"/>
      <c r="W342" s="197"/>
      <c r="X342" s="197"/>
      <c r="Y342" s="197"/>
      <c r="Z342" s="1094"/>
      <c r="AA342" s="197"/>
      <c r="AB342" s="197"/>
      <c r="AC342" s="197"/>
      <c r="AD342" s="197"/>
      <c r="AE342" s="1094"/>
      <c r="AF342" s="197"/>
      <c r="AG342" s="197"/>
      <c r="AH342" s="197"/>
      <c r="AI342" s="197"/>
      <c r="AJ342" s="1094"/>
      <c r="AK342" s="197"/>
      <c r="AL342" s="197"/>
      <c r="AM342" s="197"/>
      <c r="AN342" s="197"/>
      <c r="AO342" s="1094"/>
      <c r="AP342" s="197"/>
      <c r="AQ342" s="197"/>
      <c r="AR342" s="197"/>
      <c r="AS342" s="197"/>
      <c r="AT342" s="198"/>
      <c r="AU342" s="194"/>
      <c r="AV342" s="194"/>
      <c r="AW342" s="194"/>
      <c r="AX342" s="194"/>
      <c r="AY342" s="198"/>
      <c r="AZ342" s="194"/>
      <c r="BA342" s="194"/>
      <c r="BB342" s="194"/>
      <c r="BC342" s="194"/>
      <c r="BD342" s="198"/>
      <c r="BE342" s="197"/>
      <c r="BF342" s="197"/>
      <c r="BG342" s="197"/>
      <c r="BH342" s="197"/>
      <c r="BI342" s="198"/>
      <c r="BJ342" s="197"/>
      <c r="BK342" s="197"/>
      <c r="BL342" s="197"/>
      <c r="BM342" s="197"/>
      <c r="BN342" s="198"/>
      <c r="BO342" s="197"/>
      <c r="BP342" s="197"/>
      <c r="BQ342" s="197"/>
      <c r="BR342" s="197"/>
      <c r="BS342" s="198"/>
      <c r="BT342" s="727"/>
      <c r="BU342" s="197"/>
      <c r="BV342" s="197"/>
      <c r="BW342" s="197"/>
      <c r="BX342" s="1094"/>
      <c r="BY342" s="197"/>
      <c r="BZ342" s="197"/>
      <c r="CA342" s="197"/>
      <c r="CB342" s="197"/>
      <c r="CC342" s="1094"/>
      <c r="CD342" s="1094"/>
      <c r="CE342" s="1094"/>
      <c r="CF342" s="1094"/>
      <c r="CG342" s="349"/>
    </row>
    <row r="343" spans="1:85" s="613" customFormat="1" x14ac:dyDescent="0.3">
      <c r="A343" s="478" t="s">
        <v>1800</v>
      </c>
      <c r="B343" s="523"/>
      <c r="C343" s="78"/>
      <c r="D343" s="78"/>
      <c r="E343" s="78"/>
      <c r="F343" s="78"/>
      <c r="G343" s="774"/>
      <c r="H343" s="774"/>
      <c r="I343" s="774"/>
      <c r="J343" s="774"/>
      <c r="K343" s="78"/>
      <c r="L343" s="774"/>
      <c r="M343" s="774"/>
      <c r="N343" s="774"/>
      <c r="O343" s="774"/>
      <c r="P343" s="78"/>
      <c r="Q343" s="774"/>
      <c r="R343" s="774"/>
      <c r="S343" s="774"/>
      <c r="T343" s="774"/>
      <c r="U343" s="78"/>
      <c r="V343" s="774"/>
      <c r="W343" s="774"/>
      <c r="X343" s="774"/>
      <c r="Y343" s="774"/>
      <c r="Z343" s="78"/>
      <c r="AA343" s="774"/>
      <c r="AB343" s="774"/>
      <c r="AC343" s="774"/>
      <c r="AD343" s="774"/>
      <c r="AE343" s="78"/>
      <c r="AF343" s="774"/>
      <c r="AG343" s="774"/>
      <c r="AH343" s="774"/>
      <c r="AI343" s="774"/>
      <c r="AJ343" s="78"/>
      <c r="AK343" s="774"/>
      <c r="AL343" s="774"/>
      <c r="AM343" s="774"/>
      <c r="AN343" s="774"/>
      <c r="AO343" s="78"/>
      <c r="AP343" s="774"/>
      <c r="AQ343" s="774"/>
      <c r="AR343" s="774"/>
      <c r="AS343" s="774"/>
      <c r="AT343" s="78"/>
      <c r="AU343" s="774"/>
      <c r="AV343" s="774"/>
      <c r="AW343" s="774"/>
      <c r="AX343" s="774"/>
      <c r="AY343" s="1119">
        <v>13.131</v>
      </c>
      <c r="AZ343" s="774"/>
      <c r="BA343" s="774"/>
      <c r="BB343" s="774"/>
      <c r="BC343" s="774"/>
      <c r="BD343" s="1119">
        <v>13.131</v>
      </c>
      <c r="BE343" s="774"/>
      <c r="BF343" s="774"/>
      <c r="BG343" s="774"/>
      <c r="BH343" s="774"/>
      <c r="BI343" s="1119">
        <v>2.665</v>
      </c>
      <c r="BJ343" s="774"/>
      <c r="BK343" s="774"/>
      <c r="BL343" s="774"/>
      <c r="BM343" s="774"/>
      <c r="BN343" s="1119">
        <v>2.665</v>
      </c>
      <c r="BO343" s="774"/>
      <c r="BP343" s="774"/>
      <c r="BQ343" s="774"/>
      <c r="BR343" s="774"/>
      <c r="BS343" s="78"/>
      <c r="BT343" s="775"/>
      <c r="BU343" s="774"/>
      <c r="BV343" s="774"/>
      <c r="BW343" s="774"/>
      <c r="BX343" s="78"/>
      <c r="BY343" s="774"/>
      <c r="BZ343" s="774"/>
      <c r="CA343" s="774"/>
      <c r="CB343" s="774"/>
      <c r="CC343" s="78"/>
      <c r="CD343" s="78"/>
      <c r="CE343" s="78"/>
      <c r="CF343" s="78"/>
      <c r="CG343" s="532"/>
    </row>
    <row r="344" spans="1:85" s="615" customFormat="1" x14ac:dyDescent="0.3">
      <c r="A344" s="522" t="s">
        <v>1799</v>
      </c>
      <c r="B344" s="521"/>
      <c r="C344" s="1122"/>
      <c r="D344" s="1122"/>
      <c r="E344" s="1122"/>
      <c r="F344" s="1122"/>
      <c r="G344" s="520"/>
      <c r="H344" s="520"/>
      <c r="I344" s="520"/>
      <c r="J344" s="520"/>
      <c r="K344" s="1122"/>
      <c r="L344" s="520"/>
      <c r="M344" s="520"/>
      <c r="N344" s="520"/>
      <c r="O344" s="520"/>
      <c r="P344" s="1122"/>
      <c r="Q344" s="520"/>
      <c r="R344" s="520"/>
      <c r="S344" s="520"/>
      <c r="T344" s="520"/>
      <c r="U344" s="1122"/>
      <c r="V344" s="520"/>
      <c r="W344" s="520"/>
      <c r="X344" s="520"/>
      <c r="Y344" s="520"/>
      <c r="Z344" s="1122"/>
      <c r="AA344" s="520"/>
      <c r="AB344" s="520"/>
      <c r="AC344" s="520"/>
      <c r="AD344" s="520"/>
      <c r="AE344" s="1122"/>
      <c r="AF344" s="520"/>
      <c r="AG344" s="520"/>
      <c r="AH344" s="520"/>
      <c r="AI344" s="520"/>
      <c r="AJ344" s="1122"/>
      <c r="AK344" s="520"/>
      <c r="AL344" s="520"/>
      <c r="AM344" s="520"/>
      <c r="AN344" s="520"/>
      <c r="AO344" s="1122"/>
      <c r="AP344" s="520"/>
      <c r="AQ344" s="520"/>
      <c r="AR344" s="520"/>
      <c r="AS344" s="520"/>
      <c r="AT344" s="1124"/>
      <c r="AU344" s="526"/>
      <c r="AV344" s="526"/>
      <c r="AW344" s="526"/>
      <c r="AX344" s="526"/>
      <c r="AY344" s="1123">
        <v>539.41999999999996</v>
      </c>
      <c r="AZ344" s="526"/>
      <c r="BA344" s="526"/>
      <c r="BB344" s="526"/>
      <c r="BC344" s="526"/>
      <c r="BD344" s="1123">
        <v>539.41999999999996</v>
      </c>
      <c r="BE344" s="520"/>
      <c r="BF344" s="520"/>
      <c r="BG344" s="520"/>
      <c r="BH344" s="520"/>
      <c r="BI344" s="1123">
        <v>539.41999999999996</v>
      </c>
      <c r="BJ344" s="520"/>
      <c r="BK344" s="520"/>
      <c r="BL344" s="520"/>
      <c r="BM344" s="520"/>
      <c r="BN344" s="1123">
        <v>539.41999999999996</v>
      </c>
      <c r="BO344" s="520"/>
      <c r="BP344" s="520"/>
      <c r="BQ344" s="520"/>
      <c r="BR344" s="520"/>
      <c r="BS344" s="1124"/>
      <c r="BT344" s="728"/>
      <c r="BU344" s="520"/>
      <c r="BV344" s="520"/>
      <c r="BW344" s="520"/>
      <c r="BX344" s="1122"/>
      <c r="BY344" s="520"/>
      <c r="BZ344" s="520"/>
      <c r="CA344" s="520"/>
      <c r="CB344" s="520"/>
      <c r="CC344" s="1122"/>
      <c r="CD344" s="1122"/>
      <c r="CE344" s="1122"/>
      <c r="CF344" s="1122"/>
      <c r="CG344" s="519"/>
    </row>
    <row r="345" spans="1:85" s="614" customFormat="1" x14ac:dyDescent="0.3">
      <c r="A345" s="522"/>
      <c r="B345" s="352"/>
      <c r="C345" s="1094"/>
      <c r="D345" s="1094"/>
      <c r="E345" s="1094"/>
      <c r="F345" s="1094"/>
      <c r="G345" s="197"/>
      <c r="H345" s="197"/>
      <c r="I345" s="197"/>
      <c r="J345" s="197"/>
      <c r="K345" s="1094"/>
      <c r="L345" s="197"/>
      <c r="M345" s="197"/>
      <c r="N345" s="197"/>
      <c r="O345" s="197"/>
      <c r="P345" s="1094"/>
      <c r="Q345" s="197"/>
      <c r="R345" s="197"/>
      <c r="S345" s="197"/>
      <c r="T345" s="197"/>
      <c r="U345" s="1094"/>
      <c r="V345" s="197"/>
      <c r="W345" s="197"/>
      <c r="X345" s="197"/>
      <c r="Y345" s="197"/>
      <c r="Z345" s="1094"/>
      <c r="AA345" s="197"/>
      <c r="AB345" s="197"/>
      <c r="AC345" s="197"/>
      <c r="AD345" s="197"/>
      <c r="AE345" s="1094"/>
      <c r="AF345" s="197"/>
      <c r="AG345" s="197"/>
      <c r="AH345" s="197"/>
      <c r="AI345" s="197"/>
      <c r="AJ345" s="1094"/>
      <c r="AK345" s="197"/>
      <c r="AL345" s="197"/>
      <c r="AM345" s="197"/>
      <c r="AN345" s="197"/>
      <c r="AO345" s="1094"/>
      <c r="AP345" s="197"/>
      <c r="AQ345" s="197"/>
      <c r="AR345" s="197"/>
      <c r="AS345" s="197"/>
      <c r="AT345" s="198"/>
      <c r="AU345" s="194"/>
      <c r="AV345" s="194"/>
      <c r="AW345" s="194"/>
      <c r="AX345" s="194"/>
      <c r="AY345" s="198"/>
      <c r="AZ345" s="194"/>
      <c r="BA345" s="194"/>
      <c r="BB345" s="194"/>
      <c r="BC345" s="194"/>
      <c r="BD345" s="198"/>
      <c r="BE345" s="197"/>
      <c r="BF345" s="197"/>
      <c r="BG345" s="197"/>
      <c r="BH345" s="197"/>
      <c r="BI345" s="198"/>
      <c r="BJ345" s="197"/>
      <c r="BK345" s="197"/>
      <c r="BL345" s="197"/>
      <c r="BM345" s="197"/>
      <c r="BN345" s="198"/>
      <c r="BO345" s="197"/>
      <c r="BP345" s="197"/>
      <c r="BQ345" s="197"/>
      <c r="BR345" s="197"/>
      <c r="BS345" s="198"/>
      <c r="BT345" s="727"/>
      <c r="BU345" s="197"/>
      <c r="BV345" s="197"/>
      <c r="BW345" s="197"/>
      <c r="BX345" s="1094"/>
      <c r="BY345" s="197"/>
      <c r="BZ345" s="197"/>
      <c r="CA345" s="197"/>
      <c r="CB345" s="197"/>
      <c r="CC345" s="1094"/>
      <c r="CD345" s="1094"/>
      <c r="CE345" s="1094"/>
      <c r="CF345" s="1094"/>
      <c r="CG345" s="349"/>
    </row>
    <row r="346" spans="1:85" s="613" customFormat="1" x14ac:dyDescent="0.3">
      <c r="A346" s="478" t="s">
        <v>1798</v>
      </c>
      <c r="B346" s="523"/>
      <c r="C346" s="78"/>
      <c r="D346" s="78"/>
      <c r="E346" s="78"/>
      <c r="F346" s="78"/>
      <c r="G346" s="774"/>
      <c r="H346" s="774"/>
      <c r="I346" s="774"/>
      <c r="J346" s="774"/>
      <c r="K346" s="78"/>
      <c r="L346" s="774"/>
      <c r="M346" s="774"/>
      <c r="N346" s="774"/>
      <c r="O346" s="774"/>
      <c r="P346" s="78"/>
      <c r="Q346" s="774"/>
      <c r="R346" s="774"/>
      <c r="S346" s="774"/>
      <c r="T346" s="774"/>
      <c r="U346" s="78"/>
      <c r="V346" s="774"/>
      <c r="W346" s="774"/>
      <c r="X346" s="774"/>
      <c r="Y346" s="774"/>
      <c r="Z346" s="78"/>
      <c r="AA346" s="774"/>
      <c r="AB346" s="774"/>
      <c r="AC346" s="774"/>
      <c r="AD346" s="774"/>
      <c r="AE346" s="78"/>
      <c r="AF346" s="774"/>
      <c r="AG346" s="774"/>
      <c r="AH346" s="774"/>
      <c r="AI346" s="774"/>
      <c r="AJ346" s="78"/>
      <c r="AK346" s="774"/>
      <c r="AL346" s="774"/>
      <c r="AM346" s="774"/>
      <c r="AN346" s="774"/>
      <c r="AO346" s="78"/>
      <c r="AP346" s="774"/>
      <c r="AQ346" s="774"/>
      <c r="AR346" s="774"/>
      <c r="AS346" s="774"/>
      <c r="AT346" s="78"/>
      <c r="AU346" s="774"/>
      <c r="AV346" s="774"/>
      <c r="AW346" s="774"/>
      <c r="AX346" s="774"/>
      <c r="AY346" s="1119">
        <v>13.913</v>
      </c>
      <c r="AZ346" s="774"/>
      <c r="BA346" s="774"/>
      <c r="BB346" s="774"/>
      <c r="BC346" s="774"/>
      <c r="BD346" s="1119">
        <v>13.913</v>
      </c>
      <c r="BE346" s="774"/>
      <c r="BF346" s="774"/>
      <c r="BG346" s="774"/>
      <c r="BH346" s="774"/>
      <c r="BI346" s="1119">
        <v>2.823</v>
      </c>
      <c r="BJ346" s="774"/>
      <c r="BK346" s="774"/>
      <c r="BL346" s="774"/>
      <c r="BM346" s="774"/>
      <c r="BN346" s="1119">
        <v>2.823</v>
      </c>
      <c r="BO346" s="774"/>
      <c r="BP346" s="774"/>
      <c r="BQ346" s="774"/>
      <c r="BR346" s="774"/>
      <c r="BS346" s="78"/>
      <c r="BT346" s="775"/>
      <c r="BU346" s="774"/>
      <c r="BV346" s="774"/>
      <c r="BW346" s="774"/>
      <c r="BX346" s="78"/>
      <c r="BY346" s="774"/>
      <c r="BZ346" s="774"/>
      <c r="CA346" s="774"/>
      <c r="CB346" s="774"/>
      <c r="CC346" s="78"/>
      <c r="CD346" s="78"/>
      <c r="CE346" s="78"/>
      <c r="CF346" s="78"/>
      <c r="CG346" s="532"/>
    </row>
    <row r="347" spans="1:85" s="615" customFormat="1" x14ac:dyDescent="0.3">
      <c r="A347" s="522" t="s">
        <v>1797</v>
      </c>
      <c r="B347" s="521"/>
      <c r="C347" s="1122"/>
      <c r="D347" s="1122"/>
      <c r="E347" s="1122"/>
      <c r="F347" s="1122"/>
      <c r="G347" s="520"/>
      <c r="H347" s="520"/>
      <c r="I347" s="520"/>
      <c r="J347" s="520"/>
      <c r="K347" s="1122"/>
      <c r="L347" s="520"/>
      <c r="M347" s="520"/>
      <c r="N347" s="520"/>
      <c r="O347" s="520"/>
      <c r="P347" s="1122"/>
      <c r="Q347" s="520"/>
      <c r="R347" s="520"/>
      <c r="S347" s="520"/>
      <c r="T347" s="520"/>
      <c r="U347" s="1122"/>
      <c r="V347" s="520"/>
      <c r="W347" s="520"/>
      <c r="X347" s="520"/>
      <c r="Y347" s="520"/>
      <c r="Z347" s="1122"/>
      <c r="AA347" s="520"/>
      <c r="AB347" s="520"/>
      <c r="AC347" s="520"/>
      <c r="AD347" s="520"/>
      <c r="AE347" s="1122"/>
      <c r="AF347" s="520"/>
      <c r="AG347" s="520"/>
      <c r="AH347" s="520"/>
      <c r="AI347" s="520"/>
      <c r="AJ347" s="1122"/>
      <c r="AK347" s="520"/>
      <c r="AL347" s="520"/>
      <c r="AM347" s="520"/>
      <c r="AN347" s="520"/>
      <c r="AO347" s="1122"/>
      <c r="AP347" s="520"/>
      <c r="AQ347" s="520"/>
      <c r="AR347" s="520"/>
      <c r="AS347" s="520"/>
      <c r="AT347" s="1124"/>
      <c r="AU347" s="526"/>
      <c r="AV347" s="526"/>
      <c r="AW347" s="526"/>
      <c r="AX347" s="526"/>
      <c r="AY347" s="1123">
        <v>509.11</v>
      </c>
      <c r="AZ347" s="526"/>
      <c r="BA347" s="526"/>
      <c r="BB347" s="526"/>
      <c r="BC347" s="526"/>
      <c r="BD347" s="1123">
        <v>509.11</v>
      </c>
      <c r="BE347" s="520"/>
      <c r="BF347" s="520"/>
      <c r="BG347" s="520"/>
      <c r="BH347" s="520"/>
      <c r="BI347" s="1123">
        <v>509.11</v>
      </c>
      <c r="BJ347" s="520"/>
      <c r="BK347" s="520"/>
      <c r="BL347" s="520"/>
      <c r="BM347" s="520"/>
      <c r="BN347" s="1123">
        <v>509.11</v>
      </c>
      <c r="BO347" s="520"/>
      <c r="BP347" s="520"/>
      <c r="BQ347" s="520"/>
      <c r="BR347" s="520"/>
      <c r="BS347" s="1124"/>
      <c r="BT347" s="728"/>
      <c r="BU347" s="520"/>
      <c r="BV347" s="520"/>
      <c r="BW347" s="520"/>
      <c r="BX347" s="1122"/>
      <c r="BY347" s="520"/>
      <c r="BZ347" s="520"/>
      <c r="CA347" s="520"/>
      <c r="CB347" s="520"/>
      <c r="CC347" s="1122"/>
      <c r="CD347" s="1122"/>
      <c r="CE347" s="1122"/>
      <c r="CF347" s="1122"/>
      <c r="CG347" s="519"/>
    </row>
    <row r="348" spans="1:85" s="614" customFormat="1" x14ac:dyDescent="0.3">
      <c r="A348" s="522"/>
      <c r="B348" s="352"/>
      <c r="C348" s="1094"/>
      <c r="D348" s="1094"/>
      <c r="E348" s="1094"/>
      <c r="F348" s="1094"/>
      <c r="G348" s="197"/>
      <c r="H348" s="197"/>
      <c r="I348" s="197"/>
      <c r="J348" s="197"/>
      <c r="K348" s="1094"/>
      <c r="L348" s="197"/>
      <c r="M348" s="197"/>
      <c r="N348" s="197"/>
      <c r="O348" s="197"/>
      <c r="P348" s="1094"/>
      <c r="Q348" s="197"/>
      <c r="R348" s="197"/>
      <c r="S348" s="197"/>
      <c r="T348" s="197"/>
      <c r="U348" s="1094"/>
      <c r="V348" s="197"/>
      <c r="W348" s="197"/>
      <c r="X348" s="197"/>
      <c r="Y348" s="197"/>
      <c r="Z348" s="1094"/>
      <c r="AA348" s="197"/>
      <c r="AB348" s="197"/>
      <c r="AC348" s="197"/>
      <c r="AD348" s="197"/>
      <c r="AE348" s="1094"/>
      <c r="AF348" s="197"/>
      <c r="AG348" s="197"/>
      <c r="AH348" s="197"/>
      <c r="AI348" s="197"/>
      <c r="AJ348" s="1094"/>
      <c r="AK348" s="197"/>
      <c r="AL348" s="197"/>
      <c r="AM348" s="197"/>
      <c r="AN348" s="197"/>
      <c r="AO348" s="1094"/>
      <c r="AP348" s="197"/>
      <c r="AQ348" s="197"/>
      <c r="AR348" s="197"/>
      <c r="AS348" s="197"/>
      <c r="AT348" s="198"/>
      <c r="AU348" s="194"/>
      <c r="AV348" s="194"/>
      <c r="AW348" s="194"/>
      <c r="AX348" s="194"/>
      <c r="AY348" s="198"/>
      <c r="AZ348" s="194"/>
      <c r="BA348" s="194"/>
      <c r="BB348" s="194"/>
      <c r="BC348" s="194"/>
      <c r="BD348" s="198"/>
      <c r="BE348" s="197"/>
      <c r="BF348" s="197"/>
      <c r="BG348" s="197"/>
      <c r="BH348" s="197"/>
      <c r="BI348" s="198"/>
      <c r="BJ348" s="197"/>
      <c r="BK348" s="197"/>
      <c r="BL348" s="197"/>
      <c r="BM348" s="197"/>
      <c r="BN348" s="198"/>
      <c r="BO348" s="197"/>
      <c r="BP348" s="197"/>
      <c r="BQ348" s="197"/>
      <c r="BR348" s="197"/>
      <c r="BS348" s="198"/>
      <c r="BT348" s="727"/>
      <c r="BU348" s="197"/>
      <c r="BV348" s="197"/>
      <c r="BW348" s="197"/>
      <c r="BX348" s="1094"/>
      <c r="BY348" s="197"/>
      <c r="BZ348" s="197"/>
      <c r="CA348" s="197"/>
      <c r="CB348" s="197"/>
      <c r="CC348" s="1094"/>
      <c r="CD348" s="1094"/>
      <c r="CE348" s="1094"/>
      <c r="CF348" s="1094"/>
      <c r="CG348" s="349"/>
    </row>
    <row r="349" spans="1:85" s="613" customFormat="1" x14ac:dyDescent="0.3">
      <c r="A349" s="478" t="s">
        <v>1796</v>
      </c>
      <c r="B349" s="523"/>
      <c r="C349" s="78"/>
      <c r="D349" s="78"/>
      <c r="E349" s="78"/>
      <c r="F349" s="78"/>
      <c r="G349" s="774"/>
      <c r="H349" s="774"/>
      <c r="I349" s="774"/>
      <c r="J349" s="774"/>
      <c r="K349" s="78"/>
      <c r="L349" s="774"/>
      <c r="M349" s="774"/>
      <c r="N349" s="774"/>
      <c r="O349" s="774"/>
      <c r="P349" s="78"/>
      <c r="Q349" s="774"/>
      <c r="R349" s="774"/>
      <c r="S349" s="774"/>
      <c r="T349" s="774"/>
      <c r="U349" s="78"/>
      <c r="V349" s="774"/>
      <c r="W349" s="774"/>
      <c r="X349" s="774"/>
      <c r="Y349" s="774"/>
      <c r="Z349" s="78"/>
      <c r="AA349" s="774"/>
      <c r="AB349" s="774"/>
      <c r="AC349" s="774"/>
      <c r="AD349" s="774"/>
      <c r="AE349" s="78"/>
      <c r="AF349" s="774"/>
      <c r="AG349" s="774"/>
      <c r="AH349" s="774"/>
      <c r="AI349" s="774"/>
      <c r="AJ349" s="78"/>
      <c r="AK349" s="774"/>
      <c r="AL349" s="774"/>
      <c r="AM349" s="774"/>
      <c r="AN349" s="774"/>
      <c r="AO349" s="78"/>
      <c r="AP349" s="774"/>
      <c r="AQ349" s="774"/>
      <c r="AR349" s="774"/>
      <c r="AS349" s="774"/>
      <c r="AT349" s="78"/>
      <c r="AU349" s="774"/>
      <c r="AV349" s="774"/>
      <c r="AW349" s="774"/>
      <c r="AX349" s="774"/>
      <c r="AY349" s="1119">
        <v>14.193</v>
      </c>
      <c r="AZ349" s="774"/>
      <c r="BA349" s="774"/>
      <c r="BB349" s="774"/>
      <c r="BC349" s="774"/>
      <c r="BD349" s="1119">
        <v>14.193</v>
      </c>
      <c r="BE349" s="774"/>
      <c r="BF349" s="774"/>
      <c r="BG349" s="774"/>
      <c r="BH349" s="774"/>
      <c r="BI349" s="1119">
        <v>2.8809999999999998</v>
      </c>
      <c r="BJ349" s="774"/>
      <c r="BK349" s="774"/>
      <c r="BL349" s="774"/>
      <c r="BM349" s="774"/>
      <c r="BN349" s="1119">
        <v>2.8809999999999998</v>
      </c>
      <c r="BO349" s="774"/>
      <c r="BP349" s="774"/>
      <c r="BQ349" s="774"/>
      <c r="BR349" s="774"/>
      <c r="BS349" s="78"/>
      <c r="BT349" s="775"/>
      <c r="BU349" s="774"/>
      <c r="BV349" s="774"/>
      <c r="BW349" s="774"/>
      <c r="BX349" s="78"/>
      <c r="BY349" s="774"/>
      <c r="BZ349" s="774"/>
      <c r="CA349" s="774"/>
      <c r="CB349" s="774"/>
      <c r="CC349" s="78"/>
      <c r="CD349" s="78"/>
      <c r="CE349" s="78"/>
      <c r="CF349" s="78"/>
      <c r="CG349" s="532"/>
    </row>
    <row r="350" spans="1:85" s="615" customFormat="1" x14ac:dyDescent="0.3">
      <c r="A350" s="522" t="s">
        <v>1795</v>
      </c>
      <c r="B350" s="521"/>
      <c r="C350" s="1122"/>
      <c r="D350" s="1122"/>
      <c r="E350" s="1122"/>
      <c r="F350" s="1122"/>
      <c r="G350" s="520"/>
      <c r="H350" s="520"/>
      <c r="I350" s="520"/>
      <c r="J350" s="520"/>
      <c r="K350" s="1122"/>
      <c r="L350" s="520"/>
      <c r="M350" s="520"/>
      <c r="N350" s="520"/>
      <c r="O350" s="520"/>
      <c r="P350" s="1122"/>
      <c r="Q350" s="520"/>
      <c r="R350" s="520"/>
      <c r="S350" s="520"/>
      <c r="T350" s="520"/>
      <c r="U350" s="1122"/>
      <c r="V350" s="520"/>
      <c r="W350" s="520"/>
      <c r="X350" s="520"/>
      <c r="Y350" s="520"/>
      <c r="Z350" s="1122"/>
      <c r="AA350" s="520"/>
      <c r="AB350" s="520"/>
      <c r="AC350" s="520"/>
      <c r="AD350" s="520"/>
      <c r="AE350" s="1122"/>
      <c r="AF350" s="520"/>
      <c r="AG350" s="520"/>
      <c r="AH350" s="520"/>
      <c r="AI350" s="520"/>
      <c r="AJ350" s="1122"/>
      <c r="AK350" s="520"/>
      <c r="AL350" s="520"/>
      <c r="AM350" s="520"/>
      <c r="AN350" s="520"/>
      <c r="AO350" s="1122"/>
      <c r="AP350" s="520"/>
      <c r="AQ350" s="520"/>
      <c r="AR350" s="520"/>
      <c r="AS350" s="520"/>
      <c r="AT350" s="1124"/>
      <c r="AU350" s="526"/>
      <c r="AV350" s="526"/>
      <c r="AW350" s="526"/>
      <c r="AX350" s="526"/>
      <c r="AY350" s="1123">
        <v>499.08</v>
      </c>
      <c r="AZ350" s="526"/>
      <c r="BA350" s="526"/>
      <c r="BB350" s="526"/>
      <c r="BC350" s="526"/>
      <c r="BD350" s="1123">
        <v>499.08</v>
      </c>
      <c r="BE350" s="520"/>
      <c r="BF350" s="520"/>
      <c r="BG350" s="520"/>
      <c r="BH350" s="520"/>
      <c r="BI350" s="1123">
        <v>499.08</v>
      </c>
      <c r="BJ350" s="520"/>
      <c r="BK350" s="520"/>
      <c r="BL350" s="520"/>
      <c r="BM350" s="520"/>
      <c r="BN350" s="1123">
        <v>499.08</v>
      </c>
      <c r="BO350" s="520"/>
      <c r="BP350" s="520"/>
      <c r="BQ350" s="520"/>
      <c r="BR350" s="520"/>
      <c r="BS350" s="1124"/>
      <c r="BT350" s="728"/>
      <c r="BU350" s="520"/>
      <c r="BV350" s="520"/>
      <c r="BW350" s="520"/>
      <c r="BX350" s="1122"/>
      <c r="BY350" s="520"/>
      <c r="BZ350" s="520"/>
      <c r="CA350" s="520"/>
      <c r="CB350" s="520"/>
      <c r="CC350" s="1122"/>
      <c r="CD350" s="1122"/>
      <c r="CE350" s="1122"/>
      <c r="CF350" s="1122"/>
      <c r="CG350" s="519"/>
    </row>
    <row r="351" spans="1:85" s="614" customFormat="1" x14ac:dyDescent="0.3">
      <c r="A351" s="522"/>
      <c r="B351" s="352"/>
      <c r="C351" s="1094"/>
      <c r="D351" s="1094"/>
      <c r="E351" s="1094"/>
      <c r="F351" s="1094"/>
      <c r="G351" s="197"/>
      <c r="H351" s="197"/>
      <c r="I351" s="197"/>
      <c r="J351" s="197"/>
      <c r="K351" s="1094"/>
      <c r="L351" s="197"/>
      <c r="M351" s="197"/>
      <c r="N351" s="197"/>
      <c r="O351" s="197"/>
      <c r="P351" s="1094"/>
      <c r="Q351" s="197"/>
      <c r="R351" s="197"/>
      <c r="S351" s="197"/>
      <c r="T351" s="197"/>
      <c r="U351" s="1094"/>
      <c r="V351" s="197"/>
      <c r="W351" s="197"/>
      <c r="X351" s="197"/>
      <c r="Y351" s="197"/>
      <c r="Z351" s="1094"/>
      <c r="AA351" s="197"/>
      <c r="AB351" s="197"/>
      <c r="AC351" s="197"/>
      <c r="AD351" s="197"/>
      <c r="AE351" s="1094"/>
      <c r="AF351" s="197"/>
      <c r="AG351" s="197"/>
      <c r="AH351" s="197"/>
      <c r="AI351" s="197"/>
      <c r="AJ351" s="1094"/>
      <c r="AK351" s="197"/>
      <c r="AL351" s="197"/>
      <c r="AM351" s="197"/>
      <c r="AN351" s="197"/>
      <c r="AO351" s="1094"/>
      <c r="AP351" s="197"/>
      <c r="AQ351" s="197"/>
      <c r="AR351" s="197"/>
      <c r="AS351" s="197"/>
      <c r="AT351" s="198"/>
      <c r="AU351" s="194"/>
      <c r="AV351" s="194"/>
      <c r="AW351" s="194"/>
      <c r="AX351" s="194"/>
      <c r="AY351" s="198"/>
      <c r="AZ351" s="194"/>
      <c r="BA351" s="194"/>
      <c r="BB351" s="194"/>
      <c r="BC351" s="194"/>
      <c r="BD351" s="198"/>
      <c r="BE351" s="197"/>
      <c r="BF351" s="197"/>
      <c r="BG351" s="197"/>
      <c r="BH351" s="197"/>
      <c r="BI351" s="198"/>
      <c r="BJ351" s="197"/>
      <c r="BK351" s="197"/>
      <c r="BL351" s="197"/>
      <c r="BM351" s="197"/>
      <c r="BN351" s="198"/>
      <c r="BO351" s="197"/>
      <c r="BP351" s="197"/>
      <c r="BQ351" s="197"/>
      <c r="BR351" s="197"/>
      <c r="BS351" s="198"/>
      <c r="BT351" s="727"/>
      <c r="BU351" s="197"/>
      <c r="BV351" s="197"/>
      <c r="BW351" s="197"/>
      <c r="BX351" s="1094"/>
      <c r="BY351" s="197"/>
      <c r="BZ351" s="197"/>
      <c r="CA351" s="197"/>
      <c r="CB351" s="197"/>
      <c r="CC351" s="1094"/>
      <c r="CD351" s="1094"/>
      <c r="CE351" s="1094"/>
      <c r="CF351" s="1094"/>
      <c r="CG351" s="349"/>
    </row>
    <row r="352" spans="1:85" s="613" customFormat="1" x14ac:dyDescent="0.3">
      <c r="A352" s="478" t="s">
        <v>1794</v>
      </c>
      <c r="B352" s="523"/>
      <c r="C352" s="78"/>
      <c r="D352" s="78"/>
      <c r="E352" s="78"/>
      <c r="F352" s="78"/>
      <c r="G352" s="774"/>
      <c r="H352" s="774"/>
      <c r="I352" s="774"/>
      <c r="J352" s="774"/>
      <c r="K352" s="78"/>
      <c r="L352" s="774"/>
      <c r="M352" s="774"/>
      <c r="N352" s="774"/>
      <c r="O352" s="774"/>
      <c r="P352" s="78"/>
      <c r="Q352" s="774"/>
      <c r="R352" s="774"/>
      <c r="S352" s="774"/>
      <c r="T352" s="774"/>
      <c r="U352" s="78"/>
      <c r="V352" s="774"/>
      <c r="W352" s="774"/>
      <c r="X352" s="774"/>
      <c r="Y352" s="774"/>
      <c r="Z352" s="78"/>
      <c r="AA352" s="774"/>
      <c r="AB352" s="774"/>
      <c r="AC352" s="774"/>
      <c r="AD352" s="774"/>
      <c r="AE352" s="78"/>
      <c r="AF352" s="774"/>
      <c r="AG352" s="774"/>
      <c r="AH352" s="774"/>
      <c r="AI352" s="774"/>
      <c r="AJ352" s="78"/>
      <c r="AK352" s="774"/>
      <c r="AL352" s="774"/>
      <c r="AM352" s="774"/>
      <c r="AN352" s="774"/>
      <c r="AO352" s="78"/>
      <c r="AP352" s="774"/>
      <c r="AQ352" s="774"/>
      <c r="AR352" s="774"/>
      <c r="AS352" s="774"/>
      <c r="AT352" s="78"/>
      <c r="AU352" s="774"/>
      <c r="AV352" s="774"/>
      <c r="AW352" s="774"/>
      <c r="AX352" s="774"/>
      <c r="AY352" s="1119">
        <v>13.276</v>
      </c>
      <c r="AZ352" s="774"/>
      <c r="BA352" s="774"/>
      <c r="BB352" s="774"/>
      <c r="BC352" s="774"/>
      <c r="BD352" s="1119">
        <v>13.276</v>
      </c>
      <c r="BE352" s="774"/>
      <c r="BF352" s="774"/>
      <c r="BG352" s="774"/>
      <c r="BH352" s="774"/>
      <c r="BI352" s="1119">
        <v>2.694</v>
      </c>
      <c r="BJ352" s="774"/>
      <c r="BK352" s="774"/>
      <c r="BL352" s="774"/>
      <c r="BM352" s="774"/>
      <c r="BN352" s="1119">
        <v>2.694</v>
      </c>
      <c r="BO352" s="774"/>
      <c r="BP352" s="774"/>
      <c r="BQ352" s="774"/>
      <c r="BR352" s="774"/>
      <c r="BS352" s="78"/>
      <c r="BT352" s="775"/>
      <c r="BU352" s="774"/>
      <c r="BV352" s="774"/>
      <c r="BW352" s="774"/>
      <c r="BX352" s="78"/>
      <c r="BY352" s="774"/>
      <c r="BZ352" s="774"/>
      <c r="CA352" s="774"/>
      <c r="CB352" s="774"/>
      <c r="CC352" s="78"/>
      <c r="CD352" s="78"/>
      <c r="CE352" s="78"/>
      <c r="CF352" s="78"/>
      <c r="CG352" s="532"/>
    </row>
    <row r="353" spans="1:85" s="615" customFormat="1" x14ac:dyDescent="0.3">
      <c r="A353" s="522" t="s">
        <v>1793</v>
      </c>
      <c r="B353" s="521"/>
      <c r="C353" s="1122"/>
      <c r="D353" s="1122"/>
      <c r="E353" s="1122"/>
      <c r="F353" s="1122"/>
      <c r="G353" s="520"/>
      <c r="H353" s="520"/>
      <c r="I353" s="520"/>
      <c r="J353" s="520"/>
      <c r="K353" s="1122"/>
      <c r="L353" s="520"/>
      <c r="M353" s="520"/>
      <c r="N353" s="520"/>
      <c r="O353" s="520"/>
      <c r="P353" s="1122"/>
      <c r="Q353" s="520"/>
      <c r="R353" s="520"/>
      <c r="S353" s="520"/>
      <c r="T353" s="520"/>
      <c r="U353" s="1122"/>
      <c r="V353" s="520"/>
      <c r="W353" s="520"/>
      <c r="X353" s="520"/>
      <c r="Y353" s="520"/>
      <c r="Z353" s="1122"/>
      <c r="AA353" s="520"/>
      <c r="AB353" s="520"/>
      <c r="AC353" s="520"/>
      <c r="AD353" s="520"/>
      <c r="AE353" s="1122"/>
      <c r="AF353" s="520"/>
      <c r="AG353" s="520"/>
      <c r="AH353" s="520"/>
      <c r="AI353" s="520"/>
      <c r="AJ353" s="1122"/>
      <c r="AK353" s="520"/>
      <c r="AL353" s="520"/>
      <c r="AM353" s="520"/>
      <c r="AN353" s="520"/>
      <c r="AO353" s="1122"/>
      <c r="AP353" s="520"/>
      <c r="AQ353" s="520"/>
      <c r="AR353" s="520"/>
      <c r="AS353" s="520"/>
      <c r="AT353" s="1124"/>
      <c r="AU353" s="526"/>
      <c r="AV353" s="526"/>
      <c r="AW353" s="526"/>
      <c r="AX353" s="526"/>
      <c r="AY353" s="1123">
        <v>533.54</v>
      </c>
      <c r="AZ353" s="526"/>
      <c r="BA353" s="526"/>
      <c r="BB353" s="526"/>
      <c r="BC353" s="526"/>
      <c r="BD353" s="1123">
        <v>533.54</v>
      </c>
      <c r="BE353" s="520"/>
      <c r="BF353" s="520"/>
      <c r="BG353" s="520"/>
      <c r="BH353" s="520"/>
      <c r="BI353" s="1123">
        <v>533.54</v>
      </c>
      <c r="BJ353" s="520"/>
      <c r="BK353" s="520"/>
      <c r="BL353" s="520"/>
      <c r="BM353" s="520"/>
      <c r="BN353" s="1123">
        <v>533.54</v>
      </c>
      <c r="BO353" s="520"/>
      <c r="BP353" s="520"/>
      <c r="BQ353" s="520"/>
      <c r="BR353" s="520"/>
      <c r="BS353" s="1124"/>
      <c r="BT353" s="728"/>
      <c r="BU353" s="520"/>
      <c r="BV353" s="520"/>
      <c r="BW353" s="520"/>
      <c r="BX353" s="1122"/>
      <c r="BY353" s="520"/>
      <c r="BZ353" s="520"/>
      <c r="CA353" s="520"/>
      <c r="CB353" s="520"/>
      <c r="CC353" s="1122"/>
      <c r="CD353" s="1122"/>
      <c r="CE353" s="1122"/>
      <c r="CF353" s="1122"/>
      <c r="CG353" s="519"/>
    </row>
    <row r="354" spans="1:85" s="614" customFormat="1" x14ac:dyDescent="0.3">
      <c r="A354" s="522"/>
      <c r="B354" s="352"/>
      <c r="C354" s="1094"/>
      <c r="D354" s="1094"/>
      <c r="E354" s="1094"/>
      <c r="F354" s="1094"/>
      <c r="G354" s="197"/>
      <c r="H354" s="197"/>
      <c r="I354" s="197"/>
      <c r="J354" s="197"/>
      <c r="K354" s="1094"/>
      <c r="L354" s="197"/>
      <c r="M354" s="197"/>
      <c r="N354" s="197"/>
      <c r="O354" s="197"/>
      <c r="P354" s="1094"/>
      <c r="Q354" s="197"/>
      <c r="R354" s="197"/>
      <c r="S354" s="197"/>
      <c r="T354" s="197"/>
      <c r="U354" s="1094"/>
      <c r="V354" s="197"/>
      <c r="W354" s="197"/>
      <c r="X354" s="197"/>
      <c r="Y354" s="197"/>
      <c r="Z354" s="1094"/>
      <c r="AA354" s="197"/>
      <c r="AB354" s="197"/>
      <c r="AC354" s="197"/>
      <c r="AD354" s="197"/>
      <c r="AE354" s="1094"/>
      <c r="AF354" s="197"/>
      <c r="AG354" s="197"/>
      <c r="AH354" s="197"/>
      <c r="AI354" s="197"/>
      <c r="AJ354" s="1094"/>
      <c r="AK354" s="197"/>
      <c r="AL354" s="197"/>
      <c r="AM354" s="197"/>
      <c r="AN354" s="197"/>
      <c r="AO354" s="1094"/>
      <c r="AP354" s="197"/>
      <c r="AQ354" s="197"/>
      <c r="AR354" s="197"/>
      <c r="AS354" s="197"/>
      <c r="AT354" s="198"/>
      <c r="AU354" s="194"/>
      <c r="AV354" s="194"/>
      <c r="AW354" s="194"/>
      <c r="AX354" s="194"/>
      <c r="AY354" s="198"/>
      <c r="AZ354" s="194"/>
      <c r="BA354" s="194"/>
      <c r="BB354" s="194"/>
      <c r="BC354" s="194"/>
      <c r="BD354" s="198"/>
      <c r="BE354" s="197"/>
      <c r="BF354" s="197"/>
      <c r="BG354" s="197"/>
      <c r="BH354" s="197"/>
      <c r="BI354" s="198"/>
      <c r="BJ354" s="197"/>
      <c r="BK354" s="197"/>
      <c r="BL354" s="197"/>
      <c r="BM354" s="197"/>
      <c r="BN354" s="198"/>
      <c r="BO354" s="197"/>
      <c r="BP354" s="197"/>
      <c r="BQ354" s="197"/>
      <c r="BR354" s="197"/>
      <c r="BS354" s="198"/>
      <c r="BT354" s="727"/>
      <c r="BU354" s="197"/>
      <c r="BV354" s="197"/>
      <c r="BW354" s="197"/>
      <c r="BX354" s="1094"/>
      <c r="BY354" s="197"/>
      <c r="BZ354" s="197"/>
      <c r="CA354" s="197"/>
      <c r="CB354" s="197"/>
      <c r="CC354" s="1094"/>
      <c r="CD354" s="1094"/>
      <c r="CE354" s="1094"/>
      <c r="CF354" s="1094"/>
      <c r="CG354" s="349"/>
    </row>
    <row r="355" spans="1:85" s="613" customFormat="1" x14ac:dyDescent="0.3">
      <c r="A355" s="478" t="s">
        <v>1792</v>
      </c>
      <c r="B355" s="523"/>
      <c r="C355" s="78"/>
      <c r="D355" s="78"/>
      <c r="E355" s="78"/>
      <c r="F355" s="78"/>
      <c r="G355" s="774"/>
      <c r="H355" s="774"/>
      <c r="I355" s="774"/>
      <c r="J355" s="774"/>
      <c r="K355" s="78"/>
      <c r="L355" s="774"/>
      <c r="M355" s="774"/>
      <c r="N355" s="774"/>
      <c r="O355" s="774"/>
      <c r="P355" s="78"/>
      <c r="Q355" s="774"/>
      <c r="R355" s="774"/>
      <c r="S355" s="774"/>
      <c r="T355" s="774"/>
      <c r="U355" s="78"/>
      <c r="V355" s="774"/>
      <c r="W355" s="774"/>
      <c r="X355" s="774"/>
      <c r="Y355" s="774"/>
      <c r="Z355" s="78"/>
      <c r="AA355" s="774"/>
      <c r="AB355" s="774"/>
      <c r="AC355" s="774"/>
      <c r="AD355" s="774"/>
      <c r="AE355" s="78"/>
      <c r="AF355" s="774"/>
      <c r="AG355" s="774"/>
      <c r="AH355" s="774"/>
      <c r="AI355" s="774"/>
      <c r="AJ355" s="78"/>
      <c r="AK355" s="774"/>
      <c r="AL355" s="774"/>
      <c r="AM355" s="774"/>
      <c r="AN355" s="774"/>
      <c r="AO355" s="78"/>
      <c r="AP355" s="774"/>
      <c r="AQ355" s="774"/>
      <c r="AR355" s="774"/>
      <c r="AS355" s="774"/>
      <c r="AT355" s="78"/>
      <c r="AU355" s="774"/>
      <c r="AV355" s="774"/>
      <c r="AW355" s="774"/>
      <c r="AX355" s="774"/>
      <c r="AY355" s="1119">
        <v>13.75</v>
      </c>
      <c r="AZ355" s="774"/>
      <c r="BA355" s="774"/>
      <c r="BB355" s="774"/>
      <c r="BC355" s="774"/>
      <c r="BD355" s="1119">
        <v>13.75</v>
      </c>
      <c r="BE355" s="774"/>
      <c r="BF355" s="774"/>
      <c r="BG355" s="774"/>
      <c r="BH355" s="774"/>
      <c r="BI355" s="1119">
        <v>2.79</v>
      </c>
      <c r="BJ355" s="774"/>
      <c r="BK355" s="774"/>
      <c r="BL355" s="774"/>
      <c r="BM355" s="774"/>
      <c r="BN355" s="1119">
        <v>2.79</v>
      </c>
      <c r="BO355" s="774"/>
      <c r="BP355" s="774"/>
      <c r="BQ355" s="774"/>
      <c r="BR355" s="774"/>
      <c r="BS355" s="78"/>
      <c r="BT355" s="775"/>
      <c r="BU355" s="774"/>
      <c r="BV355" s="774"/>
      <c r="BW355" s="774"/>
      <c r="BX355" s="78"/>
      <c r="BY355" s="774"/>
      <c r="BZ355" s="774"/>
      <c r="CA355" s="774"/>
      <c r="CB355" s="774"/>
      <c r="CC355" s="78"/>
      <c r="CD355" s="78"/>
      <c r="CE355" s="78"/>
      <c r="CF355" s="78"/>
      <c r="CG355" s="532"/>
    </row>
    <row r="356" spans="1:85" s="615" customFormat="1" x14ac:dyDescent="0.3">
      <c r="A356" s="522" t="s">
        <v>1791</v>
      </c>
      <c r="B356" s="521"/>
      <c r="C356" s="1122"/>
      <c r="D356" s="1122"/>
      <c r="E356" s="1122"/>
      <c r="F356" s="1122"/>
      <c r="G356" s="520"/>
      <c r="H356" s="520"/>
      <c r="I356" s="520"/>
      <c r="J356" s="520"/>
      <c r="K356" s="1122"/>
      <c r="L356" s="520"/>
      <c r="M356" s="520"/>
      <c r="N356" s="520"/>
      <c r="O356" s="520"/>
      <c r="P356" s="1122"/>
      <c r="Q356" s="520"/>
      <c r="R356" s="520"/>
      <c r="S356" s="520"/>
      <c r="T356" s="520"/>
      <c r="U356" s="1122"/>
      <c r="V356" s="520"/>
      <c r="W356" s="520"/>
      <c r="X356" s="520"/>
      <c r="Y356" s="520"/>
      <c r="Z356" s="1122"/>
      <c r="AA356" s="520"/>
      <c r="AB356" s="520"/>
      <c r="AC356" s="520"/>
      <c r="AD356" s="520"/>
      <c r="AE356" s="1122"/>
      <c r="AF356" s="520"/>
      <c r="AG356" s="520"/>
      <c r="AH356" s="520"/>
      <c r="AI356" s="520"/>
      <c r="AJ356" s="1122"/>
      <c r="AK356" s="520"/>
      <c r="AL356" s="520"/>
      <c r="AM356" s="520"/>
      <c r="AN356" s="520"/>
      <c r="AO356" s="1122"/>
      <c r="AP356" s="520"/>
      <c r="AQ356" s="520"/>
      <c r="AR356" s="520"/>
      <c r="AS356" s="520"/>
      <c r="AT356" s="1124"/>
      <c r="AU356" s="526"/>
      <c r="AV356" s="526"/>
      <c r="AW356" s="526"/>
      <c r="AX356" s="526"/>
      <c r="AY356" s="1123">
        <v>515.15</v>
      </c>
      <c r="AZ356" s="526"/>
      <c r="BA356" s="526"/>
      <c r="BB356" s="526"/>
      <c r="BC356" s="526"/>
      <c r="BD356" s="1123">
        <v>515.15</v>
      </c>
      <c r="BE356" s="520"/>
      <c r="BF356" s="520"/>
      <c r="BG356" s="520"/>
      <c r="BH356" s="520"/>
      <c r="BI356" s="1123">
        <v>515.15</v>
      </c>
      <c r="BJ356" s="520"/>
      <c r="BK356" s="520"/>
      <c r="BL356" s="520"/>
      <c r="BM356" s="520"/>
      <c r="BN356" s="1123">
        <v>515.15</v>
      </c>
      <c r="BO356" s="520"/>
      <c r="BP356" s="520"/>
      <c r="BQ356" s="520"/>
      <c r="BR356" s="520"/>
      <c r="BS356" s="1124"/>
      <c r="BT356" s="728"/>
      <c r="BU356" s="520"/>
      <c r="BV356" s="520"/>
      <c r="BW356" s="520"/>
      <c r="BX356" s="1122"/>
      <c r="BY356" s="520"/>
      <c r="BZ356" s="520"/>
      <c r="CA356" s="520"/>
      <c r="CB356" s="520"/>
      <c r="CC356" s="1122"/>
      <c r="CD356" s="1122"/>
      <c r="CE356" s="1122"/>
      <c r="CF356" s="1122"/>
      <c r="CG356" s="519"/>
    </row>
    <row r="357" spans="1:85" s="614" customFormat="1" x14ac:dyDescent="0.3">
      <c r="A357" s="522"/>
      <c r="B357" s="352"/>
      <c r="C357" s="1094"/>
      <c r="D357" s="1094"/>
      <c r="E357" s="1094"/>
      <c r="F357" s="1094"/>
      <c r="G357" s="197"/>
      <c r="H357" s="197"/>
      <c r="I357" s="197"/>
      <c r="J357" s="197"/>
      <c r="K357" s="1094"/>
      <c r="L357" s="197"/>
      <c r="M357" s="197"/>
      <c r="N357" s="197"/>
      <c r="O357" s="197"/>
      <c r="P357" s="1094"/>
      <c r="Q357" s="197"/>
      <c r="R357" s="197"/>
      <c r="S357" s="197"/>
      <c r="T357" s="197"/>
      <c r="U357" s="1094"/>
      <c r="V357" s="197"/>
      <c r="W357" s="197"/>
      <c r="X357" s="197"/>
      <c r="Y357" s="197"/>
      <c r="Z357" s="1094"/>
      <c r="AA357" s="197"/>
      <c r="AB357" s="197"/>
      <c r="AC357" s="197"/>
      <c r="AD357" s="197"/>
      <c r="AE357" s="1094"/>
      <c r="AF357" s="197"/>
      <c r="AG357" s="197"/>
      <c r="AH357" s="197"/>
      <c r="AI357" s="197"/>
      <c r="AJ357" s="1094"/>
      <c r="AK357" s="197"/>
      <c r="AL357" s="197"/>
      <c r="AM357" s="197"/>
      <c r="AN357" s="197"/>
      <c r="AO357" s="1094"/>
      <c r="AP357" s="197"/>
      <c r="AQ357" s="197"/>
      <c r="AR357" s="197"/>
      <c r="AS357" s="197"/>
      <c r="AT357" s="198"/>
      <c r="AU357" s="194"/>
      <c r="AV357" s="194"/>
      <c r="AW357" s="194"/>
      <c r="AX357" s="194"/>
      <c r="AY357" s="198"/>
      <c r="AZ357" s="194"/>
      <c r="BA357" s="194"/>
      <c r="BB357" s="194"/>
      <c r="BC357" s="194"/>
      <c r="BD357" s="198"/>
      <c r="BE357" s="197"/>
      <c r="BF357" s="197"/>
      <c r="BG357" s="197"/>
      <c r="BH357" s="197"/>
      <c r="BI357" s="198"/>
      <c r="BJ357" s="197"/>
      <c r="BK357" s="197"/>
      <c r="BL357" s="197"/>
      <c r="BM357" s="197"/>
      <c r="BN357" s="198"/>
      <c r="BO357" s="197"/>
      <c r="BP357" s="197"/>
      <c r="BQ357" s="197"/>
      <c r="BR357" s="197"/>
      <c r="BS357" s="198"/>
      <c r="BT357" s="727"/>
      <c r="BU357" s="197"/>
      <c r="BV357" s="197"/>
      <c r="BW357" s="197"/>
      <c r="BX357" s="1094"/>
      <c r="BY357" s="197"/>
      <c r="BZ357" s="197"/>
      <c r="CA357" s="197"/>
      <c r="CB357" s="197"/>
      <c r="CC357" s="1094"/>
      <c r="CD357" s="1094"/>
      <c r="CE357" s="1094"/>
      <c r="CF357" s="1094"/>
      <c r="CG357" s="349"/>
    </row>
    <row r="358" spans="1:85" s="613" customFormat="1" x14ac:dyDescent="0.3">
      <c r="A358" s="478" t="s">
        <v>1790</v>
      </c>
      <c r="B358" s="523"/>
      <c r="C358" s="78"/>
      <c r="D358" s="78"/>
      <c r="E358" s="78"/>
      <c r="F358" s="78"/>
      <c r="G358" s="774"/>
      <c r="H358" s="774"/>
      <c r="I358" s="774"/>
      <c r="J358" s="774"/>
      <c r="K358" s="78"/>
      <c r="L358" s="774"/>
      <c r="M358" s="774"/>
      <c r="N358" s="774"/>
      <c r="O358" s="774"/>
      <c r="P358" s="78"/>
      <c r="Q358" s="774"/>
      <c r="R358" s="774"/>
      <c r="S358" s="774"/>
      <c r="T358" s="774"/>
      <c r="U358" s="78"/>
      <c r="V358" s="774"/>
      <c r="W358" s="774"/>
      <c r="X358" s="774"/>
      <c r="Y358" s="774"/>
      <c r="Z358" s="78"/>
      <c r="AA358" s="774"/>
      <c r="AB358" s="774"/>
      <c r="AC358" s="774"/>
      <c r="AD358" s="774"/>
      <c r="AE358" s="78"/>
      <c r="AF358" s="774"/>
      <c r="AG358" s="774"/>
      <c r="AH358" s="774"/>
      <c r="AI358" s="774"/>
      <c r="AJ358" s="78"/>
      <c r="AK358" s="774"/>
      <c r="AL358" s="774"/>
      <c r="AM358" s="774"/>
      <c r="AN358" s="774"/>
      <c r="AO358" s="78"/>
      <c r="AP358" s="774"/>
      <c r="AQ358" s="774"/>
      <c r="AR358" s="774"/>
      <c r="AS358" s="774"/>
      <c r="AT358" s="78"/>
      <c r="AU358" s="774"/>
      <c r="AV358" s="774"/>
      <c r="AW358" s="774"/>
      <c r="AX358" s="774"/>
      <c r="AY358" s="1119">
        <v>12.169</v>
      </c>
      <c r="AZ358" s="774"/>
      <c r="BA358" s="774"/>
      <c r="BB358" s="774"/>
      <c r="BC358" s="774"/>
      <c r="BD358" s="1119">
        <v>12.169</v>
      </c>
      <c r="BE358" s="774"/>
      <c r="BF358" s="774"/>
      <c r="BG358" s="774"/>
      <c r="BH358" s="774"/>
      <c r="BI358" s="1119">
        <v>2.4700000000000002</v>
      </c>
      <c r="BJ358" s="774"/>
      <c r="BK358" s="774"/>
      <c r="BL358" s="774"/>
      <c r="BM358" s="774"/>
      <c r="BN358" s="1119">
        <v>2.4700000000000002</v>
      </c>
      <c r="BO358" s="774"/>
      <c r="BP358" s="774"/>
      <c r="BQ358" s="774"/>
      <c r="BR358" s="774"/>
      <c r="BS358" s="78"/>
      <c r="BT358" s="775"/>
      <c r="BU358" s="774"/>
      <c r="BV358" s="774"/>
      <c r="BW358" s="774"/>
      <c r="BX358" s="78"/>
      <c r="BY358" s="774"/>
      <c r="BZ358" s="774"/>
      <c r="CA358" s="774"/>
      <c r="CB358" s="774"/>
      <c r="CC358" s="78"/>
      <c r="CD358" s="78"/>
      <c r="CE358" s="78"/>
      <c r="CF358" s="78"/>
      <c r="CG358" s="532"/>
    </row>
    <row r="359" spans="1:85" s="615" customFormat="1" x14ac:dyDescent="0.3">
      <c r="A359" s="522" t="s">
        <v>1789</v>
      </c>
      <c r="B359" s="521"/>
      <c r="C359" s="1122"/>
      <c r="D359" s="1122"/>
      <c r="E359" s="1122"/>
      <c r="F359" s="1122"/>
      <c r="G359" s="520"/>
      <c r="H359" s="520"/>
      <c r="I359" s="520"/>
      <c r="J359" s="520"/>
      <c r="K359" s="1122"/>
      <c r="L359" s="520"/>
      <c r="M359" s="520"/>
      <c r="N359" s="520"/>
      <c r="O359" s="520"/>
      <c r="P359" s="1122"/>
      <c r="Q359" s="520"/>
      <c r="R359" s="520"/>
      <c r="S359" s="520"/>
      <c r="T359" s="520"/>
      <c r="U359" s="1122"/>
      <c r="V359" s="520"/>
      <c r="W359" s="520"/>
      <c r="X359" s="520"/>
      <c r="Y359" s="520"/>
      <c r="Z359" s="1122"/>
      <c r="AA359" s="520"/>
      <c r="AB359" s="520"/>
      <c r="AC359" s="520"/>
      <c r="AD359" s="520"/>
      <c r="AE359" s="1122"/>
      <c r="AF359" s="520"/>
      <c r="AG359" s="520"/>
      <c r="AH359" s="520"/>
      <c r="AI359" s="520"/>
      <c r="AJ359" s="1122"/>
      <c r="AK359" s="520"/>
      <c r="AL359" s="520"/>
      <c r="AM359" s="520"/>
      <c r="AN359" s="520"/>
      <c r="AO359" s="1122"/>
      <c r="AP359" s="520"/>
      <c r="AQ359" s="520"/>
      <c r="AR359" s="520"/>
      <c r="AS359" s="520"/>
      <c r="AT359" s="1124"/>
      <c r="AU359" s="526"/>
      <c r="AV359" s="526"/>
      <c r="AW359" s="526"/>
      <c r="AX359" s="526"/>
      <c r="AY359" s="1123">
        <v>582.07000000000005</v>
      </c>
      <c r="AZ359" s="526"/>
      <c r="BA359" s="526"/>
      <c r="BB359" s="526"/>
      <c r="BC359" s="526"/>
      <c r="BD359" s="1123">
        <v>582.07000000000005</v>
      </c>
      <c r="BE359" s="520"/>
      <c r="BF359" s="520"/>
      <c r="BG359" s="520"/>
      <c r="BH359" s="520"/>
      <c r="BI359" s="1123">
        <v>582.07000000000005</v>
      </c>
      <c r="BJ359" s="520"/>
      <c r="BK359" s="520"/>
      <c r="BL359" s="520"/>
      <c r="BM359" s="520"/>
      <c r="BN359" s="1123">
        <v>582.07000000000005</v>
      </c>
      <c r="BO359" s="520"/>
      <c r="BP359" s="520"/>
      <c r="BQ359" s="520"/>
      <c r="BR359" s="520"/>
      <c r="BS359" s="1124"/>
      <c r="BT359" s="728"/>
      <c r="BU359" s="520"/>
      <c r="BV359" s="520"/>
      <c r="BW359" s="520"/>
      <c r="BX359" s="1122"/>
      <c r="BY359" s="520"/>
      <c r="BZ359" s="520"/>
      <c r="CA359" s="520"/>
      <c r="CB359" s="520"/>
      <c r="CC359" s="1122"/>
      <c r="CD359" s="1122"/>
      <c r="CE359" s="1122"/>
      <c r="CF359" s="1122"/>
      <c r="CG359" s="519"/>
    </row>
    <row r="360" spans="1:85" s="614" customFormat="1" x14ac:dyDescent="0.3">
      <c r="A360" s="522"/>
      <c r="B360" s="352"/>
      <c r="C360" s="1094"/>
      <c r="D360" s="1094"/>
      <c r="E360" s="1094"/>
      <c r="F360" s="1094"/>
      <c r="G360" s="197"/>
      <c r="H360" s="197"/>
      <c r="I360" s="197"/>
      <c r="J360" s="197"/>
      <c r="K360" s="1094"/>
      <c r="L360" s="197"/>
      <c r="M360" s="197"/>
      <c r="N360" s="197"/>
      <c r="O360" s="197"/>
      <c r="P360" s="1094"/>
      <c r="Q360" s="197"/>
      <c r="R360" s="197"/>
      <c r="S360" s="197"/>
      <c r="T360" s="197"/>
      <c r="U360" s="1094"/>
      <c r="V360" s="197"/>
      <c r="W360" s="197"/>
      <c r="X360" s="197"/>
      <c r="Y360" s="197"/>
      <c r="Z360" s="1094"/>
      <c r="AA360" s="197"/>
      <c r="AB360" s="197"/>
      <c r="AC360" s="197"/>
      <c r="AD360" s="197"/>
      <c r="AE360" s="1094"/>
      <c r="AF360" s="197"/>
      <c r="AG360" s="197"/>
      <c r="AH360" s="197"/>
      <c r="AI360" s="197"/>
      <c r="AJ360" s="1094"/>
      <c r="AK360" s="197"/>
      <c r="AL360" s="197"/>
      <c r="AM360" s="197"/>
      <c r="AN360" s="197"/>
      <c r="AO360" s="1094"/>
      <c r="AP360" s="197"/>
      <c r="AQ360" s="197"/>
      <c r="AR360" s="197"/>
      <c r="AS360" s="197"/>
      <c r="AT360" s="198"/>
      <c r="AU360" s="194"/>
      <c r="AV360" s="194"/>
      <c r="AW360" s="194"/>
      <c r="AX360" s="194"/>
      <c r="AY360" s="198"/>
      <c r="AZ360" s="194"/>
      <c r="BA360" s="194"/>
      <c r="BB360" s="194"/>
      <c r="BC360" s="194"/>
      <c r="BD360" s="198"/>
      <c r="BE360" s="197"/>
      <c r="BF360" s="197"/>
      <c r="BG360" s="197"/>
      <c r="BH360" s="197"/>
      <c r="BI360" s="198"/>
      <c r="BJ360" s="197"/>
      <c r="BK360" s="197"/>
      <c r="BL360" s="197"/>
      <c r="BM360" s="197"/>
      <c r="BN360" s="198"/>
      <c r="BO360" s="197"/>
      <c r="BP360" s="197"/>
      <c r="BQ360" s="197"/>
      <c r="BR360" s="197"/>
      <c r="BS360" s="198"/>
      <c r="BT360" s="727"/>
      <c r="BU360" s="197"/>
      <c r="BV360" s="197"/>
      <c r="BW360" s="197"/>
      <c r="BX360" s="1094"/>
      <c r="BY360" s="197"/>
      <c r="BZ360" s="197"/>
      <c r="CA360" s="197"/>
      <c r="CB360" s="197"/>
      <c r="CC360" s="1094"/>
      <c r="CD360" s="1094"/>
      <c r="CE360" s="1094"/>
      <c r="CF360" s="1094"/>
      <c r="CG360" s="349"/>
    </row>
    <row r="361" spans="1:85" s="613" customFormat="1" x14ac:dyDescent="0.3">
      <c r="A361" s="478" t="s">
        <v>1788</v>
      </c>
      <c r="B361" s="523"/>
      <c r="C361" s="78"/>
      <c r="D361" s="78"/>
      <c r="E361" s="78"/>
      <c r="F361" s="78"/>
      <c r="G361" s="774"/>
      <c r="H361" s="774"/>
      <c r="I361" s="774"/>
      <c r="J361" s="774"/>
      <c r="K361" s="78"/>
      <c r="L361" s="774"/>
      <c r="M361" s="774"/>
      <c r="N361" s="774"/>
      <c r="O361" s="774"/>
      <c r="P361" s="78"/>
      <c r="Q361" s="774"/>
      <c r="R361" s="774"/>
      <c r="S361" s="774"/>
      <c r="T361" s="774"/>
      <c r="U361" s="78"/>
      <c r="V361" s="774"/>
      <c r="W361" s="774"/>
      <c r="X361" s="774"/>
      <c r="Y361" s="774"/>
      <c r="Z361" s="78"/>
      <c r="AA361" s="774"/>
      <c r="AB361" s="774"/>
      <c r="AC361" s="774"/>
      <c r="AD361" s="774"/>
      <c r="AE361" s="78"/>
      <c r="AF361" s="774"/>
      <c r="AG361" s="774"/>
      <c r="AH361" s="774"/>
      <c r="AI361" s="774"/>
      <c r="AJ361" s="78"/>
      <c r="AK361" s="774"/>
      <c r="AL361" s="774"/>
      <c r="AM361" s="774"/>
      <c r="AN361" s="774"/>
      <c r="AO361" s="78"/>
      <c r="AP361" s="774"/>
      <c r="AQ361" s="774"/>
      <c r="AR361" s="774"/>
      <c r="AS361" s="774"/>
      <c r="AT361" s="78"/>
      <c r="AU361" s="774"/>
      <c r="AV361" s="774"/>
      <c r="AW361" s="774"/>
      <c r="AX361" s="774"/>
      <c r="AY361" s="1119">
        <v>11.553000000000001</v>
      </c>
      <c r="AZ361" s="774"/>
      <c r="BA361" s="774"/>
      <c r="BB361" s="774"/>
      <c r="BC361" s="774"/>
      <c r="BD361" s="1119">
        <v>11.553000000000001</v>
      </c>
      <c r="BE361" s="774"/>
      <c r="BF361" s="774"/>
      <c r="BG361" s="774"/>
      <c r="BH361" s="774"/>
      <c r="BI361" s="1119">
        <v>2.3439999999999999</v>
      </c>
      <c r="BJ361" s="774"/>
      <c r="BK361" s="774"/>
      <c r="BL361" s="774"/>
      <c r="BM361" s="774"/>
      <c r="BN361" s="1119">
        <v>2.3439999999999999</v>
      </c>
      <c r="BO361" s="774"/>
      <c r="BP361" s="774"/>
      <c r="BQ361" s="774"/>
      <c r="BR361" s="774"/>
      <c r="BS361" s="78"/>
      <c r="BT361" s="775"/>
      <c r="BU361" s="774"/>
      <c r="BV361" s="774"/>
      <c r="BW361" s="774"/>
      <c r="BX361" s="78"/>
      <c r="BY361" s="774"/>
      <c r="BZ361" s="774"/>
      <c r="CA361" s="774"/>
      <c r="CB361" s="774"/>
      <c r="CC361" s="78"/>
      <c r="CD361" s="78"/>
      <c r="CE361" s="78"/>
      <c r="CF361" s="78"/>
      <c r="CG361" s="532"/>
    </row>
    <row r="362" spans="1:85" s="615" customFormat="1" x14ac:dyDescent="0.3">
      <c r="A362" s="522" t="s">
        <v>1787</v>
      </c>
      <c r="B362" s="521"/>
      <c r="C362" s="1122"/>
      <c r="D362" s="1122"/>
      <c r="E362" s="1122"/>
      <c r="F362" s="1122"/>
      <c r="G362" s="520"/>
      <c r="H362" s="520"/>
      <c r="I362" s="520"/>
      <c r="J362" s="520"/>
      <c r="K362" s="1122"/>
      <c r="L362" s="520"/>
      <c r="M362" s="520"/>
      <c r="N362" s="520"/>
      <c r="O362" s="520"/>
      <c r="P362" s="1122"/>
      <c r="Q362" s="520"/>
      <c r="R362" s="520"/>
      <c r="S362" s="520"/>
      <c r="T362" s="520"/>
      <c r="U362" s="1122"/>
      <c r="V362" s="520"/>
      <c r="W362" s="520"/>
      <c r="X362" s="520"/>
      <c r="Y362" s="520"/>
      <c r="Z362" s="1122"/>
      <c r="AA362" s="520"/>
      <c r="AB362" s="520"/>
      <c r="AC362" s="520"/>
      <c r="AD362" s="520"/>
      <c r="AE362" s="1122"/>
      <c r="AF362" s="520"/>
      <c r="AG362" s="520"/>
      <c r="AH362" s="520"/>
      <c r="AI362" s="520"/>
      <c r="AJ362" s="1122"/>
      <c r="AK362" s="520"/>
      <c r="AL362" s="520"/>
      <c r="AM362" s="520"/>
      <c r="AN362" s="520"/>
      <c r="AO362" s="1122"/>
      <c r="AP362" s="520"/>
      <c r="AQ362" s="520"/>
      <c r="AR362" s="520"/>
      <c r="AS362" s="520"/>
      <c r="AT362" s="1124"/>
      <c r="AU362" s="526"/>
      <c r="AV362" s="526"/>
      <c r="AW362" s="526"/>
      <c r="AX362" s="526"/>
      <c r="AY362" s="1123">
        <v>613.15</v>
      </c>
      <c r="AZ362" s="526"/>
      <c r="BA362" s="526"/>
      <c r="BB362" s="526"/>
      <c r="BC362" s="526"/>
      <c r="BD362" s="1123">
        <v>613.15</v>
      </c>
      <c r="BE362" s="520"/>
      <c r="BF362" s="520"/>
      <c r="BG362" s="520"/>
      <c r="BH362" s="520"/>
      <c r="BI362" s="1123">
        <v>613.15</v>
      </c>
      <c r="BJ362" s="520"/>
      <c r="BK362" s="520"/>
      <c r="BL362" s="520"/>
      <c r="BM362" s="520"/>
      <c r="BN362" s="1123">
        <v>613.15</v>
      </c>
      <c r="BO362" s="520"/>
      <c r="BP362" s="520"/>
      <c r="BQ362" s="520"/>
      <c r="BR362" s="520"/>
      <c r="BS362" s="1124"/>
      <c r="BT362" s="728"/>
      <c r="BU362" s="520"/>
      <c r="BV362" s="520"/>
      <c r="BW362" s="520"/>
      <c r="BX362" s="1122"/>
      <c r="BY362" s="520"/>
      <c r="BZ362" s="520"/>
      <c r="CA362" s="520"/>
      <c r="CB362" s="520"/>
      <c r="CC362" s="1122"/>
      <c r="CD362" s="1122"/>
      <c r="CE362" s="1122"/>
      <c r="CF362" s="1122"/>
      <c r="CG362" s="519"/>
    </row>
    <row r="363" spans="1:85" s="614" customFormat="1" x14ac:dyDescent="0.3">
      <c r="A363" s="522"/>
      <c r="B363" s="352"/>
      <c r="C363" s="1094"/>
      <c r="D363" s="1094"/>
      <c r="E363" s="1094"/>
      <c r="F363" s="1094"/>
      <c r="G363" s="197"/>
      <c r="H363" s="197"/>
      <c r="I363" s="197"/>
      <c r="J363" s="197"/>
      <c r="K363" s="1094"/>
      <c r="L363" s="197"/>
      <c r="M363" s="197"/>
      <c r="N363" s="197"/>
      <c r="O363" s="197"/>
      <c r="P363" s="1094"/>
      <c r="Q363" s="197"/>
      <c r="R363" s="197"/>
      <c r="S363" s="197"/>
      <c r="T363" s="197"/>
      <c r="U363" s="1094"/>
      <c r="V363" s="197"/>
      <c r="W363" s="197"/>
      <c r="X363" s="197"/>
      <c r="Y363" s="197"/>
      <c r="Z363" s="1094"/>
      <c r="AA363" s="197"/>
      <c r="AB363" s="197"/>
      <c r="AC363" s="197"/>
      <c r="AD363" s="197"/>
      <c r="AE363" s="1094"/>
      <c r="AF363" s="197"/>
      <c r="AG363" s="197"/>
      <c r="AH363" s="197"/>
      <c r="AI363" s="197"/>
      <c r="AJ363" s="1094"/>
      <c r="AK363" s="197"/>
      <c r="AL363" s="197"/>
      <c r="AM363" s="197"/>
      <c r="AN363" s="197"/>
      <c r="AO363" s="1094"/>
      <c r="AP363" s="197"/>
      <c r="AQ363" s="197"/>
      <c r="AR363" s="197"/>
      <c r="AS363" s="197"/>
      <c r="AT363" s="198"/>
      <c r="AU363" s="194"/>
      <c r="AV363" s="194"/>
      <c r="AW363" s="194"/>
      <c r="AX363" s="194"/>
      <c r="AY363" s="198"/>
      <c r="AZ363" s="194"/>
      <c r="BA363" s="194"/>
      <c r="BB363" s="194"/>
      <c r="BC363" s="194"/>
      <c r="BD363" s="198"/>
      <c r="BE363" s="197"/>
      <c r="BF363" s="197"/>
      <c r="BG363" s="197"/>
      <c r="BH363" s="197"/>
      <c r="BI363" s="198"/>
      <c r="BJ363" s="197"/>
      <c r="BK363" s="197"/>
      <c r="BL363" s="197"/>
      <c r="BM363" s="197"/>
      <c r="BN363" s="198"/>
      <c r="BO363" s="197"/>
      <c r="BP363" s="197"/>
      <c r="BQ363" s="197"/>
      <c r="BR363" s="197"/>
      <c r="BS363" s="198"/>
      <c r="BT363" s="727"/>
      <c r="BU363" s="197"/>
      <c r="BV363" s="197"/>
      <c r="BW363" s="197"/>
      <c r="BX363" s="1094"/>
      <c r="BY363" s="197"/>
      <c r="BZ363" s="197"/>
      <c r="CA363" s="197"/>
      <c r="CB363" s="197"/>
      <c r="CC363" s="1094"/>
      <c r="CD363" s="1094"/>
      <c r="CE363" s="1094"/>
      <c r="CF363" s="1094"/>
      <c r="CG363" s="349"/>
    </row>
    <row r="364" spans="1:85" s="613" customFormat="1" x14ac:dyDescent="0.3">
      <c r="A364" s="478" t="s">
        <v>1786</v>
      </c>
      <c r="B364" s="523"/>
      <c r="C364" s="78"/>
      <c r="D364" s="78"/>
      <c r="E364" s="78"/>
      <c r="F364" s="78"/>
      <c r="G364" s="774"/>
      <c r="H364" s="774"/>
      <c r="I364" s="774"/>
      <c r="J364" s="774"/>
      <c r="K364" s="78"/>
      <c r="L364" s="774"/>
      <c r="M364" s="774"/>
      <c r="N364" s="774"/>
      <c r="O364" s="774"/>
      <c r="P364" s="78"/>
      <c r="Q364" s="774"/>
      <c r="R364" s="774"/>
      <c r="S364" s="774"/>
      <c r="T364" s="774"/>
      <c r="U364" s="78"/>
      <c r="V364" s="774"/>
      <c r="W364" s="774"/>
      <c r="X364" s="774"/>
      <c r="Y364" s="774"/>
      <c r="Z364" s="78"/>
      <c r="AA364" s="774"/>
      <c r="AB364" s="774"/>
      <c r="AC364" s="774"/>
      <c r="AD364" s="774"/>
      <c r="AE364" s="78"/>
      <c r="AF364" s="774"/>
      <c r="AG364" s="774"/>
      <c r="AH364" s="774"/>
      <c r="AI364" s="774"/>
      <c r="AJ364" s="78"/>
      <c r="AK364" s="774"/>
      <c r="AL364" s="774"/>
      <c r="AM364" s="774"/>
      <c r="AN364" s="774"/>
      <c r="AO364" s="78"/>
      <c r="AP364" s="774"/>
      <c r="AQ364" s="774"/>
      <c r="AR364" s="774"/>
      <c r="AS364" s="774"/>
      <c r="AT364" s="78"/>
      <c r="AU364" s="774"/>
      <c r="AV364" s="774"/>
      <c r="AW364" s="774"/>
      <c r="AX364" s="774"/>
      <c r="AY364" s="1119">
        <v>10.398</v>
      </c>
      <c r="AZ364" s="774"/>
      <c r="BA364" s="774"/>
      <c r="BB364" s="774"/>
      <c r="BC364" s="774"/>
      <c r="BD364" s="1119">
        <v>10.398</v>
      </c>
      <c r="BE364" s="774"/>
      <c r="BF364" s="774"/>
      <c r="BG364" s="774"/>
      <c r="BH364" s="774"/>
      <c r="BI364" s="1119">
        <v>2.1110000000000002</v>
      </c>
      <c r="BJ364" s="774"/>
      <c r="BK364" s="774"/>
      <c r="BL364" s="774"/>
      <c r="BM364" s="774"/>
      <c r="BN364" s="1119">
        <v>2.1110000000000002</v>
      </c>
      <c r="BO364" s="774"/>
      <c r="BP364" s="774"/>
      <c r="BQ364" s="774"/>
      <c r="BR364" s="774"/>
      <c r="BS364" s="78"/>
      <c r="BT364" s="775"/>
      <c r="BU364" s="774"/>
      <c r="BV364" s="774"/>
      <c r="BW364" s="774"/>
      <c r="BX364" s="78"/>
      <c r="BY364" s="774"/>
      <c r="BZ364" s="774"/>
      <c r="CA364" s="774"/>
      <c r="CB364" s="774"/>
      <c r="CC364" s="78"/>
      <c r="CD364" s="78"/>
      <c r="CE364" s="78"/>
      <c r="CF364" s="78"/>
      <c r="CG364" s="532"/>
    </row>
    <row r="365" spans="1:85" s="615" customFormat="1" x14ac:dyDescent="0.3">
      <c r="A365" s="522" t="s">
        <v>1785</v>
      </c>
      <c r="B365" s="521"/>
      <c r="C365" s="1122"/>
      <c r="D365" s="1122"/>
      <c r="E365" s="1122"/>
      <c r="F365" s="1122"/>
      <c r="G365" s="520"/>
      <c r="H365" s="520"/>
      <c r="I365" s="520"/>
      <c r="J365" s="520"/>
      <c r="K365" s="1122"/>
      <c r="L365" s="520"/>
      <c r="M365" s="520"/>
      <c r="N365" s="520"/>
      <c r="O365" s="520"/>
      <c r="P365" s="1122"/>
      <c r="Q365" s="520"/>
      <c r="R365" s="520"/>
      <c r="S365" s="520"/>
      <c r="T365" s="520"/>
      <c r="U365" s="1122"/>
      <c r="V365" s="520"/>
      <c r="W365" s="520"/>
      <c r="X365" s="520"/>
      <c r="Y365" s="520"/>
      <c r="Z365" s="1122"/>
      <c r="AA365" s="520"/>
      <c r="AB365" s="520"/>
      <c r="AC365" s="520"/>
      <c r="AD365" s="520"/>
      <c r="AE365" s="1122"/>
      <c r="AF365" s="520"/>
      <c r="AG365" s="520"/>
      <c r="AH365" s="520"/>
      <c r="AI365" s="520"/>
      <c r="AJ365" s="1122"/>
      <c r="AK365" s="520"/>
      <c r="AL365" s="520"/>
      <c r="AM365" s="520"/>
      <c r="AN365" s="520"/>
      <c r="AO365" s="1122"/>
      <c r="AP365" s="520"/>
      <c r="AQ365" s="520"/>
      <c r="AR365" s="520"/>
      <c r="AS365" s="520"/>
      <c r="AT365" s="1124"/>
      <c r="AU365" s="526"/>
      <c r="AV365" s="526"/>
      <c r="AW365" s="526"/>
      <c r="AX365" s="526"/>
      <c r="AY365" s="1123">
        <v>681.17</v>
      </c>
      <c r="AZ365" s="526"/>
      <c r="BA365" s="526"/>
      <c r="BB365" s="526"/>
      <c r="BC365" s="526"/>
      <c r="BD365" s="1123">
        <v>681.17</v>
      </c>
      <c r="BE365" s="520"/>
      <c r="BF365" s="520"/>
      <c r="BG365" s="520"/>
      <c r="BH365" s="520"/>
      <c r="BI365" s="1123">
        <v>681.17</v>
      </c>
      <c r="BJ365" s="520"/>
      <c r="BK365" s="520"/>
      <c r="BL365" s="520"/>
      <c r="BM365" s="520"/>
      <c r="BN365" s="1123">
        <v>681.17</v>
      </c>
      <c r="BO365" s="520"/>
      <c r="BP365" s="520"/>
      <c r="BQ365" s="520"/>
      <c r="BR365" s="520"/>
      <c r="BS365" s="1124"/>
      <c r="BT365" s="728"/>
      <c r="BU365" s="520"/>
      <c r="BV365" s="520"/>
      <c r="BW365" s="520"/>
      <c r="BX365" s="1122"/>
      <c r="BY365" s="520"/>
      <c r="BZ365" s="520"/>
      <c r="CA365" s="520"/>
      <c r="CB365" s="520"/>
      <c r="CC365" s="1122"/>
      <c r="CD365" s="1122"/>
      <c r="CE365" s="1122"/>
      <c r="CF365" s="1122"/>
      <c r="CG365" s="519"/>
    </row>
    <row r="366" spans="1:85" s="614" customFormat="1" x14ac:dyDescent="0.3">
      <c r="A366" s="522"/>
      <c r="B366" s="352"/>
      <c r="C366" s="1094"/>
      <c r="D366" s="1094"/>
      <c r="E366" s="1094"/>
      <c r="F366" s="1094"/>
      <c r="G366" s="197"/>
      <c r="H366" s="197"/>
      <c r="I366" s="197"/>
      <c r="J366" s="197"/>
      <c r="K366" s="1094"/>
      <c r="L366" s="197"/>
      <c r="M366" s="197"/>
      <c r="N366" s="197"/>
      <c r="O366" s="197"/>
      <c r="P366" s="1094"/>
      <c r="Q366" s="197"/>
      <c r="R366" s="197"/>
      <c r="S366" s="197"/>
      <c r="T366" s="197"/>
      <c r="U366" s="1094"/>
      <c r="V366" s="197"/>
      <c r="W366" s="197"/>
      <c r="X366" s="197"/>
      <c r="Y366" s="197"/>
      <c r="Z366" s="1094"/>
      <c r="AA366" s="197"/>
      <c r="AB366" s="197"/>
      <c r="AC366" s="197"/>
      <c r="AD366" s="197"/>
      <c r="AE366" s="1094"/>
      <c r="AF366" s="197"/>
      <c r="AG366" s="197"/>
      <c r="AH366" s="197"/>
      <c r="AI366" s="197"/>
      <c r="AJ366" s="1094"/>
      <c r="AK366" s="197"/>
      <c r="AL366" s="197"/>
      <c r="AM366" s="197"/>
      <c r="AN366" s="197"/>
      <c r="AO366" s="1094"/>
      <c r="AP366" s="197"/>
      <c r="AQ366" s="197"/>
      <c r="AR366" s="197"/>
      <c r="AS366" s="197"/>
      <c r="AT366" s="198"/>
      <c r="AU366" s="194"/>
      <c r="AV366" s="194"/>
      <c r="AW366" s="194"/>
      <c r="AX366" s="194"/>
      <c r="AY366" s="198"/>
      <c r="AZ366" s="194"/>
      <c r="BA366" s="194"/>
      <c r="BB366" s="194"/>
      <c r="BC366" s="194"/>
      <c r="BD366" s="198"/>
      <c r="BE366" s="197"/>
      <c r="BF366" s="197"/>
      <c r="BG366" s="197"/>
      <c r="BH366" s="197"/>
      <c r="BI366" s="198"/>
      <c r="BJ366" s="197"/>
      <c r="BK366" s="197"/>
      <c r="BL366" s="197"/>
      <c r="BM366" s="197"/>
      <c r="BN366" s="198"/>
      <c r="BO366" s="197"/>
      <c r="BP366" s="197"/>
      <c r="BQ366" s="197"/>
      <c r="BR366" s="197"/>
      <c r="BS366" s="198"/>
      <c r="BT366" s="727"/>
      <c r="BU366" s="197"/>
      <c r="BV366" s="197"/>
      <c r="BW366" s="197"/>
      <c r="BX366" s="1094"/>
      <c r="BY366" s="197"/>
      <c r="BZ366" s="197"/>
      <c r="CA366" s="197"/>
      <c r="CB366" s="197"/>
      <c r="CC366" s="1094"/>
      <c r="CD366" s="1094"/>
      <c r="CE366" s="1094"/>
      <c r="CF366" s="1094"/>
      <c r="CG366" s="349"/>
    </row>
    <row r="367" spans="1:85" s="613" customFormat="1" x14ac:dyDescent="0.3">
      <c r="A367" s="478" t="s">
        <v>1784</v>
      </c>
      <c r="B367" s="523"/>
      <c r="C367" s="78"/>
      <c r="D367" s="78"/>
      <c r="E367" s="78"/>
      <c r="F367" s="78"/>
      <c r="G367" s="774"/>
      <c r="H367" s="774"/>
      <c r="I367" s="774"/>
      <c r="J367" s="774"/>
      <c r="K367" s="78"/>
      <c r="L367" s="774"/>
      <c r="M367" s="774"/>
      <c r="N367" s="774"/>
      <c r="O367" s="774"/>
      <c r="P367" s="78"/>
      <c r="Q367" s="774"/>
      <c r="R367" s="774"/>
      <c r="S367" s="774"/>
      <c r="T367" s="774"/>
      <c r="U367" s="78"/>
      <c r="V367" s="774"/>
      <c r="W367" s="774"/>
      <c r="X367" s="774"/>
      <c r="Y367" s="774"/>
      <c r="Z367" s="78"/>
      <c r="AA367" s="774"/>
      <c r="AB367" s="774"/>
      <c r="AC367" s="774"/>
      <c r="AD367" s="774"/>
      <c r="AE367" s="78"/>
      <c r="AF367" s="774"/>
      <c r="AG367" s="774"/>
      <c r="AH367" s="774"/>
      <c r="AI367" s="774"/>
      <c r="AJ367" s="78"/>
      <c r="AK367" s="774"/>
      <c r="AL367" s="774"/>
      <c r="AM367" s="774"/>
      <c r="AN367" s="774"/>
      <c r="AO367" s="78"/>
      <c r="AP367" s="774"/>
      <c r="AQ367" s="774"/>
      <c r="AR367" s="774"/>
      <c r="AS367" s="774"/>
      <c r="AT367" s="78"/>
      <c r="AU367" s="774"/>
      <c r="AV367" s="774"/>
      <c r="AW367" s="774"/>
      <c r="AX367" s="774"/>
      <c r="AY367" s="1119">
        <v>11.465999999999999</v>
      </c>
      <c r="AZ367" s="774"/>
      <c r="BA367" s="774"/>
      <c r="BB367" s="774"/>
      <c r="BC367" s="774"/>
      <c r="BD367" s="1119">
        <v>11.465999999999999</v>
      </c>
      <c r="BE367" s="774"/>
      <c r="BF367" s="774"/>
      <c r="BG367" s="774"/>
      <c r="BH367" s="774"/>
      <c r="BI367" s="1119">
        <v>2.327</v>
      </c>
      <c r="BJ367" s="774"/>
      <c r="BK367" s="774"/>
      <c r="BL367" s="774"/>
      <c r="BM367" s="774"/>
      <c r="BN367" s="1119">
        <v>2.327</v>
      </c>
      <c r="BO367" s="774"/>
      <c r="BP367" s="774"/>
      <c r="BQ367" s="774"/>
      <c r="BR367" s="774"/>
      <c r="BS367" s="78"/>
      <c r="BT367" s="775"/>
      <c r="BU367" s="774"/>
      <c r="BV367" s="774"/>
      <c r="BW367" s="774"/>
      <c r="BX367" s="78"/>
      <c r="BY367" s="774"/>
      <c r="BZ367" s="774"/>
      <c r="CA367" s="774"/>
      <c r="CB367" s="774"/>
      <c r="CC367" s="78"/>
      <c r="CD367" s="78"/>
      <c r="CE367" s="78"/>
      <c r="CF367" s="78"/>
      <c r="CG367" s="532"/>
    </row>
    <row r="368" spans="1:85" s="615" customFormat="1" x14ac:dyDescent="0.3">
      <c r="A368" s="522" t="s">
        <v>1783</v>
      </c>
      <c r="B368" s="521"/>
      <c r="C368" s="1122"/>
      <c r="D368" s="1122"/>
      <c r="E368" s="1122"/>
      <c r="F368" s="1122"/>
      <c r="G368" s="520"/>
      <c r="H368" s="520"/>
      <c r="I368" s="520"/>
      <c r="J368" s="520"/>
      <c r="K368" s="1122"/>
      <c r="L368" s="520"/>
      <c r="M368" s="520"/>
      <c r="N368" s="520"/>
      <c r="O368" s="520"/>
      <c r="P368" s="1122"/>
      <c r="Q368" s="520"/>
      <c r="R368" s="520"/>
      <c r="S368" s="520"/>
      <c r="T368" s="520"/>
      <c r="U368" s="1122"/>
      <c r="V368" s="520"/>
      <c r="W368" s="520"/>
      <c r="X368" s="520"/>
      <c r="Y368" s="520"/>
      <c r="Z368" s="1122"/>
      <c r="AA368" s="520"/>
      <c r="AB368" s="520"/>
      <c r="AC368" s="520"/>
      <c r="AD368" s="520"/>
      <c r="AE368" s="1122"/>
      <c r="AF368" s="520"/>
      <c r="AG368" s="520"/>
      <c r="AH368" s="520"/>
      <c r="AI368" s="520"/>
      <c r="AJ368" s="1122"/>
      <c r="AK368" s="520"/>
      <c r="AL368" s="520"/>
      <c r="AM368" s="520"/>
      <c r="AN368" s="520"/>
      <c r="AO368" s="1122"/>
      <c r="AP368" s="520"/>
      <c r="AQ368" s="520"/>
      <c r="AR368" s="520"/>
      <c r="AS368" s="520"/>
      <c r="AT368" s="1124"/>
      <c r="AU368" s="526"/>
      <c r="AV368" s="526"/>
      <c r="AW368" s="526"/>
      <c r="AX368" s="526"/>
      <c r="AY368" s="1123">
        <v>617.77</v>
      </c>
      <c r="AZ368" s="526"/>
      <c r="BA368" s="526"/>
      <c r="BB368" s="526"/>
      <c r="BC368" s="526"/>
      <c r="BD368" s="1123">
        <v>617.77</v>
      </c>
      <c r="BE368" s="520"/>
      <c r="BF368" s="520"/>
      <c r="BG368" s="520"/>
      <c r="BH368" s="520"/>
      <c r="BI368" s="1123">
        <v>617.77</v>
      </c>
      <c r="BJ368" s="520"/>
      <c r="BK368" s="520"/>
      <c r="BL368" s="520"/>
      <c r="BM368" s="520"/>
      <c r="BN368" s="1123">
        <v>617.77</v>
      </c>
      <c r="BO368" s="520"/>
      <c r="BP368" s="520"/>
      <c r="BQ368" s="520"/>
      <c r="BR368" s="520"/>
      <c r="BS368" s="1124"/>
      <c r="BT368" s="728"/>
      <c r="BU368" s="520"/>
      <c r="BV368" s="520"/>
      <c r="BW368" s="520"/>
      <c r="BX368" s="1122"/>
      <c r="BY368" s="520"/>
      <c r="BZ368" s="520"/>
      <c r="CA368" s="520"/>
      <c r="CB368" s="520"/>
      <c r="CC368" s="1122"/>
      <c r="CD368" s="1122"/>
      <c r="CE368" s="1122"/>
      <c r="CF368" s="1122"/>
      <c r="CG368" s="519"/>
    </row>
    <row r="369" spans="1:85" s="614" customFormat="1" x14ac:dyDescent="0.3">
      <c r="A369" s="522"/>
      <c r="B369" s="352"/>
      <c r="C369" s="1094"/>
      <c r="D369" s="1094"/>
      <c r="E369" s="1094"/>
      <c r="F369" s="1094"/>
      <c r="G369" s="197"/>
      <c r="H369" s="197"/>
      <c r="I369" s="197"/>
      <c r="J369" s="197"/>
      <c r="K369" s="1094"/>
      <c r="L369" s="197"/>
      <c r="M369" s="197"/>
      <c r="N369" s="197"/>
      <c r="O369" s="197"/>
      <c r="P369" s="1094"/>
      <c r="Q369" s="197"/>
      <c r="R369" s="197"/>
      <c r="S369" s="197"/>
      <c r="T369" s="197"/>
      <c r="U369" s="1094"/>
      <c r="V369" s="197"/>
      <c r="W369" s="197"/>
      <c r="X369" s="197"/>
      <c r="Y369" s="197"/>
      <c r="Z369" s="1094"/>
      <c r="AA369" s="197"/>
      <c r="AB369" s="197"/>
      <c r="AC369" s="197"/>
      <c r="AD369" s="197"/>
      <c r="AE369" s="1094"/>
      <c r="AF369" s="197"/>
      <c r="AG369" s="197"/>
      <c r="AH369" s="197"/>
      <c r="AI369" s="197"/>
      <c r="AJ369" s="1094"/>
      <c r="AK369" s="197"/>
      <c r="AL369" s="197"/>
      <c r="AM369" s="197"/>
      <c r="AN369" s="197"/>
      <c r="AO369" s="1094"/>
      <c r="AP369" s="197"/>
      <c r="AQ369" s="197"/>
      <c r="AR369" s="197"/>
      <c r="AS369" s="197"/>
      <c r="AT369" s="198"/>
      <c r="AU369" s="194"/>
      <c r="AV369" s="194"/>
      <c r="AW369" s="194"/>
      <c r="AX369" s="194"/>
      <c r="AY369" s="198"/>
      <c r="AZ369" s="194"/>
      <c r="BA369" s="194"/>
      <c r="BB369" s="194"/>
      <c r="BC369" s="194"/>
      <c r="BD369" s="198"/>
      <c r="BE369" s="197"/>
      <c r="BF369" s="197"/>
      <c r="BG369" s="197"/>
      <c r="BH369" s="197"/>
      <c r="BI369" s="1094"/>
      <c r="BJ369" s="197"/>
      <c r="BK369" s="197"/>
      <c r="BL369" s="197"/>
      <c r="BM369" s="197"/>
      <c r="BN369" s="1094"/>
      <c r="BO369" s="197"/>
      <c r="BP369" s="197"/>
      <c r="BQ369" s="197"/>
      <c r="BR369" s="197"/>
      <c r="BS369" s="1094"/>
      <c r="BT369" s="727"/>
      <c r="BU369" s="197"/>
      <c r="BV369" s="197"/>
      <c r="BW369" s="197"/>
      <c r="BX369" s="1094"/>
      <c r="BY369" s="197"/>
      <c r="BZ369" s="197"/>
      <c r="CA369" s="197"/>
      <c r="CB369" s="197"/>
      <c r="CC369" s="1094"/>
      <c r="CD369" s="1094"/>
      <c r="CE369" s="1094"/>
      <c r="CF369" s="1094"/>
      <c r="CG369" s="349"/>
    </row>
    <row r="370" spans="1:85" s="613" customFormat="1" x14ac:dyDescent="0.3">
      <c r="A370" s="478" t="s">
        <v>1782</v>
      </c>
      <c r="B370" s="523"/>
      <c r="C370" s="78"/>
      <c r="D370" s="78"/>
      <c r="E370" s="78"/>
      <c r="F370" s="78"/>
      <c r="G370" s="774"/>
      <c r="H370" s="774"/>
      <c r="I370" s="774"/>
      <c r="J370" s="774"/>
      <c r="K370" s="78"/>
      <c r="L370" s="774"/>
      <c r="M370" s="774"/>
      <c r="N370" s="774"/>
      <c r="O370" s="774"/>
      <c r="P370" s="78"/>
      <c r="Q370" s="774"/>
      <c r="R370" s="774"/>
      <c r="S370" s="774"/>
      <c r="T370" s="774"/>
      <c r="U370" s="78"/>
      <c r="V370" s="774"/>
      <c r="W370" s="774"/>
      <c r="X370" s="774"/>
      <c r="Y370" s="774"/>
      <c r="Z370" s="78"/>
      <c r="AA370" s="774"/>
      <c r="AB370" s="774"/>
      <c r="AC370" s="774"/>
      <c r="AD370" s="774"/>
      <c r="AE370" s="78"/>
      <c r="AF370" s="774"/>
      <c r="AG370" s="774"/>
      <c r="AH370" s="774"/>
      <c r="AI370" s="774"/>
      <c r="AJ370" s="78"/>
      <c r="AK370" s="774"/>
      <c r="AL370" s="774"/>
      <c r="AM370" s="774"/>
      <c r="AN370" s="774"/>
      <c r="AO370" s="78"/>
      <c r="AP370" s="774"/>
      <c r="AQ370" s="774"/>
      <c r="AR370" s="774"/>
      <c r="AS370" s="774"/>
      <c r="AT370" s="78"/>
      <c r="AU370" s="774"/>
      <c r="AV370" s="774"/>
      <c r="AW370" s="774"/>
      <c r="AX370" s="774"/>
      <c r="AY370" s="78"/>
      <c r="AZ370" s="774"/>
      <c r="BA370" s="774"/>
      <c r="BB370" s="774"/>
      <c r="BC370" s="774"/>
      <c r="BD370" s="1119">
        <v>11.858000000000001</v>
      </c>
      <c r="BE370" s="774"/>
      <c r="BF370" s="774"/>
      <c r="BG370" s="774"/>
      <c r="BH370" s="774"/>
      <c r="BI370" s="1119">
        <v>2.4060000000000001</v>
      </c>
      <c r="BJ370" s="774"/>
      <c r="BK370" s="774"/>
      <c r="BL370" s="774"/>
      <c r="BM370" s="774"/>
      <c r="BN370" s="1119">
        <v>2.4060000000000001</v>
      </c>
      <c r="BO370" s="774"/>
      <c r="BP370" s="774"/>
      <c r="BQ370" s="774"/>
      <c r="BR370" s="774"/>
      <c r="BS370" s="78"/>
      <c r="BT370" s="775"/>
      <c r="BU370" s="774"/>
      <c r="BV370" s="774"/>
      <c r="BW370" s="774"/>
      <c r="BX370" s="78"/>
      <c r="BY370" s="774"/>
      <c r="BZ370" s="774"/>
      <c r="CA370" s="774"/>
      <c r="CB370" s="774"/>
      <c r="CC370" s="78"/>
      <c r="CD370" s="78"/>
      <c r="CE370" s="78"/>
      <c r="CF370" s="78"/>
      <c r="CG370" s="532"/>
    </row>
    <row r="371" spans="1:85" s="615" customFormat="1" x14ac:dyDescent="0.3">
      <c r="A371" s="522" t="s">
        <v>1781</v>
      </c>
      <c r="B371" s="521"/>
      <c r="C371" s="1122"/>
      <c r="D371" s="1122"/>
      <c r="E371" s="1122"/>
      <c r="F371" s="1122"/>
      <c r="G371" s="520"/>
      <c r="H371" s="520"/>
      <c r="I371" s="520"/>
      <c r="J371" s="520"/>
      <c r="K371" s="1122"/>
      <c r="L371" s="520"/>
      <c r="M371" s="520"/>
      <c r="N371" s="520"/>
      <c r="O371" s="520"/>
      <c r="P371" s="1122"/>
      <c r="Q371" s="520"/>
      <c r="R371" s="520"/>
      <c r="S371" s="520"/>
      <c r="T371" s="520"/>
      <c r="U371" s="1122"/>
      <c r="V371" s="520"/>
      <c r="W371" s="520"/>
      <c r="X371" s="520"/>
      <c r="Y371" s="520"/>
      <c r="Z371" s="1122"/>
      <c r="AA371" s="520"/>
      <c r="AB371" s="520"/>
      <c r="AC371" s="520"/>
      <c r="AD371" s="520"/>
      <c r="AE371" s="1122"/>
      <c r="AF371" s="520"/>
      <c r="AG371" s="520"/>
      <c r="AH371" s="520"/>
      <c r="AI371" s="520"/>
      <c r="AJ371" s="1122"/>
      <c r="AK371" s="520"/>
      <c r="AL371" s="520"/>
      <c r="AM371" s="520"/>
      <c r="AN371" s="520"/>
      <c r="AO371" s="1122"/>
      <c r="AP371" s="520"/>
      <c r="AQ371" s="520"/>
      <c r="AR371" s="520"/>
      <c r="AS371" s="520"/>
      <c r="AT371" s="1124"/>
      <c r="AU371" s="526"/>
      <c r="AV371" s="526"/>
      <c r="AW371" s="526"/>
      <c r="AX371" s="526"/>
      <c r="AY371" s="1124"/>
      <c r="AZ371" s="526"/>
      <c r="BA371" s="526"/>
      <c r="BB371" s="526"/>
      <c r="BC371" s="526"/>
      <c r="BD371" s="1123">
        <v>597.37</v>
      </c>
      <c r="BE371" s="520"/>
      <c r="BF371" s="520"/>
      <c r="BG371" s="520"/>
      <c r="BH371" s="520"/>
      <c r="BI371" s="1123">
        <v>597.37</v>
      </c>
      <c r="BJ371" s="520"/>
      <c r="BK371" s="520"/>
      <c r="BL371" s="520"/>
      <c r="BM371" s="520"/>
      <c r="BN371" s="1123">
        <v>597.37</v>
      </c>
      <c r="BO371" s="520"/>
      <c r="BP371" s="520"/>
      <c r="BQ371" s="520"/>
      <c r="BR371" s="520"/>
      <c r="BS371" s="1124"/>
      <c r="BT371" s="728"/>
      <c r="BU371" s="520"/>
      <c r="BV371" s="520"/>
      <c r="BW371" s="520"/>
      <c r="BX371" s="1122"/>
      <c r="BY371" s="520"/>
      <c r="BZ371" s="520"/>
      <c r="CA371" s="520"/>
      <c r="CB371" s="520"/>
      <c r="CC371" s="1122"/>
      <c r="CD371" s="1122"/>
      <c r="CE371" s="1122"/>
      <c r="CF371" s="1122"/>
      <c r="CG371" s="519"/>
    </row>
    <row r="372" spans="1:85" s="614" customFormat="1" x14ac:dyDescent="0.3">
      <c r="A372" s="522"/>
      <c r="B372" s="352"/>
      <c r="C372" s="1094"/>
      <c r="D372" s="1094"/>
      <c r="E372" s="1094"/>
      <c r="F372" s="1094"/>
      <c r="G372" s="197"/>
      <c r="H372" s="197"/>
      <c r="I372" s="197"/>
      <c r="J372" s="197"/>
      <c r="K372" s="1094"/>
      <c r="L372" s="197"/>
      <c r="M372" s="197"/>
      <c r="N372" s="197"/>
      <c r="O372" s="197"/>
      <c r="P372" s="1094"/>
      <c r="Q372" s="197"/>
      <c r="R372" s="197"/>
      <c r="S372" s="197"/>
      <c r="T372" s="197"/>
      <c r="U372" s="1094"/>
      <c r="V372" s="197"/>
      <c r="W372" s="197"/>
      <c r="X372" s="197"/>
      <c r="Y372" s="197"/>
      <c r="Z372" s="1094"/>
      <c r="AA372" s="197"/>
      <c r="AB372" s="197"/>
      <c r="AC372" s="197"/>
      <c r="AD372" s="197"/>
      <c r="AE372" s="1094"/>
      <c r="AF372" s="197"/>
      <c r="AG372" s="197"/>
      <c r="AH372" s="197"/>
      <c r="AI372" s="197"/>
      <c r="AJ372" s="1094"/>
      <c r="AK372" s="197"/>
      <c r="AL372" s="197"/>
      <c r="AM372" s="197"/>
      <c r="AN372" s="197"/>
      <c r="AO372" s="1094"/>
      <c r="AP372" s="197"/>
      <c r="AQ372" s="197"/>
      <c r="AR372" s="197"/>
      <c r="AS372" s="197"/>
      <c r="AT372" s="198"/>
      <c r="AU372" s="194"/>
      <c r="AV372" s="194"/>
      <c r="AW372" s="194"/>
      <c r="AX372" s="194"/>
      <c r="AY372" s="198"/>
      <c r="AZ372" s="194"/>
      <c r="BA372" s="194"/>
      <c r="BB372" s="194"/>
      <c r="BC372" s="194"/>
      <c r="BD372" s="198"/>
      <c r="BE372" s="197"/>
      <c r="BF372" s="197"/>
      <c r="BG372" s="197"/>
      <c r="BH372" s="197"/>
      <c r="BI372" s="198"/>
      <c r="BJ372" s="197"/>
      <c r="BK372" s="197"/>
      <c r="BL372" s="197"/>
      <c r="BM372" s="197"/>
      <c r="BN372" s="198"/>
      <c r="BO372" s="197"/>
      <c r="BP372" s="197"/>
      <c r="BQ372" s="197"/>
      <c r="BR372" s="197"/>
      <c r="BS372" s="198"/>
      <c r="BT372" s="727"/>
      <c r="BU372" s="197"/>
      <c r="BV372" s="197"/>
      <c r="BW372" s="197"/>
      <c r="BX372" s="1094"/>
      <c r="BY372" s="197"/>
      <c r="BZ372" s="197"/>
      <c r="CA372" s="197"/>
      <c r="CB372" s="197"/>
      <c r="CC372" s="1094"/>
      <c r="CD372" s="1094"/>
      <c r="CE372" s="1094"/>
      <c r="CF372" s="1094"/>
      <c r="CG372" s="349"/>
    </row>
    <row r="373" spans="1:85" s="613" customFormat="1" x14ac:dyDescent="0.3">
      <c r="A373" s="478" t="s">
        <v>1780</v>
      </c>
      <c r="B373" s="523"/>
      <c r="C373" s="78"/>
      <c r="D373" s="78"/>
      <c r="E373" s="78"/>
      <c r="F373" s="78"/>
      <c r="G373" s="774"/>
      <c r="H373" s="774"/>
      <c r="I373" s="774"/>
      <c r="J373" s="774"/>
      <c r="K373" s="78"/>
      <c r="L373" s="774"/>
      <c r="M373" s="774"/>
      <c r="N373" s="774"/>
      <c r="O373" s="774"/>
      <c r="P373" s="78"/>
      <c r="Q373" s="774"/>
      <c r="R373" s="774"/>
      <c r="S373" s="774"/>
      <c r="T373" s="774"/>
      <c r="U373" s="78"/>
      <c r="V373" s="774"/>
      <c r="W373" s="774"/>
      <c r="X373" s="774"/>
      <c r="Y373" s="774"/>
      <c r="Z373" s="78"/>
      <c r="AA373" s="774"/>
      <c r="AB373" s="774"/>
      <c r="AC373" s="774"/>
      <c r="AD373" s="774"/>
      <c r="AE373" s="78"/>
      <c r="AF373" s="774"/>
      <c r="AG373" s="774"/>
      <c r="AH373" s="774"/>
      <c r="AI373" s="774"/>
      <c r="AJ373" s="78"/>
      <c r="AK373" s="774"/>
      <c r="AL373" s="774"/>
      <c r="AM373" s="774"/>
      <c r="AN373" s="774"/>
      <c r="AO373" s="78"/>
      <c r="AP373" s="774"/>
      <c r="AQ373" s="774"/>
      <c r="AR373" s="774"/>
      <c r="AS373" s="774"/>
      <c r="AT373" s="78"/>
      <c r="AU373" s="774"/>
      <c r="AV373" s="774"/>
      <c r="AW373" s="774"/>
      <c r="AX373" s="774"/>
      <c r="AY373" s="78"/>
      <c r="AZ373" s="774"/>
      <c r="BA373" s="774"/>
      <c r="BB373" s="774"/>
      <c r="BC373" s="774"/>
      <c r="BD373" s="1119">
        <v>15.494999999999999</v>
      </c>
      <c r="BE373" s="774"/>
      <c r="BF373" s="774"/>
      <c r="BG373" s="774"/>
      <c r="BH373" s="774"/>
      <c r="BI373" s="1119">
        <v>3.6459999999999999</v>
      </c>
      <c r="BJ373" s="774"/>
      <c r="BK373" s="774"/>
      <c r="BL373" s="774"/>
      <c r="BM373" s="774"/>
      <c r="BN373" s="1119">
        <v>3.6459999999999999</v>
      </c>
      <c r="BO373" s="774"/>
      <c r="BP373" s="774"/>
      <c r="BQ373" s="774"/>
      <c r="BR373" s="774"/>
      <c r="BS373" s="78"/>
      <c r="BT373" s="775"/>
      <c r="BU373" s="774"/>
      <c r="BV373" s="774"/>
      <c r="BW373" s="774"/>
      <c r="BX373" s="78"/>
      <c r="BY373" s="774"/>
      <c r="BZ373" s="774"/>
      <c r="CA373" s="774"/>
      <c r="CB373" s="774"/>
      <c r="CC373" s="78"/>
      <c r="CD373" s="78"/>
      <c r="CE373" s="78"/>
      <c r="CF373" s="78"/>
      <c r="CG373" s="532"/>
    </row>
    <row r="374" spans="1:85" s="615" customFormat="1" x14ac:dyDescent="0.3">
      <c r="A374" s="522" t="s">
        <v>1779</v>
      </c>
      <c r="B374" s="521"/>
      <c r="C374" s="1122"/>
      <c r="D374" s="1122"/>
      <c r="E374" s="1122"/>
      <c r="F374" s="1122"/>
      <c r="G374" s="520"/>
      <c r="H374" s="520"/>
      <c r="I374" s="520"/>
      <c r="J374" s="520"/>
      <c r="K374" s="1122"/>
      <c r="L374" s="520"/>
      <c r="M374" s="520"/>
      <c r="N374" s="520"/>
      <c r="O374" s="520"/>
      <c r="P374" s="1122"/>
      <c r="Q374" s="520"/>
      <c r="R374" s="520"/>
      <c r="S374" s="520"/>
      <c r="T374" s="520"/>
      <c r="U374" s="1122"/>
      <c r="V374" s="520"/>
      <c r="W374" s="520"/>
      <c r="X374" s="520"/>
      <c r="Y374" s="520"/>
      <c r="Z374" s="1122"/>
      <c r="AA374" s="520"/>
      <c r="AB374" s="520"/>
      <c r="AC374" s="520"/>
      <c r="AD374" s="520"/>
      <c r="AE374" s="1122"/>
      <c r="AF374" s="520"/>
      <c r="AG374" s="520"/>
      <c r="AH374" s="520"/>
      <c r="AI374" s="520"/>
      <c r="AJ374" s="1122"/>
      <c r="AK374" s="520"/>
      <c r="AL374" s="520"/>
      <c r="AM374" s="520"/>
      <c r="AN374" s="520"/>
      <c r="AO374" s="1122"/>
      <c r="AP374" s="520"/>
      <c r="AQ374" s="520"/>
      <c r="AR374" s="520"/>
      <c r="AS374" s="520"/>
      <c r="AT374" s="1124"/>
      <c r="AU374" s="526"/>
      <c r="AV374" s="526"/>
      <c r="AW374" s="526"/>
      <c r="AX374" s="526"/>
      <c r="AY374" s="1124"/>
      <c r="AZ374" s="526"/>
      <c r="BA374" s="526"/>
      <c r="BB374" s="526"/>
      <c r="BC374" s="526"/>
      <c r="BD374" s="1123">
        <v>457.13</v>
      </c>
      <c r="BE374" s="520"/>
      <c r="BF374" s="520"/>
      <c r="BG374" s="520"/>
      <c r="BH374" s="520"/>
      <c r="BI374" s="1123">
        <v>457.13</v>
      </c>
      <c r="BJ374" s="520"/>
      <c r="BK374" s="520"/>
      <c r="BL374" s="520"/>
      <c r="BM374" s="520"/>
      <c r="BN374" s="1123">
        <v>457.13</v>
      </c>
      <c r="BO374" s="520"/>
      <c r="BP374" s="520"/>
      <c r="BQ374" s="520"/>
      <c r="BR374" s="520"/>
      <c r="BS374" s="1124"/>
      <c r="BT374" s="728"/>
      <c r="BU374" s="520"/>
      <c r="BV374" s="520"/>
      <c r="BW374" s="520"/>
      <c r="BX374" s="1122"/>
      <c r="BY374" s="520"/>
      <c r="BZ374" s="520"/>
      <c r="CA374" s="520"/>
      <c r="CB374" s="520"/>
      <c r="CC374" s="1122"/>
      <c r="CD374" s="1122"/>
      <c r="CE374" s="1122"/>
      <c r="CF374" s="1122"/>
      <c r="CG374" s="519"/>
    </row>
    <row r="375" spans="1:85" s="614" customFormat="1" x14ac:dyDescent="0.3">
      <c r="A375" s="522"/>
      <c r="B375" s="352"/>
      <c r="C375" s="1094"/>
      <c r="D375" s="1094"/>
      <c r="E375" s="1094"/>
      <c r="F375" s="1094"/>
      <c r="G375" s="197"/>
      <c r="H375" s="197"/>
      <c r="I375" s="197"/>
      <c r="J375" s="197"/>
      <c r="K375" s="1094"/>
      <c r="L375" s="197"/>
      <c r="M375" s="197"/>
      <c r="N375" s="197"/>
      <c r="O375" s="197"/>
      <c r="P375" s="1094"/>
      <c r="Q375" s="197"/>
      <c r="R375" s="197"/>
      <c r="S375" s="197"/>
      <c r="T375" s="197"/>
      <c r="U375" s="1094"/>
      <c r="V375" s="197"/>
      <c r="W375" s="197"/>
      <c r="X375" s="197"/>
      <c r="Y375" s="197"/>
      <c r="Z375" s="1094"/>
      <c r="AA375" s="197"/>
      <c r="AB375" s="197"/>
      <c r="AC375" s="197"/>
      <c r="AD375" s="197"/>
      <c r="AE375" s="1094"/>
      <c r="AF375" s="197"/>
      <c r="AG375" s="197"/>
      <c r="AH375" s="197"/>
      <c r="AI375" s="197"/>
      <c r="AJ375" s="1094"/>
      <c r="AK375" s="197"/>
      <c r="AL375" s="197"/>
      <c r="AM375" s="197"/>
      <c r="AN375" s="197"/>
      <c r="AO375" s="1094"/>
      <c r="AP375" s="197"/>
      <c r="AQ375" s="197"/>
      <c r="AR375" s="197"/>
      <c r="AS375" s="197"/>
      <c r="AT375" s="198"/>
      <c r="AU375" s="194"/>
      <c r="AV375" s="194"/>
      <c r="AW375" s="194"/>
      <c r="AX375" s="194"/>
      <c r="AY375" s="198"/>
      <c r="AZ375" s="194"/>
      <c r="BA375" s="194"/>
      <c r="BB375" s="194"/>
      <c r="BC375" s="194"/>
      <c r="BD375" s="198"/>
      <c r="BE375" s="197"/>
      <c r="BF375" s="197"/>
      <c r="BG375" s="197"/>
      <c r="BH375" s="197"/>
      <c r="BI375" s="198"/>
      <c r="BJ375" s="197"/>
      <c r="BK375" s="197"/>
      <c r="BL375" s="197"/>
      <c r="BM375" s="197"/>
      <c r="BN375" s="198"/>
      <c r="BO375" s="197"/>
      <c r="BP375" s="197"/>
      <c r="BQ375" s="197"/>
      <c r="BR375" s="197"/>
      <c r="BS375" s="198"/>
      <c r="BT375" s="727"/>
      <c r="BU375" s="197"/>
      <c r="BV375" s="197"/>
      <c r="BW375" s="197"/>
      <c r="BX375" s="1094"/>
      <c r="BY375" s="197"/>
      <c r="BZ375" s="197"/>
      <c r="CA375" s="197"/>
      <c r="CB375" s="197"/>
      <c r="CC375" s="1094"/>
      <c r="CD375" s="1094"/>
      <c r="CE375" s="1094"/>
      <c r="CF375" s="1094"/>
      <c r="CG375" s="349"/>
    </row>
    <row r="376" spans="1:85" s="613" customFormat="1" x14ac:dyDescent="0.3">
      <c r="A376" s="478" t="s">
        <v>1778</v>
      </c>
      <c r="B376" s="523"/>
      <c r="C376" s="78"/>
      <c r="D376" s="78"/>
      <c r="E376" s="78"/>
      <c r="F376" s="78"/>
      <c r="G376" s="774"/>
      <c r="H376" s="774"/>
      <c r="I376" s="774"/>
      <c r="J376" s="774"/>
      <c r="K376" s="78"/>
      <c r="L376" s="774"/>
      <c r="M376" s="774"/>
      <c r="N376" s="774"/>
      <c r="O376" s="774"/>
      <c r="P376" s="78"/>
      <c r="Q376" s="774"/>
      <c r="R376" s="774"/>
      <c r="S376" s="774"/>
      <c r="T376" s="774"/>
      <c r="U376" s="78"/>
      <c r="V376" s="774"/>
      <c r="W376" s="774"/>
      <c r="X376" s="774"/>
      <c r="Y376" s="774"/>
      <c r="Z376" s="78"/>
      <c r="AA376" s="774"/>
      <c r="AB376" s="774"/>
      <c r="AC376" s="774"/>
      <c r="AD376" s="774"/>
      <c r="AE376" s="78"/>
      <c r="AF376" s="774"/>
      <c r="AG376" s="774"/>
      <c r="AH376" s="774"/>
      <c r="AI376" s="774"/>
      <c r="AJ376" s="78"/>
      <c r="AK376" s="774"/>
      <c r="AL376" s="774"/>
      <c r="AM376" s="774"/>
      <c r="AN376" s="774"/>
      <c r="AO376" s="78"/>
      <c r="AP376" s="774"/>
      <c r="AQ376" s="774"/>
      <c r="AR376" s="774"/>
      <c r="AS376" s="774"/>
      <c r="AT376" s="78"/>
      <c r="AU376" s="774"/>
      <c r="AV376" s="774"/>
      <c r="AW376" s="774"/>
      <c r="AX376" s="774"/>
      <c r="AY376" s="78"/>
      <c r="AZ376" s="774"/>
      <c r="BA376" s="774"/>
      <c r="BB376" s="774"/>
      <c r="BC376" s="774"/>
      <c r="BD376" s="1119">
        <v>18.34</v>
      </c>
      <c r="BE376" s="774"/>
      <c r="BF376" s="774"/>
      <c r="BG376" s="774"/>
      <c r="BH376" s="774"/>
      <c r="BI376" s="1119">
        <v>4.3150000000000004</v>
      </c>
      <c r="BJ376" s="774"/>
      <c r="BK376" s="774"/>
      <c r="BL376" s="774"/>
      <c r="BM376" s="774"/>
      <c r="BN376" s="1119">
        <v>4.3150000000000004</v>
      </c>
      <c r="BO376" s="774"/>
      <c r="BP376" s="774"/>
      <c r="BQ376" s="774"/>
      <c r="BR376" s="774"/>
      <c r="BS376" s="78"/>
      <c r="BT376" s="775"/>
      <c r="BU376" s="774"/>
      <c r="BV376" s="774"/>
      <c r="BW376" s="774"/>
      <c r="BX376" s="78"/>
      <c r="BY376" s="774"/>
      <c r="BZ376" s="774"/>
      <c r="CA376" s="774"/>
      <c r="CB376" s="774"/>
      <c r="CC376" s="78"/>
      <c r="CD376" s="78"/>
      <c r="CE376" s="78"/>
      <c r="CF376" s="78"/>
      <c r="CG376" s="532"/>
    </row>
    <row r="377" spans="1:85" s="615" customFormat="1" x14ac:dyDescent="0.3">
      <c r="A377" s="522" t="s">
        <v>1777</v>
      </c>
      <c r="B377" s="521"/>
      <c r="C377" s="1122"/>
      <c r="D377" s="1122"/>
      <c r="E377" s="1122"/>
      <c r="F377" s="1122"/>
      <c r="G377" s="520"/>
      <c r="H377" s="520"/>
      <c r="I377" s="520"/>
      <c r="J377" s="520"/>
      <c r="K377" s="1122"/>
      <c r="L377" s="520"/>
      <c r="M377" s="520"/>
      <c r="N377" s="520"/>
      <c r="O377" s="520"/>
      <c r="P377" s="1122"/>
      <c r="Q377" s="520"/>
      <c r="R377" s="520"/>
      <c r="S377" s="520"/>
      <c r="T377" s="520"/>
      <c r="U377" s="1122"/>
      <c r="V377" s="520"/>
      <c r="W377" s="520"/>
      <c r="X377" s="520"/>
      <c r="Y377" s="520"/>
      <c r="Z377" s="1122"/>
      <c r="AA377" s="520"/>
      <c r="AB377" s="520"/>
      <c r="AC377" s="520"/>
      <c r="AD377" s="520"/>
      <c r="AE377" s="1122"/>
      <c r="AF377" s="520"/>
      <c r="AG377" s="520"/>
      <c r="AH377" s="520"/>
      <c r="AI377" s="520"/>
      <c r="AJ377" s="1122"/>
      <c r="AK377" s="520"/>
      <c r="AL377" s="520"/>
      <c r="AM377" s="520"/>
      <c r="AN377" s="520"/>
      <c r="AO377" s="1122"/>
      <c r="AP377" s="520"/>
      <c r="AQ377" s="520"/>
      <c r="AR377" s="520"/>
      <c r="AS377" s="520"/>
      <c r="AT377" s="1124"/>
      <c r="AU377" s="526"/>
      <c r="AV377" s="526"/>
      <c r="AW377" s="526"/>
      <c r="AX377" s="526"/>
      <c r="AY377" s="1124"/>
      <c r="AZ377" s="526"/>
      <c r="BA377" s="526"/>
      <c r="BB377" s="526"/>
      <c r="BC377" s="526"/>
      <c r="BD377" s="1123">
        <v>386.24</v>
      </c>
      <c r="BE377" s="520"/>
      <c r="BF377" s="520"/>
      <c r="BG377" s="520"/>
      <c r="BH377" s="520"/>
      <c r="BI377" s="1123">
        <v>386.24</v>
      </c>
      <c r="BJ377" s="520"/>
      <c r="BK377" s="520"/>
      <c r="BL377" s="520"/>
      <c r="BM377" s="520"/>
      <c r="BN377" s="1123">
        <v>386.24</v>
      </c>
      <c r="BO377" s="520"/>
      <c r="BP377" s="520"/>
      <c r="BQ377" s="520"/>
      <c r="BR377" s="520"/>
      <c r="BS377" s="1124"/>
      <c r="BT377" s="728"/>
      <c r="BU377" s="520"/>
      <c r="BV377" s="520"/>
      <c r="BW377" s="520"/>
      <c r="BX377" s="1122"/>
      <c r="BY377" s="520"/>
      <c r="BZ377" s="520"/>
      <c r="CA377" s="520"/>
      <c r="CB377" s="520"/>
      <c r="CC377" s="1122"/>
      <c r="CD377" s="1122"/>
      <c r="CE377" s="1122"/>
      <c r="CF377" s="1122"/>
      <c r="CG377" s="519"/>
    </row>
    <row r="378" spans="1:85" s="614" customFormat="1" x14ac:dyDescent="0.3">
      <c r="A378" s="522"/>
      <c r="B378" s="352"/>
      <c r="C378" s="1094"/>
      <c r="D378" s="1094"/>
      <c r="E378" s="1094"/>
      <c r="F378" s="1094"/>
      <c r="G378" s="197"/>
      <c r="H378" s="197"/>
      <c r="I378" s="197"/>
      <c r="J378" s="197"/>
      <c r="K378" s="1094"/>
      <c r="L378" s="197"/>
      <c r="M378" s="197"/>
      <c r="N378" s="197"/>
      <c r="O378" s="197"/>
      <c r="P378" s="1094"/>
      <c r="Q378" s="197"/>
      <c r="R378" s="197"/>
      <c r="S378" s="197"/>
      <c r="T378" s="197"/>
      <c r="U378" s="1094"/>
      <c r="V378" s="197"/>
      <c r="W378" s="197"/>
      <c r="X378" s="197"/>
      <c r="Y378" s="197"/>
      <c r="Z378" s="1094"/>
      <c r="AA378" s="197"/>
      <c r="AB378" s="197"/>
      <c r="AC378" s="197"/>
      <c r="AD378" s="197"/>
      <c r="AE378" s="1094"/>
      <c r="AF378" s="197"/>
      <c r="AG378" s="197"/>
      <c r="AH378" s="197"/>
      <c r="AI378" s="197"/>
      <c r="AJ378" s="1094"/>
      <c r="AK378" s="197"/>
      <c r="AL378" s="197"/>
      <c r="AM378" s="197"/>
      <c r="AN378" s="197"/>
      <c r="AO378" s="1094"/>
      <c r="AP378" s="197"/>
      <c r="AQ378" s="197"/>
      <c r="AR378" s="197"/>
      <c r="AS378" s="197"/>
      <c r="AT378" s="198"/>
      <c r="AU378" s="194"/>
      <c r="AV378" s="194"/>
      <c r="AW378" s="194"/>
      <c r="AX378" s="194"/>
      <c r="AY378" s="198"/>
      <c r="AZ378" s="194"/>
      <c r="BA378" s="194"/>
      <c r="BB378" s="194"/>
      <c r="BC378" s="194"/>
      <c r="BD378" s="198"/>
      <c r="BE378" s="197"/>
      <c r="BF378" s="197"/>
      <c r="BG378" s="197"/>
      <c r="BH378" s="197"/>
      <c r="BI378" s="198"/>
      <c r="BJ378" s="197"/>
      <c r="BK378" s="197"/>
      <c r="BL378" s="197"/>
      <c r="BM378" s="197"/>
      <c r="BN378" s="198"/>
      <c r="BO378" s="197"/>
      <c r="BP378" s="197"/>
      <c r="BQ378" s="197"/>
      <c r="BR378" s="197"/>
      <c r="BS378" s="198"/>
      <c r="BT378" s="727"/>
      <c r="BU378" s="197"/>
      <c r="BV378" s="197"/>
      <c r="BW378" s="197"/>
      <c r="BX378" s="1094"/>
      <c r="BY378" s="197"/>
      <c r="BZ378" s="197"/>
      <c r="CA378" s="197"/>
      <c r="CB378" s="197"/>
      <c r="CC378" s="1094"/>
      <c r="CD378" s="1094"/>
      <c r="CE378" s="1094"/>
      <c r="CF378" s="1094"/>
      <c r="CG378" s="349"/>
    </row>
    <row r="379" spans="1:85" s="613" customFormat="1" x14ac:dyDescent="0.3">
      <c r="A379" s="478" t="s">
        <v>1776</v>
      </c>
      <c r="B379" s="523"/>
      <c r="C379" s="78"/>
      <c r="D379" s="78"/>
      <c r="E379" s="78"/>
      <c r="F379" s="78"/>
      <c r="G379" s="774"/>
      <c r="H379" s="774"/>
      <c r="I379" s="774"/>
      <c r="J379" s="774"/>
      <c r="K379" s="78"/>
      <c r="L379" s="774"/>
      <c r="M379" s="774"/>
      <c r="N379" s="774"/>
      <c r="O379" s="774"/>
      <c r="P379" s="78"/>
      <c r="Q379" s="774"/>
      <c r="R379" s="774"/>
      <c r="S379" s="774"/>
      <c r="T379" s="774"/>
      <c r="U379" s="78"/>
      <c r="V379" s="774"/>
      <c r="W379" s="774"/>
      <c r="X379" s="774"/>
      <c r="Y379" s="774"/>
      <c r="Z379" s="78"/>
      <c r="AA379" s="774"/>
      <c r="AB379" s="774"/>
      <c r="AC379" s="774"/>
      <c r="AD379" s="774"/>
      <c r="AE379" s="78"/>
      <c r="AF379" s="774"/>
      <c r="AG379" s="774"/>
      <c r="AH379" s="774"/>
      <c r="AI379" s="774"/>
      <c r="AJ379" s="78"/>
      <c r="AK379" s="774"/>
      <c r="AL379" s="774"/>
      <c r="AM379" s="774"/>
      <c r="AN379" s="774"/>
      <c r="AO379" s="78"/>
      <c r="AP379" s="774"/>
      <c r="AQ379" s="774"/>
      <c r="AR379" s="774"/>
      <c r="AS379" s="774"/>
      <c r="AT379" s="78"/>
      <c r="AU379" s="774"/>
      <c r="AV379" s="774"/>
      <c r="AW379" s="774"/>
      <c r="AX379" s="774"/>
      <c r="AY379" s="78"/>
      <c r="AZ379" s="774"/>
      <c r="BA379" s="774"/>
      <c r="BB379" s="774"/>
      <c r="BC379" s="774"/>
      <c r="BD379" s="1119">
        <v>18.966000000000001</v>
      </c>
      <c r="BE379" s="774"/>
      <c r="BF379" s="774"/>
      <c r="BG379" s="774"/>
      <c r="BH379" s="774"/>
      <c r="BI379" s="1119">
        <v>4.4630000000000001</v>
      </c>
      <c r="BJ379" s="774"/>
      <c r="BK379" s="774"/>
      <c r="BL379" s="774"/>
      <c r="BM379" s="774"/>
      <c r="BN379" s="1119">
        <v>4.4630000000000001</v>
      </c>
      <c r="BO379" s="774"/>
      <c r="BP379" s="774"/>
      <c r="BQ379" s="774"/>
      <c r="BR379" s="774"/>
      <c r="BS379" s="78"/>
      <c r="BT379" s="775"/>
      <c r="BU379" s="774"/>
      <c r="BV379" s="774"/>
      <c r="BW379" s="774"/>
      <c r="BX379" s="78"/>
      <c r="BY379" s="774"/>
      <c r="BZ379" s="774"/>
      <c r="CA379" s="774"/>
      <c r="CB379" s="774"/>
      <c r="CC379" s="78"/>
      <c r="CD379" s="78"/>
      <c r="CE379" s="78"/>
      <c r="CF379" s="78"/>
      <c r="CG379" s="532"/>
    </row>
    <row r="380" spans="1:85" s="615" customFormat="1" x14ac:dyDescent="0.3">
      <c r="A380" s="522" t="s">
        <v>1775</v>
      </c>
      <c r="B380" s="521"/>
      <c r="C380" s="1122"/>
      <c r="D380" s="1122"/>
      <c r="E380" s="1122"/>
      <c r="F380" s="1122"/>
      <c r="G380" s="520"/>
      <c r="H380" s="520"/>
      <c r="I380" s="520"/>
      <c r="J380" s="520"/>
      <c r="K380" s="1122"/>
      <c r="L380" s="520"/>
      <c r="M380" s="520"/>
      <c r="N380" s="520"/>
      <c r="O380" s="520"/>
      <c r="P380" s="1122"/>
      <c r="Q380" s="520"/>
      <c r="R380" s="520"/>
      <c r="S380" s="520"/>
      <c r="T380" s="520"/>
      <c r="U380" s="1122"/>
      <c r="V380" s="520"/>
      <c r="W380" s="520"/>
      <c r="X380" s="520"/>
      <c r="Y380" s="520"/>
      <c r="Z380" s="1122"/>
      <c r="AA380" s="520"/>
      <c r="AB380" s="520"/>
      <c r="AC380" s="520"/>
      <c r="AD380" s="520"/>
      <c r="AE380" s="1122"/>
      <c r="AF380" s="520"/>
      <c r="AG380" s="520"/>
      <c r="AH380" s="520"/>
      <c r="AI380" s="520"/>
      <c r="AJ380" s="1122"/>
      <c r="AK380" s="520"/>
      <c r="AL380" s="520"/>
      <c r="AM380" s="520"/>
      <c r="AN380" s="520"/>
      <c r="AO380" s="1122"/>
      <c r="AP380" s="520"/>
      <c r="AQ380" s="520"/>
      <c r="AR380" s="520"/>
      <c r="AS380" s="520"/>
      <c r="AT380" s="1124"/>
      <c r="AU380" s="526"/>
      <c r="AV380" s="526"/>
      <c r="AW380" s="526"/>
      <c r="AX380" s="526"/>
      <c r="AY380" s="1124"/>
      <c r="AZ380" s="526"/>
      <c r="BA380" s="526"/>
      <c r="BB380" s="526"/>
      <c r="BC380" s="526"/>
      <c r="BD380" s="1123">
        <v>373.47</v>
      </c>
      <c r="BE380" s="520"/>
      <c r="BF380" s="520"/>
      <c r="BG380" s="520"/>
      <c r="BH380" s="520"/>
      <c r="BI380" s="1123">
        <v>373.47</v>
      </c>
      <c r="BJ380" s="520"/>
      <c r="BK380" s="520"/>
      <c r="BL380" s="520"/>
      <c r="BM380" s="520"/>
      <c r="BN380" s="1123">
        <v>373.47</v>
      </c>
      <c r="BO380" s="520"/>
      <c r="BP380" s="520"/>
      <c r="BQ380" s="520"/>
      <c r="BR380" s="520"/>
      <c r="BS380" s="1124"/>
      <c r="BT380" s="728"/>
      <c r="BU380" s="520"/>
      <c r="BV380" s="520"/>
      <c r="BW380" s="520"/>
      <c r="BX380" s="1122"/>
      <c r="BY380" s="520"/>
      <c r="BZ380" s="520"/>
      <c r="CA380" s="520"/>
      <c r="CB380" s="520"/>
      <c r="CC380" s="1122"/>
      <c r="CD380" s="1122"/>
      <c r="CE380" s="1122"/>
      <c r="CF380" s="1122"/>
      <c r="CG380" s="519"/>
    </row>
    <row r="381" spans="1:85" s="614" customFormat="1" x14ac:dyDescent="0.3">
      <c r="A381" s="522"/>
      <c r="B381" s="352"/>
      <c r="C381" s="1094"/>
      <c r="D381" s="1094"/>
      <c r="E381" s="1094"/>
      <c r="F381" s="1094"/>
      <c r="G381" s="197"/>
      <c r="H381" s="197"/>
      <c r="I381" s="197"/>
      <c r="J381" s="197"/>
      <c r="K381" s="1094"/>
      <c r="L381" s="197"/>
      <c r="M381" s="197"/>
      <c r="N381" s="197"/>
      <c r="O381" s="197"/>
      <c r="P381" s="1094"/>
      <c r="Q381" s="197"/>
      <c r="R381" s="197"/>
      <c r="S381" s="197"/>
      <c r="T381" s="197"/>
      <c r="U381" s="1094"/>
      <c r="V381" s="197"/>
      <c r="W381" s="197"/>
      <c r="X381" s="197"/>
      <c r="Y381" s="197"/>
      <c r="Z381" s="1094"/>
      <c r="AA381" s="197"/>
      <c r="AB381" s="197"/>
      <c r="AC381" s="197"/>
      <c r="AD381" s="197"/>
      <c r="AE381" s="1094"/>
      <c r="AF381" s="197"/>
      <c r="AG381" s="197"/>
      <c r="AH381" s="197"/>
      <c r="AI381" s="197"/>
      <c r="AJ381" s="1094"/>
      <c r="AK381" s="197"/>
      <c r="AL381" s="197"/>
      <c r="AM381" s="197"/>
      <c r="AN381" s="197"/>
      <c r="AO381" s="1094"/>
      <c r="AP381" s="197"/>
      <c r="AQ381" s="197"/>
      <c r="AR381" s="197"/>
      <c r="AS381" s="197"/>
      <c r="AT381" s="198"/>
      <c r="AU381" s="194"/>
      <c r="AV381" s="194"/>
      <c r="AW381" s="194"/>
      <c r="AX381" s="194"/>
      <c r="AY381" s="198"/>
      <c r="AZ381" s="194"/>
      <c r="BA381" s="194"/>
      <c r="BB381" s="194"/>
      <c r="BC381" s="194"/>
      <c r="BD381" s="198"/>
      <c r="BE381" s="197"/>
      <c r="BF381" s="197"/>
      <c r="BG381" s="197"/>
      <c r="BH381" s="197"/>
      <c r="BI381" s="198"/>
      <c r="BJ381" s="197"/>
      <c r="BK381" s="197"/>
      <c r="BL381" s="197"/>
      <c r="BM381" s="197"/>
      <c r="BN381" s="198"/>
      <c r="BO381" s="197"/>
      <c r="BP381" s="197"/>
      <c r="BQ381" s="197"/>
      <c r="BR381" s="197"/>
      <c r="BS381" s="198"/>
      <c r="BT381" s="727"/>
      <c r="BU381" s="197"/>
      <c r="BV381" s="197"/>
      <c r="BW381" s="197"/>
      <c r="BX381" s="1094"/>
      <c r="BY381" s="197"/>
      <c r="BZ381" s="197"/>
      <c r="CA381" s="197"/>
      <c r="CB381" s="197"/>
      <c r="CC381" s="1094"/>
      <c r="CD381" s="1094"/>
      <c r="CE381" s="1094"/>
      <c r="CF381" s="1094"/>
      <c r="CG381" s="349"/>
    </row>
    <row r="382" spans="1:85" s="613" customFormat="1" x14ac:dyDescent="0.3">
      <c r="A382" s="478" t="s">
        <v>1774</v>
      </c>
      <c r="B382" s="523"/>
      <c r="C382" s="78"/>
      <c r="D382" s="78"/>
      <c r="E382" s="78"/>
      <c r="F382" s="78"/>
      <c r="G382" s="774"/>
      <c r="H382" s="774"/>
      <c r="I382" s="774"/>
      <c r="J382" s="774"/>
      <c r="K382" s="78"/>
      <c r="L382" s="774"/>
      <c r="M382" s="774"/>
      <c r="N382" s="774"/>
      <c r="O382" s="774"/>
      <c r="P382" s="78"/>
      <c r="Q382" s="774"/>
      <c r="R382" s="774"/>
      <c r="S382" s="774"/>
      <c r="T382" s="774"/>
      <c r="U382" s="78"/>
      <c r="V382" s="774"/>
      <c r="W382" s="774"/>
      <c r="X382" s="774"/>
      <c r="Y382" s="774"/>
      <c r="Z382" s="78"/>
      <c r="AA382" s="774"/>
      <c r="AB382" s="774"/>
      <c r="AC382" s="774"/>
      <c r="AD382" s="774"/>
      <c r="AE382" s="78"/>
      <c r="AF382" s="774"/>
      <c r="AG382" s="774"/>
      <c r="AH382" s="774"/>
      <c r="AI382" s="774"/>
      <c r="AJ382" s="78"/>
      <c r="AK382" s="774"/>
      <c r="AL382" s="774"/>
      <c r="AM382" s="774"/>
      <c r="AN382" s="774"/>
      <c r="AO382" s="78"/>
      <c r="AP382" s="774"/>
      <c r="AQ382" s="774"/>
      <c r="AR382" s="774"/>
      <c r="AS382" s="774"/>
      <c r="AT382" s="78"/>
      <c r="AU382" s="774"/>
      <c r="AV382" s="774"/>
      <c r="AW382" s="774"/>
      <c r="AX382" s="774"/>
      <c r="AY382" s="78"/>
      <c r="AZ382" s="774"/>
      <c r="BA382" s="774"/>
      <c r="BB382" s="774"/>
      <c r="BC382" s="774"/>
      <c r="BD382" s="1119">
        <v>35.512999999999998</v>
      </c>
      <c r="BE382" s="774"/>
      <c r="BF382" s="774"/>
      <c r="BG382" s="774"/>
      <c r="BH382" s="774"/>
      <c r="BI382" s="1119">
        <v>8.3559999999999999</v>
      </c>
      <c r="BJ382" s="774"/>
      <c r="BK382" s="774"/>
      <c r="BL382" s="774"/>
      <c r="BM382" s="774"/>
      <c r="BN382" s="1119">
        <v>8.3559999999999999</v>
      </c>
      <c r="BO382" s="774"/>
      <c r="BP382" s="774"/>
      <c r="BQ382" s="774"/>
      <c r="BR382" s="774"/>
      <c r="BS382" s="78"/>
      <c r="BT382" s="775"/>
      <c r="BU382" s="774"/>
      <c r="BV382" s="774"/>
      <c r="BW382" s="774"/>
      <c r="BX382" s="78"/>
      <c r="BY382" s="774"/>
      <c r="BZ382" s="774"/>
      <c r="CA382" s="774"/>
      <c r="CB382" s="774"/>
      <c r="CC382" s="78"/>
      <c r="CD382" s="78"/>
      <c r="CE382" s="78"/>
      <c r="CF382" s="78"/>
      <c r="CG382" s="532"/>
    </row>
    <row r="383" spans="1:85" s="615" customFormat="1" x14ac:dyDescent="0.3">
      <c r="A383" s="522" t="s">
        <v>1773</v>
      </c>
      <c r="B383" s="521"/>
      <c r="C383" s="1122"/>
      <c r="D383" s="1122"/>
      <c r="E383" s="1122"/>
      <c r="F383" s="1122"/>
      <c r="G383" s="520"/>
      <c r="H383" s="520"/>
      <c r="I383" s="520"/>
      <c r="J383" s="520"/>
      <c r="K383" s="1122"/>
      <c r="L383" s="520"/>
      <c r="M383" s="520"/>
      <c r="N383" s="520"/>
      <c r="O383" s="520"/>
      <c r="P383" s="1122"/>
      <c r="Q383" s="520"/>
      <c r="R383" s="520"/>
      <c r="S383" s="520"/>
      <c r="T383" s="520"/>
      <c r="U383" s="1122"/>
      <c r="V383" s="520"/>
      <c r="W383" s="520"/>
      <c r="X383" s="520"/>
      <c r="Y383" s="520"/>
      <c r="Z383" s="1122"/>
      <c r="AA383" s="520"/>
      <c r="AB383" s="520"/>
      <c r="AC383" s="520"/>
      <c r="AD383" s="520"/>
      <c r="AE383" s="1122"/>
      <c r="AF383" s="520"/>
      <c r="AG383" s="520"/>
      <c r="AH383" s="520"/>
      <c r="AI383" s="520"/>
      <c r="AJ383" s="1122"/>
      <c r="AK383" s="520"/>
      <c r="AL383" s="520"/>
      <c r="AM383" s="520"/>
      <c r="AN383" s="520"/>
      <c r="AO383" s="1122"/>
      <c r="AP383" s="520"/>
      <c r="AQ383" s="520"/>
      <c r="AR383" s="520"/>
      <c r="AS383" s="520"/>
      <c r="AT383" s="1124"/>
      <c r="AU383" s="526"/>
      <c r="AV383" s="526"/>
      <c r="AW383" s="526"/>
      <c r="AX383" s="526"/>
      <c r="AY383" s="1124"/>
      <c r="AZ383" s="526"/>
      <c r="BA383" s="526"/>
      <c r="BB383" s="526"/>
      <c r="BC383" s="526"/>
      <c r="BD383" s="1123">
        <v>199.46</v>
      </c>
      <c r="BE383" s="520"/>
      <c r="BF383" s="520"/>
      <c r="BG383" s="520"/>
      <c r="BH383" s="520"/>
      <c r="BI383" s="1123">
        <v>199.46</v>
      </c>
      <c r="BJ383" s="520"/>
      <c r="BK383" s="520"/>
      <c r="BL383" s="520"/>
      <c r="BM383" s="520"/>
      <c r="BN383" s="1123">
        <v>199.46</v>
      </c>
      <c r="BO383" s="520"/>
      <c r="BP383" s="520"/>
      <c r="BQ383" s="520"/>
      <c r="BR383" s="520"/>
      <c r="BS383" s="1124"/>
      <c r="BT383" s="728"/>
      <c r="BU383" s="520"/>
      <c r="BV383" s="520"/>
      <c r="BW383" s="520"/>
      <c r="BX383" s="1122"/>
      <c r="BY383" s="520"/>
      <c r="BZ383" s="520"/>
      <c r="CA383" s="520"/>
      <c r="CB383" s="520"/>
      <c r="CC383" s="1122"/>
      <c r="CD383" s="1122"/>
      <c r="CE383" s="1122"/>
      <c r="CF383" s="1122"/>
      <c r="CG383" s="519"/>
    </row>
    <row r="384" spans="1:85" s="614" customFormat="1" x14ac:dyDescent="0.3">
      <c r="A384" s="522"/>
      <c r="B384" s="352"/>
      <c r="C384" s="1094"/>
      <c r="D384" s="1094"/>
      <c r="E384" s="1094"/>
      <c r="F384" s="1094"/>
      <c r="G384" s="197"/>
      <c r="H384" s="197"/>
      <c r="I384" s="197"/>
      <c r="J384" s="197"/>
      <c r="K384" s="1094"/>
      <c r="L384" s="197"/>
      <c r="M384" s="197"/>
      <c r="N384" s="197"/>
      <c r="O384" s="197"/>
      <c r="P384" s="1094"/>
      <c r="Q384" s="197"/>
      <c r="R384" s="197"/>
      <c r="S384" s="197"/>
      <c r="T384" s="197"/>
      <c r="U384" s="1094"/>
      <c r="V384" s="197"/>
      <c r="W384" s="197"/>
      <c r="X384" s="197"/>
      <c r="Y384" s="197"/>
      <c r="Z384" s="1094"/>
      <c r="AA384" s="197"/>
      <c r="AB384" s="197"/>
      <c r="AC384" s="197"/>
      <c r="AD384" s="197"/>
      <c r="AE384" s="1094"/>
      <c r="AF384" s="197"/>
      <c r="AG384" s="197"/>
      <c r="AH384" s="197"/>
      <c r="AI384" s="197"/>
      <c r="AJ384" s="1094"/>
      <c r="AK384" s="197"/>
      <c r="AL384" s="197"/>
      <c r="AM384" s="197"/>
      <c r="AN384" s="197"/>
      <c r="AO384" s="1094"/>
      <c r="AP384" s="197"/>
      <c r="AQ384" s="197"/>
      <c r="AR384" s="197"/>
      <c r="AS384" s="197"/>
      <c r="AT384" s="198"/>
      <c r="AU384" s="194"/>
      <c r="AV384" s="194"/>
      <c r="AW384" s="194"/>
      <c r="AX384" s="194"/>
      <c r="AY384" s="198"/>
      <c r="AZ384" s="194"/>
      <c r="BA384" s="194"/>
      <c r="BB384" s="194"/>
      <c r="BC384" s="194"/>
      <c r="BD384" s="198"/>
      <c r="BE384" s="197"/>
      <c r="BF384" s="197"/>
      <c r="BG384" s="197"/>
      <c r="BH384" s="197"/>
      <c r="BI384" s="198"/>
      <c r="BJ384" s="197"/>
      <c r="BK384" s="197"/>
      <c r="BL384" s="197"/>
      <c r="BM384" s="197"/>
      <c r="BN384" s="198"/>
      <c r="BO384" s="197"/>
      <c r="BP384" s="197"/>
      <c r="BQ384" s="197"/>
      <c r="BR384" s="197"/>
      <c r="BS384" s="198"/>
      <c r="BT384" s="727"/>
      <c r="BU384" s="197"/>
      <c r="BV384" s="197"/>
      <c r="BW384" s="197"/>
      <c r="BX384" s="1094"/>
      <c r="BY384" s="197"/>
      <c r="BZ384" s="197"/>
      <c r="CA384" s="197"/>
      <c r="CB384" s="197"/>
      <c r="CC384" s="1094"/>
      <c r="CD384" s="1094"/>
      <c r="CE384" s="1094"/>
      <c r="CF384" s="1094"/>
      <c r="CG384" s="349"/>
    </row>
    <row r="385" spans="1:85" s="613" customFormat="1" x14ac:dyDescent="0.3">
      <c r="A385" s="478" t="s">
        <v>1772</v>
      </c>
      <c r="B385" s="523"/>
      <c r="C385" s="78"/>
      <c r="D385" s="78"/>
      <c r="E385" s="78"/>
      <c r="F385" s="78"/>
      <c r="G385" s="774"/>
      <c r="H385" s="774"/>
      <c r="I385" s="774"/>
      <c r="J385" s="774"/>
      <c r="K385" s="78"/>
      <c r="L385" s="774"/>
      <c r="M385" s="774"/>
      <c r="N385" s="774"/>
      <c r="O385" s="774"/>
      <c r="P385" s="78"/>
      <c r="Q385" s="774"/>
      <c r="R385" s="774"/>
      <c r="S385" s="774"/>
      <c r="T385" s="774"/>
      <c r="U385" s="78"/>
      <c r="V385" s="774"/>
      <c r="W385" s="774"/>
      <c r="X385" s="774"/>
      <c r="Y385" s="774"/>
      <c r="Z385" s="78"/>
      <c r="AA385" s="774"/>
      <c r="AB385" s="774"/>
      <c r="AC385" s="774"/>
      <c r="AD385" s="774"/>
      <c r="AE385" s="78"/>
      <c r="AF385" s="774"/>
      <c r="AG385" s="774"/>
      <c r="AH385" s="774"/>
      <c r="AI385" s="774"/>
      <c r="AJ385" s="78"/>
      <c r="AK385" s="774"/>
      <c r="AL385" s="774"/>
      <c r="AM385" s="774"/>
      <c r="AN385" s="774"/>
      <c r="AO385" s="78"/>
      <c r="AP385" s="774"/>
      <c r="AQ385" s="774"/>
      <c r="AR385" s="774"/>
      <c r="AS385" s="774"/>
      <c r="AT385" s="78"/>
      <c r="AU385" s="774"/>
      <c r="AV385" s="774"/>
      <c r="AW385" s="774"/>
      <c r="AX385" s="774"/>
      <c r="AY385" s="78"/>
      <c r="AZ385" s="774"/>
      <c r="BA385" s="774"/>
      <c r="BB385" s="774"/>
      <c r="BC385" s="774"/>
      <c r="BD385" s="1119">
        <v>36.718000000000004</v>
      </c>
      <c r="BE385" s="774"/>
      <c r="BF385" s="774"/>
      <c r="BG385" s="774"/>
      <c r="BH385" s="774"/>
      <c r="BI385" s="1119">
        <v>8.64</v>
      </c>
      <c r="BJ385" s="774"/>
      <c r="BK385" s="774"/>
      <c r="BL385" s="774"/>
      <c r="BM385" s="774"/>
      <c r="BN385" s="1119">
        <v>8.64</v>
      </c>
      <c r="BO385" s="774"/>
      <c r="BP385" s="774"/>
      <c r="BQ385" s="774"/>
      <c r="BR385" s="774"/>
      <c r="BS385" s="78"/>
      <c r="BT385" s="775"/>
      <c r="BU385" s="774"/>
      <c r="BV385" s="774"/>
      <c r="BW385" s="774"/>
      <c r="BX385" s="78"/>
      <c r="BY385" s="774"/>
      <c r="BZ385" s="774"/>
      <c r="CA385" s="774"/>
      <c r="CB385" s="774"/>
      <c r="CC385" s="78"/>
      <c r="CD385" s="78"/>
      <c r="CE385" s="78"/>
      <c r="CF385" s="78"/>
      <c r="CG385" s="532"/>
    </row>
    <row r="386" spans="1:85" s="615" customFormat="1" x14ac:dyDescent="0.3">
      <c r="A386" s="522" t="s">
        <v>1771</v>
      </c>
      <c r="B386" s="521"/>
      <c r="C386" s="1122"/>
      <c r="D386" s="1122"/>
      <c r="E386" s="1122"/>
      <c r="F386" s="1122"/>
      <c r="G386" s="520"/>
      <c r="H386" s="520"/>
      <c r="I386" s="520"/>
      <c r="J386" s="520"/>
      <c r="K386" s="1122"/>
      <c r="L386" s="520"/>
      <c r="M386" s="520"/>
      <c r="N386" s="520"/>
      <c r="O386" s="520"/>
      <c r="P386" s="1122"/>
      <c r="Q386" s="520"/>
      <c r="R386" s="520"/>
      <c r="S386" s="520"/>
      <c r="T386" s="520"/>
      <c r="U386" s="1122"/>
      <c r="V386" s="520"/>
      <c r="W386" s="520"/>
      <c r="X386" s="520"/>
      <c r="Y386" s="520"/>
      <c r="Z386" s="1122"/>
      <c r="AA386" s="520"/>
      <c r="AB386" s="520"/>
      <c r="AC386" s="520"/>
      <c r="AD386" s="520"/>
      <c r="AE386" s="1122"/>
      <c r="AF386" s="520"/>
      <c r="AG386" s="520"/>
      <c r="AH386" s="520"/>
      <c r="AI386" s="520"/>
      <c r="AJ386" s="1122"/>
      <c r="AK386" s="520"/>
      <c r="AL386" s="520"/>
      <c r="AM386" s="520"/>
      <c r="AN386" s="520"/>
      <c r="AO386" s="1122"/>
      <c r="AP386" s="520"/>
      <c r="AQ386" s="520"/>
      <c r="AR386" s="520"/>
      <c r="AS386" s="520"/>
      <c r="AT386" s="1124"/>
      <c r="AU386" s="526"/>
      <c r="AV386" s="526"/>
      <c r="AW386" s="526"/>
      <c r="AX386" s="526"/>
      <c r="AY386" s="1124"/>
      <c r="AZ386" s="526"/>
      <c r="BA386" s="526"/>
      <c r="BB386" s="526"/>
      <c r="BC386" s="526"/>
      <c r="BD386" s="1123">
        <v>192.91</v>
      </c>
      <c r="BE386" s="520"/>
      <c r="BF386" s="520"/>
      <c r="BG386" s="520"/>
      <c r="BH386" s="520"/>
      <c r="BI386" s="1123">
        <v>192.91</v>
      </c>
      <c r="BJ386" s="520"/>
      <c r="BK386" s="520"/>
      <c r="BL386" s="520"/>
      <c r="BM386" s="520"/>
      <c r="BN386" s="1123">
        <v>192.91</v>
      </c>
      <c r="BO386" s="520"/>
      <c r="BP386" s="520"/>
      <c r="BQ386" s="520"/>
      <c r="BR386" s="520"/>
      <c r="BS386" s="1124"/>
      <c r="BT386" s="728"/>
      <c r="BU386" s="520"/>
      <c r="BV386" s="520"/>
      <c r="BW386" s="520"/>
      <c r="BX386" s="1122"/>
      <c r="BY386" s="520"/>
      <c r="BZ386" s="520"/>
      <c r="CA386" s="520"/>
      <c r="CB386" s="520"/>
      <c r="CC386" s="1122"/>
      <c r="CD386" s="1122"/>
      <c r="CE386" s="1122"/>
      <c r="CF386" s="1122"/>
      <c r="CG386" s="519"/>
    </row>
    <row r="387" spans="1:85" s="614" customFormat="1" x14ac:dyDescent="0.3">
      <c r="A387" s="522"/>
      <c r="B387" s="352"/>
      <c r="C387" s="1094"/>
      <c r="D387" s="1094"/>
      <c r="E387" s="1094"/>
      <c r="F387" s="1094"/>
      <c r="G387" s="197"/>
      <c r="H387" s="197"/>
      <c r="I387" s="197"/>
      <c r="J387" s="197"/>
      <c r="K387" s="1094"/>
      <c r="L387" s="197"/>
      <c r="M387" s="197"/>
      <c r="N387" s="197"/>
      <c r="O387" s="197"/>
      <c r="P387" s="1094"/>
      <c r="Q387" s="197"/>
      <c r="R387" s="197"/>
      <c r="S387" s="197"/>
      <c r="T387" s="197"/>
      <c r="U387" s="1094"/>
      <c r="V387" s="197"/>
      <c r="W387" s="197"/>
      <c r="X387" s="197"/>
      <c r="Y387" s="197"/>
      <c r="Z387" s="1094"/>
      <c r="AA387" s="197"/>
      <c r="AB387" s="197"/>
      <c r="AC387" s="197"/>
      <c r="AD387" s="197"/>
      <c r="AE387" s="1094"/>
      <c r="AF387" s="197"/>
      <c r="AG387" s="197"/>
      <c r="AH387" s="197"/>
      <c r="AI387" s="197"/>
      <c r="AJ387" s="1094"/>
      <c r="AK387" s="197"/>
      <c r="AL387" s="197"/>
      <c r="AM387" s="197"/>
      <c r="AN387" s="197"/>
      <c r="AO387" s="1094"/>
      <c r="AP387" s="197"/>
      <c r="AQ387" s="197"/>
      <c r="AR387" s="197"/>
      <c r="AS387" s="197"/>
      <c r="AT387" s="198"/>
      <c r="AU387" s="194"/>
      <c r="AV387" s="194"/>
      <c r="AW387" s="194"/>
      <c r="AX387" s="194"/>
      <c r="AY387" s="198"/>
      <c r="AZ387" s="194"/>
      <c r="BA387" s="194"/>
      <c r="BB387" s="194"/>
      <c r="BC387" s="194"/>
      <c r="BD387" s="198"/>
      <c r="BE387" s="197"/>
      <c r="BF387" s="197"/>
      <c r="BG387" s="197"/>
      <c r="BH387" s="197"/>
      <c r="BI387" s="198"/>
      <c r="BJ387" s="197"/>
      <c r="BK387" s="197"/>
      <c r="BL387" s="197"/>
      <c r="BM387" s="197"/>
      <c r="BN387" s="198"/>
      <c r="BO387" s="197"/>
      <c r="BP387" s="197"/>
      <c r="BQ387" s="197"/>
      <c r="BR387" s="197"/>
      <c r="BS387" s="198"/>
      <c r="BT387" s="727"/>
      <c r="BU387" s="197"/>
      <c r="BV387" s="197"/>
      <c r="BW387" s="197"/>
      <c r="BX387" s="1094"/>
      <c r="BY387" s="197"/>
      <c r="BZ387" s="197"/>
      <c r="CA387" s="197"/>
      <c r="CB387" s="197"/>
      <c r="CC387" s="1094"/>
      <c r="CD387" s="1094"/>
      <c r="CE387" s="1094"/>
      <c r="CF387" s="1094"/>
      <c r="CG387" s="349"/>
    </row>
    <row r="388" spans="1:85" s="613" customFormat="1" x14ac:dyDescent="0.3">
      <c r="A388" s="478" t="s">
        <v>1770</v>
      </c>
      <c r="B388" s="523"/>
      <c r="C388" s="78"/>
      <c r="D388" s="78"/>
      <c r="E388" s="78"/>
      <c r="F388" s="78"/>
      <c r="G388" s="774"/>
      <c r="H388" s="774"/>
      <c r="I388" s="774"/>
      <c r="J388" s="774"/>
      <c r="K388" s="78"/>
      <c r="L388" s="774"/>
      <c r="M388" s="774"/>
      <c r="N388" s="774"/>
      <c r="O388" s="774"/>
      <c r="P388" s="78"/>
      <c r="Q388" s="774"/>
      <c r="R388" s="774"/>
      <c r="S388" s="774"/>
      <c r="T388" s="774"/>
      <c r="U388" s="78"/>
      <c r="V388" s="774"/>
      <c r="W388" s="774"/>
      <c r="X388" s="774"/>
      <c r="Y388" s="774"/>
      <c r="Z388" s="78"/>
      <c r="AA388" s="774"/>
      <c r="AB388" s="774"/>
      <c r="AC388" s="774"/>
      <c r="AD388" s="774"/>
      <c r="AE388" s="78"/>
      <c r="AF388" s="774"/>
      <c r="AG388" s="774"/>
      <c r="AH388" s="774"/>
      <c r="AI388" s="774"/>
      <c r="AJ388" s="78"/>
      <c r="AK388" s="774"/>
      <c r="AL388" s="774"/>
      <c r="AM388" s="774"/>
      <c r="AN388" s="774"/>
      <c r="AO388" s="78"/>
      <c r="AP388" s="774"/>
      <c r="AQ388" s="774"/>
      <c r="AR388" s="774"/>
      <c r="AS388" s="774"/>
      <c r="AT388" s="78"/>
      <c r="AU388" s="774"/>
      <c r="AV388" s="774"/>
      <c r="AW388" s="774"/>
      <c r="AX388" s="774"/>
      <c r="AY388" s="78"/>
      <c r="AZ388" s="774"/>
      <c r="BA388" s="774"/>
      <c r="BB388" s="774"/>
      <c r="BC388" s="774"/>
      <c r="BD388" s="1119">
        <v>39.363</v>
      </c>
      <c r="BE388" s="774"/>
      <c r="BF388" s="774"/>
      <c r="BG388" s="774"/>
      <c r="BH388" s="774"/>
      <c r="BI388" s="1119">
        <v>9.2620000000000005</v>
      </c>
      <c r="BJ388" s="774"/>
      <c r="BK388" s="774"/>
      <c r="BL388" s="774"/>
      <c r="BM388" s="774"/>
      <c r="BN388" s="1119">
        <v>9.2620000000000005</v>
      </c>
      <c r="BO388" s="774"/>
      <c r="BP388" s="774"/>
      <c r="BQ388" s="774"/>
      <c r="BR388" s="774"/>
      <c r="BS388" s="78"/>
      <c r="BT388" s="775"/>
      <c r="BU388" s="774"/>
      <c r="BV388" s="774"/>
      <c r="BW388" s="774"/>
      <c r="BX388" s="78"/>
      <c r="BY388" s="774"/>
      <c r="BZ388" s="774"/>
      <c r="CA388" s="774"/>
      <c r="CB388" s="774"/>
      <c r="CC388" s="78"/>
      <c r="CD388" s="78"/>
      <c r="CE388" s="78"/>
      <c r="CF388" s="78"/>
      <c r="CG388" s="532"/>
    </row>
    <row r="389" spans="1:85" s="615" customFormat="1" x14ac:dyDescent="0.3">
      <c r="A389" s="522" t="s">
        <v>1769</v>
      </c>
      <c r="B389" s="521"/>
      <c r="C389" s="1122"/>
      <c r="D389" s="1122"/>
      <c r="E389" s="1122"/>
      <c r="F389" s="1122"/>
      <c r="G389" s="520"/>
      <c r="H389" s="520"/>
      <c r="I389" s="520"/>
      <c r="J389" s="520"/>
      <c r="K389" s="1122"/>
      <c r="L389" s="520"/>
      <c r="M389" s="520"/>
      <c r="N389" s="520"/>
      <c r="O389" s="520"/>
      <c r="P389" s="1122"/>
      <c r="Q389" s="520"/>
      <c r="R389" s="520"/>
      <c r="S389" s="520"/>
      <c r="T389" s="520"/>
      <c r="U389" s="1122"/>
      <c r="V389" s="520"/>
      <c r="W389" s="520"/>
      <c r="X389" s="520"/>
      <c r="Y389" s="520"/>
      <c r="Z389" s="1122"/>
      <c r="AA389" s="520"/>
      <c r="AB389" s="520"/>
      <c r="AC389" s="520"/>
      <c r="AD389" s="520"/>
      <c r="AE389" s="1122"/>
      <c r="AF389" s="520"/>
      <c r="AG389" s="520"/>
      <c r="AH389" s="520"/>
      <c r="AI389" s="520"/>
      <c r="AJ389" s="1122"/>
      <c r="AK389" s="520"/>
      <c r="AL389" s="520"/>
      <c r="AM389" s="520"/>
      <c r="AN389" s="520"/>
      <c r="AO389" s="1122"/>
      <c r="AP389" s="520"/>
      <c r="AQ389" s="520"/>
      <c r="AR389" s="520"/>
      <c r="AS389" s="520"/>
      <c r="AT389" s="1124"/>
      <c r="AU389" s="526"/>
      <c r="AV389" s="526"/>
      <c r="AW389" s="526"/>
      <c r="AX389" s="526"/>
      <c r="AY389" s="1124"/>
      <c r="AZ389" s="526"/>
      <c r="BA389" s="526"/>
      <c r="BB389" s="526"/>
      <c r="BC389" s="526"/>
      <c r="BD389" s="1123">
        <v>179.95</v>
      </c>
      <c r="BE389" s="520"/>
      <c r="BF389" s="520"/>
      <c r="BG389" s="520"/>
      <c r="BH389" s="520"/>
      <c r="BI389" s="1123">
        <v>179.95</v>
      </c>
      <c r="BJ389" s="520"/>
      <c r="BK389" s="520"/>
      <c r="BL389" s="520"/>
      <c r="BM389" s="520"/>
      <c r="BN389" s="1123">
        <v>179.95</v>
      </c>
      <c r="BO389" s="520"/>
      <c r="BP389" s="520"/>
      <c r="BQ389" s="520"/>
      <c r="BR389" s="520"/>
      <c r="BS389" s="1124"/>
      <c r="BT389" s="728"/>
      <c r="BU389" s="520"/>
      <c r="BV389" s="520"/>
      <c r="BW389" s="520"/>
      <c r="BX389" s="1122"/>
      <c r="BY389" s="520"/>
      <c r="BZ389" s="520"/>
      <c r="CA389" s="520"/>
      <c r="CB389" s="520"/>
      <c r="CC389" s="1122"/>
      <c r="CD389" s="1122"/>
      <c r="CE389" s="1122"/>
      <c r="CF389" s="1122"/>
      <c r="CG389" s="519"/>
    </row>
    <row r="390" spans="1:85" s="614" customFormat="1" x14ac:dyDescent="0.3">
      <c r="A390" s="522"/>
      <c r="B390" s="352"/>
      <c r="C390" s="1094"/>
      <c r="D390" s="1094"/>
      <c r="E390" s="1094"/>
      <c r="F390" s="1094"/>
      <c r="G390" s="197"/>
      <c r="H390" s="197"/>
      <c r="I390" s="197"/>
      <c r="J390" s="197"/>
      <c r="K390" s="1094"/>
      <c r="L390" s="197"/>
      <c r="M390" s="197"/>
      <c r="N390" s="197"/>
      <c r="O390" s="197"/>
      <c r="P390" s="1094"/>
      <c r="Q390" s="197"/>
      <c r="R390" s="197"/>
      <c r="S390" s="197"/>
      <c r="T390" s="197"/>
      <c r="U390" s="1094"/>
      <c r="V390" s="197"/>
      <c r="W390" s="197"/>
      <c r="X390" s="197"/>
      <c r="Y390" s="197"/>
      <c r="Z390" s="1094"/>
      <c r="AA390" s="197"/>
      <c r="AB390" s="197"/>
      <c r="AC390" s="197"/>
      <c r="AD390" s="197"/>
      <c r="AE390" s="1094"/>
      <c r="AF390" s="197"/>
      <c r="AG390" s="197"/>
      <c r="AH390" s="197"/>
      <c r="AI390" s="197"/>
      <c r="AJ390" s="1094"/>
      <c r="AK390" s="197"/>
      <c r="AL390" s="197"/>
      <c r="AM390" s="197"/>
      <c r="AN390" s="197"/>
      <c r="AO390" s="1094"/>
      <c r="AP390" s="197"/>
      <c r="AQ390" s="197"/>
      <c r="AR390" s="197"/>
      <c r="AS390" s="197"/>
      <c r="AT390" s="198"/>
      <c r="AU390" s="194"/>
      <c r="AV390" s="194"/>
      <c r="AW390" s="194"/>
      <c r="AX390" s="194"/>
      <c r="AY390" s="198"/>
      <c r="AZ390" s="194"/>
      <c r="BA390" s="194"/>
      <c r="BB390" s="194"/>
      <c r="BC390" s="194"/>
      <c r="BD390" s="198"/>
      <c r="BE390" s="197"/>
      <c r="BF390" s="197"/>
      <c r="BG390" s="197"/>
      <c r="BH390" s="197"/>
      <c r="BI390" s="198"/>
      <c r="BJ390" s="197"/>
      <c r="BK390" s="197"/>
      <c r="BL390" s="197"/>
      <c r="BM390" s="197"/>
      <c r="BN390" s="198"/>
      <c r="BO390" s="197"/>
      <c r="BP390" s="197"/>
      <c r="BQ390" s="197"/>
      <c r="BR390" s="197"/>
      <c r="BS390" s="198"/>
      <c r="BT390" s="727"/>
      <c r="BU390" s="197"/>
      <c r="BV390" s="197"/>
      <c r="BW390" s="197"/>
      <c r="BX390" s="1094"/>
      <c r="BY390" s="197"/>
      <c r="BZ390" s="197"/>
      <c r="CA390" s="197"/>
      <c r="CB390" s="197"/>
      <c r="CC390" s="1094"/>
      <c r="CD390" s="1094"/>
      <c r="CE390" s="1094"/>
      <c r="CF390" s="1094"/>
      <c r="CG390" s="349"/>
    </row>
    <row r="391" spans="1:85" s="613" customFormat="1" x14ac:dyDescent="0.3">
      <c r="A391" s="478" t="s">
        <v>1768</v>
      </c>
      <c r="B391" s="523"/>
      <c r="C391" s="78"/>
      <c r="D391" s="78"/>
      <c r="E391" s="78"/>
      <c r="F391" s="78"/>
      <c r="G391" s="774"/>
      <c r="H391" s="774"/>
      <c r="I391" s="774"/>
      <c r="J391" s="774"/>
      <c r="K391" s="78"/>
      <c r="L391" s="774"/>
      <c r="M391" s="774"/>
      <c r="N391" s="774"/>
      <c r="O391" s="774"/>
      <c r="P391" s="78"/>
      <c r="Q391" s="774"/>
      <c r="R391" s="774"/>
      <c r="S391" s="774"/>
      <c r="T391" s="774"/>
      <c r="U391" s="78"/>
      <c r="V391" s="774"/>
      <c r="W391" s="774"/>
      <c r="X391" s="774"/>
      <c r="Y391" s="774"/>
      <c r="Z391" s="78"/>
      <c r="AA391" s="774"/>
      <c r="AB391" s="774"/>
      <c r="AC391" s="774"/>
      <c r="AD391" s="774"/>
      <c r="AE391" s="78"/>
      <c r="AF391" s="774"/>
      <c r="AG391" s="774"/>
      <c r="AH391" s="774"/>
      <c r="AI391" s="774"/>
      <c r="AJ391" s="78"/>
      <c r="AK391" s="774"/>
      <c r="AL391" s="774"/>
      <c r="AM391" s="774"/>
      <c r="AN391" s="774"/>
      <c r="AO391" s="78"/>
      <c r="AP391" s="774"/>
      <c r="AQ391" s="774"/>
      <c r="AR391" s="774"/>
      <c r="AS391" s="774"/>
      <c r="AT391" s="78"/>
      <c r="AU391" s="774"/>
      <c r="AV391" s="774"/>
      <c r="AW391" s="774"/>
      <c r="AX391" s="774"/>
      <c r="AY391" s="78"/>
      <c r="AZ391" s="774"/>
      <c r="BA391" s="774"/>
      <c r="BB391" s="774"/>
      <c r="BC391" s="774"/>
      <c r="BD391" s="1119">
        <v>31.312999999999999</v>
      </c>
      <c r="BE391" s="774"/>
      <c r="BF391" s="774"/>
      <c r="BG391" s="774"/>
      <c r="BH391" s="774"/>
      <c r="BI391" s="1119">
        <v>7.367</v>
      </c>
      <c r="BJ391" s="774"/>
      <c r="BK391" s="774"/>
      <c r="BL391" s="774"/>
      <c r="BM391" s="774"/>
      <c r="BN391" s="1119">
        <v>7.367</v>
      </c>
      <c r="BO391" s="774"/>
      <c r="BP391" s="774"/>
      <c r="BQ391" s="774"/>
      <c r="BR391" s="774"/>
      <c r="BS391" s="78"/>
      <c r="BT391" s="775"/>
      <c r="BU391" s="774"/>
      <c r="BV391" s="774"/>
      <c r="BW391" s="774"/>
      <c r="BX391" s="78"/>
      <c r="BY391" s="774"/>
      <c r="BZ391" s="774"/>
      <c r="CA391" s="774"/>
      <c r="CB391" s="774"/>
      <c r="CC391" s="78"/>
      <c r="CD391" s="78"/>
      <c r="CE391" s="78"/>
      <c r="CF391" s="78"/>
      <c r="CG391" s="532"/>
    </row>
    <row r="392" spans="1:85" s="615" customFormat="1" x14ac:dyDescent="0.3">
      <c r="A392" s="522" t="s">
        <v>1767</v>
      </c>
      <c r="B392" s="521"/>
      <c r="C392" s="1122"/>
      <c r="D392" s="1122"/>
      <c r="E392" s="1122"/>
      <c r="F392" s="1122"/>
      <c r="G392" s="520"/>
      <c r="H392" s="520"/>
      <c r="I392" s="520"/>
      <c r="J392" s="520"/>
      <c r="K392" s="1122"/>
      <c r="L392" s="520"/>
      <c r="M392" s="520"/>
      <c r="N392" s="520"/>
      <c r="O392" s="520"/>
      <c r="P392" s="1122"/>
      <c r="Q392" s="520"/>
      <c r="R392" s="520"/>
      <c r="S392" s="520"/>
      <c r="T392" s="520"/>
      <c r="U392" s="1122"/>
      <c r="V392" s="520"/>
      <c r="W392" s="520"/>
      <c r="X392" s="520"/>
      <c r="Y392" s="520"/>
      <c r="Z392" s="1122"/>
      <c r="AA392" s="520"/>
      <c r="AB392" s="520"/>
      <c r="AC392" s="520"/>
      <c r="AD392" s="520"/>
      <c r="AE392" s="1122"/>
      <c r="AF392" s="520"/>
      <c r="AG392" s="520"/>
      <c r="AH392" s="520"/>
      <c r="AI392" s="520"/>
      <c r="AJ392" s="1122"/>
      <c r="AK392" s="520"/>
      <c r="AL392" s="520"/>
      <c r="AM392" s="520"/>
      <c r="AN392" s="520"/>
      <c r="AO392" s="1122"/>
      <c r="AP392" s="520"/>
      <c r="AQ392" s="520"/>
      <c r="AR392" s="520"/>
      <c r="AS392" s="520"/>
      <c r="AT392" s="1124"/>
      <c r="AU392" s="526"/>
      <c r="AV392" s="526"/>
      <c r="AW392" s="526"/>
      <c r="AX392" s="526"/>
      <c r="AY392" s="1124"/>
      <c r="AZ392" s="526"/>
      <c r="BA392" s="526"/>
      <c r="BB392" s="526"/>
      <c r="BC392" s="526"/>
      <c r="BD392" s="1123">
        <v>226.21</v>
      </c>
      <c r="BE392" s="520"/>
      <c r="BF392" s="520"/>
      <c r="BG392" s="520"/>
      <c r="BH392" s="520"/>
      <c r="BI392" s="1123">
        <v>226.21</v>
      </c>
      <c r="BJ392" s="520"/>
      <c r="BK392" s="520"/>
      <c r="BL392" s="520"/>
      <c r="BM392" s="520"/>
      <c r="BN392" s="1123">
        <v>226.21</v>
      </c>
      <c r="BO392" s="520"/>
      <c r="BP392" s="520"/>
      <c r="BQ392" s="520"/>
      <c r="BR392" s="520"/>
      <c r="BS392" s="1124"/>
      <c r="BT392" s="728"/>
      <c r="BU392" s="520"/>
      <c r="BV392" s="520"/>
      <c r="BW392" s="520"/>
      <c r="BX392" s="1122"/>
      <c r="BY392" s="520"/>
      <c r="BZ392" s="520"/>
      <c r="CA392" s="520"/>
      <c r="CB392" s="520"/>
      <c r="CC392" s="1122"/>
      <c r="CD392" s="1122"/>
      <c r="CE392" s="1122"/>
      <c r="CF392" s="1122"/>
      <c r="CG392" s="519"/>
    </row>
    <row r="393" spans="1:85" s="614" customFormat="1" x14ac:dyDescent="0.3">
      <c r="A393" s="522"/>
      <c r="B393" s="352"/>
      <c r="C393" s="1094"/>
      <c r="D393" s="1094"/>
      <c r="E393" s="1094"/>
      <c r="F393" s="1094"/>
      <c r="G393" s="197"/>
      <c r="H393" s="197"/>
      <c r="I393" s="197"/>
      <c r="J393" s="197"/>
      <c r="K393" s="1094"/>
      <c r="L393" s="197"/>
      <c r="M393" s="197"/>
      <c r="N393" s="197"/>
      <c r="O393" s="197"/>
      <c r="P393" s="1094"/>
      <c r="Q393" s="197"/>
      <c r="R393" s="197"/>
      <c r="S393" s="197"/>
      <c r="T393" s="197"/>
      <c r="U393" s="1094"/>
      <c r="V393" s="197"/>
      <c r="W393" s="197"/>
      <c r="X393" s="197"/>
      <c r="Y393" s="197"/>
      <c r="Z393" s="1094"/>
      <c r="AA393" s="197"/>
      <c r="AB393" s="197"/>
      <c r="AC393" s="197"/>
      <c r="AD393" s="197"/>
      <c r="AE393" s="1094"/>
      <c r="AF393" s="197"/>
      <c r="AG393" s="197"/>
      <c r="AH393" s="197"/>
      <c r="AI393" s="197"/>
      <c r="AJ393" s="1094"/>
      <c r="AK393" s="197"/>
      <c r="AL393" s="197"/>
      <c r="AM393" s="197"/>
      <c r="AN393" s="197"/>
      <c r="AO393" s="1094"/>
      <c r="AP393" s="197"/>
      <c r="AQ393" s="197"/>
      <c r="AR393" s="197"/>
      <c r="AS393" s="197"/>
      <c r="AT393" s="198"/>
      <c r="AU393" s="194"/>
      <c r="AV393" s="194"/>
      <c r="AW393" s="194"/>
      <c r="AX393" s="194"/>
      <c r="AY393" s="198"/>
      <c r="AZ393" s="194"/>
      <c r="BA393" s="194"/>
      <c r="BB393" s="194"/>
      <c r="BC393" s="194"/>
      <c r="BD393" s="198"/>
      <c r="BE393" s="197"/>
      <c r="BF393" s="197"/>
      <c r="BG393" s="197"/>
      <c r="BH393" s="197"/>
      <c r="BI393" s="198"/>
      <c r="BJ393" s="197"/>
      <c r="BK393" s="197"/>
      <c r="BL393" s="197"/>
      <c r="BM393" s="197"/>
      <c r="BN393" s="198"/>
      <c r="BO393" s="197"/>
      <c r="BP393" s="197"/>
      <c r="BQ393" s="197"/>
      <c r="BR393" s="197"/>
      <c r="BS393" s="198"/>
      <c r="BT393" s="727"/>
      <c r="BU393" s="197"/>
      <c r="BV393" s="197"/>
      <c r="BW393" s="197"/>
      <c r="BX393" s="1094"/>
      <c r="BY393" s="197"/>
      <c r="BZ393" s="197"/>
      <c r="CA393" s="197"/>
      <c r="CB393" s="197"/>
      <c r="CC393" s="1094"/>
      <c r="CD393" s="1094"/>
      <c r="CE393" s="1094"/>
      <c r="CF393" s="1094"/>
      <c r="CG393" s="349"/>
    </row>
    <row r="394" spans="1:85" s="613" customFormat="1" x14ac:dyDescent="0.3">
      <c r="A394" s="478" t="s">
        <v>1766</v>
      </c>
      <c r="B394" s="523"/>
      <c r="C394" s="78"/>
      <c r="D394" s="78"/>
      <c r="E394" s="78"/>
      <c r="F394" s="78"/>
      <c r="G394" s="774"/>
      <c r="H394" s="774"/>
      <c r="I394" s="774"/>
      <c r="J394" s="774"/>
      <c r="K394" s="78"/>
      <c r="L394" s="774"/>
      <c r="M394" s="774"/>
      <c r="N394" s="774"/>
      <c r="O394" s="774"/>
      <c r="P394" s="78"/>
      <c r="Q394" s="774"/>
      <c r="R394" s="774"/>
      <c r="S394" s="774"/>
      <c r="T394" s="774"/>
      <c r="U394" s="78"/>
      <c r="V394" s="774"/>
      <c r="W394" s="774"/>
      <c r="X394" s="774"/>
      <c r="Y394" s="774"/>
      <c r="Z394" s="78"/>
      <c r="AA394" s="774"/>
      <c r="AB394" s="774"/>
      <c r="AC394" s="774"/>
      <c r="AD394" s="774"/>
      <c r="AE394" s="78"/>
      <c r="AF394" s="774"/>
      <c r="AG394" s="774"/>
      <c r="AH394" s="774"/>
      <c r="AI394" s="774"/>
      <c r="AJ394" s="78"/>
      <c r="AK394" s="774"/>
      <c r="AL394" s="774"/>
      <c r="AM394" s="774"/>
      <c r="AN394" s="774"/>
      <c r="AO394" s="78"/>
      <c r="AP394" s="774"/>
      <c r="AQ394" s="774"/>
      <c r="AR394" s="774"/>
      <c r="AS394" s="774"/>
      <c r="AT394" s="78"/>
      <c r="AU394" s="774"/>
      <c r="AV394" s="774"/>
      <c r="AW394" s="774"/>
      <c r="AX394" s="774"/>
      <c r="AY394" s="78"/>
      <c r="AZ394" s="774"/>
      <c r="BA394" s="774"/>
      <c r="BB394" s="774"/>
      <c r="BC394" s="774"/>
      <c r="BD394" s="1119">
        <v>30.792000000000002</v>
      </c>
      <c r="BE394" s="774"/>
      <c r="BF394" s="774"/>
      <c r="BG394" s="774"/>
      <c r="BH394" s="774"/>
      <c r="BI394" s="1119">
        <v>7.2450000000000001</v>
      </c>
      <c r="BJ394" s="774"/>
      <c r="BK394" s="774"/>
      <c r="BL394" s="774"/>
      <c r="BM394" s="774"/>
      <c r="BN394" s="1119">
        <v>7.2450000000000001</v>
      </c>
      <c r="BO394" s="774"/>
      <c r="BP394" s="774"/>
      <c r="BQ394" s="774"/>
      <c r="BR394" s="774"/>
      <c r="BS394" s="78"/>
      <c r="BT394" s="775"/>
      <c r="BU394" s="774"/>
      <c r="BV394" s="774"/>
      <c r="BW394" s="774"/>
      <c r="BX394" s="78"/>
      <c r="BY394" s="774"/>
      <c r="BZ394" s="774"/>
      <c r="CA394" s="774"/>
      <c r="CB394" s="774"/>
      <c r="CC394" s="78"/>
      <c r="CD394" s="78"/>
      <c r="CE394" s="78"/>
      <c r="CF394" s="78"/>
      <c r="CG394" s="532"/>
    </row>
    <row r="395" spans="1:85" s="615" customFormat="1" x14ac:dyDescent="0.3">
      <c r="A395" s="522" t="s">
        <v>1765</v>
      </c>
      <c r="B395" s="521"/>
      <c r="C395" s="1122"/>
      <c r="D395" s="1122"/>
      <c r="E395" s="1122"/>
      <c r="F395" s="1122"/>
      <c r="G395" s="520"/>
      <c r="H395" s="520"/>
      <c r="I395" s="520"/>
      <c r="J395" s="520"/>
      <c r="K395" s="1122"/>
      <c r="L395" s="520"/>
      <c r="M395" s="520"/>
      <c r="N395" s="520"/>
      <c r="O395" s="520"/>
      <c r="P395" s="1122"/>
      <c r="Q395" s="520"/>
      <c r="R395" s="520"/>
      <c r="S395" s="520"/>
      <c r="T395" s="520"/>
      <c r="U395" s="1122"/>
      <c r="V395" s="520"/>
      <c r="W395" s="520"/>
      <c r="X395" s="520"/>
      <c r="Y395" s="520"/>
      <c r="Z395" s="1122"/>
      <c r="AA395" s="520"/>
      <c r="AB395" s="520"/>
      <c r="AC395" s="520"/>
      <c r="AD395" s="520"/>
      <c r="AE395" s="1122"/>
      <c r="AF395" s="520"/>
      <c r="AG395" s="520"/>
      <c r="AH395" s="520"/>
      <c r="AI395" s="520"/>
      <c r="AJ395" s="1122"/>
      <c r="AK395" s="520"/>
      <c r="AL395" s="520"/>
      <c r="AM395" s="520"/>
      <c r="AN395" s="520"/>
      <c r="AO395" s="1122"/>
      <c r="AP395" s="520"/>
      <c r="AQ395" s="520"/>
      <c r="AR395" s="520"/>
      <c r="AS395" s="520"/>
      <c r="AT395" s="1124"/>
      <c r="AU395" s="526"/>
      <c r="AV395" s="526"/>
      <c r="AW395" s="526"/>
      <c r="AX395" s="526"/>
      <c r="AY395" s="1124"/>
      <c r="AZ395" s="526"/>
      <c r="BA395" s="526"/>
      <c r="BB395" s="526"/>
      <c r="BC395" s="526"/>
      <c r="BD395" s="1123">
        <v>230.04</v>
      </c>
      <c r="BE395" s="520"/>
      <c r="BF395" s="520"/>
      <c r="BG395" s="520"/>
      <c r="BH395" s="520"/>
      <c r="BI395" s="1123">
        <v>230.04</v>
      </c>
      <c r="BJ395" s="520"/>
      <c r="BK395" s="520"/>
      <c r="BL395" s="520"/>
      <c r="BM395" s="520"/>
      <c r="BN395" s="1123">
        <v>230.04</v>
      </c>
      <c r="BO395" s="520"/>
      <c r="BP395" s="520"/>
      <c r="BQ395" s="520"/>
      <c r="BR395" s="520"/>
      <c r="BS395" s="1124"/>
      <c r="BT395" s="728"/>
      <c r="BU395" s="520"/>
      <c r="BV395" s="520"/>
      <c r="BW395" s="520"/>
      <c r="BX395" s="1122"/>
      <c r="BY395" s="520"/>
      <c r="BZ395" s="520"/>
      <c r="CA395" s="520"/>
      <c r="CB395" s="520"/>
      <c r="CC395" s="1122"/>
      <c r="CD395" s="1122"/>
      <c r="CE395" s="1122"/>
      <c r="CF395" s="1122"/>
      <c r="CG395" s="519"/>
    </row>
    <row r="396" spans="1:85" s="614" customFormat="1" x14ac:dyDescent="0.3">
      <c r="A396" s="522"/>
      <c r="B396" s="352"/>
      <c r="C396" s="1094"/>
      <c r="D396" s="1094"/>
      <c r="E396" s="1094"/>
      <c r="F396" s="1094"/>
      <c r="G396" s="197"/>
      <c r="H396" s="197"/>
      <c r="I396" s="197"/>
      <c r="J396" s="197"/>
      <c r="K396" s="1094"/>
      <c r="L396" s="197"/>
      <c r="M396" s="197"/>
      <c r="N396" s="197"/>
      <c r="O396" s="197"/>
      <c r="P396" s="1094"/>
      <c r="Q396" s="197"/>
      <c r="R396" s="197"/>
      <c r="S396" s="197"/>
      <c r="T396" s="197"/>
      <c r="U396" s="1094"/>
      <c r="V396" s="197"/>
      <c r="W396" s="197"/>
      <c r="X396" s="197"/>
      <c r="Y396" s="197"/>
      <c r="Z396" s="1094"/>
      <c r="AA396" s="197"/>
      <c r="AB396" s="197"/>
      <c r="AC396" s="197"/>
      <c r="AD396" s="197"/>
      <c r="AE396" s="1094"/>
      <c r="AF396" s="197"/>
      <c r="AG396" s="197"/>
      <c r="AH396" s="197"/>
      <c r="AI396" s="197"/>
      <c r="AJ396" s="1094"/>
      <c r="AK396" s="197"/>
      <c r="AL396" s="197"/>
      <c r="AM396" s="197"/>
      <c r="AN396" s="197"/>
      <c r="AO396" s="1094"/>
      <c r="AP396" s="197"/>
      <c r="AQ396" s="197"/>
      <c r="AR396" s="197"/>
      <c r="AS396" s="197"/>
      <c r="AT396" s="198"/>
      <c r="AU396" s="194"/>
      <c r="AV396" s="194"/>
      <c r="AW396" s="194"/>
      <c r="AX396" s="194"/>
      <c r="AY396" s="198"/>
      <c r="AZ396" s="194"/>
      <c r="BA396" s="194"/>
      <c r="BB396" s="194"/>
      <c r="BC396" s="194"/>
      <c r="BD396" s="198"/>
      <c r="BE396" s="197"/>
      <c r="BF396" s="197"/>
      <c r="BG396" s="197"/>
      <c r="BH396" s="197"/>
      <c r="BI396" s="198"/>
      <c r="BJ396" s="197"/>
      <c r="BK396" s="197"/>
      <c r="BL396" s="197"/>
      <c r="BM396" s="197"/>
      <c r="BN396" s="198"/>
      <c r="BO396" s="197"/>
      <c r="BP396" s="197"/>
      <c r="BQ396" s="197"/>
      <c r="BR396" s="197"/>
      <c r="BS396" s="198"/>
      <c r="BT396" s="727"/>
      <c r="BU396" s="197"/>
      <c r="BV396" s="197"/>
      <c r="BW396" s="197"/>
      <c r="BX396" s="1094"/>
      <c r="BY396" s="197"/>
      <c r="BZ396" s="197"/>
      <c r="CA396" s="197"/>
      <c r="CB396" s="197"/>
      <c r="CC396" s="1094"/>
      <c r="CD396" s="1094"/>
      <c r="CE396" s="1094"/>
      <c r="CF396" s="1094"/>
      <c r="CG396" s="349"/>
    </row>
    <row r="397" spans="1:85" s="613" customFormat="1" x14ac:dyDescent="0.3">
      <c r="A397" s="478" t="s">
        <v>1764</v>
      </c>
      <c r="B397" s="523"/>
      <c r="C397" s="78"/>
      <c r="D397" s="78"/>
      <c r="E397" s="78"/>
      <c r="F397" s="78"/>
      <c r="G397" s="774"/>
      <c r="H397" s="774"/>
      <c r="I397" s="774"/>
      <c r="J397" s="774"/>
      <c r="K397" s="78"/>
      <c r="L397" s="774"/>
      <c r="M397" s="774"/>
      <c r="N397" s="774"/>
      <c r="O397" s="774"/>
      <c r="P397" s="78"/>
      <c r="Q397" s="774"/>
      <c r="R397" s="774"/>
      <c r="S397" s="774"/>
      <c r="T397" s="774"/>
      <c r="U397" s="78"/>
      <c r="V397" s="774"/>
      <c r="W397" s="774"/>
      <c r="X397" s="774"/>
      <c r="Y397" s="774"/>
      <c r="Z397" s="78"/>
      <c r="AA397" s="774"/>
      <c r="AB397" s="774"/>
      <c r="AC397" s="774"/>
      <c r="AD397" s="774"/>
      <c r="AE397" s="78"/>
      <c r="AF397" s="774"/>
      <c r="AG397" s="774"/>
      <c r="AH397" s="774"/>
      <c r="AI397" s="774"/>
      <c r="AJ397" s="78"/>
      <c r="AK397" s="774"/>
      <c r="AL397" s="774"/>
      <c r="AM397" s="774"/>
      <c r="AN397" s="774"/>
      <c r="AO397" s="78"/>
      <c r="AP397" s="774"/>
      <c r="AQ397" s="774"/>
      <c r="AR397" s="774"/>
      <c r="AS397" s="774"/>
      <c r="AT397" s="78"/>
      <c r="AU397" s="774"/>
      <c r="AV397" s="774"/>
      <c r="AW397" s="774"/>
      <c r="AX397" s="774"/>
      <c r="AY397" s="78"/>
      <c r="AZ397" s="774"/>
      <c r="BA397" s="774"/>
      <c r="BB397" s="774"/>
      <c r="BC397" s="774"/>
      <c r="BD397" s="1119">
        <v>29.632000000000001</v>
      </c>
      <c r="BE397" s="774"/>
      <c r="BF397" s="774"/>
      <c r="BG397" s="774"/>
      <c r="BH397" s="774"/>
      <c r="BI397" s="1119">
        <v>6.9729999999999999</v>
      </c>
      <c r="BJ397" s="774"/>
      <c r="BK397" s="774"/>
      <c r="BL397" s="774"/>
      <c r="BM397" s="774"/>
      <c r="BN397" s="1119">
        <v>6.9729999999999999</v>
      </c>
      <c r="BO397" s="774"/>
      <c r="BP397" s="774"/>
      <c r="BQ397" s="774"/>
      <c r="BR397" s="774"/>
      <c r="BS397" s="78"/>
      <c r="BT397" s="775"/>
      <c r="BU397" s="774"/>
      <c r="BV397" s="774"/>
      <c r="BW397" s="774"/>
      <c r="BX397" s="78"/>
      <c r="BY397" s="774"/>
      <c r="BZ397" s="774"/>
      <c r="CA397" s="774"/>
      <c r="CB397" s="774"/>
      <c r="CC397" s="78"/>
      <c r="CD397" s="78"/>
      <c r="CE397" s="78"/>
      <c r="CF397" s="78"/>
      <c r="CG397" s="532"/>
    </row>
    <row r="398" spans="1:85" s="615" customFormat="1" x14ac:dyDescent="0.3">
      <c r="A398" s="522" t="s">
        <v>1763</v>
      </c>
      <c r="B398" s="521"/>
      <c r="C398" s="1122"/>
      <c r="D398" s="1122"/>
      <c r="E398" s="1122"/>
      <c r="F398" s="1122"/>
      <c r="G398" s="520"/>
      <c r="H398" s="520"/>
      <c r="I398" s="520"/>
      <c r="J398" s="520"/>
      <c r="K398" s="1122"/>
      <c r="L398" s="520"/>
      <c r="M398" s="520"/>
      <c r="N398" s="520"/>
      <c r="O398" s="520"/>
      <c r="P398" s="1122"/>
      <c r="Q398" s="520"/>
      <c r="R398" s="520"/>
      <c r="S398" s="520"/>
      <c r="T398" s="520"/>
      <c r="U398" s="1122"/>
      <c r="V398" s="520"/>
      <c r="W398" s="520"/>
      <c r="X398" s="520"/>
      <c r="Y398" s="520"/>
      <c r="Z398" s="1122"/>
      <c r="AA398" s="520"/>
      <c r="AB398" s="520"/>
      <c r="AC398" s="520"/>
      <c r="AD398" s="520"/>
      <c r="AE398" s="1122"/>
      <c r="AF398" s="520"/>
      <c r="AG398" s="520"/>
      <c r="AH398" s="520"/>
      <c r="AI398" s="520"/>
      <c r="AJ398" s="1122"/>
      <c r="AK398" s="520"/>
      <c r="AL398" s="520"/>
      <c r="AM398" s="520"/>
      <c r="AN398" s="520"/>
      <c r="AO398" s="1122"/>
      <c r="AP398" s="520"/>
      <c r="AQ398" s="520"/>
      <c r="AR398" s="520"/>
      <c r="AS398" s="520"/>
      <c r="AT398" s="1124"/>
      <c r="AU398" s="526"/>
      <c r="AV398" s="526"/>
      <c r="AW398" s="526"/>
      <c r="AX398" s="526"/>
      <c r="AY398" s="1124"/>
      <c r="AZ398" s="526"/>
      <c r="BA398" s="526"/>
      <c r="BB398" s="526"/>
      <c r="BC398" s="526"/>
      <c r="BD398" s="1123">
        <v>239.04</v>
      </c>
      <c r="BE398" s="520"/>
      <c r="BF398" s="520"/>
      <c r="BG398" s="520"/>
      <c r="BH398" s="520"/>
      <c r="BI398" s="1123">
        <v>239.04</v>
      </c>
      <c r="BJ398" s="520"/>
      <c r="BK398" s="520"/>
      <c r="BL398" s="520"/>
      <c r="BM398" s="520"/>
      <c r="BN398" s="1123">
        <v>239.04</v>
      </c>
      <c r="BO398" s="520"/>
      <c r="BP398" s="520"/>
      <c r="BQ398" s="520"/>
      <c r="BR398" s="520"/>
      <c r="BS398" s="1124"/>
      <c r="BT398" s="728"/>
      <c r="BU398" s="520"/>
      <c r="BV398" s="520"/>
      <c r="BW398" s="520"/>
      <c r="BX398" s="1122"/>
      <c r="BY398" s="520"/>
      <c r="BZ398" s="520"/>
      <c r="CA398" s="520"/>
      <c r="CB398" s="520"/>
      <c r="CC398" s="1122"/>
      <c r="CD398" s="1122"/>
      <c r="CE398" s="1122"/>
      <c r="CF398" s="1122"/>
      <c r="CG398" s="519"/>
    </row>
    <row r="399" spans="1:85" s="614" customFormat="1" x14ac:dyDescent="0.3">
      <c r="A399" s="522"/>
      <c r="B399" s="352"/>
      <c r="C399" s="1094"/>
      <c r="D399" s="1094"/>
      <c r="E399" s="1094"/>
      <c r="F399" s="1094"/>
      <c r="G399" s="197"/>
      <c r="H399" s="197"/>
      <c r="I399" s="197"/>
      <c r="J399" s="197"/>
      <c r="K399" s="1094"/>
      <c r="L399" s="197"/>
      <c r="M399" s="197"/>
      <c r="N399" s="197"/>
      <c r="O399" s="197"/>
      <c r="P399" s="1094"/>
      <c r="Q399" s="197"/>
      <c r="R399" s="197"/>
      <c r="S399" s="197"/>
      <c r="T399" s="197"/>
      <c r="U399" s="1094"/>
      <c r="V399" s="197"/>
      <c r="W399" s="197"/>
      <c r="X399" s="197"/>
      <c r="Y399" s="197"/>
      <c r="Z399" s="1094"/>
      <c r="AA399" s="197"/>
      <c r="AB399" s="197"/>
      <c r="AC399" s="197"/>
      <c r="AD399" s="197"/>
      <c r="AE399" s="1094"/>
      <c r="AF399" s="197"/>
      <c r="AG399" s="197"/>
      <c r="AH399" s="197"/>
      <c r="AI399" s="197"/>
      <c r="AJ399" s="1094"/>
      <c r="AK399" s="197"/>
      <c r="AL399" s="197"/>
      <c r="AM399" s="197"/>
      <c r="AN399" s="197"/>
      <c r="AO399" s="1094"/>
      <c r="AP399" s="197"/>
      <c r="AQ399" s="197"/>
      <c r="AR399" s="197"/>
      <c r="AS399" s="197"/>
      <c r="AT399" s="198"/>
      <c r="AU399" s="194"/>
      <c r="AV399" s="194"/>
      <c r="AW399" s="194"/>
      <c r="AX399" s="194"/>
      <c r="AY399" s="198"/>
      <c r="AZ399" s="194"/>
      <c r="BA399" s="194"/>
      <c r="BB399" s="194"/>
      <c r="BC399" s="194"/>
      <c r="BD399" s="198"/>
      <c r="BE399" s="197"/>
      <c r="BF399" s="197"/>
      <c r="BG399" s="197"/>
      <c r="BH399" s="197"/>
      <c r="BI399" s="198"/>
      <c r="BJ399" s="197"/>
      <c r="BK399" s="197"/>
      <c r="BL399" s="197"/>
      <c r="BM399" s="197"/>
      <c r="BN399" s="198"/>
      <c r="BO399" s="197"/>
      <c r="BP399" s="197"/>
      <c r="BQ399" s="197"/>
      <c r="BR399" s="197"/>
      <c r="BS399" s="198"/>
      <c r="BT399" s="727"/>
      <c r="BU399" s="197"/>
      <c r="BV399" s="197"/>
      <c r="BW399" s="197"/>
      <c r="BX399" s="1094"/>
      <c r="BY399" s="197"/>
      <c r="BZ399" s="197"/>
      <c r="CA399" s="197"/>
      <c r="CB399" s="197"/>
      <c r="CC399" s="1094"/>
      <c r="CD399" s="1094"/>
      <c r="CE399" s="1094"/>
      <c r="CF399" s="1094"/>
      <c r="CG399" s="349"/>
    </row>
    <row r="400" spans="1:85" s="613" customFormat="1" x14ac:dyDescent="0.3">
      <c r="A400" s="478" t="s">
        <v>1762</v>
      </c>
      <c r="B400" s="523"/>
      <c r="C400" s="78"/>
      <c r="D400" s="78"/>
      <c r="E400" s="78"/>
      <c r="F400" s="78"/>
      <c r="G400" s="774"/>
      <c r="H400" s="774"/>
      <c r="I400" s="774"/>
      <c r="J400" s="774"/>
      <c r="K400" s="78"/>
      <c r="L400" s="774"/>
      <c r="M400" s="774"/>
      <c r="N400" s="774"/>
      <c r="O400" s="774"/>
      <c r="P400" s="78"/>
      <c r="Q400" s="774"/>
      <c r="R400" s="774"/>
      <c r="S400" s="774"/>
      <c r="T400" s="774"/>
      <c r="U400" s="78"/>
      <c r="V400" s="774"/>
      <c r="W400" s="774"/>
      <c r="X400" s="774"/>
      <c r="Y400" s="774"/>
      <c r="Z400" s="78"/>
      <c r="AA400" s="774"/>
      <c r="AB400" s="774"/>
      <c r="AC400" s="774"/>
      <c r="AD400" s="774"/>
      <c r="AE400" s="78"/>
      <c r="AF400" s="774"/>
      <c r="AG400" s="774"/>
      <c r="AH400" s="774"/>
      <c r="AI400" s="774"/>
      <c r="AJ400" s="78"/>
      <c r="AK400" s="774"/>
      <c r="AL400" s="774"/>
      <c r="AM400" s="774"/>
      <c r="AN400" s="774"/>
      <c r="AO400" s="78"/>
      <c r="AP400" s="774"/>
      <c r="AQ400" s="774"/>
      <c r="AR400" s="774"/>
      <c r="AS400" s="774"/>
      <c r="AT400" s="78"/>
      <c r="AU400" s="774"/>
      <c r="AV400" s="774"/>
      <c r="AW400" s="774"/>
      <c r="AX400" s="774"/>
      <c r="AY400" s="78"/>
      <c r="AZ400" s="774"/>
      <c r="BA400" s="774"/>
      <c r="BB400" s="774"/>
      <c r="BC400" s="774"/>
      <c r="BD400" s="1119">
        <v>24.702000000000002</v>
      </c>
      <c r="BE400" s="774"/>
      <c r="BF400" s="774"/>
      <c r="BG400" s="774"/>
      <c r="BH400" s="774"/>
      <c r="BI400" s="1119">
        <v>5.8120000000000003</v>
      </c>
      <c r="BJ400" s="774"/>
      <c r="BK400" s="774"/>
      <c r="BL400" s="774"/>
      <c r="BM400" s="774"/>
      <c r="BN400" s="1119">
        <v>5.8120000000000003</v>
      </c>
      <c r="BO400" s="774"/>
      <c r="BP400" s="774"/>
      <c r="BQ400" s="774"/>
      <c r="BR400" s="774"/>
      <c r="BS400" s="78"/>
      <c r="BT400" s="775"/>
      <c r="BU400" s="774"/>
      <c r="BV400" s="774"/>
      <c r="BW400" s="774"/>
      <c r="BX400" s="78"/>
      <c r="BY400" s="774"/>
      <c r="BZ400" s="774"/>
      <c r="CA400" s="774"/>
      <c r="CB400" s="774"/>
      <c r="CC400" s="78"/>
      <c r="CD400" s="78"/>
      <c r="CE400" s="78"/>
      <c r="CF400" s="78"/>
      <c r="CG400" s="532"/>
    </row>
    <row r="401" spans="1:85" s="615" customFormat="1" x14ac:dyDescent="0.3">
      <c r="A401" s="522" t="s">
        <v>1761</v>
      </c>
      <c r="B401" s="521"/>
      <c r="C401" s="1122"/>
      <c r="D401" s="1122"/>
      <c r="E401" s="1122"/>
      <c r="F401" s="1122"/>
      <c r="G401" s="520"/>
      <c r="H401" s="520"/>
      <c r="I401" s="520"/>
      <c r="J401" s="520"/>
      <c r="K401" s="1122"/>
      <c r="L401" s="520"/>
      <c r="M401" s="520"/>
      <c r="N401" s="520"/>
      <c r="O401" s="520"/>
      <c r="P401" s="1122"/>
      <c r="Q401" s="520"/>
      <c r="R401" s="520"/>
      <c r="S401" s="520"/>
      <c r="T401" s="520"/>
      <c r="U401" s="1122"/>
      <c r="V401" s="520"/>
      <c r="W401" s="520"/>
      <c r="X401" s="520"/>
      <c r="Y401" s="520"/>
      <c r="Z401" s="1122"/>
      <c r="AA401" s="520"/>
      <c r="AB401" s="520"/>
      <c r="AC401" s="520"/>
      <c r="AD401" s="520"/>
      <c r="AE401" s="1122"/>
      <c r="AF401" s="520"/>
      <c r="AG401" s="520"/>
      <c r="AH401" s="520"/>
      <c r="AI401" s="520"/>
      <c r="AJ401" s="1122"/>
      <c r="AK401" s="520"/>
      <c r="AL401" s="520"/>
      <c r="AM401" s="520"/>
      <c r="AN401" s="520"/>
      <c r="AO401" s="1122"/>
      <c r="AP401" s="520"/>
      <c r="AQ401" s="520"/>
      <c r="AR401" s="520"/>
      <c r="AS401" s="520"/>
      <c r="AT401" s="1124"/>
      <c r="AU401" s="526"/>
      <c r="AV401" s="526"/>
      <c r="AW401" s="526"/>
      <c r="AX401" s="526"/>
      <c r="AY401" s="1124"/>
      <c r="AZ401" s="526"/>
      <c r="BA401" s="526"/>
      <c r="BB401" s="526"/>
      <c r="BC401" s="526"/>
      <c r="BD401" s="1123">
        <v>286.75</v>
      </c>
      <c r="BE401" s="520"/>
      <c r="BF401" s="520"/>
      <c r="BG401" s="520"/>
      <c r="BH401" s="520"/>
      <c r="BI401" s="1123">
        <v>286.75</v>
      </c>
      <c r="BJ401" s="520"/>
      <c r="BK401" s="520"/>
      <c r="BL401" s="520"/>
      <c r="BM401" s="520"/>
      <c r="BN401" s="1123">
        <v>286.75</v>
      </c>
      <c r="BO401" s="520"/>
      <c r="BP401" s="520"/>
      <c r="BQ401" s="520"/>
      <c r="BR401" s="520"/>
      <c r="BS401" s="1124"/>
      <c r="BT401" s="728"/>
      <c r="BU401" s="520"/>
      <c r="BV401" s="520"/>
      <c r="BW401" s="520"/>
      <c r="BX401" s="1122"/>
      <c r="BY401" s="520"/>
      <c r="BZ401" s="520"/>
      <c r="CA401" s="520"/>
      <c r="CB401" s="520"/>
      <c r="CC401" s="1122"/>
      <c r="CD401" s="1122"/>
      <c r="CE401" s="1122"/>
      <c r="CF401" s="1122"/>
      <c r="CG401" s="519"/>
    </row>
    <row r="402" spans="1:85" s="614" customFormat="1" x14ac:dyDescent="0.3">
      <c r="A402" s="522"/>
      <c r="B402" s="352"/>
      <c r="C402" s="1094"/>
      <c r="D402" s="1094"/>
      <c r="E402" s="1094"/>
      <c r="F402" s="1094"/>
      <c r="G402" s="197"/>
      <c r="H402" s="197"/>
      <c r="I402" s="197"/>
      <c r="J402" s="197"/>
      <c r="K402" s="1094"/>
      <c r="L402" s="197"/>
      <c r="M402" s="197"/>
      <c r="N402" s="197"/>
      <c r="O402" s="197"/>
      <c r="P402" s="1094"/>
      <c r="Q402" s="197"/>
      <c r="R402" s="197"/>
      <c r="S402" s="197"/>
      <c r="T402" s="197"/>
      <c r="U402" s="1094"/>
      <c r="V402" s="197"/>
      <c r="W402" s="197"/>
      <c r="X402" s="197"/>
      <c r="Y402" s="197"/>
      <c r="Z402" s="1094"/>
      <c r="AA402" s="197"/>
      <c r="AB402" s="197"/>
      <c r="AC402" s="197"/>
      <c r="AD402" s="197"/>
      <c r="AE402" s="1094"/>
      <c r="AF402" s="197"/>
      <c r="AG402" s="197"/>
      <c r="AH402" s="197"/>
      <c r="AI402" s="197"/>
      <c r="AJ402" s="1094"/>
      <c r="AK402" s="197"/>
      <c r="AL402" s="197"/>
      <c r="AM402" s="197"/>
      <c r="AN402" s="197"/>
      <c r="AO402" s="1094"/>
      <c r="AP402" s="197"/>
      <c r="AQ402" s="197"/>
      <c r="AR402" s="197"/>
      <c r="AS402" s="197"/>
      <c r="AT402" s="198"/>
      <c r="AU402" s="194"/>
      <c r="AV402" s="194"/>
      <c r="AW402" s="194"/>
      <c r="AX402" s="194"/>
      <c r="AY402" s="198"/>
      <c r="AZ402" s="194"/>
      <c r="BA402" s="194"/>
      <c r="BB402" s="194"/>
      <c r="BC402" s="194"/>
      <c r="BD402" s="198"/>
      <c r="BE402" s="197"/>
      <c r="BF402" s="197"/>
      <c r="BG402" s="197"/>
      <c r="BH402" s="197"/>
      <c r="BI402" s="198"/>
      <c r="BJ402" s="197"/>
      <c r="BK402" s="197"/>
      <c r="BL402" s="197"/>
      <c r="BM402" s="197"/>
      <c r="BN402" s="198"/>
      <c r="BO402" s="197"/>
      <c r="BP402" s="197"/>
      <c r="BQ402" s="197"/>
      <c r="BR402" s="197"/>
      <c r="BS402" s="198"/>
      <c r="BT402" s="727"/>
      <c r="BU402" s="197"/>
      <c r="BV402" s="197"/>
      <c r="BW402" s="197"/>
      <c r="BX402" s="1094"/>
      <c r="BY402" s="197"/>
      <c r="BZ402" s="197"/>
      <c r="CA402" s="197"/>
      <c r="CB402" s="197"/>
      <c r="CC402" s="1094"/>
      <c r="CD402" s="1094"/>
      <c r="CE402" s="1094"/>
      <c r="CF402" s="1094"/>
      <c r="CG402" s="349"/>
    </row>
    <row r="403" spans="1:85" s="613" customFormat="1" x14ac:dyDescent="0.3">
      <c r="A403" s="478" t="s">
        <v>1760</v>
      </c>
      <c r="B403" s="523"/>
      <c r="C403" s="78"/>
      <c r="D403" s="78"/>
      <c r="E403" s="78"/>
      <c r="F403" s="78"/>
      <c r="G403" s="774"/>
      <c r="H403" s="774"/>
      <c r="I403" s="774"/>
      <c r="J403" s="774"/>
      <c r="K403" s="78"/>
      <c r="L403" s="774"/>
      <c r="M403" s="774"/>
      <c r="N403" s="774"/>
      <c r="O403" s="774"/>
      <c r="P403" s="78"/>
      <c r="Q403" s="774"/>
      <c r="R403" s="774"/>
      <c r="S403" s="774"/>
      <c r="T403" s="774"/>
      <c r="U403" s="78"/>
      <c r="V403" s="774"/>
      <c r="W403" s="774"/>
      <c r="X403" s="774"/>
      <c r="Y403" s="774"/>
      <c r="Z403" s="78"/>
      <c r="AA403" s="774"/>
      <c r="AB403" s="774"/>
      <c r="AC403" s="774"/>
      <c r="AD403" s="774"/>
      <c r="AE403" s="78"/>
      <c r="AF403" s="774"/>
      <c r="AG403" s="774"/>
      <c r="AH403" s="774"/>
      <c r="AI403" s="774"/>
      <c r="AJ403" s="78"/>
      <c r="AK403" s="774"/>
      <c r="AL403" s="774"/>
      <c r="AM403" s="774"/>
      <c r="AN403" s="774"/>
      <c r="AO403" s="78"/>
      <c r="AP403" s="774"/>
      <c r="AQ403" s="774"/>
      <c r="AR403" s="774"/>
      <c r="AS403" s="774"/>
      <c r="AT403" s="78"/>
      <c r="AU403" s="774"/>
      <c r="AV403" s="774"/>
      <c r="AW403" s="774"/>
      <c r="AX403" s="774"/>
      <c r="AY403" s="78"/>
      <c r="AZ403" s="774"/>
      <c r="BA403" s="774"/>
      <c r="BB403" s="774"/>
      <c r="BC403" s="774"/>
      <c r="BD403" s="1119">
        <v>22.347999999999999</v>
      </c>
      <c r="BE403" s="774"/>
      <c r="BF403" s="774"/>
      <c r="BG403" s="774"/>
      <c r="BH403" s="774"/>
      <c r="BI403" s="1119">
        <v>5.258</v>
      </c>
      <c r="BJ403" s="774"/>
      <c r="BK403" s="774"/>
      <c r="BL403" s="774"/>
      <c r="BM403" s="774"/>
      <c r="BN403" s="1119">
        <v>5.258</v>
      </c>
      <c r="BO403" s="774"/>
      <c r="BP403" s="774"/>
      <c r="BQ403" s="774"/>
      <c r="BR403" s="774"/>
      <c r="BS403" s="78"/>
      <c r="BT403" s="775"/>
      <c r="BU403" s="774"/>
      <c r="BV403" s="774"/>
      <c r="BW403" s="774"/>
      <c r="BX403" s="78"/>
      <c r="BY403" s="774"/>
      <c r="BZ403" s="774"/>
      <c r="CA403" s="774"/>
      <c r="CB403" s="774"/>
      <c r="CC403" s="78"/>
      <c r="CD403" s="78"/>
      <c r="CE403" s="78"/>
      <c r="CF403" s="78"/>
      <c r="CG403" s="532"/>
    </row>
    <row r="404" spans="1:85" s="615" customFormat="1" x14ac:dyDescent="0.3">
      <c r="A404" s="522" t="s">
        <v>1759</v>
      </c>
      <c r="B404" s="521"/>
      <c r="C404" s="1122"/>
      <c r="D404" s="1122"/>
      <c r="E404" s="1122"/>
      <c r="F404" s="1122"/>
      <c r="G404" s="520"/>
      <c r="H404" s="520"/>
      <c r="I404" s="520"/>
      <c r="J404" s="520"/>
      <c r="K404" s="1122"/>
      <c r="L404" s="520"/>
      <c r="M404" s="520"/>
      <c r="N404" s="520"/>
      <c r="O404" s="520"/>
      <c r="P404" s="1122"/>
      <c r="Q404" s="520"/>
      <c r="R404" s="520"/>
      <c r="S404" s="520"/>
      <c r="T404" s="520"/>
      <c r="U404" s="1122"/>
      <c r="V404" s="520"/>
      <c r="W404" s="520"/>
      <c r="X404" s="520"/>
      <c r="Y404" s="520"/>
      <c r="Z404" s="1122"/>
      <c r="AA404" s="520"/>
      <c r="AB404" s="520"/>
      <c r="AC404" s="520"/>
      <c r="AD404" s="520"/>
      <c r="AE404" s="1122"/>
      <c r="AF404" s="520"/>
      <c r="AG404" s="520"/>
      <c r="AH404" s="520"/>
      <c r="AI404" s="520"/>
      <c r="AJ404" s="1122"/>
      <c r="AK404" s="520"/>
      <c r="AL404" s="520"/>
      <c r="AM404" s="520"/>
      <c r="AN404" s="520"/>
      <c r="AO404" s="1122"/>
      <c r="AP404" s="520"/>
      <c r="AQ404" s="520"/>
      <c r="AR404" s="520"/>
      <c r="AS404" s="520"/>
      <c r="AT404" s="1124"/>
      <c r="AU404" s="526"/>
      <c r="AV404" s="526"/>
      <c r="AW404" s="526"/>
      <c r="AX404" s="526"/>
      <c r="AY404" s="1124"/>
      <c r="AZ404" s="526"/>
      <c r="BA404" s="526"/>
      <c r="BB404" s="526"/>
      <c r="BC404" s="526"/>
      <c r="BD404" s="1123">
        <v>316.95</v>
      </c>
      <c r="BE404" s="520"/>
      <c r="BF404" s="520"/>
      <c r="BG404" s="520"/>
      <c r="BH404" s="520"/>
      <c r="BI404" s="1123">
        <v>316.95</v>
      </c>
      <c r="BJ404" s="520"/>
      <c r="BK404" s="520"/>
      <c r="BL404" s="520"/>
      <c r="BM404" s="520"/>
      <c r="BN404" s="1123">
        <v>316.95</v>
      </c>
      <c r="BO404" s="520"/>
      <c r="BP404" s="520"/>
      <c r="BQ404" s="520"/>
      <c r="BR404" s="520"/>
      <c r="BS404" s="1124"/>
      <c r="BT404" s="728"/>
      <c r="BU404" s="520"/>
      <c r="BV404" s="520"/>
      <c r="BW404" s="520"/>
      <c r="BX404" s="1122"/>
      <c r="BY404" s="520"/>
      <c r="BZ404" s="520"/>
      <c r="CA404" s="520"/>
      <c r="CB404" s="520"/>
      <c r="CC404" s="1122"/>
      <c r="CD404" s="1122"/>
      <c r="CE404" s="1122"/>
      <c r="CF404" s="1122"/>
      <c r="CG404" s="519"/>
    </row>
    <row r="405" spans="1:85" s="615" customFormat="1" x14ac:dyDescent="0.3">
      <c r="A405" s="522"/>
      <c r="B405" s="521"/>
      <c r="C405" s="1122"/>
      <c r="D405" s="1122"/>
      <c r="E405" s="1122"/>
      <c r="F405" s="1122"/>
      <c r="G405" s="520"/>
      <c r="H405" s="520"/>
      <c r="I405" s="520"/>
      <c r="J405" s="520"/>
      <c r="K405" s="1122"/>
      <c r="L405" s="520"/>
      <c r="M405" s="520"/>
      <c r="N405" s="520"/>
      <c r="O405" s="520"/>
      <c r="P405" s="1122"/>
      <c r="Q405" s="520"/>
      <c r="R405" s="520"/>
      <c r="S405" s="520"/>
      <c r="T405" s="520"/>
      <c r="U405" s="1122"/>
      <c r="V405" s="520"/>
      <c r="W405" s="520"/>
      <c r="X405" s="520"/>
      <c r="Y405" s="520"/>
      <c r="Z405" s="1122"/>
      <c r="AA405" s="520"/>
      <c r="AB405" s="520"/>
      <c r="AC405" s="520"/>
      <c r="AD405" s="520"/>
      <c r="AE405" s="1122"/>
      <c r="AF405" s="520"/>
      <c r="AG405" s="520"/>
      <c r="AH405" s="520"/>
      <c r="AI405" s="520"/>
      <c r="AJ405" s="1122"/>
      <c r="AK405" s="520"/>
      <c r="AL405" s="520"/>
      <c r="AM405" s="520"/>
      <c r="AN405" s="520"/>
      <c r="AO405" s="1122"/>
      <c r="AP405" s="520"/>
      <c r="AQ405" s="520"/>
      <c r="AR405" s="520"/>
      <c r="AS405" s="520"/>
      <c r="AT405" s="1124"/>
      <c r="AU405" s="526"/>
      <c r="AV405" s="526"/>
      <c r="AW405" s="526"/>
      <c r="AX405" s="526"/>
      <c r="AY405" s="1124"/>
      <c r="AZ405" s="526"/>
      <c r="BA405" s="526"/>
      <c r="BB405" s="526"/>
      <c r="BC405" s="526"/>
      <c r="BD405" s="1124"/>
      <c r="BE405" s="520"/>
      <c r="BF405" s="520"/>
      <c r="BG405" s="520"/>
      <c r="BH405" s="520"/>
      <c r="BI405" s="1124"/>
      <c r="BJ405" s="520"/>
      <c r="BK405" s="520"/>
      <c r="BL405" s="520"/>
      <c r="BM405" s="520"/>
      <c r="BN405" s="1124"/>
      <c r="BO405" s="520"/>
      <c r="BP405" s="520"/>
      <c r="BQ405" s="520"/>
      <c r="BR405" s="520"/>
      <c r="BS405" s="1124"/>
      <c r="BT405" s="728"/>
      <c r="BU405" s="520"/>
      <c r="BV405" s="520"/>
      <c r="BW405" s="520"/>
      <c r="BX405" s="1122"/>
      <c r="BY405" s="520"/>
      <c r="BZ405" s="520"/>
      <c r="CA405" s="520"/>
      <c r="CB405" s="520"/>
      <c r="CC405" s="1122"/>
      <c r="CD405" s="1122"/>
      <c r="CE405" s="1122"/>
      <c r="CF405" s="1122"/>
      <c r="CG405" s="519"/>
    </row>
    <row r="406" spans="1:85" s="613" customFormat="1" x14ac:dyDescent="0.3">
      <c r="A406" s="478" t="s">
        <v>2031</v>
      </c>
      <c r="B406" s="523"/>
      <c r="C406" s="78"/>
      <c r="D406" s="78"/>
      <c r="E406" s="78"/>
      <c r="F406" s="78"/>
      <c r="G406" s="774"/>
      <c r="H406" s="774"/>
      <c r="I406" s="774"/>
      <c r="J406" s="774"/>
      <c r="K406" s="78"/>
      <c r="L406" s="774"/>
      <c r="M406" s="774"/>
      <c r="N406" s="774"/>
      <c r="O406" s="774"/>
      <c r="P406" s="78"/>
      <c r="Q406" s="774"/>
      <c r="R406" s="774"/>
      <c r="S406" s="774"/>
      <c r="T406" s="774"/>
      <c r="U406" s="78"/>
      <c r="V406" s="774"/>
      <c r="W406" s="774"/>
      <c r="X406" s="774"/>
      <c r="Y406" s="774"/>
      <c r="Z406" s="78"/>
      <c r="AA406" s="774"/>
      <c r="AB406" s="774"/>
      <c r="AC406" s="774"/>
      <c r="AD406" s="774"/>
      <c r="AE406" s="78"/>
      <c r="AF406" s="774"/>
      <c r="AG406" s="774"/>
      <c r="AH406" s="774"/>
      <c r="AI406" s="774"/>
      <c r="AJ406" s="78"/>
      <c r="AK406" s="774"/>
      <c r="AL406" s="774"/>
      <c r="AM406" s="774"/>
      <c r="AN406" s="774"/>
      <c r="AO406" s="78"/>
      <c r="AP406" s="774"/>
      <c r="AQ406" s="774"/>
      <c r="AR406" s="774"/>
      <c r="AS406" s="774"/>
      <c r="AT406" s="78"/>
      <c r="AU406" s="774"/>
      <c r="AV406" s="774"/>
      <c r="AW406" s="774"/>
      <c r="AX406" s="774"/>
      <c r="AY406" s="78"/>
      <c r="AZ406" s="774"/>
      <c r="BA406" s="774"/>
      <c r="BB406" s="774"/>
      <c r="BC406" s="774"/>
      <c r="BD406" s="78"/>
      <c r="BE406" s="774"/>
      <c r="BF406" s="774"/>
      <c r="BG406" s="774"/>
      <c r="BH406" s="774"/>
      <c r="BI406" s="1119">
        <v>5.6509999999999998</v>
      </c>
      <c r="BJ406" s="774"/>
      <c r="BK406" s="774"/>
      <c r="BL406" s="774"/>
      <c r="BM406" s="774"/>
      <c r="BN406" s="1119">
        <v>5.6509999999999998</v>
      </c>
      <c r="BO406" s="774"/>
      <c r="BP406" s="774"/>
      <c r="BQ406" s="774"/>
      <c r="BR406" s="774"/>
      <c r="BS406" s="78"/>
      <c r="BT406" s="775"/>
      <c r="BU406" s="774"/>
      <c r="BV406" s="774"/>
      <c r="BW406" s="774"/>
      <c r="BX406" s="78"/>
      <c r="BY406" s="774"/>
      <c r="BZ406" s="774"/>
      <c r="CA406" s="774"/>
      <c r="CB406" s="774"/>
      <c r="CC406" s="78"/>
      <c r="CD406" s="78"/>
      <c r="CE406" s="78"/>
      <c r="CF406" s="78"/>
      <c r="CG406" s="532"/>
    </row>
    <row r="407" spans="1:85" s="616" customFormat="1" x14ac:dyDescent="0.3">
      <c r="A407" s="522" t="s">
        <v>2032</v>
      </c>
      <c r="B407" s="527"/>
      <c r="C407" s="1124"/>
      <c r="D407" s="1124"/>
      <c r="E407" s="1124"/>
      <c r="F407" s="1124"/>
      <c r="G407" s="526"/>
      <c r="H407" s="526"/>
      <c r="I407" s="526"/>
      <c r="J407" s="526"/>
      <c r="K407" s="1124"/>
      <c r="L407" s="526"/>
      <c r="M407" s="526"/>
      <c r="N407" s="526"/>
      <c r="O407" s="526"/>
      <c r="P407" s="1124"/>
      <c r="Q407" s="526"/>
      <c r="R407" s="526"/>
      <c r="S407" s="526"/>
      <c r="T407" s="526"/>
      <c r="U407" s="1124"/>
      <c r="V407" s="526"/>
      <c r="W407" s="526"/>
      <c r="X407" s="526"/>
      <c r="Y407" s="526"/>
      <c r="Z407" s="1124"/>
      <c r="AA407" s="526"/>
      <c r="AB407" s="526"/>
      <c r="AC407" s="526"/>
      <c r="AD407" s="526"/>
      <c r="AE407" s="1124"/>
      <c r="AF407" s="526"/>
      <c r="AG407" s="526"/>
      <c r="AH407" s="526"/>
      <c r="AI407" s="526"/>
      <c r="AJ407" s="1124"/>
      <c r="AK407" s="526"/>
      <c r="AL407" s="526"/>
      <c r="AM407" s="526"/>
      <c r="AN407" s="526"/>
      <c r="AO407" s="1124"/>
      <c r="AP407" s="526"/>
      <c r="AQ407" s="526"/>
      <c r="AR407" s="526"/>
      <c r="AS407" s="526"/>
      <c r="AT407" s="1124"/>
      <c r="AU407" s="526"/>
      <c r="AV407" s="526"/>
      <c r="AW407" s="526"/>
      <c r="AX407" s="526"/>
      <c r="AY407" s="1124"/>
      <c r="AZ407" s="526"/>
      <c r="BA407" s="526"/>
      <c r="BB407" s="526"/>
      <c r="BC407" s="526"/>
      <c r="BD407" s="1124"/>
      <c r="BE407" s="526"/>
      <c r="BF407" s="526"/>
      <c r="BG407" s="526"/>
      <c r="BH407" s="526"/>
      <c r="BI407" s="1123">
        <v>294.95</v>
      </c>
      <c r="BJ407" s="526"/>
      <c r="BK407" s="526"/>
      <c r="BL407" s="526"/>
      <c r="BM407" s="526"/>
      <c r="BN407" s="1123">
        <v>294.95</v>
      </c>
      <c r="BO407" s="526"/>
      <c r="BP407" s="526"/>
      <c r="BQ407" s="526"/>
      <c r="BR407" s="526"/>
      <c r="BS407" s="1124"/>
      <c r="BT407" s="729"/>
      <c r="BU407" s="526"/>
      <c r="BV407" s="526"/>
      <c r="BW407" s="526"/>
      <c r="BX407" s="1124"/>
      <c r="BY407" s="526"/>
      <c r="BZ407" s="526"/>
      <c r="CA407" s="526"/>
      <c r="CB407" s="526"/>
      <c r="CC407" s="1124"/>
      <c r="CD407" s="1124"/>
      <c r="CE407" s="1124"/>
      <c r="CF407" s="1124"/>
      <c r="CG407" s="533"/>
    </row>
    <row r="408" spans="1:85" s="614" customFormat="1" x14ac:dyDescent="0.3">
      <c r="A408" s="522"/>
      <c r="B408" s="352"/>
      <c r="C408" s="1094"/>
      <c r="D408" s="1094"/>
      <c r="E408" s="1094"/>
      <c r="F408" s="1094"/>
      <c r="G408" s="197"/>
      <c r="H408" s="197"/>
      <c r="I408" s="197"/>
      <c r="J408" s="197"/>
      <c r="K408" s="1094"/>
      <c r="L408" s="197"/>
      <c r="M408" s="197"/>
      <c r="N408" s="197"/>
      <c r="O408" s="197"/>
      <c r="P408" s="1094"/>
      <c r="Q408" s="197"/>
      <c r="R408" s="197"/>
      <c r="S408" s="197"/>
      <c r="T408" s="197"/>
      <c r="U408" s="1094"/>
      <c r="V408" s="197"/>
      <c r="W408" s="197"/>
      <c r="X408" s="197"/>
      <c r="Y408" s="197"/>
      <c r="Z408" s="1094"/>
      <c r="AA408" s="197"/>
      <c r="AB408" s="197"/>
      <c r="AC408" s="197"/>
      <c r="AD408" s="197"/>
      <c r="AE408" s="1094"/>
      <c r="AF408" s="197"/>
      <c r="AG408" s="197"/>
      <c r="AH408" s="197"/>
      <c r="AI408" s="197"/>
      <c r="AJ408" s="1094"/>
      <c r="AK408" s="197"/>
      <c r="AL408" s="197"/>
      <c r="AM408" s="197"/>
      <c r="AN408" s="197"/>
      <c r="AO408" s="1094"/>
      <c r="AP408" s="197"/>
      <c r="AQ408" s="197"/>
      <c r="AR408" s="197"/>
      <c r="AS408" s="197"/>
      <c r="AT408" s="198"/>
      <c r="AU408" s="194"/>
      <c r="AV408" s="194"/>
      <c r="AW408" s="194"/>
      <c r="AX408" s="194"/>
      <c r="AY408" s="198"/>
      <c r="AZ408" s="194"/>
      <c r="BA408" s="194"/>
      <c r="BB408" s="194"/>
      <c r="BC408" s="194"/>
      <c r="BD408" s="198"/>
      <c r="BE408" s="197"/>
      <c r="BF408" s="197"/>
      <c r="BG408" s="197"/>
      <c r="BH408" s="197"/>
      <c r="BI408" s="1094"/>
      <c r="BJ408" s="197"/>
      <c r="BK408" s="197"/>
      <c r="BL408" s="197"/>
      <c r="BM408" s="197"/>
      <c r="BN408" s="1094"/>
      <c r="BO408" s="197"/>
      <c r="BP408" s="197"/>
      <c r="BQ408" s="197"/>
      <c r="BR408" s="197"/>
      <c r="BS408" s="1094"/>
      <c r="BT408" s="727"/>
      <c r="BU408" s="197"/>
      <c r="BV408" s="197"/>
      <c r="BW408" s="197"/>
      <c r="BX408" s="1094"/>
      <c r="BY408" s="197"/>
      <c r="BZ408" s="197"/>
      <c r="CA408" s="197"/>
      <c r="CB408" s="197"/>
      <c r="CC408" s="1094"/>
      <c r="CD408" s="1094"/>
      <c r="CE408" s="1094"/>
      <c r="CF408" s="1094"/>
      <c r="CG408" s="349"/>
    </row>
    <row r="409" spans="1:85" s="613" customFormat="1" x14ac:dyDescent="0.3">
      <c r="A409" s="478" t="s">
        <v>2382</v>
      </c>
      <c r="B409" s="523"/>
      <c r="C409" s="78"/>
      <c r="D409" s="78"/>
      <c r="E409" s="78"/>
      <c r="F409" s="78"/>
      <c r="G409" s="774"/>
      <c r="H409" s="774"/>
      <c r="I409" s="774"/>
      <c r="J409" s="774"/>
      <c r="K409" s="78"/>
      <c r="L409" s="774"/>
      <c r="M409" s="774"/>
      <c r="N409" s="774"/>
      <c r="O409" s="774"/>
      <c r="P409" s="78"/>
      <c r="Q409" s="774"/>
      <c r="R409" s="774"/>
      <c r="S409" s="774"/>
      <c r="T409" s="774"/>
      <c r="U409" s="78"/>
      <c r="V409" s="774"/>
      <c r="W409" s="774"/>
      <c r="X409" s="774"/>
      <c r="Y409" s="774"/>
      <c r="Z409" s="78"/>
      <c r="AA409" s="774"/>
      <c r="AB409" s="774"/>
      <c r="AC409" s="774"/>
      <c r="AD409" s="774"/>
      <c r="AE409" s="78"/>
      <c r="AF409" s="774"/>
      <c r="AG409" s="774"/>
      <c r="AH409" s="774"/>
      <c r="AI409" s="774"/>
      <c r="AJ409" s="78"/>
      <c r="AK409" s="774"/>
      <c r="AL409" s="774"/>
      <c r="AM409" s="774"/>
      <c r="AN409" s="774"/>
      <c r="AO409" s="78"/>
      <c r="AP409" s="774"/>
      <c r="AQ409" s="774"/>
      <c r="AR409" s="774"/>
      <c r="AS409" s="774"/>
      <c r="AT409" s="78"/>
      <c r="AU409" s="774"/>
      <c r="AV409" s="774"/>
      <c r="AW409" s="774"/>
      <c r="AX409" s="774"/>
      <c r="AY409" s="78"/>
      <c r="AZ409" s="774"/>
      <c r="BA409" s="774"/>
      <c r="BB409" s="774"/>
      <c r="BC409" s="774"/>
      <c r="BD409" s="78"/>
      <c r="BE409" s="774"/>
      <c r="BF409" s="774"/>
      <c r="BG409" s="774"/>
      <c r="BH409" s="774"/>
      <c r="BI409" s="78"/>
      <c r="BJ409" s="774"/>
      <c r="BK409" s="774"/>
      <c r="BL409" s="774"/>
      <c r="BM409" s="774"/>
      <c r="BN409" s="1119">
        <v>6.577</v>
      </c>
      <c r="BO409" s="774"/>
      <c r="BP409" s="774"/>
      <c r="BQ409" s="774"/>
      <c r="BR409" s="774"/>
      <c r="BS409" s="78"/>
      <c r="BT409" s="775"/>
      <c r="BU409" s="774"/>
      <c r="BV409" s="774"/>
      <c r="BW409" s="774"/>
      <c r="BX409" s="78"/>
      <c r="BY409" s="774"/>
      <c r="BZ409" s="774"/>
      <c r="CA409" s="774"/>
      <c r="CB409" s="774"/>
      <c r="CC409" s="78"/>
      <c r="CD409" s="78"/>
      <c r="CE409" s="78"/>
      <c r="CF409" s="78"/>
      <c r="CG409" s="532"/>
    </row>
    <row r="410" spans="1:85" s="613" customFormat="1" x14ac:dyDescent="0.3">
      <c r="A410" s="478" t="s">
        <v>2029</v>
      </c>
      <c r="B410" s="523"/>
      <c r="C410" s="78"/>
      <c r="D410" s="78"/>
      <c r="E410" s="78"/>
      <c r="F410" s="78"/>
      <c r="G410" s="774"/>
      <c r="H410" s="774"/>
      <c r="I410" s="774"/>
      <c r="J410" s="774"/>
      <c r="K410" s="78"/>
      <c r="L410" s="774"/>
      <c r="M410" s="774"/>
      <c r="N410" s="774"/>
      <c r="O410" s="774"/>
      <c r="P410" s="78"/>
      <c r="Q410" s="774"/>
      <c r="R410" s="774"/>
      <c r="S410" s="774"/>
      <c r="T410" s="774"/>
      <c r="U410" s="78"/>
      <c r="V410" s="774"/>
      <c r="W410" s="774"/>
      <c r="X410" s="774"/>
      <c r="Y410" s="774"/>
      <c r="Z410" s="78"/>
      <c r="AA410" s="774"/>
      <c r="AB410" s="774"/>
      <c r="AC410" s="774"/>
      <c r="AD410" s="774"/>
      <c r="AE410" s="78"/>
      <c r="AF410" s="774"/>
      <c r="AG410" s="774"/>
      <c r="AH410" s="774"/>
      <c r="AI410" s="774"/>
      <c r="AJ410" s="78"/>
      <c r="AK410" s="774"/>
      <c r="AL410" s="774"/>
      <c r="AM410" s="774"/>
      <c r="AN410" s="774"/>
      <c r="AO410" s="78"/>
      <c r="AP410" s="774"/>
      <c r="AQ410" s="774"/>
      <c r="AR410" s="774"/>
      <c r="AS410" s="774"/>
      <c r="AT410" s="78"/>
      <c r="AU410" s="774"/>
      <c r="AV410" s="774"/>
      <c r="AW410" s="774"/>
      <c r="AX410" s="774"/>
      <c r="AY410" s="78"/>
      <c r="AZ410" s="774"/>
      <c r="BA410" s="774"/>
      <c r="BB410" s="774"/>
      <c r="BC410" s="774"/>
      <c r="BD410" s="78"/>
      <c r="BE410" s="774"/>
      <c r="BF410" s="774"/>
      <c r="BG410" s="774"/>
      <c r="BH410" s="774"/>
      <c r="BI410" s="1119">
        <v>6.577</v>
      </c>
      <c r="BJ410" s="774"/>
      <c r="BK410" s="774"/>
      <c r="BL410" s="774"/>
      <c r="BM410" s="774"/>
      <c r="BN410" s="78"/>
      <c r="BO410" s="774"/>
      <c r="BP410" s="774"/>
      <c r="BQ410" s="774"/>
      <c r="BR410" s="774"/>
      <c r="BS410" s="78"/>
      <c r="BT410" s="775"/>
      <c r="BU410" s="774"/>
      <c r="BV410" s="774"/>
      <c r="BW410" s="774"/>
      <c r="BX410" s="78"/>
      <c r="BY410" s="774"/>
      <c r="BZ410" s="774"/>
      <c r="CA410" s="774"/>
      <c r="CB410" s="774"/>
      <c r="CC410" s="78"/>
      <c r="CD410" s="78"/>
      <c r="CE410" s="78"/>
      <c r="CF410" s="78"/>
      <c r="CG410" s="532"/>
    </row>
    <row r="411" spans="1:85" s="616" customFormat="1" x14ac:dyDescent="0.3">
      <c r="A411" s="522" t="s">
        <v>2030</v>
      </c>
      <c r="B411" s="527"/>
      <c r="C411" s="1124"/>
      <c r="D411" s="1124"/>
      <c r="E411" s="1124"/>
      <c r="F411" s="1124"/>
      <c r="G411" s="526"/>
      <c r="H411" s="526"/>
      <c r="I411" s="526"/>
      <c r="J411" s="526"/>
      <c r="K411" s="1124"/>
      <c r="L411" s="526"/>
      <c r="M411" s="526"/>
      <c r="N411" s="526"/>
      <c r="O411" s="526"/>
      <c r="P411" s="1124"/>
      <c r="Q411" s="526"/>
      <c r="R411" s="526"/>
      <c r="S411" s="526"/>
      <c r="T411" s="526"/>
      <c r="U411" s="1124"/>
      <c r="V411" s="526"/>
      <c r="W411" s="526"/>
      <c r="X411" s="526"/>
      <c r="Y411" s="526"/>
      <c r="Z411" s="1124"/>
      <c r="AA411" s="526"/>
      <c r="AB411" s="526"/>
      <c r="AC411" s="526"/>
      <c r="AD411" s="526"/>
      <c r="AE411" s="1124"/>
      <c r="AF411" s="526"/>
      <c r="AG411" s="526"/>
      <c r="AH411" s="526"/>
      <c r="AI411" s="526"/>
      <c r="AJ411" s="1124"/>
      <c r="AK411" s="526"/>
      <c r="AL411" s="526"/>
      <c r="AM411" s="526"/>
      <c r="AN411" s="526"/>
      <c r="AO411" s="1124"/>
      <c r="AP411" s="526"/>
      <c r="AQ411" s="526"/>
      <c r="AR411" s="526"/>
      <c r="AS411" s="526"/>
      <c r="AT411" s="1124"/>
      <c r="AU411" s="526"/>
      <c r="AV411" s="526"/>
      <c r="AW411" s="526"/>
      <c r="AX411" s="526"/>
      <c r="AY411" s="1124"/>
      <c r="AZ411" s="526"/>
      <c r="BA411" s="526"/>
      <c r="BB411" s="526"/>
      <c r="BC411" s="526"/>
      <c r="BD411" s="1124"/>
      <c r="BE411" s="526"/>
      <c r="BF411" s="526"/>
      <c r="BG411" s="526"/>
      <c r="BH411" s="526"/>
      <c r="BI411" s="1123">
        <v>361.99</v>
      </c>
      <c r="BJ411" s="526"/>
      <c r="BK411" s="526"/>
      <c r="BL411" s="526"/>
      <c r="BM411" s="526"/>
      <c r="BN411" s="1123">
        <v>361.99</v>
      </c>
      <c r="BO411" s="526"/>
      <c r="BP411" s="526"/>
      <c r="BQ411" s="526"/>
      <c r="BR411" s="526"/>
      <c r="BS411" s="1124"/>
      <c r="BT411" s="729"/>
      <c r="BU411" s="526"/>
      <c r="BV411" s="526"/>
      <c r="BW411" s="526"/>
      <c r="BX411" s="1124"/>
      <c r="BY411" s="526"/>
      <c r="BZ411" s="526"/>
      <c r="CA411" s="526"/>
      <c r="CB411" s="526"/>
      <c r="CC411" s="1124"/>
      <c r="CD411" s="1124"/>
      <c r="CE411" s="1124"/>
      <c r="CF411" s="1124"/>
      <c r="CG411" s="533"/>
    </row>
    <row r="412" spans="1:85" s="611" customFormat="1" x14ac:dyDescent="0.3">
      <c r="A412" s="522"/>
      <c r="B412" s="513"/>
      <c r="C412" s="198"/>
      <c r="D412" s="198"/>
      <c r="E412" s="198"/>
      <c r="F412" s="198"/>
      <c r="G412" s="194"/>
      <c r="H412" s="194"/>
      <c r="I412" s="194"/>
      <c r="J412" s="194"/>
      <c r="K412" s="198"/>
      <c r="L412" s="194"/>
      <c r="M412" s="194"/>
      <c r="N412" s="194"/>
      <c r="O412" s="194"/>
      <c r="P412" s="198"/>
      <c r="Q412" s="194"/>
      <c r="R412" s="194"/>
      <c r="S412" s="194"/>
      <c r="T412" s="194"/>
      <c r="U412" s="198"/>
      <c r="V412" s="194"/>
      <c r="W412" s="194"/>
      <c r="X412" s="194"/>
      <c r="Y412" s="194"/>
      <c r="Z412" s="198"/>
      <c r="AA412" s="194"/>
      <c r="AB412" s="194"/>
      <c r="AC412" s="194"/>
      <c r="AD412" s="194"/>
      <c r="AE412" s="198"/>
      <c r="AF412" s="194"/>
      <c r="AG412" s="194"/>
      <c r="AH412" s="194"/>
      <c r="AI412" s="194"/>
      <c r="AJ412" s="198"/>
      <c r="AK412" s="194"/>
      <c r="AL412" s="194"/>
      <c r="AM412" s="194"/>
      <c r="AN412" s="194"/>
      <c r="AO412" s="198"/>
      <c r="AP412" s="194"/>
      <c r="AQ412" s="194"/>
      <c r="AR412" s="194"/>
      <c r="AS412" s="194"/>
      <c r="AT412" s="198"/>
      <c r="AU412" s="194"/>
      <c r="AV412" s="194"/>
      <c r="AW412" s="194"/>
      <c r="AX412" s="194"/>
      <c r="AY412" s="198"/>
      <c r="AZ412" s="194"/>
      <c r="BA412" s="194"/>
      <c r="BB412" s="194"/>
      <c r="BC412" s="194"/>
      <c r="BD412" s="198"/>
      <c r="BE412" s="194"/>
      <c r="BF412" s="194"/>
      <c r="BG412" s="194"/>
      <c r="BH412" s="194"/>
      <c r="BI412" s="198"/>
      <c r="BJ412" s="194"/>
      <c r="BK412" s="194"/>
      <c r="BL412" s="194"/>
      <c r="BM412" s="194"/>
      <c r="BN412" s="198"/>
      <c r="BO412" s="194"/>
      <c r="BP412" s="194"/>
      <c r="BQ412" s="194"/>
      <c r="BR412" s="194"/>
      <c r="BS412" s="198"/>
      <c r="BT412" s="726"/>
      <c r="BU412" s="194"/>
      <c r="BV412" s="194"/>
      <c r="BW412" s="194"/>
      <c r="BX412" s="198"/>
      <c r="BY412" s="194"/>
      <c r="BZ412" s="194"/>
      <c r="CA412" s="194"/>
      <c r="CB412" s="194"/>
      <c r="CC412" s="198"/>
      <c r="CD412" s="198"/>
      <c r="CE412" s="198"/>
      <c r="CF412" s="198"/>
      <c r="CG412" s="347"/>
    </row>
    <row r="413" spans="1:85" s="613" customFormat="1" x14ac:dyDescent="0.3">
      <c r="A413" s="478" t="s">
        <v>2383</v>
      </c>
      <c r="B413" s="523"/>
      <c r="C413" s="78"/>
      <c r="D413" s="78"/>
      <c r="E413" s="78"/>
      <c r="F413" s="78"/>
      <c r="G413" s="774"/>
      <c r="H413" s="774"/>
      <c r="I413" s="774"/>
      <c r="J413" s="774"/>
      <c r="K413" s="78"/>
      <c r="L413" s="774"/>
      <c r="M413" s="774"/>
      <c r="N413" s="774"/>
      <c r="O413" s="774"/>
      <c r="P413" s="78"/>
      <c r="Q413" s="774"/>
      <c r="R413" s="774"/>
      <c r="S413" s="774"/>
      <c r="T413" s="774"/>
      <c r="U413" s="78"/>
      <c r="V413" s="774"/>
      <c r="W413" s="774"/>
      <c r="X413" s="774"/>
      <c r="Y413" s="774"/>
      <c r="Z413" s="78"/>
      <c r="AA413" s="774"/>
      <c r="AB413" s="774"/>
      <c r="AC413" s="774"/>
      <c r="AD413" s="774"/>
      <c r="AE413" s="78"/>
      <c r="AF413" s="774"/>
      <c r="AG413" s="774"/>
      <c r="AH413" s="774"/>
      <c r="AI413" s="774"/>
      <c r="AJ413" s="78"/>
      <c r="AK413" s="774"/>
      <c r="AL413" s="774"/>
      <c r="AM413" s="774"/>
      <c r="AN413" s="774"/>
      <c r="AO413" s="78"/>
      <c r="AP413" s="774"/>
      <c r="AQ413" s="774"/>
      <c r="AR413" s="774"/>
      <c r="AS413" s="774"/>
      <c r="AT413" s="78"/>
      <c r="AU413" s="774"/>
      <c r="AV413" s="774"/>
      <c r="AW413" s="774"/>
      <c r="AX413" s="774"/>
      <c r="AY413" s="78"/>
      <c r="AZ413" s="774"/>
      <c r="BA413" s="774"/>
      <c r="BB413" s="774"/>
      <c r="BC413" s="774"/>
      <c r="BD413" s="78"/>
      <c r="BE413" s="774"/>
      <c r="BF413" s="774"/>
      <c r="BG413" s="774"/>
      <c r="BH413" s="774"/>
      <c r="BI413" s="78"/>
      <c r="BJ413" s="774"/>
      <c r="BK413" s="774"/>
      <c r="BL413" s="774"/>
      <c r="BM413" s="774"/>
      <c r="BN413" s="1119">
        <v>11.513999999999999</v>
      </c>
      <c r="BO413" s="774"/>
      <c r="BP413" s="774"/>
      <c r="BQ413" s="774"/>
      <c r="BR413" s="774"/>
      <c r="BS413" s="78"/>
      <c r="BT413" s="775"/>
      <c r="BU413" s="774"/>
      <c r="BV413" s="774"/>
      <c r="BW413" s="774"/>
      <c r="BX413" s="78"/>
      <c r="BY413" s="774"/>
      <c r="BZ413" s="774"/>
      <c r="CA413" s="774"/>
      <c r="CB413" s="774"/>
      <c r="CC413" s="78"/>
      <c r="CD413" s="78"/>
      <c r="CE413" s="78"/>
      <c r="CF413" s="78"/>
      <c r="CG413" s="532"/>
    </row>
    <row r="414" spans="1:85" s="613" customFormat="1" x14ac:dyDescent="0.3">
      <c r="A414" s="478" t="s">
        <v>2033</v>
      </c>
      <c r="B414" s="523"/>
      <c r="C414" s="78"/>
      <c r="D414" s="78"/>
      <c r="E414" s="78"/>
      <c r="F414" s="78"/>
      <c r="G414" s="774"/>
      <c r="H414" s="774"/>
      <c r="I414" s="774"/>
      <c r="J414" s="774"/>
      <c r="K414" s="78"/>
      <c r="L414" s="774"/>
      <c r="M414" s="774"/>
      <c r="N414" s="774"/>
      <c r="O414" s="774"/>
      <c r="P414" s="78"/>
      <c r="Q414" s="774"/>
      <c r="R414" s="774"/>
      <c r="S414" s="774"/>
      <c r="T414" s="774"/>
      <c r="U414" s="78"/>
      <c r="V414" s="774"/>
      <c r="W414" s="774"/>
      <c r="X414" s="774"/>
      <c r="Y414" s="774"/>
      <c r="Z414" s="78"/>
      <c r="AA414" s="774"/>
      <c r="AB414" s="774"/>
      <c r="AC414" s="774"/>
      <c r="AD414" s="774"/>
      <c r="AE414" s="78"/>
      <c r="AF414" s="774"/>
      <c r="AG414" s="774"/>
      <c r="AH414" s="774"/>
      <c r="AI414" s="774"/>
      <c r="AJ414" s="78"/>
      <c r="AK414" s="774"/>
      <c r="AL414" s="774"/>
      <c r="AM414" s="774"/>
      <c r="AN414" s="774"/>
      <c r="AO414" s="78"/>
      <c r="AP414" s="774"/>
      <c r="AQ414" s="774"/>
      <c r="AR414" s="774"/>
      <c r="AS414" s="774"/>
      <c r="AT414" s="78"/>
      <c r="AU414" s="774"/>
      <c r="AV414" s="774"/>
      <c r="AW414" s="774"/>
      <c r="AX414" s="774"/>
      <c r="AY414" s="78"/>
      <c r="AZ414" s="774"/>
      <c r="BA414" s="774"/>
      <c r="BB414" s="774"/>
      <c r="BC414" s="774"/>
      <c r="BD414" s="78"/>
      <c r="BE414" s="774"/>
      <c r="BF414" s="774"/>
      <c r="BG414" s="774"/>
      <c r="BH414" s="774"/>
      <c r="BI414" s="1119">
        <v>11.513999999999999</v>
      </c>
      <c r="BJ414" s="774"/>
      <c r="BK414" s="774"/>
      <c r="BL414" s="774"/>
      <c r="BM414" s="774"/>
      <c r="BN414" s="78"/>
      <c r="BO414" s="774"/>
      <c r="BP414" s="774"/>
      <c r="BQ414" s="774"/>
      <c r="BR414" s="774"/>
      <c r="BS414" s="78"/>
      <c r="BT414" s="775"/>
      <c r="BU414" s="774"/>
      <c r="BV414" s="774"/>
      <c r="BW414" s="774"/>
      <c r="BX414" s="78"/>
      <c r="BY414" s="774"/>
      <c r="BZ414" s="774"/>
      <c r="CA414" s="774"/>
      <c r="CB414" s="774"/>
      <c r="CC414" s="78"/>
      <c r="CD414" s="78"/>
      <c r="CE414" s="78"/>
      <c r="CF414" s="78"/>
      <c r="CG414" s="532"/>
    </row>
    <row r="415" spans="1:85" s="616" customFormat="1" x14ac:dyDescent="0.3">
      <c r="A415" s="522" t="s">
        <v>2034</v>
      </c>
      <c r="B415" s="527"/>
      <c r="C415" s="1124"/>
      <c r="D415" s="1124"/>
      <c r="E415" s="1124"/>
      <c r="F415" s="1124"/>
      <c r="G415" s="526"/>
      <c r="H415" s="526"/>
      <c r="I415" s="526"/>
      <c r="J415" s="526"/>
      <c r="K415" s="1124"/>
      <c r="L415" s="526"/>
      <c r="M415" s="526"/>
      <c r="N415" s="526"/>
      <c r="O415" s="526"/>
      <c r="P415" s="1124"/>
      <c r="Q415" s="526"/>
      <c r="R415" s="526"/>
      <c r="S415" s="526"/>
      <c r="T415" s="526"/>
      <c r="U415" s="1124"/>
      <c r="V415" s="526"/>
      <c r="W415" s="526"/>
      <c r="X415" s="526"/>
      <c r="Y415" s="526"/>
      <c r="Z415" s="1124"/>
      <c r="AA415" s="526"/>
      <c r="AB415" s="526"/>
      <c r="AC415" s="526"/>
      <c r="AD415" s="526"/>
      <c r="AE415" s="1124"/>
      <c r="AF415" s="526"/>
      <c r="AG415" s="526"/>
      <c r="AH415" s="526"/>
      <c r="AI415" s="526"/>
      <c r="AJ415" s="1124"/>
      <c r="AK415" s="526"/>
      <c r="AL415" s="526"/>
      <c r="AM415" s="526"/>
      <c r="AN415" s="526"/>
      <c r="AO415" s="1124"/>
      <c r="AP415" s="526"/>
      <c r="AQ415" s="526"/>
      <c r="AR415" s="526"/>
      <c r="AS415" s="526"/>
      <c r="AT415" s="1124"/>
      <c r="AU415" s="526"/>
      <c r="AV415" s="526"/>
      <c r="AW415" s="526"/>
      <c r="AX415" s="526"/>
      <c r="AY415" s="1124"/>
      <c r="AZ415" s="526"/>
      <c r="BA415" s="526"/>
      <c r="BB415" s="526"/>
      <c r="BC415" s="526"/>
      <c r="BD415" s="1124"/>
      <c r="BE415" s="526"/>
      <c r="BF415" s="526"/>
      <c r="BG415" s="526"/>
      <c r="BH415" s="526"/>
      <c r="BI415" s="1123">
        <v>313.48</v>
      </c>
      <c r="BJ415" s="526"/>
      <c r="BK415" s="526"/>
      <c r="BL415" s="526"/>
      <c r="BM415" s="526"/>
      <c r="BN415" s="1123">
        <v>313.48</v>
      </c>
      <c r="BO415" s="526"/>
      <c r="BP415" s="526"/>
      <c r="BQ415" s="526"/>
      <c r="BR415" s="526"/>
      <c r="BS415" s="1124"/>
      <c r="BT415" s="729"/>
      <c r="BU415" s="526"/>
      <c r="BV415" s="526"/>
      <c r="BW415" s="526"/>
      <c r="BX415" s="1124"/>
      <c r="BY415" s="526"/>
      <c r="BZ415" s="526"/>
      <c r="CA415" s="526"/>
      <c r="CB415" s="526"/>
      <c r="CC415" s="1124"/>
      <c r="CD415" s="1124"/>
      <c r="CE415" s="1124"/>
      <c r="CF415" s="1124"/>
      <c r="CG415" s="533"/>
    </row>
    <row r="416" spans="1:85" s="611" customFormat="1" x14ac:dyDescent="0.3">
      <c r="A416" s="522"/>
      <c r="B416" s="513"/>
      <c r="C416" s="198"/>
      <c r="D416" s="198"/>
      <c r="E416" s="198"/>
      <c r="F416" s="198"/>
      <c r="G416" s="194"/>
      <c r="H416" s="194"/>
      <c r="I416" s="194"/>
      <c r="J416" s="194"/>
      <c r="K416" s="198"/>
      <c r="L416" s="194"/>
      <c r="M416" s="194"/>
      <c r="N416" s="194"/>
      <c r="O416" s="194"/>
      <c r="P416" s="198"/>
      <c r="Q416" s="194"/>
      <c r="R416" s="194"/>
      <c r="S416" s="194"/>
      <c r="T416" s="194"/>
      <c r="U416" s="198"/>
      <c r="V416" s="194"/>
      <c r="W416" s="194"/>
      <c r="X416" s="194"/>
      <c r="Y416" s="194"/>
      <c r="Z416" s="198"/>
      <c r="AA416" s="194"/>
      <c r="AB416" s="194"/>
      <c r="AC416" s="194"/>
      <c r="AD416" s="194"/>
      <c r="AE416" s="198"/>
      <c r="AF416" s="194"/>
      <c r="AG416" s="194"/>
      <c r="AH416" s="194"/>
      <c r="AI416" s="194"/>
      <c r="AJ416" s="198"/>
      <c r="AK416" s="194"/>
      <c r="AL416" s="194"/>
      <c r="AM416" s="194"/>
      <c r="AN416" s="194"/>
      <c r="AO416" s="198"/>
      <c r="AP416" s="194"/>
      <c r="AQ416" s="194"/>
      <c r="AR416" s="194"/>
      <c r="AS416" s="194"/>
      <c r="AT416" s="198"/>
      <c r="AU416" s="194"/>
      <c r="AV416" s="194"/>
      <c r="AW416" s="194"/>
      <c r="AX416" s="194"/>
      <c r="AY416" s="198"/>
      <c r="AZ416" s="194"/>
      <c r="BA416" s="194"/>
      <c r="BB416" s="194"/>
      <c r="BC416" s="194"/>
      <c r="BD416" s="198"/>
      <c r="BE416" s="194"/>
      <c r="BF416" s="194"/>
      <c r="BG416" s="194"/>
      <c r="BH416" s="194"/>
      <c r="BI416" s="198"/>
      <c r="BJ416" s="194"/>
      <c r="BK416" s="194"/>
      <c r="BL416" s="194"/>
      <c r="BM416" s="194"/>
      <c r="BN416" s="198"/>
      <c r="BO416" s="194"/>
      <c r="BP416" s="194"/>
      <c r="BQ416" s="194"/>
      <c r="BR416" s="194"/>
      <c r="BS416" s="198"/>
      <c r="BT416" s="726"/>
      <c r="BU416" s="194"/>
      <c r="BV416" s="194"/>
      <c r="BW416" s="194"/>
      <c r="BX416" s="198"/>
      <c r="BY416" s="194"/>
      <c r="BZ416" s="194"/>
      <c r="CA416" s="194"/>
      <c r="CB416" s="194"/>
      <c r="CC416" s="198"/>
      <c r="CD416" s="198"/>
      <c r="CE416" s="198"/>
      <c r="CF416" s="198"/>
      <c r="CG416" s="347"/>
    </row>
    <row r="417" spans="1:85" s="613" customFormat="1" x14ac:dyDescent="0.3">
      <c r="A417" s="478" t="s">
        <v>2384</v>
      </c>
      <c r="B417" s="523"/>
      <c r="C417" s="78"/>
      <c r="D417" s="78"/>
      <c r="E417" s="78"/>
      <c r="F417" s="78"/>
      <c r="G417" s="774"/>
      <c r="H417" s="774"/>
      <c r="I417" s="774"/>
      <c r="J417" s="774"/>
      <c r="K417" s="78"/>
      <c r="L417" s="774"/>
      <c r="M417" s="774"/>
      <c r="N417" s="774"/>
      <c r="O417" s="774"/>
      <c r="P417" s="78"/>
      <c r="Q417" s="774"/>
      <c r="R417" s="774"/>
      <c r="S417" s="774"/>
      <c r="T417" s="774"/>
      <c r="U417" s="78"/>
      <c r="V417" s="774"/>
      <c r="W417" s="774"/>
      <c r="X417" s="774"/>
      <c r="Y417" s="774"/>
      <c r="Z417" s="78"/>
      <c r="AA417" s="774"/>
      <c r="AB417" s="774"/>
      <c r="AC417" s="774"/>
      <c r="AD417" s="774"/>
      <c r="AE417" s="78"/>
      <c r="AF417" s="774"/>
      <c r="AG417" s="774"/>
      <c r="AH417" s="774"/>
      <c r="AI417" s="774"/>
      <c r="AJ417" s="78"/>
      <c r="AK417" s="774"/>
      <c r="AL417" s="774"/>
      <c r="AM417" s="774"/>
      <c r="AN417" s="774"/>
      <c r="AO417" s="78"/>
      <c r="AP417" s="774"/>
      <c r="AQ417" s="774"/>
      <c r="AR417" s="774"/>
      <c r="AS417" s="774"/>
      <c r="AT417" s="78"/>
      <c r="AU417" s="774"/>
      <c r="AV417" s="774"/>
      <c r="AW417" s="774"/>
      <c r="AX417" s="774"/>
      <c r="AY417" s="78"/>
      <c r="AZ417" s="774"/>
      <c r="BA417" s="774"/>
      <c r="BB417" s="774"/>
      <c r="BC417" s="774"/>
      <c r="BD417" s="78"/>
      <c r="BE417" s="774"/>
      <c r="BF417" s="774"/>
      <c r="BG417" s="774"/>
      <c r="BH417" s="774"/>
      <c r="BI417" s="78"/>
      <c r="BJ417" s="774"/>
      <c r="BK417" s="774"/>
      <c r="BL417" s="774"/>
      <c r="BM417" s="774"/>
      <c r="BN417" s="1119">
        <v>10.363</v>
      </c>
      <c r="BO417" s="774"/>
      <c r="BP417" s="774"/>
      <c r="BQ417" s="774"/>
      <c r="BR417" s="774"/>
      <c r="BS417" s="78"/>
      <c r="BT417" s="775"/>
      <c r="BU417" s="774"/>
      <c r="BV417" s="774"/>
      <c r="BW417" s="774"/>
      <c r="BX417" s="78"/>
      <c r="BY417" s="774"/>
      <c r="BZ417" s="774"/>
      <c r="CA417" s="774"/>
      <c r="CB417" s="774"/>
      <c r="CC417" s="78"/>
      <c r="CD417" s="78"/>
      <c r="CE417" s="78"/>
      <c r="CF417" s="78"/>
      <c r="CG417" s="532"/>
    </row>
    <row r="418" spans="1:85" s="613" customFormat="1" x14ac:dyDescent="0.3">
      <c r="A418" s="478" t="s">
        <v>2035</v>
      </c>
      <c r="B418" s="523"/>
      <c r="C418" s="78"/>
      <c r="D418" s="78"/>
      <c r="E418" s="78"/>
      <c r="F418" s="78"/>
      <c r="G418" s="774"/>
      <c r="H418" s="774"/>
      <c r="I418" s="774"/>
      <c r="J418" s="774"/>
      <c r="K418" s="78"/>
      <c r="L418" s="774"/>
      <c r="M418" s="774"/>
      <c r="N418" s="774"/>
      <c r="O418" s="774"/>
      <c r="P418" s="78"/>
      <c r="Q418" s="774"/>
      <c r="R418" s="774"/>
      <c r="S418" s="774"/>
      <c r="T418" s="774"/>
      <c r="U418" s="78"/>
      <c r="V418" s="774"/>
      <c r="W418" s="774"/>
      <c r="X418" s="774"/>
      <c r="Y418" s="774"/>
      <c r="Z418" s="78"/>
      <c r="AA418" s="774"/>
      <c r="AB418" s="774"/>
      <c r="AC418" s="774"/>
      <c r="AD418" s="774"/>
      <c r="AE418" s="78"/>
      <c r="AF418" s="774"/>
      <c r="AG418" s="774"/>
      <c r="AH418" s="774"/>
      <c r="AI418" s="774"/>
      <c r="AJ418" s="78"/>
      <c r="AK418" s="774"/>
      <c r="AL418" s="774"/>
      <c r="AM418" s="774"/>
      <c r="AN418" s="774"/>
      <c r="AO418" s="78"/>
      <c r="AP418" s="774"/>
      <c r="AQ418" s="774"/>
      <c r="AR418" s="774"/>
      <c r="AS418" s="774"/>
      <c r="AT418" s="78"/>
      <c r="AU418" s="774"/>
      <c r="AV418" s="774"/>
      <c r="AW418" s="774"/>
      <c r="AX418" s="774"/>
      <c r="AY418" s="78"/>
      <c r="AZ418" s="774"/>
      <c r="BA418" s="774"/>
      <c r="BB418" s="774"/>
      <c r="BC418" s="774"/>
      <c r="BD418" s="78"/>
      <c r="BE418" s="774"/>
      <c r="BF418" s="774"/>
      <c r="BG418" s="774"/>
      <c r="BH418" s="774"/>
      <c r="BI418" s="1119">
        <v>10.363</v>
      </c>
      <c r="BJ418" s="774"/>
      <c r="BK418" s="774"/>
      <c r="BL418" s="774"/>
      <c r="BM418" s="774"/>
      <c r="BN418" s="78"/>
      <c r="BO418" s="774"/>
      <c r="BP418" s="774"/>
      <c r="BQ418" s="774"/>
      <c r="BR418" s="774"/>
      <c r="BS418" s="78"/>
      <c r="BT418" s="775"/>
      <c r="BU418" s="774"/>
      <c r="BV418" s="774"/>
      <c r="BW418" s="774"/>
      <c r="BX418" s="78"/>
      <c r="BY418" s="774"/>
      <c r="BZ418" s="774"/>
      <c r="CA418" s="774"/>
      <c r="CB418" s="774"/>
      <c r="CC418" s="78"/>
      <c r="CD418" s="78"/>
      <c r="CE418" s="78"/>
      <c r="CF418" s="78"/>
      <c r="CG418" s="532"/>
    </row>
    <row r="419" spans="1:85" s="616" customFormat="1" x14ac:dyDescent="0.3">
      <c r="A419" s="522" t="s">
        <v>2036</v>
      </c>
      <c r="B419" s="527"/>
      <c r="C419" s="1124"/>
      <c r="D419" s="1124"/>
      <c r="E419" s="1124"/>
      <c r="F419" s="1124"/>
      <c r="G419" s="526"/>
      <c r="H419" s="526"/>
      <c r="I419" s="526"/>
      <c r="J419" s="526"/>
      <c r="K419" s="1124"/>
      <c r="L419" s="526"/>
      <c r="M419" s="526"/>
      <c r="N419" s="526"/>
      <c r="O419" s="526"/>
      <c r="P419" s="1124"/>
      <c r="Q419" s="526"/>
      <c r="R419" s="526"/>
      <c r="S419" s="526"/>
      <c r="T419" s="526"/>
      <c r="U419" s="1124"/>
      <c r="V419" s="526"/>
      <c r="W419" s="526"/>
      <c r="X419" s="526"/>
      <c r="Y419" s="526"/>
      <c r="Z419" s="1124"/>
      <c r="AA419" s="526"/>
      <c r="AB419" s="526"/>
      <c r="AC419" s="526"/>
      <c r="AD419" s="526"/>
      <c r="AE419" s="1124"/>
      <c r="AF419" s="526"/>
      <c r="AG419" s="526"/>
      <c r="AH419" s="526"/>
      <c r="AI419" s="526"/>
      <c r="AJ419" s="1124"/>
      <c r="AK419" s="526"/>
      <c r="AL419" s="526"/>
      <c r="AM419" s="526"/>
      <c r="AN419" s="526"/>
      <c r="AO419" s="1124"/>
      <c r="AP419" s="526"/>
      <c r="AQ419" s="526"/>
      <c r="AR419" s="526"/>
      <c r="AS419" s="526"/>
      <c r="AT419" s="1124"/>
      <c r="AU419" s="526"/>
      <c r="AV419" s="526"/>
      <c r="AW419" s="526"/>
      <c r="AX419" s="526"/>
      <c r="AY419" s="1124"/>
      <c r="AZ419" s="526"/>
      <c r="BA419" s="526"/>
      <c r="BB419" s="526"/>
      <c r="BC419" s="526"/>
      <c r="BD419" s="1124"/>
      <c r="BE419" s="526"/>
      <c r="BF419" s="526"/>
      <c r="BG419" s="526"/>
      <c r="BH419" s="526"/>
      <c r="BI419" s="1123">
        <v>348.28</v>
      </c>
      <c r="BJ419" s="526"/>
      <c r="BK419" s="526"/>
      <c r="BL419" s="526"/>
      <c r="BM419" s="526"/>
      <c r="BN419" s="1123">
        <v>348.28</v>
      </c>
      <c r="BO419" s="526"/>
      <c r="BP419" s="526"/>
      <c r="BQ419" s="526"/>
      <c r="BR419" s="526"/>
      <c r="BS419" s="1124"/>
      <c r="BT419" s="729"/>
      <c r="BU419" s="526"/>
      <c r="BV419" s="526"/>
      <c r="BW419" s="526"/>
      <c r="BX419" s="1124"/>
      <c r="BY419" s="526"/>
      <c r="BZ419" s="526"/>
      <c r="CA419" s="526"/>
      <c r="CB419" s="526"/>
      <c r="CC419" s="1124"/>
      <c r="CD419" s="1124"/>
      <c r="CE419" s="1124"/>
      <c r="CF419" s="1124"/>
      <c r="CG419" s="533"/>
    </row>
    <row r="420" spans="1:85" s="611" customFormat="1" x14ac:dyDescent="0.3">
      <c r="A420" s="522"/>
      <c r="B420" s="513"/>
      <c r="C420" s="198"/>
      <c r="D420" s="198"/>
      <c r="E420" s="198"/>
      <c r="F420" s="198"/>
      <c r="G420" s="194"/>
      <c r="H420" s="194"/>
      <c r="I420" s="194"/>
      <c r="J420" s="194"/>
      <c r="K420" s="198"/>
      <c r="L420" s="194"/>
      <c r="M420" s="194"/>
      <c r="N420" s="194"/>
      <c r="O420" s="194"/>
      <c r="P420" s="198"/>
      <c r="Q420" s="194"/>
      <c r="R420" s="194"/>
      <c r="S420" s="194"/>
      <c r="T420" s="194"/>
      <c r="U420" s="198"/>
      <c r="V420" s="194"/>
      <c r="W420" s="194"/>
      <c r="X420" s="194"/>
      <c r="Y420" s="194"/>
      <c r="Z420" s="198"/>
      <c r="AA420" s="194"/>
      <c r="AB420" s="194"/>
      <c r="AC420" s="194"/>
      <c r="AD420" s="194"/>
      <c r="AE420" s="198"/>
      <c r="AF420" s="194"/>
      <c r="AG420" s="194"/>
      <c r="AH420" s="194"/>
      <c r="AI420" s="194"/>
      <c r="AJ420" s="198"/>
      <c r="AK420" s="194"/>
      <c r="AL420" s="194"/>
      <c r="AM420" s="194"/>
      <c r="AN420" s="194"/>
      <c r="AO420" s="198"/>
      <c r="AP420" s="194"/>
      <c r="AQ420" s="194"/>
      <c r="AR420" s="194"/>
      <c r="AS420" s="194"/>
      <c r="AT420" s="198"/>
      <c r="AU420" s="194"/>
      <c r="AV420" s="194"/>
      <c r="AW420" s="194"/>
      <c r="AX420" s="194"/>
      <c r="AY420" s="198"/>
      <c r="AZ420" s="194"/>
      <c r="BA420" s="194"/>
      <c r="BB420" s="194"/>
      <c r="BC420" s="194"/>
      <c r="BD420" s="198"/>
      <c r="BE420" s="194"/>
      <c r="BF420" s="194"/>
      <c r="BG420" s="194"/>
      <c r="BH420" s="194"/>
      <c r="BI420" s="198"/>
      <c r="BJ420" s="194"/>
      <c r="BK420" s="194"/>
      <c r="BL420" s="194"/>
      <c r="BM420" s="194"/>
      <c r="BN420" s="198"/>
      <c r="BO420" s="194"/>
      <c r="BP420" s="194"/>
      <c r="BQ420" s="194"/>
      <c r="BR420" s="194"/>
      <c r="BS420" s="198"/>
      <c r="BT420" s="726"/>
      <c r="BU420" s="194"/>
      <c r="BV420" s="194"/>
      <c r="BW420" s="194"/>
      <c r="BX420" s="198"/>
      <c r="BY420" s="194"/>
      <c r="BZ420" s="194"/>
      <c r="CA420" s="194"/>
      <c r="CB420" s="194"/>
      <c r="CC420" s="198"/>
      <c r="CD420" s="198"/>
      <c r="CE420" s="198"/>
      <c r="CF420" s="198"/>
      <c r="CG420" s="347"/>
    </row>
    <row r="421" spans="1:85" s="613" customFormat="1" x14ac:dyDescent="0.3">
      <c r="A421" s="478" t="s">
        <v>2385</v>
      </c>
      <c r="B421" s="523"/>
      <c r="C421" s="78"/>
      <c r="D421" s="78"/>
      <c r="E421" s="78"/>
      <c r="F421" s="78"/>
      <c r="G421" s="774"/>
      <c r="H421" s="774"/>
      <c r="I421" s="774"/>
      <c r="J421" s="774"/>
      <c r="K421" s="78"/>
      <c r="L421" s="774"/>
      <c r="M421" s="774"/>
      <c r="N421" s="774"/>
      <c r="O421" s="774"/>
      <c r="P421" s="78"/>
      <c r="Q421" s="774"/>
      <c r="R421" s="774"/>
      <c r="S421" s="774"/>
      <c r="T421" s="774"/>
      <c r="U421" s="78"/>
      <c r="V421" s="774"/>
      <c r="W421" s="774"/>
      <c r="X421" s="774"/>
      <c r="Y421" s="774"/>
      <c r="Z421" s="78"/>
      <c r="AA421" s="774"/>
      <c r="AB421" s="774"/>
      <c r="AC421" s="774"/>
      <c r="AD421" s="774"/>
      <c r="AE421" s="78"/>
      <c r="AF421" s="774"/>
      <c r="AG421" s="774"/>
      <c r="AH421" s="774"/>
      <c r="AI421" s="774"/>
      <c r="AJ421" s="78"/>
      <c r="AK421" s="774"/>
      <c r="AL421" s="774"/>
      <c r="AM421" s="774"/>
      <c r="AN421" s="774"/>
      <c r="AO421" s="78"/>
      <c r="AP421" s="774"/>
      <c r="AQ421" s="774"/>
      <c r="AR421" s="774"/>
      <c r="AS421" s="774"/>
      <c r="AT421" s="78"/>
      <c r="AU421" s="774"/>
      <c r="AV421" s="774"/>
      <c r="AW421" s="774"/>
      <c r="AX421" s="774"/>
      <c r="AY421" s="78"/>
      <c r="AZ421" s="774"/>
      <c r="BA421" s="774"/>
      <c r="BB421" s="774"/>
      <c r="BC421" s="774"/>
      <c r="BD421" s="78"/>
      <c r="BE421" s="774"/>
      <c r="BF421" s="774"/>
      <c r="BG421" s="774"/>
      <c r="BH421" s="774"/>
      <c r="BI421" s="78"/>
      <c r="BJ421" s="774"/>
      <c r="BK421" s="774"/>
      <c r="BL421" s="774"/>
      <c r="BM421" s="774"/>
      <c r="BN421" s="1119">
        <v>11.135999999999999</v>
      </c>
      <c r="BO421" s="774"/>
      <c r="BP421" s="774"/>
      <c r="BQ421" s="774"/>
      <c r="BR421" s="774"/>
      <c r="BS421" s="78"/>
      <c r="BT421" s="775"/>
      <c r="BU421" s="774"/>
      <c r="BV421" s="774"/>
      <c r="BW421" s="774"/>
      <c r="BX421" s="78"/>
      <c r="BY421" s="774"/>
      <c r="BZ421" s="774"/>
      <c r="CA421" s="774"/>
      <c r="CB421" s="774"/>
      <c r="CC421" s="78"/>
      <c r="CD421" s="78"/>
      <c r="CE421" s="78"/>
      <c r="CF421" s="78"/>
      <c r="CG421" s="532"/>
    </row>
    <row r="422" spans="1:85" s="613" customFormat="1" x14ac:dyDescent="0.3">
      <c r="A422" s="478" t="s">
        <v>2037</v>
      </c>
      <c r="B422" s="523"/>
      <c r="C422" s="78"/>
      <c r="D422" s="78"/>
      <c r="E422" s="78"/>
      <c r="F422" s="78"/>
      <c r="G422" s="774"/>
      <c r="H422" s="774"/>
      <c r="I422" s="774"/>
      <c r="J422" s="774"/>
      <c r="K422" s="78"/>
      <c r="L422" s="774"/>
      <c r="M422" s="774"/>
      <c r="N422" s="774"/>
      <c r="O422" s="774"/>
      <c r="P422" s="78"/>
      <c r="Q422" s="774"/>
      <c r="R422" s="774"/>
      <c r="S422" s="774"/>
      <c r="T422" s="774"/>
      <c r="U422" s="78"/>
      <c r="V422" s="774"/>
      <c r="W422" s="774"/>
      <c r="X422" s="774"/>
      <c r="Y422" s="774"/>
      <c r="Z422" s="78"/>
      <c r="AA422" s="774"/>
      <c r="AB422" s="774"/>
      <c r="AC422" s="774"/>
      <c r="AD422" s="774"/>
      <c r="AE422" s="78"/>
      <c r="AF422" s="774"/>
      <c r="AG422" s="774"/>
      <c r="AH422" s="774"/>
      <c r="AI422" s="774"/>
      <c r="AJ422" s="78"/>
      <c r="AK422" s="774"/>
      <c r="AL422" s="774"/>
      <c r="AM422" s="774"/>
      <c r="AN422" s="774"/>
      <c r="AO422" s="78"/>
      <c r="AP422" s="774"/>
      <c r="AQ422" s="774"/>
      <c r="AR422" s="774"/>
      <c r="AS422" s="774"/>
      <c r="AT422" s="78"/>
      <c r="AU422" s="774"/>
      <c r="AV422" s="774"/>
      <c r="AW422" s="774"/>
      <c r="AX422" s="774"/>
      <c r="AY422" s="78"/>
      <c r="AZ422" s="774"/>
      <c r="BA422" s="774"/>
      <c r="BB422" s="774"/>
      <c r="BC422" s="774"/>
      <c r="BD422" s="78"/>
      <c r="BE422" s="774"/>
      <c r="BF422" s="774"/>
      <c r="BG422" s="774"/>
      <c r="BH422" s="774"/>
      <c r="BI422" s="1119">
        <v>11.135999999999999</v>
      </c>
      <c r="BJ422" s="774"/>
      <c r="BK422" s="774"/>
      <c r="BL422" s="774"/>
      <c r="BM422" s="774"/>
      <c r="BN422" s="78"/>
      <c r="BO422" s="774"/>
      <c r="BP422" s="774"/>
      <c r="BQ422" s="774"/>
      <c r="BR422" s="774"/>
      <c r="BS422" s="78"/>
      <c r="BT422" s="775"/>
      <c r="BU422" s="774"/>
      <c r="BV422" s="774"/>
      <c r="BW422" s="774"/>
      <c r="BX422" s="78"/>
      <c r="BY422" s="774"/>
      <c r="BZ422" s="774"/>
      <c r="CA422" s="774"/>
      <c r="CB422" s="774"/>
      <c r="CC422" s="78"/>
      <c r="CD422" s="78"/>
      <c r="CE422" s="78"/>
      <c r="CF422" s="78"/>
      <c r="CG422" s="532"/>
    </row>
    <row r="423" spans="1:85" s="616" customFormat="1" x14ac:dyDescent="0.3">
      <c r="A423" s="522" t="s">
        <v>2038</v>
      </c>
      <c r="B423" s="527"/>
      <c r="C423" s="1124"/>
      <c r="D423" s="1124"/>
      <c r="E423" s="1124"/>
      <c r="F423" s="1124"/>
      <c r="G423" s="526"/>
      <c r="H423" s="526"/>
      <c r="I423" s="526"/>
      <c r="J423" s="526"/>
      <c r="K423" s="1124"/>
      <c r="L423" s="526"/>
      <c r="M423" s="526"/>
      <c r="N423" s="526"/>
      <c r="O423" s="526"/>
      <c r="P423" s="1124"/>
      <c r="Q423" s="526"/>
      <c r="R423" s="526"/>
      <c r="S423" s="526"/>
      <c r="T423" s="526"/>
      <c r="U423" s="1124"/>
      <c r="V423" s="526"/>
      <c r="W423" s="526"/>
      <c r="X423" s="526"/>
      <c r="Y423" s="526"/>
      <c r="Z423" s="1124"/>
      <c r="AA423" s="526"/>
      <c r="AB423" s="526"/>
      <c r="AC423" s="526"/>
      <c r="AD423" s="526"/>
      <c r="AE423" s="1124"/>
      <c r="AF423" s="526"/>
      <c r="AG423" s="526"/>
      <c r="AH423" s="526"/>
      <c r="AI423" s="526"/>
      <c r="AJ423" s="1124"/>
      <c r="AK423" s="526"/>
      <c r="AL423" s="526"/>
      <c r="AM423" s="526"/>
      <c r="AN423" s="526"/>
      <c r="AO423" s="1124"/>
      <c r="AP423" s="526"/>
      <c r="AQ423" s="526"/>
      <c r="AR423" s="526"/>
      <c r="AS423" s="526"/>
      <c r="AT423" s="1124"/>
      <c r="AU423" s="526"/>
      <c r="AV423" s="526"/>
      <c r="AW423" s="526"/>
      <c r="AX423" s="526"/>
      <c r="AY423" s="1124"/>
      <c r="AZ423" s="526"/>
      <c r="BA423" s="526"/>
      <c r="BB423" s="526"/>
      <c r="BC423" s="526"/>
      <c r="BD423" s="1124"/>
      <c r="BE423" s="526"/>
      <c r="BF423" s="526"/>
      <c r="BG423" s="526"/>
      <c r="BH423" s="526"/>
      <c r="BI423" s="1123">
        <v>324.12</v>
      </c>
      <c r="BJ423" s="526"/>
      <c r="BK423" s="526"/>
      <c r="BL423" s="526"/>
      <c r="BM423" s="526"/>
      <c r="BN423" s="1123">
        <v>324.12</v>
      </c>
      <c r="BO423" s="526"/>
      <c r="BP423" s="526"/>
      <c r="BQ423" s="526"/>
      <c r="BR423" s="526"/>
      <c r="BS423" s="1124"/>
      <c r="BT423" s="729"/>
      <c r="BU423" s="526"/>
      <c r="BV423" s="526"/>
      <c r="BW423" s="526"/>
      <c r="BX423" s="1124"/>
      <c r="BY423" s="526"/>
      <c r="BZ423" s="526"/>
      <c r="CA423" s="526"/>
      <c r="CB423" s="526"/>
      <c r="CC423" s="1124"/>
      <c r="CD423" s="1124"/>
      <c r="CE423" s="1124"/>
      <c r="CF423" s="1124"/>
      <c r="CG423" s="533"/>
    </row>
    <row r="424" spans="1:85" s="611" customFormat="1" x14ac:dyDescent="0.3">
      <c r="A424" s="522"/>
      <c r="B424" s="513"/>
      <c r="C424" s="198"/>
      <c r="D424" s="198"/>
      <c r="E424" s="198"/>
      <c r="F424" s="198"/>
      <c r="G424" s="194"/>
      <c r="H424" s="194"/>
      <c r="I424" s="194"/>
      <c r="J424" s="194"/>
      <c r="K424" s="198"/>
      <c r="L424" s="194"/>
      <c r="M424" s="194"/>
      <c r="N424" s="194"/>
      <c r="O424" s="194"/>
      <c r="P424" s="198"/>
      <c r="Q424" s="194"/>
      <c r="R424" s="194"/>
      <c r="S424" s="194"/>
      <c r="T424" s="194"/>
      <c r="U424" s="198"/>
      <c r="V424" s="194"/>
      <c r="W424" s="194"/>
      <c r="X424" s="194"/>
      <c r="Y424" s="194"/>
      <c r="Z424" s="198"/>
      <c r="AA424" s="194"/>
      <c r="AB424" s="194"/>
      <c r="AC424" s="194"/>
      <c r="AD424" s="194"/>
      <c r="AE424" s="198"/>
      <c r="AF424" s="194"/>
      <c r="AG424" s="194"/>
      <c r="AH424" s="194"/>
      <c r="AI424" s="194"/>
      <c r="AJ424" s="198"/>
      <c r="AK424" s="194"/>
      <c r="AL424" s="194"/>
      <c r="AM424" s="194"/>
      <c r="AN424" s="194"/>
      <c r="AO424" s="198"/>
      <c r="AP424" s="194"/>
      <c r="AQ424" s="194"/>
      <c r="AR424" s="194"/>
      <c r="AS424" s="194"/>
      <c r="AT424" s="198"/>
      <c r="AU424" s="194"/>
      <c r="AV424" s="194"/>
      <c r="AW424" s="194"/>
      <c r="AX424" s="194"/>
      <c r="AY424" s="198"/>
      <c r="AZ424" s="194"/>
      <c r="BA424" s="194"/>
      <c r="BB424" s="194"/>
      <c r="BC424" s="194"/>
      <c r="BD424" s="198"/>
      <c r="BE424" s="194"/>
      <c r="BF424" s="194"/>
      <c r="BG424" s="194"/>
      <c r="BH424" s="194"/>
      <c r="BI424" s="198"/>
      <c r="BJ424" s="194"/>
      <c r="BK424" s="194"/>
      <c r="BL424" s="194"/>
      <c r="BM424" s="194"/>
      <c r="BN424" s="198"/>
      <c r="BO424" s="194"/>
      <c r="BP424" s="194"/>
      <c r="BQ424" s="194"/>
      <c r="BR424" s="194"/>
      <c r="BS424" s="198"/>
      <c r="BT424" s="726"/>
      <c r="BU424" s="194"/>
      <c r="BV424" s="194"/>
      <c r="BW424" s="194"/>
      <c r="BX424" s="198"/>
      <c r="BY424" s="194"/>
      <c r="BZ424" s="194"/>
      <c r="CA424" s="194"/>
      <c r="CB424" s="194"/>
      <c r="CC424" s="198"/>
      <c r="CD424" s="198"/>
      <c r="CE424" s="198"/>
      <c r="CF424" s="198"/>
      <c r="CG424" s="347"/>
    </row>
    <row r="425" spans="1:85" s="613" customFormat="1" x14ac:dyDescent="0.3">
      <c r="A425" s="478" t="s">
        <v>2386</v>
      </c>
      <c r="B425" s="523"/>
      <c r="C425" s="78"/>
      <c r="D425" s="78"/>
      <c r="E425" s="78"/>
      <c r="F425" s="78"/>
      <c r="G425" s="774"/>
      <c r="H425" s="774"/>
      <c r="I425" s="774"/>
      <c r="J425" s="774"/>
      <c r="K425" s="78"/>
      <c r="L425" s="774"/>
      <c r="M425" s="774"/>
      <c r="N425" s="774"/>
      <c r="O425" s="774"/>
      <c r="P425" s="78"/>
      <c r="Q425" s="774"/>
      <c r="R425" s="774"/>
      <c r="S425" s="774"/>
      <c r="T425" s="774"/>
      <c r="U425" s="78"/>
      <c r="V425" s="774"/>
      <c r="W425" s="774"/>
      <c r="X425" s="774"/>
      <c r="Y425" s="774"/>
      <c r="Z425" s="78"/>
      <c r="AA425" s="774"/>
      <c r="AB425" s="774"/>
      <c r="AC425" s="774"/>
      <c r="AD425" s="774"/>
      <c r="AE425" s="78"/>
      <c r="AF425" s="774"/>
      <c r="AG425" s="774"/>
      <c r="AH425" s="774"/>
      <c r="AI425" s="774"/>
      <c r="AJ425" s="78"/>
      <c r="AK425" s="774"/>
      <c r="AL425" s="774"/>
      <c r="AM425" s="774"/>
      <c r="AN425" s="774"/>
      <c r="AO425" s="78"/>
      <c r="AP425" s="774"/>
      <c r="AQ425" s="774"/>
      <c r="AR425" s="774"/>
      <c r="AS425" s="774"/>
      <c r="AT425" s="78"/>
      <c r="AU425" s="774"/>
      <c r="AV425" s="774"/>
      <c r="AW425" s="774"/>
      <c r="AX425" s="774"/>
      <c r="AY425" s="78"/>
      <c r="AZ425" s="774"/>
      <c r="BA425" s="774"/>
      <c r="BB425" s="774"/>
      <c r="BC425" s="774"/>
      <c r="BD425" s="78"/>
      <c r="BE425" s="774"/>
      <c r="BF425" s="774"/>
      <c r="BG425" s="774"/>
      <c r="BH425" s="774"/>
      <c r="BI425" s="78"/>
      <c r="BJ425" s="774"/>
      <c r="BK425" s="774"/>
      <c r="BL425" s="774"/>
      <c r="BM425" s="774"/>
      <c r="BN425" s="1119">
        <v>8.9540000000000006</v>
      </c>
      <c r="BO425" s="774"/>
      <c r="BP425" s="774"/>
      <c r="BQ425" s="774"/>
      <c r="BR425" s="774"/>
      <c r="BS425" s="78"/>
      <c r="BT425" s="775"/>
      <c r="BU425" s="774"/>
      <c r="BV425" s="774"/>
      <c r="BW425" s="774"/>
      <c r="BX425" s="78"/>
      <c r="BY425" s="774"/>
      <c r="BZ425" s="774"/>
      <c r="CA425" s="774"/>
      <c r="CB425" s="774"/>
      <c r="CC425" s="78"/>
      <c r="CD425" s="78"/>
      <c r="CE425" s="78"/>
      <c r="CF425" s="78"/>
      <c r="CG425" s="532"/>
    </row>
    <row r="426" spans="1:85" s="613" customFormat="1" x14ac:dyDescent="0.3">
      <c r="A426" s="478" t="s">
        <v>2039</v>
      </c>
      <c r="B426" s="523"/>
      <c r="C426" s="78"/>
      <c r="D426" s="78"/>
      <c r="E426" s="78"/>
      <c r="F426" s="78"/>
      <c r="G426" s="774"/>
      <c r="H426" s="774"/>
      <c r="I426" s="774"/>
      <c r="J426" s="774"/>
      <c r="K426" s="78"/>
      <c r="L426" s="774"/>
      <c r="M426" s="774"/>
      <c r="N426" s="774"/>
      <c r="O426" s="774"/>
      <c r="P426" s="78"/>
      <c r="Q426" s="774"/>
      <c r="R426" s="774"/>
      <c r="S426" s="774"/>
      <c r="T426" s="774"/>
      <c r="U426" s="78"/>
      <c r="V426" s="774"/>
      <c r="W426" s="774"/>
      <c r="X426" s="774"/>
      <c r="Y426" s="774"/>
      <c r="Z426" s="78"/>
      <c r="AA426" s="774"/>
      <c r="AB426" s="774"/>
      <c r="AC426" s="774"/>
      <c r="AD426" s="774"/>
      <c r="AE426" s="78"/>
      <c r="AF426" s="774"/>
      <c r="AG426" s="774"/>
      <c r="AH426" s="774"/>
      <c r="AI426" s="774"/>
      <c r="AJ426" s="78"/>
      <c r="AK426" s="774"/>
      <c r="AL426" s="774"/>
      <c r="AM426" s="774"/>
      <c r="AN426" s="774"/>
      <c r="AO426" s="78"/>
      <c r="AP426" s="774"/>
      <c r="AQ426" s="774"/>
      <c r="AR426" s="774"/>
      <c r="AS426" s="774"/>
      <c r="AT426" s="78"/>
      <c r="AU426" s="774"/>
      <c r="AV426" s="774"/>
      <c r="AW426" s="774"/>
      <c r="AX426" s="774"/>
      <c r="AY426" s="78"/>
      <c r="AZ426" s="774"/>
      <c r="BA426" s="774"/>
      <c r="BB426" s="774"/>
      <c r="BC426" s="774"/>
      <c r="BD426" s="78"/>
      <c r="BE426" s="774"/>
      <c r="BF426" s="774"/>
      <c r="BG426" s="774"/>
      <c r="BH426" s="774"/>
      <c r="BI426" s="1119">
        <v>8.9540000000000006</v>
      </c>
      <c r="BJ426" s="774"/>
      <c r="BK426" s="774"/>
      <c r="BL426" s="774"/>
      <c r="BM426" s="774"/>
      <c r="BN426" s="78"/>
      <c r="BO426" s="774"/>
      <c r="BP426" s="774"/>
      <c r="BQ426" s="774"/>
      <c r="BR426" s="774"/>
      <c r="BS426" s="78"/>
      <c r="BT426" s="775"/>
      <c r="BU426" s="774"/>
      <c r="BV426" s="774"/>
      <c r="BW426" s="774"/>
      <c r="BX426" s="78"/>
      <c r="BY426" s="774"/>
      <c r="BZ426" s="774"/>
      <c r="CA426" s="774"/>
      <c r="CB426" s="774"/>
      <c r="CC426" s="78"/>
      <c r="CD426" s="78"/>
      <c r="CE426" s="78"/>
      <c r="CF426" s="78"/>
      <c r="CG426" s="532"/>
    </row>
    <row r="427" spans="1:85" s="616" customFormat="1" x14ac:dyDescent="0.3">
      <c r="A427" s="522" t="s">
        <v>2040</v>
      </c>
      <c r="B427" s="527"/>
      <c r="C427" s="1124"/>
      <c r="D427" s="1124"/>
      <c r="E427" s="1124"/>
      <c r="F427" s="1124"/>
      <c r="G427" s="526"/>
      <c r="H427" s="526"/>
      <c r="I427" s="526"/>
      <c r="J427" s="526"/>
      <c r="K427" s="1124"/>
      <c r="L427" s="526"/>
      <c r="M427" s="526"/>
      <c r="N427" s="526"/>
      <c r="O427" s="526"/>
      <c r="P427" s="1124"/>
      <c r="Q427" s="526"/>
      <c r="R427" s="526"/>
      <c r="S427" s="526"/>
      <c r="T427" s="526"/>
      <c r="U427" s="1124"/>
      <c r="V427" s="526"/>
      <c r="W427" s="526"/>
      <c r="X427" s="526"/>
      <c r="Y427" s="526"/>
      <c r="Z427" s="1124"/>
      <c r="AA427" s="526"/>
      <c r="AB427" s="526"/>
      <c r="AC427" s="526"/>
      <c r="AD427" s="526"/>
      <c r="AE427" s="1124"/>
      <c r="AF427" s="526"/>
      <c r="AG427" s="526"/>
      <c r="AH427" s="526"/>
      <c r="AI427" s="526"/>
      <c r="AJ427" s="1124"/>
      <c r="AK427" s="526"/>
      <c r="AL427" s="526"/>
      <c r="AM427" s="526"/>
      <c r="AN427" s="526"/>
      <c r="AO427" s="1124"/>
      <c r="AP427" s="526"/>
      <c r="AQ427" s="526"/>
      <c r="AR427" s="526"/>
      <c r="AS427" s="526"/>
      <c r="AT427" s="1124"/>
      <c r="AU427" s="526"/>
      <c r="AV427" s="526"/>
      <c r="AW427" s="526"/>
      <c r="AX427" s="526"/>
      <c r="AY427" s="1124"/>
      <c r="AZ427" s="526"/>
      <c r="BA427" s="526"/>
      <c r="BB427" s="526"/>
      <c r="BC427" s="526"/>
      <c r="BD427" s="1124"/>
      <c r="BE427" s="526"/>
      <c r="BF427" s="526"/>
      <c r="BG427" s="526"/>
      <c r="BH427" s="526"/>
      <c r="BI427" s="1123">
        <v>403.13</v>
      </c>
      <c r="BJ427" s="526"/>
      <c r="BK427" s="526"/>
      <c r="BL427" s="526"/>
      <c r="BM427" s="526"/>
      <c r="BN427" s="1123">
        <v>403.13</v>
      </c>
      <c r="BO427" s="526"/>
      <c r="BP427" s="526"/>
      <c r="BQ427" s="526"/>
      <c r="BR427" s="526"/>
      <c r="BS427" s="1124"/>
      <c r="BT427" s="729"/>
      <c r="BU427" s="526"/>
      <c r="BV427" s="526"/>
      <c r="BW427" s="526"/>
      <c r="BX427" s="1124"/>
      <c r="BY427" s="526"/>
      <c r="BZ427" s="526"/>
      <c r="CA427" s="526"/>
      <c r="CB427" s="526"/>
      <c r="CC427" s="1124"/>
      <c r="CD427" s="1124"/>
      <c r="CE427" s="1124"/>
      <c r="CF427" s="1124"/>
      <c r="CG427" s="533"/>
    </row>
    <row r="428" spans="1:85" s="611" customFormat="1" x14ac:dyDescent="0.3">
      <c r="A428" s="522"/>
      <c r="B428" s="513"/>
      <c r="C428" s="198"/>
      <c r="D428" s="198"/>
      <c r="E428" s="198"/>
      <c r="F428" s="198"/>
      <c r="G428" s="194"/>
      <c r="H428" s="194"/>
      <c r="I428" s="194"/>
      <c r="J428" s="194"/>
      <c r="K428" s="198"/>
      <c r="L428" s="194"/>
      <c r="M428" s="194"/>
      <c r="N428" s="194"/>
      <c r="O428" s="194"/>
      <c r="P428" s="198"/>
      <c r="Q428" s="194"/>
      <c r="R428" s="194"/>
      <c r="S428" s="194"/>
      <c r="T428" s="194"/>
      <c r="U428" s="198"/>
      <c r="V428" s="194"/>
      <c r="W428" s="194"/>
      <c r="X428" s="194"/>
      <c r="Y428" s="194"/>
      <c r="Z428" s="198"/>
      <c r="AA428" s="194"/>
      <c r="AB428" s="194"/>
      <c r="AC428" s="194"/>
      <c r="AD428" s="194"/>
      <c r="AE428" s="198"/>
      <c r="AF428" s="194"/>
      <c r="AG428" s="194"/>
      <c r="AH428" s="194"/>
      <c r="AI428" s="194"/>
      <c r="AJ428" s="198"/>
      <c r="AK428" s="194"/>
      <c r="AL428" s="194"/>
      <c r="AM428" s="194"/>
      <c r="AN428" s="194"/>
      <c r="AO428" s="198"/>
      <c r="AP428" s="194"/>
      <c r="AQ428" s="194"/>
      <c r="AR428" s="194"/>
      <c r="AS428" s="194"/>
      <c r="AT428" s="198"/>
      <c r="AU428" s="194"/>
      <c r="AV428" s="194"/>
      <c r="AW428" s="194"/>
      <c r="AX428" s="194"/>
      <c r="AY428" s="198"/>
      <c r="AZ428" s="194"/>
      <c r="BA428" s="194"/>
      <c r="BB428" s="194"/>
      <c r="BC428" s="194"/>
      <c r="BD428" s="198"/>
      <c r="BE428" s="194"/>
      <c r="BF428" s="194"/>
      <c r="BG428" s="194"/>
      <c r="BH428" s="194"/>
      <c r="BI428" s="198"/>
      <c r="BJ428" s="194"/>
      <c r="BK428" s="194"/>
      <c r="BL428" s="194"/>
      <c r="BM428" s="194"/>
      <c r="BN428" s="198"/>
      <c r="BO428" s="194"/>
      <c r="BP428" s="194"/>
      <c r="BQ428" s="194"/>
      <c r="BR428" s="194"/>
      <c r="BS428" s="198"/>
      <c r="BT428" s="726"/>
      <c r="BU428" s="194"/>
      <c r="BV428" s="194"/>
      <c r="BW428" s="194"/>
      <c r="BX428" s="198"/>
      <c r="BY428" s="194"/>
      <c r="BZ428" s="194"/>
      <c r="CA428" s="194"/>
      <c r="CB428" s="194"/>
      <c r="CC428" s="198"/>
      <c r="CD428" s="198"/>
      <c r="CE428" s="198"/>
      <c r="CF428" s="198"/>
      <c r="CG428" s="347"/>
    </row>
    <row r="429" spans="1:85" s="613" customFormat="1" x14ac:dyDescent="0.3">
      <c r="A429" s="478" t="s">
        <v>2387</v>
      </c>
      <c r="B429" s="523"/>
      <c r="C429" s="78"/>
      <c r="D429" s="78"/>
      <c r="E429" s="78"/>
      <c r="F429" s="78"/>
      <c r="G429" s="774"/>
      <c r="H429" s="774"/>
      <c r="I429" s="774"/>
      <c r="J429" s="774"/>
      <c r="K429" s="78"/>
      <c r="L429" s="774"/>
      <c r="M429" s="774"/>
      <c r="N429" s="774"/>
      <c r="O429" s="774"/>
      <c r="P429" s="78"/>
      <c r="Q429" s="774"/>
      <c r="R429" s="774"/>
      <c r="S429" s="774"/>
      <c r="T429" s="774"/>
      <c r="U429" s="78"/>
      <c r="V429" s="774"/>
      <c r="W429" s="774"/>
      <c r="X429" s="774"/>
      <c r="Y429" s="774"/>
      <c r="Z429" s="78"/>
      <c r="AA429" s="774"/>
      <c r="AB429" s="774"/>
      <c r="AC429" s="774"/>
      <c r="AD429" s="774"/>
      <c r="AE429" s="78"/>
      <c r="AF429" s="774"/>
      <c r="AG429" s="774"/>
      <c r="AH429" s="774"/>
      <c r="AI429" s="774"/>
      <c r="AJ429" s="78"/>
      <c r="AK429" s="774"/>
      <c r="AL429" s="774"/>
      <c r="AM429" s="774"/>
      <c r="AN429" s="774"/>
      <c r="AO429" s="78"/>
      <c r="AP429" s="774"/>
      <c r="AQ429" s="774"/>
      <c r="AR429" s="774"/>
      <c r="AS429" s="774"/>
      <c r="AT429" s="78"/>
      <c r="AU429" s="774"/>
      <c r="AV429" s="774"/>
      <c r="AW429" s="774"/>
      <c r="AX429" s="774"/>
      <c r="AY429" s="78"/>
      <c r="AZ429" s="774"/>
      <c r="BA429" s="774"/>
      <c r="BB429" s="774"/>
      <c r="BC429" s="774"/>
      <c r="BD429" s="78"/>
      <c r="BE429" s="774"/>
      <c r="BF429" s="774"/>
      <c r="BG429" s="774"/>
      <c r="BH429" s="774"/>
      <c r="BI429" s="78"/>
      <c r="BJ429" s="774"/>
      <c r="BK429" s="774"/>
      <c r="BL429" s="774"/>
      <c r="BM429" s="774"/>
      <c r="BN429" s="1119">
        <v>8.1760000000000002</v>
      </c>
      <c r="BO429" s="774"/>
      <c r="BP429" s="774"/>
      <c r="BQ429" s="774"/>
      <c r="BR429" s="774"/>
      <c r="BS429" s="78"/>
      <c r="BT429" s="775"/>
      <c r="BU429" s="774"/>
      <c r="BV429" s="774"/>
      <c r="BW429" s="774"/>
      <c r="BX429" s="78"/>
      <c r="BY429" s="774"/>
      <c r="BZ429" s="774"/>
      <c r="CA429" s="774"/>
      <c r="CB429" s="774"/>
      <c r="CC429" s="78"/>
      <c r="CD429" s="78"/>
      <c r="CE429" s="78"/>
      <c r="CF429" s="78"/>
      <c r="CG429" s="532"/>
    </row>
    <row r="430" spans="1:85" s="613" customFormat="1" x14ac:dyDescent="0.3">
      <c r="A430" s="478" t="s">
        <v>2041</v>
      </c>
      <c r="B430" s="523"/>
      <c r="C430" s="78"/>
      <c r="D430" s="78"/>
      <c r="E430" s="78"/>
      <c r="F430" s="78"/>
      <c r="G430" s="774"/>
      <c r="H430" s="774"/>
      <c r="I430" s="774"/>
      <c r="J430" s="774"/>
      <c r="K430" s="78"/>
      <c r="L430" s="774"/>
      <c r="M430" s="774"/>
      <c r="N430" s="774"/>
      <c r="O430" s="774"/>
      <c r="P430" s="78"/>
      <c r="Q430" s="774"/>
      <c r="R430" s="774"/>
      <c r="S430" s="774"/>
      <c r="T430" s="774"/>
      <c r="U430" s="78"/>
      <c r="V430" s="774"/>
      <c r="W430" s="774"/>
      <c r="X430" s="774"/>
      <c r="Y430" s="774"/>
      <c r="Z430" s="78"/>
      <c r="AA430" s="774"/>
      <c r="AB430" s="774"/>
      <c r="AC430" s="774"/>
      <c r="AD430" s="774"/>
      <c r="AE430" s="78"/>
      <c r="AF430" s="774"/>
      <c r="AG430" s="774"/>
      <c r="AH430" s="774"/>
      <c r="AI430" s="774"/>
      <c r="AJ430" s="78"/>
      <c r="AK430" s="774"/>
      <c r="AL430" s="774"/>
      <c r="AM430" s="774"/>
      <c r="AN430" s="774"/>
      <c r="AO430" s="78"/>
      <c r="AP430" s="774"/>
      <c r="AQ430" s="774"/>
      <c r="AR430" s="774"/>
      <c r="AS430" s="774"/>
      <c r="AT430" s="78"/>
      <c r="AU430" s="774"/>
      <c r="AV430" s="774"/>
      <c r="AW430" s="774"/>
      <c r="AX430" s="774"/>
      <c r="AY430" s="78"/>
      <c r="AZ430" s="774"/>
      <c r="BA430" s="774"/>
      <c r="BB430" s="774"/>
      <c r="BC430" s="774"/>
      <c r="BD430" s="78"/>
      <c r="BE430" s="774"/>
      <c r="BF430" s="774"/>
      <c r="BG430" s="774"/>
      <c r="BH430" s="774"/>
      <c r="BI430" s="1119">
        <v>8.1760000000000002</v>
      </c>
      <c r="BJ430" s="774"/>
      <c r="BK430" s="774"/>
      <c r="BL430" s="774"/>
      <c r="BM430" s="774"/>
      <c r="BN430" s="78"/>
      <c r="BO430" s="774"/>
      <c r="BP430" s="774"/>
      <c r="BQ430" s="774"/>
      <c r="BR430" s="774"/>
      <c r="BS430" s="78"/>
      <c r="BT430" s="775"/>
      <c r="BU430" s="774"/>
      <c r="BV430" s="774"/>
      <c r="BW430" s="774"/>
      <c r="BX430" s="78"/>
      <c r="BY430" s="774"/>
      <c r="BZ430" s="774"/>
      <c r="CA430" s="774"/>
      <c r="CB430" s="774"/>
      <c r="CC430" s="78"/>
      <c r="CD430" s="78"/>
      <c r="CE430" s="78"/>
      <c r="CF430" s="78"/>
      <c r="CG430" s="532"/>
    </row>
    <row r="431" spans="1:85" s="616" customFormat="1" x14ac:dyDescent="0.3">
      <c r="A431" s="522" t="s">
        <v>2042</v>
      </c>
      <c r="B431" s="527"/>
      <c r="C431" s="1124"/>
      <c r="D431" s="1124"/>
      <c r="E431" s="1124"/>
      <c r="F431" s="1124"/>
      <c r="G431" s="526"/>
      <c r="H431" s="526"/>
      <c r="I431" s="526"/>
      <c r="J431" s="526"/>
      <c r="K431" s="1124"/>
      <c r="L431" s="526"/>
      <c r="M431" s="526"/>
      <c r="N431" s="526"/>
      <c r="O431" s="526"/>
      <c r="P431" s="1124"/>
      <c r="Q431" s="526"/>
      <c r="R431" s="526"/>
      <c r="S431" s="526"/>
      <c r="T431" s="526"/>
      <c r="U431" s="1124"/>
      <c r="V431" s="526"/>
      <c r="W431" s="526"/>
      <c r="X431" s="526"/>
      <c r="Y431" s="526"/>
      <c r="Z431" s="1124"/>
      <c r="AA431" s="526"/>
      <c r="AB431" s="526"/>
      <c r="AC431" s="526"/>
      <c r="AD431" s="526"/>
      <c r="AE431" s="1124"/>
      <c r="AF431" s="526"/>
      <c r="AG431" s="526"/>
      <c r="AH431" s="526"/>
      <c r="AI431" s="526"/>
      <c r="AJ431" s="1124"/>
      <c r="AK431" s="526"/>
      <c r="AL431" s="526"/>
      <c r="AM431" s="526"/>
      <c r="AN431" s="526"/>
      <c r="AO431" s="1124"/>
      <c r="AP431" s="526"/>
      <c r="AQ431" s="526"/>
      <c r="AR431" s="526"/>
      <c r="AS431" s="526"/>
      <c r="AT431" s="1124"/>
      <c r="AU431" s="526"/>
      <c r="AV431" s="526"/>
      <c r="AW431" s="526"/>
      <c r="AX431" s="526"/>
      <c r="AY431" s="1124"/>
      <c r="AZ431" s="526"/>
      <c r="BA431" s="526"/>
      <c r="BB431" s="526"/>
      <c r="BC431" s="526"/>
      <c r="BD431" s="1124"/>
      <c r="BE431" s="526"/>
      <c r="BF431" s="526"/>
      <c r="BG431" s="526"/>
      <c r="BH431" s="526"/>
      <c r="BI431" s="1123">
        <v>441.44</v>
      </c>
      <c r="BJ431" s="526"/>
      <c r="BK431" s="526"/>
      <c r="BL431" s="526"/>
      <c r="BM431" s="526"/>
      <c r="BN431" s="1123">
        <v>441.44</v>
      </c>
      <c r="BO431" s="526"/>
      <c r="BP431" s="526"/>
      <c r="BQ431" s="526"/>
      <c r="BR431" s="526"/>
      <c r="BS431" s="1124"/>
      <c r="BT431" s="729"/>
      <c r="BU431" s="526"/>
      <c r="BV431" s="526"/>
      <c r="BW431" s="526"/>
      <c r="BX431" s="1124"/>
      <c r="BY431" s="526"/>
      <c r="BZ431" s="526"/>
      <c r="CA431" s="526"/>
      <c r="CB431" s="526"/>
      <c r="CC431" s="1124"/>
      <c r="CD431" s="1124"/>
      <c r="CE431" s="1124"/>
      <c r="CF431" s="1124"/>
      <c r="CG431" s="533"/>
    </row>
    <row r="432" spans="1:85" s="611" customFormat="1" x14ac:dyDescent="0.3">
      <c r="A432" s="522"/>
      <c r="B432" s="513"/>
      <c r="C432" s="198"/>
      <c r="D432" s="198"/>
      <c r="E432" s="198"/>
      <c r="F432" s="198"/>
      <c r="G432" s="194"/>
      <c r="H432" s="194"/>
      <c r="I432" s="194"/>
      <c r="J432" s="194"/>
      <c r="K432" s="198"/>
      <c r="L432" s="194"/>
      <c r="M432" s="194"/>
      <c r="N432" s="194"/>
      <c r="O432" s="194"/>
      <c r="P432" s="198"/>
      <c r="Q432" s="194"/>
      <c r="R432" s="194"/>
      <c r="S432" s="194"/>
      <c r="T432" s="194"/>
      <c r="U432" s="198"/>
      <c r="V432" s="194"/>
      <c r="W432" s="194"/>
      <c r="X432" s="194"/>
      <c r="Y432" s="194"/>
      <c r="Z432" s="198"/>
      <c r="AA432" s="194"/>
      <c r="AB432" s="194"/>
      <c r="AC432" s="194"/>
      <c r="AD432" s="194"/>
      <c r="AE432" s="198"/>
      <c r="AF432" s="194"/>
      <c r="AG432" s="194"/>
      <c r="AH432" s="194"/>
      <c r="AI432" s="194"/>
      <c r="AJ432" s="198"/>
      <c r="AK432" s="194"/>
      <c r="AL432" s="194"/>
      <c r="AM432" s="194"/>
      <c r="AN432" s="194"/>
      <c r="AO432" s="198"/>
      <c r="AP432" s="194"/>
      <c r="AQ432" s="194"/>
      <c r="AR432" s="194"/>
      <c r="AS432" s="194"/>
      <c r="AT432" s="198"/>
      <c r="AU432" s="194"/>
      <c r="AV432" s="194"/>
      <c r="AW432" s="194"/>
      <c r="AX432" s="194"/>
      <c r="AY432" s="198"/>
      <c r="AZ432" s="194"/>
      <c r="BA432" s="194"/>
      <c r="BB432" s="194"/>
      <c r="BC432" s="194"/>
      <c r="BD432" s="198"/>
      <c r="BE432" s="194"/>
      <c r="BF432" s="194"/>
      <c r="BG432" s="194"/>
      <c r="BH432" s="194"/>
      <c r="BI432" s="198"/>
      <c r="BJ432" s="194"/>
      <c r="BK432" s="194"/>
      <c r="BL432" s="194"/>
      <c r="BM432" s="194"/>
      <c r="BN432" s="198"/>
      <c r="BO432" s="194"/>
      <c r="BP432" s="194"/>
      <c r="BQ432" s="194"/>
      <c r="BR432" s="194"/>
      <c r="BS432" s="198"/>
      <c r="BT432" s="726"/>
      <c r="BU432" s="194"/>
      <c r="BV432" s="194"/>
      <c r="BW432" s="194"/>
      <c r="BX432" s="198"/>
      <c r="BY432" s="194"/>
      <c r="BZ432" s="194"/>
      <c r="CA432" s="194"/>
      <c r="CB432" s="194"/>
      <c r="CC432" s="198"/>
      <c r="CD432" s="198"/>
      <c r="CE432" s="198"/>
      <c r="CF432" s="198"/>
      <c r="CG432" s="347"/>
    </row>
    <row r="433" spans="1:85" s="613" customFormat="1" x14ac:dyDescent="0.3">
      <c r="A433" s="478" t="s">
        <v>2388</v>
      </c>
      <c r="B433" s="523"/>
      <c r="C433" s="78"/>
      <c r="D433" s="78"/>
      <c r="E433" s="78"/>
      <c r="F433" s="78"/>
      <c r="G433" s="774"/>
      <c r="H433" s="774"/>
      <c r="I433" s="774"/>
      <c r="J433" s="774"/>
      <c r="K433" s="78"/>
      <c r="L433" s="774"/>
      <c r="M433" s="774"/>
      <c r="N433" s="774"/>
      <c r="O433" s="774"/>
      <c r="P433" s="78"/>
      <c r="Q433" s="774"/>
      <c r="R433" s="774"/>
      <c r="S433" s="774"/>
      <c r="T433" s="774"/>
      <c r="U433" s="78"/>
      <c r="V433" s="774"/>
      <c r="W433" s="774"/>
      <c r="X433" s="774"/>
      <c r="Y433" s="774"/>
      <c r="Z433" s="78"/>
      <c r="AA433" s="774"/>
      <c r="AB433" s="774"/>
      <c r="AC433" s="774"/>
      <c r="AD433" s="774"/>
      <c r="AE433" s="78"/>
      <c r="AF433" s="774"/>
      <c r="AG433" s="774"/>
      <c r="AH433" s="774"/>
      <c r="AI433" s="774"/>
      <c r="AJ433" s="78"/>
      <c r="AK433" s="774"/>
      <c r="AL433" s="774"/>
      <c r="AM433" s="774"/>
      <c r="AN433" s="774"/>
      <c r="AO433" s="78"/>
      <c r="AP433" s="774"/>
      <c r="AQ433" s="774"/>
      <c r="AR433" s="774"/>
      <c r="AS433" s="774"/>
      <c r="AT433" s="78"/>
      <c r="AU433" s="774"/>
      <c r="AV433" s="774"/>
      <c r="AW433" s="774"/>
      <c r="AX433" s="774"/>
      <c r="AY433" s="78"/>
      <c r="AZ433" s="774"/>
      <c r="BA433" s="774"/>
      <c r="BB433" s="774"/>
      <c r="BC433" s="774"/>
      <c r="BD433" s="78"/>
      <c r="BE433" s="774"/>
      <c r="BF433" s="774"/>
      <c r="BG433" s="774"/>
      <c r="BH433" s="774"/>
      <c r="BI433" s="78"/>
      <c r="BJ433" s="774"/>
      <c r="BK433" s="774"/>
      <c r="BL433" s="774"/>
      <c r="BM433" s="774"/>
      <c r="BN433" s="1119">
        <v>8.2289999999999992</v>
      </c>
      <c r="BO433" s="774"/>
      <c r="BP433" s="774"/>
      <c r="BQ433" s="774"/>
      <c r="BR433" s="774"/>
      <c r="BS433" s="78"/>
      <c r="BT433" s="775"/>
      <c r="BU433" s="774"/>
      <c r="BV433" s="774"/>
      <c r="BW433" s="774"/>
      <c r="BX433" s="78"/>
      <c r="BY433" s="774"/>
      <c r="BZ433" s="774"/>
      <c r="CA433" s="774"/>
      <c r="CB433" s="774"/>
      <c r="CC433" s="78"/>
      <c r="CD433" s="78"/>
      <c r="CE433" s="78"/>
      <c r="CF433" s="78"/>
      <c r="CG433" s="532"/>
    </row>
    <row r="434" spans="1:85" s="613" customFormat="1" x14ac:dyDescent="0.3">
      <c r="A434" s="478" t="s">
        <v>2043</v>
      </c>
      <c r="B434" s="523"/>
      <c r="C434" s="78"/>
      <c r="D434" s="78"/>
      <c r="E434" s="78"/>
      <c r="F434" s="78"/>
      <c r="G434" s="774"/>
      <c r="H434" s="774"/>
      <c r="I434" s="774"/>
      <c r="J434" s="774"/>
      <c r="K434" s="78"/>
      <c r="L434" s="774"/>
      <c r="M434" s="774"/>
      <c r="N434" s="774"/>
      <c r="O434" s="774"/>
      <c r="P434" s="78"/>
      <c r="Q434" s="774"/>
      <c r="R434" s="774"/>
      <c r="S434" s="774"/>
      <c r="T434" s="774"/>
      <c r="U434" s="78"/>
      <c r="V434" s="774"/>
      <c r="W434" s="774"/>
      <c r="X434" s="774"/>
      <c r="Y434" s="774"/>
      <c r="Z434" s="78"/>
      <c r="AA434" s="774"/>
      <c r="AB434" s="774"/>
      <c r="AC434" s="774"/>
      <c r="AD434" s="774"/>
      <c r="AE434" s="78"/>
      <c r="AF434" s="774"/>
      <c r="AG434" s="774"/>
      <c r="AH434" s="774"/>
      <c r="AI434" s="774"/>
      <c r="AJ434" s="78"/>
      <c r="AK434" s="774"/>
      <c r="AL434" s="774"/>
      <c r="AM434" s="774"/>
      <c r="AN434" s="774"/>
      <c r="AO434" s="78"/>
      <c r="AP434" s="774"/>
      <c r="AQ434" s="774"/>
      <c r="AR434" s="774"/>
      <c r="AS434" s="774"/>
      <c r="AT434" s="78"/>
      <c r="AU434" s="774"/>
      <c r="AV434" s="774"/>
      <c r="AW434" s="774"/>
      <c r="AX434" s="774"/>
      <c r="AY434" s="78"/>
      <c r="AZ434" s="774"/>
      <c r="BA434" s="774"/>
      <c r="BB434" s="774"/>
      <c r="BC434" s="774"/>
      <c r="BD434" s="78"/>
      <c r="BE434" s="774"/>
      <c r="BF434" s="774"/>
      <c r="BG434" s="774"/>
      <c r="BH434" s="774"/>
      <c r="BI434" s="1119">
        <v>8.2289999999999992</v>
      </c>
      <c r="BJ434" s="774"/>
      <c r="BK434" s="774"/>
      <c r="BL434" s="774"/>
      <c r="BM434" s="774"/>
      <c r="BN434" s="78"/>
      <c r="BO434" s="774"/>
      <c r="BP434" s="774"/>
      <c r="BQ434" s="774"/>
      <c r="BR434" s="774"/>
      <c r="BS434" s="78"/>
      <c r="BT434" s="775"/>
      <c r="BU434" s="774"/>
      <c r="BV434" s="774"/>
      <c r="BW434" s="774"/>
      <c r="BX434" s="78"/>
      <c r="BY434" s="774"/>
      <c r="BZ434" s="774"/>
      <c r="CA434" s="774"/>
      <c r="CB434" s="774"/>
      <c r="CC434" s="78"/>
      <c r="CD434" s="78"/>
      <c r="CE434" s="78"/>
      <c r="CF434" s="78"/>
      <c r="CG434" s="532"/>
    </row>
    <row r="435" spans="1:85" s="616" customFormat="1" x14ac:dyDescent="0.3">
      <c r="A435" s="522" t="s">
        <v>2044</v>
      </c>
      <c r="B435" s="527"/>
      <c r="C435" s="1124"/>
      <c r="D435" s="1124"/>
      <c r="E435" s="1124"/>
      <c r="F435" s="1124"/>
      <c r="G435" s="526"/>
      <c r="H435" s="526"/>
      <c r="I435" s="526"/>
      <c r="J435" s="526"/>
      <c r="K435" s="1124"/>
      <c r="L435" s="526"/>
      <c r="M435" s="526"/>
      <c r="N435" s="526"/>
      <c r="O435" s="526"/>
      <c r="P435" s="1124"/>
      <c r="Q435" s="526"/>
      <c r="R435" s="526"/>
      <c r="S435" s="526"/>
      <c r="T435" s="526"/>
      <c r="U435" s="1124"/>
      <c r="V435" s="526"/>
      <c r="W435" s="526"/>
      <c r="X435" s="526"/>
      <c r="Y435" s="526"/>
      <c r="Z435" s="1124"/>
      <c r="AA435" s="526"/>
      <c r="AB435" s="526"/>
      <c r="AC435" s="526"/>
      <c r="AD435" s="526"/>
      <c r="AE435" s="1124"/>
      <c r="AF435" s="526"/>
      <c r="AG435" s="526"/>
      <c r="AH435" s="526"/>
      <c r="AI435" s="526"/>
      <c r="AJ435" s="1124"/>
      <c r="AK435" s="526"/>
      <c r="AL435" s="526"/>
      <c r="AM435" s="526"/>
      <c r="AN435" s="526"/>
      <c r="AO435" s="1124"/>
      <c r="AP435" s="526"/>
      <c r="AQ435" s="526"/>
      <c r="AR435" s="526"/>
      <c r="AS435" s="526"/>
      <c r="AT435" s="1124"/>
      <c r="AU435" s="526"/>
      <c r="AV435" s="526"/>
      <c r="AW435" s="526"/>
      <c r="AX435" s="526"/>
      <c r="AY435" s="1124"/>
      <c r="AZ435" s="526"/>
      <c r="BA435" s="526"/>
      <c r="BB435" s="526"/>
      <c r="BC435" s="526"/>
      <c r="BD435" s="1124"/>
      <c r="BE435" s="526"/>
      <c r="BF435" s="526"/>
      <c r="BG435" s="526"/>
      <c r="BH435" s="526"/>
      <c r="BI435" s="1123">
        <v>438.62</v>
      </c>
      <c r="BJ435" s="526"/>
      <c r="BK435" s="526"/>
      <c r="BL435" s="526"/>
      <c r="BM435" s="526"/>
      <c r="BN435" s="1123">
        <v>438.62</v>
      </c>
      <c r="BO435" s="526"/>
      <c r="BP435" s="526"/>
      <c r="BQ435" s="526"/>
      <c r="BR435" s="526"/>
      <c r="BS435" s="1124"/>
      <c r="BT435" s="729"/>
      <c r="BU435" s="526"/>
      <c r="BV435" s="526"/>
      <c r="BW435" s="526"/>
      <c r="BX435" s="1124"/>
      <c r="BY435" s="526"/>
      <c r="BZ435" s="526"/>
      <c r="CA435" s="526"/>
      <c r="CB435" s="526"/>
      <c r="CC435" s="1124"/>
      <c r="CD435" s="1124"/>
      <c r="CE435" s="1124"/>
      <c r="CF435" s="1124"/>
      <c r="CG435" s="533"/>
    </row>
    <row r="436" spans="1:85" s="611" customFormat="1" x14ac:dyDescent="0.3">
      <c r="A436" s="522"/>
      <c r="B436" s="513"/>
      <c r="C436" s="198"/>
      <c r="D436" s="198"/>
      <c r="E436" s="198"/>
      <c r="F436" s="198"/>
      <c r="G436" s="194"/>
      <c r="H436" s="194"/>
      <c r="I436" s="194"/>
      <c r="J436" s="194"/>
      <c r="K436" s="198"/>
      <c r="L436" s="194"/>
      <c r="M436" s="194"/>
      <c r="N436" s="194"/>
      <c r="O436" s="194"/>
      <c r="P436" s="198"/>
      <c r="Q436" s="194"/>
      <c r="R436" s="194"/>
      <c r="S436" s="194"/>
      <c r="T436" s="194"/>
      <c r="U436" s="198"/>
      <c r="V436" s="194"/>
      <c r="W436" s="194"/>
      <c r="X436" s="194"/>
      <c r="Y436" s="194"/>
      <c r="Z436" s="198"/>
      <c r="AA436" s="194"/>
      <c r="AB436" s="194"/>
      <c r="AC436" s="194"/>
      <c r="AD436" s="194"/>
      <c r="AE436" s="198"/>
      <c r="AF436" s="194"/>
      <c r="AG436" s="194"/>
      <c r="AH436" s="194"/>
      <c r="AI436" s="194"/>
      <c r="AJ436" s="198"/>
      <c r="AK436" s="194"/>
      <c r="AL436" s="194"/>
      <c r="AM436" s="194"/>
      <c r="AN436" s="194"/>
      <c r="AO436" s="198"/>
      <c r="AP436" s="194"/>
      <c r="AQ436" s="194"/>
      <c r="AR436" s="194"/>
      <c r="AS436" s="194"/>
      <c r="AT436" s="198"/>
      <c r="AU436" s="194"/>
      <c r="AV436" s="194"/>
      <c r="AW436" s="194"/>
      <c r="AX436" s="194"/>
      <c r="AY436" s="198"/>
      <c r="AZ436" s="194"/>
      <c r="BA436" s="194"/>
      <c r="BB436" s="194"/>
      <c r="BC436" s="194"/>
      <c r="BD436" s="198"/>
      <c r="BE436" s="194"/>
      <c r="BF436" s="194"/>
      <c r="BG436" s="194"/>
      <c r="BH436" s="194"/>
      <c r="BI436" s="198"/>
      <c r="BJ436" s="194"/>
      <c r="BK436" s="194"/>
      <c r="BL436" s="194"/>
      <c r="BM436" s="194"/>
      <c r="BN436" s="198"/>
      <c r="BO436" s="194"/>
      <c r="BP436" s="194"/>
      <c r="BQ436" s="194"/>
      <c r="BR436" s="194"/>
      <c r="BS436" s="198"/>
      <c r="BT436" s="726"/>
      <c r="BU436" s="194"/>
      <c r="BV436" s="194"/>
      <c r="BW436" s="194"/>
      <c r="BX436" s="198"/>
      <c r="BY436" s="194"/>
      <c r="BZ436" s="194"/>
      <c r="CA436" s="194"/>
      <c r="CB436" s="194"/>
      <c r="CC436" s="198"/>
      <c r="CD436" s="198"/>
      <c r="CE436" s="198"/>
      <c r="CF436" s="198"/>
      <c r="CG436" s="347"/>
    </row>
    <row r="437" spans="1:85" s="613" customFormat="1" x14ac:dyDescent="0.3">
      <c r="A437" s="478" t="s">
        <v>2389</v>
      </c>
      <c r="B437" s="523"/>
      <c r="C437" s="78"/>
      <c r="D437" s="78"/>
      <c r="E437" s="78"/>
      <c r="F437" s="78"/>
      <c r="G437" s="774"/>
      <c r="H437" s="774"/>
      <c r="I437" s="774"/>
      <c r="J437" s="774"/>
      <c r="K437" s="78"/>
      <c r="L437" s="774"/>
      <c r="M437" s="774"/>
      <c r="N437" s="774"/>
      <c r="O437" s="774"/>
      <c r="P437" s="78"/>
      <c r="Q437" s="774"/>
      <c r="R437" s="774"/>
      <c r="S437" s="774"/>
      <c r="T437" s="774"/>
      <c r="U437" s="78"/>
      <c r="V437" s="774"/>
      <c r="W437" s="774"/>
      <c r="X437" s="774"/>
      <c r="Y437" s="774"/>
      <c r="Z437" s="78"/>
      <c r="AA437" s="774"/>
      <c r="AB437" s="774"/>
      <c r="AC437" s="774"/>
      <c r="AD437" s="774"/>
      <c r="AE437" s="78"/>
      <c r="AF437" s="774"/>
      <c r="AG437" s="774"/>
      <c r="AH437" s="774"/>
      <c r="AI437" s="774"/>
      <c r="AJ437" s="78"/>
      <c r="AK437" s="774"/>
      <c r="AL437" s="774"/>
      <c r="AM437" s="774"/>
      <c r="AN437" s="774"/>
      <c r="AO437" s="78"/>
      <c r="AP437" s="774"/>
      <c r="AQ437" s="774"/>
      <c r="AR437" s="774"/>
      <c r="AS437" s="774"/>
      <c r="AT437" s="78"/>
      <c r="AU437" s="774"/>
      <c r="AV437" s="774"/>
      <c r="AW437" s="774"/>
      <c r="AX437" s="774"/>
      <c r="AY437" s="78"/>
      <c r="AZ437" s="774"/>
      <c r="BA437" s="774"/>
      <c r="BB437" s="774"/>
      <c r="BC437" s="774"/>
      <c r="BD437" s="78"/>
      <c r="BE437" s="774"/>
      <c r="BF437" s="774"/>
      <c r="BG437" s="774"/>
      <c r="BH437" s="774"/>
      <c r="BI437" s="78"/>
      <c r="BJ437" s="774"/>
      <c r="BK437" s="774"/>
      <c r="BL437" s="774"/>
      <c r="BM437" s="774"/>
      <c r="BN437" s="1119">
        <v>8.2050000000000001</v>
      </c>
      <c r="BO437" s="774"/>
      <c r="BP437" s="774"/>
      <c r="BQ437" s="774"/>
      <c r="BR437" s="774"/>
      <c r="BS437" s="78"/>
      <c r="BT437" s="775"/>
      <c r="BU437" s="774"/>
      <c r="BV437" s="774"/>
      <c r="BW437" s="774"/>
      <c r="BX437" s="78"/>
      <c r="BY437" s="774"/>
      <c r="BZ437" s="774"/>
      <c r="CA437" s="774"/>
      <c r="CB437" s="774"/>
      <c r="CC437" s="78"/>
      <c r="CD437" s="78"/>
      <c r="CE437" s="78"/>
      <c r="CF437" s="78"/>
      <c r="CG437" s="532"/>
    </row>
    <row r="438" spans="1:85" s="613" customFormat="1" x14ac:dyDescent="0.3">
      <c r="A438" s="478" t="s">
        <v>2045</v>
      </c>
      <c r="B438" s="523"/>
      <c r="C438" s="78"/>
      <c r="D438" s="78"/>
      <c r="E438" s="78"/>
      <c r="F438" s="78"/>
      <c r="G438" s="774"/>
      <c r="H438" s="774"/>
      <c r="I438" s="774"/>
      <c r="J438" s="774"/>
      <c r="K438" s="78"/>
      <c r="L438" s="774"/>
      <c r="M438" s="774"/>
      <c r="N438" s="774"/>
      <c r="O438" s="774"/>
      <c r="P438" s="78"/>
      <c r="Q438" s="774"/>
      <c r="R438" s="774"/>
      <c r="S438" s="774"/>
      <c r="T438" s="774"/>
      <c r="U438" s="78"/>
      <c r="V438" s="774"/>
      <c r="W438" s="774"/>
      <c r="X438" s="774"/>
      <c r="Y438" s="774"/>
      <c r="Z438" s="78"/>
      <c r="AA438" s="774"/>
      <c r="AB438" s="774"/>
      <c r="AC438" s="774"/>
      <c r="AD438" s="774"/>
      <c r="AE438" s="78"/>
      <c r="AF438" s="774"/>
      <c r="AG438" s="774"/>
      <c r="AH438" s="774"/>
      <c r="AI438" s="774"/>
      <c r="AJ438" s="78"/>
      <c r="AK438" s="774"/>
      <c r="AL438" s="774"/>
      <c r="AM438" s="774"/>
      <c r="AN438" s="774"/>
      <c r="AO438" s="78"/>
      <c r="AP438" s="774"/>
      <c r="AQ438" s="774"/>
      <c r="AR438" s="774"/>
      <c r="AS438" s="774"/>
      <c r="AT438" s="78"/>
      <c r="AU438" s="774"/>
      <c r="AV438" s="774"/>
      <c r="AW438" s="774"/>
      <c r="AX438" s="774"/>
      <c r="AY438" s="78"/>
      <c r="AZ438" s="774"/>
      <c r="BA438" s="774"/>
      <c r="BB438" s="774"/>
      <c r="BC438" s="774"/>
      <c r="BD438" s="78"/>
      <c r="BE438" s="774"/>
      <c r="BF438" s="774"/>
      <c r="BG438" s="774"/>
      <c r="BH438" s="774"/>
      <c r="BI438" s="1119">
        <v>8.2050000000000001</v>
      </c>
      <c r="BJ438" s="774"/>
      <c r="BK438" s="774"/>
      <c r="BL438" s="774"/>
      <c r="BM438" s="774"/>
      <c r="BN438" s="78"/>
      <c r="BO438" s="774"/>
      <c r="BP438" s="774"/>
      <c r="BQ438" s="774"/>
      <c r="BR438" s="774"/>
      <c r="BS438" s="78"/>
      <c r="BT438" s="775"/>
      <c r="BU438" s="774"/>
      <c r="BV438" s="774"/>
      <c r="BW438" s="774"/>
      <c r="BX438" s="78"/>
      <c r="BY438" s="774"/>
      <c r="BZ438" s="774"/>
      <c r="CA438" s="774"/>
      <c r="CB438" s="774"/>
      <c r="CC438" s="78"/>
      <c r="CD438" s="78"/>
      <c r="CE438" s="78"/>
      <c r="CF438" s="78"/>
      <c r="CG438" s="532"/>
    </row>
    <row r="439" spans="1:85" s="616" customFormat="1" x14ac:dyDescent="0.3">
      <c r="A439" s="522" t="s">
        <v>2046</v>
      </c>
      <c r="B439" s="527"/>
      <c r="C439" s="1124"/>
      <c r="D439" s="1124"/>
      <c r="E439" s="1124"/>
      <c r="F439" s="1124"/>
      <c r="G439" s="526"/>
      <c r="H439" s="526"/>
      <c r="I439" s="526"/>
      <c r="J439" s="526"/>
      <c r="K439" s="1124"/>
      <c r="L439" s="526"/>
      <c r="M439" s="526"/>
      <c r="N439" s="526"/>
      <c r="O439" s="526"/>
      <c r="P439" s="1124"/>
      <c r="Q439" s="526"/>
      <c r="R439" s="526"/>
      <c r="S439" s="526"/>
      <c r="T439" s="526"/>
      <c r="U439" s="1124"/>
      <c r="V439" s="526"/>
      <c r="W439" s="526"/>
      <c r="X439" s="526"/>
      <c r="Y439" s="526"/>
      <c r="Z439" s="1124"/>
      <c r="AA439" s="526"/>
      <c r="AB439" s="526"/>
      <c r="AC439" s="526"/>
      <c r="AD439" s="526"/>
      <c r="AE439" s="1124"/>
      <c r="AF439" s="526"/>
      <c r="AG439" s="526"/>
      <c r="AH439" s="526"/>
      <c r="AI439" s="526"/>
      <c r="AJ439" s="1124"/>
      <c r="AK439" s="526"/>
      <c r="AL439" s="526"/>
      <c r="AM439" s="526"/>
      <c r="AN439" s="526"/>
      <c r="AO439" s="1124"/>
      <c r="AP439" s="526"/>
      <c r="AQ439" s="526"/>
      <c r="AR439" s="526"/>
      <c r="AS439" s="526"/>
      <c r="AT439" s="1124"/>
      <c r="AU439" s="526"/>
      <c r="AV439" s="526"/>
      <c r="AW439" s="526"/>
      <c r="AX439" s="526"/>
      <c r="AY439" s="1124"/>
      <c r="AZ439" s="526"/>
      <c r="BA439" s="526"/>
      <c r="BB439" s="526"/>
      <c r="BC439" s="526"/>
      <c r="BD439" s="1124"/>
      <c r="BE439" s="526"/>
      <c r="BF439" s="526"/>
      <c r="BG439" s="526"/>
      <c r="BH439" s="526"/>
      <c r="BI439" s="1123">
        <v>439.88</v>
      </c>
      <c r="BJ439" s="526"/>
      <c r="BK439" s="526"/>
      <c r="BL439" s="526"/>
      <c r="BM439" s="526"/>
      <c r="BN439" s="1123">
        <v>439.88</v>
      </c>
      <c r="BO439" s="526"/>
      <c r="BP439" s="526"/>
      <c r="BQ439" s="526"/>
      <c r="BR439" s="526"/>
      <c r="BS439" s="1124"/>
      <c r="BT439" s="729"/>
      <c r="BU439" s="526"/>
      <c r="BV439" s="526"/>
      <c r="BW439" s="526"/>
      <c r="BX439" s="1124"/>
      <c r="BY439" s="526"/>
      <c r="BZ439" s="526"/>
      <c r="CA439" s="526"/>
      <c r="CB439" s="526"/>
      <c r="CC439" s="1124"/>
      <c r="CD439" s="1124"/>
      <c r="CE439" s="1124"/>
      <c r="CF439" s="1124"/>
      <c r="CG439" s="533"/>
    </row>
    <row r="440" spans="1:85" s="611" customFormat="1" x14ac:dyDescent="0.3">
      <c r="A440" s="522"/>
      <c r="B440" s="513"/>
      <c r="C440" s="198"/>
      <c r="D440" s="198"/>
      <c r="E440" s="198"/>
      <c r="F440" s="198"/>
      <c r="G440" s="194"/>
      <c r="H440" s="194"/>
      <c r="I440" s="194"/>
      <c r="J440" s="194"/>
      <c r="K440" s="198"/>
      <c r="L440" s="194"/>
      <c r="M440" s="194"/>
      <c r="N440" s="194"/>
      <c r="O440" s="194"/>
      <c r="P440" s="198"/>
      <c r="Q440" s="194"/>
      <c r="R440" s="194"/>
      <c r="S440" s="194"/>
      <c r="T440" s="194"/>
      <c r="U440" s="198"/>
      <c r="V440" s="194"/>
      <c r="W440" s="194"/>
      <c r="X440" s="194"/>
      <c r="Y440" s="194"/>
      <c r="Z440" s="198"/>
      <c r="AA440" s="194"/>
      <c r="AB440" s="194"/>
      <c r="AC440" s="194"/>
      <c r="AD440" s="194"/>
      <c r="AE440" s="198"/>
      <c r="AF440" s="194"/>
      <c r="AG440" s="194"/>
      <c r="AH440" s="194"/>
      <c r="AI440" s="194"/>
      <c r="AJ440" s="198"/>
      <c r="AK440" s="194"/>
      <c r="AL440" s="194"/>
      <c r="AM440" s="194"/>
      <c r="AN440" s="194"/>
      <c r="AO440" s="198"/>
      <c r="AP440" s="194"/>
      <c r="AQ440" s="194"/>
      <c r="AR440" s="194"/>
      <c r="AS440" s="194"/>
      <c r="AT440" s="198"/>
      <c r="AU440" s="194"/>
      <c r="AV440" s="194"/>
      <c r="AW440" s="194"/>
      <c r="AX440" s="194"/>
      <c r="AY440" s="198"/>
      <c r="AZ440" s="194"/>
      <c r="BA440" s="194"/>
      <c r="BB440" s="194"/>
      <c r="BC440" s="194"/>
      <c r="BD440" s="198"/>
      <c r="BE440" s="194"/>
      <c r="BF440" s="194"/>
      <c r="BG440" s="194"/>
      <c r="BH440" s="194"/>
      <c r="BI440" s="198"/>
      <c r="BJ440" s="194"/>
      <c r="BK440" s="194"/>
      <c r="BL440" s="194"/>
      <c r="BM440" s="194"/>
      <c r="BN440" s="198"/>
      <c r="BO440" s="194"/>
      <c r="BP440" s="194"/>
      <c r="BQ440" s="194"/>
      <c r="BR440" s="194"/>
      <c r="BS440" s="198"/>
      <c r="BT440" s="726"/>
      <c r="BU440" s="194"/>
      <c r="BV440" s="194"/>
      <c r="BW440" s="194"/>
      <c r="BX440" s="198"/>
      <c r="BY440" s="194"/>
      <c r="BZ440" s="194"/>
      <c r="CA440" s="194"/>
      <c r="CB440" s="194"/>
      <c r="CC440" s="198"/>
      <c r="CD440" s="198"/>
      <c r="CE440" s="198"/>
      <c r="CF440" s="198"/>
      <c r="CG440" s="347"/>
    </row>
    <row r="441" spans="1:85" s="613" customFormat="1" x14ac:dyDescent="0.3">
      <c r="A441" s="478" t="s">
        <v>2390</v>
      </c>
      <c r="B441" s="523"/>
      <c r="C441" s="78"/>
      <c r="D441" s="78"/>
      <c r="E441" s="78"/>
      <c r="F441" s="78"/>
      <c r="G441" s="774"/>
      <c r="H441" s="774"/>
      <c r="I441" s="774"/>
      <c r="J441" s="774"/>
      <c r="K441" s="78"/>
      <c r="L441" s="774"/>
      <c r="M441" s="774"/>
      <c r="N441" s="774"/>
      <c r="O441" s="774"/>
      <c r="P441" s="78"/>
      <c r="Q441" s="774"/>
      <c r="R441" s="774"/>
      <c r="S441" s="774"/>
      <c r="T441" s="774"/>
      <c r="U441" s="78"/>
      <c r="V441" s="774"/>
      <c r="W441" s="774"/>
      <c r="X441" s="774"/>
      <c r="Y441" s="774"/>
      <c r="Z441" s="78"/>
      <c r="AA441" s="774"/>
      <c r="AB441" s="774"/>
      <c r="AC441" s="774"/>
      <c r="AD441" s="774"/>
      <c r="AE441" s="78"/>
      <c r="AF441" s="774"/>
      <c r="AG441" s="774"/>
      <c r="AH441" s="774"/>
      <c r="AI441" s="774"/>
      <c r="AJ441" s="78"/>
      <c r="AK441" s="774"/>
      <c r="AL441" s="774"/>
      <c r="AM441" s="774"/>
      <c r="AN441" s="774"/>
      <c r="AO441" s="78"/>
      <c r="AP441" s="774"/>
      <c r="AQ441" s="774"/>
      <c r="AR441" s="774"/>
      <c r="AS441" s="774"/>
      <c r="AT441" s="78"/>
      <c r="AU441" s="774"/>
      <c r="AV441" s="774"/>
      <c r="AW441" s="774"/>
      <c r="AX441" s="774"/>
      <c r="AY441" s="78"/>
      <c r="AZ441" s="774"/>
      <c r="BA441" s="774"/>
      <c r="BB441" s="774"/>
      <c r="BC441" s="774"/>
      <c r="BD441" s="78"/>
      <c r="BE441" s="774"/>
      <c r="BF441" s="774"/>
      <c r="BG441" s="774"/>
      <c r="BH441" s="774"/>
      <c r="BI441" s="78"/>
      <c r="BJ441" s="774"/>
      <c r="BK441" s="774"/>
      <c r="BL441" s="774"/>
      <c r="BM441" s="774"/>
      <c r="BN441" s="1119">
        <v>9.4909999999999997</v>
      </c>
      <c r="BO441" s="774"/>
      <c r="BP441" s="774"/>
      <c r="BQ441" s="774"/>
      <c r="BR441" s="774"/>
      <c r="BS441" s="78"/>
      <c r="BT441" s="775"/>
      <c r="BU441" s="774"/>
      <c r="BV441" s="774"/>
      <c r="BW441" s="774"/>
      <c r="BX441" s="78"/>
      <c r="BY441" s="774"/>
      <c r="BZ441" s="774"/>
      <c r="CA441" s="774"/>
      <c r="CB441" s="774"/>
      <c r="CC441" s="78"/>
      <c r="CD441" s="78"/>
      <c r="CE441" s="78"/>
      <c r="CF441" s="78"/>
      <c r="CG441" s="532"/>
    </row>
    <row r="442" spans="1:85" s="613" customFormat="1" x14ac:dyDescent="0.3">
      <c r="A442" s="478" t="s">
        <v>2047</v>
      </c>
      <c r="B442" s="523"/>
      <c r="C442" s="78"/>
      <c r="D442" s="78"/>
      <c r="E442" s="78"/>
      <c r="F442" s="78"/>
      <c r="G442" s="774"/>
      <c r="H442" s="774"/>
      <c r="I442" s="774"/>
      <c r="J442" s="774"/>
      <c r="K442" s="78"/>
      <c r="L442" s="774"/>
      <c r="M442" s="774"/>
      <c r="N442" s="774"/>
      <c r="O442" s="774"/>
      <c r="P442" s="78"/>
      <c r="Q442" s="774"/>
      <c r="R442" s="774"/>
      <c r="S442" s="774"/>
      <c r="T442" s="774"/>
      <c r="U442" s="78"/>
      <c r="V442" s="774"/>
      <c r="W442" s="774"/>
      <c r="X442" s="774"/>
      <c r="Y442" s="774"/>
      <c r="Z442" s="78"/>
      <c r="AA442" s="774"/>
      <c r="AB442" s="774"/>
      <c r="AC442" s="774"/>
      <c r="AD442" s="774"/>
      <c r="AE442" s="78"/>
      <c r="AF442" s="774"/>
      <c r="AG442" s="774"/>
      <c r="AH442" s="774"/>
      <c r="AI442" s="774"/>
      <c r="AJ442" s="78"/>
      <c r="AK442" s="774"/>
      <c r="AL442" s="774"/>
      <c r="AM442" s="774"/>
      <c r="AN442" s="774"/>
      <c r="AO442" s="78"/>
      <c r="AP442" s="774"/>
      <c r="AQ442" s="774"/>
      <c r="AR442" s="774"/>
      <c r="AS442" s="774"/>
      <c r="AT442" s="78"/>
      <c r="AU442" s="774"/>
      <c r="AV442" s="774"/>
      <c r="AW442" s="774"/>
      <c r="AX442" s="774"/>
      <c r="AY442" s="78"/>
      <c r="AZ442" s="774"/>
      <c r="BA442" s="774"/>
      <c r="BB442" s="774"/>
      <c r="BC442" s="774"/>
      <c r="BD442" s="78"/>
      <c r="BE442" s="774"/>
      <c r="BF442" s="774"/>
      <c r="BG442" s="774"/>
      <c r="BH442" s="774"/>
      <c r="BI442" s="1119">
        <v>9.4909999999999997</v>
      </c>
      <c r="BJ442" s="774"/>
      <c r="BK442" s="774"/>
      <c r="BL442" s="774"/>
      <c r="BM442" s="774"/>
      <c r="BN442" s="78"/>
      <c r="BO442" s="774"/>
      <c r="BP442" s="774"/>
      <c r="BQ442" s="774"/>
      <c r="BR442" s="774"/>
      <c r="BS442" s="78"/>
      <c r="BT442" s="775"/>
      <c r="BU442" s="774"/>
      <c r="BV442" s="774"/>
      <c r="BW442" s="774"/>
      <c r="BX442" s="78"/>
      <c r="BY442" s="774"/>
      <c r="BZ442" s="774"/>
      <c r="CA442" s="774"/>
      <c r="CB442" s="774"/>
      <c r="CC442" s="78"/>
      <c r="CD442" s="78"/>
      <c r="CE442" s="78"/>
      <c r="CF442" s="78"/>
      <c r="CG442" s="532"/>
    </row>
    <row r="443" spans="1:85" s="616" customFormat="1" x14ac:dyDescent="0.3">
      <c r="A443" s="522" t="s">
        <v>2048</v>
      </c>
      <c r="B443" s="527"/>
      <c r="C443" s="1124"/>
      <c r="D443" s="1124"/>
      <c r="E443" s="1124"/>
      <c r="F443" s="1124"/>
      <c r="G443" s="526"/>
      <c r="H443" s="526"/>
      <c r="I443" s="526"/>
      <c r="J443" s="526"/>
      <c r="K443" s="1124"/>
      <c r="L443" s="526"/>
      <c r="M443" s="526"/>
      <c r="N443" s="526"/>
      <c r="O443" s="526"/>
      <c r="P443" s="1124"/>
      <c r="Q443" s="526"/>
      <c r="R443" s="526"/>
      <c r="S443" s="526"/>
      <c r="T443" s="526"/>
      <c r="U443" s="1124"/>
      <c r="V443" s="526"/>
      <c r="W443" s="526"/>
      <c r="X443" s="526"/>
      <c r="Y443" s="526"/>
      <c r="Z443" s="1124"/>
      <c r="AA443" s="526"/>
      <c r="AB443" s="526"/>
      <c r="AC443" s="526"/>
      <c r="AD443" s="526"/>
      <c r="AE443" s="1124"/>
      <c r="AF443" s="526"/>
      <c r="AG443" s="526"/>
      <c r="AH443" s="526"/>
      <c r="AI443" s="526"/>
      <c r="AJ443" s="1124"/>
      <c r="AK443" s="526"/>
      <c r="AL443" s="526"/>
      <c r="AM443" s="526"/>
      <c r="AN443" s="526"/>
      <c r="AO443" s="1124"/>
      <c r="AP443" s="526"/>
      <c r="AQ443" s="526"/>
      <c r="AR443" s="526"/>
      <c r="AS443" s="526"/>
      <c r="AT443" s="1124"/>
      <c r="AU443" s="526"/>
      <c r="AV443" s="526"/>
      <c r="AW443" s="526"/>
      <c r="AX443" s="526"/>
      <c r="AY443" s="1124"/>
      <c r="AZ443" s="526"/>
      <c r="BA443" s="526"/>
      <c r="BB443" s="526"/>
      <c r="BC443" s="526"/>
      <c r="BD443" s="1124"/>
      <c r="BE443" s="526"/>
      <c r="BF443" s="526"/>
      <c r="BG443" s="526"/>
      <c r="BH443" s="526"/>
      <c r="BI443" s="1123">
        <v>380.33</v>
      </c>
      <c r="BJ443" s="526"/>
      <c r="BK443" s="526"/>
      <c r="BL443" s="526"/>
      <c r="BM443" s="526"/>
      <c r="BN443" s="1123">
        <v>380.33</v>
      </c>
      <c r="BO443" s="526"/>
      <c r="BP443" s="526"/>
      <c r="BQ443" s="526"/>
      <c r="BR443" s="526"/>
      <c r="BS443" s="1124"/>
      <c r="BT443" s="729"/>
      <c r="BU443" s="526"/>
      <c r="BV443" s="526"/>
      <c r="BW443" s="526"/>
      <c r="BX443" s="1124"/>
      <c r="BY443" s="526"/>
      <c r="BZ443" s="526"/>
      <c r="CA443" s="526"/>
      <c r="CB443" s="526"/>
      <c r="CC443" s="1124"/>
      <c r="CD443" s="1124"/>
      <c r="CE443" s="1124"/>
      <c r="CF443" s="1124"/>
      <c r="CG443" s="533"/>
    </row>
    <row r="444" spans="1:85" s="611" customFormat="1" x14ac:dyDescent="0.3">
      <c r="A444" s="522"/>
      <c r="B444" s="513"/>
      <c r="C444" s="198"/>
      <c r="D444" s="198"/>
      <c r="E444" s="198"/>
      <c r="F444" s="198"/>
      <c r="G444" s="194"/>
      <c r="H444" s="194"/>
      <c r="I444" s="194"/>
      <c r="J444" s="194"/>
      <c r="K444" s="198"/>
      <c r="L444" s="194"/>
      <c r="M444" s="194"/>
      <c r="N444" s="194"/>
      <c r="O444" s="194"/>
      <c r="P444" s="198"/>
      <c r="Q444" s="194"/>
      <c r="R444" s="194"/>
      <c r="S444" s="194"/>
      <c r="T444" s="194"/>
      <c r="U444" s="198"/>
      <c r="V444" s="194"/>
      <c r="W444" s="194"/>
      <c r="X444" s="194"/>
      <c r="Y444" s="194"/>
      <c r="Z444" s="198"/>
      <c r="AA444" s="194"/>
      <c r="AB444" s="194"/>
      <c r="AC444" s="194"/>
      <c r="AD444" s="194"/>
      <c r="AE444" s="198"/>
      <c r="AF444" s="194"/>
      <c r="AG444" s="194"/>
      <c r="AH444" s="194"/>
      <c r="AI444" s="194"/>
      <c r="AJ444" s="198"/>
      <c r="AK444" s="194"/>
      <c r="AL444" s="194"/>
      <c r="AM444" s="194"/>
      <c r="AN444" s="194"/>
      <c r="AO444" s="198"/>
      <c r="AP444" s="194"/>
      <c r="AQ444" s="194"/>
      <c r="AR444" s="194"/>
      <c r="AS444" s="194"/>
      <c r="AT444" s="198"/>
      <c r="AU444" s="194"/>
      <c r="AV444" s="194"/>
      <c r="AW444" s="194"/>
      <c r="AX444" s="194"/>
      <c r="AY444" s="198"/>
      <c r="AZ444" s="194"/>
      <c r="BA444" s="194"/>
      <c r="BB444" s="194"/>
      <c r="BC444" s="194"/>
      <c r="BD444" s="198"/>
      <c r="BE444" s="194"/>
      <c r="BF444" s="194"/>
      <c r="BG444" s="194"/>
      <c r="BH444" s="194"/>
      <c r="BI444" s="198"/>
      <c r="BJ444" s="194"/>
      <c r="BK444" s="194"/>
      <c r="BL444" s="194"/>
      <c r="BM444" s="194"/>
      <c r="BN444" s="198"/>
      <c r="BO444" s="194"/>
      <c r="BP444" s="194"/>
      <c r="BQ444" s="194"/>
      <c r="BR444" s="194"/>
      <c r="BS444" s="198"/>
      <c r="BT444" s="726"/>
      <c r="BU444" s="194"/>
      <c r="BV444" s="194"/>
      <c r="BW444" s="194"/>
      <c r="BX444" s="198"/>
      <c r="BY444" s="194"/>
      <c r="BZ444" s="194"/>
      <c r="CA444" s="194"/>
      <c r="CB444" s="194"/>
      <c r="CC444" s="198"/>
      <c r="CD444" s="198"/>
      <c r="CE444" s="198"/>
      <c r="CF444" s="198"/>
      <c r="CG444" s="347"/>
    </row>
    <row r="445" spans="1:85" s="613" customFormat="1" x14ac:dyDescent="0.3">
      <c r="A445" s="478" t="s">
        <v>2391</v>
      </c>
      <c r="B445" s="523"/>
      <c r="C445" s="78"/>
      <c r="D445" s="78"/>
      <c r="E445" s="78"/>
      <c r="F445" s="78"/>
      <c r="G445" s="774"/>
      <c r="H445" s="774"/>
      <c r="I445" s="774"/>
      <c r="J445" s="774"/>
      <c r="K445" s="78"/>
      <c r="L445" s="774"/>
      <c r="M445" s="774"/>
      <c r="N445" s="774"/>
      <c r="O445" s="774"/>
      <c r="P445" s="78"/>
      <c r="Q445" s="774"/>
      <c r="R445" s="774"/>
      <c r="S445" s="774"/>
      <c r="T445" s="774"/>
      <c r="U445" s="78"/>
      <c r="V445" s="774"/>
      <c r="W445" s="774"/>
      <c r="X445" s="774"/>
      <c r="Y445" s="774"/>
      <c r="Z445" s="78"/>
      <c r="AA445" s="774"/>
      <c r="AB445" s="774"/>
      <c r="AC445" s="774"/>
      <c r="AD445" s="774"/>
      <c r="AE445" s="78"/>
      <c r="AF445" s="774"/>
      <c r="AG445" s="774"/>
      <c r="AH445" s="774"/>
      <c r="AI445" s="774"/>
      <c r="AJ445" s="78"/>
      <c r="AK445" s="774"/>
      <c r="AL445" s="774"/>
      <c r="AM445" s="774"/>
      <c r="AN445" s="774"/>
      <c r="AO445" s="78"/>
      <c r="AP445" s="774"/>
      <c r="AQ445" s="774"/>
      <c r="AR445" s="774"/>
      <c r="AS445" s="774"/>
      <c r="AT445" s="78"/>
      <c r="AU445" s="774"/>
      <c r="AV445" s="774"/>
      <c r="AW445" s="774"/>
      <c r="AX445" s="774"/>
      <c r="AY445" s="78"/>
      <c r="AZ445" s="774"/>
      <c r="BA445" s="774"/>
      <c r="BB445" s="774"/>
      <c r="BC445" s="774"/>
      <c r="BD445" s="78"/>
      <c r="BE445" s="774"/>
      <c r="BF445" s="774"/>
      <c r="BG445" s="774"/>
      <c r="BH445" s="774"/>
      <c r="BI445" s="78"/>
      <c r="BJ445" s="774"/>
      <c r="BK445" s="774"/>
      <c r="BL445" s="774"/>
      <c r="BM445" s="774"/>
      <c r="BN445" s="1119">
        <v>8.5890000000000004</v>
      </c>
      <c r="BO445" s="774"/>
      <c r="BP445" s="774"/>
      <c r="BQ445" s="774"/>
      <c r="BR445" s="774"/>
      <c r="BS445" s="78"/>
      <c r="BT445" s="775"/>
      <c r="BU445" s="774"/>
      <c r="BV445" s="774"/>
      <c r="BW445" s="774"/>
      <c r="BX445" s="78"/>
      <c r="BY445" s="774"/>
      <c r="BZ445" s="774"/>
      <c r="CA445" s="774"/>
      <c r="CB445" s="774"/>
      <c r="CC445" s="78"/>
      <c r="CD445" s="78"/>
      <c r="CE445" s="78"/>
      <c r="CF445" s="78"/>
      <c r="CG445" s="532"/>
    </row>
    <row r="446" spans="1:85" s="613" customFormat="1" x14ac:dyDescent="0.3">
      <c r="A446" s="478" t="s">
        <v>2049</v>
      </c>
      <c r="B446" s="523"/>
      <c r="C446" s="78"/>
      <c r="D446" s="78"/>
      <c r="E446" s="78"/>
      <c r="F446" s="78"/>
      <c r="G446" s="774"/>
      <c r="H446" s="774"/>
      <c r="I446" s="774"/>
      <c r="J446" s="774"/>
      <c r="K446" s="78"/>
      <c r="L446" s="774"/>
      <c r="M446" s="774"/>
      <c r="N446" s="774"/>
      <c r="O446" s="774"/>
      <c r="P446" s="78"/>
      <c r="Q446" s="774"/>
      <c r="R446" s="774"/>
      <c r="S446" s="774"/>
      <c r="T446" s="774"/>
      <c r="U446" s="78"/>
      <c r="V446" s="774"/>
      <c r="W446" s="774"/>
      <c r="X446" s="774"/>
      <c r="Y446" s="774"/>
      <c r="Z446" s="78"/>
      <c r="AA446" s="774"/>
      <c r="AB446" s="774"/>
      <c r="AC446" s="774"/>
      <c r="AD446" s="774"/>
      <c r="AE446" s="78"/>
      <c r="AF446" s="774"/>
      <c r="AG446" s="774"/>
      <c r="AH446" s="774"/>
      <c r="AI446" s="774"/>
      <c r="AJ446" s="78"/>
      <c r="AK446" s="774"/>
      <c r="AL446" s="774"/>
      <c r="AM446" s="774"/>
      <c r="AN446" s="774"/>
      <c r="AO446" s="78"/>
      <c r="AP446" s="774"/>
      <c r="AQ446" s="774"/>
      <c r="AR446" s="774"/>
      <c r="AS446" s="774"/>
      <c r="AT446" s="78"/>
      <c r="AU446" s="774"/>
      <c r="AV446" s="774"/>
      <c r="AW446" s="774"/>
      <c r="AX446" s="774"/>
      <c r="AY446" s="78"/>
      <c r="AZ446" s="774"/>
      <c r="BA446" s="774"/>
      <c r="BB446" s="774"/>
      <c r="BC446" s="774"/>
      <c r="BD446" s="78"/>
      <c r="BE446" s="774"/>
      <c r="BF446" s="774"/>
      <c r="BG446" s="774"/>
      <c r="BH446" s="774"/>
      <c r="BI446" s="1119">
        <v>8.5890000000000004</v>
      </c>
      <c r="BJ446" s="774"/>
      <c r="BK446" s="774"/>
      <c r="BL446" s="774"/>
      <c r="BM446" s="774"/>
      <c r="BN446" s="78"/>
      <c r="BO446" s="774"/>
      <c r="BP446" s="774"/>
      <c r="BQ446" s="774"/>
      <c r="BR446" s="774"/>
      <c r="BS446" s="78"/>
      <c r="BT446" s="775"/>
      <c r="BU446" s="774"/>
      <c r="BV446" s="774"/>
      <c r="BW446" s="774"/>
      <c r="BX446" s="78"/>
      <c r="BY446" s="774"/>
      <c r="BZ446" s="774"/>
      <c r="CA446" s="774"/>
      <c r="CB446" s="774"/>
      <c r="CC446" s="78"/>
      <c r="CD446" s="78"/>
      <c r="CE446" s="78"/>
      <c r="CF446" s="78"/>
      <c r="CG446" s="532"/>
    </row>
    <row r="447" spans="1:85" s="616" customFormat="1" x14ac:dyDescent="0.3">
      <c r="A447" s="522" t="s">
        <v>2050</v>
      </c>
      <c r="B447" s="527"/>
      <c r="C447" s="1124"/>
      <c r="D447" s="1124"/>
      <c r="E447" s="1124"/>
      <c r="F447" s="1124"/>
      <c r="G447" s="526"/>
      <c r="H447" s="526"/>
      <c r="I447" s="526"/>
      <c r="J447" s="526"/>
      <c r="K447" s="1124"/>
      <c r="L447" s="526"/>
      <c r="M447" s="526"/>
      <c r="N447" s="526"/>
      <c r="O447" s="526"/>
      <c r="P447" s="1124"/>
      <c r="Q447" s="526"/>
      <c r="R447" s="526"/>
      <c r="S447" s="526"/>
      <c r="T447" s="526"/>
      <c r="U447" s="1124"/>
      <c r="V447" s="526"/>
      <c r="W447" s="526"/>
      <c r="X447" s="526"/>
      <c r="Y447" s="526"/>
      <c r="Z447" s="1124"/>
      <c r="AA447" s="526"/>
      <c r="AB447" s="526"/>
      <c r="AC447" s="526"/>
      <c r="AD447" s="526"/>
      <c r="AE447" s="1124"/>
      <c r="AF447" s="526"/>
      <c r="AG447" s="526"/>
      <c r="AH447" s="526"/>
      <c r="AI447" s="526"/>
      <c r="AJ447" s="1124"/>
      <c r="AK447" s="526"/>
      <c r="AL447" s="526"/>
      <c r="AM447" s="526"/>
      <c r="AN447" s="526"/>
      <c r="AO447" s="1124"/>
      <c r="AP447" s="526"/>
      <c r="AQ447" s="526"/>
      <c r="AR447" s="526"/>
      <c r="AS447" s="526"/>
      <c r="AT447" s="1124"/>
      <c r="AU447" s="526"/>
      <c r="AV447" s="526"/>
      <c r="AW447" s="526"/>
      <c r="AX447" s="526"/>
      <c r="AY447" s="1124"/>
      <c r="AZ447" s="526"/>
      <c r="BA447" s="526"/>
      <c r="BB447" s="526"/>
      <c r="BC447" s="526"/>
      <c r="BD447" s="1124"/>
      <c r="BE447" s="526"/>
      <c r="BF447" s="526"/>
      <c r="BG447" s="526"/>
      <c r="BH447" s="526"/>
      <c r="BI447" s="1123">
        <v>420.19</v>
      </c>
      <c r="BJ447" s="526"/>
      <c r="BK447" s="526"/>
      <c r="BL447" s="526"/>
      <c r="BM447" s="526"/>
      <c r="BN447" s="1123">
        <v>420.19</v>
      </c>
      <c r="BO447" s="526"/>
      <c r="BP447" s="526"/>
      <c r="BQ447" s="526"/>
      <c r="BR447" s="526"/>
      <c r="BS447" s="1124"/>
      <c r="BT447" s="729"/>
      <c r="BU447" s="526"/>
      <c r="BV447" s="526"/>
      <c r="BW447" s="526"/>
      <c r="BX447" s="1124"/>
      <c r="BY447" s="526"/>
      <c r="BZ447" s="526"/>
      <c r="CA447" s="526"/>
      <c r="CB447" s="526"/>
      <c r="CC447" s="1124"/>
      <c r="CD447" s="1124"/>
      <c r="CE447" s="1124"/>
      <c r="CF447" s="1124"/>
      <c r="CG447" s="533"/>
    </row>
    <row r="448" spans="1:85" s="611" customFormat="1" x14ac:dyDescent="0.3">
      <c r="A448" s="522"/>
      <c r="B448" s="513"/>
      <c r="C448" s="198"/>
      <c r="D448" s="198"/>
      <c r="E448" s="198"/>
      <c r="F448" s="198"/>
      <c r="G448" s="194"/>
      <c r="H448" s="194"/>
      <c r="I448" s="194"/>
      <c r="J448" s="194"/>
      <c r="K448" s="198"/>
      <c r="L448" s="194"/>
      <c r="M448" s="194"/>
      <c r="N448" s="194"/>
      <c r="O448" s="194"/>
      <c r="P448" s="198"/>
      <c r="Q448" s="194"/>
      <c r="R448" s="194"/>
      <c r="S448" s="194"/>
      <c r="T448" s="194"/>
      <c r="U448" s="198"/>
      <c r="V448" s="194"/>
      <c r="W448" s="194"/>
      <c r="X448" s="194"/>
      <c r="Y448" s="194"/>
      <c r="Z448" s="198"/>
      <c r="AA448" s="194"/>
      <c r="AB448" s="194"/>
      <c r="AC448" s="194"/>
      <c r="AD448" s="194"/>
      <c r="AE448" s="198"/>
      <c r="AF448" s="194"/>
      <c r="AG448" s="194"/>
      <c r="AH448" s="194"/>
      <c r="AI448" s="194"/>
      <c r="AJ448" s="198"/>
      <c r="AK448" s="194"/>
      <c r="AL448" s="194"/>
      <c r="AM448" s="194"/>
      <c r="AN448" s="194"/>
      <c r="AO448" s="198"/>
      <c r="AP448" s="194"/>
      <c r="AQ448" s="194"/>
      <c r="AR448" s="194"/>
      <c r="AS448" s="194"/>
      <c r="AT448" s="198"/>
      <c r="AU448" s="194"/>
      <c r="AV448" s="194"/>
      <c r="AW448" s="194"/>
      <c r="AX448" s="194"/>
      <c r="AY448" s="198"/>
      <c r="AZ448" s="194"/>
      <c r="BA448" s="194"/>
      <c r="BB448" s="194"/>
      <c r="BC448" s="194"/>
      <c r="BD448" s="198"/>
      <c r="BE448" s="194"/>
      <c r="BF448" s="194"/>
      <c r="BG448" s="194"/>
      <c r="BH448" s="194"/>
      <c r="BI448" s="198"/>
      <c r="BJ448" s="194"/>
      <c r="BK448" s="194"/>
      <c r="BL448" s="194"/>
      <c r="BM448" s="194"/>
      <c r="BN448" s="198"/>
      <c r="BO448" s="194"/>
      <c r="BP448" s="194"/>
      <c r="BQ448" s="194"/>
      <c r="BR448" s="194"/>
      <c r="BS448" s="198"/>
      <c r="BT448" s="726"/>
      <c r="BU448" s="194"/>
      <c r="BV448" s="194"/>
      <c r="BW448" s="194"/>
      <c r="BX448" s="198"/>
      <c r="BY448" s="194"/>
      <c r="BZ448" s="194"/>
      <c r="CA448" s="194"/>
      <c r="CB448" s="194"/>
      <c r="CC448" s="198"/>
      <c r="CD448" s="198"/>
      <c r="CE448" s="198"/>
      <c r="CF448" s="198"/>
      <c r="CG448" s="347"/>
    </row>
    <row r="449" spans="1:85" s="613" customFormat="1" x14ac:dyDescent="0.3">
      <c r="A449" s="478" t="s">
        <v>2392</v>
      </c>
      <c r="B449" s="523"/>
      <c r="C449" s="78"/>
      <c r="D449" s="78"/>
      <c r="E449" s="78"/>
      <c r="F449" s="78"/>
      <c r="G449" s="774"/>
      <c r="H449" s="774"/>
      <c r="I449" s="774"/>
      <c r="J449" s="774"/>
      <c r="K449" s="78"/>
      <c r="L449" s="774"/>
      <c r="M449" s="774"/>
      <c r="N449" s="774"/>
      <c r="O449" s="774"/>
      <c r="P449" s="78"/>
      <c r="Q449" s="774"/>
      <c r="R449" s="774"/>
      <c r="S449" s="774"/>
      <c r="T449" s="774"/>
      <c r="U449" s="78"/>
      <c r="V449" s="774"/>
      <c r="W449" s="774"/>
      <c r="X449" s="774"/>
      <c r="Y449" s="774"/>
      <c r="Z449" s="78"/>
      <c r="AA449" s="774"/>
      <c r="AB449" s="774"/>
      <c r="AC449" s="774"/>
      <c r="AD449" s="774"/>
      <c r="AE449" s="78"/>
      <c r="AF449" s="774"/>
      <c r="AG449" s="774"/>
      <c r="AH449" s="774"/>
      <c r="AI449" s="774"/>
      <c r="AJ449" s="78"/>
      <c r="AK449" s="774"/>
      <c r="AL449" s="774"/>
      <c r="AM449" s="774"/>
      <c r="AN449" s="774"/>
      <c r="AO449" s="78"/>
      <c r="AP449" s="774"/>
      <c r="AQ449" s="774"/>
      <c r="AR449" s="774"/>
      <c r="AS449" s="774"/>
      <c r="AT449" s="78"/>
      <c r="AU449" s="774"/>
      <c r="AV449" s="774"/>
      <c r="AW449" s="774"/>
      <c r="AX449" s="774"/>
      <c r="AY449" s="78"/>
      <c r="AZ449" s="774"/>
      <c r="BA449" s="774"/>
      <c r="BB449" s="774"/>
      <c r="BC449" s="774"/>
      <c r="BD449" s="78"/>
      <c r="BE449" s="774"/>
      <c r="BF449" s="774"/>
      <c r="BG449" s="774"/>
      <c r="BH449" s="774"/>
      <c r="BI449" s="78"/>
      <c r="BJ449" s="774"/>
      <c r="BK449" s="774"/>
      <c r="BL449" s="774"/>
      <c r="BM449" s="774"/>
      <c r="BN449" s="1119">
        <v>7.75</v>
      </c>
      <c r="BO449" s="774"/>
      <c r="BP449" s="774"/>
      <c r="BQ449" s="774"/>
      <c r="BR449" s="774"/>
      <c r="BS449" s="78"/>
      <c r="BT449" s="775"/>
      <c r="BU449" s="774"/>
      <c r="BV449" s="774"/>
      <c r="BW449" s="774"/>
      <c r="BX449" s="78"/>
      <c r="BY449" s="774"/>
      <c r="BZ449" s="774"/>
      <c r="CA449" s="774"/>
      <c r="CB449" s="774"/>
      <c r="CC449" s="78"/>
      <c r="CD449" s="78"/>
      <c r="CE449" s="78"/>
      <c r="CF449" s="78"/>
      <c r="CG449" s="532"/>
    </row>
    <row r="450" spans="1:85" s="613" customFormat="1" x14ac:dyDescent="0.3">
      <c r="A450" s="478" t="s">
        <v>2051</v>
      </c>
      <c r="B450" s="523"/>
      <c r="C450" s="78"/>
      <c r="D450" s="78"/>
      <c r="E450" s="78"/>
      <c r="F450" s="78"/>
      <c r="G450" s="774"/>
      <c r="H450" s="774"/>
      <c r="I450" s="774"/>
      <c r="J450" s="774"/>
      <c r="K450" s="78"/>
      <c r="L450" s="774"/>
      <c r="M450" s="774"/>
      <c r="N450" s="774"/>
      <c r="O450" s="774"/>
      <c r="P450" s="78"/>
      <c r="Q450" s="774"/>
      <c r="R450" s="774"/>
      <c r="S450" s="774"/>
      <c r="T450" s="774"/>
      <c r="U450" s="78"/>
      <c r="V450" s="774"/>
      <c r="W450" s="774"/>
      <c r="X450" s="774"/>
      <c r="Y450" s="774"/>
      <c r="Z450" s="78"/>
      <c r="AA450" s="774"/>
      <c r="AB450" s="774"/>
      <c r="AC450" s="774"/>
      <c r="AD450" s="774"/>
      <c r="AE450" s="78"/>
      <c r="AF450" s="774"/>
      <c r="AG450" s="774"/>
      <c r="AH450" s="774"/>
      <c r="AI450" s="774"/>
      <c r="AJ450" s="78"/>
      <c r="AK450" s="774"/>
      <c r="AL450" s="774"/>
      <c r="AM450" s="774"/>
      <c r="AN450" s="774"/>
      <c r="AO450" s="78"/>
      <c r="AP450" s="774"/>
      <c r="AQ450" s="774"/>
      <c r="AR450" s="774"/>
      <c r="AS450" s="774"/>
      <c r="AT450" s="78"/>
      <c r="AU450" s="774"/>
      <c r="AV450" s="774"/>
      <c r="AW450" s="774"/>
      <c r="AX450" s="774"/>
      <c r="AY450" s="78"/>
      <c r="AZ450" s="774"/>
      <c r="BA450" s="774"/>
      <c r="BB450" s="774"/>
      <c r="BC450" s="774"/>
      <c r="BD450" s="78"/>
      <c r="BE450" s="774"/>
      <c r="BF450" s="774"/>
      <c r="BG450" s="774"/>
      <c r="BH450" s="774"/>
      <c r="BI450" s="1119">
        <v>7.75</v>
      </c>
      <c r="BJ450" s="774"/>
      <c r="BK450" s="774"/>
      <c r="BL450" s="774"/>
      <c r="BM450" s="774"/>
      <c r="BN450" s="78"/>
      <c r="BO450" s="774"/>
      <c r="BP450" s="774"/>
      <c r="BQ450" s="774"/>
      <c r="BR450" s="774"/>
      <c r="BS450" s="78"/>
      <c r="BT450" s="775"/>
      <c r="BU450" s="774"/>
      <c r="BV450" s="774"/>
      <c r="BW450" s="774"/>
      <c r="BX450" s="78"/>
      <c r="BY450" s="774"/>
      <c r="BZ450" s="774"/>
      <c r="CA450" s="774"/>
      <c r="CB450" s="774"/>
      <c r="CC450" s="78"/>
      <c r="CD450" s="78"/>
      <c r="CE450" s="78"/>
      <c r="CF450" s="78"/>
      <c r="CG450" s="532"/>
    </row>
    <row r="451" spans="1:85" s="616" customFormat="1" x14ac:dyDescent="0.3">
      <c r="A451" s="522" t="s">
        <v>2052</v>
      </c>
      <c r="B451" s="527"/>
      <c r="C451" s="1124"/>
      <c r="D451" s="1124"/>
      <c r="E451" s="1124"/>
      <c r="F451" s="1124"/>
      <c r="G451" s="526"/>
      <c r="H451" s="526"/>
      <c r="I451" s="526"/>
      <c r="J451" s="526"/>
      <c r="K451" s="1124"/>
      <c r="L451" s="526"/>
      <c r="M451" s="526"/>
      <c r="N451" s="526"/>
      <c r="O451" s="526"/>
      <c r="P451" s="1124"/>
      <c r="Q451" s="526"/>
      <c r="R451" s="526"/>
      <c r="S451" s="526"/>
      <c r="T451" s="526"/>
      <c r="U451" s="1124"/>
      <c r="V451" s="526"/>
      <c r="W451" s="526"/>
      <c r="X451" s="526"/>
      <c r="Y451" s="526"/>
      <c r="Z451" s="1124"/>
      <c r="AA451" s="526"/>
      <c r="AB451" s="526"/>
      <c r="AC451" s="526"/>
      <c r="AD451" s="526"/>
      <c r="AE451" s="1124"/>
      <c r="AF451" s="526"/>
      <c r="AG451" s="526"/>
      <c r="AH451" s="526"/>
      <c r="AI451" s="526"/>
      <c r="AJ451" s="1124"/>
      <c r="AK451" s="526"/>
      <c r="AL451" s="526"/>
      <c r="AM451" s="526"/>
      <c r="AN451" s="526"/>
      <c r="AO451" s="1124"/>
      <c r="AP451" s="526"/>
      <c r="AQ451" s="526"/>
      <c r="AR451" s="526"/>
      <c r="AS451" s="526"/>
      <c r="AT451" s="1124"/>
      <c r="AU451" s="526"/>
      <c r="AV451" s="526"/>
      <c r="AW451" s="526"/>
      <c r="AX451" s="526"/>
      <c r="AY451" s="1124"/>
      <c r="AZ451" s="526"/>
      <c r="BA451" s="526"/>
      <c r="BB451" s="526"/>
      <c r="BC451" s="526"/>
      <c r="BD451" s="1124"/>
      <c r="BE451" s="526"/>
      <c r="BF451" s="526"/>
      <c r="BG451" s="526"/>
      <c r="BH451" s="526"/>
      <c r="BI451" s="1123">
        <v>465.74</v>
      </c>
      <c r="BJ451" s="526"/>
      <c r="BK451" s="526"/>
      <c r="BL451" s="526"/>
      <c r="BM451" s="526"/>
      <c r="BN451" s="1123">
        <v>465.74</v>
      </c>
      <c r="BO451" s="526"/>
      <c r="BP451" s="526"/>
      <c r="BQ451" s="526"/>
      <c r="BR451" s="526"/>
      <c r="BS451" s="1124"/>
      <c r="BT451" s="729"/>
      <c r="BU451" s="526"/>
      <c r="BV451" s="526"/>
      <c r="BW451" s="526"/>
      <c r="BX451" s="1124"/>
      <c r="BY451" s="526"/>
      <c r="BZ451" s="526"/>
      <c r="CA451" s="526"/>
      <c r="CB451" s="526"/>
      <c r="CC451" s="1124"/>
      <c r="CD451" s="1124"/>
      <c r="CE451" s="1124"/>
      <c r="CF451" s="1124"/>
      <c r="CG451" s="533"/>
    </row>
    <row r="452" spans="1:85" s="616" customFormat="1" x14ac:dyDescent="0.3">
      <c r="A452" s="522"/>
      <c r="B452" s="527"/>
      <c r="C452" s="1124"/>
      <c r="D452" s="1124"/>
      <c r="E452" s="1124"/>
      <c r="F452" s="1124"/>
      <c r="G452" s="526"/>
      <c r="H452" s="526"/>
      <c r="I452" s="526"/>
      <c r="J452" s="526"/>
      <c r="K452" s="1124"/>
      <c r="L452" s="526"/>
      <c r="M452" s="526"/>
      <c r="N452" s="526"/>
      <c r="O452" s="526"/>
      <c r="P452" s="1124"/>
      <c r="Q452" s="526"/>
      <c r="R452" s="526"/>
      <c r="S452" s="526"/>
      <c r="T452" s="526"/>
      <c r="U452" s="1124"/>
      <c r="V452" s="526"/>
      <c r="W452" s="526"/>
      <c r="X452" s="526"/>
      <c r="Y452" s="526"/>
      <c r="Z452" s="1124"/>
      <c r="AA452" s="526"/>
      <c r="AB452" s="526"/>
      <c r="AC452" s="526"/>
      <c r="AD452" s="526"/>
      <c r="AE452" s="1124"/>
      <c r="AF452" s="526"/>
      <c r="AG452" s="526"/>
      <c r="AH452" s="526"/>
      <c r="AI452" s="526"/>
      <c r="AJ452" s="1124"/>
      <c r="AK452" s="526"/>
      <c r="AL452" s="526"/>
      <c r="AM452" s="526"/>
      <c r="AN452" s="526"/>
      <c r="AO452" s="1124"/>
      <c r="AP452" s="526"/>
      <c r="AQ452" s="526"/>
      <c r="AR452" s="526"/>
      <c r="AS452" s="526"/>
      <c r="AT452" s="1124"/>
      <c r="AU452" s="526"/>
      <c r="AV452" s="526"/>
      <c r="AW452" s="526"/>
      <c r="AX452" s="526"/>
      <c r="AY452" s="1124"/>
      <c r="AZ452" s="526"/>
      <c r="BA452" s="526"/>
      <c r="BB452" s="526"/>
      <c r="BC452" s="526"/>
      <c r="BD452" s="1124"/>
      <c r="BE452" s="526"/>
      <c r="BF452" s="526"/>
      <c r="BG452" s="526"/>
      <c r="BH452" s="526"/>
      <c r="BI452" s="1124"/>
      <c r="BJ452" s="526"/>
      <c r="BK452" s="526"/>
      <c r="BL452" s="526"/>
      <c r="BM452" s="526"/>
      <c r="BN452" s="1124"/>
      <c r="BO452" s="526"/>
      <c r="BP452" s="526"/>
      <c r="BQ452" s="526"/>
      <c r="BR452" s="526"/>
      <c r="BS452" s="1124"/>
      <c r="BT452" s="729"/>
      <c r="BU452" s="526"/>
      <c r="BV452" s="526"/>
      <c r="BW452" s="526"/>
      <c r="BX452" s="1124"/>
      <c r="BY452" s="526"/>
      <c r="BZ452" s="526"/>
      <c r="CA452" s="526"/>
      <c r="CB452" s="526"/>
      <c r="CC452" s="1124"/>
      <c r="CD452" s="1124"/>
      <c r="CE452" s="1124"/>
      <c r="CF452" s="1124"/>
      <c r="CG452" s="533"/>
    </row>
    <row r="453" spans="1:85" s="613" customFormat="1" x14ac:dyDescent="0.3">
      <c r="A453" s="478" t="s">
        <v>2393</v>
      </c>
      <c r="B453" s="523"/>
      <c r="C453" s="78"/>
      <c r="D453" s="78"/>
      <c r="E453" s="78"/>
      <c r="F453" s="78"/>
      <c r="G453" s="774"/>
      <c r="H453" s="774"/>
      <c r="I453" s="774"/>
      <c r="J453" s="774"/>
      <c r="K453" s="78"/>
      <c r="L453" s="774"/>
      <c r="M453" s="774"/>
      <c r="N453" s="774"/>
      <c r="O453" s="774"/>
      <c r="P453" s="78"/>
      <c r="Q453" s="774"/>
      <c r="R453" s="774"/>
      <c r="S453" s="774"/>
      <c r="T453" s="774"/>
      <c r="U453" s="78"/>
      <c r="V453" s="774"/>
      <c r="W453" s="774"/>
      <c r="X453" s="774"/>
      <c r="Y453" s="774"/>
      <c r="Z453" s="78"/>
      <c r="AA453" s="774"/>
      <c r="AB453" s="774"/>
      <c r="AC453" s="774"/>
      <c r="AD453" s="774"/>
      <c r="AE453" s="78"/>
      <c r="AF453" s="774"/>
      <c r="AG453" s="774"/>
      <c r="AH453" s="774"/>
      <c r="AI453" s="774"/>
      <c r="AJ453" s="78"/>
      <c r="AK453" s="774"/>
      <c r="AL453" s="774"/>
      <c r="AM453" s="774"/>
      <c r="AN453" s="774"/>
      <c r="AO453" s="78"/>
      <c r="AP453" s="774"/>
      <c r="AQ453" s="774"/>
      <c r="AR453" s="774"/>
      <c r="AS453" s="774"/>
      <c r="AT453" s="78"/>
      <c r="AU453" s="774"/>
      <c r="AV453" s="774"/>
      <c r="AW453" s="774"/>
      <c r="AX453" s="774"/>
      <c r="AY453" s="78"/>
      <c r="AZ453" s="774"/>
      <c r="BA453" s="774"/>
      <c r="BB453" s="774"/>
      <c r="BC453" s="774"/>
      <c r="BD453" s="78"/>
      <c r="BE453" s="774"/>
      <c r="BF453" s="774"/>
      <c r="BG453" s="774"/>
      <c r="BH453" s="774"/>
      <c r="BI453" s="78"/>
      <c r="BJ453" s="774"/>
      <c r="BK453" s="774"/>
      <c r="BL453" s="774"/>
      <c r="BM453" s="774"/>
      <c r="BN453" s="1119">
        <v>7.7039999999999997</v>
      </c>
      <c r="BO453" s="774"/>
      <c r="BP453" s="774"/>
      <c r="BQ453" s="774"/>
      <c r="BR453" s="774"/>
      <c r="BS453" s="78"/>
      <c r="BT453" s="775"/>
      <c r="BU453" s="774"/>
      <c r="BV453" s="774"/>
      <c r="BW453" s="774"/>
      <c r="BX453" s="78"/>
      <c r="BY453" s="774"/>
      <c r="BZ453" s="774"/>
      <c r="CA453" s="774"/>
      <c r="CB453" s="774"/>
      <c r="CC453" s="78"/>
      <c r="CD453" s="78"/>
      <c r="CE453" s="78"/>
      <c r="CF453" s="78"/>
      <c r="CG453" s="532"/>
    </row>
    <row r="454" spans="1:85" s="616" customFormat="1" x14ac:dyDescent="0.3">
      <c r="A454" s="522" t="s">
        <v>2394</v>
      </c>
      <c r="B454" s="527"/>
      <c r="C454" s="1124"/>
      <c r="D454" s="1124"/>
      <c r="E454" s="1124"/>
      <c r="F454" s="1124"/>
      <c r="G454" s="526"/>
      <c r="H454" s="526"/>
      <c r="I454" s="526"/>
      <c r="J454" s="526"/>
      <c r="K454" s="1124"/>
      <c r="L454" s="526"/>
      <c r="M454" s="526"/>
      <c r="N454" s="526"/>
      <c r="O454" s="526"/>
      <c r="P454" s="1124"/>
      <c r="Q454" s="526"/>
      <c r="R454" s="526"/>
      <c r="S454" s="526"/>
      <c r="T454" s="526"/>
      <c r="U454" s="1124"/>
      <c r="V454" s="526"/>
      <c r="W454" s="526"/>
      <c r="X454" s="526"/>
      <c r="Y454" s="526"/>
      <c r="Z454" s="1124"/>
      <c r="AA454" s="526"/>
      <c r="AB454" s="526"/>
      <c r="AC454" s="526"/>
      <c r="AD454" s="526"/>
      <c r="AE454" s="1124"/>
      <c r="AF454" s="526"/>
      <c r="AG454" s="526"/>
      <c r="AH454" s="526"/>
      <c r="AI454" s="526"/>
      <c r="AJ454" s="1124"/>
      <c r="AK454" s="526"/>
      <c r="AL454" s="526"/>
      <c r="AM454" s="526"/>
      <c r="AN454" s="526"/>
      <c r="AO454" s="1124"/>
      <c r="AP454" s="526"/>
      <c r="AQ454" s="526"/>
      <c r="AR454" s="526"/>
      <c r="AS454" s="526"/>
      <c r="AT454" s="1124"/>
      <c r="AU454" s="526"/>
      <c r="AV454" s="526"/>
      <c r="AW454" s="526"/>
      <c r="AX454" s="526"/>
      <c r="AY454" s="1124"/>
      <c r="AZ454" s="526"/>
      <c r="BA454" s="526"/>
      <c r="BB454" s="526"/>
      <c r="BC454" s="526"/>
      <c r="BD454" s="1124"/>
      <c r="BE454" s="526"/>
      <c r="BF454" s="526"/>
      <c r="BG454" s="526"/>
      <c r="BH454" s="526"/>
      <c r="BI454" s="1124"/>
      <c r="BJ454" s="526"/>
      <c r="BK454" s="526"/>
      <c r="BL454" s="526"/>
      <c r="BM454" s="526"/>
      <c r="BN454" s="1123">
        <v>468.5</v>
      </c>
      <c r="BO454" s="526"/>
      <c r="BP454" s="526"/>
      <c r="BQ454" s="526"/>
      <c r="BR454" s="526"/>
      <c r="BS454" s="1124"/>
      <c r="BT454" s="729"/>
      <c r="BU454" s="526"/>
      <c r="BV454" s="526"/>
      <c r="BW454" s="526"/>
      <c r="BX454" s="1124"/>
      <c r="BY454" s="526"/>
      <c r="BZ454" s="526"/>
      <c r="CA454" s="526"/>
      <c r="CB454" s="526"/>
      <c r="CC454" s="1124"/>
      <c r="CD454" s="1124"/>
      <c r="CE454" s="1124"/>
      <c r="CF454" s="1124"/>
      <c r="CG454" s="533"/>
    </row>
    <row r="455" spans="1:85" s="614" customFormat="1" x14ac:dyDescent="0.3">
      <c r="A455" s="522"/>
      <c r="B455" s="352"/>
      <c r="C455" s="1094"/>
      <c r="D455" s="1094"/>
      <c r="E455" s="1094"/>
      <c r="F455" s="1094"/>
      <c r="G455" s="197"/>
      <c r="H455" s="197"/>
      <c r="I455" s="197"/>
      <c r="J455" s="197"/>
      <c r="K455" s="1094"/>
      <c r="L455" s="197"/>
      <c r="M455" s="197"/>
      <c r="N455" s="197"/>
      <c r="O455" s="197"/>
      <c r="P455" s="1094"/>
      <c r="Q455" s="197"/>
      <c r="R455" s="197"/>
      <c r="S455" s="197"/>
      <c r="T455" s="197"/>
      <c r="U455" s="1094"/>
      <c r="V455" s="197"/>
      <c r="W455" s="197"/>
      <c r="X455" s="197"/>
      <c r="Y455" s="197"/>
      <c r="Z455" s="1094"/>
      <c r="AA455" s="197"/>
      <c r="AB455" s="197"/>
      <c r="AC455" s="197"/>
      <c r="AD455" s="197"/>
      <c r="AE455" s="1094"/>
      <c r="AF455" s="197"/>
      <c r="AG455" s="197"/>
      <c r="AH455" s="197"/>
      <c r="AI455" s="197"/>
      <c r="AJ455" s="1094"/>
      <c r="AK455" s="197"/>
      <c r="AL455" s="197"/>
      <c r="AM455" s="197"/>
      <c r="AN455" s="197"/>
      <c r="AO455" s="1094"/>
      <c r="AP455" s="197"/>
      <c r="AQ455" s="197"/>
      <c r="AR455" s="197"/>
      <c r="AS455" s="197"/>
      <c r="AT455" s="198"/>
      <c r="AU455" s="194"/>
      <c r="AV455" s="194"/>
      <c r="AW455" s="194"/>
      <c r="AX455" s="194"/>
      <c r="AY455" s="198"/>
      <c r="AZ455" s="194"/>
      <c r="BA455" s="194"/>
      <c r="BB455" s="194"/>
      <c r="BC455" s="194"/>
      <c r="BD455" s="198"/>
      <c r="BE455" s="197"/>
      <c r="BF455" s="197"/>
      <c r="BG455" s="197"/>
      <c r="BH455" s="197"/>
      <c r="BI455" s="1094"/>
      <c r="BJ455" s="197"/>
      <c r="BK455" s="197"/>
      <c r="BL455" s="197"/>
      <c r="BM455" s="197"/>
      <c r="BN455" s="1094"/>
      <c r="BO455" s="197"/>
      <c r="BP455" s="197"/>
      <c r="BQ455" s="197"/>
      <c r="BR455" s="197"/>
      <c r="BS455" s="1094"/>
      <c r="BT455" s="727"/>
      <c r="BU455" s="197"/>
      <c r="BV455" s="197"/>
      <c r="BW455" s="197"/>
      <c r="BX455" s="1094"/>
      <c r="BY455" s="197"/>
      <c r="BZ455" s="197"/>
      <c r="CA455" s="197"/>
      <c r="CB455" s="197"/>
      <c r="CC455" s="1094"/>
      <c r="CD455" s="1094"/>
      <c r="CE455" s="1094"/>
      <c r="CF455" s="1094"/>
      <c r="CG455" s="349"/>
    </row>
    <row r="456" spans="1:85" s="612" customFormat="1" x14ac:dyDescent="0.3">
      <c r="A456" s="106" t="s">
        <v>1758</v>
      </c>
      <c r="B456" s="514"/>
      <c r="C456" s="1097"/>
      <c r="D456" s="1097"/>
      <c r="E456" s="1097"/>
      <c r="F456" s="1097"/>
      <c r="G456" s="772"/>
      <c r="H456" s="772"/>
      <c r="I456" s="772"/>
      <c r="J456" s="772"/>
      <c r="K456" s="1097"/>
      <c r="L456" s="772"/>
      <c r="M456" s="772"/>
      <c r="N456" s="772"/>
      <c r="O456" s="772"/>
      <c r="P456" s="1097"/>
      <c r="Q456" s="772"/>
      <c r="R456" s="772"/>
      <c r="S456" s="772"/>
      <c r="T456" s="772"/>
      <c r="U456" s="1097"/>
      <c r="V456" s="772"/>
      <c r="W456" s="772"/>
      <c r="X456" s="772"/>
      <c r="Y456" s="772"/>
      <c r="Z456" s="1097"/>
      <c r="AA456" s="772"/>
      <c r="AB456" s="772"/>
      <c r="AC456" s="772"/>
      <c r="AD456" s="772"/>
      <c r="AE456" s="1097"/>
      <c r="AF456" s="772"/>
      <c r="AG456" s="772"/>
      <c r="AH456" s="772"/>
      <c r="AI456" s="772"/>
      <c r="AJ456" s="1097"/>
      <c r="AK456" s="772"/>
      <c r="AL456" s="772"/>
      <c r="AM456" s="772"/>
      <c r="AN456" s="772"/>
      <c r="AO456" s="1097"/>
      <c r="AP456" s="772"/>
      <c r="AQ456" s="772"/>
      <c r="AR456" s="772"/>
      <c r="AS456" s="772"/>
      <c r="AT456" s="1125">
        <v>7998.0309999999999</v>
      </c>
      <c r="AU456" s="772"/>
      <c r="AV456" s="772"/>
      <c r="AW456" s="772"/>
      <c r="AX456" s="772"/>
      <c r="AY456" s="1125">
        <v>7611.4489999999996</v>
      </c>
      <c r="AZ456" s="772"/>
      <c r="BA456" s="772"/>
      <c r="BB456" s="772"/>
      <c r="BC456" s="772"/>
      <c r="BD456" s="1125">
        <v>7870.3459999999995</v>
      </c>
      <c r="BE456" s="772"/>
      <c r="BF456" s="772"/>
      <c r="BG456" s="772"/>
      <c r="BH456" s="772"/>
      <c r="BI456" s="1125">
        <v>364.91199999999998</v>
      </c>
      <c r="BJ456" s="772"/>
      <c r="BK456" s="772"/>
      <c r="BL456" s="772"/>
      <c r="BM456" s="772"/>
      <c r="BN456" s="1125">
        <v>274.03800000000001</v>
      </c>
      <c r="BO456" s="772"/>
      <c r="BP456" s="772"/>
      <c r="BQ456" s="772"/>
      <c r="BR456" s="772"/>
      <c r="BS456" s="1097"/>
      <c r="BT456" s="838"/>
      <c r="BU456" s="772"/>
      <c r="BV456" s="772"/>
      <c r="BW456" s="772"/>
      <c r="BX456" s="1097"/>
      <c r="BY456" s="772"/>
      <c r="BZ456" s="772"/>
      <c r="CA456" s="772"/>
      <c r="CB456" s="772"/>
      <c r="CC456" s="1097"/>
      <c r="CD456" s="1097"/>
      <c r="CE456" s="1097"/>
      <c r="CF456" s="1097"/>
      <c r="CG456" s="348"/>
    </row>
    <row r="457" spans="1:85" s="614" customFormat="1" x14ac:dyDescent="0.3">
      <c r="A457" s="351"/>
      <c r="B457" s="352"/>
      <c r="C457" s="1094"/>
      <c r="D457" s="1094"/>
      <c r="E457" s="1094"/>
      <c r="F457" s="1094"/>
      <c r="G457" s="197"/>
      <c r="H457" s="197"/>
      <c r="I457" s="197"/>
      <c r="J457" s="197"/>
      <c r="K457" s="1094"/>
      <c r="L457" s="197"/>
      <c r="M457" s="197"/>
      <c r="N457" s="197"/>
      <c r="O457" s="197"/>
      <c r="P457" s="1094"/>
      <c r="Q457" s="197"/>
      <c r="R457" s="197"/>
      <c r="S457" s="197"/>
      <c r="T457" s="197"/>
      <c r="U457" s="1094"/>
      <c r="V457" s="197"/>
      <c r="W457" s="197"/>
      <c r="X457" s="197"/>
      <c r="Y457" s="197"/>
      <c r="Z457" s="1094"/>
      <c r="AA457" s="197"/>
      <c r="AB457" s="197"/>
      <c r="AC457" s="197"/>
      <c r="AD457" s="197"/>
      <c r="AE457" s="1094"/>
      <c r="AF457" s="197"/>
      <c r="AG457" s="197"/>
      <c r="AH457" s="197"/>
      <c r="AI457" s="197"/>
      <c r="AJ457" s="1094"/>
      <c r="AK457" s="197"/>
      <c r="AL457" s="197"/>
      <c r="AM457" s="197"/>
      <c r="AN457" s="197"/>
      <c r="AO457" s="1094"/>
      <c r="AP457" s="197"/>
      <c r="AQ457" s="197"/>
      <c r="AR457" s="197"/>
      <c r="AS457" s="197"/>
      <c r="AT457" s="1094"/>
      <c r="AU457" s="197"/>
      <c r="AV457" s="197"/>
      <c r="AW457" s="197"/>
      <c r="AX457" s="197"/>
      <c r="AY457" s="1094"/>
      <c r="AZ457" s="197"/>
      <c r="BA457" s="197"/>
      <c r="BB457" s="197"/>
      <c r="BC457" s="197"/>
      <c r="BD457" s="1094"/>
      <c r="BE457" s="197"/>
      <c r="BF457" s="197"/>
      <c r="BG457" s="197"/>
      <c r="BH457" s="197"/>
      <c r="BI457" s="1094"/>
      <c r="BJ457" s="197"/>
      <c r="BK457" s="197"/>
      <c r="BL457" s="197"/>
      <c r="BM457" s="197"/>
      <c r="BN457" s="1094"/>
      <c r="BO457" s="197"/>
      <c r="BP457" s="197"/>
      <c r="BQ457" s="197"/>
      <c r="BR457" s="197"/>
      <c r="BS457" s="1094"/>
      <c r="BT457" s="727"/>
      <c r="BU457" s="197"/>
      <c r="BV457" s="197"/>
      <c r="BW457" s="197"/>
      <c r="BX457" s="1094"/>
      <c r="BY457" s="197"/>
      <c r="BZ457" s="197"/>
      <c r="CA457" s="197"/>
      <c r="CB457" s="197"/>
      <c r="CC457" s="1094"/>
      <c r="CD457" s="1094"/>
      <c r="CE457" s="1094"/>
      <c r="CF457" s="1094"/>
      <c r="CG457" s="349"/>
    </row>
    <row r="458" spans="1:85" s="613" customFormat="1" x14ac:dyDescent="0.3">
      <c r="A458" s="107" t="s">
        <v>1757</v>
      </c>
      <c r="B458" s="523"/>
      <c r="C458" s="78"/>
      <c r="D458" s="78"/>
      <c r="E458" s="78"/>
      <c r="F458" s="78"/>
      <c r="G458" s="774"/>
      <c r="H458" s="774"/>
      <c r="I458" s="774"/>
      <c r="J458" s="774"/>
      <c r="K458" s="78"/>
      <c r="L458" s="774"/>
      <c r="M458" s="774"/>
      <c r="N458" s="774"/>
      <c r="O458" s="774"/>
      <c r="P458" s="78"/>
      <c r="Q458" s="774"/>
      <c r="R458" s="774"/>
      <c r="S458" s="774"/>
      <c r="T458" s="774"/>
      <c r="U458" s="78"/>
      <c r="V458" s="774"/>
      <c r="W458" s="774"/>
      <c r="X458" s="774"/>
      <c r="Y458" s="774"/>
      <c r="Z458" s="78"/>
      <c r="AA458" s="774"/>
      <c r="AB458" s="774"/>
      <c r="AC458" s="774"/>
      <c r="AD458" s="774"/>
      <c r="AE458" s="78"/>
      <c r="AF458" s="774"/>
      <c r="AG458" s="774"/>
      <c r="AH458" s="774"/>
      <c r="AI458" s="774"/>
      <c r="AJ458" s="78"/>
      <c r="AK458" s="774"/>
      <c r="AL458" s="774"/>
      <c r="AM458" s="774"/>
      <c r="AN458" s="774"/>
      <c r="AO458" s="78"/>
      <c r="AP458" s="774"/>
      <c r="AQ458" s="774"/>
      <c r="AR458" s="774"/>
      <c r="AS458" s="774"/>
      <c r="AT458" s="1119">
        <v>20000</v>
      </c>
      <c r="AU458" s="774"/>
      <c r="AV458" s="774"/>
      <c r="AW458" s="774"/>
      <c r="AX458" s="774"/>
      <c r="AY458" s="1119">
        <v>20000</v>
      </c>
      <c r="AZ458" s="774"/>
      <c r="BA458" s="774"/>
      <c r="BB458" s="774"/>
      <c r="BC458" s="774"/>
      <c r="BD458" s="1126">
        <v>20000</v>
      </c>
      <c r="BE458" s="774"/>
      <c r="BF458" s="774"/>
      <c r="BG458" s="774"/>
      <c r="BH458" s="774"/>
      <c r="BI458" s="1119">
        <v>3000</v>
      </c>
      <c r="BJ458" s="774"/>
      <c r="BK458" s="774"/>
      <c r="BL458" s="774"/>
      <c r="BM458" s="774"/>
      <c r="BN458" s="1119">
        <v>3000</v>
      </c>
      <c r="BO458" s="774"/>
      <c r="BP458" s="774"/>
      <c r="BQ458" s="774"/>
      <c r="BR458" s="774"/>
      <c r="BS458" s="78"/>
      <c r="BT458" s="775"/>
      <c r="BU458" s="774"/>
      <c r="BV458" s="774"/>
      <c r="BW458" s="774"/>
      <c r="BX458" s="78"/>
      <c r="BY458" s="774"/>
      <c r="BZ458" s="774"/>
      <c r="CA458" s="774"/>
      <c r="CB458" s="774"/>
      <c r="CC458" s="78"/>
      <c r="CD458" s="78"/>
      <c r="CE458" s="78"/>
      <c r="CF458" s="78"/>
      <c r="CG458" s="532"/>
    </row>
    <row r="459" spans="1:85" s="613" customFormat="1" x14ac:dyDescent="0.3">
      <c r="A459" s="107" t="s">
        <v>2395</v>
      </c>
      <c r="B459" s="523"/>
      <c r="C459" s="78"/>
      <c r="D459" s="78"/>
      <c r="E459" s="78"/>
      <c r="F459" s="78"/>
      <c r="G459" s="774"/>
      <c r="H459" s="774"/>
      <c r="I459" s="774"/>
      <c r="J459" s="774"/>
      <c r="K459" s="78"/>
      <c r="L459" s="774"/>
      <c r="M459" s="774"/>
      <c r="N459" s="774"/>
      <c r="O459" s="774"/>
      <c r="P459" s="78"/>
      <c r="Q459" s="774"/>
      <c r="R459" s="774"/>
      <c r="S459" s="774"/>
      <c r="T459" s="774"/>
      <c r="U459" s="78"/>
      <c r="V459" s="774"/>
      <c r="W459" s="774"/>
      <c r="X459" s="774"/>
      <c r="Y459" s="774"/>
      <c r="Z459" s="78"/>
      <c r="AA459" s="774"/>
      <c r="AB459" s="774"/>
      <c r="AC459" s="774"/>
      <c r="AD459" s="774"/>
      <c r="AE459" s="78"/>
      <c r="AF459" s="774"/>
      <c r="AG459" s="774"/>
      <c r="AH459" s="774"/>
      <c r="AI459" s="774"/>
      <c r="AJ459" s="78"/>
      <c r="AK459" s="774"/>
      <c r="AL459" s="774"/>
      <c r="AM459" s="774"/>
      <c r="AN459" s="774"/>
      <c r="AO459" s="78"/>
      <c r="AP459" s="774"/>
      <c r="AQ459" s="774"/>
      <c r="AR459" s="774"/>
      <c r="AS459" s="774"/>
      <c r="AT459" s="78"/>
      <c r="AU459" s="774"/>
      <c r="AV459" s="774"/>
      <c r="AW459" s="774"/>
      <c r="AX459" s="774"/>
      <c r="AY459" s="78"/>
      <c r="AZ459" s="774"/>
      <c r="BA459" s="774"/>
      <c r="BB459" s="774"/>
      <c r="BC459" s="774"/>
      <c r="BD459" s="1127"/>
      <c r="BE459" s="774"/>
      <c r="BF459" s="774"/>
      <c r="BG459" s="774"/>
      <c r="BH459" s="774"/>
      <c r="BI459" s="78"/>
      <c r="BJ459" s="774"/>
      <c r="BK459" s="774"/>
      <c r="BL459" s="774"/>
      <c r="BM459" s="774"/>
      <c r="BN459" s="1119">
        <v>42707.872000000003</v>
      </c>
      <c r="BO459" s="774"/>
      <c r="BP459" s="774"/>
      <c r="BQ459" s="774"/>
      <c r="BR459" s="774"/>
      <c r="BS459" s="78"/>
      <c r="BT459" s="775"/>
      <c r="BU459" s="774"/>
      <c r="BV459" s="774"/>
      <c r="BW459" s="774"/>
      <c r="BX459" s="78"/>
      <c r="BY459" s="774"/>
      <c r="BZ459" s="774"/>
      <c r="CA459" s="774"/>
      <c r="CB459" s="774"/>
      <c r="CC459" s="78"/>
      <c r="CD459" s="78"/>
      <c r="CE459" s="78"/>
      <c r="CF459" s="78"/>
      <c r="CG459" s="532"/>
    </row>
    <row r="460" spans="1:85" s="613" customFormat="1" x14ac:dyDescent="0.3">
      <c r="A460" s="107" t="s">
        <v>1756</v>
      </c>
      <c r="B460" s="523"/>
      <c r="C460" s="78"/>
      <c r="D460" s="78"/>
      <c r="E460" s="78"/>
      <c r="F460" s="78"/>
      <c r="G460" s="774"/>
      <c r="H460" s="774"/>
      <c r="I460" s="774"/>
      <c r="J460" s="774"/>
      <c r="K460" s="78"/>
      <c r="L460" s="774"/>
      <c r="M460" s="774"/>
      <c r="N460" s="774"/>
      <c r="O460" s="774"/>
      <c r="P460" s="78"/>
      <c r="Q460" s="774"/>
      <c r="R460" s="774"/>
      <c r="S460" s="774"/>
      <c r="T460" s="774"/>
      <c r="U460" s="78"/>
      <c r="V460" s="774"/>
      <c r="W460" s="774"/>
      <c r="X460" s="774"/>
      <c r="Y460" s="774"/>
      <c r="Z460" s="78"/>
      <c r="AA460" s="774"/>
      <c r="AB460" s="774"/>
      <c r="AC460" s="774"/>
      <c r="AD460" s="774"/>
      <c r="AE460" s="78"/>
      <c r="AF460" s="774"/>
      <c r="AG460" s="774"/>
      <c r="AH460" s="774"/>
      <c r="AI460" s="774"/>
      <c r="AJ460" s="78"/>
      <c r="AK460" s="774"/>
      <c r="AL460" s="774"/>
      <c r="AM460" s="774"/>
      <c r="AN460" s="774"/>
      <c r="AO460" s="78"/>
      <c r="AP460" s="774"/>
      <c r="AQ460" s="774"/>
      <c r="AR460" s="774"/>
      <c r="AS460" s="774"/>
      <c r="AT460" s="1119">
        <v>18304.124</v>
      </c>
      <c r="AU460" s="774"/>
      <c r="AV460" s="774"/>
      <c r="AW460" s="774"/>
      <c r="AX460" s="774"/>
      <c r="AY460" s="1119">
        <v>17119.501</v>
      </c>
      <c r="AZ460" s="774"/>
      <c r="BA460" s="774"/>
      <c r="BB460" s="774"/>
      <c r="BC460" s="774"/>
      <c r="BD460" s="1119">
        <v>28512.519</v>
      </c>
      <c r="BE460" s="774"/>
      <c r="BF460" s="774"/>
      <c r="BG460" s="774"/>
      <c r="BH460" s="774"/>
      <c r="BI460" s="1119">
        <v>28308.62</v>
      </c>
      <c r="BJ460" s="774"/>
      <c r="BK460" s="774"/>
      <c r="BL460" s="774"/>
      <c r="BM460" s="774"/>
      <c r="BN460" s="1119">
        <v>2253.067</v>
      </c>
      <c r="BO460" s="774"/>
      <c r="BP460" s="774"/>
      <c r="BQ460" s="774"/>
      <c r="BR460" s="774"/>
      <c r="BS460" s="78"/>
      <c r="BT460" s="775"/>
      <c r="BU460" s="774"/>
      <c r="BV460" s="774"/>
      <c r="BW460" s="774"/>
      <c r="BX460" s="78"/>
      <c r="BY460" s="774"/>
      <c r="BZ460" s="774"/>
      <c r="CA460" s="774"/>
      <c r="CB460" s="774"/>
      <c r="CC460" s="78"/>
      <c r="CD460" s="78"/>
      <c r="CE460" s="78"/>
      <c r="CF460" s="78"/>
      <c r="CG460" s="532"/>
    </row>
    <row r="461" spans="1:85" s="613" customFormat="1" x14ac:dyDescent="0.3">
      <c r="A461" s="107" t="s">
        <v>2163</v>
      </c>
      <c r="B461" s="523"/>
      <c r="C461" s="78"/>
      <c r="D461" s="78"/>
      <c r="E461" s="78"/>
      <c r="F461" s="78"/>
      <c r="G461" s="774"/>
      <c r="H461" s="774"/>
      <c r="I461" s="774"/>
      <c r="J461" s="774"/>
      <c r="K461" s="78"/>
      <c r="L461" s="774"/>
      <c r="M461" s="774"/>
      <c r="N461" s="774"/>
      <c r="O461" s="774"/>
      <c r="P461" s="78"/>
      <c r="Q461" s="774"/>
      <c r="R461" s="774"/>
      <c r="S461" s="774"/>
      <c r="T461" s="774"/>
      <c r="U461" s="78"/>
      <c r="V461" s="774"/>
      <c r="W461" s="774"/>
      <c r="X461" s="774"/>
      <c r="Y461" s="774"/>
      <c r="Z461" s="78"/>
      <c r="AA461" s="774"/>
      <c r="AB461" s="774"/>
      <c r="AC461" s="774"/>
      <c r="AD461" s="774"/>
      <c r="AE461" s="78"/>
      <c r="AF461" s="774"/>
      <c r="AG461" s="774"/>
      <c r="AH461" s="774"/>
      <c r="AI461" s="774"/>
      <c r="AJ461" s="78"/>
      <c r="AK461" s="774"/>
      <c r="AL461" s="774"/>
      <c r="AM461" s="774"/>
      <c r="AN461" s="774"/>
      <c r="AO461" s="78"/>
      <c r="AP461" s="774"/>
      <c r="AQ461" s="774"/>
      <c r="AR461" s="774"/>
      <c r="AS461" s="774"/>
      <c r="AT461" s="78"/>
      <c r="AU461" s="774"/>
      <c r="AV461" s="774"/>
      <c r="AW461" s="774"/>
      <c r="AX461" s="774"/>
      <c r="AY461" s="78"/>
      <c r="AZ461" s="774"/>
      <c r="BA461" s="774"/>
      <c r="BB461" s="774"/>
      <c r="BC461" s="774"/>
      <c r="BD461" s="78"/>
      <c r="BE461" s="774"/>
      <c r="BF461" s="774"/>
      <c r="BG461" s="774"/>
      <c r="BH461" s="774"/>
      <c r="BI461" s="1119">
        <v>16541.384999999998</v>
      </c>
      <c r="BJ461" s="774"/>
      <c r="BK461" s="774"/>
      <c r="BL461" s="774"/>
      <c r="BM461" s="774"/>
      <c r="BN461" s="1119">
        <v>12000</v>
      </c>
      <c r="BO461" s="774"/>
      <c r="BP461" s="774"/>
      <c r="BQ461" s="774"/>
      <c r="BR461" s="774"/>
      <c r="BS461" s="78"/>
      <c r="BT461" s="775"/>
      <c r="BU461" s="774"/>
      <c r="BV461" s="774"/>
      <c r="BW461" s="774"/>
      <c r="BX461" s="78"/>
      <c r="BY461" s="774"/>
      <c r="BZ461" s="774"/>
      <c r="CA461" s="774"/>
      <c r="CB461" s="774"/>
      <c r="CC461" s="78"/>
      <c r="CD461" s="78"/>
      <c r="CE461" s="78"/>
      <c r="CF461" s="78"/>
      <c r="CG461" s="532"/>
    </row>
    <row r="462" spans="1:85" s="613" customFormat="1" x14ac:dyDescent="0.3">
      <c r="A462" s="174" t="s">
        <v>1755</v>
      </c>
      <c r="B462" s="528"/>
      <c r="C462" s="1100"/>
      <c r="D462" s="1100"/>
      <c r="E462" s="1100"/>
      <c r="F462" s="1100"/>
      <c r="G462" s="840"/>
      <c r="H462" s="840"/>
      <c r="I462" s="840"/>
      <c r="J462" s="840"/>
      <c r="K462" s="1100"/>
      <c r="L462" s="840"/>
      <c r="M462" s="840"/>
      <c r="N462" s="840"/>
      <c r="O462" s="840"/>
      <c r="P462" s="1100"/>
      <c r="Q462" s="840"/>
      <c r="R462" s="840"/>
      <c r="S462" s="840"/>
      <c r="T462" s="840"/>
      <c r="U462" s="1100"/>
      <c r="V462" s="840"/>
      <c r="W462" s="840"/>
      <c r="X462" s="840"/>
      <c r="Y462" s="840"/>
      <c r="Z462" s="1100"/>
      <c r="AA462" s="840"/>
      <c r="AB462" s="840"/>
      <c r="AC462" s="840"/>
      <c r="AD462" s="840"/>
      <c r="AE462" s="1100"/>
      <c r="AF462" s="840"/>
      <c r="AG462" s="840"/>
      <c r="AH462" s="840"/>
      <c r="AI462" s="840"/>
      <c r="AJ462" s="1100"/>
      <c r="AK462" s="840"/>
      <c r="AL462" s="840"/>
      <c r="AM462" s="840"/>
      <c r="AN462" s="840"/>
      <c r="AO462" s="1100"/>
      <c r="AP462" s="840"/>
      <c r="AQ462" s="840"/>
      <c r="AR462" s="840"/>
      <c r="AS462" s="840"/>
      <c r="AT462" s="1120">
        <v>1014.127</v>
      </c>
      <c r="AU462" s="840"/>
      <c r="AV462" s="840"/>
      <c r="AW462" s="840"/>
      <c r="AX462" s="840"/>
      <c r="AY462" s="1120">
        <v>1112.663</v>
      </c>
      <c r="AZ462" s="840"/>
      <c r="BA462" s="840"/>
      <c r="BB462" s="840"/>
      <c r="BC462" s="840"/>
      <c r="BD462" s="1120">
        <v>1786.777</v>
      </c>
      <c r="BE462" s="840"/>
      <c r="BF462" s="840"/>
      <c r="BG462" s="840"/>
      <c r="BH462" s="840"/>
      <c r="BI462" s="1120">
        <v>1984.931</v>
      </c>
      <c r="BJ462" s="840"/>
      <c r="BK462" s="840"/>
      <c r="BL462" s="840"/>
      <c r="BM462" s="840"/>
      <c r="BN462" s="1120">
        <v>1961.4580000000001</v>
      </c>
      <c r="BO462" s="840"/>
      <c r="BP462" s="840"/>
      <c r="BQ462" s="840"/>
      <c r="BR462" s="840"/>
      <c r="BS462" s="1100"/>
      <c r="BT462" s="841"/>
      <c r="BU462" s="840"/>
      <c r="BV462" s="840"/>
      <c r="BW462" s="840"/>
      <c r="BX462" s="1100"/>
      <c r="BY462" s="840"/>
      <c r="BZ462" s="840"/>
      <c r="CA462" s="840"/>
      <c r="CB462" s="840"/>
      <c r="CC462" s="1100"/>
      <c r="CD462" s="1100"/>
      <c r="CE462" s="1100"/>
      <c r="CF462" s="1100"/>
      <c r="CG462" s="532"/>
    </row>
    <row r="463" spans="1:85" s="612" customFormat="1" x14ac:dyDescent="0.3">
      <c r="A463" s="106" t="s">
        <v>1754</v>
      </c>
      <c r="B463" s="514"/>
      <c r="C463" s="1097"/>
      <c r="D463" s="1097"/>
      <c r="E463" s="1097"/>
      <c r="F463" s="1097"/>
      <c r="G463" s="772"/>
      <c r="H463" s="772"/>
      <c r="I463" s="772"/>
      <c r="J463" s="772"/>
      <c r="K463" s="1097"/>
      <c r="L463" s="772"/>
      <c r="M463" s="772"/>
      <c r="N463" s="772"/>
      <c r="O463" s="772"/>
      <c r="P463" s="1097"/>
      <c r="Q463" s="772"/>
      <c r="R463" s="772"/>
      <c r="S463" s="772"/>
      <c r="T463" s="772"/>
      <c r="U463" s="1097"/>
      <c r="V463" s="772"/>
      <c r="W463" s="772"/>
      <c r="X463" s="772"/>
      <c r="Y463" s="772"/>
      <c r="Z463" s="1097"/>
      <c r="AA463" s="772"/>
      <c r="AB463" s="772"/>
      <c r="AC463" s="772"/>
      <c r="AD463" s="772"/>
      <c r="AE463" s="1097"/>
      <c r="AF463" s="772"/>
      <c r="AG463" s="772"/>
      <c r="AH463" s="772"/>
      <c r="AI463" s="772"/>
      <c r="AJ463" s="1097"/>
      <c r="AK463" s="772"/>
      <c r="AL463" s="772"/>
      <c r="AM463" s="772"/>
      <c r="AN463" s="772"/>
      <c r="AO463" s="1097"/>
      <c r="AP463" s="772"/>
      <c r="AQ463" s="772"/>
      <c r="AR463" s="772"/>
      <c r="AS463" s="772"/>
      <c r="AT463" s="1097">
        <f>SUM(AT458:AT462)</f>
      </c>
      <c r="AU463" s="772"/>
      <c r="AV463" s="772"/>
      <c r="AW463" s="772"/>
      <c r="AX463" s="772"/>
      <c r="AY463" s="1097">
        <f>SUM(AY458:AY462)</f>
      </c>
      <c r="AZ463" s="772"/>
      <c r="BA463" s="772"/>
      <c r="BB463" s="772"/>
      <c r="BC463" s="772"/>
      <c r="BD463" s="1097">
        <f>SUM(BD458:BD462)</f>
      </c>
      <c r="BE463" s="772"/>
      <c r="BF463" s="772"/>
      <c r="BG463" s="772"/>
      <c r="BH463" s="772"/>
      <c r="BI463" s="1097">
        <f>SUM(BI458:BI462)</f>
      </c>
      <c r="BJ463" s="772"/>
      <c r="BK463" s="772"/>
      <c r="BL463" s="772"/>
      <c r="BM463" s="772"/>
      <c r="BN463" s="1097">
        <f>SUM(BN458:BN462)</f>
      </c>
      <c r="BO463" s="772"/>
      <c r="BP463" s="772"/>
      <c r="BQ463" s="772"/>
      <c r="BR463" s="772"/>
      <c r="BS463" s="1097"/>
      <c r="BT463" s="838"/>
      <c r="BU463" s="772"/>
      <c r="BV463" s="772"/>
      <c r="BW463" s="772"/>
      <c r="BX463" s="1097"/>
      <c r="BY463" s="772"/>
      <c r="BZ463" s="772"/>
      <c r="CA463" s="772"/>
      <c r="CB463" s="772"/>
      <c r="CC463" s="1097"/>
      <c r="CD463" s="1097"/>
      <c r="CE463" s="1097"/>
      <c r="CF463" s="1097"/>
      <c r="CG463" s="348"/>
    </row>
    <row r="464" spans="1:85" s="617" customFormat="1" x14ac:dyDescent="0.3">
      <c r="A464" s="116" t="s">
        <v>1753</v>
      </c>
      <c r="B464" s="529"/>
      <c r="C464" s="1099"/>
      <c r="D464" s="1099"/>
      <c r="E464" s="1099"/>
      <c r="F464" s="1099"/>
      <c r="G464" s="185"/>
      <c r="H464" s="185"/>
      <c r="I464" s="185"/>
      <c r="J464" s="185"/>
      <c r="K464" s="1099"/>
      <c r="L464" s="185"/>
      <c r="M464" s="185"/>
      <c r="N464" s="185"/>
      <c r="O464" s="185"/>
      <c r="P464" s="1099"/>
      <c r="Q464" s="185"/>
      <c r="R464" s="185"/>
      <c r="S464" s="185"/>
      <c r="T464" s="185"/>
      <c r="U464" s="1099"/>
      <c r="V464" s="185"/>
      <c r="W464" s="185"/>
      <c r="X464" s="185"/>
      <c r="Y464" s="185"/>
      <c r="Z464" s="1099"/>
      <c r="AA464" s="185"/>
      <c r="AB464" s="185"/>
      <c r="AC464" s="185"/>
      <c r="AD464" s="185"/>
      <c r="AE464" s="1099"/>
      <c r="AF464" s="185"/>
      <c r="AG464" s="185"/>
      <c r="AH464" s="185"/>
      <c r="AI464" s="185"/>
      <c r="AJ464" s="1099"/>
      <c r="AK464" s="185"/>
      <c r="AL464" s="185"/>
      <c r="AM464" s="185"/>
      <c r="AN464" s="185"/>
      <c r="AO464" s="1099"/>
      <c r="AP464" s="185"/>
      <c r="AQ464" s="185"/>
      <c r="AR464" s="185"/>
      <c r="AS464" s="185"/>
      <c r="AT464" s="83">
        <f>SUM(AT460)/AT463</f>
      </c>
      <c r="AU464" s="86"/>
      <c r="AV464" s="86"/>
      <c r="AW464" s="86"/>
      <c r="AX464" s="86"/>
      <c r="AY464" s="83">
        <f>SUM(AY460)/AY463</f>
      </c>
      <c r="AZ464" s="86"/>
      <c r="BA464" s="86"/>
      <c r="BB464" s="86"/>
      <c r="BC464" s="86"/>
      <c r="BD464" s="83">
        <f>SUM(BD460)/BD463</f>
      </c>
      <c r="BE464" s="185"/>
      <c r="BF464" s="185"/>
      <c r="BG464" s="185"/>
      <c r="BH464" s="185"/>
      <c r="BI464" s="83">
        <f>SUM(BI460)/BI463</f>
      </c>
      <c r="BJ464" s="185"/>
      <c r="BK464" s="185"/>
      <c r="BL464" s="185"/>
      <c r="BM464" s="185"/>
      <c r="BN464" s="83">
        <f>SUM(BN459,BN460)/BN463</f>
      </c>
      <c r="BO464" s="185"/>
      <c r="BP464" s="185"/>
      <c r="BQ464" s="185"/>
      <c r="BR464" s="185"/>
      <c r="BS464" s="83"/>
      <c r="BT464" s="730"/>
      <c r="BU464" s="185"/>
      <c r="BV464" s="185"/>
      <c r="BW464" s="185"/>
      <c r="BX464" s="1099"/>
      <c r="BY464" s="185"/>
      <c r="BZ464" s="185"/>
      <c r="CA464" s="185"/>
      <c r="CB464" s="185"/>
      <c r="CC464" s="1099"/>
      <c r="CD464" s="1099"/>
      <c r="CE464" s="1099"/>
      <c r="CF464" s="1099"/>
      <c r="CG464" s="524"/>
    </row>
    <row r="465" spans="1:85" s="614" customFormat="1" x14ac:dyDescent="0.3">
      <c r="A465" s="116"/>
      <c r="B465" s="352"/>
      <c r="C465" s="1094"/>
      <c r="D465" s="1094"/>
      <c r="E465" s="1094"/>
      <c r="F465" s="1094"/>
      <c r="G465" s="197"/>
      <c r="H465" s="197"/>
      <c r="I465" s="197"/>
      <c r="J465" s="197"/>
      <c r="K465" s="1094"/>
      <c r="L465" s="197"/>
      <c r="M465" s="197"/>
      <c r="N465" s="197"/>
      <c r="O465" s="197"/>
      <c r="P465" s="1094"/>
      <c r="Q465" s="197"/>
      <c r="R465" s="197"/>
      <c r="S465" s="197"/>
      <c r="T465" s="197"/>
      <c r="U465" s="1094"/>
      <c r="V465" s="197"/>
      <c r="W465" s="197"/>
      <c r="X465" s="197"/>
      <c r="Y465" s="197"/>
      <c r="Z465" s="1094"/>
      <c r="AA465" s="197"/>
      <c r="AB465" s="197"/>
      <c r="AC465" s="197"/>
      <c r="AD465" s="197"/>
      <c r="AE465" s="1094"/>
      <c r="AF465" s="197"/>
      <c r="AG465" s="197"/>
      <c r="AH465" s="197"/>
      <c r="AI465" s="197"/>
      <c r="AJ465" s="1094"/>
      <c r="AK465" s="197"/>
      <c r="AL465" s="197"/>
      <c r="AM465" s="197"/>
      <c r="AN465" s="197"/>
      <c r="AO465" s="1094"/>
      <c r="AP465" s="197"/>
      <c r="AQ465" s="197"/>
      <c r="AR465" s="197"/>
      <c r="AS465" s="197"/>
      <c r="AT465" s="198"/>
      <c r="AU465" s="194"/>
      <c r="AV465" s="194"/>
      <c r="AW465" s="194"/>
      <c r="AX465" s="194"/>
      <c r="AY465" s="198"/>
      <c r="AZ465" s="194"/>
      <c r="BA465" s="194"/>
      <c r="BB465" s="194"/>
      <c r="BC465" s="194"/>
      <c r="BD465" s="198"/>
      <c r="BE465" s="197"/>
      <c r="BF465" s="197"/>
      <c r="BG465" s="197"/>
      <c r="BH465" s="197"/>
      <c r="BI465" s="1094"/>
      <c r="BJ465" s="197"/>
      <c r="BK465" s="197"/>
      <c r="BL465" s="197"/>
      <c r="BM465" s="197"/>
      <c r="BN465" s="1094"/>
      <c r="BO465" s="197"/>
      <c r="BP465" s="197"/>
      <c r="BQ465" s="197"/>
      <c r="BR465" s="197"/>
      <c r="BS465" s="1094"/>
      <c r="BT465" s="727"/>
      <c r="BU465" s="197"/>
      <c r="BV465" s="197"/>
      <c r="BW465" s="197"/>
      <c r="BX465" s="1094"/>
      <c r="BY465" s="197"/>
      <c r="BZ465" s="197"/>
      <c r="CA465" s="197"/>
      <c r="CB465" s="197"/>
      <c r="CC465" s="1094"/>
      <c r="CD465" s="1094"/>
      <c r="CE465" s="1094"/>
      <c r="CF465" s="1094"/>
      <c r="CG465" s="349"/>
    </row>
    <row r="466" spans="1:85" s="613" customFormat="1" x14ac:dyDescent="0.3">
      <c r="A466" s="478" t="s">
        <v>1752</v>
      </c>
      <c r="B466" s="523"/>
      <c r="C466" s="78"/>
      <c r="D466" s="78"/>
      <c r="E466" s="78"/>
      <c r="F466" s="78"/>
      <c r="G466" s="774"/>
      <c r="H466" s="774"/>
      <c r="I466" s="774"/>
      <c r="J466" s="774"/>
      <c r="K466" s="78"/>
      <c r="L466" s="774"/>
      <c r="M466" s="774"/>
      <c r="N466" s="774"/>
      <c r="O466" s="774"/>
      <c r="P466" s="78"/>
      <c r="Q466" s="774"/>
      <c r="R466" s="774"/>
      <c r="S466" s="774"/>
      <c r="T466" s="774"/>
      <c r="U466" s="78"/>
      <c r="V466" s="774"/>
      <c r="W466" s="774"/>
      <c r="X466" s="774"/>
      <c r="Y466" s="774"/>
      <c r="Z466" s="78"/>
      <c r="AA466" s="774"/>
      <c r="AB466" s="774"/>
      <c r="AC466" s="774"/>
      <c r="AD466" s="774"/>
      <c r="AE466" s="78"/>
      <c r="AF466" s="774"/>
      <c r="AG466" s="774"/>
      <c r="AH466" s="774"/>
      <c r="AI466" s="774"/>
      <c r="AJ466" s="78"/>
      <c r="AK466" s="774"/>
      <c r="AL466" s="774"/>
      <c r="AM466" s="774"/>
      <c r="AN466" s="774"/>
      <c r="AO466" s="78"/>
      <c r="AP466" s="774"/>
      <c r="AQ466" s="774"/>
      <c r="AR466" s="774"/>
      <c r="AS466" s="774"/>
      <c r="AT466" s="1119">
        <v>25.13</v>
      </c>
      <c r="AU466" s="774"/>
      <c r="AV466" s="774"/>
      <c r="AW466" s="774"/>
      <c r="AX466" s="774"/>
      <c r="AY466" s="1119">
        <v>25.13</v>
      </c>
      <c r="AZ466" s="774"/>
      <c r="BA466" s="774"/>
      <c r="BB466" s="774"/>
      <c r="BC466" s="774"/>
      <c r="BD466" s="1119">
        <v>25.13</v>
      </c>
      <c r="BE466" s="774"/>
      <c r="BF466" s="774"/>
      <c r="BG466" s="774"/>
      <c r="BH466" s="774"/>
      <c r="BI466" s="1119">
        <v>25.13</v>
      </c>
      <c r="BJ466" s="774"/>
      <c r="BK466" s="774"/>
      <c r="BL466" s="774"/>
      <c r="BM466" s="774"/>
      <c r="BN466" s="78"/>
      <c r="BO466" s="774"/>
      <c r="BP466" s="774"/>
      <c r="BQ466" s="774"/>
      <c r="BR466" s="774"/>
      <c r="BS466" s="78"/>
      <c r="BT466" s="775"/>
      <c r="BU466" s="774"/>
      <c r="BV466" s="774"/>
      <c r="BW466" s="774"/>
      <c r="BX466" s="78"/>
      <c r="BY466" s="774"/>
      <c r="BZ466" s="774"/>
      <c r="CA466" s="774"/>
      <c r="CB466" s="774"/>
      <c r="CC466" s="78"/>
      <c r="CD466" s="78"/>
      <c r="CE466" s="78"/>
      <c r="CF466" s="78"/>
      <c r="CG466" s="532"/>
    </row>
    <row r="467" spans="1:85" s="615" customFormat="1" x14ac:dyDescent="0.3">
      <c r="A467" s="522" t="s">
        <v>1751</v>
      </c>
      <c r="B467" s="521"/>
      <c r="C467" s="1122"/>
      <c r="D467" s="1122"/>
      <c r="E467" s="1122"/>
      <c r="F467" s="1122"/>
      <c r="G467" s="520"/>
      <c r="H467" s="520"/>
      <c r="I467" s="520"/>
      <c r="J467" s="520"/>
      <c r="K467" s="1122"/>
      <c r="L467" s="520"/>
      <c r="M467" s="520"/>
      <c r="N467" s="520"/>
      <c r="O467" s="520"/>
      <c r="P467" s="1122"/>
      <c r="Q467" s="520"/>
      <c r="R467" s="520"/>
      <c r="S467" s="520"/>
      <c r="T467" s="520"/>
      <c r="U467" s="1122"/>
      <c r="V467" s="520"/>
      <c r="W467" s="520"/>
      <c r="X467" s="520"/>
      <c r="Y467" s="520"/>
      <c r="Z467" s="1122"/>
      <c r="AA467" s="520"/>
      <c r="AB467" s="520"/>
      <c r="AC467" s="520"/>
      <c r="AD467" s="520"/>
      <c r="AE467" s="1122"/>
      <c r="AF467" s="520"/>
      <c r="AG467" s="520"/>
      <c r="AH467" s="520"/>
      <c r="AI467" s="520"/>
      <c r="AJ467" s="1122"/>
      <c r="AK467" s="520"/>
      <c r="AL467" s="520"/>
      <c r="AM467" s="520"/>
      <c r="AN467" s="520"/>
      <c r="AO467" s="1122"/>
      <c r="AP467" s="520"/>
      <c r="AQ467" s="520"/>
      <c r="AR467" s="520"/>
      <c r="AS467" s="520"/>
      <c r="AT467" s="1123">
        <v>79.58</v>
      </c>
      <c r="AU467" s="526"/>
      <c r="AV467" s="526"/>
      <c r="AW467" s="526"/>
      <c r="AX467" s="526"/>
      <c r="AY467" s="1123">
        <v>79.58</v>
      </c>
      <c r="AZ467" s="526"/>
      <c r="BA467" s="526"/>
      <c r="BB467" s="526"/>
      <c r="BC467" s="526"/>
      <c r="BD467" s="1123">
        <v>79.58</v>
      </c>
      <c r="BE467" s="520"/>
      <c r="BF467" s="520"/>
      <c r="BG467" s="520"/>
      <c r="BH467" s="520"/>
      <c r="BI467" s="1123">
        <v>79.58</v>
      </c>
      <c r="BJ467" s="520"/>
      <c r="BK467" s="520"/>
      <c r="BL467" s="520"/>
      <c r="BM467" s="520"/>
      <c r="BN467" s="1124"/>
      <c r="BO467" s="520"/>
      <c r="BP467" s="520"/>
      <c r="BQ467" s="520"/>
      <c r="BR467" s="520"/>
      <c r="BS467" s="1124"/>
      <c r="BT467" s="728"/>
      <c r="BU467" s="520"/>
      <c r="BV467" s="520"/>
      <c r="BW467" s="520"/>
      <c r="BX467" s="1122"/>
      <c r="BY467" s="520"/>
      <c r="BZ467" s="520"/>
      <c r="CA467" s="520"/>
      <c r="CB467" s="520"/>
      <c r="CC467" s="1122"/>
      <c r="CD467" s="1122"/>
      <c r="CE467" s="1122"/>
      <c r="CF467" s="1122"/>
      <c r="CG467" s="519"/>
    </row>
    <row r="468" spans="1:85" s="614" customFormat="1" x14ac:dyDescent="0.3">
      <c r="A468" s="116"/>
      <c r="B468" s="352"/>
      <c r="C468" s="1094"/>
      <c r="D468" s="1094"/>
      <c r="E468" s="1094"/>
      <c r="F468" s="1094"/>
      <c r="G468" s="197"/>
      <c r="H468" s="197"/>
      <c r="I468" s="197"/>
      <c r="J468" s="197"/>
      <c r="K468" s="1094"/>
      <c r="L468" s="197"/>
      <c r="M468" s="197"/>
      <c r="N468" s="197"/>
      <c r="O468" s="197"/>
      <c r="P468" s="1094"/>
      <c r="Q468" s="197"/>
      <c r="R468" s="197"/>
      <c r="S468" s="197"/>
      <c r="T468" s="197"/>
      <c r="U468" s="1094"/>
      <c r="V468" s="197"/>
      <c r="W468" s="197"/>
      <c r="X468" s="197"/>
      <c r="Y468" s="197"/>
      <c r="Z468" s="1094"/>
      <c r="AA468" s="197"/>
      <c r="AB468" s="197"/>
      <c r="AC468" s="197"/>
      <c r="AD468" s="197"/>
      <c r="AE468" s="1094"/>
      <c r="AF468" s="197"/>
      <c r="AG468" s="197"/>
      <c r="AH468" s="197"/>
      <c r="AI468" s="197"/>
      <c r="AJ468" s="1094"/>
      <c r="AK468" s="197"/>
      <c r="AL468" s="197"/>
      <c r="AM468" s="197"/>
      <c r="AN468" s="197"/>
      <c r="AO468" s="1094"/>
      <c r="AP468" s="197"/>
      <c r="AQ468" s="197"/>
      <c r="AR468" s="197"/>
      <c r="AS468" s="197"/>
      <c r="AT468" s="198"/>
      <c r="AU468" s="194"/>
      <c r="AV468" s="194"/>
      <c r="AW468" s="194"/>
      <c r="AX468" s="194"/>
      <c r="AY468" s="198"/>
      <c r="AZ468" s="194"/>
      <c r="BA468" s="194"/>
      <c r="BB468" s="194"/>
      <c r="BC468" s="194"/>
      <c r="BD468" s="198"/>
      <c r="BE468" s="197"/>
      <c r="BF468" s="197"/>
      <c r="BG468" s="197"/>
      <c r="BH468" s="197"/>
      <c r="BI468" s="1094"/>
      <c r="BJ468" s="197"/>
      <c r="BK468" s="197"/>
      <c r="BL468" s="197"/>
      <c r="BM468" s="197"/>
      <c r="BN468" s="1094"/>
      <c r="BO468" s="197"/>
      <c r="BP468" s="197"/>
      <c r="BQ468" s="197"/>
      <c r="BR468" s="197"/>
      <c r="BS468" s="1094"/>
      <c r="BT468" s="727"/>
      <c r="BU468" s="197"/>
      <c r="BV468" s="197"/>
      <c r="BW468" s="197"/>
      <c r="BX468" s="1094"/>
      <c r="BY468" s="197"/>
      <c r="BZ468" s="197"/>
      <c r="CA468" s="197"/>
      <c r="CB468" s="197"/>
      <c r="CC468" s="1094"/>
      <c r="CD468" s="1094"/>
      <c r="CE468" s="1094"/>
      <c r="CF468" s="1094"/>
      <c r="CG468" s="349"/>
    </row>
    <row r="469" spans="1:85" s="613" customFormat="1" x14ac:dyDescent="0.3">
      <c r="A469" s="478" t="s">
        <v>1750</v>
      </c>
      <c r="B469" s="523"/>
      <c r="C469" s="78"/>
      <c r="D469" s="78"/>
      <c r="E469" s="78"/>
      <c r="F469" s="78"/>
      <c r="G469" s="774"/>
      <c r="H469" s="774"/>
      <c r="I469" s="774"/>
      <c r="J469" s="774"/>
      <c r="K469" s="78"/>
      <c r="L469" s="774"/>
      <c r="M469" s="774"/>
      <c r="N469" s="774"/>
      <c r="O469" s="774"/>
      <c r="P469" s="78"/>
      <c r="Q469" s="774"/>
      <c r="R469" s="774"/>
      <c r="S469" s="774"/>
      <c r="T469" s="774"/>
      <c r="U469" s="78"/>
      <c r="V469" s="774"/>
      <c r="W469" s="774"/>
      <c r="X469" s="774"/>
      <c r="Y469" s="774"/>
      <c r="Z469" s="78"/>
      <c r="AA469" s="774"/>
      <c r="AB469" s="774"/>
      <c r="AC469" s="774"/>
      <c r="AD469" s="774"/>
      <c r="AE469" s="78"/>
      <c r="AF469" s="774"/>
      <c r="AG469" s="774"/>
      <c r="AH469" s="774"/>
      <c r="AI469" s="774"/>
      <c r="AJ469" s="78"/>
      <c r="AK469" s="774"/>
      <c r="AL469" s="774"/>
      <c r="AM469" s="774"/>
      <c r="AN469" s="774"/>
      <c r="AO469" s="78"/>
      <c r="AP469" s="774"/>
      <c r="AQ469" s="774"/>
      <c r="AR469" s="774"/>
      <c r="AS469" s="774"/>
      <c r="AT469" s="1119">
        <v>22.47</v>
      </c>
      <c r="AU469" s="774"/>
      <c r="AV469" s="774"/>
      <c r="AW469" s="774"/>
      <c r="AX469" s="774"/>
      <c r="AY469" s="1119">
        <v>22.47</v>
      </c>
      <c r="AZ469" s="774"/>
      <c r="BA469" s="774"/>
      <c r="BB469" s="774"/>
      <c r="BC469" s="774"/>
      <c r="BD469" s="1119">
        <v>22.47</v>
      </c>
      <c r="BE469" s="774"/>
      <c r="BF469" s="774"/>
      <c r="BG469" s="774"/>
      <c r="BH469" s="774"/>
      <c r="BI469" s="1119">
        <v>22.47</v>
      </c>
      <c r="BJ469" s="774"/>
      <c r="BK469" s="774"/>
      <c r="BL469" s="774"/>
      <c r="BM469" s="774"/>
      <c r="BN469" s="78"/>
      <c r="BO469" s="774"/>
      <c r="BP469" s="774"/>
      <c r="BQ469" s="774"/>
      <c r="BR469" s="774"/>
      <c r="BS469" s="78"/>
      <c r="BT469" s="775"/>
      <c r="BU469" s="774"/>
      <c r="BV469" s="774"/>
      <c r="BW469" s="774"/>
      <c r="BX469" s="78"/>
      <c r="BY469" s="774"/>
      <c r="BZ469" s="774"/>
      <c r="CA469" s="774"/>
      <c r="CB469" s="774"/>
      <c r="CC469" s="78"/>
      <c r="CD469" s="78"/>
      <c r="CE469" s="78"/>
      <c r="CF469" s="78"/>
      <c r="CG469" s="532"/>
    </row>
    <row r="470" spans="1:85" s="615" customFormat="1" x14ac:dyDescent="0.3">
      <c r="A470" s="522" t="s">
        <v>1749</v>
      </c>
      <c r="B470" s="521"/>
      <c r="C470" s="1122"/>
      <c r="D470" s="1122"/>
      <c r="E470" s="1122"/>
      <c r="F470" s="1122"/>
      <c r="G470" s="520"/>
      <c r="H470" s="520"/>
      <c r="I470" s="520"/>
      <c r="J470" s="520"/>
      <c r="K470" s="1122"/>
      <c r="L470" s="520"/>
      <c r="M470" s="520"/>
      <c r="N470" s="520"/>
      <c r="O470" s="520"/>
      <c r="P470" s="1122"/>
      <c r="Q470" s="520"/>
      <c r="R470" s="520"/>
      <c r="S470" s="520"/>
      <c r="T470" s="520"/>
      <c r="U470" s="1122"/>
      <c r="V470" s="520"/>
      <c r="W470" s="520"/>
      <c r="X470" s="520"/>
      <c r="Y470" s="520"/>
      <c r="Z470" s="1122"/>
      <c r="AA470" s="520"/>
      <c r="AB470" s="520"/>
      <c r="AC470" s="520"/>
      <c r="AD470" s="520"/>
      <c r="AE470" s="1122"/>
      <c r="AF470" s="520"/>
      <c r="AG470" s="520"/>
      <c r="AH470" s="520"/>
      <c r="AI470" s="520"/>
      <c r="AJ470" s="1122"/>
      <c r="AK470" s="520"/>
      <c r="AL470" s="520"/>
      <c r="AM470" s="520"/>
      <c r="AN470" s="520"/>
      <c r="AO470" s="1122"/>
      <c r="AP470" s="520"/>
      <c r="AQ470" s="520"/>
      <c r="AR470" s="520"/>
      <c r="AS470" s="520"/>
      <c r="AT470" s="1123">
        <v>89</v>
      </c>
      <c r="AU470" s="526"/>
      <c r="AV470" s="526"/>
      <c r="AW470" s="526"/>
      <c r="AX470" s="526"/>
      <c r="AY470" s="1123">
        <v>89</v>
      </c>
      <c r="AZ470" s="526"/>
      <c r="BA470" s="526"/>
      <c r="BB470" s="526"/>
      <c r="BC470" s="526"/>
      <c r="BD470" s="1123">
        <v>89</v>
      </c>
      <c r="BE470" s="520"/>
      <c r="BF470" s="520"/>
      <c r="BG470" s="520"/>
      <c r="BH470" s="520"/>
      <c r="BI470" s="1123">
        <v>89</v>
      </c>
      <c r="BJ470" s="520"/>
      <c r="BK470" s="520"/>
      <c r="BL470" s="520"/>
      <c r="BM470" s="520"/>
      <c r="BN470" s="1124"/>
      <c r="BO470" s="520"/>
      <c r="BP470" s="520"/>
      <c r="BQ470" s="520"/>
      <c r="BR470" s="520"/>
      <c r="BS470" s="1124"/>
      <c r="BT470" s="728"/>
      <c r="BU470" s="520"/>
      <c r="BV470" s="520"/>
      <c r="BW470" s="520"/>
      <c r="BX470" s="1122"/>
      <c r="BY470" s="520"/>
      <c r="BZ470" s="520"/>
      <c r="CA470" s="520"/>
      <c r="CB470" s="520"/>
      <c r="CC470" s="1122"/>
      <c r="CD470" s="1122"/>
      <c r="CE470" s="1122"/>
      <c r="CF470" s="1122"/>
      <c r="CG470" s="519"/>
    </row>
    <row r="471" spans="1:85" s="614" customFormat="1" x14ac:dyDescent="0.3">
      <c r="A471" s="116"/>
      <c r="B471" s="352"/>
      <c r="C471" s="1094"/>
      <c r="D471" s="1094"/>
      <c r="E471" s="1094"/>
      <c r="F471" s="1094"/>
      <c r="G471" s="197"/>
      <c r="H471" s="197"/>
      <c r="I471" s="197"/>
      <c r="J471" s="197"/>
      <c r="K471" s="1094"/>
      <c r="L471" s="197"/>
      <c r="M471" s="197"/>
      <c r="N471" s="197"/>
      <c r="O471" s="197"/>
      <c r="P471" s="1094"/>
      <c r="Q471" s="197"/>
      <c r="R471" s="197"/>
      <c r="S471" s="197"/>
      <c r="T471" s="197"/>
      <c r="U471" s="1094"/>
      <c r="V471" s="197"/>
      <c r="W471" s="197"/>
      <c r="X471" s="197"/>
      <c r="Y471" s="197"/>
      <c r="Z471" s="1094"/>
      <c r="AA471" s="197"/>
      <c r="AB471" s="197"/>
      <c r="AC471" s="197"/>
      <c r="AD471" s="197"/>
      <c r="AE471" s="1094"/>
      <c r="AF471" s="197"/>
      <c r="AG471" s="197"/>
      <c r="AH471" s="197"/>
      <c r="AI471" s="197"/>
      <c r="AJ471" s="1094"/>
      <c r="AK471" s="197"/>
      <c r="AL471" s="197"/>
      <c r="AM471" s="197"/>
      <c r="AN471" s="197"/>
      <c r="AO471" s="1094"/>
      <c r="AP471" s="197"/>
      <c r="AQ471" s="197"/>
      <c r="AR471" s="197"/>
      <c r="AS471" s="197"/>
      <c r="AT471" s="198"/>
      <c r="AU471" s="194"/>
      <c r="AV471" s="194"/>
      <c r="AW471" s="194"/>
      <c r="AX471" s="194"/>
      <c r="AY471" s="198"/>
      <c r="AZ471" s="194"/>
      <c r="BA471" s="194"/>
      <c r="BB471" s="194"/>
      <c r="BC471" s="194"/>
      <c r="BD471" s="198"/>
      <c r="BE471" s="197"/>
      <c r="BF471" s="197"/>
      <c r="BG471" s="197"/>
      <c r="BH471" s="197"/>
      <c r="BI471" s="1094"/>
      <c r="BJ471" s="197"/>
      <c r="BK471" s="197"/>
      <c r="BL471" s="197"/>
      <c r="BM471" s="197"/>
      <c r="BN471" s="1094"/>
      <c r="BO471" s="197"/>
      <c r="BP471" s="197"/>
      <c r="BQ471" s="197"/>
      <c r="BR471" s="197"/>
      <c r="BS471" s="1094"/>
      <c r="BT471" s="727"/>
      <c r="BU471" s="197"/>
      <c r="BV471" s="197"/>
      <c r="BW471" s="197"/>
      <c r="BX471" s="1094"/>
      <c r="BY471" s="197"/>
      <c r="BZ471" s="197"/>
      <c r="CA471" s="197"/>
      <c r="CB471" s="197"/>
      <c r="CC471" s="1094"/>
      <c r="CD471" s="1094"/>
      <c r="CE471" s="1094"/>
      <c r="CF471" s="1094"/>
      <c r="CG471" s="349"/>
    </row>
    <row r="472" spans="1:85" s="613" customFormat="1" x14ac:dyDescent="0.3">
      <c r="A472" s="478" t="s">
        <v>1748</v>
      </c>
      <c r="B472" s="523"/>
      <c r="C472" s="78"/>
      <c r="D472" s="78"/>
      <c r="E472" s="78"/>
      <c r="F472" s="78"/>
      <c r="G472" s="774"/>
      <c r="H472" s="774"/>
      <c r="I472" s="774"/>
      <c r="J472" s="774"/>
      <c r="K472" s="78"/>
      <c r="L472" s="774"/>
      <c r="M472" s="774"/>
      <c r="N472" s="774"/>
      <c r="O472" s="774"/>
      <c r="P472" s="78"/>
      <c r="Q472" s="774"/>
      <c r="R472" s="774"/>
      <c r="S472" s="774"/>
      <c r="T472" s="774"/>
      <c r="U472" s="78"/>
      <c r="V472" s="774"/>
      <c r="W472" s="774"/>
      <c r="X472" s="774"/>
      <c r="Y472" s="774"/>
      <c r="Z472" s="78"/>
      <c r="AA472" s="774"/>
      <c r="AB472" s="774"/>
      <c r="AC472" s="774"/>
      <c r="AD472" s="774"/>
      <c r="AE472" s="78"/>
      <c r="AF472" s="774"/>
      <c r="AG472" s="774"/>
      <c r="AH472" s="774"/>
      <c r="AI472" s="774"/>
      <c r="AJ472" s="78"/>
      <c r="AK472" s="774"/>
      <c r="AL472" s="774"/>
      <c r="AM472" s="774"/>
      <c r="AN472" s="774"/>
      <c r="AO472" s="78"/>
      <c r="AP472" s="774"/>
      <c r="AQ472" s="774"/>
      <c r="AR472" s="774"/>
      <c r="AS472" s="774"/>
      <c r="AT472" s="1119">
        <v>21.356999999999999</v>
      </c>
      <c r="AU472" s="774"/>
      <c r="AV472" s="774"/>
      <c r="AW472" s="774"/>
      <c r="AX472" s="774"/>
      <c r="AY472" s="1119">
        <v>21.356999999999999</v>
      </c>
      <c r="AZ472" s="774"/>
      <c r="BA472" s="774"/>
      <c r="BB472" s="774"/>
      <c r="BC472" s="774"/>
      <c r="BD472" s="1119">
        <v>21.356999999999999</v>
      </c>
      <c r="BE472" s="774"/>
      <c r="BF472" s="774"/>
      <c r="BG472" s="774"/>
      <c r="BH472" s="774"/>
      <c r="BI472" s="1119">
        <v>21.356999999999999</v>
      </c>
      <c r="BJ472" s="774"/>
      <c r="BK472" s="774"/>
      <c r="BL472" s="774"/>
      <c r="BM472" s="774"/>
      <c r="BN472" s="78"/>
      <c r="BO472" s="774"/>
      <c r="BP472" s="774"/>
      <c r="BQ472" s="774"/>
      <c r="BR472" s="774"/>
      <c r="BS472" s="78"/>
      <c r="BT472" s="775"/>
      <c r="BU472" s="774"/>
      <c r="BV472" s="774"/>
      <c r="BW472" s="774"/>
      <c r="BX472" s="78"/>
      <c r="BY472" s="774"/>
      <c r="BZ472" s="774"/>
      <c r="CA472" s="774"/>
      <c r="CB472" s="774"/>
      <c r="CC472" s="78"/>
      <c r="CD472" s="78"/>
      <c r="CE472" s="78"/>
      <c r="CF472" s="78"/>
      <c r="CG472" s="532"/>
    </row>
    <row r="473" spans="1:85" s="615" customFormat="1" x14ac:dyDescent="0.3">
      <c r="A473" s="522" t="s">
        <v>1747</v>
      </c>
      <c r="B473" s="521"/>
      <c r="C473" s="1122"/>
      <c r="D473" s="1122"/>
      <c r="E473" s="1122"/>
      <c r="F473" s="1122"/>
      <c r="G473" s="520"/>
      <c r="H473" s="520"/>
      <c r="I473" s="520"/>
      <c r="J473" s="520"/>
      <c r="K473" s="1122"/>
      <c r="L473" s="520"/>
      <c r="M473" s="520"/>
      <c r="N473" s="520"/>
      <c r="O473" s="520"/>
      <c r="P473" s="1122"/>
      <c r="Q473" s="520"/>
      <c r="R473" s="520"/>
      <c r="S473" s="520"/>
      <c r="T473" s="520"/>
      <c r="U473" s="1122"/>
      <c r="V473" s="520"/>
      <c r="W473" s="520"/>
      <c r="X473" s="520"/>
      <c r="Y473" s="520"/>
      <c r="Z473" s="1122"/>
      <c r="AA473" s="520"/>
      <c r="AB473" s="520"/>
      <c r="AC473" s="520"/>
      <c r="AD473" s="520"/>
      <c r="AE473" s="1122"/>
      <c r="AF473" s="520"/>
      <c r="AG473" s="520"/>
      <c r="AH473" s="520"/>
      <c r="AI473" s="520"/>
      <c r="AJ473" s="1122"/>
      <c r="AK473" s="520"/>
      <c r="AL473" s="520"/>
      <c r="AM473" s="520"/>
      <c r="AN473" s="520"/>
      <c r="AO473" s="1122"/>
      <c r="AP473" s="520"/>
      <c r="AQ473" s="520"/>
      <c r="AR473" s="520"/>
      <c r="AS473" s="520"/>
      <c r="AT473" s="1123">
        <v>93.64</v>
      </c>
      <c r="AU473" s="526"/>
      <c r="AV473" s="526"/>
      <c r="AW473" s="526"/>
      <c r="AX473" s="526"/>
      <c r="AY473" s="1123">
        <v>93.64</v>
      </c>
      <c r="AZ473" s="526"/>
      <c r="BA473" s="526"/>
      <c r="BB473" s="526"/>
      <c r="BC473" s="526"/>
      <c r="BD473" s="1123">
        <v>93.64</v>
      </c>
      <c r="BE473" s="520"/>
      <c r="BF473" s="520"/>
      <c r="BG473" s="520"/>
      <c r="BH473" s="520"/>
      <c r="BI473" s="1123">
        <v>93.64</v>
      </c>
      <c r="BJ473" s="520"/>
      <c r="BK473" s="520"/>
      <c r="BL473" s="520"/>
      <c r="BM473" s="520"/>
      <c r="BN473" s="1124"/>
      <c r="BO473" s="520"/>
      <c r="BP473" s="520"/>
      <c r="BQ473" s="520"/>
      <c r="BR473" s="520"/>
      <c r="BS473" s="1124"/>
      <c r="BT473" s="728"/>
      <c r="BU473" s="520"/>
      <c r="BV473" s="520"/>
      <c r="BW473" s="520"/>
      <c r="BX473" s="1122"/>
      <c r="BY473" s="520"/>
      <c r="BZ473" s="520"/>
      <c r="CA473" s="520"/>
      <c r="CB473" s="520"/>
      <c r="CC473" s="1122"/>
      <c r="CD473" s="1122"/>
      <c r="CE473" s="1122"/>
      <c r="CF473" s="1122"/>
      <c r="CG473" s="519"/>
    </row>
    <row r="474" spans="1:85" s="614" customFormat="1" x14ac:dyDescent="0.3">
      <c r="A474" s="116"/>
      <c r="B474" s="352"/>
      <c r="C474" s="1094"/>
      <c r="D474" s="1094"/>
      <c r="E474" s="1094"/>
      <c r="F474" s="1094"/>
      <c r="G474" s="197"/>
      <c r="H474" s="197"/>
      <c r="I474" s="197"/>
      <c r="J474" s="197"/>
      <c r="K474" s="1094"/>
      <c r="L474" s="197"/>
      <c r="M474" s="197"/>
      <c r="N474" s="197"/>
      <c r="O474" s="197"/>
      <c r="P474" s="1094"/>
      <c r="Q474" s="197"/>
      <c r="R474" s="197"/>
      <c r="S474" s="197"/>
      <c r="T474" s="197"/>
      <c r="U474" s="1094"/>
      <c r="V474" s="197"/>
      <c r="W474" s="197"/>
      <c r="X474" s="197"/>
      <c r="Y474" s="197"/>
      <c r="Z474" s="1094"/>
      <c r="AA474" s="197"/>
      <c r="AB474" s="197"/>
      <c r="AC474" s="197"/>
      <c r="AD474" s="197"/>
      <c r="AE474" s="1094"/>
      <c r="AF474" s="197"/>
      <c r="AG474" s="197"/>
      <c r="AH474" s="197"/>
      <c r="AI474" s="197"/>
      <c r="AJ474" s="1094"/>
      <c r="AK474" s="197"/>
      <c r="AL474" s="197"/>
      <c r="AM474" s="197"/>
      <c r="AN474" s="197"/>
      <c r="AO474" s="1094"/>
      <c r="AP474" s="197"/>
      <c r="AQ474" s="197"/>
      <c r="AR474" s="197"/>
      <c r="AS474" s="197"/>
      <c r="AT474" s="198"/>
      <c r="AU474" s="194"/>
      <c r="AV474" s="194"/>
      <c r="AW474" s="194"/>
      <c r="AX474" s="194"/>
      <c r="AY474" s="198"/>
      <c r="AZ474" s="194"/>
      <c r="BA474" s="194"/>
      <c r="BB474" s="194"/>
      <c r="BC474" s="194"/>
      <c r="BD474" s="198"/>
      <c r="BE474" s="197"/>
      <c r="BF474" s="197"/>
      <c r="BG474" s="197"/>
      <c r="BH474" s="197"/>
      <c r="BI474" s="1094"/>
      <c r="BJ474" s="197"/>
      <c r="BK474" s="197"/>
      <c r="BL474" s="197"/>
      <c r="BM474" s="197"/>
      <c r="BN474" s="1094"/>
      <c r="BO474" s="197"/>
      <c r="BP474" s="197"/>
      <c r="BQ474" s="197"/>
      <c r="BR474" s="197"/>
      <c r="BS474" s="1094"/>
      <c r="BT474" s="727"/>
      <c r="BU474" s="197"/>
      <c r="BV474" s="197"/>
      <c r="BW474" s="197"/>
      <c r="BX474" s="1094"/>
      <c r="BY474" s="197"/>
      <c r="BZ474" s="197"/>
      <c r="CA474" s="197"/>
      <c r="CB474" s="197"/>
      <c r="CC474" s="1094"/>
      <c r="CD474" s="1094"/>
      <c r="CE474" s="1094"/>
      <c r="CF474" s="1094"/>
      <c r="CG474" s="349"/>
    </row>
    <row r="475" spans="1:85" s="613" customFormat="1" x14ac:dyDescent="0.3">
      <c r="A475" s="478" t="s">
        <v>1746</v>
      </c>
      <c r="B475" s="523"/>
      <c r="C475" s="78"/>
      <c r="D475" s="78"/>
      <c r="E475" s="78"/>
      <c r="F475" s="78"/>
      <c r="G475" s="774"/>
      <c r="H475" s="774"/>
      <c r="I475" s="774"/>
      <c r="J475" s="774"/>
      <c r="K475" s="78"/>
      <c r="L475" s="774"/>
      <c r="M475" s="774"/>
      <c r="N475" s="774"/>
      <c r="O475" s="774"/>
      <c r="P475" s="78"/>
      <c r="Q475" s="774"/>
      <c r="R475" s="774"/>
      <c r="S475" s="774"/>
      <c r="T475" s="774"/>
      <c r="U475" s="78"/>
      <c r="V475" s="774"/>
      <c r="W475" s="774"/>
      <c r="X475" s="774"/>
      <c r="Y475" s="774"/>
      <c r="Z475" s="78"/>
      <c r="AA475" s="774"/>
      <c r="AB475" s="774"/>
      <c r="AC475" s="774"/>
      <c r="AD475" s="774"/>
      <c r="AE475" s="78"/>
      <c r="AF475" s="774"/>
      <c r="AG475" s="774"/>
      <c r="AH475" s="774"/>
      <c r="AI475" s="774"/>
      <c r="AJ475" s="78"/>
      <c r="AK475" s="774"/>
      <c r="AL475" s="774"/>
      <c r="AM475" s="774"/>
      <c r="AN475" s="774"/>
      <c r="AO475" s="78"/>
      <c r="AP475" s="774"/>
      <c r="AQ475" s="774"/>
      <c r="AR475" s="774"/>
      <c r="AS475" s="774"/>
      <c r="AT475" s="1119">
        <v>15.952</v>
      </c>
      <c r="AU475" s="774"/>
      <c r="AV475" s="774"/>
      <c r="AW475" s="774"/>
      <c r="AX475" s="774"/>
      <c r="AY475" s="1119">
        <v>15.952</v>
      </c>
      <c r="AZ475" s="774"/>
      <c r="BA475" s="774"/>
      <c r="BB475" s="774"/>
      <c r="BC475" s="774"/>
      <c r="BD475" s="1119">
        <v>15.952</v>
      </c>
      <c r="BE475" s="774"/>
      <c r="BF475" s="774"/>
      <c r="BG475" s="774"/>
      <c r="BH475" s="774"/>
      <c r="BI475" s="78"/>
      <c r="BJ475" s="774"/>
      <c r="BK475" s="774"/>
      <c r="BL475" s="774"/>
      <c r="BM475" s="774"/>
      <c r="BN475" s="78"/>
      <c r="BO475" s="774"/>
      <c r="BP475" s="774"/>
      <c r="BQ475" s="774"/>
      <c r="BR475" s="774"/>
      <c r="BS475" s="78"/>
      <c r="BT475" s="775"/>
      <c r="BU475" s="774"/>
      <c r="BV475" s="774"/>
      <c r="BW475" s="774"/>
      <c r="BX475" s="78"/>
      <c r="BY475" s="774"/>
      <c r="BZ475" s="774"/>
      <c r="CA475" s="774"/>
      <c r="CB475" s="774"/>
      <c r="CC475" s="78"/>
      <c r="CD475" s="78"/>
      <c r="CE475" s="78"/>
      <c r="CF475" s="78"/>
      <c r="CG475" s="532"/>
    </row>
    <row r="476" spans="1:85" s="615" customFormat="1" x14ac:dyDescent="0.3">
      <c r="A476" s="522" t="s">
        <v>1745</v>
      </c>
      <c r="B476" s="521"/>
      <c r="C476" s="1122"/>
      <c r="D476" s="1122"/>
      <c r="E476" s="1122"/>
      <c r="F476" s="1122"/>
      <c r="G476" s="520"/>
      <c r="H476" s="520"/>
      <c r="I476" s="520"/>
      <c r="J476" s="520"/>
      <c r="K476" s="1122"/>
      <c r="L476" s="520"/>
      <c r="M476" s="520"/>
      <c r="N476" s="520"/>
      <c r="O476" s="520"/>
      <c r="P476" s="1122"/>
      <c r="Q476" s="520"/>
      <c r="R476" s="520"/>
      <c r="S476" s="520"/>
      <c r="T476" s="520"/>
      <c r="U476" s="1122"/>
      <c r="V476" s="520"/>
      <c r="W476" s="520"/>
      <c r="X476" s="520"/>
      <c r="Y476" s="520"/>
      <c r="Z476" s="1122"/>
      <c r="AA476" s="520"/>
      <c r="AB476" s="520"/>
      <c r="AC476" s="520"/>
      <c r="AD476" s="520"/>
      <c r="AE476" s="1122"/>
      <c r="AF476" s="520"/>
      <c r="AG476" s="520"/>
      <c r="AH476" s="520"/>
      <c r="AI476" s="520"/>
      <c r="AJ476" s="1122"/>
      <c r="AK476" s="520"/>
      <c r="AL476" s="520"/>
      <c r="AM476" s="520"/>
      <c r="AN476" s="520"/>
      <c r="AO476" s="1122"/>
      <c r="AP476" s="520"/>
      <c r="AQ476" s="520"/>
      <c r="AR476" s="520"/>
      <c r="AS476" s="520"/>
      <c r="AT476" s="1123">
        <v>125.37</v>
      </c>
      <c r="AU476" s="526"/>
      <c r="AV476" s="526"/>
      <c r="AW476" s="526"/>
      <c r="AX476" s="526"/>
      <c r="AY476" s="1123">
        <v>125.37</v>
      </c>
      <c r="AZ476" s="526"/>
      <c r="BA476" s="526"/>
      <c r="BB476" s="526"/>
      <c r="BC476" s="526"/>
      <c r="BD476" s="1123">
        <v>125.37</v>
      </c>
      <c r="BE476" s="520"/>
      <c r="BF476" s="520"/>
      <c r="BG476" s="520"/>
      <c r="BH476" s="520"/>
      <c r="BI476" s="1122"/>
      <c r="BJ476" s="520"/>
      <c r="BK476" s="520"/>
      <c r="BL476" s="520"/>
      <c r="BM476" s="520"/>
      <c r="BN476" s="1122"/>
      <c r="BO476" s="520"/>
      <c r="BP476" s="520"/>
      <c r="BQ476" s="520"/>
      <c r="BR476" s="520"/>
      <c r="BS476" s="1122"/>
      <c r="BT476" s="728"/>
      <c r="BU476" s="520"/>
      <c r="BV476" s="520"/>
      <c r="BW476" s="520"/>
      <c r="BX476" s="1122"/>
      <c r="BY476" s="520"/>
      <c r="BZ476" s="520"/>
      <c r="CA476" s="520"/>
      <c r="CB476" s="520"/>
      <c r="CC476" s="1122"/>
      <c r="CD476" s="1122"/>
      <c r="CE476" s="1122"/>
      <c r="CF476" s="1122"/>
      <c r="CG476" s="519"/>
    </row>
    <row r="477" spans="1:85" s="614" customFormat="1" x14ac:dyDescent="0.3">
      <c r="A477" s="116"/>
      <c r="B477" s="352"/>
      <c r="C477" s="1094"/>
      <c r="D477" s="1094"/>
      <c r="E477" s="1094"/>
      <c r="F477" s="1094"/>
      <c r="G477" s="197"/>
      <c r="H477" s="197"/>
      <c r="I477" s="197"/>
      <c r="J477" s="197"/>
      <c r="K477" s="1094"/>
      <c r="L477" s="197"/>
      <c r="M477" s="197"/>
      <c r="N477" s="197"/>
      <c r="O477" s="197"/>
      <c r="P477" s="1094"/>
      <c r="Q477" s="197"/>
      <c r="R477" s="197"/>
      <c r="S477" s="197"/>
      <c r="T477" s="197"/>
      <c r="U477" s="1094"/>
      <c r="V477" s="197"/>
      <c r="W477" s="197"/>
      <c r="X477" s="197"/>
      <c r="Y477" s="197"/>
      <c r="Z477" s="1094"/>
      <c r="AA477" s="197"/>
      <c r="AB477" s="197"/>
      <c r="AC477" s="197"/>
      <c r="AD477" s="197"/>
      <c r="AE477" s="1094"/>
      <c r="AF477" s="197"/>
      <c r="AG477" s="197"/>
      <c r="AH477" s="197"/>
      <c r="AI477" s="197"/>
      <c r="AJ477" s="1094"/>
      <c r="AK477" s="197"/>
      <c r="AL477" s="197"/>
      <c r="AM477" s="197"/>
      <c r="AN477" s="197"/>
      <c r="AO477" s="1094"/>
      <c r="AP477" s="197"/>
      <c r="AQ477" s="197"/>
      <c r="AR477" s="197"/>
      <c r="AS477" s="197"/>
      <c r="AT477" s="198"/>
      <c r="AU477" s="194"/>
      <c r="AV477" s="194"/>
      <c r="AW477" s="194"/>
      <c r="AX477" s="194"/>
      <c r="AY477" s="198"/>
      <c r="AZ477" s="194"/>
      <c r="BA477" s="194"/>
      <c r="BB477" s="194"/>
      <c r="BC477" s="194"/>
      <c r="BD477" s="198"/>
      <c r="BE477" s="197"/>
      <c r="BF477" s="197"/>
      <c r="BG477" s="197"/>
      <c r="BH477" s="197"/>
      <c r="BI477" s="1094"/>
      <c r="BJ477" s="197"/>
      <c r="BK477" s="197"/>
      <c r="BL477" s="197"/>
      <c r="BM477" s="197"/>
      <c r="BN477" s="1094"/>
      <c r="BO477" s="197"/>
      <c r="BP477" s="197"/>
      <c r="BQ477" s="197"/>
      <c r="BR477" s="197"/>
      <c r="BS477" s="1094"/>
      <c r="BT477" s="727"/>
      <c r="BU477" s="197"/>
      <c r="BV477" s="197"/>
      <c r="BW477" s="197"/>
      <c r="BX477" s="1094"/>
      <c r="BY477" s="197"/>
      <c r="BZ477" s="197"/>
      <c r="CA477" s="197"/>
      <c r="CB477" s="197"/>
      <c r="CC477" s="1094"/>
      <c r="CD477" s="1094"/>
      <c r="CE477" s="1094"/>
      <c r="CF477" s="1094"/>
      <c r="CG477" s="349"/>
    </row>
    <row r="478" spans="1:85" s="613" customFormat="1" x14ac:dyDescent="0.3">
      <c r="A478" s="478" t="s">
        <v>1744</v>
      </c>
      <c r="B478" s="523"/>
      <c r="C478" s="78"/>
      <c r="D478" s="78"/>
      <c r="E478" s="78"/>
      <c r="F478" s="78"/>
      <c r="G478" s="774"/>
      <c r="H478" s="774"/>
      <c r="I478" s="774"/>
      <c r="J478" s="774"/>
      <c r="K478" s="78"/>
      <c r="L478" s="774"/>
      <c r="M478" s="774"/>
      <c r="N478" s="774"/>
      <c r="O478" s="774"/>
      <c r="P478" s="78"/>
      <c r="Q478" s="774"/>
      <c r="R478" s="774"/>
      <c r="S478" s="774"/>
      <c r="T478" s="774"/>
      <c r="U478" s="78"/>
      <c r="V478" s="774"/>
      <c r="W478" s="774"/>
      <c r="X478" s="774"/>
      <c r="Y478" s="774"/>
      <c r="Z478" s="78"/>
      <c r="AA478" s="774"/>
      <c r="AB478" s="774"/>
      <c r="AC478" s="774"/>
      <c r="AD478" s="774"/>
      <c r="AE478" s="78"/>
      <c r="AF478" s="774"/>
      <c r="AG478" s="774"/>
      <c r="AH478" s="774"/>
      <c r="AI478" s="774"/>
      <c r="AJ478" s="78"/>
      <c r="AK478" s="774"/>
      <c r="AL478" s="774"/>
      <c r="AM478" s="774"/>
      <c r="AN478" s="774"/>
      <c r="AO478" s="78"/>
      <c r="AP478" s="774"/>
      <c r="AQ478" s="774"/>
      <c r="AR478" s="774"/>
      <c r="AS478" s="774"/>
      <c r="AT478" s="1119">
        <v>26.125</v>
      </c>
      <c r="AU478" s="774"/>
      <c r="AV478" s="774"/>
      <c r="AW478" s="774"/>
      <c r="AX478" s="774"/>
      <c r="AY478" s="1119">
        <v>26.125</v>
      </c>
      <c r="AZ478" s="774"/>
      <c r="BA478" s="774"/>
      <c r="BB478" s="774"/>
      <c r="BC478" s="774"/>
      <c r="BD478" s="1119">
        <v>26.125</v>
      </c>
      <c r="BE478" s="774"/>
      <c r="BF478" s="774"/>
      <c r="BG478" s="774"/>
      <c r="BH478" s="774"/>
      <c r="BI478" s="1119">
        <v>26.125</v>
      </c>
      <c r="BJ478" s="774"/>
      <c r="BK478" s="774"/>
      <c r="BL478" s="774"/>
      <c r="BM478" s="774"/>
      <c r="BN478" s="1119">
        <v>26.125</v>
      </c>
      <c r="BO478" s="774"/>
      <c r="BP478" s="774"/>
      <c r="BQ478" s="774"/>
      <c r="BR478" s="774"/>
      <c r="BS478" s="78"/>
      <c r="BT478" s="775"/>
      <c r="BU478" s="774"/>
      <c r="BV478" s="774"/>
      <c r="BW478" s="774"/>
      <c r="BX478" s="78"/>
      <c r="BY478" s="774"/>
      <c r="BZ478" s="774"/>
      <c r="CA478" s="774"/>
      <c r="CB478" s="774"/>
      <c r="CC478" s="78"/>
      <c r="CD478" s="78"/>
      <c r="CE478" s="78"/>
      <c r="CF478" s="78"/>
      <c r="CG478" s="532"/>
    </row>
    <row r="479" spans="1:85" s="615" customFormat="1" x14ac:dyDescent="0.3">
      <c r="A479" s="522" t="s">
        <v>1743</v>
      </c>
      <c r="B479" s="521"/>
      <c r="C479" s="1122"/>
      <c r="D479" s="1122"/>
      <c r="E479" s="1122"/>
      <c r="F479" s="1122"/>
      <c r="G479" s="520"/>
      <c r="H479" s="520"/>
      <c r="I479" s="520"/>
      <c r="J479" s="520"/>
      <c r="K479" s="1122"/>
      <c r="L479" s="520"/>
      <c r="M479" s="520"/>
      <c r="N479" s="520"/>
      <c r="O479" s="520"/>
      <c r="P479" s="1122"/>
      <c r="Q479" s="520"/>
      <c r="R479" s="520"/>
      <c r="S479" s="520"/>
      <c r="T479" s="520"/>
      <c r="U479" s="1122"/>
      <c r="V479" s="520"/>
      <c r="W479" s="520"/>
      <c r="X479" s="520"/>
      <c r="Y479" s="520"/>
      <c r="Z479" s="1122"/>
      <c r="AA479" s="520"/>
      <c r="AB479" s="520"/>
      <c r="AC479" s="520"/>
      <c r="AD479" s="520"/>
      <c r="AE479" s="1122"/>
      <c r="AF479" s="520"/>
      <c r="AG479" s="520"/>
      <c r="AH479" s="520"/>
      <c r="AI479" s="520"/>
      <c r="AJ479" s="1122"/>
      <c r="AK479" s="520"/>
      <c r="AL479" s="520"/>
      <c r="AM479" s="520"/>
      <c r="AN479" s="520"/>
      <c r="AO479" s="1122"/>
      <c r="AP479" s="520"/>
      <c r="AQ479" s="520"/>
      <c r="AR479" s="520"/>
      <c r="AS479" s="520"/>
      <c r="AT479" s="1123">
        <v>94.09</v>
      </c>
      <c r="AU479" s="526"/>
      <c r="AV479" s="526"/>
      <c r="AW479" s="526"/>
      <c r="AX479" s="526"/>
      <c r="AY479" s="1123">
        <v>94.09</v>
      </c>
      <c r="AZ479" s="526"/>
      <c r="BA479" s="526"/>
      <c r="BB479" s="526"/>
      <c r="BC479" s="526"/>
      <c r="BD479" s="1123">
        <v>94.09</v>
      </c>
      <c r="BE479" s="520"/>
      <c r="BF479" s="520"/>
      <c r="BG479" s="520"/>
      <c r="BH479" s="520"/>
      <c r="BI479" s="1123">
        <v>94.09</v>
      </c>
      <c r="BJ479" s="520"/>
      <c r="BK479" s="520"/>
      <c r="BL479" s="520"/>
      <c r="BM479" s="520"/>
      <c r="BN479" s="1123">
        <v>94.09</v>
      </c>
      <c r="BO479" s="520"/>
      <c r="BP479" s="520"/>
      <c r="BQ479" s="520"/>
      <c r="BR479" s="520"/>
      <c r="BS479" s="1124"/>
      <c r="BT479" s="728"/>
      <c r="BU479" s="520"/>
      <c r="BV479" s="520"/>
      <c r="BW479" s="520"/>
      <c r="BX479" s="1122"/>
      <c r="BY479" s="520"/>
      <c r="BZ479" s="520"/>
      <c r="CA479" s="520"/>
      <c r="CB479" s="520"/>
      <c r="CC479" s="1122"/>
      <c r="CD479" s="1122"/>
      <c r="CE479" s="1122"/>
      <c r="CF479" s="1122"/>
      <c r="CG479" s="519"/>
    </row>
    <row r="480" spans="1:85" s="614" customFormat="1" x14ac:dyDescent="0.3">
      <c r="A480" s="116"/>
      <c r="B480" s="352"/>
      <c r="C480" s="1094"/>
      <c r="D480" s="1094"/>
      <c r="E480" s="1094"/>
      <c r="F480" s="1094"/>
      <c r="G480" s="197"/>
      <c r="H480" s="197"/>
      <c r="I480" s="197"/>
      <c r="J480" s="197"/>
      <c r="K480" s="1094"/>
      <c r="L480" s="197"/>
      <c r="M480" s="197"/>
      <c r="N480" s="197"/>
      <c r="O480" s="197"/>
      <c r="P480" s="1094"/>
      <c r="Q480" s="197"/>
      <c r="R480" s="197"/>
      <c r="S480" s="197"/>
      <c r="T480" s="197"/>
      <c r="U480" s="1094"/>
      <c r="V480" s="197"/>
      <c r="W480" s="197"/>
      <c r="X480" s="197"/>
      <c r="Y480" s="197"/>
      <c r="Z480" s="1094"/>
      <c r="AA480" s="197"/>
      <c r="AB480" s="197"/>
      <c r="AC480" s="197"/>
      <c r="AD480" s="197"/>
      <c r="AE480" s="1094"/>
      <c r="AF480" s="197"/>
      <c r="AG480" s="197"/>
      <c r="AH480" s="197"/>
      <c r="AI480" s="197"/>
      <c r="AJ480" s="1094"/>
      <c r="AK480" s="197"/>
      <c r="AL480" s="197"/>
      <c r="AM480" s="197"/>
      <c r="AN480" s="197"/>
      <c r="AO480" s="1094"/>
      <c r="AP480" s="197"/>
      <c r="AQ480" s="197"/>
      <c r="AR480" s="197"/>
      <c r="AS480" s="197"/>
      <c r="AT480" s="198"/>
      <c r="AU480" s="194"/>
      <c r="AV480" s="194"/>
      <c r="AW480" s="194"/>
      <c r="AX480" s="194"/>
      <c r="AY480" s="198"/>
      <c r="AZ480" s="194"/>
      <c r="BA480" s="194"/>
      <c r="BB480" s="194"/>
      <c r="BC480" s="194"/>
      <c r="BD480" s="198"/>
      <c r="BE480" s="197"/>
      <c r="BF480" s="197"/>
      <c r="BG480" s="197"/>
      <c r="BH480" s="197"/>
      <c r="BI480" s="1094"/>
      <c r="BJ480" s="197"/>
      <c r="BK480" s="197"/>
      <c r="BL480" s="197"/>
      <c r="BM480" s="197"/>
      <c r="BN480" s="1094"/>
      <c r="BO480" s="197"/>
      <c r="BP480" s="197"/>
      <c r="BQ480" s="197"/>
      <c r="BR480" s="197"/>
      <c r="BS480" s="1094"/>
      <c r="BT480" s="727"/>
      <c r="BU480" s="197"/>
      <c r="BV480" s="197"/>
      <c r="BW480" s="197"/>
      <c r="BX480" s="1094"/>
      <c r="BY480" s="197"/>
      <c r="BZ480" s="197"/>
      <c r="CA480" s="197"/>
      <c r="CB480" s="197"/>
      <c r="CC480" s="1094"/>
      <c r="CD480" s="1094"/>
      <c r="CE480" s="1094"/>
      <c r="CF480" s="1094"/>
      <c r="CG480" s="349"/>
    </row>
    <row r="481" spans="1:85" s="613" customFormat="1" x14ac:dyDescent="0.3">
      <c r="A481" s="478" t="s">
        <v>1742</v>
      </c>
      <c r="B481" s="523"/>
      <c r="C481" s="78"/>
      <c r="D481" s="78"/>
      <c r="E481" s="78"/>
      <c r="F481" s="78"/>
      <c r="G481" s="774"/>
      <c r="H481" s="774"/>
      <c r="I481" s="774"/>
      <c r="J481" s="774"/>
      <c r="K481" s="78"/>
      <c r="L481" s="774"/>
      <c r="M481" s="774"/>
      <c r="N481" s="774"/>
      <c r="O481" s="774"/>
      <c r="P481" s="78"/>
      <c r="Q481" s="774"/>
      <c r="R481" s="774"/>
      <c r="S481" s="774"/>
      <c r="T481" s="774"/>
      <c r="U481" s="78"/>
      <c r="V481" s="774"/>
      <c r="W481" s="774"/>
      <c r="X481" s="774"/>
      <c r="Y481" s="774"/>
      <c r="Z481" s="78"/>
      <c r="AA481" s="774"/>
      <c r="AB481" s="774"/>
      <c r="AC481" s="774"/>
      <c r="AD481" s="774"/>
      <c r="AE481" s="78"/>
      <c r="AF481" s="774"/>
      <c r="AG481" s="774"/>
      <c r="AH481" s="774"/>
      <c r="AI481" s="774"/>
      <c r="AJ481" s="78"/>
      <c r="AK481" s="774"/>
      <c r="AL481" s="774"/>
      <c r="AM481" s="774"/>
      <c r="AN481" s="774"/>
      <c r="AO481" s="78"/>
      <c r="AP481" s="774"/>
      <c r="AQ481" s="774"/>
      <c r="AR481" s="774"/>
      <c r="AS481" s="774"/>
      <c r="AT481" s="1119">
        <v>25.007999999999999</v>
      </c>
      <c r="AU481" s="774"/>
      <c r="AV481" s="774"/>
      <c r="AW481" s="774"/>
      <c r="AX481" s="774"/>
      <c r="AY481" s="1119">
        <v>25.007999999999999</v>
      </c>
      <c r="AZ481" s="774"/>
      <c r="BA481" s="774"/>
      <c r="BB481" s="774"/>
      <c r="BC481" s="774"/>
      <c r="BD481" s="1119">
        <v>25.007999999999999</v>
      </c>
      <c r="BE481" s="774"/>
      <c r="BF481" s="774"/>
      <c r="BG481" s="774"/>
      <c r="BH481" s="774"/>
      <c r="BI481" s="1119">
        <v>25.007999999999999</v>
      </c>
      <c r="BJ481" s="774"/>
      <c r="BK481" s="774"/>
      <c r="BL481" s="774"/>
      <c r="BM481" s="774"/>
      <c r="BN481" s="1119">
        <v>25.007999999999999</v>
      </c>
      <c r="BO481" s="774"/>
      <c r="BP481" s="774"/>
      <c r="BQ481" s="774"/>
      <c r="BR481" s="774"/>
      <c r="BS481" s="78"/>
      <c r="BT481" s="775"/>
      <c r="BU481" s="774"/>
      <c r="BV481" s="774"/>
      <c r="BW481" s="774"/>
      <c r="BX481" s="78"/>
      <c r="BY481" s="774"/>
      <c r="BZ481" s="774"/>
      <c r="CA481" s="774"/>
      <c r="CB481" s="774"/>
      <c r="CC481" s="78"/>
      <c r="CD481" s="78"/>
      <c r="CE481" s="78"/>
      <c r="CF481" s="78"/>
      <c r="CG481" s="532"/>
    </row>
    <row r="482" spans="1:85" s="615" customFormat="1" x14ac:dyDescent="0.3">
      <c r="A482" s="522" t="s">
        <v>1741</v>
      </c>
      <c r="B482" s="521"/>
      <c r="C482" s="1122"/>
      <c r="D482" s="1122"/>
      <c r="E482" s="1122"/>
      <c r="F482" s="1122"/>
      <c r="G482" s="520"/>
      <c r="H482" s="520"/>
      <c r="I482" s="520"/>
      <c r="J482" s="520"/>
      <c r="K482" s="1122"/>
      <c r="L482" s="520"/>
      <c r="M482" s="520"/>
      <c r="N482" s="520"/>
      <c r="O482" s="520"/>
      <c r="P482" s="1122"/>
      <c r="Q482" s="520"/>
      <c r="R482" s="520"/>
      <c r="S482" s="520"/>
      <c r="T482" s="520"/>
      <c r="U482" s="1122"/>
      <c r="V482" s="520"/>
      <c r="W482" s="520"/>
      <c r="X482" s="520"/>
      <c r="Y482" s="520"/>
      <c r="Z482" s="1122"/>
      <c r="AA482" s="520"/>
      <c r="AB482" s="520"/>
      <c r="AC482" s="520"/>
      <c r="AD482" s="520"/>
      <c r="AE482" s="1122"/>
      <c r="AF482" s="520"/>
      <c r="AG482" s="520"/>
      <c r="AH482" s="520"/>
      <c r="AI482" s="520"/>
      <c r="AJ482" s="1122"/>
      <c r="AK482" s="520"/>
      <c r="AL482" s="520"/>
      <c r="AM482" s="520"/>
      <c r="AN482" s="520"/>
      <c r="AO482" s="1122"/>
      <c r="AP482" s="520"/>
      <c r="AQ482" s="520"/>
      <c r="AR482" s="520"/>
      <c r="AS482" s="520"/>
      <c r="AT482" s="1123">
        <v>98.3</v>
      </c>
      <c r="AU482" s="526"/>
      <c r="AV482" s="526"/>
      <c r="AW482" s="526"/>
      <c r="AX482" s="526"/>
      <c r="AY482" s="1123">
        <v>98.3</v>
      </c>
      <c r="AZ482" s="526"/>
      <c r="BA482" s="526"/>
      <c r="BB482" s="526"/>
      <c r="BC482" s="526"/>
      <c r="BD482" s="1123">
        <v>98.3</v>
      </c>
      <c r="BE482" s="520"/>
      <c r="BF482" s="520"/>
      <c r="BG482" s="520"/>
      <c r="BH482" s="520"/>
      <c r="BI482" s="1123">
        <v>98.3</v>
      </c>
      <c r="BJ482" s="520"/>
      <c r="BK482" s="520"/>
      <c r="BL482" s="520"/>
      <c r="BM482" s="520"/>
      <c r="BN482" s="1123">
        <v>98.3</v>
      </c>
      <c r="BO482" s="520"/>
      <c r="BP482" s="520"/>
      <c r="BQ482" s="520"/>
      <c r="BR482" s="520"/>
      <c r="BS482" s="1124"/>
      <c r="BT482" s="728"/>
      <c r="BU482" s="520"/>
      <c r="BV482" s="520"/>
      <c r="BW482" s="520"/>
      <c r="BX482" s="1122"/>
      <c r="BY482" s="520"/>
      <c r="BZ482" s="520"/>
      <c r="CA482" s="520"/>
      <c r="CB482" s="520"/>
      <c r="CC482" s="1122"/>
      <c r="CD482" s="1122"/>
      <c r="CE482" s="1122"/>
      <c r="CF482" s="1122"/>
      <c r="CG482" s="519"/>
    </row>
    <row r="483" spans="1:85" s="614" customFormat="1" x14ac:dyDescent="0.3">
      <c r="A483" s="116"/>
      <c r="B483" s="352"/>
      <c r="C483" s="1094"/>
      <c r="D483" s="1094"/>
      <c r="E483" s="1094"/>
      <c r="F483" s="1094"/>
      <c r="G483" s="197"/>
      <c r="H483" s="197"/>
      <c r="I483" s="197"/>
      <c r="J483" s="197"/>
      <c r="K483" s="1094"/>
      <c r="L483" s="197"/>
      <c r="M483" s="197"/>
      <c r="N483" s="197"/>
      <c r="O483" s="197"/>
      <c r="P483" s="1094"/>
      <c r="Q483" s="197"/>
      <c r="R483" s="197"/>
      <c r="S483" s="197"/>
      <c r="T483" s="197"/>
      <c r="U483" s="1094"/>
      <c r="V483" s="197"/>
      <c r="W483" s="197"/>
      <c r="X483" s="197"/>
      <c r="Y483" s="197"/>
      <c r="Z483" s="1094"/>
      <c r="AA483" s="197"/>
      <c r="AB483" s="197"/>
      <c r="AC483" s="197"/>
      <c r="AD483" s="197"/>
      <c r="AE483" s="1094"/>
      <c r="AF483" s="197"/>
      <c r="AG483" s="197"/>
      <c r="AH483" s="197"/>
      <c r="AI483" s="197"/>
      <c r="AJ483" s="1094"/>
      <c r="AK483" s="197"/>
      <c r="AL483" s="197"/>
      <c r="AM483" s="197"/>
      <c r="AN483" s="197"/>
      <c r="AO483" s="1094"/>
      <c r="AP483" s="197"/>
      <c r="AQ483" s="197"/>
      <c r="AR483" s="197"/>
      <c r="AS483" s="197"/>
      <c r="AT483" s="198"/>
      <c r="AU483" s="194"/>
      <c r="AV483" s="194"/>
      <c r="AW483" s="194"/>
      <c r="AX483" s="194"/>
      <c r="AY483" s="198"/>
      <c r="AZ483" s="194"/>
      <c r="BA483" s="194"/>
      <c r="BB483" s="194"/>
      <c r="BC483" s="194"/>
      <c r="BD483" s="198"/>
      <c r="BE483" s="197"/>
      <c r="BF483" s="197"/>
      <c r="BG483" s="197"/>
      <c r="BH483" s="197"/>
      <c r="BI483" s="1094"/>
      <c r="BJ483" s="197"/>
      <c r="BK483" s="197"/>
      <c r="BL483" s="197"/>
      <c r="BM483" s="197"/>
      <c r="BN483" s="1094"/>
      <c r="BO483" s="197"/>
      <c r="BP483" s="197"/>
      <c r="BQ483" s="197"/>
      <c r="BR483" s="197"/>
      <c r="BS483" s="1094"/>
      <c r="BT483" s="727"/>
      <c r="BU483" s="197"/>
      <c r="BV483" s="197"/>
      <c r="BW483" s="197"/>
      <c r="BX483" s="1094"/>
      <c r="BY483" s="197"/>
      <c r="BZ483" s="197"/>
      <c r="CA483" s="197"/>
      <c r="CB483" s="197"/>
      <c r="CC483" s="1094"/>
      <c r="CD483" s="1094"/>
      <c r="CE483" s="1094"/>
      <c r="CF483" s="1094"/>
      <c r="CG483" s="349"/>
    </row>
    <row r="484" spans="1:85" s="613" customFormat="1" x14ac:dyDescent="0.3">
      <c r="A484" s="478" t="s">
        <v>1740</v>
      </c>
      <c r="B484" s="523"/>
      <c r="C484" s="78"/>
      <c r="D484" s="78"/>
      <c r="E484" s="78"/>
      <c r="F484" s="78"/>
      <c r="G484" s="774"/>
      <c r="H484" s="774"/>
      <c r="I484" s="774"/>
      <c r="J484" s="774"/>
      <c r="K484" s="78"/>
      <c r="L484" s="774"/>
      <c r="M484" s="774"/>
      <c r="N484" s="774"/>
      <c r="O484" s="774"/>
      <c r="P484" s="78"/>
      <c r="Q484" s="774"/>
      <c r="R484" s="774"/>
      <c r="S484" s="774"/>
      <c r="T484" s="774"/>
      <c r="U484" s="78"/>
      <c r="V484" s="774"/>
      <c r="W484" s="774"/>
      <c r="X484" s="774"/>
      <c r="Y484" s="774"/>
      <c r="Z484" s="78"/>
      <c r="AA484" s="774"/>
      <c r="AB484" s="774"/>
      <c r="AC484" s="774"/>
      <c r="AD484" s="774"/>
      <c r="AE484" s="78"/>
      <c r="AF484" s="774"/>
      <c r="AG484" s="774"/>
      <c r="AH484" s="774"/>
      <c r="AI484" s="774"/>
      <c r="AJ484" s="78"/>
      <c r="AK484" s="774"/>
      <c r="AL484" s="774"/>
      <c r="AM484" s="774"/>
      <c r="AN484" s="774"/>
      <c r="AO484" s="78"/>
      <c r="AP484" s="774"/>
      <c r="AQ484" s="774"/>
      <c r="AR484" s="774"/>
      <c r="AS484" s="774"/>
      <c r="AT484" s="1119">
        <v>26.405000000000001</v>
      </c>
      <c r="AU484" s="774"/>
      <c r="AV484" s="774"/>
      <c r="AW484" s="774"/>
      <c r="AX484" s="774"/>
      <c r="AY484" s="1119">
        <v>26.405000000000001</v>
      </c>
      <c r="AZ484" s="774"/>
      <c r="BA484" s="774"/>
      <c r="BB484" s="774"/>
      <c r="BC484" s="774"/>
      <c r="BD484" s="1119">
        <v>26.405000000000001</v>
      </c>
      <c r="BE484" s="774"/>
      <c r="BF484" s="774"/>
      <c r="BG484" s="774"/>
      <c r="BH484" s="774"/>
      <c r="BI484" s="1119">
        <v>26.405000000000001</v>
      </c>
      <c r="BJ484" s="774"/>
      <c r="BK484" s="774"/>
      <c r="BL484" s="774"/>
      <c r="BM484" s="774"/>
      <c r="BN484" s="1119">
        <v>26.405000000000001</v>
      </c>
      <c r="BO484" s="774"/>
      <c r="BP484" s="774"/>
      <c r="BQ484" s="774"/>
      <c r="BR484" s="774"/>
      <c r="BS484" s="78"/>
      <c r="BT484" s="775"/>
      <c r="BU484" s="774"/>
      <c r="BV484" s="774"/>
      <c r="BW484" s="774"/>
      <c r="BX484" s="78"/>
      <c r="BY484" s="774"/>
      <c r="BZ484" s="774"/>
      <c r="CA484" s="774"/>
      <c r="CB484" s="774"/>
      <c r="CC484" s="78"/>
      <c r="CD484" s="78"/>
      <c r="CE484" s="78"/>
      <c r="CF484" s="78"/>
      <c r="CG484" s="532"/>
    </row>
    <row r="485" spans="1:85" s="615" customFormat="1" x14ac:dyDescent="0.3">
      <c r="A485" s="522" t="s">
        <v>1739</v>
      </c>
      <c r="B485" s="521"/>
      <c r="C485" s="1122"/>
      <c r="D485" s="1122"/>
      <c r="E485" s="1122"/>
      <c r="F485" s="1122"/>
      <c r="G485" s="520"/>
      <c r="H485" s="520"/>
      <c r="I485" s="520"/>
      <c r="J485" s="520"/>
      <c r="K485" s="1122"/>
      <c r="L485" s="520"/>
      <c r="M485" s="520"/>
      <c r="N485" s="520"/>
      <c r="O485" s="520"/>
      <c r="P485" s="1122"/>
      <c r="Q485" s="520"/>
      <c r="R485" s="520"/>
      <c r="S485" s="520"/>
      <c r="T485" s="520"/>
      <c r="U485" s="1122"/>
      <c r="V485" s="520"/>
      <c r="W485" s="520"/>
      <c r="X485" s="520"/>
      <c r="Y485" s="520"/>
      <c r="Z485" s="1122"/>
      <c r="AA485" s="520"/>
      <c r="AB485" s="520"/>
      <c r="AC485" s="520"/>
      <c r="AD485" s="520"/>
      <c r="AE485" s="1122"/>
      <c r="AF485" s="520"/>
      <c r="AG485" s="520"/>
      <c r="AH485" s="520"/>
      <c r="AI485" s="520"/>
      <c r="AJ485" s="1122"/>
      <c r="AK485" s="520"/>
      <c r="AL485" s="520"/>
      <c r="AM485" s="520"/>
      <c r="AN485" s="520"/>
      <c r="AO485" s="1122"/>
      <c r="AP485" s="520"/>
      <c r="AQ485" s="520"/>
      <c r="AR485" s="520"/>
      <c r="AS485" s="520"/>
      <c r="AT485" s="1123">
        <v>93.11</v>
      </c>
      <c r="AU485" s="526"/>
      <c r="AV485" s="526"/>
      <c r="AW485" s="526"/>
      <c r="AX485" s="526"/>
      <c r="AY485" s="1123">
        <v>93.11</v>
      </c>
      <c r="AZ485" s="526"/>
      <c r="BA485" s="526"/>
      <c r="BB485" s="526"/>
      <c r="BC485" s="526"/>
      <c r="BD485" s="1123">
        <v>93.11</v>
      </c>
      <c r="BE485" s="520"/>
      <c r="BF485" s="520"/>
      <c r="BG485" s="520"/>
      <c r="BH485" s="520"/>
      <c r="BI485" s="1123">
        <v>93.11</v>
      </c>
      <c r="BJ485" s="520"/>
      <c r="BK485" s="520"/>
      <c r="BL485" s="520"/>
      <c r="BM485" s="520"/>
      <c r="BN485" s="1123">
        <v>93.11</v>
      </c>
      <c r="BO485" s="520"/>
      <c r="BP485" s="520"/>
      <c r="BQ485" s="520"/>
      <c r="BR485" s="520"/>
      <c r="BS485" s="1124"/>
      <c r="BT485" s="728"/>
      <c r="BU485" s="520"/>
      <c r="BV485" s="520"/>
      <c r="BW485" s="520"/>
      <c r="BX485" s="1122"/>
      <c r="BY485" s="520"/>
      <c r="BZ485" s="520"/>
      <c r="CA485" s="520"/>
      <c r="CB485" s="520"/>
      <c r="CC485" s="1122"/>
      <c r="CD485" s="1122"/>
      <c r="CE485" s="1122"/>
      <c r="CF485" s="1122"/>
      <c r="CG485" s="519"/>
    </row>
    <row r="486" spans="1:85" s="614" customFormat="1" x14ac:dyDescent="0.3">
      <c r="A486" s="116"/>
      <c r="B486" s="352"/>
      <c r="C486" s="1094"/>
      <c r="D486" s="1094"/>
      <c r="E486" s="1094"/>
      <c r="F486" s="1094"/>
      <c r="G486" s="197"/>
      <c r="H486" s="197"/>
      <c r="I486" s="197"/>
      <c r="J486" s="197"/>
      <c r="K486" s="1094"/>
      <c r="L486" s="197"/>
      <c r="M486" s="197"/>
      <c r="N486" s="197"/>
      <c r="O486" s="197"/>
      <c r="P486" s="1094"/>
      <c r="Q486" s="197"/>
      <c r="R486" s="197"/>
      <c r="S486" s="197"/>
      <c r="T486" s="197"/>
      <c r="U486" s="1094"/>
      <c r="V486" s="197"/>
      <c r="W486" s="197"/>
      <c r="X486" s="197"/>
      <c r="Y486" s="197"/>
      <c r="Z486" s="1094"/>
      <c r="AA486" s="197"/>
      <c r="AB486" s="197"/>
      <c r="AC486" s="197"/>
      <c r="AD486" s="197"/>
      <c r="AE486" s="1094"/>
      <c r="AF486" s="197"/>
      <c r="AG486" s="197"/>
      <c r="AH486" s="197"/>
      <c r="AI486" s="197"/>
      <c r="AJ486" s="1094"/>
      <c r="AK486" s="197"/>
      <c r="AL486" s="197"/>
      <c r="AM486" s="197"/>
      <c r="AN486" s="197"/>
      <c r="AO486" s="1094"/>
      <c r="AP486" s="197"/>
      <c r="AQ486" s="197"/>
      <c r="AR486" s="197"/>
      <c r="AS486" s="197"/>
      <c r="AT486" s="198"/>
      <c r="AU486" s="194"/>
      <c r="AV486" s="194"/>
      <c r="AW486" s="194"/>
      <c r="AX486" s="194"/>
      <c r="AY486" s="198"/>
      <c r="AZ486" s="194"/>
      <c r="BA486" s="194"/>
      <c r="BB486" s="194"/>
      <c r="BC486" s="194"/>
      <c r="BD486" s="198"/>
      <c r="BE486" s="197"/>
      <c r="BF486" s="197"/>
      <c r="BG486" s="197"/>
      <c r="BH486" s="197"/>
      <c r="BI486" s="1094"/>
      <c r="BJ486" s="197"/>
      <c r="BK486" s="197"/>
      <c r="BL486" s="197"/>
      <c r="BM486" s="197"/>
      <c r="BN486" s="1094"/>
      <c r="BO486" s="197"/>
      <c r="BP486" s="197"/>
      <c r="BQ486" s="197"/>
      <c r="BR486" s="197"/>
      <c r="BS486" s="1094"/>
      <c r="BT486" s="727"/>
      <c r="BU486" s="197"/>
      <c r="BV486" s="197"/>
      <c r="BW486" s="197"/>
      <c r="BX486" s="1094"/>
      <c r="BY486" s="197"/>
      <c r="BZ486" s="197"/>
      <c r="CA486" s="197"/>
      <c r="CB486" s="197"/>
      <c r="CC486" s="1094"/>
      <c r="CD486" s="1094"/>
      <c r="CE486" s="1094"/>
      <c r="CF486" s="1094"/>
      <c r="CG486" s="349"/>
    </row>
    <row r="487" spans="1:85" s="613" customFormat="1" x14ac:dyDescent="0.3">
      <c r="A487" s="478" t="s">
        <v>1738</v>
      </c>
      <c r="B487" s="523"/>
      <c r="C487" s="78"/>
      <c r="D487" s="78"/>
      <c r="E487" s="78"/>
      <c r="F487" s="78"/>
      <c r="G487" s="774"/>
      <c r="H487" s="774"/>
      <c r="I487" s="774"/>
      <c r="J487" s="774"/>
      <c r="K487" s="78"/>
      <c r="L487" s="774"/>
      <c r="M487" s="774"/>
      <c r="N487" s="774"/>
      <c r="O487" s="774"/>
      <c r="P487" s="78"/>
      <c r="Q487" s="774"/>
      <c r="R487" s="774"/>
      <c r="S487" s="774"/>
      <c r="T487" s="774"/>
      <c r="U487" s="78"/>
      <c r="V487" s="774"/>
      <c r="W487" s="774"/>
      <c r="X487" s="774"/>
      <c r="Y487" s="774"/>
      <c r="Z487" s="78"/>
      <c r="AA487" s="774"/>
      <c r="AB487" s="774"/>
      <c r="AC487" s="774"/>
      <c r="AD487" s="774"/>
      <c r="AE487" s="78"/>
      <c r="AF487" s="774"/>
      <c r="AG487" s="774"/>
      <c r="AH487" s="774"/>
      <c r="AI487" s="774"/>
      <c r="AJ487" s="78"/>
      <c r="AK487" s="774"/>
      <c r="AL487" s="774"/>
      <c r="AM487" s="774"/>
      <c r="AN487" s="774"/>
      <c r="AO487" s="78"/>
      <c r="AP487" s="774"/>
      <c r="AQ487" s="774"/>
      <c r="AR487" s="774"/>
      <c r="AS487" s="774"/>
      <c r="AT487" s="1119">
        <v>25.43</v>
      </c>
      <c r="AU487" s="774"/>
      <c r="AV487" s="774"/>
      <c r="AW487" s="774"/>
      <c r="AX487" s="774"/>
      <c r="AY487" s="1119">
        <v>25.43</v>
      </c>
      <c r="AZ487" s="774"/>
      <c r="BA487" s="774"/>
      <c r="BB487" s="774"/>
      <c r="BC487" s="774"/>
      <c r="BD487" s="1119">
        <v>25.43</v>
      </c>
      <c r="BE487" s="774"/>
      <c r="BF487" s="774"/>
      <c r="BG487" s="774"/>
      <c r="BH487" s="774"/>
      <c r="BI487" s="1119">
        <v>25.43</v>
      </c>
      <c r="BJ487" s="774"/>
      <c r="BK487" s="774"/>
      <c r="BL487" s="774"/>
      <c r="BM487" s="774"/>
      <c r="BN487" s="1119">
        <v>25.43</v>
      </c>
      <c r="BO487" s="774"/>
      <c r="BP487" s="774"/>
      <c r="BQ487" s="774"/>
      <c r="BR487" s="774"/>
      <c r="BS487" s="78"/>
      <c r="BT487" s="775"/>
      <c r="BU487" s="774"/>
      <c r="BV487" s="774"/>
      <c r="BW487" s="774"/>
      <c r="BX487" s="78"/>
      <c r="BY487" s="774"/>
      <c r="BZ487" s="774"/>
      <c r="CA487" s="774"/>
      <c r="CB487" s="774"/>
      <c r="CC487" s="78"/>
      <c r="CD487" s="78"/>
      <c r="CE487" s="78"/>
      <c r="CF487" s="78"/>
      <c r="CG487" s="532"/>
    </row>
    <row r="488" spans="1:85" s="615" customFormat="1" x14ac:dyDescent="0.3">
      <c r="A488" s="522" t="s">
        <v>1737</v>
      </c>
      <c r="B488" s="521"/>
      <c r="C488" s="1122"/>
      <c r="D488" s="1122"/>
      <c r="E488" s="1122"/>
      <c r="F488" s="1122"/>
      <c r="G488" s="520"/>
      <c r="H488" s="520"/>
      <c r="I488" s="520"/>
      <c r="J488" s="520"/>
      <c r="K488" s="1122"/>
      <c r="L488" s="520"/>
      <c r="M488" s="520"/>
      <c r="N488" s="520"/>
      <c r="O488" s="520"/>
      <c r="P488" s="1122"/>
      <c r="Q488" s="520"/>
      <c r="R488" s="520"/>
      <c r="S488" s="520"/>
      <c r="T488" s="520"/>
      <c r="U488" s="1122"/>
      <c r="V488" s="520"/>
      <c r="W488" s="520"/>
      <c r="X488" s="520"/>
      <c r="Y488" s="520"/>
      <c r="Z488" s="1122"/>
      <c r="AA488" s="520"/>
      <c r="AB488" s="520"/>
      <c r="AC488" s="520"/>
      <c r="AD488" s="520"/>
      <c r="AE488" s="1122"/>
      <c r="AF488" s="520"/>
      <c r="AG488" s="520"/>
      <c r="AH488" s="520"/>
      <c r="AI488" s="520"/>
      <c r="AJ488" s="1122"/>
      <c r="AK488" s="520"/>
      <c r="AL488" s="520"/>
      <c r="AM488" s="520"/>
      <c r="AN488" s="520"/>
      <c r="AO488" s="1122"/>
      <c r="AP488" s="520"/>
      <c r="AQ488" s="520"/>
      <c r="AR488" s="520"/>
      <c r="AS488" s="520"/>
      <c r="AT488" s="1123">
        <v>96.67</v>
      </c>
      <c r="AU488" s="526"/>
      <c r="AV488" s="526"/>
      <c r="AW488" s="526"/>
      <c r="AX488" s="526"/>
      <c r="AY488" s="1123">
        <v>96.67</v>
      </c>
      <c r="AZ488" s="526"/>
      <c r="BA488" s="526"/>
      <c r="BB488" s="526"/>
      <c r="BC488" s="526"/>
      <c r="BD488" s="1123">
        <v>96.67</v>
      </c>
      <c r="BE488" s="520"/>
      <c r="BF488" s="520"/>
      <c r="BG488" s="520"/>
      <c r="BH488" s="520"/>
      <c r="BI488" s="1123">
        <v>96.67</v>
      </c>
      <c r="BJ488" s="520"/>
      <c r="BK488" s="520"/>
      <c r="BL488" s="520"/>
      <c r="BM488" s="520"/>
      <c r="BN488" s="1123">
        <v>96.67</v>
      </c>
      <c r="BO488" s="520"/>
      <c r="BP488" s="520"/>
      <c r="BQ488" s="520"/>
      <c r="BR488" s="520"/>
      <c r="BS488" s="1124"/>
      <c r="BT488" s="728"/>
      <c r="BU488" s="520"/>
      <c r="BV488" s="520"/>
      <c r="BW488" s="520"/>
      <c r="BX488" s="1122"/>
      <c r="BY488" s="520"/>
      <c r="BZ488" s="520"/>
      <c r="CA488" s="520"/>
      <c r="CB488" s="520"/>
      <c r="CC488" s="1122"/>
      <c r="CD488" s="1122"/>
      <c r="CE488" s="1122"/>
      <c r="CF488" s="1122"/>
      <c r="CG488" s="519"/>
    </row>
    <row r="489" spans="1:85" s="614" customFormat="1" x14ac:dyDescent="0.3">
      <c r="A489" s="116"/>
      <c r="B489" s="352"/>
      <c r="C489" s="1094"/>
      <c r="D489" s="1094"/>
      <c r="E489" s="1094"/>
      <c r="F489" s="1094"/>
      <c r="G489" s="197"/>
      <c r="H489" s="197"/>
      <c r="I489" s="197"/>
      <c r="J489" s="197"/>
      <c r="K489" s="1094"/>
      <c r="L489" s="197"/>
      <c r="M489" s="197"/>
      <c r="N489" s="197"/>
      <c r="O489" s="197"/>
      <c r="P489" s="1094"/>
      <c r="Q489" s="197"/>
      <c r="R489" s="197"/>
      <c r="S489" s="197"/>
      <c r="T489" s="197"/>
      <c r="U489" s="1094"/>
      <c r="V489" s="197"/>
      <c r="W489" s="197"/>
      <c r="X489" s="197"/>
      <c r="Y489" s="197"/>
      <c r="Z489" s="1094"/>
      <c r="AA489" s="197"/>
      <c r="AB489" s="197"/>
      <c r="AC489" s="197"/>
      <c r="AD489" s="197"/>
      <c r="AE489" s="1094"/>
      <c r="AF489" s="197"/>
      <c r="AG489" s="197"/>
      <c r="AH489" s="197"/>
      <c r="AI489" s="197"/>
      <c r="AJ489" s="1094"/>
      <c r="AK489" s="197"/>
      <c r="AL489" s="197"/>
      <c r="AM489" s="197"/>
      <c r="AN489" s="197"/>
      <c r="AO489" s="1094"/>
      <c r="AP489" s="197"/>
      <c r="AQ489" s="197"/>
      <c r="AR489" s="197"/>
      <c r="AS489" s="197"/>
      <c r="AT489" s="198"/>
      <c r="AU489" s="194"/>
      <c r="AV489" s="194"/>
      <c r="AW489" s="194"/>
      <c r="AX489" s="194"/>
      <c r="AY489" s="198"/>
      <c r="AZ489" s="194"/>
      <c r="BA489" s="194"/>
      <c r="BB489" s="194"/>
      <c r="BC489" s="194"/>
      <c r="BD489" s="198"/>
      <c r="BE489" s="197"/>
      <c r="BF489" s="197"/>
      <c r="BG489" s="197"/>
      <c r="BH489" s="197"/>
      <c r="BI489" s="1094"/>
      <c r="BJ489" s="197"/>
      <c r="BK489" s="197"/>
      <c r="BL489" s="197"/>
      <c r="BM489" s="197"/>
      <c r="BN489" s="1094"/>
      <c r="BO489" s="197"/>
      <c r="BP489" s="197"/>
      <c r="BQ489" s="197"/>
      <c r="BR489" s="197"/>
      <c r="BS489" s="1094"/>
      <c r="BT489" s="727"/>
      <c r="BU489" s="197"/>
      <c r="BV489" s="197"/>
      <c r="BW489" s="197"/>
      <c r="BX489" s="1094"/>
      <c r="BY489" s="197"/>
      <c r="BZ489" s="197"/>
      <c r="CA489" s="197"/>
      <c r="CB489" s="197"/>
      <c r="CC489" s="1094"/>
      <c r="CD489" s="1094"/>
      <c r="CE489" s="1094"/>
      <c r="CF489" s="1094"/>
      <c r="CG489" s="349"/>
    </row>
    <row r="490" spans="1:85" s="613" customFormat="1" x14ac:dyDescent="0.3">
      <c r="A490" s="478" t="s">
        <v>1736</v>
      </c>
      <c r="B490" s="523"/>
      <c r="C490" s="78"/>
      <c r="D490" s="78"/>
      <c r="E490" s="78"/>
      <c r="F490" s="78"/>
      <c r="G490" s="774"/>
      <c r="H490" s="774"/>
      <c r="I490" s="774"/>
      <c r="J490" s="774"/>
      <c r="K490" s="78"/>
      <c r="L490" s="774"/>
      <c r="M490" s="774"/>
      <c r="N490" s="774"/>
      <c r="O490" s="774"/>
      <c r="P490" s="78"/>
      <c r="Q490" s="774"/>
      <c r="R490" s="774"/>
      <c r="S490" s="774"/>
      <c r="T490" s="774"/>
      <c r="U490" s="78"/>
      <c r="V490" s="774"/>
      <c r="W490" s="774"/>
      <c r="X490" s="774"/>
      <c r="Y490" s="774"/>
      <c r="Z490" s="78"/>
      <c r="AA490" s="774"/>
      <c r="AB490" s="774"/>
      <c r="AC490" s="774"/>
      <c r="AD490" s="774"/>
      <c r="AE490" s="78"/>
      <c r="AF490" s="774"/>
      <c r="AG490" s="774"/>
      <c r="AH490" s="774"/>
      <c r="AI490" s="774"/>
      <c r="AJ490" s="78"/>
      <c r="AK490" s="774"/>
      <c r="AL490" s="774"/>
      <c r="AM490" s="774"/>
      <c r="AN490" s="774"/>
      <c r="AO490" s="78"/>
      <c r="AP490" s="774"/>
      <c r="AQ490" s="774"/>
      <c r="AR490" s="774"/>
      <c r="AS490" s="774"/>
      <c r="AT490" s="1119">
        <v>26.05</v>
      </c>
      <c r="AU490" s="774"/>
      <c r="AV490" s="774"/>
      <c r="AW490" s="774"/>
      <c r="AX490" s="774"/>
      <c r="AY490" s="1119">
        <v>26.05</v>
      </c>
      <c r="AZ490" s="774"/>
      <c r="BA490" s="774"/>
      <c r="BB490" s="774"/>
      <c r="BC490" s="774"/>
      <c r="BD490" s="1119">
        <v>26.05</v>
      </c>
      <c r="BE490" s="774"/>
      <c r="BF490" s="774"/>
      <c r="BG490" s="774"/>
      <c r="BH490" s="774"/>
      <c r="BI490" s="1119">
        <v>26.05</v>
      </c>
      <c r="BJ490" s="774"/>
      <c r="BK490" s="774"/>
      <c r="BL490" s="774"/>
      <c r="BM490" s="774"/>
      <c r="BN490" s="1119">
        <v>26.05</v>
      </c>
      <c r="BO490" s="774"/>
      <c r="BP490" s="774"/>
      <c r="BQ490" s="774"/>
      <c r="BR490" s="774"/>
      <c r="BS490" s="78"/>
      <c r="BT490" s="775"/>
      <c r="BU490" s="774"/>
      <c r="BV490" s="774"/>
      <c r="BW490" s="774"/>
      <c r="BX490" s="78"/>
      <c r="BY490" s="774"/>
      <c r="BZ490" s="774"/>
      <c r="CA490" s="774"/>
      <c r="CB490" s="774"/>
      <c r="CC490" s="78"/>
      <c r="CD490" s="78"/>
      <c r="CE490" s="78"/>
      <c r="CF490" s="78"/>
      <c r="CG490" s="532"/>
    </row>
    <row r="491" spans="1:85" s="615" customFormat="1" x14ac:dyDescent="0.3">
      <c r="A491" s="522" t="s">
        <v>1735</v>
      </c>
      <c r="B491" s="521"/>
      <c r="C491" s="1122"/>
      <c r="D491" s="1122"/>
      <c r="E491" s="1122"/>
      <c r="F491" s="1122"/>
      <c r="G491" s="520"/>
      <c r="H491" s="520"/>
      <c r="I491" s="520"/>
      <c r="J491" s="520"/>
      <c r="K491" s="1122"/>
      <c r="L491" s="520"/>
      <c r="M491" s="520"/>
      <c r="N491" s="520"/>
      <c r="O491" s="520"/>
      <c r="P491" s="1122"/>
      <c r="Q491" s="520"/>
      <c r="R491" s="520"/>
      <c r="S491" s="520"/>
      <c r="T491" s="520"/>
      <c r="U491" s="1122"/>
      <c r="V491" s="520"/>
      <c r="W491" s="520"/>
      <c r="X491" s="520"/>
      <c r="Y491" s="520"/>
      <c r="Z491" s="1122"/>
      <c r="AA491" s="520"/>
      <c r="AB491" s="520"/>
      <c r="AC491" s="520"/>
      <c r="AD491" s="520"/>
      <c r="AE491" s="1122"/>
      <c r="AF491" s="520"/>
      <c r="AG491" s="520"/>
      <c r="AH491" s="520"/>
      <c r="AI491" s="520"/>
      <c r="AJ491" s="1122"/>
      <c r="AK491" s="520"/>
      <c r="AL491" s="520"/>
      <c r="AM491" s="520"/>
      <c r="AN491" s="520"/>
      <c r="AO491" s="1122"/>
      <c r="AP491" s="520"/>
      <c r="AQ491" s="520"/>
      <c r="AR491" s="520"/>
      <c r="AS491" s="520"/>
      <c r="AT491" s="1123">
        <v>94.37</v>
      </c>
      <c r="AU491" s="526"/>
      <c r="AV491" s="526"/>
      <c r="AW491" s="526"/>
      <c r="AX491" s="526"/>
      <c r="AY491" s="1123">
        <v>94.37</v>
      </c>
      <c r="AZ491" s="526"/>
      <c r="BA491" s="526"/>
      <c r="BB491" s="526"/>
      <c r="BC491" s="526"/>
      <c r="BD491" s="1123">
        <v>94.37</v>
      </c>
      <c r="BE491" s="520"/>
      <c r="BF491" s="520"/>
      <c r="BG491" s="520"/>
      <c r="BH491" s="520"/>
      <c r="BI491" s="1123">
        <v>94.37</v>
      </c>
      <c r="BJ491" s="520"/>
      <c r="BK491" s="520"/>
      <c r="BL491" s="520"/>
      <c r="BM491" s="520"/>
      <c r="BN491" s="1123">
        <v>94.37</v>
      </c>
      <c r="BO491" s="520"/>
      <c r="BP491" s="520"/>
      <c r="BQ491" s="520"/>
      <c r="BR491" s="520"/>
      <c r="BS491" s="1124"/>
      <c r="BT491" s="728"/>
      <c r="BU491" s="520"/>
      <c r="BV491" s="520"/>
      <c r="BW491" s="520"/>
      <c r="BX491" s="1122"/>
      <c r="BY491" s="520"/>
      <c r="BZ491" s="520"/>
      <c r="CA491" s="520"/>
      <c r="CB491" s="520"/>
      <c r="CC491" s="1122"/>
      <c r="CD491" s="1122"/>
      <c r="CE491" s="1122"/>
      <c r="CF491" s="1122"/>
      <c r="CG491" s="519"/>
    </row>
    <row r="492" spans="1:85" s="614" customFormat="1" x14ac:dyDescent="0.3">
      <c r="A492" s="116"/>
      <c r="B492" s="352"/>
      <c r="C492" s="1094"/>
      <c r="D492" s="1094"/>
      <c r="E492" s="1094"/>
      <c r="F492" s="1094"/>
      <c r="G492" s="197"/>
      <c r="H492" s="197"/>
      <c r="I492" s="197"/>
      <c r="J492" s="197"/>
      <c r="K492" s="1094"/>
      <c r="L492" s="197"/>
      <c r="M492" s="197"/>
      <c r="N492" s="197"/>
      <c r="O492" s="197"/>
      <c r="P492" s="1094"/>
      <c r="Q492" s="197"/>
      <c r="R492" s="197"/>
      <c r="S492" s="197"/>
      <c r="T492" s="197"/>
      <c r="U492" s="1094"/>
      <c r="V492" s="197"/>
      <c r="W492" s="197"/>
      <c r="X492" s="197"/>
      <c r="Y492" s="197"/>
      <c r="Z492" s="1094"/>
      <c r="AA492" s="197"/>
      <c r="AB492" s="197"/>
      <c r="AC492" s="197"/>
      <c r="AD492" s="197"/>
      <c r="AE492" s="1094"/>
      <c r="AF492" s="197"/>
      <c r="AG492" s="197"/>
      <c r="AH492" s="197"/>
      <c r="AI492" s="197"/>
      <c r="AJ492" s="1094"/>
      <c r="AK492" s="197"/>
      <c r="AL492" s="197"/>
      <c r="AM492" s="197"/>
      <c r="AN492" s="197"/>
      <c r="AO492" s="1094"/>
      <c r="AP492" s="197"/>
      <c r="AQ492" s="197"/>
      <c r="AR492" s="197"/>
      <c r="AS492" s="197"/>
      <c r="AT492" s="198"/>
      <c r="AU492" s="194"/>
      <c r="AV492" s="194"/>
      <c r="AW492" s="194"/>
      <c r="AX492" s="194"/>
      <c r="AY492" s="198"/>
      <c r="AZ492" s="194"/>
      <c r="BA492" s="194"/>
      <c r="BB492" s="194"/>
      <c r="BC492" s="194"/>
      <c r="BD492" s="198"/>
      <c r="BE492" s="197"/>
      <c r="BF492" s="197"/>
      <c r="BG492" s="197"/>
      <c r="BH492" s="197"/>
      <c r="BI492" s="198"/>
      <c r="BJ492" s="197"/>
      <c r="BK492" s="197"/>
      <c r="BL492" s="197"/>
      <c r="BM492" s="197"/>
      <c r="BN492" s="198"/>
      <c r="BO492" s="197"/>
      <c r="BP492" s="197"/>
      <c r="BQ492" s="197"/>
      <c r="BR492" s="197"/>
      <c r="BS492" s="198"/>
      <c r="BT492" s="727"/>
      <c r="BU492" s="197"/>
      <c r="BV492" s="197"/>
      <c r="BW492" s="197"/>
      <c r="BX492" s="1094"/>
      <c r="BY492" s="197"/>
      <c r="BZ492" s="197"/>
      <c r="CA492" s="197"/>
      <c r="CB492" s="197"/>
      <c r="CC492" s="1094"/>
      <c r="CD492" s="1094"/>
      <c r="CE492" s="1094"/>
      <c r="CF492" s="1094"/>
      <c r="CG492" s="349"/>
    </row>
    <row r="493" spans="1:85" s="613" customFormat="1" x14ac:dyDescent="0.3">
      <c r="A493" s="478" t="s">
        <v>1734</v>
      </c>
      <c r="B493" s="523"/>
      <c r="C493" s="78"/>
      <c r="D493" s="78"/>
      <c r="E493" s="78"/>
      <c r="F493" s="78"/>
      <c r="G493" s="774"/>
      <c r="H493" s="774"/>
      <c r="I493" s="774"/>
      <c r="J493" s="774"/>
      <c r="K493" s="78"/>
      <c r="L493" s="774"/>
      <c r="M493" s="774"/>
      <c r="N493" s="774"/>
      <c r="O493" s="774"/>
      <c r="P493" s="78"/>
      <c r="Q493" s="774"/>
      <c r="R493" s="774"/>
      <c r="S493" s="774"/>
      <c r="T493" s="774"/>
      <c r="U493" s="78"/>
      <c r="V493" s="774"/>
      <c r="W493" s="774"/>
      <c r="X493" s="774"/>
      <c r="Y493" s="774"/>
      <c r="Z493" s="78"/>
      <c r="AA493" s="774"/>
      <c r="AB493" s="774"/>
      <c r="AC493" s="774"/>
      <c r="AD493" s="774"/>
      <c r="AE493" s="78"/>
      <c r="AF493" s="774"/>
      <c r="AG493" s="774"/>
      <c r="AH493" s="774"/>
      <c r="AI493" s="774"/>
      <c r="AJ493" s="78"/>
      <c r="AK493" s="774"/>
      <c r="AL493" s="774"/>
      <c r="AM493" s="774"/>
      <c r="AN493" s="774"/>
      <c r="AO493" s="78"/>
      <c r="AP493" s="774"/>
      <c r="AQ493" s="774"/>
      <c r="AR493" s="774"/>
      <c r="AS493" s="774"/>
      <c r="AT493" s="1119">
        <v>25.245000000000001</v>
      </c>
      <c r="AU493" s="774"/>
      <c r="AV493" s="774"/>
      <c r="AW493" s="774"/>
      <c r="AX493" s="774"/>
      <c r="AY493" s="1119">
        <v>25.245000000000001</v>
      </c>
      <c r="AZ493" s="774"/>
      <c r="BA493" s="774"/>
      <c r="BB493" s="774"/>
      <c r="BC493" s="774"/>
      <c r="BD493" s="1119">
        <v>25.245000000000001</v>
      </c>
      <c r="BE493" s="774"/>
      <c r="BF493" s="774"/>
      <c r="BG493" s="774"/>
      <c r="BH493" s="774"/>
      <c r="BI493" s="1119">
        <v>25.245000000000001</v>
      </c>
      <c r="BJ493" s="774"/>
      <c r="BK493" s="774"/>
      <c r="BL493" s="774"/>
      <c r="BM493" s="774"/>
      <c r="BN493" s="1119">
        <v>25.245000000000001</v>
      </c>
      <c r="BO493" s="774"/>
      <c r="BP493" s="774"/>
      <c r="BQ493" s="774"/>
      <c r="BR493" s="774"/>
      <c r="BS493" s="78"/>
      <c r="BT493" s="775"/>
      <c r="BU493" s="774"/>
      <c r="BV493" s="774"/>
      <c r="BW493" s="774"/>
      <c r="BX493" s="78"/>
      <c r="BY493" s="774"/>
      <c r="BZ493" s="774"/>
      <c r="CA493" s="774"/>
      <c r="CB493" s="774"/>
      <c r="CC493" s="78"/>
      <c r="CD493" s="78"/>
      <c r="CE493" s="78"/>
      <c r="CF493" s="78"/>
      <c r="CG493" s="532"/>
    </row>
    <row r="494" spans="1:85" s="615" customFormat="1" x14ac:dyDescent="0.3">
      <c r="A494" s="522" t="s">
        <v>1733</v>
      </c>
      <c r="B494" s="521"/>
      <c r="C494" s="1122"/>
      <c r="D494" s="1122"/>
      <c r="E494" s="1122"/>
      <c r="F494" s="1122"/>
      <c r="G494" s="520"/>
      <c r="H494" s="520"/>
      <c r="I494" s="520"/>
      <c r="J494" s="520"/>
      <c r="K494" s="1122"/>
      <c r="L494" s="520"/>
      <c r="M494" s="520"/>
      <c r="N494" s="520"/>
      <c r="O494" s="520"/>
      <c r="P494" s="1122"/>
      <c r="Q494" s="520"/>
      <c r="R494" s="520"/>
      <c r="S494" s="520"/>
      <c r="T494" s="520"/>
      <c r="U494" s="1122"/>
      <c r="V494" s="520"/>
      <c r="W494" s="520"/>
      <c r="X494" s="520"/>
      <c r="Y494" s="520"/>
      <c r="Z494" s="1122"/>
      <c r="AA494" s="520"/>
      <c r="AB494" s="520"/>
      <c r="AC494" s="520"/>
      <c r="AD494" s="520"/>
      <c r="AE494" s="1122"/>
      <c r="AF494" s="520"/>
      <c r="AG494" s="520"/>
      <c r="AH494" s="520"/>
      <c r="AI494" s="520"/>
      <c r="AJ494" s="1122"/>
      <c r="AK494" s="520"/>
      <c r="AL494" s="520"/>
      <c r="AM494" s="520"/>
      <c r="AN494" s="520"/>
      <c r="AO494" s="1122"/>
      <c r="AP494" s="520"/>
      <c r="AQ494" s="520"/>
      <c r="AR494" s="520"/>
      <c r="AS494" s="520"/>
      <c r="AT494" s="1123">
        <v>97.38</v>
      </c>
      <c r="AU494" s="526"/>
      <c r="AV494" s="526"/>
      <c r="AW494" s="526"/>
      <c r="AX494" s="526"/>
      <c r="AY494" s="1123">
        <v>97.38</v>
      </c>
      <c r="AZ494" s="526"/>
      <c r="BA494" s="526"/>
      <c r="BB494" s="526"/>
      <c r="BC494" s="526"/>
      <c r="BD494" s="1123">
        <v>97.38</v>
      </c>
      <c r="BE494" s="520"/>
      <c r="BF494" s="520"/>
      <c r="BG494" s="520"/>
      <c r="BH494" s="520"/>
      <c r="BI494" s="1123">
        <v>97.38</v>
      </c>
      <c r="BJ494" s="520"/>
      <c r="BK494" s="520"/>
      <c r="BL494" s="520"/>
      <c r="BM494" s="520"/>
      <c r="BN494" s="1123">
        <v>97.38</v>
      </c>
      <c r="BO494" s="520"/>
      <c r="BP494" s="520"/>
      <c r="BQ494" s="520"/>
      <c r="BR494" s="520"/>
      <c r="BS494" s="1124"/>
      <c r="BT494" s="728"/>
      <c r="BU494" s="520"/>
      <c r="BV494" s="520"/>
      <c r="BW494" s="520"/>
      <c r="BX494" s="1122"/>
      <c r="BY494" s="520"/>
      <c r="BZ494" s="520"/>
      <c r="CA494" s="520"/>
      <c r="CB494" s="520"/>
      <c r="CC494" s="1122"/>
      <c r="CD494" s="1122"/>
      <c r="CE494" s="1122"/>
      <c r="CF494" s="1122"/>
      <c r="CG494" s="519"/>
    </row>
    <row r="495" spans="1:85" s="614" customFormat="1" x14ac:dyDescent="0.3">
      <c r="A495" s="522"/>
      <c r="B495" s="352"/>
      <c r="C495" s="1094"/>
      <c r="D495" s="1094"/>
      <c r="E495" s="1094"/>
      <c r="F495" s="1094"/>
      <c r="G495" s="197"/>
      <c r="H495" s="197"/>
      <c r="I495" s="197"/>
      <c r="J495" s="197"/>
      <c r="K495" s="1094"/>
      <c r="L495" s="197"/>
      <c r="M495" s="197"/>
      <c r="N495" s="197"/>
      <c r="O495" s="197"/>
      <c r="P495" s="1094"/>
      <c r="Q495" s="197"/>
      <c r="R495" s="197"/>
      <c r="S495" s="197"/>
      <c r="T495" s="197"/>
      <c r="U495" s="1094"/>
      <c r="V495" s="197"/>
      <c r="W495" s="197"/>
      <c r="X495" s="197"/>
      <c r="Y495" s="197"/>
      <c r="Z495" s="1094"/>
      <c r="AA495" s="197"/>
      <c r="AB495" s="197"/>
      <c r="AC495" s="197"/>
      <c r="AD495" s="197"/>
      <c r="AE495" s="1094"/>
      <c r="AF495" s="197"/>
      <c r="AG495" s="197"/>
      <c r="AH495" s="197"/>
      <c r="AI495" s="197"/>
      <c r="AJ495" s="1094"/>
      <c r="AK495" s="197"/>
      <c r="AL495" s="197"/>
      <c r="AM495" s="197"/>
      <c r="AN495" s="197"/>
      <c r="AO495" s="1094"/>
      <c r="AP495" s="197"/>
      <c r="AQ495" s="197"/>
      <c r="AR495" s="197"/>
      <c r="AS495" s="197"/>
      <c r="AT495" s="198"/>
      <c r="AU495" s="194"/>
      <c r="AV495" s="194"/>
      <c r="AW495" s="194"/>
      <c r="AX495" s="194"/>
      <c r="AY495" s="198"/>
      <c r="AZ495" s="194"/>
      <c r="BA495" s="194"/>
      <c r="BB495" s="194"/>
      <c r="BC495" s="194"/>
      <c r="BD495" s="198"/>
      <c r="BE495" s="197"/>
      <c r="BF495" s="197"/>
      <c r="BG495" s="197"/>
      <c r="BH495" s="197"/>
      <c r="BI495" s="1094"/>
      <c r="BJ495" s="197"/>
      <c r="BK495" s="197"/>
      <c r="BL495" s="197"/>
      <c r="BM495" s="197"/>
      <c r="BN495" s="1094"/>
      <c r="BO495" s="197"/>
      <c r="BP495" s="197"/>
      <c r="BQ495" s="197"/>
      <c r="BR495" s="197"/>
      <c r="BS495" s="1094"/>
      <c r="BT495" s="727"/>
      <c r="BU495" s="197"/>
      <c r="BV495" s="197"/>
      <c r="BW495" s="197"/>
      <c r="BX495" s="1094"/>
      <c r="BY495" s="197"/>
      <c r="BZ495" s="197"/>
      <c r="CA495" s="197"/>
      <c r="CB495" s="197"/>
      <c r="CC495" s="1094"/>
      <c r="CD495" s="1094"/>
      <c r="CE495" s="1094"/>
      <c r="CF495" s="1094"/>
      <c r="CG495" s="349"/>
    </row>
    <row r="496" spans="1:85" s="613" customFormat="1" x14ac:dyDescent="0.3">
      <c r="A496" s="478" t="s">
        <v>1732</v>
      </c>
      <c r="B496" s="523"/>
      <c r="C496" s="78"/>
      <c r="D496" s="78"/>
      <c r="E496" s="78"/>
      <c r="F496" s="78"/>
      <c r="G496" s="774"/>
      <c r="H496" s="774"/>
      <c r="I496" s="774"/>
      <c r="J496" s="774"/>
      <c r="K496" s="78"/>
      <c r="L496" s="774"/>
      <c r="M496" s="774"/>
      <c r="N496" s="774"/>
      <c r="O496" s="774"/>
      <c r="P496" s="78"/>
      <c r="Q496" s="774"/>
      <c r="R496" s="774"/>
      <c r="S496" s="774"/>
      <c r="T496" s="774"/>
      <c r="U496" s="78"/>
      <c r="V496" s="774"/>
      <c r="W496" s="774"/>
      <c r="X496" s="774"/>
      <c r="Y496" s="774"/>
      <c r="Z496" s="78"/>
      <c r="AA496" s="774"/>
      <c r="AB496" s="774"/>
      <c r="AC496" s="774"/>
      <c r="AD496" s="774"/>
      <c r="AE496" s="78"/>
      <c r="AF496" s="774"/>
      <c r="AG496" s="774"/>
      <c r="AH496" s="774"/>
      <c r="AI496" s="774"/>
      <c r="AJ496" s="78"/>
      <c r="AK496" s="774"/>
      <c r="AL496" s="774"/>
      <c r="AM496" s="774"/>
      <c r="AN496" s="774"/>
      <c r="AO496" s="78"/>
      <c r="AP496" s="774"/>
      <c r="AQ496" s="774"/>
      <c r="AR496" s="774"/>
      <c r="AS496" s="774"/>
      <c r="AT496" s="1119">
        <v>19.282</v>
      </c>
      <c r="AU496" s="774"/>
      <c r="AV496" s="774"/>
      <c r="AW496" s="774"/>
      <c r="AX496" s="774"/>
      <c r="AY496" s="1119">
        <v>19.282</v>
      </c>
      <c r="AZ496" s="774"/>
      <c r="BA496" s="774"/>
      <c r="BB496" s="774"/>
      <c r="BC496" s="774"/>
      <c r="BD496" s="1119">
        <v>19.282</v>
      </c>
      <c r="BE496" s="774"/>
      <c r="BF496" s="774"/>
      <c r="BG496" s="774"/>
      <c r="BH496" s="774"/>
      <c r="BI496" s="1119">
        <v>19.282</v>
      </c>
      <c r="BJ496" s="774"/>
      <c r="BK496" s="774"/>
      <c r="BL496" s="774"/>
      <c r="BM496" s="774"/>
      <c r="BN496" s="1119">
        <v>19.282</v>
      </c>
      <c r="BO496" s="774"/>
      <c r="BP496" s="774"/>
      <c r="BQ496" s="774"/>
      <c r="BR496" s="774"/>
      <c r="BS496" s="78"/>
      <c r="BT496" s="775"/>
      <c r="BU496" s="774"/>
      <c r="BV496" s="774"/>
      <c r="BW496" s="774"/>
      <c r="BX496" s="78"/>
      <c r="BY496" s="774"/>
      <c r="BZ496" s="774"/>
      <c r="CA496" s="774"/>
      <c r="CB496" s="774"/>
      <c r="CC496" s="78"/>
      <c r="CD496" s="78"/>
      <c r="CE496" s="78"/>
      <c r="CF496" s="78"/>
      <c r="CG496" s="532"/>
    </row>
    <row r="497" spans="1:85" s="615" customFormat="1" x14ac:dyDescent="0.3">
      <c r="A497" s="522" t="s">
        <v>1731</v>
      </c>
      <c r="B497" s="521"/>
      <c r="C497" s="1122"/>
      <c r="D497" s="1122"/>
      <c r="E497" s="1122"/>
      <c r="F497" s="1122"/>
      <c r="G497" s="520"/>
      <c r="H497" s="520"/>
      <c r="I497" s="520"/>
      <c r="J497" s="520"/>
      <c r="K497" s="1122"/>
      <c r="L497" s="520"/>
      <c r="M497" s="520"/>
      <c r="N497" s="520"/>
      <c r="O497" s="520"/>
      <c r="P497" s="1122"/>
      <c r="Q497" s="520"/>
      <c r="R497" s="520"/>
      <c r="S497" s="520"/>
      <c r="T497" s="520"/>
      <c r="U497" s="1122"/>
      <c r="V497" s="520"/>
      <c r="W497" s="520"/>
      <c r="X497" s="520"/>
      <c r="Y497" s="520"/>
      <c r="Z497" s="1122"/>
      <c r="AA497" s="520"/>
      <c r="AB497" s="520"/>
      <c r="AC497" s="520"/>
      <c r="AD497" s="520"/>
      <c r="AE497" s="1122"/>
      <c r="AF497" s="520"/>
      <c r="AG497" s="520"/>
      <c r="AH497" s="520"/>
      <c r="AI497" s="520"/>
      <c r="AJ497" s="1122"/>
      <c r="AK497" s="520"/>
      <c r="AL497" s="520"/>
      <c r="AM497" s="520"/>
      <c r="AN497" s="520"/>
      <c r="AO497" s="1122"/>
      <c r="AP497" s="520"/>
      <c r="AQ497" s="520"/>
      <c r="AR497" s="520"/>
      <c r="AS497" s="520"/>
      <c r="AT497" s="1123">
        <v>127.49</v>
      </c>
      <c r="AU497" s="526"/>
      <c r="AV497" s="526"/>
      <c r="AW497" s="526"/>
      <c r="AX497" s="526"/>
      <c r="AY497" s="1123">
        <v>127.49</v>
      </c>
      <c r="AZ497" s="526"/>
      <c r="BA497" s="526"/>
      <c r="BB497" s="526"/>
      <c r="BC497" s="526"/>
      <c r="BD497" s="1123">
        <v>127.49</v>
      </c>
      <c r="BE497" s="520"/>
      <c r="BF497" s="520"/>
      <c r="BG497" s="520"/>
      <c r="BH497" s="520"/>
      <c r="BI497" s="1123">
        <v>127.49</v>
      </c>
      <c r="BJ497" s="520"/>
      <c r="BK497" s="520"/>
      <c r="BL497" s="520"/>
      <c r="BM497" s="520"/>
      <c r="BN497" s="1123">
        <v>127.49</v>
      </c>
      <c r="BO497" s="520"/>
      <c r="BP497" s="520"/>
      <c r="BQ497" s="520"/>
      <c r="BR497" s="520"/>
      <c r="BS497" s="1124"/>
      <c r="BT497" s="728"/>
      <c r="BU497" s="520"/>
      <c r="BV497" s="520"/>
      <c r="BW497" s="520"/>
      <c r="BX497" s="1122"/>
      <c r="BY497" s="520"/>
      <c r="BZ497" s="520"/>
      <c r="CA497" s="520"/>
      <c r="CB497" s="520"/>
      <c r="CC497" s="1122"/>
      <c r="CD497" s="1122"/>
      <c r="CE497" s="1122"/>
      <c r="CF497" s="1122"/>
      <c r="CG497" s="519"/>
    </row>
    <row r="498" spans="1:85" s="614" customFormat="1" x14ac:dyDescent="0.3">
      <c r="A498" s="522"/>
      <c r="B498" s="352"/>
      <c r="C498" s="1094"/>
      <c r="D498" s="1094"/>
      <c r="E498" s="1094"/>
      <c r="F498" s="1094"/>
      <c r="G498" s="197"/>
      <c r="H498" s="197"/>
      <c r="I498" s="197"/>
      <c r="J498" s="197"/>
      <c r="K498" s="1094"/>
      <c r="L498" s="197"/>
      <c r="M498" s="197"/>
      <c r="N498" s="197"/>
      <c r="O498" s="197"/>
      <c r="P498" s="1094"/>
      <c r="Q498" s="197"/>
      <c r="R498" s="197"/>
      <c r="S498" s="197"/>
      <c r="T498" s="197"/>
      <c r="U498" s="1094"/>
      <c r="V498" s="197"/>
      <c r="W498" s="197"/>
      <c r="X498" s="197"/>
      <c r="Y498" s="197"/>
      <c r="Z498" s="1094"/>
      <c r="AA498" s="197"/>
      <c r="AB498" s="197"/>
      <c r="AC498" s="197"/>
      <c r="AD498" s="197"/>
      <c r="AE498" s="1094"/>
      <c r="AF498" s="197"/>
      <c r="AG498" s="197"/>
      <c r="AH498" s="197"/>
      <c r="AI498" s="197"/>
      <c r="AJ498" s="1094"/>
      <c r="AK498" s="197"/>
      <c r="AL498" s="197"/>
      <c r="AM498" s="197"/>
      <c r="AN498" s="197"/>
      <c r="AO498" s="1094"/>
      <c r="AP498" s="197"/>
      <c r="AQ498" s="197"/>
      <c r="AR498" s="197"/>
      <c r="AS498" s="197"/>
      <c r="AT498" s="198"/>
      <c r="AU498" s="194"/>
      <c r="AV498" s="194"/>
      <c r="AW498" s="194"/>
      <c r="AX498" s="194"/>
      <c r="AY498" s="198"/>
      <c r="AZ498" s="194"/>
      <c r="BA498" s="194"/>
      <c r="BB498" s="194"/>
      <c r="BC498" s="194"/>
      <c r="BD498" s="198"/>
      <c r="BE498" s="197"/>
      <c r="BF498" s="197"/>
      <c r="BG498" s="197"/>
      <c r="BH498" s="197"/>
      <c r="BI498" s="1094"/>
      <c r="BJ498" s="197"/>
      <c r="BK498" s="197"/>
      <c r="BL498" s="197"/>
      <c r="BM498" s="197"/>
      <c r="BN498" s="1094"/>
      <c r="BO498" s="197"/>
      <c r="BP498" s="197"/>
      <c r="BQ498" s="197"/>
      <c r="BR498" s="197"/>
      <c r="BS498" s="1094"/>
      <c r="BT498" s="727"/>
      <c r="BU498" s="197"/>
      <c r="BV498" s="197"/>
      <c r="BW498" s="197"/>
      <c r="BX498" s="1094"/>
      <c r="BY498" s="197"/>
      <c r="BZ498" s="197"/>
      <c r="CA498" s="197"/>
      <c r="CB498" s="197"/>
      <c r="CC498" s="1094"/>
      <c r="CD498" s="1094"/>
      <c r="CE498" s="1094"/>
      <c r="CF498" s="1094"/>
      <c r="CG498" s="349"/>
    </row>
    <row r="499" spans="1:85" s="613" customFormat="1" x14ac:dyDescent="0.3">
      <c r="A499" s="478" t="s">
        <v>1730</v>
      </c>
      <c r="B499" s="523"/>
      <c r="C499" s="78"/>
      <c r="D499" s="78"/>
      <c r="E499" s="78"/>
      <c r="F499" s="78"/>
      <c r="G499" s="774"/>
      <c r="H499" s="774"/>
      <c r="I499" s="774"/>
      <c r="J499" s="774"/>
      <c r="K499" s="78"/>
      <c r="L499" s="774"/>
      <c r="M499" s="774"/>
      <c r="N499" s="774"/>
      <c r="O499" s="774"/>
      <c r="P499" s="78"/>
      <c r="Q499" s="774"/>
      <c r="R499" s="774"/>
      <c r="S499" s="774"/>
      <c r="T499" s="774"/>
      <c r="U499" s="78"/>
      <c r="V499" s="774"/>
      <c r="W499" s="774"/>
      <c r="X499" s="774"/>
      <c r="Y499" s="774"/>
      <c r="Z499" s="78"/>
      <c r="AA499" s="774"/>
      <c r="AB499" s="774"/>
      <c r="AC499" s="774"/>
      <c r="AD499" s="774"/>
      <c r="AE499" s="78"/>
      <c r="AF499" s="774"/>
      <c r="AG499" s="774"/>
      <c r="AH499" s="774"/>
      <c r="AI499" s="774"/>
      <c r="AJ499" s="78"/>
      <c r="AK499" s="774"/>
      <c r="AL499" s="774"/>
      <c r="AM499" s="774"/>
      <c r="AN499" s="774"/>
      <c r="AO499" s="78"/>
      <c r="AP499" s="774"/>
      <c r="AQ499" s="774"/>
      <c r="AR499" s="774"/>
      <c r="AS499" s="774"/>
      <c r="AT499" s="1119">
        <v>16.279</v>
      </c>
      <c r="AU499" s="774"/>
      <c r="AV499" s="774"/>
      <c r="AW499" s="774"/>
      <c r="AX499" s="774"/>
      <c r="AY499" s="1119">
        <v>16.279</v>
      </c>
      <c r="AZ499" s="774"/>
      <c r="BA499" s="774"/>
      <c r="BB499" s="774"/>
      <c r="BC499" s="774"/>
      <c r="BD499" s="1119">
        <v>16.279</v>
      </c>
      <c r="BE499" s="774"/>
      <c r="BF499" s="774"/>
      <c r="BG499" s="774"/>
      <c r="BH499" s="774"/>
      <c r="BI499" s="78"/>
      <c r="BJ499" s="774"/>
      <c r="BK499" s="774"/>
      <c r="BL499" s="774"/>
      <c r="BM499" s="774"/>
      <c r="BN499" s="78"/>
      <c r="BO499" s="774"/>
      <c r="BP499" s="774"/>
      <c r="BQ499" s="774"/>
      <c r="BR499" s="774"/>
      <c r="BS499" s="78"/>
      <c r="BT499" s="775"/>
      <c r="BU499" s="774"/>
      <c r="BV499" s="774"/>
      <c r="BW499" s="774"/>
      <c r="BX499" s="78"/>
      <c r="BY499" s="774"/>
      <c r="BZ499" s="774"/>
      <c r="CA499" s="774"/>
      <c r="CB499" s="774"/>
      <c r="CC499" s="78"/>
      <c r="CD499" s="78"/>
      <c r="CE499" s="78"/>
      <c r="CF499" s="78"/>
      <c r="CG499" s="532"/>
    </row>
    <row r="500" spans="1:85" s="615" customFormat="1" x14ac:dyDescent="0.3">
      <c r="A500" s="522" t="s">
        <v>1729</v>
      </c>
      <c r="B500" s="521"/>
      <c r="C500" s="1122"/>
      <c r="D500" s="1122"/>
      <c r="E500" s="1122"/>
      <c r="F500" s="1122"/>
      <c r="G500" s="520"/>
      <c r="H500" s="520"/>
      <c r="I500" s="520"/>
      <c r="J500" s="520"/>
      <c r="K500" s="1122"/>
      <c r="L500" s="520"/>
      <c r="M500" s="520"/>
      <c r="N500" s="520"/>
      <c r="O500" s="520"/>
      <c r="P500" s="1122"/>
      <c r="Q500" s="520"/>
      <c r="R500" s="520"/>
      <c r="S500" s="520"/>
      <c r="T500" s="520"/>
      <c r="U500" s="1122"/>
      <c r="V500" s="520"/>
      <c r="W500" s="520"/>
      <c r="X500" s="520"/>
      <c r="Y500" s="520"/>
      <c r="Z500" s="1122"/>
      <c r="AA500" s="520"/>
      <c r="AB500" s="520"/>
      <c r="AC500" s="520"/>
      <c r="AD500" s="520"/>
      <c r="AE500" s="1122"/>
      <c r="AF500" s="520"/>
      <c r="AG500" s="520"/>
      <c r="AH500" s="520"/>
      <c r="AI500" s="520"/>
      <c r="AJ500" s="1122"/>
      <c r="AK500" s="520"/>
      <c r="AL500" s="520"/>
      <c r="AM500" s="520"/>
      <c r="AN500" s="520"/>
      <c r="AO500" s="1122"/>
      <c r="AP500" s="520"/>
      <c r="AQ500" s="520"/>
      <c r="AR500" s="520"/>
      <c r="AS500" s="520"/>
      <c r="AT500" s="1123">
        <v>140.78</v>
      </c>
      <c r="AU500" s="526"/>
      <c r="AV500" s="526"/>
      <c r="AW500" s="526"/>
      <c r="AX500" s="526"/>
      <c r="AY500" s="1123">
        <v>140.78</v>
      </c>
      <c r="AZ500" s="526"/>
      <c r="BA500" s="526"/>
      <c r="BB500" s="526"/>
      <c r="BC500" s="526"/>
      <c r="BD500" s="1123">
        <v>140.78</v>
      </c>
      <c r="BE500" s="520"/>
      <c r="BF500" s="520"/>
      <c r="BG500" s="520"/>
      <c r="BH500" s="520"/>
      <c r="BI500" s="1122"/>
      <c r="BJ500" s="520"/>
      <c r="BK500" s="520"/>
      <c r="BL500" s="520"/>
      <c r="BM500" s="520"/>
      <c r="BN500" s="1122"/>
      <c r="BO500" s="520"/>
      <c r="BP500" s="520"/>
      <c r="BQ500" s="520"/>
      <c r="BR500" s="520"/>
      <c r="BS500" s="1122"/>
      <c r="BT500" s="728"/>
      <c r="BU500" s="520"/>
      <c r="BV500" s="520"/>
      <c r="BW500" s="520"/>
      <c r="BX500" s="1122"/>
      <c r="BY500" s="520"/>
      <c r="BZ500" s="520"/>
      <c r="CA500" s="520"/>
      <c r="CB500" s="520"/>
      <c r="CC500" s="1122"/>
      <c r="CD500" s="1122"/>
      <c r="CE500" s="1122"/>
      <c r="CF500" s="1122"/>
      <c r="CG500" s="519"/>
    </row>
    <row r="501" spans="1:85" s="614" customFormat="1" x14ac:dyDescent="0.3">
      <c r="A501" s="522"/>
      <c r="B501" s="352"/>
      <c r="C501" s="1094"/>
      <c r="D501" s="1094"/>
      <c r="E501" s="1094"/>
      <c r="F501" s="1094"/>
      <c r="G501" s="197"/>
      <c r="H501" s="197"/>
      <c r="I501" s="197"/>
      <c r="J501" s="197"/>
      <c r="K501" s="1094"/>
      <c r="L501" s="197"/>
      <c r="M501" s="197"/>
      <c r="N501" s="197"/>
      <c r="O501" s="197"/>
      <c r="P501" s="1094"/>
      <c r="Q501" s="197"/>
      <c r="R501" s="197"/>
      <c r="S501" s="197"/>
      <c r="T501" s="197"/>
      <c r="U501" s="1094"/>
      <c r="V501" s="197"/>
      <c r="W501" s="197"/>
      <c r="X501" s="197"/>
      <c r="Y501" s="197"/>
      <c r="Z501" s="1094"/>
      <c r="AA501" s="197"/>
      <c r="AB501" s="197"/>
      <c r="AC501" s="197"/>
      <c r="AD501" s="197"/>
      <c r="AE501" s="1094"/>
      <c r="AF501" s="197"/>
      <c r="AG501" s="197"/>
      <c r="AH501" s="197"/>
      <c r="AI501" s="197"/>
      <c r="AJ501" s="1094"/>
      <c r="AK501" s="197"/>
      <c r="AL501" s="197"/>
      <c r="AM501" s="197"/>
      <c r="AN501" s="197"/>
      <c r="AO501" s="1094"/>
      <c r="AP501" s="197"/>
      <c r="AQ501" s="197"/>
      <c r="AR501" s="197"/>
      <c r="AS501" s="197"/>
      <c r="AT501" s="198"/>
      <c r="AU501" s="194"/>
      <c r="AV501" s="194"/>
      <c r="AW501" s="194"/>
      <c r="AX501" s="194"/>
      <c r="AY501" s="198"/>
      <c r="AZ501" s="194"/>
      <c r="BA501" s="194"/>
      <c r="BB501" s="194"/>
      <c r="BC501" s="194"/>
      <c r="BD501" s="198"/>
      <c r="BE501" s="197"/>
      <c r="BF501" s="197"/>
      <c r="BG501" s="197"/>
      <c r="BH501" s="197"/>
      <c r="BI501" s="1094"/>
      <c r="BJ501" s="197"/>
      <c r="BK501" s="197"/>
      <c r="BL501" s="197"/>
      <c r="BM501" s="197"/>
      <c r="BN501" s="1094"/>
      <c r="BO501" s="197"/>
      <c r="BP501" s="197"/>
      <c r="BQ501" s="197"/>
      <c r="BR501" s="197"/>
      <c r="BS501" s="1094"/>
      <c r="BT501" s="727"/>
      <c r="BU501" s="197"/>
      <c r="BV501" s="197"/>
      <c r="BW501" s="197"/>
      <c r="BX501" s="1094"/>
      <c r="BY501" s="197"/>
      <c r="BZ501" s="197"/>
      <c r="CA501" s="197"/>
      <c r="CB501" s="197"/>
      <c r="CC501" s="1094"/>
      <c r="CD501" s="1094"/>
      <c r="CE501" s="1094"/>
      <c r="CF501" s="1094"/>
      <c r="CG501" s="349"/>
    </row>
    <row r="502" spans="1:85" s="613" customFormat="1" x14ac:dyDescent="0.3">
      <c r="A502" s="478" t="s">
        <v>1728</v>
      </c>
      <c r="B502" s="523"/>
      <c r="C502" s="78"/>
      <c r="D502" s="78"/>
      <c r="E502" s="78"/>
      <c r="F502" s="78"/>
      <c r="G502" s="774"/>
      <c r="H502" s="774"/>
      <c r="I502" s="774"/>
      <c r="J502" s="774"/>
      <c r="K502" s="78"/>
      <c r="L502" s="774"/>
      <c r="M502" s="774"/>
      <c r="N502" s="774"/>
      <c r="O502" s="774"/>
      <c r="P502" s="78"/>
      <c r="Q502" s="774"/>
      <c r="R502" s="774"/>
      <c r="S502" s="774"/>
      <c r="T502" s="774"/>
      <c r="U502" s="78"/>
      <c r="V502" s="774"/>
      <c r="W502" s="774"/>
      <c r="X502" s="774"/>
      <c r="Y502" s="774"/>
      <c r="Z502" s="78"/>
      <c r="AA502" s="774"/>
      <c r="AB502" s="774"/>
      <c r="AC502" s="774"/>
      <c r="AD502" s="774"/>
      <c r="AE502" s="78"/>
      <c r="AF502" s="774"/>
      <c r="AG502" s="774"/>
      <c r="AH502" s="774"/>
      <c r="AI502" s="774"/>
      <c r="AJ502" s="78"/>
      <c r="AK502" s="774"/>
      <c r="AL502" s="774"/>
      <c r="AM502" s="774"/>
      <c r="AN502" s="774"/>
      <c r="AO502" s="78"/>
      <c r="AP502" s="774"/>
      <c r="AQ502" s="774"/>
      <c r="AR502" s="774"/>
      <c r="AS502" s="774"/>
      <c r="AT502" s="1119">
        <v>15.679</v>
      </c>
      <c r="AU502" s="774"/>
      <c r="AV502" s="774"/>
      <c r="AW502" s="774"/>
      <c r="AX502" s="774"/>
      <c r="AY502" s="1119">
        <v>15.679</v>
      </c>
      <c r="AZ502" s="774"/>
      <c r="BA502" s="774"/>
      <c r="BB502" s="774"/>
      <c r="BC502" s="774"/>
      <c r="BD502" s="1119">
        <v>15.679</v>
      </c>
      <c r="BE502" s="774"/>
      <c r="BF502" s="774"/>
      <c r="BG502" s="774"/>
      <c r="BH502" s="774"/>
      <c r="BI502" s="1119">
        <v>15.679</v>
      </c>
      <c r="BJ502" s="774"/>
      <c r="BK502" s="774"/>
      <c r="BL502" s="774"/>
      <c r="BM502" s="774"/>
      <c r="BN502" s="1119">
        <v>15.679</v>
      </c>
      <c r="BO502" s="774"/>
      <c r="BP502" s="774"/>
      <c r="BQ502" s="774"/>
      <c r="BR502" s="774"/>
      <c r="BS502" s="78"/>
      <c r="BT502" s="775"/>
      <c r="BU502" s="774"/>
      <c r="BV502" s="774"/>
      <c r="BW502" s="774"/>
      <c r="BX502" s="78"/>
      <c r="BY502" s="774"/>
      <c r="BZ502" s="774"/>
      <c r="CA502" s="774"/>
      <c r="CB502" s="774"/>
      <c r="CC502" s="78"/>
      <c r="CD502" s="78"/>
      <c r="CE502" s="78"/>
      <c r="CF502" s="78"/>
      <c r="CG502" s="532"/>
    </row>
    <row r="503" spans="1:85" s="615" customFormat="1" x14ac:dyDescent="0.3">
      <c r="A503" s="522" t="s">
        <v>1727</v>
      </c>
      <c r="B503" s="521"/>
      <c r="C503" s="1122"/>
      <c r="D503" s="1122"/>
      <c r="E503" s="1122"/>
      <c r="F503" s="1122"/>
      <c r="G503" s="520"/>
      <c r="H503" s="520"/>
      <c r="I503" s="520"/>
      <c r="J503" s="520"/>
      <c r="K503" s="1122"/>
      <c r="L503" s="520"/>
      <c r="M503" s="520"/>
      <c r="N503" s="520"/>
      <c r="O503" s="520"/>
      <c r="P503" s="1122"/>
      <c r="Q503" s="520"/>
      <c r="R503" s="520"/>
      <c r="S503" s="520"/>
      <c r="T503" s="520"/>
      <c r="U503" s="1122"/>
      <c r="V503" s="520"/>
      <c r="W503" s="520"/>
      <c r="X503" s="520"/>
      <c r="Y503" s="520"/>
      <c r="Z503" s="1122"/>
      <c r="AA503" s="520"/>
      <c r="AB503" s="520"/>
      <c r="AC503" s="520"/>
      <c r="AD503" s="520"/>
      <c r="AE503" s="1122"/>
      <c r="AF503" s="520"/>
      <c r="AG503" s="520"/>
      <c r="AH503" s="520"/>
      <c r="AI503" s="520"/>
      <c r="AJ503" s="1122"/>
      <c r="AK503" s="520"/>
      <c r="AL503" s="520"/>
      <c r="AM503" s="520"/>
      <c r="AN503" s="520"/>
      <c r="AO503" s="1122"/>
      <c r="AP503" s="520"/>
      <c r="AQ503" s="520"/>
      <c r="AR503" s="520"/>
      <c r="AS503" s="520"/>
      <c r="AT503" s="1123">
        <v>146.16999999999999</v>
      </c>
      <c r="AU503" s="526"/>
      <c r="AV503" s="526"/>
      <c r="AW503" s="526"/>
      <c r="AX503" s="526"/>
      <c r="AY503" s="1123">
        <v>146.16999999999999</v>
      </c>
      <c r="AZ503" s="526"/>
      <c r="BA503" s="526"/>
      <c r="BB503" s="526"/>
      <c r="BC503" s="526"/>
      <c r="BD503" s="1123">
        <v>146.16999999999999</v>
      </c>
      <c r="BE503" s="520"/>
      <c r="BF503" s="520"/>
      <c r="BG503" s="520"/>
      <c r="BH503" s="520"/>
      <c r="BI503" s="1123">
        <v>146.16999999999999</v>
      </c>
      <c r="BJ503" s="520"/>
      <c r="BK503" s="520"/>
      <c r="BL503" s="520"/>
      <c r="BM503" s="520"/>
      <c r="BN503" s="1123">
        <v>146.16999999999999</v>
      </c>
      <c r="BO503" s="520"/>
      <c r="BP503" s="520"/>
      <c r="BQ503" s="520"/>
      <c r="BR503" s="520"/>
      <c r="BS503" s="1124"/>
      <c r="BT503" s="728"/>
      <c r="BU503" s="520"/>
      <c r="BV503" s="520"/>
      <c r="BW503" s="520"/>
      <c r="BX503" s="1122"/>
      <c r="BY503" s="520"/>
      <c r="BZ503" s="520"/>
      <c r="CA503" s="520"/>
      <c r="CB503" s="520"/>
      <c r="CC503" s="1122"/>
      <c r="CD503" s="1122"/>
      <c r="CE503" s="1122"/>
      <c r="CF503" s="1122"/>
      <c r="CG503" s="519"/>
    </row>
    <row r="504" spans="1:85" s="614" customFormat="1" x14ac:dyDescent="0.3">
      <c r="A504" s="522"/>
      <c r="B504" s="352"/>
      <c r="C504" s="1094"/>
      <c r="D504" s="1094"/>
      <c r="E504" s="1094"/>
      <c r="F504" s="1094"/>
      <c r="G504" s="197"/>
      <c r="H504" s="197"/>
      <c r="I504" s="197"/>
      <c r="J504" s="197"/>
      <c r="K504" s="1094"/>
      <c r="L504" s="197"/>
      <c r="M504" s="197"/>
      <c r="N504" s="197"/>
      <c r="O504" s="197"/>
      <c r="P504" s="1094"/>
      <c r="Q504" s="197"/>
      <c r="R504" s="197"/>
      <c r="S504" s="197"/>
      <c r="T504" s="197"/>
      <c r="U504" s="1094"/>
      <c r="V504" s="197"/>
      <c r="W504" s="197"/>
      <c r="X504" s="197"/>
      <c r="Y504" s="197"/>
      <c r="Z504" s="1094"/>
      <c r="AA504" s="197"/>
      <c r="AB504" s="197"/>
      <c r="AC504" s="197"/>
      <c r="AD504" s="197"/>
      <c r="AE504" s="1094"/>
      <c r="AF504" s="197"/>
      <c r="AG504" s="197"/>
      <c r="AH504" s="197"/>
      <c r="AI504" s="197"/>
      <c r="AJ504" s="1094"/>
      <c r="AK504" s="197"/>
      <c r="AL504" s="197"/>
      <c r="AM504" s="197"/>
      <c r="AN504" s="197"/>
      <c r="AO504" s="1094"/>
      <c r="AP504" s="197"/>
      <c r="AQ504" s="197"/>
      <c r="AR504" s="197"/>
      <c r="AS504" s="197"/>
      <c r="AT504" s="198"/>
      <c r="AU504" s="194"/>
      <c r="AV504" s="194"/>
      <c r="AW504" s="194"/>
      <c r="AX504" s="194"/>
      <c r="AY504" s="198"/>
      <c r="AZ504" s="194"/>
      <c r="BA504" s="194"/>
      <c r="BB504" s="194"/>
      <c r="BC504" s="194"/>
      <c r="BD504" s="198"/>
      <c r="BE504" s="197"/>
      <c r="BF504" s="197"/>
      <c r="BG504" s="197"/>
      <c r="BH504" s="197"/>
      <c r="BI504" s="1094"/>
      <c r="BJ504" s="197"/>
      <c r="BK504" s="197"/>
      <c r="BL504" s="197"/>
      <c r="BM504" s="197"/>
      <c r="BN504" s="1094"/>
      <c r="BO504" s="197"/>
      <c r="BP504" s="197"/>
      <c r="BQ504" s="197"/>
      <c r="BR504" s="197"/>
      <c r="BS504" s="1094"/>
      <c r="BT504" s="727"/>
      <c r="BU504" s="197"/>
      <c r="BV504" s="197"/>
      <c r="BW504" s="197"/>
      <c r="BX504" s="1094"/>
      <c r="BY504" s="197"/>
      <c r="BZ504" s="197"/>
      <c r="CA504" s="197"/>
      <c r="CB504" s="197"/>
      <c r="CC504" s="1094"/>
      <c r="CD504" s="1094"/>
      <c r="CE504" s="1094"/>
      <c r="CF504" s="1094"/>
      <c r="CG504" s="349"/>
    </row>
    <row r="505" spans="1:85" s="613" customFormat="1" x14ac:dyDescent="0.3">
      <c r="A505" s="478" t="s">
        <v>1726</v>
      </c>
      <c r="B505" s="523"/>
      <c r="C505" s="78"/>
      <c r="D505" s="78"/>
      <c r="E505" s="78"/>
      <c r="F505" s="78"/>
      <c r="G505" s="774"/>
      <c r="H505" s="774"/>
      <c r="I505" s="774"/>
      <c r="J505" s="774"/>
      <c r="K505" s="78"/>
      <c r="L505" s="774"/>
      <c r="M505" s="774"/>
      <c r="N505" s="774"/>
      <c r="O505" s="774"/>
      <c r="P505" s="78"/>
      <c r="Q505" s="774"/>
      <c r="R505" s="774"/>
      <c r="S505" s="774"/>
      <c r="T505" s="774"/>
      <c r="U505" s="78"/>
      <c r="V505" s="774"/>
      <c r="W505" s="774"/>
      <c r="X505" s="774"/>
      <c r="Y505" s="774"/>
      <c r="Z505" s="78"/>
      <c r="AA505" s="774"/>
      <c r="AB505" s="774"/>
      <c r="AC505" s="774"/>
      <c r="AD505" s="774"/>
      <c r="AE505" s="78"/>
      <c r="AF505" s="774"/>
      <c r="AG505" s="774"/>
      <c r="AH505" s="774"/>
      <c r="AI505" s="774"/>
      <c r="AJ505" s="78"/>
      <c r="AK505" s="774"/>
      <c r="AL505" s="774"/>
      <c r="AM505" s="774"/>
      <c r="AN505" s="774"/>
      <c r="AO505" s="78"/>
      <c r="AP505" s="774"/>
      <c r="AQ505" s="774"/>
      <c r="AR505" s="774"/>
      <c r="AS505" s="774"/>
      <c r="AT505" s="1119">
        <v>8.2479999999999993</v>
      </c>
      <c r="AU505" s="774"/>
      <c r="AV505" s="774"/>
      <c r="AW505" s="774"/>
      <c r="AX505" s="774"/>
      <c r="AY505" s="1119">
        <v>8.2479999999999993</v>
      </c>
      <c r="AZ505" s="774"/>
      <c r="BA505" s="774"/>
      <c r="BB505" s="774"/>
      <c r="BC505" s="774"/>
      <c r="BD505" s="1119">
        <v>8.2479999999999993</v>
      </c>
      <c r="BE505" s="774"/>
      <c r="BF505" s="774"/>
      <c r="BG505" s="774"/>
      <c r="BH505" s="774"/>
      <c r="BI505" s="1119">
        <v>8.2479999999999993</v>
      </c>
      <c r="BJ505" s="774"/>
      <c r="BK505" s="774"/>
      <c r="BL505" s="774"/>
      <c r="BM505" s="774"/>
      <c r="BN505" s="1119">
        <v>8.2479999999999993</v>
      </c>
      <c r="BO505" s="774"/>
      <c r="BP505" s="774"/>
      <c r="BQ505" s="774"/>
      <c r="BR505" s="774"/>
      <c r="BS505" s="78"/>
      <c r="BT505" s="775"/>
      <c r="BU505" s="774"/>
      <c r="BV505" s="774"/>
      <c r="BW505" s="774"/>
      <c r="BX505" s="78"/>
      <c r="BY505" s="774"/>
      <c r="BZ505" s="774"/>
      <c r="CA505" s="774"/>
      <c r="CB505" s="774"/>
      <c r="CC505" s="78"/>
      <c r="CD505" s="78"/>
      <c r="CE505" s="78"/>
      <c r="CF505" s="78"/>
      <c r="CG505" s="532"/>
    </row>
    <row r="506" spans="1:85" s="615" customFormat="1" x14ac:dyDescent="0.3">
      <c r="A506" s="522" t="s">
        <v>1725</v>
      </c>
      <c r="B506" s="521"/>
      <c r="C506" s="1122"/>
      <c r="D506" s="1122"/>
      <c r="E506" s="1122"/>
      <c r="F506" s="1122"/>
      <c r="G506" s="520"/>
      <c r="H506" s="520"/>
      <c r="I506" s="520"/>
      <c r="J506" s="520"/>
      <c r="K506" s="1122"/>
      <c r="L506" s="520"/>
      <c r="M506" s="520"/>
      <c r="N506" s="520"/>
      <c r="O506" s="520"/>
      <c r="P506" s="1122"/>
      <c r="Q506" s="520"/>
      <c r="R506" s="520"/>
      <c r="S506" s="520"/>
      <c r="T506" s="520"/>
      <c r="U506" s="1122"/>
      <c r="V506" s="520"/>
      <c r="W506" s="520"/>
      <c r="X506" s="520"/>
      <c r="Y506" s="520"/>
      <c r="Z506" s="1122"/>
      <c r="AA506" s="520"/>
      <c r="AB506" s="520"/>
      <c r="AC506" s="520"/>
      <c r="AD506" s="520"/>
      <c r="AE506" s="1122"/>
      <c r="AF506" s="520"/>
      <c r="AG506" s="520"/>
      <c r="AH506" s="520"/>
      <c r="AI506" s="520"/>
      <c r="AJ506" s="1122"/>
      <c r="AK506" s="520"/>
      <c r="AL506" s="520"/>
      <c r="AM506" s="520"/>
      <c r="AN506" s="520"/>
      <c r="AO506" s="1122"/>
      <c r="AP506" s="520"/>
      <c r="AQ506" s="520"/>
      <c r="AR506" s="520"/>
      <c r="AS506" s="520"/>
      <c r="AT506" s="1123">
        <v>359.93</v>
      </c>
      <c r="AU506" s="526"/>
      <c r="AV506" s="526"/>
      <c r="AW506" s="526"/>
      <c r="AX506" s="526"/>
      <c r="AY506" s="1123">
        <v>359.93</v>
      </c>
      <c r="AZ506" s="526"/>
      <c r="BA506" s="526"/>
      <c r="BB506" s="526"/>
      <c r="BC506" s="526"/>
      <c r="BD506" s="1123">
        <v>359.93</v>
      </c>
      <c r="BE506" s="520"/>
      <c r="BF506" s="520"/>
      <c r="BG506" s="520"/>
      <c r="BH506" s="520"/>
      <c r="BI506" s="1123">
        <v>359.93</v>
      </c>
      <c r="BJ506" s="520"/>
      <c r="BK506" s="520"/>
      <c r="BL506" s="520"/>
      <c r="BM506" s="520"/>
      <c r="BN506" s="1123">
        <v>359.93</v>
      </c>
      <c r="BO506" s="520"/>
      <c r="BP506" s="520"/>
      <c r="BQ506" s="520"/>
      <c r="BR506" s="520"/>
      <c r="BS506" s="1124"/>
      <c r="BT506" s="728"/>
      <c r="BU506" s="520"/>
      <c r="BV506" s="520"/>
      <c r="BW506" s="520"/>
      <c r="BX506" s="1122"/>
      <c r="BY506" s="520"/>
      <c r="BZ506" s="520"/>
      <c r="CA506" s="520"/>
      <c r="CB506" s="520"/>
      <c r="CC506" s="1122"/>
      <c r="CD506" s="1122"/>
      <c r="CE506" s="1122"/>
      <c r="CF506" s="1122"/>
      <c r="CG506" s="519"/>
    </row>
    <row r="507" spans="1:85" s="614" customFormat="1" x14ac:dyDescent="0.3">
      <c r="A507" s="522"/>
      <c r="B507" s="352"/>
      <c r="C507" s="1094"/>
      <c r="D507" s="1094"/>
      <c r="E507" s="1094"/>
      <c r="F507" s="1094"/>
      <c r="G507" s="197"/>
      <c r="H507" s="197"/>
      <c r="I507" s="197"/>
      <c r="J507" s="197"/>
      <c r="K507" s="1094"/>
      <c r="L507" s="197"/>
      <c r="M507" s="197"/>
      <c r="N507" s="197"/>
      <c r="O507" s="197"/>
      <c r="P507" s="1094"/>
      <c r="Q507" s="197"/>
      <c r="R507" s="197"/>
      <c r="S507" s="197"/>
      <c r="T507" s="197"/>
      <c r="U507" s="1094"/>
      <c r="V507" s="197"/>
      <c r="W507" s="197"/>
      <c r="X507" s="197"/>
      <c r="Y507" s="197"/>
      <c r="Z507" s="1094"/>
      <c r="AA507" s="197"/>
      <c r="AB507" s="197"/>
      <c r="AC507" s="197"/>
      <c r="AD507" s="197"/>
      <c r="AE507" s="1094"/>
      <c r="AF507" s="197"/>
      <c r="AG507" s="197"/>
      <c r="AH507" s="197"/>
      <c r="AI507" s="197"/>
      <c r="AJ507" s="1094"/>
      <c r="AK507" s="197"/>
      <c r="AL507" s="197"/>
      <c r="AM507" s="197"/>
      <c r="AN507" s="197"/>
      <c r="AO507" s="1094"/>
      <c r="AP507" s="197"/>
      <c r="AQ507" s="197"/>
      <c r="AR507" s="197"/>
      <c r="AS507" s="197"/>
      <c r="AT507" s="198"/>
      <c r="AU507" s="194"/>
      <c r="AV507" s="194"/>
      <c r="AW507" s="194"/>
      <c r="AX507" s="194"/>
      <c r="AY507" s="198"/>
      <c r="AZ507" s="194"/>
      <c r="BA507" s="194"/>
      <c r="BB507" s="194"/>
      <c r="BC507" s="194"/>
      <c r="BD507" s="198"/>
      <c r="BE507" s="197"/>
      <c r="BF507" s="197"/>
      <c r="BG507" s="197"/>
      <c r="BH507" s="197"/>
      <c r="BI507" s="1094"/>
      <c r="BJ507" s="197"/>
      <c r="BK507" s="197"/>
      <c r="BL507" s="197"/>
      <c r="BM507" s="197"/>
      <c r="BN507" s="1094"/>
      <c r="BO507" s="197"/>
      <c r="BP507" s="197"/>
      <c r="BQ507" s="197"/>
      <c r="BR507" s="197"/>
      <c r="BS507" s="1094"/>
      <c r="BT507" s="727"/>
      <c r="BU507" s="197"/>
      <c r="BV507" s="197"/>
      <c r="BW507" s="197"/>
      <c r="BX507" s="1094"/>
      <c r="BY507" s="197"/>
      <c r="BZ507" s="197"/>
      <c r="CA507" s="197"/>
      <c r="CB507" s="197"/>
      <c r="CC507" s="1094"/>
      <c r="CD507" s="1094"/>
      <c r="CE507" s="1094"/>
      <c r="CF507" s="1094"/>
      <c r="CG507" s="349"/>
    </row>
    <row r="508" spans="1:85" s="613" customFormat="1" x14ac:dyDescent="0.3">
      <c r="A508" s="478" t="s">
        <v>1724</v>
      </c>
      <c r="B508" s="523"/>
      <c r="C508" s="78"/>
      <c r="D508" s="78"/>
      <c r="E508" s="78"/>
      <c r="F508" s="78"/>
      <c r="G508" s="774"/>
      <c r="H508" s="774"/>
      <c r="I508" s="774"/>
      <c r="J508" s="774"/>
      <c r="K508" s="78"/>
      <c r="L508" s="774"/>
      <c r="M508" s="774"/>
      <c r="N508" s="774"/>
      <c r="O508" s="774"/>
      <c r="P508" s="78"/>
      <c r="Q508" s="774"/>
      <c r="R508" s="774"/>
      <c r="S508" s="774"/>
      <c r="T508" s="774"/>
      <c r="U508" s="78"/>
      <c r="V508" s="774"/>
      <c r="W508" s="774"/>
      <c r="X508" s="774"/>
      <c r="Y508" s="774"/>
      <c r="Z508" s="78"/>
      <c r="AA508" s="774"/>
      <c r="AB508" s="774"/>
      <c r="AC508" s="774"/>
      <c r="AD508" s="774"/>
      <c r="AE508" s="78"/>
      <c r="AF508" s="774"/>
      <c r="AG508" s="774"/>
      <c r="AH508" s="774"/>
      <c r="AI508" s="774"/>
      <c r="AJ508" s="78"/>
      <c r="AK508" s="774"/>
      <c r="AL508" s="774"/>
      <c r="AM508" s="774"/>
      <c r="AN508" s="774"/>
      <c r="AO508" s="78"/>
      <c r="AP508" s="774"/>
      <c r="AQ508" s="774"/>
      <c r="AR508" s="774"/>
      <c r="AS508" s="774"/>
      <c r="AT508" s="1119">
        <v>7.4560000000000004</v>
      </c>
      <c r="AU508" s="774"/>
      <c r="AV508" s="774"/>
      <c r="AW508" s="774"/>
      <c r="AX508" s="774"/>
      <c r="AY508" s="1119">
        <v>7.4560000000000004</v>
      </c>
      <c r="AZ508" s="774"/>
      <c r="BA508" s="774"/>
      <c r="BB508" s="774"/>
      <c r="BC508" s="774"/>
      <c r="BD508" s="1119">
        <v>7.4560000000000004</v>
      </c>
      <c r="BE508" s="774"/>
      <c r="BF508" s="774"/>
      <c r="BG508" s="774"/>
      <c r="BH508" s="774"/>
      <c r="BI508" s="1119">
        <v>7.4560000000000004</v>
      </c>
      <c r="BJ508" s="774"/>
      <c r="BK508" s="774"/>
      <c r="BL508" s="774"/>
      <c r="BM508" s="774"/>
      <c r="BN508" s="1119">
        <v>7.4560000000000004</v>
      </c>
      <c r="BO508" s="774"/>
      <c r="BP508" s="774"/>
      <c r="BQ508" s="774"/>
      <c r="BR508" s="774"/>
      <c r="BS508" s="78"/>
      <c r="BT508" s="775"/>
      <c r="BU508" s="774"/>
      <c r="BV508" s="774"/>
      <c r="BW508" s="774"/>
      <c r="BX508" s="78"/>
      <c r="BY508" s="774"/>
      <c r="BZ508" s="774"/>
      <c r="CA508" s="774"/>
      <c r="CB508" s="774"/>
      <c r="CC508" s="78"/>
      <c r="CD508" s="78"/>
      <c r="CE508" s="78"/>
      <c r="CF508" s="78"/>
      <c r="CG508" s="532"/>
    </row>
    <row r="509" spans="1:85" s="615" customFormat="1" x14ac:dyDescent="0.3">
      <c r="A509" s="522" t="s">
        <v>1723</v>
      </c>
      <c r="B509" s="521"/>
      <c r="C509" s="1122"/>
      <c r="D509" s="1122"/>
      <c r="E509" s="1122"/>
      <c r="F509" s="1122"/>
      <c r="G509" s="520"/>
      <c r="H509" s="520"/>
      <c r="I509" s="520"/>
      <c r="J509" s="520"/>
      <c r="K509" s="1122"/>
      <c r="L509" s="520"/>
      <c r="M509" s="520"/>
      <c r="N509" s="520"/>
      <c r="O509" s="520"/>
      <c r="P509" s="1122"/>
      <c r="Q509" s="520"/>
      <c r="R509" s="520"/>
      <c r="S509" s="520"/>
      <c r="T509" s="520"/>
      <c r="U509" s="1122"/>
      <c r="V509" s="520"/>
      <c r="W509" s="520"/>
      <c r="X509" s="520"/>
      <c r="Y509" s="520"/>
      <c r="Z509" s="1122"/>
      <c r="AA509" s="520"/>
      <c r="AB509" s="520"/>
      <c r="AC509" s="520"/>
      <c r="AD509" s="520"/>
      <c r="AE509" s="1122"/>
      <c r="AF509" s="520"/>
      <c r="AG509" s="520"/>
      <c r="AH509" s="520"/>
      <c r="AI509" s="520"/>
      <c r="AJ509" s="1122"/>
      <c r="AK509" s="520"/>
      <c r="AL509" s="520"/>
      <c r="AM509" s="520"/>
      <c r="AN509" s="520"/>
      <c r="AO509" s="1122"/>
      <c r="AP509" s="520"/>
      <c r="AQ509" s="520"/>
      <c r="AR509" s="520"/>
      <c r="AS509" s="520"/>
      <c r="AT509" s="1123">
        <v>398.18</v>
      </c>
      <c r="AU509" s="526"/>
      <c r="AV509" s="526"/>
      <c r="AW509" s="526"/>
      <c r="AX509" s="526"/>
      <c r="AY509" s="1123">
        <v>398.18</v>
      </c>
      <c r="AZ509" s="526"/>
      <c r="BA509" s="526"/>
      <c r="BB509" s="526"/>
      <c r="BC509" s="526"/>
      <c r="BD509" s="1123">
        <v>398.18</v>
      </c>
      <c r="BE509" s="520"/>
      <c r="BF509" s="520"/>
      <c r="BG509" s="520"/>
      <c r="BH509" s="520"/>
      <c r="BI509" s="1123">
        <v>398.18</v>
      </c>
      <c r="BJ509" s="520"/>
      <c r="BK509" s="520"/>
      <c r="BL509" s="520"/>
      <c r="BM509" s="520"/>
      <c r="BN509" s="1123">
        <v>398.18</v>
      </c>
      <c r="BO509" s="520"/>
      <c r="BP509" s="520"/>
      <c r="BQ509" s="520"/>
      <c r="BR509" s="520"/>
      <c r="BS509" s="1124"/>
      <c r="BT509" s="728"/>
      <c r="BU509" s="520"/>
      <c r="BV509" s="520"/>
      <c r="BW509" s="520"/>
      <c r="BX509" s="1122"/>
      <c r="BY509" s="520"/>
      <c r="BZ509" s="520"/>
      <c r="CA509" s="520"/>
      <c r="CB509" s="520"/>
      <c r="CC509" s="1122"/>
      <c r="CD509" s="1122"/>
      <c r="CE509" s="1122"/>
      <c r="CF509" s="1122"/>
      <c r="CG509" s="519"/>
    </row>
    <row r="510" spans="1:85" s="614" customFormat="1" x14ac:dyDescent="0.3">
      <c r="A510" s="522"/>
      <c r="B510" s="352"/>
      <c r="C510" s="1094"/>
      <c r="D510" s="1094"/>
      <c r="E510" s="1094"/>
      <c r="F510" s="1094"/>
      <c r="G510" s="197"/>
      <c r="H510" s="197"/>
      <c r="I510" s="197"/>
      <c r="J510" s="197"/>
      <c r="K510" s="1094"/>
      <c r="L510" s="197"/>
      <c r="M510" s="197"/>
      <c r="N510" s="197"/>
      <c r="O510" s="197"/>
      <c r="P510" s="1094"/>
      <c r="Q510" s="197"/>
      <c r="R510" s="197"/>
      <c r="S510" s="197"/>
      <c r="T510" s="197"/>
      <c r="U510" s="1094"/>
      <c r="V510" s="197"/>
      <c r="W510" s="197"/>
      <c r="X510" s="197"/>
      <c r="Y510" s="197"/>
      <c r="Z510" s="1094"/>
      <c r="AA510" s="197"/>
      <c r="AB510" s="197"/>
      <c r="AC510" s="197"/>
      <c r="AD510" s="197"/>
      <c r="AE510" s="1094"/>
      <c r="AF510" s="197"/>
      <c r="AG510" s="197"/>
      <c r="AH510" s="197"/>
      <c r="AI510" s="197"/>
      <c r="AJ510" s="1094"/>
      <c r="AK510" s="197"/>
      <c r="AL510" s="197"/>
      <c r="AM510" s="197"/>
      <c r="AN510" s="197"/>
      <c r="AO510" s="1094"/>
      <c r="AP510" s="197"/>
      <c r="AQ510" s="197"/>
      <c r="AR510" s="197"/>
      <c r="AS510" s="197"/>
      <c r="AT510" s="198"/>
      <c r="AU510" s="194"/>
      <c r="AV510" s="194"/>
      <c r="AW510" s="194"/>
      <c r="AX510" s="194"/>
      <c r="AY510" s="198"/>
      <c r="AZ510" s="194"/>
      <c r="BA510" s="194"/>
      <c r="BB510" s="194"/>
      <c r="BC510" s="194"/>
      <c r="BD510" s="198"/>
      <c r="BE510" s="197"/>
      <c r="BF510" s="197"/>
      <c r="BG510" s="197"/>
      <c r="BH510" s="197"/>
      <c r="BI510" s="1094"/>
      <c r="BJ510" s="197"/>
      <c r="BK510" s="197"/>
      <c r="BL510" s="197"/>
      <c r="BM510" s="197"/>
      <c r="BN510" s="1094"/>
      <c r="BO510" s="197"/>
      <c r="BP510" s="197"/>
      <c r="BQ510" s="197"/>
      <c r="BR510" s="197"/>
      <c r="BS510" s="1094"/>
      <c r="BT510" s="727"/>
      <c r="BU510" s="197"/>
      <c r="BV510" s="197"/>
      <c r="BW510" s="197"/>
      <c r="BX510" s="1094"/>
      <c r="BY510" s="197"/>
      <c r="BZ510" s="197"/>
      <c r="CA510" s="197"/>
      <c r="CB510" s="197"/>
      <c r="CC510" s="1094"/>
      <c r="CD510" s="1094"/>
      <c r="CE510" s="1094"/>
      <c r="CF510" s="1094"/>
      <c r="CG510" s="349"/>
    </row>
    <row r="511" spans="1:85" s="613" customFormat="1" x14ac:dyDescent="0.3">
      <c r="A511" s="478" t="s">
        <v>1722</v>
      </c>
      <c r="B511" s="523"/>
      <c r="C511" s="78"/>
      <c r="D511" s="78"/>
      <c r="E511" s="78"/>
      <c r="F511" s="78"/>
      <c r="G511" s="774"/>
      <c r="H511" s="774"/>
      <c r="I511" s="774"/>
      <c r="J511" s="774"/>
      <c r="K511" s="78"/>
      <c r="L511" s="774"/>
      <c r="M511" s="774"/>
      <c r="N511" s="774"/>
      <c r="O511" s="774"/>
      <c r="P511" s="78"/>
      <c r="Q511" s="774"/>
      <c r="R511" s="774"/>
      <c r="S511" s="774"/>
      <c r="T511" s="774"/>
      <c r="U511" s="78"/>
      <c r="V511" s="774"/>
      <c r="W511" s="774"/>
      <c r="X511" s="774"/>
      <c r="Y511" s="774"/>
      <c r="Z511" s="78"/>
      <c r="AA511" s="774"/>
      <c r="AB511" s="774"/>
      <c r="AC511" s="774"/>
      <c r="AD511" s="774"/>
      <c r="AE511" s="78"/>
      <c r="AF511" s="774"/>
      <c r="AG511" s="774"/>
      <c r="AH511" s="774"/>
      <c r="AI511" s="774"/>
      <c r="AJ511" s="78"/>
      <c r="AK511" s="774"/>
      <c r="AL511" s="774"/>
      <c r="AM511" s="774"/>
      <c r="AN511" s="774"/>
      <c r="AO511" s="78"/>
      <c r="AP511" s="774"/>
      <c r="AQ511" s="774"/>
      <c r="AR511" s="774"/>
      <c r="AS511" s="774"/>
      <c r="AT511" s="1119">
        <v>8.7729999999999997</v>
      </c>
      <c r="AU511" s="774"/>
      <c r="AV511" s="774"/>
      <c r="AW511" s="774"/>
      <c r="AX511" s="774"/>
      <c r="AY511" s="1119">
        <v>8.7729999999999997</v>
      </c>
      <c r="AZ511" s="774"/>
      <c r="BA511" s="774"/>
      <c r="BB511" s="774"/>
      <c r="BC511" s="774"/>
      <c r="BD511" s="1119">
        <v>8.7729999999999997</v>
      </c>
      <c r="BE511" s="774"/>
      <c r="BF511" s="774"/>
      <c r="BG511" s="774"/>
      <c r="BH511" s="774"/>
      <c r="BI511" s="1119">
        <v>8.7729999999999997</v>
      </c>
      <c r="BJ511" s="774"/>
      <c r="BK511" s="774"/>
      <c r="BL511" s="774"/>
      <c r="BM511" s="774"/>
      <c r="BN511" s="1119">
        <v>8.7729999999999997</v>
      </c>
      <c r="BO511" s="774"/>
      <c r="BP511" s="774"/>
      <c r="BQ511" s="774"/>
      <c r="BR511" s="774"/>
      <c r="BS511" s="78"/>
      <c r="BT511" s="775"/>
      <c r="BU511" s="774"/>
      <c r="BV511" s="774"/>
      <c r="BW511" s="774"/>
      <c r="BX511" s="78"/>
      <c r="BY511" s="774"/>
      <c r="BZ511" s="774"/>
      <c r="CA511" s="774"/>
      <c r="CB511" s="774"/>
      <c r="CC511" s="78"/>
      <c r="CD511" s="78"/>
      <c r="CE511" s="78"/>
      <c r="CF511" s="78"/>
      <c r="CG511" s="532"/>
    </row>
    <row r="512" spans="1:85" s="615" customFormat="1" x14ac:dyDescent="0.3">
      <c r="A512" s="522" t="s">
        <v>1721</v>
      </c>
      <c r="B512" s="521"/>
      <c r="C512" s="1122"/>
      <c r="D512" s="1122"/>
      <c r="E512" s="1122"/>
      <c r="F512" s="1122"/>
      <c r="G512" s="520"/>
      <c r="H512" s="520"/>
      <c r="I512" s="520"/>
      <c r="J512" s="520"/>
      <c r="K512" s="1122"/>
      <c r="L512" s="520"/>
      <c r="M512" s="520"/>
      <c r="N512" s="520"/>
      <c r="O512" s="520"/>
      <c r="P512" s="1122"/>
      <c r="Q512" s="520"/>
      <c r="R512" s="520"/>
      <c r="S512" s="520"/>
      <c r="T512" s="520"/>
      <c r="U512" s="1122"/>
      <c r="V512" s="520"/>
      <c r="W512" s="520"/>
      <c r="X512" s="520"/>
      <c r="Y512" s="520"/>
      <c r="Z512" s="1122"/>
      <c r="AA512" s="520"/>
      <c r="AB512" s="520"/>
      <c r="AC512" s="520"/>
      <c r="AD512" s="520"/>
      <c r="AE512" s="1122"/>
      <c r="AF512" s="520"/>
      <c r="AG512" s="520"/>
      <c r="AH512" s="520"/>
      <c r="AI512" s="520"/>
      <c r="AJ512" s="1122"/>
      <c r="AK512" s="520"/>
      <c r="AL512" s="520"/>
      <c r="AM512" s="520"/>
      <c r="AN512" s="520"/>
      <c r="AO512" s="1122"/>
      <c r="AP512" s="520"/>
      <c r="AQ512" s="520"/>
      <c r="AR512" s="520"/>
      <c r="AS512" s="520"/>
      <c r="AT512" s="1123">
        <v>338.38</v>
      </c>
      <c r="AU512" s="526"/>
      <c r="AV512" s="526"/>
      <c r="AW512" s="526"/>
      <c r="AX512" s="526"/>
      <c r="AY512" s="1123">
        <v>338.38</v>
      </c>
      <c r="AZ512" s="526"/>
      <c r="BA512" s="526"/>
      <c r="BB512" s="526"/>
      <c r="BC512" s="526"/>
      <c r="BD512" s="1123">
        <v>338.38</v>
      </c>
      <c r="BE512" s="520"/>
      <c r="BF512" s="520"/>
      <c r="BG512" s="520"/>
      <c r="BH512" s="520"/>
      <c r="BI512" s="1123">
        <v>338.38</v>
      </c>
      <c r="BJ512" s="520"/>
      <c r="BK512" s="520"/>
      <c r="BL512" s="520"/>
      <c r="BM512" s="520"/>
      <c r="BN512" s="1123">
        <v>338.38</v>
      </c>
      <c r="BO512" s="520"/>
      <c r="BP512" s="520"/>
      <c r="BQ512" s="520"/>
      <c r="BR512" s="520"/>
      <c r="BS512" s="1124"/>
      <c r="BT512" s="728"/>
      <c r="BU512" s="520"/>
      <c r="BV512" s="520"/>
      <c r="BW512" s="520"/>
      <c r="BX512" s="1122"/>
      <c r="BY512" s="520"/>
      <c r="BZ512" s="520"/>
      <c r="CA512" s="520"/>
      <c r="CB512" s="520"/>
      <c r="CC512" s="1122"/>
      <c r="CD512" s="1122"/>
      <c r="CE512" s="1122"/>
      <c r="CF512" s="1122"/>
      <c r="CG512" s="519"/>
    </row>
    <row r="513" spans="1:85" s="614" customFormat="1" x14ac:dyDescent="0.3">
      <c r="A513" s="522"/>
      <c r="B513" s="352"/>
      <c r="C513" s="1094"/>
      <c r="D513" s="1094"/>
      <c r="E513" s="1094"/>
      <c r="F513" s="1094"/>
      <c r="G513" s="197"/>
      <c r="H513" s="197"/>
      <c r="I513" s="197"/>
      <c r="J513" s="197"/>
      <c r="K513" s="1094"/>
      <c r="L513" s="197"/>
      <c r="M513" s="197"/>
      <c r="N513" s="197"/>
      <c r="O513" s="197"/>
      <c r="P513" s="1094"/>
      <c r="Q513" s="197"/>
      <c r="R513" s="197"/>
      <c r="S513" s="197"/>
      <c r="T513" s="197"/>
      <c r="U513" s="1094"/>
      <c r="V513" s="197"/>
      <c r="W513" s="197"/>
      <c r="X513" s="197"/>
      <c r="Y513" s="197"/>
      <c r="Z513" s="1094"/>
      <c r="AA513" s="197"/>
      <c r="AB513" s="197"/>
      <c r="AC513" s="197"/>
      <c r="AD513" s="197"/>
      <c r="AE513" s="1094"/>
      <c r="AF513" s="197"/>
      <c r="AG513" s="197"/>
      <c r="AH513" s="197"/>
      <c r="AI513" s="197"/>
      <c r="AJ513" s="1094"/>
      <c r="AK513" s="197"/>
      <c r="AL513" s="197"/>
      <c r="AM513" s="197"/>
      <c r="AN513" s="197"/>
      <c r="AO513" s="1094"/>
      <c r="AP513" s="197"/>
      <c r="AQ513" s="197"/>
      <c r="AR513" s="197"/>
      <c r="AS513" s="197"/>
      <c r="AT513" s="198"/>
      <c r="AU513" s="194"/>
      <c r="AV513" s="194"/>
      <c r="AW513" s="194"/>
      <c r="AX513" s="194"/>
      <c r="AY513" s="198"/>
      <c r="AZ513" s="194"/>
      <c r="BA513" s="194"/>
      <c r="BB513" s="194"/>
      <c r="BC513" s="194"/>
      <c r="BD513" s="198"/>
      <c r="BE513" s="197"/>
      <c r="BF513" s="197"/>
      <c r="BG513" s="197"/>
      <c r="BH513" s="197"/>
      <c r="BI513" s="1094"/>
      <c r="BJ513" s="197"/>
      <c r="BK513" s="197"/>
      <c r="BL513" s="197"/>
      <c r="BM513" s="197"/>
      <c r="BN513" s="1094"/>
      <c r="BO513" s="197"/>
      <c r="BP513" s="197"/>
      <c r="BQ513" s="197"/>
      <c r="BR513" s="197"/>
      <c r="BS513" s="1094"/>
      <c r="BT513" s="727"/>
      <c r="BU513" s="197"/>
      <c r="BV513" s="197"/>
      <c r="BW513" s="197"/>
      <c r="BX513" s="1094"/>
      <c r="BY513" s="197"/>
      <c r="BZ513" s="197"/>
      <c r="CA513" s="197"/>
      <c r="CB513" s="197"/>
      <c r="CC513" s="1094"/>
      <c r="CD513" s="1094"/>
      <c r="CE513" s="1094"/>
      <c r="CF513" s="1094"/>
      <c r="CG513" s="349"/>
    </row>
    <row r="514" spans="1:85" s="613" customFormat="1" x14ac:dyDescent="0.3">
      <c r="A514" s="478" t="s">
        <v>1720</v>
      </c>
      <c r="B514" s="523"/>
      <c r="C514" s="78"/>
      <c r="D514" s="78"/>
      <c r="E514" s="78"/>
      <c r="F514" s="78"/>
      <c r="G514" s="774"/>
      <c r="H514" s="774"/>
      <c r="I514" s="774"/>
      <c r="J514" s="774"/>
      <c r="K514" s="78"/>
      <c r="L514" s="774"/>
      <c r="M514" s="774"/>
      <c r="N514" s="774"/>
      <c r="O514" s="774"/>
      <c r="P514" s="78"/>
      <c r="Q514" s="774"/>
      <c r="R514" s="774"/>
      <c r="S514" s="774"/>
      <c r="T514" s="774"/>
      <c r="U514" s="78"/>
      <c r="V514" s="774"/>
      <c r="W514" s="774"/>
      <c r="X514" s="774"/>
      <c r="Y514" s="774"/>
      <c r="Z514" s="78"/>
      <c r="AA514" s="774"/>
      <c r="AB514" s="774"/>
      <c r="AC514" s="774"/>
      <c r="AD514" s="774"/>
      <c r="AE514" s="78"/>
      <c r="AF514" s="774"/>
      <c r="AG514" s="774"/>
      <c r="AH514" s="774"/>
      <c r="AI514" s="774"/>
      <c r="AJ514" s="78"/>
      <c r="AK514" s="774"/>
      <c r="AL514" s="774"/>
      <c r="AM514" s="774"/>
      <c r="AN514" s="774"/>
      <c r="AO514" s="78"/>
      <c r="AP514" s="774"/>
      <c r="AQ514" s="774"/>
      <c r="AR514" s="774"/>
      <c r="AS514" s="774"/>
      <c r="AT514" s="1119">
        <v>8.1649999999999991</v>
      </c>
      <c r="AU514" s="774"/>
      <c r="AV514" s="774"/>
      <c r="AW514" s="774"/>
      <c r="AX514" s="774"/>
      <c r="AY514" s="1119">
        <v>8.1649999999999991</v>
      </c>
      <c r="AZ514" s="774"/>
      <c r="BA514" s="774"/>
      <c r="BB514" s="774"/>
      <c r="BC514" s="774"/>
      <c r="BD514" s="1119">
        <v>8.1649999999999991</v>
      </c>
      <c r="BE514" s="774"/>
      <c r="BF514" s="774"/>
      <c r="BG514" s="774"/>
      <c r="BH514" s="774"/>
      <c r="BI514" s="1119">
        <v>8.1649999999999991</v>
      </c>
      <c r="BJ514" s="774"/>
      <c r="BK514" s="774"/>
      <c r="BL514" s="774"/>
      <c r="BM514" s="774"/>
      <c r="BN514" s="1119">
        <v>8.1649999999999991</v>
      </c>
      <c r="BO514" s="774"/>
      <c r="BP514" s="774"/>
      <c r="BQ514" s="774"/>
      <c r="BR514" s="774"/>
      <c r="BS514" s="78"/>
      <c r="BT514" s="775"/>
      <c r="BU514" s="774"/>
      <c r="BV514" s="774"/>
      <c r="BW514" s="774"/>
      <c r="BX514" s="78"/>
      <c r="BY514" s="774"/>
      <c r="BZ514" s="774"/>
      <c r="CA514" s="774"/>
      <c r="CB514" s="774"/>
      <c r="CC514" s="78"/>
      <c r="CD514" s="78"/>
      <c r="CE514" s="78"/>
      <c r="CF514" s="78"/>
      <c r="CG514" s="532"/>
    </row>
    <row r="515" spans="1:85" s="615" customFormat="1" x14ac:dyDescent="0.3">
      <c r="A515" s="522" t="s">
        <v>1719</v>
      </c>
      <c r="B515" s="521"/>
      <c r="C515" s="1122"/>
      <c r="D515" s="1122"/>
      <c r="E515" s="1122"/>
      <c r="F515" s="1122"/>
      <c r="G515" s="520"/>
      <c r="H515" s="520"/>
      <c r="I515" s="520"/>
      <c r="J515" s="520"/>
      <c r="K515" s="1122"/>
      <c r="L515" s="520"/>
      <c r="M515" s="520"/>
      <c r="N515" s="520"/>
      <c r="O515" s="520"/>
      <c r="P515" s="1122"/>
      <c r="Q515" s="520"/>
      <c r="R515" s="520"/>
      <c r="S515" s="520"/>
      <c r="T515" s="520"/>
      <c r="U515" s="1122"/>
      <c r="V515" s="520"/>
      <c r="W515" s="520"/>
      <c r="X515" s="520"/>
      <c r="Y515" s="520"/>
      <c r="Z515" s="1122"/>
      <c r="AA515" s="520"/>
      <c r="AB515" s="520"/>
      <c r="AC515" s="520"/>
      <c r="AD515" s="520"/>
      <c r="AE515" s="1122"/>
      <c r="AF515" s="520"/>
      <c r="AG515" s="520"/>
      <c r="AH515" s="520"/>
      <c r="AI515" s="520"/>
      <c r="AJ515" s="1122"/>
      <c r="AK515" s="520"/>
      <c r="AL515" s="520"/>
      <c r="AM515" s="520"/>
      <c r="AN515" s="520"/>
      <c r="AO515" s="1122"/>
      <c r="AP515" s="520"/>
      <c r="AQ515" s="520"/>
      <c r="AR515" s="520"/>
      <c r="AS515" s="520"/>
      <c r="AT515" s="1123">
        <v>363.6</v>
      </c>
      <c r="AU515" s="526"/>
      <c r="AV515" s="526"/>
      <c r="AW515" s="526"/>
      <c r="AX515" s="526"/>
      <c r="AY515" s="1123">
        <v>363.6</v>
      </c>
      <c r="AZ515" s="526"/>
      <c r="BA515" s="526"/>
      <c r="BB515" s="526"/>
      <c r="BC515" s="526"/>
      <c r="BD515" s="1123">
        <v>363.6</v>
      </c>
      <c r="BE515" s="520"/>
      <c r="BF515" s="520"/>
      <c r="BG515" s="520"/>
      <c r="BH515" s="520"/>
      <c r="BI515" s="1123">
        <v>363.6</v>
      </c>
      <c r="BJ515" s="520"/>
      <c r="BK515" s="520"/>
      <c r="BL515" s="520"/>
      <c r="BM515" s="520"/>
      <c r="BN515" s="1123">
        <v>363.6</v>
      </c>
      <c r="BO515" s="520"/>
      <c r="BP515" s="520"/>
      <c r="BQ515" s="520"/>
      <c r="BR515" s="520"/>
      <c r="BS515" s="1124"/>
      <c r="BT515" s="728"/>
      <c r="BU515" s="520"/>
      <c r="BV515" s="520"/>
      <c r="BW515" s="520"/>
      <c r="BX515" s="1122"/>
      <c r="BY515" s="520"/>
      <c r="BZ515" s="520"/>
      <c r="CA515" s="520"/>
      <c r="CB515" s="520"/>
      <c r="CC515" s="1122"/>
      <c r="CD515" s="1122"/>
      <c r="CE515" s="1122"/>
      <c r="CF515" s="1122"/>
      <c r="CG515" s="519"/>
    </row>
    <row r="516" spans="1:85" s="614" customFormat="1" x14ac:dyDescent="0.3">
      <c r="A516" s="522"/>
      <c r="B516" s="352"/>
      <c r="C516" s="1094"/>
      <c r="D516" s="1094"/>
      <c r="E516" s="1094"/>
      <c r="F516" s="1094"/>
      <c r="G516" s="197"/>
      <c r="H516" s="197"/>
      <c r="I516" s="197"/>
      <c r="J516" s="197"/>
      <c r="K516" s="1094"/>
      <c r="L516" s="197"/>
      <c r="M516" s="197"/>
      <c r="N516" s="197"/>
      <c r="O516" s="197"/>
      <c r="P516" s="1094"/>
      <c r="Q516" s="197"/>
      <c r="R516" s="197"/>
      <c r="S516" s="197"/>
      <c r="T516" s="197"/>
      <c r="U516" s="1094"/>
      <c r="V516" s="197"/>
      <c r="W516" s="197"/>
      <c r="X516" s="197"/>
      <c r="Y516" s="197"/>
      <c r="Z516" s="1094"/>
      <c r="AA516" s="197"/>
      <c r="AB516" s="197"/>
      <c r="AC516" s="197"/>
      <c r="AD516" s="197"/>
      <c r="AE516" s="1094"/>
      <c r="AF516" s="197"/>
      <c r="AG516" s="197"/>
      <c r="AH516" s="197"/>
      <c r="AI516" s="197"/>
      <c r="AJ516" s="1094"/>
      <c r="AK516" s="197"/>
      <c r="AL516" s="197"/>
      <c r="AM516" s="197"/>
      <c r="AN516" s="197"/>
      <c r="AO516" s="1094"/>
      <c r="AP516" s="197"/>
      <c r="AQ516" s="197"/>
      <c r="AR516" s="197"/>
      <c r="AS516" s="197"/>
      <c r="AT516" s="198"/>
      <c r="AU516" s="194"/>
      <c r="AV516" s="194"/>
      <c r="AW516" s="194"/>
      <c r="AX516" s="194"/>
      <c r="AY516" s="198"/>
      <c r="AZ516" s="194"/>
      <c r="BA516" s="194"/>
      <c r="BB516" s="194"/>
      <c r="BC516" s="194"/>
      <c r="BD516" s="198"/>
      <c r="BE516" s="197"/>
      <c r="BF516" s="197"/>
      <c r="BG516" s="197"/>
      <c r="BH516" s="197"/>
      <c r="BI516" s="1094"/>
      <c r="BJ516" s="197"/>
      <c r="BK516" s="197"/>
      <c r="BL516" s="197"/>
      <c r="BM516" s="197"/>
      <c r="BN516" s="1094"/>
      <c r="BO516" s="197"/>
      <c r="BP516" s="197"/>
      <c r="BQ516" s="197"/>
      <c r="BR516" s="197"/>
      <c r="BS516" s="1094"/>
      <c r="BT516" s="727"/>
      <c r="BU516" s="197"/>
      <c r="BV516" s="197"/>
      <c r="BW516" s="197"/>
      <c r="BX516" s="1094"/>
      <c r="BY516" s="197"/>
      <c r="BZ516" s="197"/>
      <c r="CA516" s="197"/>
      <c r="CB516" s="197"/>
      <c r="CC516" s="1094"/>
      <c r="CD516" s="1094"/>
      <c r="CE516" s="1094"/>
      <c r="CF516" s="1094"/>
      <c r="CG516" s="349"/>
    </row>
    <row r="517" spans="1:85" s="613" customFormat="1" x14ac:dyDescent="0.3">
      <c r="A517" s="478" t="s">
        <v>1718</v>
      </c>
      <c r="B517" s="523"/>
      <c r="C517" s="78"/>
      <c r="D517" s="78"/>
      <c r="E517" s="78"/>
      <c r="F517" s="78"/>
      <c r="G517" s="774"/>
      <c r="H517" s="774"/>
      <c r="I517" s="774"/>
      <c r="J517" s="774"/>
      <c r="K517" s="78"/>
      <c r="L517" s="774"/>
      <c r="M517" s="774"/>
      <c r="N517" s="774"/>
      <c r="O517" s="774"/>
      <c r="P517" s="78"/>
      <c r="Q517" s="774"/>
      <c r="R517" s="774"/>
      <c r="S517" s="774"/>
      <c r="T517" s="774"/>
      <c r="U517" s="78"/>
      <c r="V517" s="774"/>
      <c r="W517" s="774"/>
      <c r="X517" s="774"/>
      <c r="Y517" s="774"/>
      <c r="Z517" s="78"/>
      <c r="AA517" s="774"/>
      <c r="AB517" s="774"/>
      <c r="AC517" s="774"/>
      <c r="AD517" s="774"/>
      <c r="AE517" s="78"/>
      <c r="AF517" s="774"/>
      <c r="AG517" s="774"/>
      <c r="AH517" s="774"/>
      <c r="AI517" s="774"/>
      <c r="AJ517" s="78"/>
      <c r="AK517" s="774"/>
      <c r="AL517" s="774"/>
      <c r="AM517" s="774"/>
      <c r="AN517" s="774"/>
      <c r="AO517" s="78"/>
      <c r="AP517" s="774"/>
      <c r="AQ517" s="774"/>
      <c r="AR517" s="774"/>
      <c r="AS517" s="774"/>
      <c r="AT517" s="1119">
        <v>7.7830000000000004</v>
      </c>
      <c r="AU517" s="774"/>
      <c r="AV517" s="774"/>
      <c r="AW517" s="774"/>
      <c r="AX517" s="774"/>
      <c r="AY517" s="1119">
        <v>7.7830000000000004</v>
      </c>
      <c r="AZ517" s="774"/>
      <c r="BA517" s="774"/>
      <c r="BB517" s="774"/>
      <c r="BC517" s="774"/>
      <c r="BD517" s="1119">
        <v>7.7830000000000004</v>
      </c>
      <c r="BE517" s="774"/>
      <c r="BF517" s="774"/>
      <c r="BG517" s="774"/>
      <c r="BH517" s="774"/>
      <c r="BI517" s="1119">
        <v>7.7830000000000004</v>
      </c>
      <c r="BJ517" s="774"/>
      <c r="BK517" s="774"/>
      <c r="BL517" s="774"/>
      <c r="BM517" s="774"/>
      <c r="BN517" s="1119">
        <v>7.7830000000000004</v>
      </c>
      <c r="BO517" s="774"/>
      <c r="BP517" s="774"/>
      <c r="BQ517" s="774"/>
      <c r="BR517" s="774"/>
      <c r="BS517" s="78"/>
      <c r="BT517" s="775"/>
      <c r="BU517" s="774"/>
      <c r="BV517" s="774"/>
      <c r="BW517" s="774"/>
      <c r="BX517" s="78"/>
      <c r="BY517" s="774"/>
      <c r="BZ517" s="774"/>
      <c r="CA517" s="774"/>
      <c r="CB517" s="774"/>
      <c r="CC517" s="78"/>
      <c r="CD517" s="78"/>
      <c r="CE517" s="78"/>
      <c r="CF517" s="78"/>
      <c r="CG517" s="532"/>
    </row>
    <row r="518" spans="1:85" s="615" customFormat="1" x14ac:dyDescent="0.3">
      <c r="A518" s="522" t="s">
        <v>1717</v>
      </c>
      <c r="B518" s="521"/>
      <c r="C518" s="1122"/>
      <c r="D518" s="1122"/>
      <c r="E518" s="1122"/>
      <c r="F518" s="1122"/>
      <c r="G518" s="520"/>
      <c r="H518" s="520"/>
      <c r="I518" s="520"/>
      <c r="J518" s="520"/>
      <c r="K518" s="1122"/>
      <c r="L518" s="520"/>
      <c r="M518" s="520"/>
      <c r="N518" s="520"/>
      <c r="O518" s="520"/>
      <c r="P518" s="1122"/>
      <c r="Q518" s="520"/>
      <c r="R518" s="520"/>
      <c r="S518" s="520"/>
      <c r="T518" s="520"/>
      <c r="U518" s="1122"/>
      <c r="V518" s="520"/>
      <c r="W518" s="520"/>
      <c r="X518" s="520"/>
      <c r="Y518" s="520"/>
      <c r="Z518" s="1122"/>
      <c r="AA518" s="520"/>
      <c r="AB518" s="520"/>
      <c r="AC518" s="520"/>
      <c r="AD518" s="520"/>
      <c r="AE518" s="1122"/>
      <c r="AF518" s="520"/>
      <c r="AG518" s="520"/>
      <c r="AH518" s="520"/>
      <c r="AI518" s="520"/>
      <c r="AJ518" s="1122"/>
      <c r="AK518" s="520"/>
      <c r="AL518" s="520"/>
      <c r="AM518" s="520"/>
      <c r="AN518" s="520"/>
      <c r="AO518" s="1122"/>
      <c r="AP518" s="520"/>
      <c r="AQ518" s="520"/>
      <c r="AR518" s="520"/>
      <c r="AS518" s="520"/>
      <c r="AT518" s="1123">
        <v>381.43</v>
      </c>
      <c r="AU518" s="526"/>
      <c r="AV518" s="526"/>
      <c r="AW518" s="526"/>
      <c r="AX518" s="526"/>
      <c r="AY518" s="1123">
        <v>381.43</v>
      </c>
      <c r="AZ518" s="526"/>
      <c r="BA518" s="526"/>
      <c r="BB518" s="526"/>
      <c r="BC518" s="526"/>
      <c r="BD518" s="1123">
        <v>381.43</v>
      </c>
      <c r="BE518" s="520"/>
      <c r="BF518" s="520"/>
      <c r="BG518" s="520"/>
      <c r="BH518" s="520"/>
      <c r="BI518" s="1123">
        <v>381.43</v>
      </c>
      <c r="BJ518" s="520"/>
      <c r="BK518" s="520"/>
      <c r="BL518" s="520"/>
      <c r="BM518" s="520"/>
      <c r="BN518" s="1123">
        <v>381.43</v>
      </c>
      <c r="BO518" s="520"/>
      <c r="BP518" s="520"/>
      <c r="BQ518" s="520"/>
      <c r="BR518" s="520"/>
      <c r="BS518" s="1124"/>
      <c r="BT518" s="728"/>
      <c r="BU518" s="520"/>
      <c r="BV518" s="520"/>
      <c r="BW518" s="520"/>
      <c r="BX518" s="1122"/>
      <c r="BY518" s="520"/>
      <c r="BZ518" s="520"/>
      <c r="CA518" s="520"/>
      <c r="CB518" s="520"/>
      <c r="CC518" s="1122"/>
      <c r="CD518" s="1122"/>
      <c r="CE518" s="1122"/>
      <c r="CF518" s="1122"/>
      <c r="CG518" s="519"/>
    </row>
    <row r="519" spans="1:85" s="614" customFormat="1" x14ac:dyDescent="0.3">
      <c r="A519" s="522"/>
      <c r="B519" s="352"/>
      <c r="C519" s="1094"/>
      <c r="D519" s="1094"/>
      <c r="E519" s="1094"/>
      <c r="F519" s="1094"/>
      <c r="G519" s="197"/>
      <c r="H519" s="197"/>
      <c r="I519" s="197"/>
      <c r="J519" s="197"/>
      <c r="K519" s="1094"/>
      <c r="L519" s="197"/>
      <c r="M519" s="197"/>
      <c r="N519" s="197"/>
      <c r="O519" s="197"/>
      <c r="P519" s="1094"/>
      <c r="Q519" s="197"/>
      <c r="R519" s="197"/>
      <c r="S519" s="197"/>
      <c r="T519" s="197"/>
      <c r="U519" s="1094"/>
      <c r="V519" s="197"/>
      <c r="W519" s="197"/>
      <c r="X519" s="197"/>
      <c r="Y519" s="197"/>
      <c r="Z519" s="1094"/>
      <c r="AA519" s="197"/>
      <c r="AB519" s="197"/>
      <c r="AC519" s="197"/>
      <c r="AD519" s="197"/>
      <c r="AE519" s="1094"/>
      <c r="AF519" s="197"/>
      <c r="AG519" s="197"/>
      <c r="AH519" s="197"/>
      <c r="AI519" s="197"/>
      <c r="AJ519" s="1094"/>
      <c r="AK519" s="197"/>
      <c r="AL519" s="197"/>
      <c r="AM519" s="197"/>
      <c r="AN519" s="197"/>
      <c r="AO519" s="1094"/>
      <c r="AP519" s="197"/>
      <c r="AQ519" s="197"/>
      <c r="AR519" s="197"/>
      <c r="AS519" s="197"/>
      <c r="AT519" s="198"/>
      <c r="AU519" s="194"/>
      <c r="AV519" s="194"/>
      <c r="AW519" s="194"/>
      <c r="AX519" s="194"/>
      <c r="AY519" s="198"/>
      <c r="AZ519" s="194"/>
      <c r="BA519" s="194"/>
      <c r="BB519" s="194"/>
      <c r="BC519" s="194"/>
      <c r="BD519" s="198"/>
      <c r="BE519" s="197"/>
      <c r="BF519" s="197"/>
      <c r="BG519" s="197"/>
      <c r="BH519" s="197"/>
      <c r="BI519" s="1094"/>
      <c r="BJ519" s="197"/>
      <c r="BK519" s="197"/>
      <c r="BL519" s="197"/>
      <c r="BM519" s="197"/>
      <c r="BN519" s="1094"/>
      <c r="BO519" s="197"/>
      <c r="BP519" s="197"/>
      <c r="BQ519" s="197"/>
      <c r="BR519" s="197"/>
      <c r="BS519" s="1094"/>
      <c r="BT519" s="727"/>
      <c r="BU519" s="197"/>
      <c r="BV519" s="197"/>
      <c r="BW519" s="197"/>
      <c r="BX519" s="1094"/>
      <c r="BY519" s="197"/>
      <c r="BZ519" s="197"/>
      <c r="CA519" s="197"/>
      <c r="CB519" s="197"/>
      <c r="CC519" s="1094"/>
      <c r="CD519" s="1094"/>
      <c r="CE519" s="1094"/>
      <c r="CF519" s="1094"/>
      <c r="CG519" s="349"/>
    </row>
    <row r="520" spans="1:85" s="613" customFormat="1" x14ac:dyDescent="0.3">
      <c r="A520" s="478" t="s">
        <v>1716</v>
      </c>
      <c r="B520" s="523"/>
      <c r="C520" s="78"/>
      <c r="D520" s="78"/>
      <c r="E520" s="78"/>
      <c r="F520" s="78"/>
      <c r="G520" s="774"/>
      <c r="H520" s="774"/>
      <c r="I520" s="774"/>
      <c r="J520" s="774"/>
      <c r="K520" s="78"/>
      <c r="L520" s="774"/>
      <c r="M520" s="774"/>
      <c r="N520" s="774"/>
      <c r="O520" s="774"/>
      <c r="P520" s="78"/>
      <c r="Q520" s="774"/>
      <c r="R520" s="774"/>
      <c r="S520" s="774"/>
      <c r="T520" s="774"/>
      <c r="U520" s="78"/>
      <c r="V520" s="774"/>
      <c r="W520" s="774"/>
      <c r="X520" s="774"/>
      <c r="Y520" s="774"/>
      <c r="Z520" s="78"/>
      <c r="AA520" s="774"/>
      <c r="AB520" s="774"/>
      <c r="AC520" s="774"/>
      <c r="AD520" s="774"/>
      <c r="AE520" s="78"/>
      <c r="AF520" s="774"/>
      <c r="AG520" s="774"/>
      <c r="AH520" s="774"/>
      <c r="AI520" s="774"/>
      <c r="AJ520" s="78"/>
      <c r="AK520" s="774"/>
      <c r="AL520" s="774"/>
      <c r="AM520" s="774"/>
      <c r="AN520" s="774"/>
      <c r="AO520" s="78"/>
      <c r="AP520" s="774"/>
      <c r="AQ520" s="774"/>
      <c r="AR520" s="774"/>
      <c r="AS520" s="774"/>
      <c r="AT520" s="1119">
        <v>9.3539999999999992</v>
      </c>
      <c r="AU520" s="774"/>
      <c r="AV520" s="774"/>
      <c r="AW520" s="774"/>
      <c r="AX520" s="774"/>
      <c r="AY520" s="78"/>
      <c r="AZ520" s="774"/>
      <c r="BA520" s="774"/>
      <c r="BB520" s="774"/>
      <c r="BC520" s="774"/>
      <c r="BD520" s="78"/>
      <c r="BE520" s="774"/>
      <c r="BF520" s="774"/>
      <c r="BG520" s="774"/>
      <c r="BH520" s="774"/>
      <c r="BI520" s="78"/>
      <c r="BJ520" s="774"/>
      <c r="BK520" s="774"/>
      <c r="BL520" s="774"/>
      <c r="BM520" s="774"/>
      <c r="BN520" s="78"/>
      <c r="BO520" s="774"/>
      <c r="BP520" s="774"/>
      <c r="BQ520" s="774"/>
      <c r="BR520" s="774"/>
      <c r="BS520" s="78"/>
      <c r="BT520" s="775"/>
      <c r="BU520" s="774"/>
      <c r="BV520" s="774"/>
      <c r="BW520" s="774"/>
      <c r="BX520" s="78"/>
      <c r="BY520" s="774"/>
      <c r="BZ520" s="774"/>
      <c r="CA520" s="774"/>
      <c r="CB520" s="774"/>
      <c r="CC520" s="78"/>
      <c r="CD520" s="78"/>
      <c r="CE520" s="78"/>
      <c r="CF520" s="78"/>
      <c r="CG520" s="532"/>
    </row>
    <row r="521" spans="1:85" s="615" customFormat="1" x14ac:dyDescent="0.3">
      <c r="A521" s="522" t="s">
        <v>1715</v>
      </c>
      <c r="B521" s="521"/>
      <c r="C521" s="1122"/>
      <c r="D521" s="1122"/>
      <c r="E521" s="1122"/>
      <c r="F521" s="1122"/>
      <c r="G521" s="520"/>
      <c r="H521" s="520"/>
      <c r="I521" s="520"/>
      <c r="J521" s="520"/>
      <c r="K521" s="1122"/>
      <c r="L521" s="520"/>
      <c r="M521" s="520"/>
      <c r="N521" s="520"/>
      <c r="O521" s="520"/>
      <c r="P521" s="1122"/>
      <c r="Q521" s="520"/>
      <c r="R521" s="520"/>
      <c r="S521" s="520"/>
      <c r="T521" s="520"/>
      <c r="U521" s="1122"/>
      <c r="V521" s="520"/>
      <c r="W521" s="520"/>
      <c r="X521" s="520"/>
      <c r="Y521" s="520"/>
      <c r="Z521" s="1122"/>
      <c r="AA521" s="520"/>
      <c r="AB521" s="520"/>
      <c r="AC521" s="520"/>
      <c r="AD521" s="520"/>
      <c r="AE521" s="1122"/>
      <c r="AF521" s="520"/>
      <c r="AG521" s="520"/>
      <c r="AH521" s="520"/>
      <c r="AI521" s="520"/>
      <c r="AJ521" s="1122"/>
      <c r="AK521" s="520"/>
      <c r="AL521" s="520"/>
      <c r="AM521" s="520"/>
      <c r="AN521" s="520"/>
      <c r="AO521" s="1122"/>
      <c r="AP521" s="520"/>
      <c r="AQ521" s="520"/>
      <c r="AR521" s="520"/>
      <c r="AS521" s="520"/>
      <c r="AT521" s="1123">
        <v>317.38</v>
      </c>
      <c r="AU521" s="526"/>
      <c r="AV521" s="526"/>
      <c r="AW521" s="526"/>
      <c r="AX521" s="526"/>
      <c r="AY521" s="1124"/>
      <c r="AZ521" s="526"/>
      <c r="BA521" s="526"/>
      <c r="BB521" s="526"/>
      <c r="BC521" s="526"/>
      <c r="BD521" s="1124"/>
      <c r="BE521" s="520"/>
      <c r="BF521" s="520"/>
      <c r="BG521" s="520"/>
      <c r="BH521" s="520"/>
      <c r="BI521" s="1122"/>
      <c r="BJ521" s="520"/>
      <c r="BK521" s="520"/>
      <c r="BL521" s="520"/>
      <c r="BM521" s="520"/>
      <c r="BN521" s="1122"/>
      <c r="BO521" s="520"/>
      <c r="BP521" s="520"/>
      <c r="BQ521" s="520"/>
      <c r="BR521" s="520"/>
      <c r="BS521" s="1122"/>
      <c r="BT521" s="728"/>
      <c r="BU521" s="520"/>
      <c r="BV521" s="520"/>
      <c r="BW521" s="520"/>
      <c r="BX521" s="1122"/>
      <c r="BY521" s="520"/>
      <c r="BZ521" s="520"/>
      <c r="CA521" s="520"/>
      <c r="CB521" s="520"/>
      <c r="CC521" s="1122"/>
      <c r="CD521" s="1122"/>
      <c r="CE521" s="1122"/>
      <c r="CF521" s="1122"/>
      <c r="CG521" s="519"/>
    </row>
    <row r="522" spans="1:85" s="614" customFormat="1" x14ac:dyDescent="0.3">
      <c r="A522" s="522"/>
      <c r="B522" s="352"/>
      <c r="C522" s="1094"/>
      <c r="D522" s="1094"/>
      <c r="E522" s="1094"/>
      <c r="F522" s="1094"/>
      <c r="G522" s="197"/>
      <c r="H522" s="197"/>
      <c r="I522" s="197"/>
      <c r="J522" s="197"/>
      <c r="K522" s="1094"/>
      <c r="L522" s="197"/>
      <c r="M522" s="197"/>
      <c r="N522" s="197"/>
      <c r="O522" s="197"/>
      <c r="P522" s="1094"/>
      <c r="Q522" s="197"/>
      <c r="R522" s="197"/>
      <c r="S522" s="197"/>
      <c r="T522" s="197"/>
      <c r="U522" s="1094"/>
      <c r="V522" s="197"/>
      <c r="W522" s="197"/>
      <c r="X522" s="197"/>
      <c r="Y522" s="197"/>
      <c r="Z522" s="1094"/>
      <c r="AA522" s="197"/>
      <c r="AB522" s="197"/>
      <c r="AC522" s="197"/>
      <c r="AD522" s="197"/>
      <c r="AE522" s="1094"/>
      <c r="AF522" s="197"/>
      <c r="AG522" s="197"/>
      <c r="AH522" s="197"/>
      <c r="AI522" s="197"/>
      <c r="AJ522" s="1094"/>
      <c r="AK522" s="197"/>
      <c r="AL522" s="197"/>
      <c r="AM522" s="197"/>
      <c r="AN522" s="197"/>
      <c r="AO522" s="1094"/>
      <c r="AP522" s="197"/>
      <c r="AQ522" s="197"/>
      <c r="AR522" s="197"/>
      <c r="AS522" s="197"/>
      <c r="AT522" s="198"/>
      <c r="AU522" s="194"/>
      <c r="AV522" s="194"/>
      <c r="AW522" s="194"/>
      <c r="AX522" s="194"/>
      <c r="AY522" s="198"/>
      <c r="AZ522" s="194"/>
      <c r="BA522" s="194"/>
      <c r="BB522" s="194"/>
      <c r="BC522" s="194"/>
      <c r="BD522" s="198"/>
      <c r="BE522" s="197"/>
      <c r="BF522" s="197"/>
      <c r="BG522" s="197"/>
      <c r="BH522" s="197"/>
      <c r="BI522" s="1094"/>
      <c r="BJ522" s="197"/>
      <c r="BK522" s="197"/>
      <c r="BL522" s="197"/>
      <c r="BM522" s="197"/>
      <c r="BN522" s="1094"/>
      <c r="BO522" s="197"/>
      <c r="BP522" s="197"/>
      <c r="BQ522" s="197"/>
      <c r="BR522" s="197"/>
      <c r="BS522" s="1094"/>
      <c r="BT522" s="727"/>
      <c r="BU522" s="197"/>
      <c r="BV522" s="197"/>
      <c r="BW522" s="197"/>
      <c r="BX522" s="1094"/>
      <c r="BY522" s="197"/>
      <c r="BZ522" s="197"/>
      <c r="CA522" s="197"/>
      <c r="CB522" s="197"/>
      <c r="CC522" s="1094"/>
      <c r="CD522" s="1094"/>
      <c r="CE522" s="1094"/>
      <c r="CF522" s="1094"/>
      <c r="CG522" s="349"/>
    </row>
    <row r="523" spans="1:85" s="613" customFormat="1" x14ac:dyDescent="0.3">
      <c r="A523" s="478" t="s">
        <v>1714</v>
      </c>
      <c r="B523" s="523"/>
      <c r="C523" s="78"/>
      <c r="D523" s="78"/>
      <c r="E523" s="78"/>
      <c r="F523" s="78"/>
      <c r="G523" s="774"/>
      <c r="H523" s="774"/>
      <c r="I523" s="774"/>
      <c r="J523" s="774"/>
      <c r="K523" s="78"/>
      <c r="L523" s="774"/>
      <c r="M523" s="774"/>
      <c r="N523" s="774"/>
      <c r="O523" s="774"/>
      <c r="P523" s="78"/>
      <c r="Q523" s="774"/>
      <c r="R523" s="774"/>
      <c r="S523" s="774"/>
      <c r="T523" s="774"/>
      <c r="U523" s="78"/>
      <c r="V523" s="774"/>
      <c r="W523" s="774"/>
      <c r="X523" s="774"/>
      <c r="Y523" s="774"/>
      <c r="Z523" s="78"/>
      <c r="AA523" s="774"/>
      <c r="AB523" s="774"/>
      <c r="AC523" s="774"/>
      <c r="AD523" s="774"/>
      <c r="AE523" s="78"/>
      <c r="AF523" s="774"/>
      <c r="AG523" s="774"/>
      <c r="AH523" s="774"/>
      <c r="AI523" s="774"/>
      <c r="AJ523" s="78"/>
      <c r="AK523" s="774"/>
      <c r="AL523" s="774"/>
      <c r="AM523" s="774"/>
      <c r="AN523" s="774"/>
      <c r="AO523" s="78"/>
      <c r="AP523" s="774"/>
      <c r="AQ523" s="774"/>
      <c r="AR523" s="774"/>
      <c r="AS523" s="774"/>
      <c r="AT523" s="1119">
        <v>10.227</v>
      </c>
      <c r="AU523" s="774"/>
      <c r="AV523" s="774"/>
      <c r="AW523" s="774"/>
      <c r="AX523" s="774"/>
      <c r="AY523" s="78"/>
      <c r="AZ523" s="774"/>
      <c r="BA523" s="774"/>
      <c r="BB523" s="774"/>
      <c r="BC523" s="774"/>
      <c r="BD523" s="78"/>
      <c r="BE523" s="774"/>
      <c r="BF523" s="774"/>
      <c r="BG523" s="774"/>
      <c r="BH523" s="774"/>
      <c r="BI523" s="78"/>
      <c r="BJ523" s="774"/>
      <c r="BK523" s="774"/>
      <c r="BL523" s="774"/>
      <c r="BM523" s="774"/>
      <c r="BN523" s="78"/>
      <c r="BO523" s="774"/>
      <c r="BP523" s="774"/>
      <c r="BQ523" s="774"/>
      <c r="BR523" s="774"/>
      <c r="BS523" s="78"/>
      <c r="BT523" s="775"/>
      <c r="BU523" s="774"/>
      <c r="BV523" s="774"/>
      <c r="BW523" s="774"/>
      <c r="BX523" s="78"/>
      <c r="BY523" s="774"/>
      <c r="BZ523" s="774"/>
      <c r="CA523" s="774"/>
      <c r="CB523" s="774"/>
      <c r="CC523" s="78"/>
      <c r="CD523" s="78"/>
      <c r="CE523" s="78"/>
      <c r="CF523" s="78"/>
      <c r="CG523" s="532"/>
    </row>
    <row r="524" spans="1:85" s="615" customFormat="1" x14ac:dyDescent="0.3">
      <c r="A524" s="522" t="s">
        <v>1713</v>
      </c>
      <c r="B524" s="521"/>
      <c r="C524" s="1122"/>
      <c r="D524" s="1122"/>
      <c r="E524" s="1122"/>
      <c r="F524" s="1122"/>
      <c r="G524" s="520"/>
      <c r="H524" s="520"/>
      <c r="I524" s="520"/>
      <c r="J524" s="520"/>
      <c r="K524" s="1122"/>
      <c r="L524" s="520"/>
      <c r="M524" s="520"/>
      <c r="N524" s="520"/>
      <c r="O524" s="520"/>
      <c r="P524" s="1122"/>
      <c r="Q524" s="520"/>
      <c r="R524" s="520"/>
      <c r="S524" s="520"/>
      <c r="T524" s="520"/>
      <c r="U524" s="1122"/>
      <c r="V524" s="520"/>
      <c r="W524" s="520"/>
      <c r="X524" s="520"/>
      <c r="Y524" s="520"/>
      <c r="Z524" s="1122"/>
      <c r="AA524" s="520"/>
      <c r="AB524" s="520"/>
      <c r="AC524" s="520"/>
      <c r="AD524" s="520"/>
      <c r="AE524" s="1122"/>
      <c r="AF524" s="520"/>
      <c r="AG524" s="520"/>
      <c r="AH524" s="520"/>
      <c r="AI524" s="520"/>
      <c r="AJ524" s="1122"/>
      <c r="AK524" s="520"/>
      <c r="AL524" s="520"/>
      <c r="AM524" s="520"/>
      <c r="AN524" s="520"/>
      <c r="AO524" s="1122"/>
      <c r="AP524" s="520"/>
      <c r="AQ524" s="520"/>
      <c r="AR524" s="520"/>
      <c r="AS524" s="520"/>
      <c r="AT524" s="1123">
        <v>290.3</v>
      </c>
      <c r="AU524" s="526"/>
      <c r="AV524" s="526"/>
      <c r="AW524" s="526"/>
      <c r="AX524" s="526"/>
      <c r="AY524" s="1124"/>
      <c r="AZ524" s="526"/>
      <c r="BA524" s="526"/>
      <c r="BB524" s="526"/>
      <c r="BC524" s="526"/>
      <c r="BD524" s="1124"/>
      <c r="BE524" s="520"/>
      <c r="BF524" s="520"/>
      <c r="BG524" s="520"/>
      <c r="BH524" s="520"/>
      <c r="BI524" s="1122"/>
      <c r="BJ524" s="520"/>
      <c r="BK524" s="520"/>
      <c r="BL524" s="520"/>
      <c r="BM524" s="520"/>
      <c r="BN524" s="1122"/>
      <c r="BO524" s="520"/>
      <c r="BP524" s="520"/>
      <c r="BQ524" s="520"/>
      <c r="BR524" s="520"/>
      <c r="BS524" s="1122"/>
      <c r="BT524" s="728"/>
      <c r="BU524" s="520"/>
      <c r="BV524" s="520"/>
      <c r="BW524" s="520"/>
      <c r="BX524" s="1122"/>
      <c r="BY524" s="520"/>
      <c r="BZ524" s="520"/>
      <c r="CA524" s="520"/>
      <c r="CB524" s="520"/>
      <c r="CC524" s="1122"/>
      <c r="CD524" s="1122"/>
      <c r="CE524" s="1122"/>
      <c r="CF524" s="1122"/>
      <c r="CG524" s="519"/>
    </row>
    <row r="525" spans="1:85" s="614" customFormat="1" x14ac:dyDescent="0.3">
      <c r="A525" s="522"/>
      <c r="B525" s="352"/>
      <c r="C525" s="1094"/>
      <c r="D525" s="1094"/>
      <c r="E525" s="1094"/>
      <c r="F525" s="1094"/>
      <c r="G525" s="197"/>
      <c r="H525" s="197"/>
      <c r="I525" s="197"/>
      <c r="J525" s="197"/>
      <c r="K525" s="1094"/>
      <c r="L525" s="197"/>
      <c r="M525" s="197"/>
      <c r="N525" s="197"/>
      <c r="O525" s="197"/>
      <c r="P525" s="1094"/>
      <c r="Q525" s="197"/>
      <c r="R525" s="197"/>
      <c r="S525" s="197"/>
      <c r="T525" s="197"/>
      <c r="U525" s="1094"/>
      <c r="V525" s="197"/>
      <c r="W525" s="197"/>
      <c r="X525" s="197"/>
      <c r="Y525" s="197"/>
      <c r="Z525" s="1094"/>
      <c r="AA525" s="197"/>
      <c r="AB525" s="197"/>
      <c r="AC525" s="197"/>
      <c r="AD525" s="197"/>
      <c r="AE525" s="1094"/>
      <c r="AF525" s="197"/>
      <c r="AG525" s="197"/>
      <c r="AH525" s="197"/>
      <c r="AI525" s="197"/>
      <c r="AJ525" s="1094"/>
      <c r="AK525" s="197"/>
      <c r="AL525" s="197"/>
      <c r="AM525" s="197"/>
      <c r="AN525" s="197"/>
      <c r="AO525" s="1094"/>
      <c r="AP525" s="197"/>
      <c r="AQ525" s="197"/>
      <c r="AR525" s="197"/>
      <c r="AS525" s="197"/>
      <c r="AT525" s="198"/>
      <c r="AU525" s="194"/>
      <c r="AV525" s="194"/>
      <c r="AW525" s="194"/>
      <c r="AX525" s="194"/>
      <c r="AY525" s="198"/>
      <c r="AZ525" s="194"/>
      <c r="BA525" s="194"/>
      <c r="BB525" s="194"/>
      <c r="BC525" s="194"/>
      <c r="BD525" s="198"/>
      <c r="BE525" s="197"/>
      <c r="BF525" s="197"/>
      <c r="BG525" s="197"/>
      <c r="BH525" s="197"/>
      <c r="BI525" s="1094"/>
      <c r="BJ525" s="197"/>
      <c r="BK525" s="197"/>
      <c r="BL525" s="197"/>
      <c r="BM525" s="197"/>
      <c r="BN525" s="1094"/>
      <c r="BO525" s="197"/>
      <c r="BP525" s="197"/>
      <c r="BQ525" s="197"/>
      <c r="BR525" s="197"/>
      <c r="BS525" s="1094"/>
      <c r="BT525" s="727"/>
      <c r="BU525" s="197"/>
      <c r="BV525" s="197"/>
      <c r="BW525" s="197"/>
      <c r="BX525" s="1094"/>
      <c r="BY525" s="197"/>
      <c r="BZ525" s="197"/>
      <c r="CA525" s="197"/>
      <c r="CB525" s="197"/>
      <c r="CC525" s="1094"/>
      <c r="CD525" s="1094"/>
      <c r="CE525" s="1094"/>
      <c r="CF525" s="1094"/>
      <c r="CG525" s="349"/>
    </row>
    <row r="526" spans="1:85" s="613" customFormat="1" x14ac:dyDescent="0.3">
      <c r="A526" s="478" t="s">
        <v>1712</v>
      </c>
      <c r="B526" s="523"/>
      <c r="C526" s="78"/>
      <c r="D526" s="78"/>
      <c r="E526" s="78"/>
      <c r="F526" s="78"/>
      <c r="G526" s="774"/>
      <c r="H526" s="774"/>
      <c r="I526" s="774"/>
      <c r="J526" s="774"/>
      <c r="K526" s="78"/>
      <c r="L526" s="774"/>
      <c r="M526" s="774"/>
      <c r="N526" s="774"/>
      <c r="O526" s="774"/>
      <c r="P526" s="78"/>
      <c r="Q526" s="774"/>
      <c r="R526" s="774"/>
      <c r="S526" s="774"/>
      <c r="T526" s="774"/>
      <c r="U526" s="78"/>
      <c r="V526" s="774"/>
      <c r="W526" s="774"/>
      <c r="X526" s="774"/>
      <c r="Y526" s="774"/>
      <c r="Z526" s="78"/>
      <c r="AA526" s="774"/>
      <c r="AB526" s="774"/>
      <c r="AC526" s="774"/>
      <c r="AD526" s="774"/>
      <c r="AE526" s="78"/>
      <c r="AF526" s="774"/>
      <c r="AG526" s="774"/>
      <c r="AH526" s="774"/>
      <c r="AI526" s="774"/>
      <c r="AJ526" s="78"/>
      <c r="AK526" s="774"/>
      <c r="AL526" s="774"/>
      <c r="AM526" s="774"/>
      <c r="AN526" s="774"/>
      <c r="AO526" s="78"/>
      <c r="AP526" s="774"/>
      <c r="AQ526" s="774"/>
      <c r="AR526" s="774"/>
      <c r="AS526" s="774"/>
      <c r="AT526" s="1119">
        <v>11.090999999999999</v>
      </c>
      <c r="AU526" s="774"/>
      <c r="AV526" s="774"/>
      <c r="AW526" s="774"/>
      <c r="AX526" s="774"/>
      <c r="AY526" s="78"/>
      <c r="AZ526" s="774"/>
      <c r="BA526" s="774"/>
      <c r="BB526" s="774"/>
      <c r="BC526" s="774"/>
      <c r="BD526" s="78"/>
      <c r="BE526" s="774"/>
      <c r="BF526" s="774"/>
      <c r="BG526" s="774"/>
      <c r="BH526" s="774"/>
      <c r="BI526" s="78"/>
      <c r="BJ526" s="774"/>
      <c r="BK526" s="774"/>
      <c r="BL526" s="774"/>
      <c r="BM526" s="774"/>
      <c r="BN526" s="78"/>
      <c r="BO526" s="774"/>
      <c r="BP526" s="774"/>
      <c r="BQ526" s="774"/>
      <c r="BR526" s="774"/>
      <c r="BS526" s="78"/>
      <c r="BT526" s="775"/>
      <c r="BU526" s="774"/>
      <c r="BV526" s="774"/>
      <c r="BW526" s="774"/>
      <c r="BX526" s="78"/>
      <c r="BY526" s="774"/>
      <c r="BZ526" s="774"/>
      <c r="CA526" s="774"/>
      <c r="CB526" s="774"/>
      <c r="CC526" s="78"/>
      <c r="CD526" s="78"/>
      <c r="CE526" s="78"/>
      <c r="CF526" s="78"/>
      <c r="CG526" s="532"/>
    </row>
    <row r="527" spans="1:85" s="615" customFormat="1" x14ac:dyDescent="0.3">
      <c r="A527" s="522" t="s">
        <v>1711</v>
      </c>
      <c r="B527" s="521"/>
      <c r="C527" s="1122"/>
      <c r="D527" s="1122"/>
      <c r="E527" s="1122"/>
      <c r="F527" s="1122"/>
      <c r="G527" s="520"/>
      <c r="H527" s="520"/>
      <c r="I527" s="520"/>
      <c r="J527" s="520"/>
      <c r="K527" s="1122"/>
      <c r="L527" s="520"/>
      <c r="M527" s="520"/>
      <c r="N527" s="520"/>
      <c r="O527" s="520"/>
      <c r="P527" s="1122"/>
      <c r="Q527" s="520"/>
      <c r="R527" s="520"/>
      <c r="S527" s="520"/>
      <c r="T527" s="520"/>
      <c r="U527" s="1122"/>
      <c r="V527" s="520"/>
      <c r="W527" s="520"/>
      <c r="X527" s="520"/>
      <c r="Y527" s="520"/>
      <c r="Z527" s="1122"/>
      <c r="AA527" s="520"/>
      <c r="AB527" s="520"/>
      <c r="AC527" s="520"/>
      <c r="AD527" s="520"/>
      <c r="AE527" s="1122"/>
      <c r="AF527" s="520"/>
      <c r="AG527" s="520"/>
      <c r="AH527" s="520"/>
      <c r="AI527" s="520"/>
      <c r="AJ527" s="1122"/>
      <c r="AK527" s="520"/>
      <c r="AL527" s="520"/>
      <c r="AM527" s="520"/>
      <c r="AN527" s="520"/>
      <c r="AO527" s="1122"/>
      <c r="AP527" s="520"/>
      <c r="AQ527" s="520"/>
      <c r="AR527" s="520"/>
      <c r="AS527" s="520"/>
      <c r="AT527" s="1123">
        <v>267.66000000000003</v>
      </c>
      <c r="AU527" s="526"/>
      <c r="AV527" s="526"/>
      <c r="AW527" s="526"/>
      <c r="AX527" s="526"/>
      <c r="AY527" s="1124"/>
      <c r="AZ527" s="526"/>
      <c r="BA527" s="526"/>
      <c r="BB527" s="526"/>
      <c r="BC527" s="526"/>
      <c r="BD527" s="1124"/>
      <c r="BE527" s="520"/>
      <c r="BF527" s="520"/>
      <c r="BG527" s="520"/>
      <c r="BH527" s="520"/>
      <c r="BI527" s="1122"/>
      <c r="BJ527" s="520"/>
      <c r="BK527" s="520"/>
      <c r="BL527" s="520"/>
      <c r="BM527" s="520"/>
      <c r="BN527" s="1122"/>
      <c r="BO527" s="520"/>
      <c r="BP527" s="520"/>
      <c r="BQ527" s="520"/>
      <c r="BR527" s="520"/>
      <c r="BS527" s="1122"/>
      <c r="BT527" s="728"/>
      <c r="BU527" s="520"/>
      <c r="BV527" s="520"/>
      <c r="BW527" s="520"/>
      <c r="BX527" s="1122"/>
      <c r="BY527" s="520"/>
      <c r="BZ527" s="520"/>
      <c r="CA527" s="520"/>
      <c r="CB527" s="520"/>
      <c r="CC527" s="1122"/>
      <c r="CD527" s="1122"/>
      <c r="CE527" s="1122"/>
      <c r="CF527" s="1122"/>
      <c r="CG527" s="519"/>
    </row>
    <row r="528" spans="1:85" s="614" customFormat="1" x14ac:dyDescent="0.3">
      <c r="A528" s="116"/>
      <c r="B528" s="352"/>
      <c r="C528" s="1094"/>
      <c r="D528" s="1094"/>
      <c r="E528" s="1094"/>
      <c r="F528" s="1094"/>
      <c r="G528" s="197"/>
      <c r="H528" s="197"/>
      <c r="I528" s="197"/>
      <c r="J528" s="197"/>
      <c r="K528" s="1094"/>
      <c r="L528" s="197"/>
      <c r="M528" s="197"/>
      <c r="N528" s="197"/>
      <c r="O528" s="197"/>
      <c r="P528" s="1094"/>
      <c r="Q528" s="197"/>
      <c r="R528" s="197"/>
      <c r="S528" s="197"/>
      <c r="T528" s="197"/>
      <c r="U528" s="1094"/>
      <c r="V528" s="197"/>
      <c r="W528" s="197"/>
      <c r="X528" s="197"/>
      <c r="Y528" s="197"/>
      <c r="Z528" s="1094"/>
      <c r="AA528" s="197"/>
      <c r="AB528" s="197"/>
      <c r="AC528" s="197"/>
      <c r="AD528" s="197"/>
      <c r="AE528" s="1094"/>
      <c r="AF528" s="197"/>
      <c r="AG528" s="197"/>
      <c r="AH528" s="197"/>
      <c r="AI528" s="197"/>
      <c r="AJ528" s="1094"/>
      <c r="AK528" s="197"/>
      <c r="AL528" s="197"/>
      <c r="AM528" s="197"/>
      <c r="AN528" s="197"/>
      <c r="AO528" s="1094"/>
      <c r="AP528" s="197"/>
      <c r="AQ528" s="197"/>
      <c r="AR528" s="197"/>
      <c r="AS528" s="197"/>
      <c r="AT528" s="198"/>
      <c r="AU528" s="194"/>
      <c r="AV528" s="194"/>
      <c r="AW528" s="194"/>
      <c r="AX528" s="194"/>
      <c r="AY528" s="198"/>
      <c r="AZ528" s="194"/>
      <c r="BA528" s="194"/>
      <c r="BB528" s="194"/>
      <c r="BC528" s="194"/>
      <c r="BD528" s="198"/>
      <c r="BE528" s="197"/>
      <c r="BF528" s="197"/>
      <c r="BG528" s="197"/>
      <c r="BH528" s="197"/>
      <c r="BI528" s="1094"/>
      <c r="BJ528" s="197"/>
      <c r="BK528" s="197"/>
      <c r="BL528" s="197"/>
      <c r="BM528" s="197"/>
      <c r="BN528" s="1094"/>
      <c r="BO528" s="197"/>
      <c r="BP528" s="197"/>
      <c r="BQ528" s="197"/>
      <c r="BR528" s="197"/>
      <c r="BS528" s="1094"/>
      <c r="BT528" s="727"/>
      <c r="BU528" s="197"/>
      <c r="BV528" s="197"/>
      <c r="BW528" s="197"/>
      <c r="BX528" s="1094"/>
      <c r="BY528" s="197"/>
      <c r="BZ528" s="197"/>
      <c r="CA528" s="197"/>
      <c r="CB528" s="197"/>
      <c r="CC528" s="1094"/>
      <c r="CD528" s="1094"/>
      <c r="CE528" s="1094"/>
      <c r="CF528" s="1094"/>
      <c r="CG528" s="349"/>
    </row>
    <row r="529" spans="1:85" s="613" customFormat="1" x14ac:dyDescent="0.3">
      <c r="A529" s="478" t="s">
        <v>1710</v>
      </c>
      <c r="B529" s="523"/>
      <c r="C529" s="78"/>
      <c r="D529" s="78"/>
      <c r="E529" s="78"/>
      <c r="F529" s="78"/>
      <c r="G529" s="774"/>
      <c r="H529" s="774"/>
      <c r="I529" s="774"/>
      <c r="J529" s="774"/>
      <c r="K529" s="78"/>
      <c r="L529" s="774"/>
      <c r="M529" s="774"/>
      <c r="N529" s="774"/>
      <c r="O529" s="774"/>
      <c r="P529" s="78"/>
      <c r="Q529" s="774"/>
      <c r="R529" s="774"/>
      <c r="S529" s="774"/>
      <c r="T529" s="774"/>
      <c r="U529" s="78"/>
      <c r="V529" s="774"/>
      <c r="W529" s="774"/>
      <c r="X529" s="774"/>
      <c r="Y529" s="774"/>
      <c r="Z529" s="78"/>
      <c r="AA529" s="774"/>
      <c r="AB529" s="774"/>
      <c r="AC529" s="774"/>
      <c r="AD529" s="774"/>
      <c r="AE529" s="78"/>
      <c r="AF529" s="774"/>
      <c r="AG529" s="774"/>
      <c r="AH529" s="774"/>
      <c r="AI529" s="774"/>
      <c r="AJ529" s="78"/>
      <c r="AK529" s="774"/>
      <c r="AL529" s="774"/>
      <c r="AM529" s="774"/>
      <c r="AN529" s="774"/>
      <c r="AO529" s="78"/>
      <c r="AP529" s="774"/>
      <c r="AQ529" s="774"/>
      <c r="AR529" s="774"/>
      <c r="AS529" s="774"/>
      <c r="AT529" s="1119">
        <v>8.2759999999999998</v>
      </c>
      <c r="AU529" s="774"/>
      <c r="AV529" s="774"/>
      <c r="AW529" s="774"/>
      <c r="AX529" s="774"/>
      <c r="AY529" s="1119">
        <v>8.2759999999999998</v>
      </c>
      <c r="AZ529" s="774"/>
      <c r="BA529" s="774"/>
      <c r="BB529" s="774"/>
      <c r="BC529" s="774"/>
      <c r="BD529" s="1119">
        <v>8.2759999999999998</v>
      </c>
      <c r="BE529" s="774"/>
      <c r="BF529" s="774"/>
      <c r="BG529" s="774"/>
      <c r="BH529" s="774"/>
      <c r="BI529" s="1119">
        <v>8.2759999999999998</v>
      </c>
      <c r="BJ529" s="774"/>
      <c r="BK529" s="774"/>
      <c r="BL529" s="774"/>
      <c r="BM529" s="774"/>
      <c r="BN529" s="1119">
        <v>8.2759999999999998</v>
      </c>
      <c r="BO529" s="774"/>
      <c r="BP529" s="774"/>
      <c r="BQ529" s="774"/>
      <c r="BR529" s="774"/>
      <c r="BS529" s="78"/>
      <c r="BT529" s="775"/>
      <c r="BU529" s="774"/>
      <c r="BV529" s="774"/>
      <c r="BW529" s="774"/>
      <c r="BX529" s="78"/>
      <c r="BY529" s="774"/>
      <c r="BZ529" s="774"/>
      <c r="CA529" s="774"/>
      <c r="CB529" s="774"/>
      <c r="CC529" s="78"/>
      <c r="CD529" s="78"/>
      <c r="CE529" s="78"/>
      <c r="CF529" s="78"/>
      <c r="CG529" s="532"/>
    </row>
    <row r="530" spans="1:85" s="615" customFormat="1" x14ac:dyDescent="0.3">
      <c r="A530" s="522" t="s">
        <v>1709</v>
      </c>
      <c r="B530" s="521"/>
      <c r="C530" s="1122"/>
      <c r="D530" s="1122"/>
      <c r="E530" s="1122"/>
      <c r="F530" s="1122"/>
      <c r="G530" s="520"/>
      <c r="H530" s="520"/>
      <c r="I530" s="520"/>
      <c r="J530" s="520"/>
      <c r="K530" s="1122"/>
      <c r="L530" s="520"/>
      <c r="M530" s="520"/>
      <c r="N530" s="520"/>
      <c r="O530" s="520"/>
      <c r="P530" s="1122"/>
      <c r="Q530" s="520"/>
      <c r="R530" s="520"/>
      <c r="S530" s="520"/>
      <c r="T530" s="520"/>
      <c r="U530" s="1122"/>
      <c r="V530" s="520"/>
      <c r="W530" s="520"/>
      <c r="X530" s="520"/>
      <c r="Y530" s="520"/>
      <c r="Z530" s="1122"/>
      <c r="AA530" s="520"/>
      <c r="AB530" s="520"/>
      <c r="AC530" s="520"/>
      <c r="AD530" s="520"/>
      <c r="AE530" s="1122"/>
      <c r="AF530" s="520"/>
      <c r="AG530" s="520"/>
      <c r="AH530" s="520"/>
      <c r="AI530" s="520"/>
      <c r="AJ530" s="1122"/>
      <c r="AK530" s="520"/>
      <c r="AL530" s="520"/>
      <c r="AM530" s="520"/>
      <c r="AN530" s="520"/>
      <c r="AO530" s="1122"/>
      <c r="AP530" s="520"/>
      <c r="AQ530" s="520"/>
      <c r="AR530" s="520"/>
      <c r="AS530" s="520"/>
      <c r="AT530" s="1123">
        <v>339.85</v>
      </c>
      <c r="AU530" s="526"/>
      <c r="AV530" s="526"/>
      <c r="AW530" s="526"/>
      <c r="AX530" s="526"/>
      <c r="AY530" s="1123">
        <v>339.85</v>
      </c>
      <c r="AZ530" s="526"/>
      <c r="BA530" s="526"/>
      <c r="BB530" s="526"/>
      <c r="BC530" s="526"/>
      <c r="BD530" s="1123">
        <v>339.85</v>
      </c>
      <c r="BE530" s="520"/>
      <c r="BF530" s="520"/>
      <c r="BG530" s="520"/>
      <c r="BH530" s="520"/>
      <c r="BI530" s="1123">
        <v>339.85</v>
      </c>
      <c r="BJ530" s="520"/>
      <c r="BK530" s="520"/>
      <c r="BL530" s="520"/>
      <c r="BM530" s="520"/>
      <c r="BN530" s="1123">
        <v>339.85</v>
      </c>
      <c r="BO530" s="520"/>
      <c r="BP530" s="520"/>
      <c r="BQ530" s="520"/>
      <c r="BR530" s="520"/>
      <c r="BS530" s="1124"/>
      <c r="BT530" s="728"/>
      <c r="BU530" s="520"/>
      <c r="BV530" s="520"/>
      <c r="BW530" s="520"/>
      <c r="BX530" s="1122"/>
      <c r="BY530" s="520"/>
      <c r="BZ530" s="520"/>
      <c r="CA530" s="520"/>
      <c r="CB530" s="520"/>
      <c r="CC530" s="1122"/>
      <c r="CD530" s="1122"/>
      <c r="CE530" s="1122"/>
      <c r="CF530" s="1122"/>
      <c r="CG530" s="519"/>
    </row>
    <row r="531" spans="1:85" s="614" customFormat="1" x14ac:dyDescent="0.3">
      <c r="A531" s="522"/>
      <c r="B531" s="352"/>
      <c r="C531" s="1094"/>
      <c r="D531" s="1094"/>
      <c r="E531" s="1094"/>
      <c r="F531" s="1094"/>
      <c r="G531" s="197"/>
      <c r="H531" s="197"/>
      <c r="I531" s="197"/>
      <c r="J531" s="197"/>
      <c r="K531" s="1094"/>
      <c r="L531" s="197"/>
      <c r="M531" s="197"/>
      <c r="N531" s="197"/>
      <c r="O531" s="197"/>
      <c r="P531" s="1094"/>
      <c r="Q531" s="197"/>
      <c r="R531" s="197"/>
      <c r="S531" s="197"/>
      <c r="T531" s="197"/>
      <c r="U531" s="1094"/>
      <c r="V531" s="197"/>
      <c r="W531" s="197"/>
      <c r="X531" s="197"/>
      <c r="Y531" s="197"/>
      <c r="Z531" s="1094"/>
      <c r="AA531" s="197"/>
      <c r="AB531" s="197"/>
      <c r="AC531" s="197"/>
      <c r="AD531" s="197"/>
      <c r="AE531" s="1094"/>
      <c r="AF531" s="197"/>
      <c r="AG531" s="197"/>
      <c r="AH531" s="197"/>
      <c r="AI531" s="197"/>
      <c r="AJ531" s="1094"/>
      <c r="AK531" s="197"/>
      <c r="AL531" s="197"/>
      <c r="AM531" s="197"/>
      <c r="AN531" s="197"/>
      <c r="AO531" s="1094"/>
      <c r="AP531" s="197"/>
      <c r="AQ531" s="197"/>
      <c r="AR531" s="197"/>
      <c r="AS531" s="197"/>
      <c r="AT531" s="198"/>
      <c r="AU531" s="194"/>
      <c r="AV531" s="194"/>
      <c r="AW531" s="194"/>
      <c r="AX531" s="194"/>
      <c r="AY531" s="198"/>
      <c r="AZ531" s="194"/>
      <c r="BA531" s="194"/>
      <c r="BB531" s="194"/>
      <c r="BC531" s="194"/>
      <c r="BD531" s="198"/>
      <c r="BE531" s="197"/>
      <c r="BF531" s="197"/>
      <c r="BG531" s="197"/>
      <c r="BH531" s="197"/>
      <c r="BI531" s="1094"/>
      <c r="BJ531" s="197"/>
      <c r="BK531" s="197"/>
      <c r="BL531" s="197"/>
      <c r="BM531" s="197"/>
      <c r="BN531" s="1094"/>
      <c r="BO531" s="197"/>
      <c r="BP531" s="197"/>
      <c r="BQ531" s="197"/>
      <c r="BR531" s="197"/>
      <c r="BS531" s="1094"/>
      <c r="BT531" s="727"/>
      <c r="BU531" s="197"/>
      <c r="BV531" s="197"/>
      <c r="BW531" s="197"/>
      <c r="BX531" s="1094"/>
      <c r="BY531" s="197"/>
      <c r="BZ531" s="197"/>
      <c r="CA531" s="197"/>
      <c r="CB531" s="197"/>
      <c r="CC531" s="1094"/>
      <c r="CD531" s="1094"/>
      <c r="CE531" s="1094"/>
      <c r="CF531" s="1094"/>
      <c r="CG531" s="349"/>
    </row>
    <row r="532" spans="1:85" s="613" customFormat="1" x14ac:dyDescent="0.3">
      <c r="A532" s="478" t="s">
        <v>1708</v>
      </c>
      <c r="B532" s="523"/>
      <c r="C532" s="78"/>
      <c r="D532" s="78"/>
      <c r="E532" s="78"/>
      <c r="F532" s="78"/>
      <c r="G532" s="774"/>
      <c r="H532" s="774"/>
      <c r="I532" s="774"/>
      <c r="J532" s="774"/>
      <c r="K532" s="78"/>
      <c r="L532" s="774"/>
      <c r="M532" s="774"/>
      <c r="N532" s="774"/>
      <c r="O532" s="774"/>
      <c r="P532" s="78"/>
      <c r="Q532" s="774"/>
      <c r="R532" s="774"/>
      <c r="S532" s="774"/>
      <c r="T532" s="774"/>
      <c r="U532" s="78"/>
      <c r="V532" s="774"/>
      <c r="W532" s="774"/>
      <c r="X532" s="774"/>
      <c r="Y532" s="774"/>
      <c r="Z532" s="78"/>
      <c r="AA532" s="774"/>
      <c r="AB532" s="774"/>
      <c r="AC532" s="774"/>
      <c r="AD532" s="774"/>
      <c r="AE532" s="78"/>
      <c r="AF532" s="774"/>
      <c r="AG532" s="774"/>
      <c r="AH532" s="774"/>
      <c r="AI532" s="774"/>
      <c r="AJ532" s="78"/>
      <c r="AK532" s="774"/>
      <c r="AL532" s="774"/>
      <c r="AM532" s="774"/>
      <c r="AN532" s="774"/>
      <c r="AO532" s="78"/>
      <c r="AP532" s="774"/>
      <c r="AQ532" s="774"/>
      <c r="AR532" s="774"/>
      <c r="AS532" s="774"/>
      <c r="AT532" s="1119">
        <v>7.8710000000000004</v>
      </c>
      <c r="AU532" s="774"/>
      <c r="AV532" s="774"/>
      <c r="AW532" s="774"/>
      <c r="AX532" s="774"/>
      <c r="AY532" s="1119">
        <v>7.8710000000000004</v>
      </c>
      <c r="AZ532" s="774"/>
      <c r="BA532" s="774"/>
      <c r="BB532" s="774"/>
      <c r="BC532" s="774"/>
      <c r="BD532" s="1119">
        <v>7.8710000000000004</v>
      </c>
      <c r="BE532" s="774"/>
      <c r="BF532" s="774"/>
      <c r="BG532" s="774"/>
      <c r="BH532" s="774"/>
      <c r="BI532" s="1119">
        <v>7.8710000000000004</v>
      </c>
      <c r="BJ532" s="774"/>
      <c r="BK532" s="774"/>
      <c r="BL532" s="774"/>
      <c r="BM532" s="774"/>
      <c r="BN532" s="1119">
        <v>7.8710000000000004</v>
      </c>
      <c r="BO532" s="774"/>
      <c r="BP532" s="774"/>
      <c r="BQ532" s="774"/>
      <c r="BR532" s="774"/>
      <c r="BS532" s="78"/>
      <c r="BT532" s="775"/>
      <c r="BU532" s="774"/>
      <c r="BV532" s="774"/>
      <c r="BW532" s="774"/>
      <c r="BX532" s="78"/>
      <c r="BY532" s="774"/>
      <c r="BZ532" s="774"/>
      <c r="CA532" s="774"/>
      <c r="CB532" s="774"/>
      <c r="CC532" s="78"/>
      <c r="CD532" s="78"/>
      <c r="CE532" s="78"/>
      <c r="CF532" s="78"/>
      <c r="CG532" s="532"/>
    </row>
    <row r="533" spans="1:85" s="615" customFormat="1" x14ac:dyDescent="0.3">
      <c r="A533" s="522" t="s">
        <v>1707</v>
      </c>
      <c r="B533" s="521"/>
      <c r="C533" s="1122"/>
      <c r="D533" s="1122"/>
      <c r="E533" s="1122"/>
      <c r="F533" s="1122"/>
      <c r="G533" s="520"/>
      <c r="H533" s="520"/>
      <c r="I533" s="520"/>
      <c r="J533" s="520"/>
      <c r="K533" s="1122"/>
      <c r="L533" s="520"/>
      <c r="M533" s="520"/>
      <c r="N533" s="520"/>
      <c r="O533" s="520"/>
      <c r="P533" s="1122"/>
      <c r="Q533" s="520"/>
      <c r="R533" s="520"/>
      <c r="S533" s="520"/>
      <c r="T533" s="520"/>
      <c r="U533" s="1122"/>
      <c r="V533" s="520"/>
      <c r="W533" s="520"/>
      <c r="X533" s="520"/>
      <c r="Y533" s="520"/>
      <c r="Z533" s="1122"/>
      <c r="AA533" s="520"/>
      <c r="AB533" s="520"/>
      <c r="AC533" s="520"/>
      <c r="AD533" s="520"/>
      <c r="AE533" s="1122"/>
      <c r="AF533" s="520"/>
      <c r="AG533" s="520"/>
      <c r="AH533" s="520"/>
      <c r="AI533" s="520"/>
      <c r="AJ533" s="1122"/>
      <c r="AK533" s="520"/>
      <c r="AL533" s="520"/>
      <c r="AM533" s="520"/>
      <c r="AN533" s="520"/>
      <c r="AO533" s="1122"/>
      <c r="AP533" s="520"/>
      <c r="AQ533" s="520"/>
      <c r="AR533" s="520"/>
      <c r="AS533" s="520"/>
      <c r="AT533" s="1123">
        <v>357.32</v>
      </c>
      <c r="AU533" s="526"/>
      <c r="AV533" s="526"/>
      <c r="AW533" s="526"/>
      <c r="AX533" s="526"/>
      <c r="AY533" s="1123">
        <v>357.32</v>
      </c>
      <c r="AZ533" s="526"/>
      <c r="BA533" s="526"/>
      <c r="BB533" s="526"/>
      <c r="BC533" s="526"/>
      <c r="BD533" s="1123">
        <v>357.32</v>
      </c>
      <c r="BE533" s="520"/>
      <c r="BF533" s="520"/>
      <c r="BG533" s="520"/>
      <c r="BH533" s="520"/>
      <c r="BI533" s="1123">
        <v>357.32</v>
      </c>
      <c r="BJ533" s="520"/>
      <c r="BK533" s="520"/>
      <c r="BL533" s="520"/>
      <c r="BM533" s="520"/>
      <c r="BN533" s="1123">
        <v>357.32</v>
      </c>
      <c r="BO533" s="520"/>
      <c r="BP533" s="520"/>
      <c r="BQ533" s="520"/>
      <c r="BR533" s="520"/>
      <c r="BS533" s="1124"/>
      <c r="BT533" s="728"/>
      <c r="BU533" s="520"/>
      <c r="BV533" s="520"/>
      <c r="BW533" s="520"/>
      <c r="BX533" s="1122"/>
      <c r="BY533" s="520"/>
      <c r="BZ533" s="520"/>
      <c r="CA533" s="520"/>
      <c r="CB533" s="520"/>
      <c r="CC533" s="1122"/>
      <c r="CD533" s="1122"/>
      <c r="CE533" s="1122"/>
      <c r="CF533" s="1122"/>
      <c r="CG533" s="519"/>
    </row>
    <row r="534" spans="1:85" s="614" customFormat="1" x14ac:dyDescent="0.3">
      <c r="A534" s="522"/>
      <c r="B534" s="352"/>
      <c r="C534" s="1094"/>
      <c r="D534" s="1094"/>
      <c r="E534" s="1094"/>
      <c r="F534" s="1094"/>
      <c r="G534" s="197"/>
      <c r="H534" s="197"/>
      <c r="I534" s="197"/>
      <c r="J534" s="197"/>
      <c r="K534" s="1094"/>
      <c r="L534" s="197"/>
      <c r="M534" s="197"/>
      <c r="N534" s="197"/>
      <c r="O534" s="197"/>
      <c r="P534" s="1094"/>
      <c r="Q534" s="197"/>
      <c r="R534" s="197"/>
      <c r="S534" s="197"/>
      <c r="T534" s="197"/>
      <c r="U534" s="1094"/>
      <c r="V534" s="197"/>
      <c r="W534" s="197"/>
      <c r="X534" s="197"/>
      <c r="Y534" s="197"/>
      <c r="Z534" s="1094"/>
      <c r="AA534" s="197"/>
      <c r="AB534" s="197"/>
      <c r="AC534" s="197"/>
      <c r="AD534" s="197"/>
      <c r="AE534" s="1094"/>
      <c r="AF534" s="197"/>
      <c r="AG534" s="197"/>
      <c r="AH534" s="197"/>
      <c r="AI534" s="197"/>
      <c r="AJ534" s="1094"/>
      <c r="AK534" s="197"/>
      <c r="AL534" s="197"/>
      <c r="AM534" s="197"/>
      <c r="AN534" s="197"/>
      <c r="AO534" s="1094"/>
      <c r="AP534" s="197"/>
      <c r="AQ534" s="197"/>
      <c r="AR534" s="197"/>
      <c r="AS534" s="197"/>
      <c r="AT534" s="198"/>
      <c r="AU534" s="194"/>
      <c r="AV534" s="194"/>
      <c r="AW534" s="194"/>
      <c r="AX534" s="194"/>
      <c r="AY534" s="198"/>
      <c r="AZ534" s="194"/>
      <c r="BA534" s="194"/>
      <c r="BB534" s="194"/>
      <c r="BC534" s="194"/>
      <c r="BD534" s="198"/>
      <c r="BE534" s="197"/>
      <c r="BF534" s="197"/>
      <c r="BG534" s="197"/>
      <c r="BH534" s="197"/>
      <c r="BI534" s="198"/>
      <c r="BJ534" s="197"/>
      <c r="BK534" s="197"/>
      <c r="BL534" s="197"/>
      <c r="BM534" s="197"/>
      <c r="BN534" s="198"/>
      <c r="BO534" s="197"/>
      <c r="BP534" s="197"/>
      <c r="BQ534" s="197"/>
      <c r="BR534" s="197"/>
      <c r="BS534" s="198"/>
      <c r="BT534" s="727"/>
      <c r="BU534" s="197"/>
      <c r="BV534" s="197"/>
      <c r="BW534" s="197"/>
      <c r="BX534" s="1094"/>
      <c r="BY534" s="197"/>
      <c r="BZ534" s="197"/>
      <c r="CA534" s="197"/>
      <c r="CB534" s="197"/>
      <c r="CC534" s="1094"/>
      <c r="CD534" s="1094"/>
      <c r="CE534" s="1094"/>
      <c r="CF534" s="1094"/>
      <c r="CG534" s="349"/>
    </row>
    <row r="535" spans="1:85" s="613" customFormat="1" x14ac:dyDescent="0.3">
      <c r="A535" s="478" t="s">
        <v>1706</v>
      </c>
      <c r="B535" s="523"/>
      <c r="C535" s="78"/>
      <c r="D535" s="78"/>
      <c r="E535" s="78"/>
      <c r="F535" s="78"/>
      <c r="G535" s="774"/>
      <c r="H535" s="774"/>
      <c r="I535" s="774"/>
      <c r="J535" s="774"/>
      <c r="K535" s="78"/>
      <c r="L535" s="774"/>
      <c r="M535" s="774"/>
      <c r="N535" s="774"/>
      <c r="O535" s="774"/>
      <c r="P535" s="78"/>
      <c r="Q535" s="774"/>
      <c r="R535" s="774"/>
      <c r="S535" s="774"/>
      <c r="T535" s="774"/>
      <c r="U535" s="78"/>
      <c r="V535" s="774"/>
      <c r="W535" s="774"/>
      <c r="X535" s="774"/>
      <c r="Y535" s="774"/>
      <c r="Z535" s="78"/>
      <c r="AA535" s="774"/>
      <c r="AB535" s="774"/>
      <c r="AC535" s="774"/>
      <c r="AD535" s="774"/>
      <c r="AE535" s="78"/>
      <c r="AF535" s="774"/>
      <c r="AG535" s="774"/>
      <c r="AH535" s="774"/>
      <c r="AI535" s="774"/>
      <c r="AJ535" s="78"/>
      <c r="AK535" s="774"/>
      <c r="AL535" s="774"/>
      <c r="AM535" s="774"/>
      <c r="AN535" s="774"/>
      <c r="AO535" s="78"/>
      <c r="AP535" s="774"/>
      <c r="AQ535" s="774"/>
      <c r="AR535" s="774"/>
      <c r="AS535" s="774"/>
      <c r="AT535" s="1119">
        <v>7.6639999999999997</v>
      </c>
      <c r="AU535" s="774"/>
      <c r="AV535" s="774"/>
      <c r="AW535" s="774"/>
      <c r="AX535" s="774"/>
      <c r="AY535" s="1119">
        <v>7.6639999999999997</v>
      </c>
      <c r="AZ535" s="774"/>
      <c r="BA535" s="774"/>
      <c r="BB535" s="774"/>
      <c r="BC535" s="774"/>
      <c r="BD535" s="1119">
        <v>7.6639999999999997</v>
      </c>
      <c r="BE535" s="774"/>
      <c r="BF535" s="774"/>
      <c r="BG535" s="774"/>
      <c r="BH535" s="774"/>
      <c r="BI535" s="1119">
        <v>7.6639999999999997</v>
      </c>
      <c r="BJ535" s="774"/>
      <c r="BK535" s="774"/>
      <c r="BL535" s="774"/>
      <c r="BM535" s="774"/>
      <c r="BN535" s="1119">
        <v>7.6639999999999997</v>
      </c>
      <c r="BO535" s="774"/>
      <c r="BP535" s="774"/>
      <c r="BQ535" s="774"/>
      <c r="BR535" s="774"/>
      <c r="BS535" s="78"/>
      <c r="BT535" s="775"/>
      <c r="BU535" s="774"/>
      <c r="BV535" s="774"/>
      <c r="BW535" s="774"/>
      <c r="BX535" s="78"/>
      <c r="BY535" s="774"/>
      <c r="BZ535" s="774"/>
      <c r="CA535" s="774"/>
      <c r="CB535" s="774"/>
      <c r="CC535" s="78"/>
      <c r="CD535" s="78"/>
      <c r="CE535" s="78"/>
      <c r="CF535" s="78"/>
      <c r="CG535" s="532"/>
    </row>
    <row r="536" spans="1:85" s="615" customFormat="1" x14ac:dyDescent="0.3">
      <c r="A536" s="522" t="s">
        <v>1705</v>
      </c>
      <c r="B536" s="521"/>
      <c r="C536" s="1122"/>
      <c r="D536" s="1122"/>
      <c r="E536" s="1122"/>
      <c r="F536" s="1122"/>
      <c r="G536" s="520"/>
      <c r="H536" s="520"/>
      <c r="I536" s="520"/>
      <c r="J536" s="520"/>
      <c r="K536" s="1122"/>
      <c r="L536" s="520"/>
      <c r="M536" s="520"/>
      <c r="N536" s="520"/>
      <c r="O536" s="520"/>
      <c r="P536" s="1122"/>
      <c r="Q536" s="520"/>
      <c r="R536" s="520"/>
      <c r="S536" s="520"/>
      <c r="T536" s="520"/>
      <c r="U536" s="1122"/>
      <c r="V536" s="520"/>
      <c r="W536" s="520"/>
      <c r="X536" s="520"/>
      <c r="Y536" s="520"/>
      <c r="Z536" s="1122"/>
      <c r="AA536" s="520"/>
      <c r="AB536" s="520"/>
      <c r="AC536" s="520"/>
      <c r="AD536" s="520"/>
      <c r="AE536" s="1122"/>
      <c r="AF536" s="520"/>
      <c r="AG536" s="520"/>
      <c r="AH536" s="520"/>
      <c r="AI536" s="520"/>
      <c r="AJ536" s="1122"/>
      <c r="AK536" s="520"/>
      <c r="AL536" s="520"/>
      <c r="AM536" s="520"/>
      <c r="AN536" s="520"/>
      <c r="AO536" s="1122"/>
      <c r="AP536" s="520"/>
      <c r="AQ536" s="520"/>
      <c r="AR536" s="520"/>
      <c r="AS536" s="520"/>
      <c r="AT536" s="1123">
        <v>366.96</v>
      </c>
      <c r="AU536" s="526"/>
      <c r="AV536" s="526"/>
      <c r="AW536" s="526"/>
      <c r="AX536" s="526"/>
      <c r="AY536" s="1123">
        <v>366.96</v>
      </c>
      <c r="AZ536" s="526"/>
      <c r="BA536" s="526"/>
      <c r="BB536" s="526"/>
      <c r="BC536" s="526"/>
      <c r="BD536" s="1123">
        <v>366.96</v>
      </c>
      <c r="BE536" s="520"/>
      <c r="BF536" s="520"/>
      <c r="BG536" s="520"/>
      <c r="BH536" s="520"/>
      <c r="BI536" s="1123">
        <v>366.96</v>
      </c>
      <c r="BJ536" s="520"/>
      <c r="BK536" s="520"/>
      <c r="BL536" s="520"/>
      <c r="BM536" s="520"/>
      <c r="BN536" s="1123">
        <v>366.96</v>
      </c>
      <c r="BO536" s="520"/>
      <c r="BP536" s="520"/>
      <c r="BQ536" s="520"/>
      <c r="BR536" s="520"/>
      <c r="BS536" s="1124"/>
      <c r="BT536" s="728"/>
      <c r="BU536" s="520"/>
      <c r="BV536" s="520"/>
      <c r="BW536" s="520"/>
      <c r="BX536" s="1122"/>
      <c r="BY536" s="520"/>
      <c r="BZ536" s="520"/>
      <c r="CA536" s="520"/>
      <c r="CB536" s="520"/>
      <c r="CC536" s="1122"/>
      <c r="CD536" s="1122"/>
      <c r="CE536" s="1122"/>
      <c r="CF536" s="1122"/>
      <c r="CG536" s="519"/>
    </row>
    <row r="537" spans="1:85" s="614" customFormat="1" x14ac:dyDescent="0.3">
      <c r="A537" s="522"/>
      <c r="B537" s="352"/>
      <c r="C537" s="1094"/>
      <c r="D537" s="1094"/>
      <c r="E537" s="1094"/>
      <c r="F537" s="1094"/>
      <c r="G537" s="197"/>
      <c r="H537" s="197"/>
      <c r="I537" s="197"/>
      <c r="J537" s="197"/>
      <c r="K537" s="1094"/>
      <c r="L537" s="197"/>
      <c r="M537" s="197"/>
      <c r="N537" s="197"/>
      <c r="O537" s="197"/>
      <c r="P537" s="1094"/>
      <c r="Q537" s="197"/>
      <c r="R537" s="197"/>
      <c r="S537" s="197"/>
      <c r="T537" s="197"/>
      <c r="U537" s="1094"/>
      <c r="V537" s="197"/>
      <c r="W537" s="197"/>
      <c r="X537" s="197"/>
      <c r="Y537" s="197"/>
      <c r="Z537" s="1094"/>
      <c r="AA537" s="197"/>
      <c r="AB537" s="197"/>
      <c r="AC537" s="197"/>
      <c r="AD537" s="197"/>
      <c r="AE537" s="1094"/>
      <c r="AF537" s="197"/>
      <c r="AG537" s="197"/>
      <c r="AH537" s="197"/>
      <c r="AI537" s="197"/>
      <c r="AJ537" s="1094"/>
      <c r="AK537" s="197"/>
      <c r="AL537" s="197"/>
      <c r="AM537" s="197"/>
      <c r="AN537" s="197"/>
      <c r="AO537" s="1094"/>
      <c r="AP537" s="197"/>
      <c r="AQ537" s="197"/>
      <c r="AR537" s="197"/>
      <c r="AS537" s="197"/>
      <c r="AT537" s="198"/>
      <c r="AU537" s="194"/>
      <c r="AV537" s="194"/>
      <c r="AW537" s="194"/>
      <c r="AX537" s="194"/>
      <c r="AY537" s="198"/>
      <c r="AZ537" s="194"/>
      <c r="BA537" s="194"/>
      <c r="BB537" s="194"/>
      <c r="BC537" s="194"/>
      <c r="BD537" s="198"/>
      <c r="BE537" s="197"/>
      <c r="BF537" s="197"/>
      <c r="BG537" s="197"/>
      <c r="BH537" s="197"/>
      <c r="BI537" s="198"/>
      <c r="BJ537" s="197"/>
      <c r="BK537" s="197"/>
      <c r="BL537" s="197"/>
      <c r="BM537" s="197"/>
      <c r="BN537" s="198"/>
      <c r="BO537" s="197"/>
      <c r="BP537" s="197"/>
      <c r="BQ537" s="197"/>
      <c r="BR537" s="197"/>
      <c r="BS537" s="198"/>
      <c r="BT537" s="727"/>
      <c r="BU537" s="197"/>
      <c r="BV537" s="197"/>
      <c r="BW537" s="197"/>
      <c r="BX537" s="1094"/>
      <c r="BY537" s="197"/>
      <c r="BZ537" s="197"/>
      <c r="CA537" s="197"/>
      <c r="CB537" s="197"/>
      <c r="CC537" s="1094"/>
      <c r="CD537" s="1094"/>
      <c r="CE537" s="1094"/>
      <c r="CF537" s="1094"/>
      <c r="CG537" s="349"/>
    </row>
    <row r="538" spans="1:85" s="613" customFormat="1" x14ac:dyDescent="0.3">
      <c r="A538" s="478" t="s">
        <v>1704</v>
      </c>
      <c r="B538" s="523"/>
      <c r="C538" s="78"/>
      <c r="D538" s="78"/>
      <c r="E538" s="78"/>
      <c r="F538" s="78"/>
      <c r="G538" s="774"/>
      <c r="H538" s="774"/>
      <c r="I538" s="774"/>
      <c r="J538" s="774"/>
      <c r="K538" s="78"/>
      <c r="L538" s="774"/>
      <c r="M538" s="774"/>
      <c r="N538" s="774"/>
      <c r="O538" s="774"/>
      <c r="P538" s="78"/>
      <c r="Q538" s="774"/>
      <c r="R538" s="774"/>
      <c r="S538" s="774"/>
      <c r="T538" s="774"/>
      <c r="U538" s="78"/>
      <c r="V538" s="774"/>
      <c r="W538" s="774"/>
      <c r="X538" s="774"/>
      <c r="Y538" s="774"/>
      <c r="Z538" s="78"/>
      <c r="AA538" s="774"/>
      <c r="AB538" s="774"/>
      <c r="AC538" s="774"/>
      <c r="AD538" s="774"/>
      <c r="AE538" s="78"/>
      <c r="AF538" s="774"/>
      <c r="AG538" s="774"/>
      <c r="AH538" s="774"/>
      <c r="AI538" s="774"/>
      <c r="AJ538" s="78"/>
      <c r="AK538" s="774"/>
      <c r="AL538" s="774"/>
      <c r="AM538" s="774"/>
      <c r="AN538" s="774"/>
      <c r="AO538" s="78"/>
      <c r="AP538" s="774"/>
      <c r="AQ538" s="774"/>
      <c r="AR538" s="774"/>
      <c r="AS538" s="774"/>
      <c r="AT538" s="1119">
        <v>7.4249999999999998</v>
      </c>
      <c r="AU538" s="774"/>
      <c r="AV538" s="774"/>
      <c r="AW538" s="774"/>
      <c r="AX538" s="774"/>
      <c r="AY538" s="1119">
        <v>7.4249999999999998</v>
      </c>
      <c r="AZ538" s="774"/>
      <c r="BA538" s="774"/>
      <c r="BB538" s="774"/>
      <c r="BC538" s="774"/>
      <c r="BD538" s="1119">
        <v>7.4249999999999998</v>
      </c>
      <c r="BE538" s="774"/>
      <c r="BF538" s="774"/>
      <c r="BG538" s="774"/>
      <c r="BH538" s="774"/>
      <c r="BI538" s="1119">
        <v>7.4249999999999998</v>
      </c>
      <c r="BJ538" s="774"/>
      <c r="BK538" s="774"/>
      <c r="BL538" s="774"/>
      <c r="BM538" s="774"/>
      <c r="BN538" s="1119">
        <v>7.4249999999999998</v>
      </c>
      <c r="BO538" s="774"/>
      <c r="BP538" s="774"/>
      <c r="BQ538" s="774"/>
      <c r="BR538" s="774"/>
      <c r="BS538" s="78"/>
      <c r="BT538" s="775"/>
      <c r="BU538" s="774"/>
      <c r="BV538" s="774"/>
      <c r="BW538" s="774"/>
      <c r="BX538" s="78"/>
      <c r="BY538" s="774"/>
      <c r="BZ538" s="774"/>
      <c r="CA538" s="774"/>
      <c r="CB538" s="774"/>
      <c r="CC538" s="78"/>
      <c r="CD538" s="78"/>
      <c r="CE538" s="78"/>
      <c r="CF538" s="78"/>
      <c r="CG538" s="532"/>
    </row>
    <row r="539" spans="1:85" s="615" customFormat="1" x14ac:dyDescent="0.3">
      <c r="A539" s="522" t="s">
        <v>1703</v>
      </c>
      <c r="B539" s="521"/>
      <c r="C539" s="1122"/>
      <c r="D539" s="1122"/>
      <c r="E539" s="1122"/>
      <c r="F539" s="1122"/>
      <c r="G539" s="520"/>
      <c r="H539" s="520"/>
      <c r="I539" s="520"/>
      <c r="J539" s="520"/>
      <c r="K539" s="1122"/>
      <c r="L539" s="520"/>
      <c r="M539" s="520"/>
      <c r="N539" s="520"/>
      <c r="O539" s="520"/>
      <c r="P539" s="1122"/>
      <c r="Q539" s="520"/>
      <c r="R539" s="520"/>
      <c r="S539" s="520"/>
      <c r="T539" s="520"/>
      <c r="U539" s="1122"/>
      <c r="V539" s="520"/>
      <c r="W539" s="520"/>
      <c r="X539" s="520"/>
      <c r="Y539" s="520"/>
      <c r="Z539" s="1122"/>
      <c r="AA539" s="520"/>
      <c r="AB539" s="520"/>
      <c r="AC539" s="520"/>
      <c r="AD539" s="520"/>
      <c r="AE539" s="1122"/>
      <c r="AF539" s="520"/>
      <c r="AG539" s="520"/>
      <c r="AH539" s="520"/>
      <c r="AI539" s="520"/>
      <c r="AJ539" s="1122"/>
      <c r="AK539" s="520"/>
      <c r="AL539" s="520"/>
      <c r="AM539" s="520"/>
      <c r="AN539" s="520"/>
      <c r="AO539" s="1122"/>
      <c r="AP539" s="520"/>
      <c r="AQ539" s="520"/>
      <c r="AR539" s="520"/>
      <c r="AS539" s="520"/>
      <c r="AT539" s="1123">
        <v>378.81</v>
      </c>
      <c r="AU539" s="526"/>
      <c r="AV539" s="526"/>
      <c r="AW539" s="526"/>
      <c r="AX539" s="526"/>
      <c r="AY539" s="1123">
        <v>378.81</v>
      </c>
      <c r="AZ539" s="526"/>
      <c r="BA539" s="526"/>
      <c r="BB539" s="526"/>
      <c r="BC539" s="526"/>
      <c r="BD539" s="1123">
        <v>378.81</v>
      </c>
      <c r="BE539" s="520"/>
      <c r="BF539" s="520"/>
      <c r="BG539" s="520"/>
      <c r="BH539" s="520"/>
      <c r="BI539" s="1123">
        <v>378.81</v>
      </c>
      <c r="BJ539" s="520"/>
      <c r="BK539" s="520"/>
      <c r="BL539" s="520"/>
      <c r="BM539" s="520"/>
      <c r="BN539" s="1123">
        <v>378.81</v>
      </c>
      <c r="BO539" s="520"/>
      <c r="BP539" s="520"/>
      <c r="BQ539" s="520"/>
      <c r="BR539" s="520"/>
      <c r="BS539" s="1124"/>
      <c r="BT539" s="728"/>
      <c r="BU539" s="520"/>
      <c r="BV539" s="520"/>
      <c r="BW539" s="520"/>
      <c r="BX539" s="1122"/>
      <c r="BY539" s="520"/>
      <c r="BZ539" s="520"/>
      <c r="CA539" s="520"/>
      <c r="CB539" s="520"/>
      <c r="CC539" s="1122"/>
      <c r="CD539" s="1122"/>
      <c r="CE539" s="1122"/>
      <c r="CF539" s="1122"/>
      <c r="CG539" s="519"/>
    </row>
    <row r="540" spans="1:85" s="614" customFormat="1" x14ac:dyDescent="0.3">
      <c r="A540" s="522"/>
      <c r="B540" s="352"/>
      <c r="C540" s="1094"/>
      <c r="D540" s="1094"/>
      <c r="E540" s="1094"/>
      <c r="F540" s="1094"/>
      <c r="G540" s="197"/>
      <c r="H540" s="197"/>
      <c r="I540" s="197"/>
      <c r="J540" s="197"/>
      <c r="K540" s="1094"/>
      <c r="L540" s="197"/>
      <c r="M540" s="197"/>
      <c r="N540" s="197"/>
      <c r="O540" s="197"/>
      <c r="P540" s="1094"/>
      <c r="Q540" s="197"/>
      <c r="R540" s="197"/>
      <c r="S540" s="197"/>
      <c r="T540" s="197"/>
      <c r="U540" s="1094"/>
      <c r="V540" s="197"/>
      <c r="W540" s="197"/>
      <c r="X540" s="197"/>
      <c r="Y540" s="197"/>
      <c r="Z540" s="1094"/>
      <c r="AA540" s="197"/>
      <c r="AB540" s="197"/>
      <c r="AC540" s="197"/>
      <c r="AD540" s="197"/>
      <c r="AE540" s="1094"/>
      <c r="AF540" s="197"/>
      <c r="AG540" s="197"/>
      <c r="AH540" s="197"/>
      <c r="AI540" s="197"/>
      <c r="AJ540" s="1094"/>
      <c r="AK540" s="197"/>
      <c r="AL540" s="197"/>
      <c r="AM540" s="197"/>
      <c r="AN540" s="197"/>
      <c r="AO540" s="1094"/>
      <c r="AP540" s="197"/>
      <c r="AQ540" s="197"/>
      <c r="AR540" s="197"/>
      <c r="AS540" s="197"/>
      <c r="AT540" s="198"/>
      <c r="AU540" s="194"/>
      <c r="AV540" s="194"/>
      <c r="AW540" s="194"/>
      <c r="AX540" s="194"/>
      <c r="AY540" s="198"/>
      <c r="AZ540" s="194"/>
      <c r="BA540" s="194"/>
      <c r="BB540" s="194"/>
      <c r="BC540" s="194"/>
      <c r="BD540" s="198"/>
      <c r="BE540" s="197"/>
      <c r="BF540" s="197"/>
      <c r="BG540" s="197"/>
      <c r="BH540" s="197"/>
      <c r="BI540" s="198"/>
      <c r="BJ540" s="197"/>
      <c r="BK540" s="197"/>
      <c r="BL540" s="197"/>
      <c r="BM540" s="197"/>
      <c r="BN540" s="198"/>
      <c r="BO540" s="197"/>
      <c r="BP540" s="197"/>
      <c r="BQ540" s="197"/>
      <c r="BR540" s="197"/>
      <c r="BS540" s="198"/>
      <c r="BT540" s="727"/>
      <c r="BU540" s="197"/>
      <c r="BV540" s="197"/>
      <c r="BW540" s="197"/>
      <c r="BX540" s="1094"/>
      <c r="BY540" s="197"/>
      <c r="BZ540" s="197"/>
      <c r="CA540" s="197"/>
      <c r="CB540" s="197"/>
      <c r="CC540" s="1094"/>
      <c r="CD540" s="1094"/>
      <c r="CE540" s="1094"/>
      <c r="CF540" s="1094"/>
      <c r="CG540" s="349"/>
    </row>
    <row r="541" spans="1:85" s="613" customFormat="1" x14ac:dyDescent="0.3">
      <c r="A541" s="478" t="s">
        <v>1702</v>
      </c>
      <c r="B541" s="523"/>
      <c r="C541" s="78"/>
      <c r="D541" s="78"/>
      <c r="E541" s="78"/>
      <c r="F541" s="78"/>
      <c r="G541" s="774"/>
      <c r="H541" s="774"/>
      <c r="I541" s="774"/>
      <c r="J541" s="774"/>
      <c r="K541" s="78"/>
      <c r="L541" s="774"/>
      <c r="M541" s="774"/>
      <c r="N541" s="774"/>
      <c r="O541" s="774"/>
      <c r="P541" s="78"/>
      <c r="Q541" s="774"/>
      <c r="R541" s="774"/>
      <c r="S541" s="774"/>
      <c r="T541" s="774"/>
      <c r="U541" s="78"/>
      <c r="V541" s="774"/>
      <c r="W541" s="774"/>
      <c r="X541" s="774"/>
      <c r="Y541" s="774"/>
      <c r="Z541" s="78"/>
      <c r="AA541" s="774"/>
      <c r="AB541" s="774"/>
      <c r="AC541" s="774"/>
      <c r="AD541" s="774"/>
      <c r="AE541" s="78"/>
      <c r="AF541" s="774"/>
      <c r="AG541" s="774"/>
      <c r="AH541" s="774"/>
      <c r="AI541" s="774"/>
      <c r="AJ541" s="78"/>
      <c r="AK541" s="774"/>
      <c r="AL541" s="774"/>
      <c r="AM541" s="774"/>
      <c r="AN541" s="774"/>
      <c r="AO541" s="78"/>
      <c r="AP541" s="774"/>
      <c r="AQ541" s="774"/>
      <c r="AR541" s="774"/>
      <c r="AS541" s="774"/>
      <c r="AT541" s="1119">
        <v>8.3550000000000004</v>
      </c>
      <c r="AU541" s="774"/>
      <c r="AV541" s="774"/>
      <c r="AW541" s="774"/>
      <c r="AX541" s="774"/>
      <c r="AY541" s="1119">
        <v>8.3550000000000004</v>
      </c>
      <c r="AZ541" s="774"/>
      <c r="BA541" s="774"/>
      <c r="BB541" s="774"/>
      <c r="BC541" s="774"/>
      <c r="BD541" s="1119">
        <v>8.3550000000000004</v>
      </c>
      <c r="BE541" s="774"/>
      <c r="BF541" s="774"/>
      <c r="BG541" s="774"/>
      <c r="BH541" s="774"/>
      <c r="BI541" s="1119">
        <v>8.3550000000000004</v>
      </c>
      <c r="BJ541" s="774"/>
      <c r="BK541" s="774"/>
      <c r="BL541" s="774"/>
      <c r="BM541" s="774"/>
      <c r="BN541" s="1119">
        <v>8.3550000000000004</v>
      </c>
      <c r="BO541" s="774"/>
      <c r="BP541" s="774"/>
      <c r="BQ541" s="774"/>
      <c r="BR541" s="774"/>
      <c r="BS541" s="78"/>
      <c r="BT541" s="775"/>
      <c r="BU541" s="774"/>
      <c r="BV541" s="774"/>
      <c r="BW541" s="774"/>
      <c r="BX541" s="78"/>
      <c r="BY541" s="774"/>
      <c r="BZ541" s="774"/>
      <c r="CA541" s="774"/>
      <c r="CB541" s="774"/>
      <c r="CC541" s="78"/>
      <c r="CD541" s="78"/>
      <c r="CE541" s="78"/>
      <c r="CF541" s="78"/>
      <c r="CG541" s="532"/>
    </row>
    <row r="542" spans="1:85" s="615" customFormat="1" x14ac:dyDescent="0.3">
      <c r="A542" s="522" t="s">
        <v>1701</v>
      </c>
      <c r="B542" s="521"/>
      <c r="C542" s="1122"/>
      <c r="D542" s="1122"/>
      <c r="E542" s="1122"/>
      <c r="F542" s="1122"/>
      <c r="G542" s="520"/>
      <c r="H542" s="520"/>
      <c r="I542" s="520"/>
      <c r="J542" s="520"/>
      <c r="K542" s="1122"/>
      <c r="L542" s="520"/>
      <c r="M542" s="520"/>
      <c r="N542" s="520"/>
      <c r="O542" s="520"/>
      <c r="P542" s="1122"/>
      <c r="Q542" s="520"/>
      <c r="R542" s="520"/>
      <c r="S542" s="520"/>
      <c r="T542" s="520"/>
      <c r="U542" s="1122"/>
      <c r="V542" s="520"/>
      <c r="W542" s="520"/>
      <c r="X542" s="520"/>
      <c r="Y542" s="520"/>
      <c r="Z542" s="1122"/>
      <c r="AA542" s="520"/>
      <c r="AB542" s="520"/>
      <c r="AC542" s="520"/>
      <c r="AD542" s="520"/>
      <c r="AE542" s="1122"/>
      <c r="AF542" s="520"/>
      <c r="AG542" s="520"/>
      <c r="AH542" s="520"/>
      <c r="AI542" s="520"/>
      <c r="AJ542" s="1122"/>
      <c r="AK542" s="520"/>
      <c r="AL542" s="520"/>
      <c r="AM542" s="520"/>
      <c r="AN542" s="520"/>
      <c r="AO542" s="1122"/>
      <c r="AP542" s="520"/>
      <c r="AQ542" s="520"/>
      <c r="AR542" s="520"/>
      <c r="AS542" s="520"/>
      <c r="AT542" s="1123">
        <v>336.63</v>
      </c>
      <c r="AU542" s="526"/>
      <c r="AV542" s="526"/>
      <c r="AW542" s="526"/>
      <c r="AX542" s="526"/>
      <c r="AY542" s="1123">
        <v>336.63</v>
      </c>
      <c r="AZ542" s="526"/>
      <c r="BA542" s="526"/>
      <c r="BB542" s="526"/>
      <c r="BC542" s="526"/>
      <c r="BD542" s="1123">
        <v>336.63</v>
      </c>
      <c r="BE542" s="520"/>
      <c r="BF542" s="520"/>
      <c r="BG542" s="520"/>
      <c r="BH542" s="520"/>
      <c r="BI542" s="1123">
        <v>336.63</v>
      </c>
      <c r="BJ542" s="520"/>
      <c r="BK542" s="520"/>
      <c r="BL542" s="520"/>
      <c r="BM542" s="520"/>
      <c r="BN542" s="1123">
        <v>336.63</v>
      </c>
      <c r="BO542" s="520"/>
      <c r="BP542" s="520"/>
      <c r="BQ542" s="520"/>
      <c r="BR542" s="520"/>
      <c r="BS542" s="1124"/>
      <c r="BT542" s="728"/>
      <c r="BU542" s="520"/>
      <c r="BV542" s="520"/>
      <c r="BW542" s="520"/>
      <c r="BX542" s="1122"/>
      <c r="BY542" s="520"/>
      <c r="BZ542" s="520"/>
      <c r="CA542" s="520"/>
      <c r="CB542" s="520"/>
      <c r="CC542" s="1122"/>
      <c r="CD542" s="1122"/>
      <c r="CE542" s="1122"/>
      <c r="CF542" s="1122"/>
      <c r="CG542" s="519"/>
    </row>
    <row r="543" spans="1:85" s="614" customFormat="1" x14ac:dyDescent="0.3">
      <c r="A543" s="522"/>
      <c r="B543" s="352"/>
      <c r="C543" s="1094"/>
      <c r="D543" s="1094"/>
      <c r="E543" s="1094"/>
      <c r="F543" s="1094"/>
      <c r="G543" s="197"/>
      <c r="H543" s="197"/>
      <c r="I543" s="197"/>
      <c r="J543" s="197"/>
      <c r="K543" s="1094"/>
      <c r="L543" s="197"/>
      <c r="M543" s="197"/>
      <c r="N543" s="197"/>
      <c r="O543" s="197"/>
      <c r="P543" s="1094"/>
      <c r="Q543" s="197"/>
      <c r="R543" s="197"/>
      <c r="S543" s="197"/>
      <c r="T543" s="197"/>
      <c r="U543" s="1094"/>
      <c r="V543" s="197"/>
      <c r="W543" s="197"/>
      <c r="X543" s="197"/>
      <c r="Y543" s="197"/>
      <c r="Z543" s="1094"/>
      <c r="AA543" s="197"/>
      <c r="AB543" s="197"/>
      <c r="AC543" s="197"/>
      <c r="AD543" s="197"/>
      <c r="AE543" s="1094"/>
      <c r="AF543" s="197"/>
      <c r="AG543" s="197"/>
      <c r="AH543" s="197"/>
      <c r="AI543" s="197"/>
      <c r="AJ543" s="1094"/>
      <c r="AK543" s="197"/>
      <c r="AL543" s="197"/>
      <c r="AM543" s="197"/>
      <c r="AN543" s="197"/>
      <c r="AO543" s="1094"/>
      <c r="AP543" s="197"/>
      <c r="AQ543" s="197"/>
      <c r="AR543" s="197"/>
      <c r="AS543" s="197"/>
      <c r="AT543" s="198"/>
      <c r="AU543" s="194"/>
      <c r="AV543" s="194"/>
      <c r="AW543" s="194"/>
      <c r="AX543" s="194"/>
      <c r="AY543" s="198"/>
      <c r="AZ543" s="194"/>
      <c r="BA543" s="194"/>
      <c r="BB543" s="194"/>
      <c r="BC543" s="194"/>
      <c r="BD543" s="198"/>
      <c r="BE543" s="197"/>
      <c r="BF543" s="197"/>
      <c r="BG543" s="197"/>
      <c r="BH543" s="197"/>
      <c r="BI543" s="198"/>
      <c r="BJ543" s="197"/>
      <c r="BK543" s="197"/>
      <c r="BL543" s="197"/>
      <c r="BM543" s="197"/>
      <c r="BN543" s="198"/>
      <c r="BO543" s="197"/>
      <c r="BP543" s="197"/>
      <c r="BQ543" s="197"/>
      <c r="BR543" s="197"/>
      <c r="BS543" s="198"/>
      <c r="BT543" s="727"/>
      <c r="BU543" s="197"/>
      <c r="BV543" s="197"/>
      <c r="BW543" s="197"/>
      <c r="BX543" s="1094"/>
      <c r="BY543" s="197"/>
      <c r="BZ543" s="197"/>
      <c r="CA543" s="197"/>
      <c r="CB543" s="197"/>
      <c r="CC543" s="1094"/>
      <c r="CD543" s="1094"/>
      <c r="CE543" s="1094"/>
      <c r="CF543" s="1094"/>
      <c r="CG543" s="349"/>
    </row>
    <row r="544" spans="1:85" s="613" customFormat="1" x14ac:dyDescent="0.3">
      <c r="A544" s="478" t="s">
        <v>1700</v>
      </c>
      <c r="B544" s="523"/>
      <c r="C544" s="78"/>
      <c r="D544" s="78"/>
      <c r="E544" s="78"/>
      <c r="F544" s="78"/>
      <c r="G544" s="774"/>
      <c r="H544" s="774"/>
      <c r="I544" s="774"/>
      <c r="J544" s="774"/>
      <c r="K544" s="78"/>
      <c r="L544" s="774"/>
      <c r="M544" s="774"/>
      <c r="N544" s="774"/>
      <c r="O544" s="774"/>
      <c r="P544" s="78"/>
      <c r="Q544" s="774"/>
      <c r="R544" s="774"/>
      <c r="S544" s="774"/>
      <c r="T544" s="774"/>
      <c r="U544" s="78"/>
      <c r="V544" s="774"/>
      <c r="W544" s="774"/>
      <c r="X544" s="774"/>
      <c r="Y544" s="774"/>
      <c r="Z544" s="78"/>
      <c r="AA544" s="774"/>
      <c r="AB544" s="774"/>
      <c r="AC544" s="774"/>
      <c r="AD544" s="774"/>
      <c r="AE544" s="78"/>
      <c r="AF544" s="774"/>
      <c r="AG544" s="774"/>
      <c r="AH544" s="774"/>
      <c r="AI544" s="774"/>
      <c r="AJ544" s="78"/>
      <c r="AK544" s="774"/>
      <c r="AL544" s="774"/>
      <c r="AM544" s="774"/>
      <c r="AN544" s="774"/>
      <c r="AO544" s="78"/>
      <c r="AP544" s="774"/>
      <c r="AQ544" s="774"/>
      <c r="AR544" s="774"/>
      <c r="AS544" s="774"/>
      <c r="AT544" s="1119">
        <v>7.508</v>
      </c>
      <c r="AU544" s="774"/>
      <c r="AV544" s="774"/>
      <c r="AW544" s="774"/>
      <c r="AX544" s="774"/>
      <c r="AY544" s="1119">
        <v>7.508</v>
      </c>
      <c r="AZ544" s="774"/>
      <c r="BA544" s="774"/>
      <c r="BB544" s="774"/>
      <c r="BC544" s="774"/>
      <c r="BD544" s="1119">
        <v>7.508</v>
      </c>
      <c r="BE544" s="774"/>
      <c r="BF544" s="774"/>
      <c r="BG544" s="774"/>
      <c r="BH544" s="774"/>
      <c r="BI544" s="1119">
        <v>7.508</v>
      </c>
      <c r="BJ544" s="774"/>
      <c r="BK544" s="774"/>
      <c r="BL544" s="774"/>
      <c r="BM544" s="774"/>
      <c r="BN544" s="1119">
        <v>7.508</v>
      </c>
      <c r="BO544" s="774"/>
      <c r="BP544" s="774"/>
      <c r="BQ544" s="774"/>
      <c r="BR544" s="774"/>
      <c r="BS544" s="78"/>
      <c r="BT544" s="775"/>
      <c r="BU544" s="774"/>
      <c r="BV544" s="774"/>
      <c r="BW544" s="774"/>
      <c r="BX544" s="78"/>
      <c r="BY544" s="774"/>
      <c r="BZ544" s="774"/>
      <c r="CA544" s="774"/>
      <c r="CB544" s="774"/>
      <c r="CC544" s="78"/>
      <c r="CD544" s="78"/>
      <c r="CE544" s="78"/>
      <c r="CF544" s="78"/>
      <c r="CG544" s="532"/>
    </row>
    <row r="545" spans="1:85" s="615" customFormat="1" x14ac:dyDescent="0.3">
      <c r="A545" s="522" t="s">
        <v>1699</v>
      </c>
      <c r="B545" s="521"/>
      <c r="C545" s="1122"/>
      <c r="D545" s="1122"/>
      <c r="E545" s="1122"/>
      <c r="F545" s="1122"/>
      <c r="G545" s="520"/>
      <c r="H545" s="520"/>
      <c r="I545" s="520"/>
      <c r="J545" s="520"/>
      <c r="K545" s="1122"/>
      <c r="L545" s="520"/>
      <c r="M545" s="520"/>
      <c r="N545" s="520"/>
      <c r="O545" s="520"/>
      <c r="P545" s="1122"/>
      <c r="Q545" s="520"/>
      <c r="R545" s="520"/>
      <c r="S545" s="520"/>
      <c r="T545" s="520"/>
      <c r="U545" s="1122"/>
      <c r="V545" s="520"/>
      <c r="W545" s="520"/>
      <c r="X545" s="520"/>
      <c r="Y545" s="520"/>
      <c r="Z545" s="1122"/>
      <c r="AA545" s="520"/>
      <c r="AB545" s="520"/>
      <c r="AC545" s="520"/>
      <c r="AD545" s="520"/>
      <c r="AE545" s="1122"/>
      <c r="AF545" s="520"/>
      <c r="AG545" s="520"/>
      <c r="AH545" s="520"/>
      <c r="AI545" s="520"/>
      <c r="AJ545" s="1122"/>
      <c r="AK545" s="520"/>
      <c r="AL545" s="520"/>
      <c r="AM545" s="520"/>
      <c r="AN545" s="520"/>
      <c r="AO545" s="1122"/>
      <c r="AP545" s="520"/>
      <c r="AQ545" s="520"/>
      <c r="AR545" s="520"/>
      <c r="AS545" s="520"/>
      <c r="AT545" s="1123">
        <v>374.6</v>
      </c>
      <c r="AU545" s="526"/>
      <c r="AV545" s="526"/>
      <c r="AW545" s="526"/>
      <c r="AX545" s="526"/>
      <c r="AY545" s="1123">
        <v>374.6</v>
      </c>
      <c r="AZ545" s="526"/>
      <c r="BA545" s="526"/>
      <c r="BB545" s="526"/>
      <c r="BC545" s="526"/>
      <c r="BD545" s="1123">
        <v>374.6</v>
      </c>
      <c r="BE545" s="520"/>
      <c r="BF545" s="520"/>
      <c r="BG545" s="520"/>
      <c r="BH545" s="520"/>
      <c r="BI545" s="1123">
        <v>374.6</v>
      </c>
      <c r="BJ545" s="520"/>
      <c r="BK545" s="520"/>
      <c r="BL545" s="520"/>
      <c r="BM545" s="520"/>
      <c r="BN545" s="1123">
        <v>374.6</v>
      </c>
      <c r="BO545" s="520"/>
      <c r="BP545" s="520"/>
      <c r="BQ545" s="520"/>
      <c r="BR545" s="520"/>
      <c r="BS545" s="1124"/>
      <c r="BT545" s="728"/>
      <c r="BU545" s="520"/>
      <c r="BV545" s="520"/>
      <c r="BW545" s="520"/>
      <c r="BX545" s="1122"/>
      <c r="BY545" s="520"/>
      <c r="BZ545" s="520"/>
      <c r="CA545" s="520"/>
      <c r="CB545" s="520"/>
      <c r="CC545" s="1122"/>
      <c r="CD545" s="1122"/>
      <c r="CE545" s="1122"/>
      <c r="CF545" s="1122"/>
      <c r="CG545" s="519"/>
    </row>
    <row r="546" spans="1:85" s="614" customFormat="1" x14ac:dyDescent="0.3">
      <c r="A546" s="522"/>
      <c r="B546" s="352"/>
      <c r="C546" s="1094"/>
      <c r="D546" s="1094"/>
      <c r="E546" s="1094"/>
      <c r="F546" s="1094"/>
      <c r="G546" s="197"/>
      <c r="H546" s="197"/>
      <c r="I546" s="197"/>
      <c r="J546" s="197"/>
      <c r="K546" s="1094"/>
      <c r="L546" s="197"/>
      <c r="M546" s="197"/>
      <c r="N546" s="197"/>
      <c r="O546" s="197"/>
      <c r="P546" s="1094"/>
      <c r="Q546" s="197"/>
      <c r="R546" s="197"/>
      <c r="S546" s="197"/>
      <c r="T546" s="197"/>
      <c r="U546" s="1094"/>
      <c r="V546" s="197"/>
      <c r="W546" s="197"/>
      <c r="X546" s="197"/>
      <c r="Y546" s="197"/>
      <c r="Z546" s="1094"/>
      <c r="AA546" s="197"/>
      <c r="AB546" s="197"/>
      <c r="AC546" s="197"/>
      <c r="AD546" s="197"/>
      <c r="AE546" s="1094"/>
      <c r="AF546" s="197"/>
      <c r="AG546" s="197"/>
      <c r="AH546" s="197"/>
      <c r="AI546" s="197"/>
      <c r="AJ546" s="1094"/>
      <c r="AK546" s="197"/>
      <c r="AL546" s="197"/>
      <c r="AM546" s="197"/>
      <c r="AN546" s="197"/>
      <c r="AO546" s="1094"/>
      <c r="AP546" s="197"/>
      <c r="AQ546" s="197"/>
      <c r="AR546" s="197"/>
      <c r="AS546" s="197"/>
      <c r="AT546" s="198"/>
      <c r="AU546" s="194"/>
      <c r="AV546" s="194"/>
      <c r="AW546" s="194"/>
      <c r="AX546" s="194"/>
      <c r="AY546" s="198"/>
      <c r="AZ546" s="194"/>
      <c r="BA546" s="194"/>
      <c r="BB546" s="194"/>
      <c r="BC546" s="194"/>
      <c r="BD546" s="198"/>
      <c r="BE546" s="197"/>
      <c r="BF546" s="197"/>
      <c r="BG546" s="197"/>
      <c r="BH546" s="197"/>
      <c r="BI546" s="198"/>
      <c r="BJ546" s="197"/>
      <c r="BK546" s="197"/>
      <c r="BL546" s="197"/>
      <c r="BM546" s="197"/>
      <c r="BN546" s="198"/>
      <c r="BO546" s="197"/>
      <c r="BP546" s="197"/>
      <c r="BQ546" s="197"/>
      <c r="BR546" s="197"/>
      <c r="BS546" s="198"/>
      <c r="BT546" s="727"/>
      <c r="BU546" s="197"/>
      <c r="BV546" s="197"/>
      <c r="BW546" s="197"/>
      <c r="BX546" s="1094"/>
      <c r="BY546" s="197"/>
      <c r="BZ546" s="197"/>
      <c r="CA546" s="197"/>
      <c r="CB546" s="197"/>
      <c r="CC546" s="1094"/>
      <c r="CD546" s="1094"/>
      <c r="CE546" s="1094"/>
      <c r="CF546" s="1094"/>
      <c r="CG546" s="349"/>
    </row>
    <row r="547" spans="1:85" s="613" customFormat="1" x14ac:dyDescent="0.3">
      <c r="A547" s="478" t="s">
        <v>1698</v>
      </c>
      <c r="B547" s="523"/>
      <c r="C547" s="78"/>
      <c r="D547" s="78"/>
      <c r="E547" s="78"/>
      <c r="F547" s="78"/>
      <c r="G547" s="774"/>
      <c r="H547" s="774"/>
      <c r="I547" s="774"/>
      <c r="J547" s="774"/>
      <c r="K547" s="78"/>
      <c r="L547" s="774"/>
      <c r="M547" s="774"/>
      <c r="N547" s="774"/>
      <c r="O547" s="774"/>
      <c r="P547" s="78"/>
      <c r="Q547" s="774"/>
      <c r="R547" s="774"/>
      <c r="S547" s="774"/>
      <c r="T547" s="774"/>
      <c r="U547" s="78"/>
      <c r="V547" s="774"/>
      <c r="W547" s="774"/>
      <c r="X547" s="774"/>
      <c r="Y547" s="774"/>
      <c r="Z547" s="78"/>
      <c r="AA547" s="774"/>
      <c r="AB547" s="774"/>
      <c r="AC547" s="774"/>
      <c r="AD547" s="774"/>
      <c r="AE547" s="78"/>
      <c r="AF547" s="774"/>
      <c r="AG547" s="774"/>
      <c r="AH547" s="774"/>
      <c r="AI547" s="774"/>
      <c r="AJ547" s="78"/>
      <c r="AK547" s="774"/>
      <c r="AL547" s="774"/>
      <c r="AM547" s="774"/>
      <c r="AN547" s="774"/>
      <c r="AO547" s="78"/>
      <c r="AP547" s="774"/>
      <c r="AQ547" s="774"/>
      <c r="AR547" s="774"/>
      <c r="AS547" s="774"/>
      <c r="AT547" s="1119">
        <v>8.8019999999999996</v>
      </c>
      <c r="AU547" s="774"/>
      <c r="AV547" s="774"/>
      <c r="AW547" s="774"/>
      <c r="AX547" s="774"/>
      <c r="AY547" s="1119">
        <v>8.8019999999999996</v>
      </c>
      <c r="AZ547" s="774"/>
      <c r="BA547" s="774"/>
      <c r="BB547" s="774"/>
      <c r="BC547" s="774"/>
      <c r="BD547" s="1119">
        <v>8.8019999999999996</v>
      </c>
      <c r="BE547" s="774"/>
      <c r="BF547" s="774"/>
      <c r="BG547" s="774"/>
      <c r="BH547" s="774"/>
      <c r="BI547" s="1119">
        <v>8.8019999999999996</v>
      </c>
      <c r="BJ547" s="774"/>
      <c r="BK547" s="774"/>
      <c r="BL547" s="774"/>
      <c r="BM547" s="774"/>
      <c r="BN547" s="1119">
        <v>8.8019999999999996</v>
      </c>
      <c r="BO547" s="774"/>
      <c r="BP547" s="774"/>
      <c r="BQ547" s="774"/>
      <c r="BR547" s="774"/>
      <c r="BS547" s="78"/>
      <c r="BT547" s="775"/>
      <c r="BU547" s="774"/>
      <c r="BV547" s="774"/>
      <c r="BW547" s="774"/>
      <c r="BX547" s="78"/>
      <c r="BY547" s="774"/>
      <c r="BZ547" s="774"/>
      <c r="CA547" s="774"/>
      <c r="CB547" s="774"/>
      <c r="CC547" s="78"/>
      <c r="CD547" s="78"/>
      <c r="CE547" s="78"/>
      <c r="CF547" s="78"/>
      <c r="CG547" s="532"/>
    </row>
    <row r="548" spans="1:85" s="615" customFormat="1" x14ac:dyDescent="0.3">
      <c r="A548" s="522" t="s">
        <v>1697</v>
      </c>
      <c r="B548" s="521"/>
      <c r="C548" s="1122"/>
      <c r="D548" s="1122"/>
      <c r="E548" s="1122"/>
      <c r="F548" s="1122"/>
      <c r="G548" s="520"/>
      <c r="H548" s="520"/>
      <c r="I548" s="520"/>
      <c r="J548" s="520"/>
      <c r="K548" s="1122"/>
      <c r="L548" s="520"/>
      <c r="M548" s="520"/>
      <c r="N548" s="520"/>
      <c r="O548" s="520"/>
      <c r="P548" s="1122"/>
      <c r="Q548" s="520"/>
      <c r="R548" s="520"/>
      <c r="S548" s="520"/>
      <c r="T548" s="520"/>
      <c r="U548" s="1122"/>
      <c r="V548" s="520"/>
      <c r="W548" s="520"/>
      <c r="X548" s="520"/>
      <c r="Y548" s="520"/>
      <c r="Z548" s="1122"/>
      <c r="AA548" s="520"/>
      <c r="AB548" s="520"/>
      <c r="AC548" s="520"/>
      <c r="AD548" s="520"/>
      <c r="AE548" s="1122"/>
      <c r="AF548" s="520"/>
      <c r="AG548" s="520"/>
      <c r="AH548" s="520"/>
      <c r="AI548" s="520"/>
      <c r="AJ548" s="1122"/>
      <c r="AK548" s="520"/>
      <c r="AL548" s="520"/>
      <c r="AM548" s="520"/>
      <c r="AN548" s="520"/>
      <c r="AO548" s="1122"/>
      <c r="AP548" s="520"/>
      <c r="AQ548" s="520"/>
      <c r="AR548" s="520"/>
      <c r="AS548" s="520"/>
      <c r="AT548" s="1123">
        <v>319.5</v>
      </c>
      <c r="AU548" s="526"/>
      <c r="AV548" s="526"/>
      <c r="AW548" s="526"/>
      <c r="AX548" s="526"/>
      <c r="AY548" s="1123">
        <v>319.5</v>
      </c>
      <c r="AZ548" s="526"/>
      <c r="BA548" s="526"/>
      <c r="BB548" s="526"/>
      <c r="BC548" s="526"/>
      <c r="BD548" s="1123">
        <v>319.5</v>
      </c>
      <c r="BE548" s="520"/>
      <c r="BF548" s="520"/>
      <c r="BG548" s="520"/>
      <c r="BH548" s="520"/>
      <c r="BI548" s="1123">
        <v>319.5</v>
      </c>
      <c r="BJ548" s="520"/>
      <c r="BK548" s="520"/>
      <c r="BL548" s="520"/>
      <c r="BM548" s="520"/>
      <c r="BN548" s="1123">
        <v>319.5</v>
      </c>
      <c r="BO548" s="520"/>
      <c r="BP548" s="520"/>
      <c r="BQ548" s="520"/>
      <c r="BR548" s="520"/>
      <c r="BS548" s="1124"/>
      <c r="BT548" s="728"/>
      <c r="BU548" s="520"/>
      <c r="BV548" s="520"/>
      <c r="BW548" s="520"/>
      <c r="BX548" s="1122"/>
      <c r="BY548" s="520"/>
      <c r="BZ548" s="520"/>
      <c r="CA548" s="520"/>
      <c r="CB548" s="520"/>
      <c r="CC548" s="1122"/>
      <c r="CD548" s="1122"/>
      <c r="CE548" s="1122"/>
      <c r="CF548" s="1122"/>
      <c r="CG548" s="519"/>
    </row>
    <row r="549" spans="1:85" s="614" customFormat="1" x14ac:dyDescent="0.3">
      <c r="A549" s="522"/>
      <c r="B549" s="352"/>
      <c r="C549" s="1094"/>
      <c r="D549" s="1094"/>
      <c r="E549" s="1094"/>
      <c r="F549" s="1094"/>
      <c r="G549" s="197"/>
      <c r="H549" s="197"/>
      <c r="I549" s="197"/>
      <c r="J549" s="197"/>
      <c r="K549" s="1094"/>
      <c r="L549" s="197"/>
      <c r="M549" s="197"/>
      <c r="N549" s="197"/>
      <c r="O549" s="197"/>
      <c r="P549" s="1094"/>
      <c r="Q549" s="197"/>
      <c r="R549" s="197"/>
      <c r="S549" s="197"/>
      <c r="T549" s="197"/>
      <c r="U549" s="1094"/>
      <c r="V549" s="197"/>
      <c r="W549" s="197"/>
      <c r="X549" s="197"/>
      <c r="Y549" s="197"/>
      <c r="Z549" s="1094"/>
      <c r="AA549" s="197"/>
      <c r="AB549" s="197"/>
      <c r="AC549" s="197"/>
      <c r="AD549" s="197"/>
      <c r="AE549" s="1094"/>
      <c r="AF549" s="197"/>
      <c r="AG549" s="197"/>
      <c r="AH549" s="197"/>
      <c r="AI549" s="197"/>
      <c r="AJ549" s="1094"/>
      <c r="AK549" s="197"/>
      <c r="AL549" s="197"/>
      <c r="AM549" s="197"/>
      <c r="AN549" s="197"/>
      <c r="AO549" s="1094"/>
      <c r="AP549" s="197"/>
      <c r="AQ549" s="197"/>
      <c r="AR549" s="197"/>
      <c r="AS549" s="197"/>
      <c r="AT549" s="198"/>
      <c r="AU549" s="194"/>
      <c r="AV549" s="194"/>
      <c r="AW549" s="194"/>
      <c r="AX549" s="194"/>
      <c r="AY549" s="198"/>
      <c r="AZ549" s="194"/>
      <c r="BA549" s="194"/>
      <c r="BB549" s="194"/>
      <c r="BC549" s="194"/>
      <c r="BD549" s="198"/>
      <c r="BE549" s="197"/>
      <c r="BF549" s="197"/>
      <c r="BG549" s="197"/>
      <c r="BH549" s="197"/>
      <c r="BI549" s="1094"/>
      <c r="BJ549" s="197"/>
      <c r="BK549" s="197"/>
      <c r="BL549" s="197"/>
      <c r="BM549" s="197"/>
      <c r="BN549" s="1094"/>
      <c r="BO549" s="197"/>
      <c r="BP549" s="197"/>
      <c r="BQ549" s="197"/>
      <c r="BR549" s="197"/>
      <c r="BS549" s="1094"/>
      <c r="BT549" s="727"/>
      <c r="BU549" s="197"/>
      <c r="BV549" s="197"/>
      <c r="BW549" s="197"/>
      <c r="BX549" s="1094"/>
      <c r="BY549" s="197"/>
      <c r="BZ549" s="197"/>
      <c r="CA549" s="197"/>
      <c r="CB549" s="197"/>
      <c r="CC549" s="1094"/>
      <c r="CD549" s="1094"/>
      <c r="CE549" s="1094"/>
      <c r="CF549" s="1094"/>
      <c r="CG549" s="349"/>
    </row>
    <row r="550" spans="1:85" s="613" customFormat="1" x14ac:dyDescent="0.3">
      <c r="A550" s="478" t="s">
        <v>1696</v>
      </c>
      <c r="B550" s="523"/>
      <c r="C550" s="78"/>
      <c r="D550" s="78"/>
      <c r="E550" s="78"/>
      <c r="F550" s="78"/>
      <c r="G550" s="774"/>
      <c r="H550" s="774"/>
      <c r="I550" s="774"/>
      <c r="J550" s="774"/>
      <c r="K550" s="78"/>
      <c r="L550" s="774"/>
      <c r="M550" s="774"/>
      <c r="N550" s="774"/>
      <c r="O550" s="774"/>
      <c r="P550" s="78"/>
      <c r="Q550" s="774"/>
      <c r="R550" s="774"/>
      <c r="S550" s="774"/>
      <c r="T550" s="774"/>
      <c r="U550" s="78"/>
      <c r="V550" s="774"/>
      <c r="W550" s="774"/>
      <c r="X550" s="774"/>
      <c r="Y550" s="774"/>
      <c r="Z550" s="78"/>
      <c r="AA550" s="774"/>
      <c r="AB550" s="774"/>
      <c r="AC550" s="774"/>
      <c r="AD550" s="774"/>
      <c r="AE550" s="78"/>
      <c r="AF550" s="774"/>
      <c r="AG550" s="774"/>
      <c r="AH550" s="774"/>
      <c r="AI550" s="774"/>
      <c r="AJ550" s="78"/>
      <c r="AK550" s="774"/>
      <c r="AL550" s="774"/>
      <c r="AM550" s="774"/>
      <c r="AN550" s="774"/>
      <c r="AO550" s="78"/>
      <c r="AP550" s="774"/>
      <c r="AQ550" s="774"/>
      <c r="AR550" s="774"/>
      <c r="AS550" s="774"/>
      <c r="AT550" s="1119">
        <v>9.7230000000000008</v>
      </c>
      <c r="AU550" s="774"/>
      <c r="AV550" s="774"/>
      <c r="AW550" s="774"/>
      <c r="AX550" s="774"/>
      <c r="AY550" s="78"/>
      <c r="AZ550" s="774"/>
      <c r="BA550" s="774"/>
      <c r="BB550" s="774"/>
      <c r="BC550" s="774"/>
      <c r="BD550" s="78"/>
      <c r="BE550" s="774"/>
      <c r="BF550" s="774"/>
      <c r="BG550" s="774"/>
      <c r="BH550" s="774"/>
      <c r="BI550" s="78"/>
      <c r="BJ550" s="774"/>
      <c r="BK550" s="774"/>
      <c r="BL550" s="774"/>
      <c r="BM550" s="774"/>
      <c r="BN550" s="78"/>
      <c r="BO550" s="774"/>
      <c r="BP550" s="774"/>
      <c r="BQ550" s="774"/>
      <c r="BR550" s="774"/>
      <c r="BS550" s="78"/>
      <c r="BT550" s="775"/>
      <c r="BU550" s="774"/>
      <c r="BV550" s="774"/>
      <c r="BW550" s="774"/>
      <c r="BX550" s="78"/>
      <c r="BY550" s="774"/>
      <c r="BZ550" s="774"/>
      <c r="CA550" s="774"/>
      <c r="CB550" s="774"/>
      <c r="CC550" s="78"/>
      <c r="CD550" s="78"/>
      <c r="CE550" s="78"/>
      <c r="CF550" s="78"/>
      <c r="CG550" s="532"/>
    </row>
    <row r="551" spans="1:85" s="615" customFormat="1" x14ac:dyDescent="0.3">
      <c r="A551" s="522" t="s">
        <v>1695</v>
      </c>
      <c r="B551" s="521"/>
      <c r="C551" s="1122"/>
      <c r="D551" s="1122"/>
      <c r="E551" s="1122"/>
      <c r="F551" s="1122"/>
      <c r="G551" s="520"/>
      <c r="H551" s="520"/>
      <c r="I551" s="520"/>
      <c r="J551" s="520"/>
      <c r="K551" s="1122"/>
      <c r="L551" s="520"/>
      <c r="M551" s="520"/>
      <c r="N551" s="520"/>
      <c r="O551" s="520"/>
      <c r="P551" s="1122"/>
      <c r="Q551" s="520"/>
      <c r="R551" s="520"/>
      <c r="S551" s="520"/>
      <c r="T551" s="520"/>
      <c r="U551" s="1122"/>
      <c r="V551" s="520"/>
      <c r="W551" s="520"/>
      <c r="X551" s="520"/>
      <c r="Y551" s="520"/>
      <c r="Z551" s="1122"/>
      <c r="AA551" s="520"/>
      <c r="AB551" s="520"/>
      <c r="AC551" s="520"/>
      <c r="AD551" s="520"/>
      <c r="AE551" s="1122"/>
      <c r="AF551" s="520"/>
      <c r="AG551" s="520"/>
      <c r="AH551" s="520"/>
      <c r="AI551" s="520"/>
      <c r="AJ551" s="1122"/>
      <c r="AK551" s="520"/>
      <c r="AL551" s="520"/>
      <c r="AM551" s="520"/>
      <c r="AN551" s="520"/>
      <c r="AO551" s="1122"/>
      <c r="AP551" s="520"/>
      <c r="AQ551" s="520"/>
      <c r="AR551" s="520"/>
      <c r="AS551" s="520"/>
      <c r="AT551" s="1123">
        <v>289.29000000000002</v>
      </c>
      <c r="AU551" s="526"/>
      <c r="AV551" s="526"/>
      <c r="AW551" s="526"/>
      <c r="AX551" s="526"/>
      <c r="AY551" s="1124"/>
      <c r="AZ551" s="526"/>
      <c r="BA551" s="526"/>
      <c r="BB551" s="526"/>
      <c r="BC551" s="526"/>
      <c r="BD551" s="1124"/>
      <c r="BE551" s="520"/>
      <c r="BF551" s="520"/>
      <c r="BG551" s="520"/>
      <c r="BH551" s="520"/>
      <c r="BI551" s="1122"/>
      <c r="BJ551" s="520"/>
      <c r="BK551" s="520"/>
      <c r="BL551" s="520"/>
      <c r="BM551" s="520"/>
      <c r="BN551" s="1122"/>
      <c r="BO551" s="520"/>
      <c r="BP551" s="520"/>
      <c r="BQ551" s="520"/>
      <c r="BR551" s="520"/>
      <c r="BS551" s="1122"/>
      <c r="BT551" s="728"/>
      <c r="BU551" s="520"/>
      <c r="BV551" s="520"/>
      <c r="BW551" s="520"/>
      <c r="BX551" s="1122"/>
      <c r="BY551" s="520"/>
      <c r="BZ551" s="520"/>
      <c r="CA551" s="520"/>
      <c r="CB551" s="520"/>
      <c r="CC551" s="1122"/>
      <c r="CD551" s="1122"/>
      <c r="CE551" s="1122"/>
      <c r="CF551" s="1122"/>
      <c r="CG551" s="519"/>
    </row>
    <row r="552" spans="1:85" s="614" customFormat="1" x14ac:dyDescent="0.3">
      <c r="A552" s="522"/>
      <c r="B552" s="352"/>
      <c r="C552" s="1094"/>
      <c r="D552" s="1094"/>
      <c r="E552" s="1094"/>
      <c r="F552" s="1094"/>
      <c r="G552" s="197"/>
      <c r="H552" s="197"/>
      <c r="I552" s="197"/>
      <c r="J552" s="197"/>
      <c r="K552" s="1094"/>
      <c r="L552" s="197"/>
      <c r="M552" s="197"/>
      <c r="N552" s="197"/>
      <c r="O552" s="197"/>
      <c r="P552" s="1094"/>
      <c r="Q552" s="197"/>
      <c r="R552" s="197"/>
      <c r="S552" s="197"/>
      <c r="T552" s="197"/>
      <c r="U552" s="1094"/>
      <c r="V552" s="197"/>
      <c r="W552" s="197"/>
      <c r="X552" s="197"/>
      <c r="Y552" s="197"/>
      <c r="Z552" s="1094"/>
      <c r="AA552" s="197"/>
      <c r="AB552" s="197"/>
      <c r="AC552" s="197"/>
      <c r="AD552" s="197"/>
      <c r="AE552" s="1094"/>
      <c r="AF552" s="197"/>
      <c r="AG552" s="197"/>
      <c r="AH552" s="197"/>
      <c r="AI552" s="197"/>
      <c r="AJ552" s="1094"/>
      <c r="AK552" s="197"/>
      <c r="AL552" s="197"/>
      <c r="AM552" s="197"/>
      <c r="AN552" s="197"/>
      <c r="AO552" s="1094"/>
      <c r="AP552" s="197"/>
      <c r="AQ552" s="197"/>
      <c r="AR552" s="197"/>
      <c r="AS552" s="197"/>
      <c r="AT552" s="198"/>
      <c r="AU552" s="194"/>
      <c r="AV552" s="194"/>
      <c r="AW552" s="194"/>
      <c r="AX552" s="194"/>
      <c r="AY552" s="198"/>
      <c r="AZ552" s="194"/>
      <c r="BA552" s="194"/>
      <c r="BB552" s="194"/>
      <c r="BC552" s="194"/>
      <c r="BD552" s="198"/>
      <c r="BE552" s="197"/>
      <c r="BF552" s="197"/>
      <c r="BG552" s="197"/>
      <c r="BH552" s="197"/>
      <c r="BI552" s="1094"/>
      <c r="BJ552" s="197"/>
      <c r="BK552" s="197"/>
      <c r="BL552" s="197"/>
      <c r="BM552" s="197"/>
      <c r="BN552" s="1094"/>
      <c r="BO552" s="197"/>
      <c r="BP552" s="197"/>
      <c r="BQ552" s="197"/>
      <c r="BR552" s="197"/>
      <c r="BS552" s="1094"/>
      <c r="BT552" s="727"/>
      <c r="BU552" s="197"/>
      <c r="BV552" s="197"/>
      <c r="BW552" s="197"/>
      <c r="BX552" s="1094"/>
      <c r="BY552" s="197"/>
      <c r="BZ552" s="197"/>
      <c r="CA552" s="197"/>
      <c r="CB552" s="197"/>
      <c r="CC552" s="1094"/>
      <c r="CD552" s="1094"/>
      <c r="CE552" s="1094"/>
      <c r="CF552" s="1094"/>
      <c r="CG552" s="349"/>
    </row>
    <row r="553" spans="1:85" s="613" customFormat="1" x14ac:dyDescent="0.3">
      <c r="A553" s="478" t="s">
        <v>1694</v>
      </c>
      <c r="B553" s="523"/>
      <c r="C553" s="78"/>
      <c r="D553" s="78"/>
      <c r="E553" s="78"/>
      <c r="F553" s="78"/>
      <c r="G553" s="774"/>
      <c r="H553" s="774"/>
      <c r="I553" s="774"/>
      <c r="J553" s="774"/>
      <c r="K553" s="78"/>
      <c r="L553" s="774"/>
      <c r="M553" s="774"/>
      <c r="N553" s="774"/>
      <c r="O553" s="774"/>
      <c r="P553" s="78"/>
      <c r="Q553" s="774"/>
      <c r="R553" s="774"/>
      <c r="S553" s="774"/>
      <c r="T553" s="774"/>
      <c r="U553" s="78"/>
      <c r="V553" s="774"/>
      <c r="W553" s="774"/>
      <c r="X553" s="774"/>
      <c r="Y553" s="774"/>
      <c r="Z553" s="78"/>
      <c r="AA553" s="774"/>
      <c r="AB553" s="774"/>
      <c r="AC553" s="774"/>
      <c r="AD553" s="774"/>
      <c r="AE553" s="78"/>
      <c r="AF553" s="774"/>
      <c r="AG553" s="774"/>
      <c r="AH553" s="774"/>
      <c r="AI553" s="774"/>
      <c r="AJ553" s="78"/>
      <c r="AK553" s="774"/>
      <c r="AL553" s="774"/>
      <c r="AM553" s="774"/>
      <c r="AN553" s="774"/>
      <c r="AO553" s="78"/>
      <c r="AP553" s="774"/>
      <c r="AQ553" s="774"/>
      <c r="AR553" s="774"/>
      <c r="AS553" s="774"/>
      <c r="AT553" s="1119">
        <v>10.433</v>
      </c>
      <c r="AU553" s="774"/>
      <c r="AV553" s="774"/>
      <c r="AW553" s="774"/>
      <c r="AX553" s="774"/>
      <c r="AY553" s="78"/>
      <c r="AZ553" s="774"/>
      <c r="BA553" s="774"/>
      <c r="BB553" s="774"/>
      <c r="BC553" s="774"/>
      <c r="BD553" s="78"/>
      <c r="BE553" s="774"/>
      <c r="BF553" s="774"/>
      <c r="BG553" s="774"/>
      <c r="BH553" s="774"/>
      <c r="BI553" s="78"/>
      <c r="BJ553" s="774"/>
      <c r="BK553" s="774"/>
      <c r="BL553" s="774"/>
      <c r="BM553" s="774"/>
      <c r="BN553" s="78"/>
      <c r="BO553" s="774"/>
      <c r="BP553" s="774"/>
      <c r="BQ553" s="774"/>
      <c r="BR553" s="774"/>
      <c r="BS553" s="78"/>
      <c r="BT553" s="775"/>
      <c r="BU553" s="774"/>
      <c r="BV553" s="774"/>
      <c r="BW553" s="774"/>
      <c r="BX553" s="78"/>
      <c r="BY553" s="774"/>
      <c r="BZ553" s="774"/>
      <c r="CA553" s="774"/>
      <c r="CB553" s="774"/>
      <c r="CC553" s="78"/>
      <c r="CD553" s="78"/>
      <c r="CE553" s="78"/>
      <c r="CF553" s="78"/>
      <c r="CG553" s="532"/>
    </row>
    <row r="554" spans="1:85" s="615" customFormat="1" x14ac:dyDescent="0.3">
      <c r="A554" s="522" t="s">
        <v>1693</v>
      </c>
      <c r="B554" s="521"/>
      <c r="C554" s="1122"/>
      <c r="D554" s="1122"/>
      <c r="E554" s="1122"/>
      <c r="F554" s="1122"/>
      <c r="G554" s="520"/>
      <c r="H554" s="520"/>
      <c r="I554" s="520"/>
      <c r="J554" s="520"/>
      <c r="K554" s="1122"/>
      <c r="L554" s="520"/>
      <c r="M554" s="520"/>
      <c r="N554" s="520"/>
      <c r="O554" s="520"/>
      <c r="P554" s="1122"/>
      <c r="Q554" s="520"/>
      <c r="R554" s="520"/>
      <c r="S554" s="520"/>
      <c r="T554" s="520"/>
      <c r="U554" s="1122"/>
      <c r="V554" s="520"/>
      <c r="W554" s="520"/>
      <c r="X554" s="520"/>
      <c r="Y554" s="520"/>
      <c r="Z554" s="1122"/>
      <c r="AA554" s="520"/>
      <c r="AB554" s="520"/>
      <c r="AC554" s="520"/>
      <c r="AD554" s="520"/>
      <c r="AE554" s="1122"/>
      <c r="AF554" s="520"/>
      <c r="AG554" s="520"/>
      <c r="AH554" s="520"/>
      <c r="AI554" s="520"/>
      <c r="AJ554" s="1122"/>
      <c r="AK554" s="520"/>
      <c r="AL554" s="520"/>
      <c r="AM554" s="520"/>
      <c r="AN554" s="520"/>
      <c r="AO554" s="1122"/>
      <c r="AP554" s="520"/>
      <c r="AQ554" s="520"/>
      <c r="AR554" s="520"/>
      <c r="AS554" s="520"/>
      <c r="AT554" s="1123">
        <v>269.58</v>
      </c>
      <c r="AU554" s="526"/>
      <c r="AV554" s="526"/>
      <c r="AW554" s="526"/>
      <c r="AX554" s="526"/>
      <c r="AY554" s="1124"/>
      <c r="AZ554" s="526"/>
      <c r="BA554" s="526"/>
      <c r="BB554" s="526"/>
      <c r="BC554" s="526"/>
      <c r="BD554" s="1124"/>
      <c r="BE554" s="520"/>
      <c r="BF554" s="520"/>
      <c r="BG554" s="520"/>
      <c r="BH554" s="520"/>
      <c r="BI554" s="1122"/>
      <c r="BJ554" s="520"/>
      <c r="BK554" s="520"/>
      <c r="BL554" s="520"/>
      <c r="BM554" s="520"/>
      <c r="BN554" s="1122"/>
      <c r="BO554" s="520"/>
      <c r="BP554" s="520"/>
      <c r="BQ554" s="520"/>
      <c r="BR554" s="520"/>
      <c r="BS554" s="1122"/>
      <c r="BT554" s="728"/>
      <c r="BU554" s="520"/>
      <c r="BV554" s="520"/>
      <c r="BW554" s="520"/>
      <c r="BX554" s="1122"/>
      <c r="BY554" s="520"/>
      <c r="BZ554" s="520"/>
      <c r="CA554" s="520"/>
      <c r="CB554" s="520"/>
      <c r="CC554" s="1122"/>
      <c r="CD554" s="1122"/>
      <c r="CE554" s="1122"/>
      <c r="CF554" s="1122"/>
      <c r="CG554" s="519"/>
    </row>
    <row r="555" spans="1:85" s="614" customFormat="1" x14ac:dyDescent="0.3">
      <c r="A555" s="522"/>
      <c r="B555" s="352"/>
      <c r="C555" s="1094"/>
      <c r="D555" s="1094"/>
      <c r="E555" s="1094"/>
      <c r="F555" s="1094"/>
      <c r="G555" s="197"/>
      <c r="H555" s="197"/>
      <c r="I555" s="197"/>
      <c r="J555" s="197"/>
      <c r="K555" s="1094"/>
      <c r="L555" s="197"/>
      <c r="M555" s="197"/>
      <c r="N555" s="197"/>
      <c r="O555" s="197"/>
      <c r="P555" s="1094"/>
      <c r="Q555" s="197"/>
      <c r="R555" s="197"/>
      <c r="S555" s="197"/>
      <c r="T555" s="197"/>
      <c r="U555" s="1094"/>
      <c r="V555" s="197"/>
      <c r="W555" s="197"/>
      <c r="X555" s="197"/>
      <c r="Y555" s="197"/>
      <c r="Z555" s="1094"/>
      <c r="AA555" s="197"/>
      <c r="AB555" s="197"/>
      <c r="AC555" s="197"/>
      <c r="AD555" s="197"/>
      <c r="AE555" s="1094"/>
      <c r="AF555" s="197"/>
      <c r="AG555" s="197"/>
      <c r="AH555" s="197"/>
      <c r="AI555" s="197"/>
      <c r="AJ555" s="1094"/>
      <c r="AK555" s="197"/>
      <c r="AL555" s="197"/>
      <c r="AM555" s="197"/>
      <c r="AN555" s="197"/>
      <c r="AO555" s="1094"/>
      <c r="AP555" s="197"/>
      <c r="AQ555" s="197"/>
      <c r="AR555" s="197"/>
      <c r="AS555" s="197"/>
      <c r="AT555" s="198"/>
      <c r="AU555" s="194"/>
      <c r="AV555" s="194"/>
      <c r="AW555" s="194"/>
      <c r="AX555" s="194"/>
      <c r="AY555" s="198"/>
      <c r="AZ555" s="194"/>
      <c r="BA555" s="194"/>
      <c r="BB555" s="194"/>
      <c r="BC555" s="194"/>
      <c r="BD555" s="198"/>
      <c r="BE555" s="197"/>
      <c r="BF555" s="197"/>
      <c r="BG555" s="197"/>
      <c r="BH555" s="197"/>
      <c r="BI555" s="1094"/>
      <c r="BJ555" s="197"/>
      <c r="BK555" s="197"/>
      <c r="BL555" s="197"/>
      <c r="BM555" s="197"/>
      <c r="BN555" s="1094"/>
      <c r="BO555" s="197"/>
      <c r="BP555" s="197"/>
      <c r="BQ555" s="197"/>
      <c r="BR555" s="197"/>
      <c r="BS555" s="1094"/>
      <c r="BT555" s="727"/>
      <c r="BU555" s="197"/>
      <c r="BV555" s="197"/>
      <c r="BW555" s="197"/>
      <c r="BX555" s="1094"/>
      <c r="BY555" s="197"/>
      <c r="BZ555" s="197"/>
      <c r="CA555" s="197"/>
      <c r="CB555" s="197"/>
      <c r="CC555" s="1094"/>
      <c r="CD555" s="1094"/>
      <c r="CE555" s="1094"/>
      <c r="CF555" s="1094"/>
      <c r="CG555" s="349"/>
    </row>
    <row r="556" spans="1:85" s="613" customFormat="1" x14ac:dyDescent="0.3">
      <c r="A556" s="478" t="s">
        <v>1692</v>
      </c>
      <c r="B556" s="523"/>
      <c r="C556" s="78"/>
      <c r="D556" s="78"/>
      <c r="E556" s="78"/>
      <c r="F556" s="78"/>
      <c r="G556" s="774"/>
      <c r="H556" s="774"/>
      <c r="I556" s="774"/>
      <c r="J556" s="774"/>
      <c r="K556" s="78"/>
      <c r="L556" s="774"/>
      <c r="M556" s="774"/>
      <c r="N556" s="774"/>
      <c r="O556" s="774"/>
      <c r="P556" s="78"/>
      <c r="Q556" s="774"/>
      <c r="R556" s="774"/>
      <c r="S556" s="774"/>
      <c r="T556" s="774"/>
      <c r="U556" s="78"/>
      <c r="V556" s="774"/>
      <c r="W556" s="774"/>
      <c r="X556" s="774"/>
      <c r="Y556" s="774"/>
      <c r="Z556" s="78"/>
      <c r="AA556" s="774"/>
      <c r="AB556" s="774"/>
      <c r="AC556" s="774"/>
      <c r="AD556" s="774"/>
      <c r="AE556" s="78"/>
      <c r="AF556" s="774"/>
      <c r="AG556" s="774"/>
      <c r="AH556" s="774"/>
      <c r="AI556" s="774"/>
      <c r="AJ556" s="78"/>
      <c r="AK556" s="774"/>
      <c r="AL556" s="774"/>
      <c r="AM556" s="774"/>
      <c r="AN556" s="774"/>
      <c r="AO556" s="78"/>
      <c r="AP556" s="774"/>
      <c r="AQ556" s="774"/>
      <c r="AR556" s="774"/>
      <c r="AS556" s="774"/>
      <c r="AT556" s="1119">
        <v>9.8059999999999992</v>
      </c>
      <c r="AU556" s="774"/>
      <c r="AV556" s="774"/>
      <c r="AW556" s="774"/>
      <c r="AX556" s="774"/>
      <c r="AY556" s="78"/>
      <c r="AZ556" s="774"/>
      <c r="BA556" s="774"/>
      <c r="BB556" s="774"/>
      <c r="BC556" s="774"/>
      <c r="BD556" s="78"/>
      <c r="BE556" s="774"/>
      <c r="BF556" s="774"/>
      <c r="BG556" s="774"/>
      <c r="BH556" s="774"/>
      <c r="BI556" s="78"/>
      <c r="BJ556" s="774"/>
      <c r="BK556" s="774"/>
      <c r="BL556" s="774"/>
      <c r="BM556" s="774"/>
      <c r="BN556" s="78"/>
      <c r="BO556" s="774"/>
      <c r="BP556" s="774"/>
      <c r="BQ556" s="774"/>
      <c r="BR556" s="774"/>
      <c r="BS556" s="78"/>
      <c r="BT556" s="775"/>
      <c r="BU556" s="774"/>
      <c r="BV556" s="774"/>
      <c r="BW556" s="774"/>
      <c r="BX556" s="78"/>
      <c r="BY556" s="774"/>
      <c r="BZ556" s="774"/>
      <c r="CA556" s="774"/>
      <c r="CB556" s="774"/>
      <c r="CC556" s="78"/>
      <c r="CD556" s="78"/>
      <c r="CE556" s="78"/>
      <c r="CF556" s="78"/>
      <c r="CG556" s="532"/>
    </row>
    <row r="557" spans="1:85" s="615" customFormat="1" x14ac:dyDescent="0.3">
      <c r="A557" s="522" t="s">
        <v>1691</v>
      </c>
      <c r="B557" s="521"/>
      <c r="C557" s="1122"/>
      <c r="D557" s="1122"/>
      <c r="E557" s="1122"/>
      <c r="F557" s="1122"/>
      <c r="G557" s="520"/>
      <c r="H557" s="520"/>
      <c r="I557" s="520"/>
      <c r="J557" s="520"/>
      <c r="K557" s="1122"/>
      <c r="L557" s="520"/>
      <c r="M557" s="520"/>
      <c r="N557" s="520"/>
      <c r="O557" s="520"/>
      <c r="P557" s="1122"/>
      <c r="Q557" s="520"/>
      <c r="R557" s="520"/>
      <c r="S557" s="520"/>
      <c r="T557" s="520"/>
      <c r="U557" s="1122"/>
      <c r="V557" s="520"/>
      <c r="W557" s="520"/>
      <c r="X557" s="520"/>
      <c r="Y557" s="520"/>
      <c r="Z557" s="1122"/>
      <c r="AA557" s="520"/>
      <c r="AB557" s="520"/>
      <c r="AC557" s="520"/>
      <c r="AD557" s="520"/>
      <c r="AE557" s="1122"/>
      <c r="AF557" s="520"/>
      <c r="AG557" s="520"/>
      <c r="AH557" s="520"/>
      <c r="AI557" s="520"/>
      <c r="AJ557" s="1122"/>
      <c r="AK557" s="520"/>
      <c r="AL557" s="520"/>
      <c r="AM557" s="520"/>
      <c r="AN557" s="520"/>
      <c r="AO557" s="1122"/>
      <c r="AP557" s="520"/>
      <c r="AQ557" s="520"/>
      <c r="AR557" s="520"/>
      <c r="AS557" s="520"/>
      <c r="AT557" s="1123">
        <v>286.81</v>
      </c>
      <c r="AU557" s="526"/>
      <c r="AV557" s="526"/>
      <c r="AW557" s="526"/>
      <c r="AX557" s="526"/>
      <c r="AY557" s="1124"/>
      <c r="AZ557" s="526"/>
      <c r="BA557" s="526"/>
      <c r="BB557" s="526"/>
      <c r="BC557" s="526"/>
      <c r="BD557" s="1124"/>
      <c r="BE557" s="520"/>
      <c r="BF557" s="520"/>
      <c r="BG557" s="520"/>
      <c r="BH557" s="520"/>
      <c r="BI557" s="1122"/>
      <c r="BJ557" s="520"/>
      <c r="BK557" s="520"/>
      <c r="BL557" s="520"/>
      <c r="BM557" s="520"/>
      <c r="BN557" s="1122"/>
      <c r="BO557" s="520"/>
      <c r="BP557" s="520"/>
      <c r="BQ557" s="520"/>
      <c r="BR557" s="520"/>
      <c r="BS557" s="1122"/>
      <c r="BT557" s="728"/>
      <c r="BU557" s="520"/>
      <c r="BV557" s="520"/>
      <c r="BW557" s="520"/>
      <c r="BX557" s="1122"/>
      <c r="BY557" s="520"/>
      <c r="BZ557" s="520"/>
      <c r="CA557" s="520"/>
      <c r="CB557" s="520"/>
      <c r="CC557" s="1122"/>
      <c r="CD557" s="1122"/>
      <c r="CE557" s="1122"/>
      <c r="CF557" s="1122"/>
      <c r="CG557" s="519"/>
    </row>
    <row r="558" spans="1:85" s="614" customFormat="1" x14ac:dyDescent="0.3">
      <c r="A558" s="522"/>
      <c r="B558" s="352"/>
      <c r="C558" s="1094"/>
      <c r="D558" s="1094"/>
      <c r="E558" s="1094"/>
      <c r="F558" s="1094"/>
      <c r="G558" s="197"/>
      <c r="H558" s="197"/>
      <c r="I558" s="197"/>
      <c r="J558" s="197"/>
      <c r="K558" s="1094"/>
      <c r="L558" s="197"/>
      <c r="M558" s="197"/>
      <c r="N558" s="197"/>
      <c r="O558" s="197"/>
      <c r="P558" s="1094"/>
      <c r="Q558" s="197"/>
      <c r="R558" s="197"/>
      <c r="S558" s="197"/>
      <c r="T558" s="197"/>
      <c r="U558" s="1094"/>
      <c r="V558" s="197"/>
      <c r="W558" s="197"/>
      <c r="X558" s="197"/>
      <c r="Y558" s="197"/>
      <c r="Z558" s="1094"/>
      <c r="AA558" s="197"/>
      <c r="AB558" s="197"/>
      <c r="AC558" s="197"/>
      <c r="AD558" s="197"/>
      <c r="AE558" s="1094"/>
      <c r="AF558" s="197"/>
      <c r="AG558" s="197"/>
      <c r="AH558" s="197"/>
      <c r="AI558" s="197"/>
      <c r="AJ558" s="1094"/>
      <c r="AK558" s="197"/>
      <c r="AL558" s="197"/>
      <c r="AM558" s="197"/>
      <c r="AN558" s="197"/>
      <c r="AO558" s="1094"/>
      <c r="AP558" s="197"/>
      <c r="AQ558" s="197"/>
      <c r="AR558" s="197"/>
      <c r="AS558" s="197"/>
      <c r="AT558" s="198"/>
      <c r="AU558" s="194"/>
      <c r="AV558" s="194"/>
      <c r="AW558" s="194"/>
      <c r="AX558" s="194"/>
      <c r="AY558" s="198"/>
      <c r="AZ558" s="194"/>
      <c r="BA558" s="194"/>
      <c r="BB558" s="194"/>
      <c r="BC558" s="194"/>
      <c r="BD558" s="198"/>
      <c r="BE558" s="197"/>
      <c r="BF558" s="197"/>
      <c r="BG558" s="197"/>
      <c r="BH558" s="197"/>
      <c r="BI558" s="1094"/>
      <c r="BJ558" s="197"/>
      <c r="BK558" s="197"/>
      <c r="BL558" s="197"/>
      <c r="BM558" s="197"/>
      <c r="BN558" s="1094"/>
      <c r="BO558" s="197"/>
      <c r="BP558" s="197"/>
      <c r="BQ558" s="197"/>
      <c r="BR558" s="197"/>
      <c r="BS558" s="1094"/>
      <c r="BT558" s="727"/>
      <c r="BU558" s="197"/>
      <c r="BV558" s="197"/>
      <c r="BW558" s="197"/>
      <c r="BX558" s="1094"/>
      <c r="BY558" s="197"/>
      <c r="BZ558" s="197"/>
      <c r="CA558" s="197"/>
      <c r="CB558" s="197"/>
      <c r="CC558" s="1094"/>
      <c r="CD558" s="1094"/>
      <c r="CE558" s="1094"/>
      <c r="CF558" s="1094"/>
      <c r="CG558" s="349"/>
    </row>
    <row r="559" spans="1:85" s="613" customFormat="1" x14ac:dyDescent="0.3">
      <c r="A559" s="478" t="s">
        <v>1690</v>
      </c>
      <c r="B559" s="523"/>
      <c r="C559" s="78"/>
      <c r="D559" s="78"/>
      <c r="E559" s="78"/>
      <c r="F559" s="78"/>
      <c r="G559" s="774"/>
      <c r="H559" s="774"/>
      <c r="I559" s="774"/>
      <c r="J559" s="774"/>
      <c r="K559" s="78"/>
      <c r="L559" s="774"/>
      <c r="M559" s="774"/>
      <c r="N559" s="774"/>
      <c r="O559" s="774"/>
      <c r="P559" s="78"/>
      <c r="Q559" s="774"/>
      <c r="R559" s="774"/>
      <c r="S559" s="774"/>
      <c r="T559" s="774"/>
      <c r="U559" s="78"/>
      <c r="V559" s="774"/>
      <c r="W559" s="774"/>
      <c r="X559" s="774"/>
      <c r="Y559" s="774"/>
      <c r="Z559" s="78"/>
      <c r="AA559" s="774"/>
      <c r="AB559" s="774"/>
      <c r="AC559" s="774"/>
      <c r="AD559" s="774"/>
      <c r="AE559" s="78"/>
      <c r="AF559" s="774"/>
      <c r="AG559" s="774"/>
      <c r="AH559" s="774"/>
      <c r="AI559" s="774"/>
      <c r="AJ559" s="78"/>
      <c r="AK559" s="774"/>
      <c r="AL559" s="774"/>
      <c r="AM559" s="774"/>
      <c r="AN559" s="774"/>
      <c r="AO559" s="78"/>
      <c r="AP559" s="774"/>
      <c r="AQ559" s="774"/>
      <c r="AR559" s="774"/>
      <c r="AS559" s="774"/>
      <c r="AT559" s="1119">
        <v>9.0730000000000004</v>
      </c>
      <c r="AU559" s="774"/>
      <c r="AV559" s="774"/>
      <c r="AW559" s="774"/>
      <c r="AX559" s="774"/>
      <c r="AY559" s="78"/>
      <c r="AZ559" s="774"/>
      <c r="BA559" s="774"/>
      <c r="BB559" s="774"/>
      <c r="BC559" s="774"/>
      <c r="BD559" s="78"/>
      <c r="BE559" s="774"/>
      <c r="BF559" s="774"/>
      <c r="BG559" s="774"/>
      <c r="BH559" s="774"/>
      <c r="BI559" s="78"/>
      <c r="BJ559" s="774"/>
      <c r="BK559" s="774"/>
      <c r="BL559" s="774"/>
      <c r="BM559" s="774"/>
      <c r="BN559" s="78"/>
      <c r="BO559" s="774"/>
      <c r="BP559" s="774"/>
      <c r="BQ559" s="774"/>
      <c r="BR559" s="774"/>
      <c r="BS559" s="78"/>
      <c r="BT559" s="775"/>
      <c r="BU559" s="774"/>
      <c r="BV559" s="774"/>
      <c r="BW559" s="774"/>
      <c r="BX559" s="78"/>
      <c r="BY559" s="774"/>
      <c r="BZ559" s="774"/>
      <c r="CA559" s="774"/>
      <c r="CB559" s="774"/>
      <c r="CC559" s="78"/>
      <c r="CD559" s="78"/>
      <c r="CE559" s="78"/>
      <c r="CF559" s="78"/>
      <c r="CG559" s="532"/>
    </row>
    <row r="560" spans="1:85" s="615" customFormat="1" x14ac:dyDescent="0.3">
      <c r="A560" s="522" t="s">
        <v>1689</v>
      </c>
      <c r="B560" s="521"/>
      <c r="C560" s="1122"/>
      <c r="D560" s="1122"/>
      <c r="E560" s="1122"/>
      <c r="F560" s="1122"/>
      <c r="G560" s="520"/>
      <c r="H560" s="520"/>
      <c r="I560" s="520"/>
      <c r="J560" s="520"/>
      <c r="K560" s="1122"/>
      <c r="L560" s="520"/>
      <c r="M560" s="520"/>
      <c r="N560" s="520"/>
      <c r="O560" s="520"/>
      <c r="P560" s="1122"/>
      <c r="Q560" s="520"/>
      <c r="R560" s="520"/>
      <c r="S560" s="520"/>
      <c r="T560" s="520"/>
      <c r="U560" s="1122"/>
      <c r="V560" s="520"/>
      <c r="W560" s="520"/>
      <c r="X560" s="520"/>
      <c r="Y560" s="520"/>
      <c r="Z560" s="1122"/>
      <c r="AA560" s="520"/>
      <c r="AB560" s="520"/>
      <c r="AC560" s="520"/>
      <c r="AD560" s="520"/>
      <c r="AE560" s="1122"/>
      <c r="AF560" s="520"/>
      <c r="AG560" s="520"/>
      <c r="AH560" s="520"/>
      <c r="AI560" s="520"/>
      <c r="AJ560" s="1122"/>
      <c r="AK560" s="520"/>
      <c r="AL560" s="520"/>
      <c r="AM560" s="520"/>
      <c r="AN560" s="520"/>
      <c r="AO560" s="1122"/>
      <c r="AP560" s="520"/>
      <c r="AQ560" s="520"/>
      <c r="AR560" s="520"/>
      <c r="AS560" s="520"/>
      <c r="AT560" s="1123">
        <v>309.99</v>
      </c>
      <c r="AU560" s="526"/>
      <c r="AV560" s="526"/>
      <c r="AW560" s="526"/>
      <c r="AX560" s="526"/>
      <c r="AY560" s="1124"/>
      <c r="AZ560" s="526"/>
      <c r="BA560" s="526"/>
      <c r="BB560" s="526"/>
      <c r="BC560" s="526"/>
      <c r="BD560" s="1124"/>
      <c r="BE560" s="520"/>
      <c r="BF560" s="520"/>
      <c r="BG560" s="520"/>
      <c r="BH560" s="520"/>
      <c r="BI560" s="1122"/>
      <c r="BJ560" s="520"/>
      <c r="BK560" s="520"/>
      <c r="BL560" s="520"/>
      <c r="BM560" s="520"/>
      <c r="BN560" s="1122"/>
      <c r="BO560" s="520"/>
      <c r="BP560" s="520"/>
      <c r="BQ560" s="520"/>
      <c r="BR560" s="520"/>
      <c r="BS560" s="1122"/>
      <c r="BT560" s="728"/>
      <c r="BU560" s="520"/>
      <c r="BV560" s="520"/>
      <c r="BW560" s="520"/>
      <c r="BX560" s="1122"/>
      <c r="BY560" s="520"/>
      <c r="BZ560" s="520"/>
      <c r="CA560" s="520"/>
      <c r="CB560" s="520"/>
      <c r="CC560" s="1122"/>
      <c r="CD560" s="1122"/>
      <c r="CE560" s="1122"/>
      <c r="CF560" s="1122"/>
      <c r="CG560" s="519"/>
    </row>
    <row r="561" spans="1:85" s="614" customFormat="1" x14ac:dyDescent="0.3">
      <c r="A561" s="351"/>
      <c r="B561" s="352"/>
      <c r="C561" s="1094"/>
      <c r="D561" s="1094"/>
      <c r="E561" s="1094"/>
      <c r="F561" s="1094"/>
      <c r="G561" s="197"/>
      <c r="H561" s="197"/>
      <c r="I561" s="197"/>
      <c r="J561" s="197"/>
      <c r="K561" s="1094"/>
      <c r="L561" s="197"/>
      <c r="M561" s="197"/>
      <c r="N561" s="197"/>
      <c r="O561" s="197"/>
      <c r="P561" s="1094"/>
      <c r="Q561" s="197"/>
      <c r="R561" s="197"/>
      <c r="S561" s="197"/>
      <c r="T561" s="197"/>
      <c r="U561" s="1094"/>
      <c r="V561" s="197"/>
      <c r="W561" s="197"/>
      <c r="X561" s="197"/>
      <c r="Y561" s="197"/>
      <c r="Z561" s="1094"/>
      <c r="AA561" s="197"/>
      <c r="AB561" s="197"/>
      <c r="AC561" s="197"/>
      <c r="AD561" s="197"/>
      <c r="AE561" s="1094"/>
      <c r="AF561" s="197"/>
      <c r="AG561" s="197"/>
      <c r="AH561" s="197"/>
      <c r="AI561" s="197"/>
      <c r="AJ561" s="1094"/>
      <c r="AK561" s="197"/>
      <c r="AL561" s="197"/>
      <c r="AM561" s="197"/>
      <c r="AN561" s="197"/>
      <c r="AO561" s="1094"/>
      <c r="AP561" s="197"/>
      <c r="AQ561" s="197"/>
      <c r="AR561" s="197"/>
      <c r="AS561" s="197"/>
      <c r="AT561" s="1094"/>
      <c r="AU561" s="197"/>
      <c r="AV561" s="197"/>
      <c r="AW561" s="197"/>
      <c r="AX561" s="197"/>
      <c r="AY561" s="1094"/>
      <c r="AZ561" s="197"/>
      <c r="BA561" s="197"/>
      <c r="BB561" s="197"/>
      <c r="BC561" s="197"/>
      <c r="BD561" s="1094"/>
      <c r="BE561" s="197"/>
      <c r="BF561" s="197"/>
      <c r="BG561" s="197"/>
      <c r="BH561" s="197"/>
      <c r="BI561" s="1094"/>
      <c r="BJ561" s="197"/>
      <c r="BK561" s="197"/>
      <c r="BL561" s="197"/>
      <c r="BM561" s="197"/>
      <c r="BN561" s="1094"/>
      <c r="BO561" s="197"/>
      <c r="BP561" s="197"/>
      <c r="BQ561" s="197"/>
      <c r="BR561" s="197"/>
      <c r="BS561" s="1094"/>
      <c r="BT561" s="727"/>
      <c r="BU561" s="197"/>
      <c r="BV561" s="197"/>
      <c r="BW561" s="197"/>
      <c r="BX561" s="1094"/>
      <c r="BY561" s="197"/>
      <c r="BZ561" s="197"/>
      <c r="CA561" s="197"/>
      <c r="CB561" s="197"/>
      <c r="CC561" s="1094"/>
      <c r="CD561" s="1094"/>
      <c r="CE561" s="1094"/>
      <c r="CF561" s="1094"/>
      <c r="CG561" s="349"/>
    </row>
    <row r="562" spans="1:85" s="613" customFormat="1" x14ac:dyDescent="0.3">
      <c r="A562" s="478" t="s">
        <v>1688</v>
      </c>
      <c r="B562" s="523"/>
      <c r="C562" s="78"/>
      <c r="D562" s="78"/>
      <c r="E562" s="78"/>
      <c r="F562" s="78"/>
      <c r="G562" s="774"/>
      <c r="H562" s="774"/>
      <c r="I562" s="774"/>
      <c r="J562" s="774"/>
      <c r="K562" s="78"/>
      <c r="L562" s="774"/>
      <c r="M562" s="774"/>
      <c r="N562" s="774"/>
      <c r="O562" s="774"/>
      <c r="P562" s="78"/>
      <c r="Q562" s="774"/>
      <c r="R562" s="774"/>
      <c r="S562" s="774"/>
      <c r="T562" s="774"/>
      <c r="U562" s="78"/>
      <c r="V562" s="774"/>
      <c r="W562" s="774"/>
      <c r="X562" s="774"/>
      <c r="Y562" s="774"/>
      <c r="Z562" s="78"/>
      <c r="AA562" s="774"/>
      <c r="AB562" s="774"/>
      <c r="AC562" s="774"/>
      <c r="AD562" s="774"/>
      <c r="AE562" s="78"/>
      <c r="AF562" s="774"/>
      <c r="AG562" s="774"/>
      <c r="AH562" s="774"/>
      <c r="AI562" s="774"/>
      <c r="AJ562" s="78"/>
      <c r="AK562" s="774"/>
      <c r="AL562" s="774"/>
      <c r="AM562" s="774"/>
      <c r="AN562" s="774"/>
      <c r="AO562" s="78"/>
      <c r="AP562" s="774"/>
      <c r="AQ562" s="774"/>
      <c r="AR562" s="774"/>
      <c r="AS562" s="774"/>
      <c r="AT562" s="1119">
        <v>8.5269999999999992</v>
      </c>
      <c r="AU562" s="774"/>
      <c r="AV562" s="774"/>
      <c r="AW562" s="774"/>
      <c r="AX562" s="774"/>
      <c r="AY562" s="1119">
        <v>8.5269999999999992</v>
      </c>
      <c r="AZ562" s="774"/>
      <c r="BA562" s="774"/>
      <c r="BB562" s="774"/>
      <c r="BC562" s="774"/>
      <c r="BD562" s="1119">
        <v>8.5269999999999992</v>
      </c>
      <c r="BE562" s="774"/>
      <c r="BF562" s="774"/>
      <c r="BG562" s="774"/>
      <c r="BH562" s="774"/>
      <c r="BI562" s="1119">
        <v>8.5269999999999992</v>
      </c>
      <c r="BJ562" s="774"/>
      <c r="BK562" s="774"/>
      <c r="BL562" s="774"/>
      <c r="BM562" s="774"/>
      <c r="BN562" s="1119">
        <v>8.5269999999999992</v>
      </c>
      <c r="BO562" s="774"/>
      <c r="BP562" s="774"/>
      <c r="BQ562" s="774"/>
      <c r="BR562" s="774"/>
      <c r="BS562" s="78"/>
      <c r="BT562" s="775"/>
      <c r="BU562" s="774"/>
      <c r="BV562" s="774"/>
      <c r="BW562" s="774"/>
      <c r="BX562" s="78"/>
      <c r="BY562" s="774"/>
      <c r="BZ562" s="774"/>
      <c r="CA562" s="774"/>
      <c r="CB562" s="774"/>
      <c r="CC562" s="78"/>
      <c r="CD562" s="78"/>
      <c r="CE562" s="78"/>
      <c r="CF562" s="78"/>
      <c r="CG562" s="532"/>
    </row>
    <row r="563" spans="1:85" s="615" customFormat="1" x14ac:dyDescent="0.3">
      <c r="A563" s="522" t="s">
        <v>1687</v>
      </c>
      <c r="B563" s="521"/>
      <c r="C563" s="1122"/>
      <c r="D563" s="1122"/>
      <c r="E563" s="1122"/>
      <c r="F563" s="1122"/>
      <c r="G563" s="520"/>
      <c r="H563" s="520"/>
      <c r="I563" s="520"/>
      <c r="J563" s="520"/>
      <c r="K563" s="1122"/>
      <c r="L563" s="520"/>
      <c r="M563" s="520"/>
      <c r="N563" s="520"/>
      <c r="O563" s="520"/>
      <c r="P563" s="1122"/>
      <c r="Q563" s="520"/>
      <c r="R563" s="520"/>
      <c r="S563" s="520"/>
      <c r="T563" s="520"/>
      <c r="U563" s="1122"/>
      <c r="V563" s="520"/>
      <c r="W563" s="520"/>
      <c r="X563" s="520"/>
      <c r="Y563" s="520"/>
      <c r="Z563" s="1122"/>
      <c r="AA563" s="520"/>
      <c r="AB563" s="520"/>
      <c r="AC563" s="520"/>
      <c r="AD563" s="520"/>
      <c r="AE563" s="1122"/>
      <c r="AF563" s="520"/>
      <c r="AG563" s="520"/>
      <c r="AH563" s="520"/>
      <c r="AI563" s="520"/>
      <c r="AJ563" s="1122"/>
      <c r="AK563" s="520"/>
      <c r="AL563" s="520"/>
      <c r="AM563" s="520"/>
      <c r="AN563" s="520"/>
      <c r="AO563" s="1122"/>
      <c r="AP563" s="520"/>
      <c r="AQ563" s="520"/>
      <c r="AR563" s="520"/>
      <c r="AS563" s="520"/>
      <c r="AT563" s="1123">
        <v>329.81</v>
      </c>
      <c r="AU563" s="520"/>
      <c r="AV563" s="520"/>
      <c r="AW563" s="520"/>
      <c r="AX563" s="520"/>
      <c r="AY563" s="1123">
        <v>329.81</v>
      </c>
      <c r="AZ563" s="520"/>
      <c r="BA563" s="520"/>
      <c r="BB563" s="520"/>
      <c r="BC563" s="520"/>
      <c r="BD563" s="1123">
        <v>329.81</v>
      </c>
      <c r="BE563" s="520"/>
      <c r="BF563" s="520"/>
      <c r="BG563" s="520"/>
      <c r="BH563" s="520"/>
      <c r="BI563" s="1123">
        <v>329.81</v>
      </c>
      <c r="BJ563" s="520"/>
      <c r="BK563" s="520"/>
      <c r="BL563" s="520"/>
      <c r="BM563" s="520"/>
      <c r="BN563" s="1123">
        <v>329.81</v>
      </c>
      <c r="BO563" s="520"/>
      <c r="BP563" s="520"/>
      <c r="BQ563" s="520"/>
      <c r="BR563" s="520"/>
      <c r="BS563" s="1124"/>
      <c r="BT563" s="728"/>
      <c r="BU563" s="520"/>
      <c r="BV563" s="520"/>
      <c r="BW563" s="520"/>
      <c r="BX563" s="1122"/>
      <c r="BY563" s="520"/>
      <c r="BZ563" s="520"/>
      <c r="CA563" s="520"/>
      <c r="CB563" s="520"/>
      <c r="CC563" s="1122"/>
      <c r="CD563" s="1122"/>
      <c r="CE563" s="1122"/>
      <c r="CF563" s="1122"/>
      <c r="CG563" s="519"/>
    </row>
    <row r="564" spans="1:85" s="614" customFormat="1" x14ac:dyDescent="0.3">
      <c r="A564" s="522"/>
      <c r="B564" s="352"/>
      <c r="C564" s="1094"/>
      <c r="D564" s="1094"/>
      <c r="E564" s="1094"/>
      <c r="F564" s="1094"/>
      <c r="G564" s="197"/>
      <c r="H564" s="197"/>
      <c r="I564" s="197"/>
      <c r="J564" s="197"/>
      <c r="K564" s="1094"/>
      <c r="L564" s="197"/>
      <c r="M564" s="197"/>
      <c r="N564" s="197"/>
      <c r="O564" s="197"/>
      <c r="P564" s="1094"/>
      <c r="Q564" s="197"/>
      <c r="R564" s="197"/>
      <c r="S564" s="197"/>
      <c r="T564" s="197"/>
      <c r="U564" s="1094"/>
      <c r="V564" s="197"/>
      <c r="W564" s="197"/>
      <c r="X564" s="197"/>
      <c r="Y564" s="197"/>
      <c r="Z564" s="1094"/>
      <c r="AA564" s="197"/>
      <c r="AB564" s="197"/>
      <c r="AC564" s="197"/>
      <c r="AD564" s="197"/>
      <c r="AE564" s="1094"/>
      <c r="AF564" s="197"/>
      <c r="AG564" s="197"/>
      <c r="AH564" s="197"/>
      <c r="AI564" s="197"/>
      <c r="AJ564" s="1094"/>
      <c r="AK564" s="197"/>
      <c r="AL564" s="197"/>
      <c r="AM564" s="197"/>
      <c r="AN564" s="197"/>
      <c r="AO564" s="1094"/>
      <c r="AP564" s="197"/>
      <c r="AQ564" s="197"/>
      <c r="AR564" s="197"/>
      <c r="AS564" s="197"/>
      <c r="AT564" s="198"/>
      <c r="AU564" s="197"/>
      <c r="AV564" s="197"/>
      <c r="AW564" s="197"/>
      <c r="AX564" s="197"/>
      <c r="AY564" s="198"/>
      <c r="AZ564" s="197"/>
      <c r="BA564" s="197"/>
      <c r="BB564" s="197"/>
      <c r="BC564" s="197"/>
      <c r="BD564" s="198"/>
      <c r="BE564" s="197"/>
      <c r="BF564" s="197"/>
      <c r="BG564" s="197"/>
      <c r="BH564" s="197"/>
      <c r="BI564" s="198"/>
      <c r="BJ564" s="197"/>
      <c r="BK564" s="197"/>
      <c r="BL564" s="197"/>
      <c r="BM564" s="197"/>
      <c r="BN564" s="198"/>
      <c r="BO564" s="197"/>
      <c r="BP564" s="197"/>
      <c r="BQ564" s="197"/>
      <c r="BR564" s="197"/>
      <c r="BS564" s="198"/>
      <c r="BT564" s="727"/>
      <c r="BU564" s="197"/>
      <c r="BV564" s="197"/>
      <c r="BW564" s="197"/>
      <c r="BX564" s="1094"/>
      <c r="BY564" s="197"/>
      <c r="BZ564" s="197"/>
      <c r="CA564" s="197"/>
      <c r="CB564" s="197"/>
      <c r="CC564" s="1094"/>
      <c r="CD564" s="1094"/>
      <c r="CE564" s="1094"/>
      <c r="CF564" s="1094"/>
      <c r="CG564" s="349"/>
    </row>
    <row r="565" spans="1:85" s="613" customFormat="1" x14ac:dyDescent="0.3">
      <c r="A565" s="478" t="s">
        <v>1686</v>
      </c>
      <c r="B565" s="523"/>
      <c r="C565" s="78"/>
      <c r="D565" s="78"/>
      <c r="E565" s="78"/>
      <c r="F565" s="78"/>
      <c r="G565" s="774"/>
      <c r="H565" s="774"/>
      <c r="I565" s="774"/>
      <c r="J565" s="774"/>
      <c r="K565" s="78"/>
      <c r="L565" s="774"/>
      <c r="M565" s="774"/>
      <c r="N565" s="774"/>
      <c r="O565" s="774"/>
      <c r="P565" s="78"/>
      <c r="Q565" s="774"/>
      <c r="R565" s="774"/>
      <c r="S565" s="774"/>
      <c r="T565" s="774"/>
      <c r="U565" s="78"/>
      <c r="V565" s="774"/>
      <c r="W565" s="774"/>
      <c r="X565" s="774"/>
      <c r="Y565" s="774"/>
      <c r="Z565" s="78"/>
      <c r="AA565" s="774"/>
      <c r="AB565" s="774"/>
      <c r="AC565" s="774"/>
      <c r="AD565" s="774"/>
      <c r="AE565" s="78"/>
      <c r="AF565" s="774"/>
      <c r="AG565" s="774"/>
      <c r="AH565" s="774"/>
      <c r="AI565" s="774"/>
      <c r="AJ565" s="78"/>
      <c r="AK565" s="774"/>
      <c r="AL565" s="774"/>
      <c r="AM565" s="774"/>
      <c r="AN565" s="774"/>
      <c r="AO565" s="78"/>
      <c r="AP565" s="774"/>
      <c r="AQ565" s="774"/>
      <c r="AR565" s="774"/>
      <c r="AS565" s="774"/>
      <c r="AT565" s="1119">
        <v>8.5250000000000004</v>
      </c>
      <c r="AU565" s="774"/>
      <c r="AV565" s="774"/>
      <c r="AW565" s="774"/>
      <c r="AX565" s="774"/>
      <c r="AY565" s="1119">
        <v>8.5250000000000004</v>
      </c>
      <c r="AZ565" s="774"/>
      <c r="BA565" s="774"/>
      <c r="BB565" s="774"/>
      <c r="BC565" s="774"/>
      <c r="BD565" s="1119">
        <v>8.5250000000000004</v>
      </c>
      <c r="BE565" s="774"/>
      <c r="BF565" s="774"/>
      <c r="BG565" s="774"/>
      <c r="BH565" s="774"/>
      <c r="BI565" s="1119">
        <v>8.5250000000000004</v>
      </c>
      <c r="BJ565" s="774"/>
      <c r="BK565" s="774"/>
      <c r="BL565" s="774"/>
      <c r="BM565" s="774"/>
      <c r="BN565" s="1119">
        <v>8.5250000000000004</v>
      </c>
      <c r="BO565" s="774"/>
      <c r="BP565" s="774"/>
      <c r="BQ565" s="774"/>
      <c r="BR565" s="774"/>
      <c r="BS565" s="78"/>
      <c r="BT565" s="775"/>
      <c r="BU565" s="774"/>
      <c r="BV565" s="774"/>
      <c r="BW565" s="774"/>
      <c r="BX565" s="78"/>
      <c r="BY565" s="774"/>
      <c r="BZ565" s="774"/>
      <c r="CA565" s="774"/>
      <c r="CB565" s="774"/>
      <c r="CC565" s="78"/>
      <c r="CD565" s="78"/>
      <c r="CE565" s="78"/>
      <c r="CF565" s="78"/>
      <c r="CG565" s="532"/>
    </row>
    <row r="566" spans="1:85" s="615" customFormat="1" x14ac:dyDescent="0.3">
      <c r="A566" s="522" t="s">
        <v>1685</v>
      </c>
      <c r="B566" s="521"/>
      <c r="C566" s="1122"/>
      <c r="D566" s="1122"/>
      <c r="E566" s="1122"/>
      <c r="F566" s="1122"/>
      <c r="G566" s="520"/>
      <c r="H566" s="520"/>
      <c r="I566" s="520"/>
      <c r="J566" s="520"/>
      <c r="K566" s="1122"/>
      <c r="L566" s="520"/>
      <c r="M566" s="520"/>
      <c r="N566" s="520"/>
      <c r="O566" s="520"/>
      <c r="P566" s="1122"/>
      <c r="Q566" s="520"/>
      <c r="R566" s="520"/>
      <c r="S566" s="520"/>
      <c r="T566" s="520"/>
      <c r="U566" s="1122"/>
      <c r="V566" s="520"/>
      <c r="W566" s="520"/>
      <c r="X566" s="520"/>
      <c r="Y566" s="520"/>
      <c r="Z566" s="1122"/>
      <c r="AA566" s="520"/>
      <c r="AB566" s="520"/>
      <c r="AC566" s="520"/>
      <c r="AD566" s="520"/>
      <c r="AE566" s="1122"/>
      <c r="AF566" s="520"/>
      <c r="AG566" s="520"/>
      <c r="AH566" s="520"/>
      <c r="AI566" s="520"/>
      <c r="AJ566" s="1122"/>
      <c r="AK566" s="520"/>
      <c r="AL566" s="520"/>
      <c r="AM566" s="520"/>
      <c r="AN566" s="520"/>
      <c r="AO566" s="1122"/>
      <c r="AP566" s="520"/>
      <c r="AQ566" s="520"/>
      <c r="AR566" s="520"/>
      <c r="AS566" s="520"/>
      <c r="AT566" s="1123">
        <v>358</v>
      </c>
      <c r="AU566" s="520"/>
      <c r="AV566" s="520"/>
      <c r="AW566" s="520"/>
      <c r="AX566" s="520"/>
      <c r="AY566" s="1123">
        <v>358</v>
      </c>
      <c r="AZ566" s="520"/>
      <c r="BA566" s="520"/>
      <c r="BB566" s="520"/>
      <c r="BC566" s="520"/>
      <c r="BD566" s="1123">
        <v>358</v>
      </c>
      <c r="BE566" s="520"/>
      <c r="BF566" s="520"/>
      <c r="BG566" s="520"/>
      <c r="BH566" s="520"/>
      <c r="BI566" s="1123">
        <v>358</v>
      </c>
      <c r="BJ566" s="520"/>
      <c r="BK566" s="520"/>
      <c r="BL566" s="520"/>
      <c r="BM566" s="520"/>
      <c r="BN566" s="1123">
        <v>358</v>
      </c>
      <c r="BO566" s="520"/>
      <c r="BP566" s="520"/>
      <c r="BQ566" s="520"/>
      <c r="BR566" s="520"/>
      <c r="BS566" s="1124"/>
      <c r="BT566" s="728"/>
      <c r="BU566" s="520"/>
      <c r="BV566" s="520"/>
      <c r="BW566" s="520"/>
      <c r="BX566" s="1122"/>
      <c r="BY566" s="520"/>
      <c r="BZ566" s="520"/>
      <c r="CA566" s="520"/>
      <c r="CB566" s="520"/>
      <c r="CC566" s="1122"/>
      <c r="CD566" s="1122"/>
      <c r="CE566" s="1122"/>
      <c r="CF566" s="1122"/>
      <c r="CG566" s="519"/>
    </row>
    <row r="567" spans="1:85" s="614" customFormat="1" x14ac:dyDescent="0.3">
      <c r="A567" s="522"/>
      <c r="B567" s="352"/>
      <c r="C567" s="1094"/>
      <c r="D567" s="1094"/>
      <c r="E567" s="1094"/>
      <c r="F567" s="1094"/>
      <c r="G567" s="197"/>
      <c r="H567" s="197"/>
      <c r="I567" s="197"/>
      <c r="J567" s="197"/>
      <c r="K567" s="1094"/>
      <c r="L567" s="197"/>
      <c r="M567" s="197"/>
      <c r="N567" s="197"/>
      <c r="O567" s="197"/>
      <c r="P567" s="1094"/>
      <c r="Q567" s="197"/>
      <c r="R567" s="197"/>
      <c r="S567" s="197"/>
      <c r="T567" s="197"/>
      <c r="U567" s="1094"/>
      <c r="V567" s="197"/>
      <c r="W567" s="197"/>
      <c r="X567" s="197"/>
      <c r="Y567" s="197"/>
      <c r="Z567" s="1094"/>
      <c r="AA567" s="197"/>
      <c r="AB567" s="197"/>
      <c r="AC567" s="197"/>
      <c r="AD567" s="197"/>
      <c r="AE567" s="1094"/>
      <c r="AF567" s="197"/>
      <c r="AG567" s="197"/>
      <c r="AH567" s="197"/>
      <c r="AI567" s="197"/>
      <c r="AJ567" s="1094"/>
      <c r="AK567" s="197"/>
      <c r="AL567" s="197"/>
      <c r="AM567" s="197"/>
      <c r="AN567" s="197"/>
      <c r="AO567" s="1094"/>
      <c r="AP567" s="197"/>
      <c r="AQ567" s="197"/>
      <c r="AR567" s="197"/>
      <c r="AS567" s="197"/>
      <c r="AT567" s="198"/>
      <c r="AU567" s="197"/>
      <c r="AV567" s="197"/>
      <c r="AW567" s="197"/>
      <c r="AX567" s="197"/>
      <c r="AY567" s="198"/>
      <c r="AZ567" s="197"/>
      <c r="BA567" s="197"/>
      <c r="BB567" s="197"/>
      <c r="BC567" s="197"/>
      <c r="BD567" s="198"/>
      <c r="BE567" s="197"/>
      <c r="BF567" s="197"/>
      <c r="BG567" s="197"/>
      <c r="BH567" s="197"/>
      <c r="BI567" s="198"/>
      <c r="BJ567" s="197"/>
      <c r="BK567" s="197"/>
      <c r="BL567" s="197"/>
      <c r="BM567" s="197"/>
      <c r="BN567" s="198"/>
      <c r="BO567" s="197"/>
      <c r="BP567" s="197"/>
      <c r="BQ567" s="197"/>
      <c r="BR567" s="197"/>
      <c r="BS567" s="198"/>
      <c r="BT567" s="727"/>
      <c r="BU567" s="197"/>
      <c r="BV567" s="197"/>
      <c r="BW567" s="197"/>
      <c r="BX567" s="1094"/>
      <c r="BY567" s="197"/>
      <c r="BZ567" s="197"/>
      <c r="CA567" s="197"/>
      <c r="CB567" s="197"/>
      <c r="CC567" s="1094"/>
      <c r="CD567" s="1094"/>
      <c r="CE567" s="1094"/>
      <c r="CF567" s="1094"/>
      <c r="CG567" s="349"/>
    </row>
    <row r="568" spans="1:85" s="613" customFormat="1" x14ac:dyDescent="0.3">
      <c r="A568" s="478" t="s">
        <v>1684</v>
      </c>
      <c r="B568" s="523"/>
      <c r="C568" s="78"/>
      <c r="D568" s="78"/>
      <c r="E568" s="78"/>
      <c r="F568" s="78"/>
      <c r="G568" s="774"/>
      <c r="H568" s="774"/>
      <c r="I568" s="774"/>
      <c r="J568" s="774"/>
      <c r="K568" s="78"/>
      <c r="L568" s="774"/>
      <c r="M568" s="774"/>
      <c r="N568" s="774"/>
      <c r="O568" s="774"/>
      <c r="P568" s="78"/>
      <c r="Q568" s="774"/>
      <c r="R568" s="774"/>
      <c r="S568" s="774"/>
      <c r="T568" s="774"/>
      <c r="U568" s="78"/>
      <c r="V568" s="774"/>
      <c r="W568" s="774"/>
      <c r="X568" s="774"/>
      <c r="Y568" s="774"/>
      <c r="Z568" s="78"/>
      <c r="AA568" s="774"/>
      <c r="AB568" s="774"/>
      <c r="AC568" s="774"/>
      <c r="AD568" s="774"/>
      <c r="AE568" s="78"/>
      <c r="AF568" s="774"/>
      <c r="AG568" s="774"/>
      <c r="AH568" s="774"/>
      <c r="AI568" s="774"/>
      <c r="AJ568" s="78"/>
      <c r="AK568" s="774"/>
      <c r="AL568" s="774"/>
      <c r="AM568" s="774"/>
      <c r="AN568" s="774"/>
      <c r="AO568" s="78"/>
      <c r="AP568" s="774"/>
      <c r="AQ568" s="774"/>
      <c r="AR568" s="774"/>
      <c r="AS568" s="774"/>
      <c r="AT568" s="1119">
        <v>8.01</v>
      </c>
      <c r="AU568" s="774"/>
      <c r="AV568" s="774"/>
      <c r="AW568" s="774"/>
      <c r="AX568" s="774"/>
      <c r="AY568" s="1119">
        <v>8.01</v>
      </c>
      <c r="AZ568" s="774"/>
      <c r="BA568" s="774"/>
      <c r="BB568" s="774"/>
      <c r="BC568" s="774"/>
      <c r="BD568" s="1119">
        <v>8.01</v>
      </c>
      <c r="BE568" s="774"/>
      <c r="BF568" s="774"/>
      <c r="BG568" s="774"/>
      <c r="BH568" s="774"/>
      <c r="BI568" s="1119">
        <v>8.01</v>
      </c>
      <c r="BJ568" s="774"/>
      <c r="BK568" s="774"/>
      <c r="BL568" s="774"/>
      <c r="BM568" s="774"/>
      <c r="BN568" s="1119">
        <v>8.01</v>
      </c>
      <c r="BO568" s="774"/>
      <c r="BP568" s="774"/>
      <c r="BQ568" s="774"/>
      <c r="BR568" s="774"/>
      <c r="BS568" s="78"/>
      <c r="BT568" s="775"/>
      <c r="BU568" s="774"/>
      <c r="BV568" s="774"/>
      <c r="BW568" s="774"/>
      <c r="BX568" s="78"/>
      <c r="BY568" s="774"/>
      <c r="BZ568" s="774"/>
      <c r="CA568" s="774"/>
      <c r="CB568" s="774"/>
      <c r="CC568" s="78"/>
      <c r="CD568" s="78"/>
      <c r="CE568" s="78"/>
      <c r="CF568" s="78"/>
      <c r="CG568" s="532"/>
    </row>
    <row r="569" spans="1:85" s="615" customFormat="1" x14ac:dyDescent="0.3">
      <c r="A569" s="522" t="s">
        <v>1683</v>
      </c>
      <c r="B569" s="521"/>
      <c r="C569" s="1122"/>
      <c r="D569" s="1122"/>
      <c r="E569" s="1122"/>
      <c r="F569" s="1122"/>
      <c r="G569" s="520"/>
      <c r="H569" s="520"/>
      <c r="I569" s="520"/>
      <c r="J569" s="520"/>
      <c r="K569" s="1122"/>
      <c r="L569" s="520"/>
      <c r="M569" s="520"/>
      <c r="N569" s="520"/>
      <c r="O569" s="520"/>
      <c r="P569" s="1122"/>
      <c r="Q569" s="520"/>
      <c r="R569" s="520"/>
      <c r="S569" s="520"/>
      <c r="T569" s="520"/>
      <c r="U569" s="1122"/>
      <c r="V569" s="520"/>
      <c r="W569" s="520"/>
      <c r="X569" s="520"/>
      <c r="Y569" s="520"/>
      <c r="Z569" s="1122"/>
      <c r="AA569" s="520"/>
      <c r="AB569" s="520"/>
      <c r="AC569" s="520"/>
      <c r="AD569" s="520"/>
      <c r="AE569" s="1122"/>
      <c r="AF569" s="520"/>
      <c r="AG569" s="520"/>
      <c r="AH569" s="520"/>
      <c r="AI569" s="520"/>
      <c r="AJ569" s="1122"/>
      <c r="AK569" s="520"/>
      <c r="AL569" s="520"/>
      <c r="AM569" s="520"/>
      <c r="AN569" s="520"/>
      <c r="AO569" s="1122"/>
      <c r="AP569" s="520"/>
      <c r="AQ569" s="520"/>
      <c r="AR569" s="520"/>
      <c r="AS569" s="520"/>
      <c r="AT569" s="1123">
        <v>381.05</v>
      </c>
      <c r="AU569" s="520"/>
      <c r="AV569" s="520"/>
      <c r="AW569" s="520"/>
      <c r="AX569" s="520"/>
      <c r="AY569" s="1123">
        <v>381.05</v>
      </c>
      <c r="AZ569" s="520"/>
      <c r="BA569" s="520"/>
      <c r="BB569" s="520"/>
      <c r="BC569" s="520"/>
      <c r="BD569" s="1123">
        <v>381.05</v>
      </c>
      <c r="BE569" s="520"/>
      <c r="BF569" s="520"/>
      <c r="BG569" s="520"/>
      <c r="BH569" s="520"/>
      <c r="BI569" s="1123">
        <v>381.05</v>
      </c>
      <c r="BJ569" s="520"/>
      <c r="BK569" s="520"/>
      <c r="BL569" s="520"/>
      <c r="BM569" s="520"/>
      <c r="BN569" s="1123">
        <v>381.05</v>
      </c>
      <c r="BO569" s="520"/>
      <c r="BP569" s="520"/>
      <c r="BQ569" s="520"/>
      <c r="BR569" s="520"/>
      <c r="BS569" s="1124"/>
      <c r="BT569" s="728"/>
      <c r="BU569" s="520"/>
      <c r="BV569" s="520"/>
      <c r="BW569" s="520"/>
      <c r="BX569" s="1122"/>
      <c r="BY569" s="520"/>
      <c r="BZ569" s="520"/>
      <c r="CA569" s="520"/>
      <c r="CB569" s="520"/>
      <c r="CC569" s="1122"/>
      <c r="CD569" s="1122"/>
      <c r="CE569" s="1122"/>
      <c r="CF569" s="1122"/>
      <c r="CG569" s="519"/>
    </row>
    <row r="570" spans="1:85" s="614" customFormat="1" x14ac:dyDescent="0.3">
      <c r="A570" s="522"/>
      <c r="B570" s="352"/>
      <c r="C570" s="1094"/>
      <c r="D570" s="1094"/>
      <c r="E570" s="1094"/>
      <c r="F570" s="1094"/>
      <c r="G570" s="197"/>
      <c r="H570" s="197"/>
      <c r="I570" s="197"/>
      <c r="J570" s="197"/>
      <c r="K570" s="1094"/>
      <c r="L570" s="197"/>
      <c r="M570" s="197"/>
      <c r="N570" s="197"/>
      <c r="O570" s="197"/>
      <c r="P570" s="1094"/>
      <c r="Q570" s="197"/>
      <c r="R570" s="197"/>
      <c r="S570" s="197"/>
      <c r="T570" s="197"/>
      <c r="U570" s="1094"/>
      <c r="V570" s="197"/>
      <c r="W570" s="197"/>
      <c r="X570" s="197"/>
      <c r="Y570" s="197"/>
      <c r="Z570" s="1094"/>
      <c r="AA570" s="197"/>
      <c r="AB570" s="197"/>
      <c r="AC570" s="197"/>
      <c r="AD570" s="197"/>
      <c r="AE570" s="1094"/>
      <c r="AF570" s="197"/>
      <c r="AG570" s="197"/>
      <c r="AH570" s="197"/>
      <c r="AI570" s="197"/>
      <c r="AJ570" s="1094"/>
      <c r="AK570" s="197"/>
      <c r="AL570" s="197"/>
      <c r="AM570" s="197"/>
      <c r="AN570" s="197"/>
      <c r="AO570" s="1094"/>
      <c r="AP570" s="197"/>
      <c r="AQ570" s="197"/>
      <c r="AR570" s="197"/>
      <c r="AS570" s="197"/>
      <c r="AT570" s="198"/>
      <c r="AU570" s="197"/>
      <c r="AV570" s="197"/>
      <c r="AW570" s="197"/>
      <c r="AX570" s="197"/>
      <c r="AY570" s="198"/>
      <c r="AZ570" s="197"/>
      <c r="BA570" s="197"/>
      <c r="BB570" s="197"/>
      <c r="BC570" s="197"/>
      <c r="BD570" s="198"/>
      <c r="BE570" s="197"/>
      <c r="BF570" s="197"/>
      <c r="BG570" s="197"/>
      <c r="BH570" s="197"/>
      <c r="BI570" s="198"/>
      <c r="BJ570" s="197"/>
      <c r="BK570" s="197"/>
      <c r="BL570" s="197"/>
      <c r="BM570" s="197"/>
      <c r="BN570" s="198"/>
      <c r="BO570" s="197"/>
      <c r="BP570" s="197"/>
      <c r="BQ570" s="197"/>
      <c r="BR570" s="197"/>
      <c r="BS570" s="198"/>
      <c r="BT570" s="727"/>
      <c r="BU570" s="197"/>
      <c r="BV570" s="197"/>
      <c r="BW570" s="197"/>
      <c r="BX570" s="1094"/>
      <c r="BY570" s="197"/>
      <c r="BZ570" s="197"/>
      <c r="CA570" s="197"/>
      <c r="CB570" s="197"/>
      <c r="CC570" s="1094"/>
      <c r="CD570" s="1094"/>
      <c r="CE570" s="1094"/>
      <c r="CF570" s="1094"/>
      <c r="CG570" s="349"/>
    </row>
    <row r="571" spans="1:85" s="613" customFormat="1" x14ac:dyDescent="0.3">
      <c r="A571" s="478" t="s">
        <v>1682</v>
      </c>
      <c r="B571" s="523"/>
      <c r="C571" s="78"/>
      <c r="D571" s="78"/>
      <c r="E571" s="78"/>
      <c r="F571" s="78"/>
      <c r="G571" s="774"/>
      <c r="H571" s="774"/>
      <c r="I571" s="774"/>
      <c r="J571" s="774"/>
      <c r="K571" s="78"/>
      <c r="L571" s="774"/>
      <c r="M571" s="774"/>
      <c r="N571" s="774"/>
      <c r="O571" s="774"/>
      <c r="P571" s="78"/>
      <c r="Q571" s="774"/>
      <c r="R571" s="774"/>
      <c r="S571" s="774"/>
      <c r="T571" s="774"/>
      <c r="U571" s="78"/>
      <c r="V571" s="774"/>
      <c r="W571" s="774"/>
      <c r="X571" s="774"/>
      <c r="Y571" s="774"/>
      <c r="Z571" s="78"/>
      <c r="AA571" s="774"/>
      <c r="AB571" s="774"/>
      <c r="AC571" s="774"/>
      <c r="AD571" s="774"/>
      <c r="AE571" s="78"/>
      <c r="AF571" s="774"/>
      <c r="AG571" s="774"/>
      <c r="AH571" s="774"/>
      <c r="AI571" s="774"/>
      <c r="AJ571" s="78"/>
      <c r="AK571" s="774"/>
      <c r="AL571" s="774"/>
      <c r="AM571" s="774"/>
      <c r="AN571" s="774"/>
      <c r="AO571" s="78"/>
      <c r="AP571" s="774"/>
      <c r="AQ571" s="774"/>
      <c r="AR571" s="774"/>
      <c r="AS571" s="774"/>
      <c r="AT571" s="1119">
        <v>8.3829999999999991</v>
      </c>
      <c r="AU571" s="774"/>
      <c r="AV571" s="774"/>
      <c r="AW571" s="774"/>
      <c r="AX571" s="774"/>
      <c r="AY571" s="1119">
        <v>8.3829999999999991</v>
      </c>
      <c r="AZ571" s="774"/>
      <c r="BA571" s="774"/>
      <c r="BB571" s="774"/>
      <c r="BC571" s="774"/>
      <c r="BD571" s="1119">
        <v>8.3829999999999991</v>
      </c>
      <c r="BE571" s="774"/>
      <c r="BF571" s="774"/>
      <c r="BG571" s="774"/>
      <c r="BH571" s="774"/>
      <c r="BI571" s="1119">
        <v>8.3829999999999991</v>
      </c>
      <c r="BJ571" s="774"/>
      <c r="BK571" s="774"/>
      <c r="BL571" s="774"/>
      <c r="BM571" s="774"/>
      <c r="BN571" s="1119">
        <v>8.3829999999999991</v>
      </c>
      <c r="BO571" s="774"/>
      <c r="BP571" s="774"/>
      <c r="BQ571" s="774"/>
      <c r="BR571" s="774"/>
      <c r="BS571" s="78"/>
      <c r="BT571" s="775"/>
      <c r="BU571" s="774"/>
      <c r="BV571" s="774"/>
      <c r="BW571" s="774"/>
      <c r="BX571" s="78"/>
      <c r="BY571" s="774"/>
      <c r="BZ571" s="774"/>
      <c r="CA571" s="774"/>
      <c r="CB571" s="774"/>
      <c r="CC571" s="78"/>
      <c r="CD571" s="78"/>
      <c r="CE571" s="78"/>
      <c r="CF571" s="78"/>
      <c r="CG571" s="532"/>
    </row>
    <row r="572" spans="1:85" s="615" customFormat="1" x14ac:dyDescent="0.3">
      <c r="A572" s="522" t="s">
        <v>1681</v>
      </c>
      <c r="B572" s="521"/>
      <c r="C572" s="1122"/>
      <c r="D572" s="1122"/>
      <c r="E572" s="1122"/>
      <c r="F572" s="1122"/>
      <c r="G572" s="520"/>
      <c r="H572" s="520"/>
      <c r="I572" s="520"/>
      <c r="J572" s="520"/>
      <c r="K572" s="1122"/>
      <c r="L572" s="520"/>
      <c r="M572" s="520"/>
      <c r="N572" s="520"/>
      <c r="O572" s="520"/>
      <c r="P572" s="1122"/>
      <c r="Q572" s="520"/>
      <c r="R572" s="520"/>
      <c r="S572" s="520"/>
      <c r="T572" s="520"/>
      <c r="U572" s="1122"/>
      <c r="V572" s="520"/>
      <c r="W572" s="520"/>
      <c r="X572" s="520"/>
      <c r="Y572" s="520"/>
      <c r="Z572" s="1122"/>
      <c r="AA572" s="520"/>
      <c r="AB572" s="520"/>
      <c r="AC572" s="520"/>
      <c r="AD572" s="520"/>
      <c r="AE572" s="1122"/>
      <c r="AF572" s="520"/>
      <c r="AG572" s="520"/>
      <c r="AH572" s="520"/>
      <c r="AI572" s="520"/>
      <c r="AJ572" s="1122"/>
      <c r="AK572" s="520"/>
      <c r="AL572" s="520"/>
      <c r="AM572" s="520"/>
      <c r="AN572" s="520"/>
      <c r="AO572" s="1122"/>
      <c r="AP572" s="520"/>
      <c r="AQ572" s="520"/>
      <c r="AR572" s="520"/>
      <c r="AS572" s="520"/>
      <c r="AT572" s="1123">
        <v>364.08</v>
      </c>
      <c r="AU572" s="520"/>
      <c r="AV572" s="520"/>
      <c r="AW572" s="520"/>
      <c r="AX572" s="520"/>
      <c r="AY572" s="1123">
        <v>364.08</v>
      </c>
      <c r="AZ572" s="520"/>
      <c r="BA572" s="520"/>
      <c r="BB572" s="520"/>
      <c r="BC572" s="520"/>
      <c r="BD572" s="1123">
        <v>364.08</v>
      </c>
      <c r="BE572" s="520"/>
      <c r="BF572" s="520"/>
      <c r="BG572" s="520"/>
      <c r="BH572" s="520"/>
      <c r="BI572" s="1123">
        <v>364.08</v>
      </c>
      <c r="BJ572" s="520"/>
      <c r="BK572" s="520"/>
      <c r="BL572" s="520"/>
      <c r="BM572" s="520"/>
      <c r="BN572" s="1123">
        <v>364.08</v>
      </c>
      <c r="BO572" s="520"/>
      <c r="BP572" s="520"/>
      <c r="BQ572" s="520"/>
      <c r="BR572" s="520"/>
      <c r="BS572" s="1124"/>
      <c r="BT572" s="728"/>
      <c r="BU572" s="520"/>
      <c r="BV572" s="520"/>
      <c r="BW572" s="520"/>
      <c r="BX572" s="1122"/>
      <c r="BY572" s="520"/>
      <c r="BZ572" s="520"/>
      <c r="CA572" s="520"/>
      <c r="CB572" s="520"/>
      <c r="CC572" s="1122"/>
      <c r="CD572" s="1122"/>
      <c r="CE572" s="1122"/>
      <c r="CF572" s="1122"/>
      <c r="CG572" s="519"/>
    </row>
    <row r="573" spans="1:85" s="614" customFormat="1" x14ac:dyDescent="0.3">
      <c r="A573" s="522"/>
      <c r="B573" s="352"/>
      <c r="C573" s="1094"/>
      <c r="D573" s="1094"/>
      <c r="E573" s="1094"/>
      <c r="F573" s="1094"/>
      <c r="G573" s="197"/>
      <c r="H573" s="197"/>
      <c r="I573" s="197"/>
      <c r="J573" s="197"/>
      <c r="K573" s="1094"/>
      <c r="L573" s="197"/>
      <c r="M573" s="197"/>
      <c r="N573" s="197"/>
      <c r="O573" s="197"/>
      <c r="P573" s="1094"/>
      <c r="Q573" s="197"/>
      <c r="R573" s="197"/>
      <c r="S573" s="197"/>
      <c r="T573" s="197"/>
      <c r="U573" s="1094"/>
      <c r="V573" s="197"/>
      <c r="W573" s="197"/>
      <c r="X573" s="197"/>
      <c r="Y573" s="197"/>
      <c r="Z573" s="1094"/>
      <c r="AA573" s="197"/>
      <c r="AB573" s="197"/>
      <c r="AC573" s="197"/>
      <c r="AD573" s="197"/>
      <c r="AE573" s="1094"/>
      <c r="AF573" s="197"/>
      <c r="AG573" s="197"/>
      <c r="AH573" s="197"/>
      <c r="AI573" s="197"/>
      <c r="AJ573" s="1094"/>
      <c r="AK573" s="197"/>
      <c r="AL573" s="197"/>
      <c r="AM573" s="197"/>
      <c r="AN573" s="197"/>
      <c r="AO573" s="1094"/>
      <c r="AP573" s="197"/>
      <c r="AQ573" s="197"/>
      <c r="AR573" s="197"/>
      <c r="AS573" s="197"/>
      <c r="AT573" s="198"/>
      <c r="AU573" s="197"/>
      <c r="AV573" s="197"/>
      <c r="AW573" s="197"/>
      <c r="AX573" s="197"/>
      <c r="AY573" s="198"/>
      <c r="AZ573" s="197"/>
      <c r="BA573" s="197"/>
      <c r="BB573" s="197"/>
      <c r="BC573" s="197"/>
      <c r="BD573" s="198"/>
      <c r="BE573" s="197"/>
      <c r="BF573" s="197"/>
      <c r="BG573" s="197"/>
      <c r="BH573" s="197"/>
      <c r="BI573" s="198"/>
      <c r="BJ573" s="197"/>
      <c r="BK573" s="197"/>
      <c r="BL573" s="197"/>
      <c r="BM573" s="197"/>
      <c r="BN573" s="198"/>
      <c r="BO573" s="197"/>
      <c r="BP573" s="197"/>
      <c r="BQ573" s="197"/>
      <c r="BR573" s="197"/>
      <c r="BS573" s="198"/>
      <c r="BT573" s="727"/>
      <c r="BU573" s="197"/>
      <c r="BV573" s="197"/>
      <c r="BW573" s="197"/>
      <c r="BX573" s="1094"/>
      <c r="BY573" s="197"/>
      <c r="BZ573" s="197"/>
      <c r="CA573" s="197"/>
      <c r="CB573" s="197"/>
      <c r="CC573" s="1094"/>
      <c r="CD573" s="1094"/>
      <c r="CE573" s="1094"/>
      <c r="CF573" s="1094"/>
      <c r="CG573" s="349"/>
    </row>
    <row r="574" spans="1:85" s="613" customFormat="1" x14ac:dyDescent="0.3">
      <c r="A574" s="478" t="s">
        <v>1680</v>
      </c>
      <c r="B574" s="523"/>
      <c r="C574" s="78"/>
      <c r="D574" s="78"/>
      <c r="E574" s="78"/>
      <c r="F574" s="78"/>
      <c r="G574" s="774"/>
      <c r="H574" s="774"/>
      <c r="I574" s="774"/>
      <c r="J574" s="774"/>
      <c r="K574" s="78"/>
      <c r="L574" s="774"/>
      <c r="M574" s="774"/>
      <c r="N574" s="774"/>
      <c r="O574" s="774"/>
      <c r="P574" s="78"/>
      <c r="Q574" s="774"/>
      <c r="R574" s="774"/>
      <c r="S574" s="774"/>
      <c r="T574" s="774"/>
      <c r="U574" s="78"/>
      <c r="V574" s="774"/>
      <c r="W574" s="774"/>
      <c r="X574" s="774"/>
      <c r="Y574" s="774"/>
      <c r="Z574" s="78"/>
      <c r="AA574" s="774"/>
      <c r="AB574" s="774"/>
      <c r="AC574" s="774"/>
      <c r="AD574" s="774"/>
      <c r="AE574" s="78"/>
      <c r="AF574" s="774"/>
      <c r="AG574" s="774"/>
      <c r="AH574" s="774"/>
      <c r="AI574" s="774"/>
      <c r="AJ574" s="78"/>
      <c r="AK574" s="774"/>
      <c r="AL574" s="774"/>
      <c r="AM574" s="774"/>
      <c r="AN574" s="774"/>
      <c r="AO574" s="78"/>
      <c r="AP574" s="774"/>
      <c r="AQ574" s="774"/>
      <c r="AR574" s="774"/>
      <c r="AS574" s="774"/>
      <c r="AT574" s="1119">
        <v>7.35</v>
      </c>
      <c r="AU574" s="774"/>
      <c r="AV574" s="774"/>
      <c r="AW574" s="774"/>
      <c r="AX574" s="774"/>
      <c r="AY574" s="1119">
        <v>7.35</v>
      </c>
      <c r="AZ574" s="774"/>
      <c r="BA574" s="774"/>
      <c r="BB574" s="774"/>
      <c r="BC574" s="774"/>
      <c r="BD574" s="1119">
        <v>7.35</v>
      </c>
      <c r="BE574" s="774"/>
      <c r="BF574" s="774"/>
      <c r="BG574" s="774"/>
      <c r="BH574" s="774"/>
      <c r="BI574" s="1119">
        <v>7.35</v>
      </c>
      <c r="BJ574" s="774"/>
      <c r="BK574" s="774"/>
      <c r="BL574" s="774"/>
      <c r="BM574" s="774"/>
      <c r="BN574" s="1119">
        <v>7.35</v>
      </c>
      <c r="BO574" s="774"/>
      <c r="BP574" s="774"/>
      <c r="BQ574" s="774"/>
      <c r="BR574" s="774"/>
      <c r="BS574" s="78"/>
      <c r="BT574" s="775"/>
      <c r="BU574" s="774"/>
      <c r="BV574" s="774"/>
      <c r="BW574" s="774"/>
      <c r="BX574" s="78"/>
      <c r="BY574" s="774"/>
      <c r="BZ574" s="774"/>
      <c r="CA574" s="774"/>
      <c r="CB574" s="774"/>
      <c r="CC574" s="78"/>
      <c r="CD574" s="78"/>
      <c r="CE574" s="78"/>
      <c r="CF574" s="78"/>
      <c r="CG574" s="532"/>
    </row>
    <row r="575" spans="1:85" s="615" customFormat="1" x14ac:dyDescent="0.3">
      <c r="A575" s="522" t="s">
        <v>1679</v>
      </c>
      <c r="B575" s="521"/>
      <c r="C575" s="1122"/>
      <c r="D575" s="1122"/>
      <c r="E575" s="1122"/>
      <c r="F575" s="1122"/>
      <c r="G575" s="520"/>
      <c r="H575" s="520"/>
      <c r="I575" s="520"/>
      <c r="J575" s="520"/>
      <c r="K575" s="1122"/>
      <c r="L575" s="520"/>
      <c r="M575" s="520"/>
      <c r="N575" s="520"/>
      <c r="O575" s="520"/>
      <c r="P575" s="1122"/>
      <c r="Q575" s="520"/>
      <c r="R575" s="520"/>
      <c r="S575" s="520"/>
      <c r="T575" s="520"/>
      <c r="U575" s="1122"/>
      <c r="V575" s="520"/>
      <c r="W575" s="520"/>
      <c r="X575" s="520"/>
      <c r="Y575" s="520"/>
      <c r="Z575" s="1122"/>
      <c r="AA575" s="520"/>
      <c r="AB575" s="520"/>
      <c r="AC575" s="520"/>
      <c r="AD575" s="520"/>
      <c r="AE575" s="1122"/>
      <c r="AF575" s="520"/>
      <c r="AG575" s="520"/>
      <c r="AH575" s="520"/>
      <c r="AI575" s="520"/>
      <c r="AJ575" s="1122"/>
      <c r="AK575" s="520"/>
      <c r="AL575" s="520"/>
      <c r="AM575" s="520"/>
      <c r="AN575" s="520"/>
      <c r="AO575" s="1122"/>
      <c r="AP575" s="520"/>
      <c r="AQ575" s="520"/>
      <c r="AR575" s="520"/>
      <c r="AS575" s="520"/>
      <c r="AT575" s="1123">
        <v>415.27</v>
      </c>
      <c r="AU575" s="520"/>
      <c r="AV575" s="520"/>
      <c r="AW575" s="520"/>
      <c r="AX575" s="520"/>
      <c r="AY575" s="1123">
        <v>415.27</v>
      </c>
      <c r="AZ575" s="520"/>
      <c r="BA575" s="520"/>
      <c r="BB575" s="520"/>
      <c r="BC575" s="520"/>
      <c r="BD575" s="1123">
        <v>415.27</v>
      </c>
      <c r="BE575" s="520"/>
      <c r="BF575" s="520"/>
      <c r="BG575" s="520"/>
      <c r="BH575" s="520"/>
      <c r="BI575" s="1123">
        <v>415.27</v>
      </c>
      <c r="BJ575" s="520"/>
      <c r="BK575" s="520"/>
      <c r="BL575" s="520"/>
      <c r="BM575" s="520"/>
      <c r="BN575" s="1123">
        <v>415.27</v>
      </c>
      <c r="BO575" s="520"/>
      <c r="BP575" s="520"/>
      <c r="BQ575" s="520"/>
      <c r="BR575" s="520"/>
      <c r="BS575" s="1124"/>
      <c r="BT575" s="728"/>
      <c r="BU575" s="520"/>
      <c r="BV575" s="520"/>
      <c r="BW575" s="520"/>
      <c r="BX575" s="1122"/>
      <c r="BY575" s="520"/>
      <c r="BZ575" s="520"/>
      <c r="CA575" s="520"/>
      <c r="CB575" s="520"/>
      <c r="CC575" s="1122"/>
      <c r="CD575" s="1122"/>
      <c r="CE575" s="1122"/>
      <c r="CF575" s="1122"/>
      <c r="CG575" s="519"/>
    </row>
    <row r="576" spans="1:85" s="614" customFormat="1" x14ac:dyDescent="0.3">
      <c r="A576" s="522"/>
      <c r="B576" s="352"/>
      <c r="C576" s="1094"/>
      <c r="D576" s="1094"/>
      <c r="E576" s="1094"/>
      <c r="F576" s="1094"/>
      <c r="G576" s="197"/>
      <c r="H576" s="197"/>
      <c r="I576" s="197"/>
      <c r="J576" s="197"/>
      <c r="K576" s="1094"/>
      <c r="L576" s="197"/>
      <c r="M576" s="197"/>
      <c r="N576" s="197"/>
      <c r="O576" s="197"/>
      <c r="P576" s="1094"/>
      <c r="Q576" s="197"/>
      <c r="R576" s="197"/>
      <c r="S576" s="197"/>
      <c r="T576" s="197"/>
      <c r="U576" s="1094"/>
      <c r="V576" s="197"/>
      <c r="W576" s="197"/>
      <c r="X576" s="197"/>
      <c r="Y576" s="197"/>
      <c r="Z576" s="1094"/>
      <c r="AA576" s="197"/>
      <c r="AB576" s="197"/>
      <c r="AC576" s="197"/>
      <c r="AD576" s="197"/>
      <c r="AE576" s="1094"/>
      <c r="AF576" s="197"/>
      <c r="AG576" s="197"/>
      <c r="AH576" s="197"/>
      <c r="AI576" s="197"/>
      <c r="AJ576" s="1094"/>
      <c r="AK576" s="197"/>
      <c r="AL576" s="197"/>
      <c r="AM576" s="197"/>
      <c r="AN576" s="197"/>
      <c r="AO576" s="1094"/>
      <c r="AP576" s="197"/>
      <c r="AQ576" s="197"/>
      <c r="AR576" s="197"/>
      <c r="AS576" s="197"/>
      <c r="AT576" s="198"/>
      <c r="AU576" s="197"/>
      <c r="AV576" s="197"/>
      <c r="AW576" s="197"/>
      <c r="AX576" s="197"/>
      <c r="AY576" s="198"/>
      <c r="AZ576" s="197"/>
      <c r="BA576" s="197"/>
      <c r="BB576" s="197"/>
      <c r="BC576" s="197"/>
      <c r="BD576" s="198"/>
      <c r="BE576" s="197"/>
      <c r="BF576" s="197"/>
      <c r="BG576" s="197"/>
      <c r="BH576" s="197"/>
      <c r="BI576" s="198"/>
      <c r="BJ576" s="197"/>
      <c r="BK576" s="197"/>
      <c r="BL576" s="197"/>
      <c r="BM576" s="197"/>
      <c r="BN576" s="198"/>
      <c r="BO576" s="197"/>
      <c r="BP576" s="197"/>
      <c r="BQ576" s="197"/>
      <c r="BR576" s="197"/>
      <c r="BS576" s="198"/>
      <c r="BT576" s="727"/>
      <c r="BU576" s="197"/>
      <c r="BV576" s="197"/>
      <c r="BW576" s="197"/>
      <c r="BX576" s="1094"/>
      <c r="BY576" s="197"/>
      <c r="BZ576" s="197"/>
      <c r="CA576" s="197"/>
      <c r="CB576" s="197"/>
      <c r="CC576" s="1094"/>
      <c r="CD576" s="1094"/>
      <c r="CE576" s="1094"/>
      <c r="CF576" s="1094"/>
      <c r="CG576" s="349"/>
    </row>
    <row r="577" spans="1:85" s="613" customFormat="1" x14ac:dyDescent="0.3">
      <c r="A577" s="478" t="s">
        <v>1678</v>
      </c>
      <c r="B577" s="523"/>
      <c r="C577" s="78"/>
      <c r="D577" s="78"/>
      <c r="E577" s="78"/>
      <c r="F577" s="78"/>
      <c r="G577" s="774"/>
      <c r="H577" s="774"/>
      <c r="I577" s="774"/>
      <c r="J577" s="774"/>
      <c r="K577" s="78"/>
      <c r="L577" s="774"/>
      <c r="M577" s="774"/>
      <c r="N577" s="774"/>
      <c r="O577" s="774"/>
      <c r="P577" s="78"/>
      <c r="Q577" s="774"/>
      <c r="R577" s="774"/>
      <c r="S577" s="774"/>
      <c r="T577" s="774"/>
      <c r="U577" s="78"/>
      <c r="V577" s="774"/>
      <c r="W577" s="774"/>
      <c r="X577" s="774"/>
      <c r="Y577" s="774"/>
      <c r="Z577" s="78"/>
      <c r="AA577" s="774"/>
      <c r="AB577" s="774"/>
      <c r="AC577" s="774"/>
      <c r="AD577" s="774"/>
      <c r="AE577" s="78"/>
      <c r="AF577" s="774"/>
      <c r="AG577" s="774"/>
      <c r="AH577" s="774"/>
      <c r="AI577" s="774"/>
      <c r="AJ577" s="78"/>
      <c r="AK577" s="774"/>
      <c r="AL577" s="774"/>
      <c r="AM577" s="774"/>
      <c r="AN577" s="774"/>
      <c r="AO577" s="78"/>
      <c r="AP577" s="774"/>
      <c r="AQ577" s="774"/>
      <c r="AR577" s="774"/>
      <c r="AS577" s="774"/>
      <c r="AT577" s="1119">
        <v>7.1660000000000004</v>
      </c>
      <c r="AU577" s="774"/>
      <c r="AV577" s="774"/>
      <c r="AW577" s="774"/>
      <c r="AX577" s="774"/>
      <c r="AY577" s="1119">
        <v>7.1660000000000004</v>
      </c>
      <c r="AZ577" s="774"/>
      <c r="BA577" s="774"/>
      <c r="BB577" s="774"/>
      <c r="BC577" s="774"/>
      <c r="BD577" s="1119">
        <v>7.1660000000000004</v>
      </c>
      <c r="BE577" s="774"/>
      <c r="BF577" s="774"/>
      <c r="BG577" s="774"/>
      <c r="BH577" s="774"/>
      <c r="BI577" s="1119">
        <v>7.1660000000000004</v>
      </c>
      <c r="BJ577" s="774"/>
      <c r="BK577" s="774"/>
      <c r="BL577" s="774"/>
      <c r="BM577" s="774"/>
      <c r="BN577" s="1119">
        <v>7.1660000000000004</v>
      </c>
      <c r="BO577" s="774"/>
      <c r="BP577" s="774"/>
      <c r="BQ577" s="774"/>
      <c r="BR577" s="774"/>
      <c r="BS577" s="78"/>
      <c r="BT577" s="775"/>
      <c r="BU577" s="774"/>
      <c r="BV577" s="774"/>
      <c r="BW577" s="774"/>
      <c r="BX577" s="78"/>
      <c r="BY577" s="774"/>
      <c r="BZ577" s="774"/>
      <c r="CA577" s="774"/>
      <c r="CB577" s="774"/>
      <c r="CC577" s="78"/>
      <c r="CD577" s="78"/>
      <c r="CE577" s="78"/>
      <c r="CF577" s="78"/>
      <c r="CG577" s="532"/>
    </row>
    <row r="578" spans="1:85" s="615" customFormat="1" x14ac:dyDescent="0.3">
      <c r="A578" s="522" t="s">
        <v>1677</v>
      </c>
      <c r="B578" s="521"/>
      <c r="C578" s="1122"/>
      <c r="D578" s="1122"/>
      <c r="E578" s="1122"/>
      <c r="F578" s="1122"/>
      <c r="G578" s="520"/>
      <c r="H578" s="520"/>
      <c r="I578" s="520"/>
      <c r="J578" s="520"/>
      <c r="K578" s="1122"/>
      <c r="L578" s="520"/>
      <c r="M578" s="520"/>
      <c r="N578" s="520"/>
      <c r="O578" s="520"/>
      <c r="P578" s="1122"/>
      <c r="Q578" s="520"/>
      <c r="R578" s="520"/>
      <c r="S578" s="520"/>
      <c r="T578" s="520"/>
      <c r="U578" s="1122"/>
      <c r="V578" s="520"/>
      <c r="W578" s="520"/>
      <c r="X578" s="520"/>
      <c r="Y578" s="520"/>
      <c r="Z578" s="1122"/>
      <c r="AA578" s="520"/>
      <c r="AB578" s="520"/>
      <c r="AC578" s="520"/>
      <c r="AD578" s="520"/>
      <c r="AE578" s="1122"/>
      <c r="AF578" s="520"/>
      <c r="AG578" s="520"/>
      <c r="AH578" s="520"/>
      <c r="AI578" s="520"/>
      <c r="AJ578" s="1122"/>
      <c r="AK578" s="520"/>
      <c r="AL578" s="520"/>
      <c r="AM578" s="520"/>
      <c r="AN578" s="520"/>
      <c r="AO578" s="1122"/>
      <c r="AP578" s="520"/>
      <c r="AQ578" s="520"/>
      <c r="AR578" s="520"/>
      <c r="AS578" s="520"/>
      <c r="AT578" s="1123">
        <v>425.92</v>
      </c>
      <c r="AU578" s="520"/>
      <c r="AV578" s="520"/>
      <c r="AW578" s="520"/>
      <c r="AX578" s="520"/>
      <c r="AY578" s="1123">
        <v>425.92</v>
      </c>
      <c r="AZ578" s="520"/>
      <c r="BA578" s="520"/>
      <c r="BB578" s="520"/>
      <c r="BC578" s="520"/>
      <c r="BD578" s="1123">
        <v>425.92</v>
      </c>
      <c r="BE578" s="520"/>
      <c r="BF578" s="520"/>
      <c r="BG578" s="520"/>
      <c r="BH578" s="520"/>
      <c r="BI578" s="1123">
        <v>425.92</v>
      </c>
      <c r="BJ578" s="520"/>
      <c r="BK578" s="520"/>
      <c r="BL578" s="520"/>
      <c r="BM578" s="520"/>
      <c r="BN578" s="1123">
        <v>425.92</v>
      </c>
      <c r="BO578" s="520"/>
      <c r="BP578" s="520"/>
      <c r="BQ578" s="520"/>
      <c r="BR578" s="520"/>
      <c r="BS578" s="1124"/>
      <c r="BT578" s="728"/>
      <c r="BU578" s="520"/>
      <c r="BV578" s="520"/>
      <c r="BW578" s="520"/>
      <c r="BX578" s="1122"/>
      <c r="BY578" s="520"/>
      <c r="BZ578" s="520"/>
      <c r="CA578" s="520"/>
      <c r="CB578" s="520"/>
      <c r="CC578" s="1122"/>
      <c r="CD578" s="1122"/>
      <c r="CE578" s="1122"/>
      <c r="CF578" s="1122"/>
      <c r="CG578" s="519"/>
    </row>
    <row r="579" spans="1:85" s="614" customFormat="1" x14ac:dyDescent="0.3">
      <c r="A579" s="522"/>
      <c r="B579" s="352"/>
      <c r="C579" s="1094"/>
      <c r="D579" s="1094"/>
      <c r="E579" s="1094"/>
      <c r="F579" s="1094"/>
      <c r="G579" s="197"/>
      <c r="H579" s="197"/>
      <c r="I579" s="197"/>
      <c r="J579" s="197"/>
      <c r="K579" s="1094"/>
      <c r="L579" s="197"/>
      <c r="M579" s="197"/>
      <c r="N579" s="197"/>
      <c r="O579" s="197"/>
      <c r="P579" s="1094"/>
      <c r="Q579" s="197"/>
      <c r="R579" s="197"/>
      <c r="S579" s="197"/>
      <c r="T579" s="197"/>
      <c r="U579" s="1094"/>
      <c r="V579" s="197"/>
      <c r="W579" s="197"/>
      <c r="X579" s="197"/>
      <c r="Y579" s="197"/>
      <c r="Z579" s="1094"/>
      <c r="AA579" s="197"/>
      <c r="AB579" s="197"/>
      <c r="AC579" s="197"/>
      <c r="AD579" s="197"/>
      <c r="AE579" s="1094"/>
      <c r="AF579" s="197"/>
      <c r="AG579" s="197"/>
      <c r="AH579" s="197"/>
      <c r="AI579" s="197"/>
      <c r="AJ579" s="1094"/>
      <c r="AK579" s="197"/>
      <c r="AL579" s="197"/>
      <c r="AM579" s="197"/>
      <c r="AN579" s="197"/>
      <c r="AO579" s="1094"/>
      <c r="AP579" s="197"/>
      <c r="AQ579" s="197"/>
      <c r="AR579" s="197"/>
      <c r="AS579" s="197"/>
      <c r="AT579" s="198"/>
      <c r="AU579" s="197"/>
      <c r="AV579" s="197"/>
      <c r="AW579" s="197"/>
      <c r="AX579" s="197"/>
      <c r="AY579" s="198"/>
      <c r="AZ579" s="197"/>
      <c r="BA579" s="197"/>
      <c r="BB579" s="197"/>
      <c r="BC579" s="197"/>
      <c r="BD579" s="198"/>
      <c r="BE579" s="197"/>
      <c r="BF579" s="197"/>
      <c r="BG579" s="197"/>
      <c r="BH579" s="197"/>
      <c r="BI579" s="198"/>
      <c r="BJ579" s="197"/>
      <c r="BK579" s="197"/>
      <c r="BL579" s="197"/>
      <c r="BM579" s="197"/>
      <c r="BN579" s="198"/>
      <c r="BO579" s="197"/>
      <c r="BP579" s="197"/>
      <c r="BQ579" s="197"/>
      <c r="BR579" s="197"/>
      <c r="BS579" s="198"/>
      <c r="BT579" s="727"/>
      <c r="BU579" s="197"/>
      <c r="BV579" s="197"/>
      <c r="BW579" s="197"/>
      <c r="BX579" s="1094"/>
      <c r="BY579" s="197"/>
      <c r="BZ579" s="197"/>
      <c r="CA579" s="197"/>
      <c r="CB579" s="197"/>
      <c r="CC579" s="1094"/>
      <c r="CD579" s="1094"/>
      <c r="CE579" s="1094"/>
      <c r="CF579" s="1094"/>
      <c r="CG579" s="349"/>
    </row>
    <row r="580" spans="1:85" s="613" customFormat="1" x14ac:dyDescent="0.3">
      <c r="A580" s="478" t="s">
        <v>1676</v>
      </c>
      <c r="B580" s="523"/>
      <c r="C580" s="78"/>
      <c r="D580" s="78"/>
      <c r="E580" s="78"/>
      <c r="F580" s="78"/>
      <c r="G580" s="774"/>
      <c r="H580" s="774"/>
      <c r="I580" s="774"/>
      <c r="J580" s="774"/>
      <c r="K580" s="78"/>
      <c r="L580" s="774"/>
      <c r="M580" s="774"/>
      <c r="N580" s="774"/>
      <c r="O580" s="774"/>
      <c r="P580" s="78"/>
      <c r="Q580" s="774"/>
      <c r="R580" s="774"/>
      <c r="S580" s="774"/>
      <c r="T580" s="774"/>
      <c r="U580" s="78"/>
      <c r="V580" s="774"/>
      <c r="W580" s="774"/>
      <c r="X580" s="774"/>
      <c r="Y580" s="774"/>
      <c r="Z580" s="78"/>
      <c r="AA580" s="774"/>
      <c r="AB580" s="774"/>
      <c r="AC580" s="774"/>
      <c r="AD580" s="774"/>
      <c r="AE580" s="78"/>
      <c r="AF580" s="774"/>
      <c r="AG580" s="774"/>
      <c r="AH580" s="774"/>
      <c r="AI580" s="774"/>
      <c r="AJ580" s="78"/>
      <c r="AK580" s="774"/>
      <c r="AL580" s="774"/>
      <c r="AM580" s="774"/>
      <c r="AN580" s="774"/>
      <c r="AO580" s="78"/>
      <c r="AP580" s="774"/>
      <c r="AQ580" s="774"/>
      <c r="AR580" s="774"/>
      <c r="AS580" s="774"/>
      <c r="AT580" s="1119">
        <v>6.2839999999999998</v>
      </c>
      <c r="AU580" s="774"/>
      <c r="AV580" s="774"/>
      <c r="AW580" s="774"/>
      <c r="AX580" s="774"/>
      <c r="AY580" s="1119">
        <v>6.2839999999999998</v>
      </c>
      <c r="AZ580" s="774"/>
      <c r="BA580" s="774"/>
      <c r="BB580" s="774"/>
      <c r="BC580" s="774"/>
      <c r="BD580" s="1119">
        <v>6.2839999999999998</v>
      </c>
      <c r="BE580" s="774"/>
      <c r="BF580" s="774"/>
      <c r="BG580" s="774"/>
      <c r="BH580" s="774"/>
      <c r="BI580" s="1119">
        <v>6.2839999999999998</v>
      </c>
      <c r="BJ580" s="774"/>
      <c r="BK580" s="774"/>
      <c r="BL580" s="774"/>
      <c r="BM580" s="774"/>
      <c r="BN580" s="1119">
        <v>6.2839999999999998</v>
      </c>
      <c r="BO580" s="774"/>
      <c r="BP580" s="774"/>
      <c r="BQ580" s="774"/>
      <c r="BR580" s="774"/>
      <c r="BS580" s="78"/>
      <c r="BT580" s="775"/>
      <c r="BU580" s="774"/>
      <c r="BV580" s="774"/>
      <c r="BW580" s="774"/>
      <c r="BX580" s="78"/>
      <c r="BY580" s="774"/>
      <c r="BZ580" s="774"/>
      <c r="CA580" s="774"/>
      <c r="CB580" s="774"/>
      <c r="CC580" s="78"/>
      <c r="CD580" s="78"/>
      <c r="CE580" s="78"/>
      <c r="CF580" s="78"/>
      <c r="CG580" s="532"/>
    </row>
    <row r="581" spans="1:85" s="615" customFormat="1" x14ac:dyDescent="0.3">
      <c r="A581" s="522" t="s">
        <v>1675</v>
      </c>
      <c r="B581" s="521"/>
      <c r="C581" s="1122"/>
      <c r="D581" s="1122"/>
      <c r="E581" s="1122"/>
      <c r="F581" s="1122"/>
      <c r="G581" s="520"/>
      <c r="H581" s="520"/>
      <c r="I581" s="520"/>
      <c r="J581" s="520"/>
      <c r="K581" s="1122"/>
      <c r="L581" s="520"/>
      <c r="M581" s="520"/>
      <c r="N581" s="520"/>
      <c r="O581" s="520"/>
      <c r="P581" s="1122"/>
      <c r="Q581" s="520"/>
      <c r="R581" s="520"/>
      <c r="S581" s="520"/>
      <c r="T581" s="520"/>
      <c r="U581" s="1122"/>
      <c r="V581" s="520"/>
      <c r="W581" s="520"/>
      <c r="X581" s="520"/>
      <c r="Y581" s="520"/>
      <c r="Z581" s="1122"/>
      <c r="AA581" s="520"/>
      <c r="AB581" s="520"/>
      <c r="AC581" s="520"/>
      <c r="AD581" s="520"/>
      <c r="AE581" s="1122"/>
      <c r="AF581" s="520"/>
      <c r="AG581" s="520"/>
      <c r="AH581" s="520"/>
      <c r="AI581" s="520"/>
      <c r="AJ581" s="1122"/>
      <c r="AK581" s="520"/>
      <c r="AL581" s="520"/>
      <c r="AM581" s="520"/>
      <c r="AN581" s="520"/>
      <c r="AO581" s="1122"/>
      <c r="AP581" s="520"/>
      <c r="AQ581" s="520"/>
      <c r="AR581" s="520"/>
      <c r="AS581" s="520"/>
      <c r="AT581" s="1123">
        <v>485.64</v>
      </c>
      <c r="AU581" s="520"/>
      <c r="AV581" s="520"/>
      <c r="AW581" s="520"/>
      <c r="AX581" s="520"/>
      <c r="AY581" s="1123">
        <v>485.64</v>
      </c>
      <c r="AZ581" s="520"/>
      <c r="BA581" s="520"/>
      <c r="BB581" s="520"/>
      <c r="BC581" s="520"/>
      <c r="BD581" s="1123">
        <v>485.64</v>
      </c>
      <c r="BE581" s="520"/>
      <c r="BF581" s="520"/>
      <c r="BG581" s="520"/>
      <c r="BH581" s="520"/>
      <c r="BI581" s="1123">
        <v>485.64</v>
      </c>
      <c r="BJ581" s="520"/>
      <c r="BK581" s="520"/>
      <c r="BL581" s="520"/>
      <c r="BM581" s="520"/>
      <c r="BN581" s="1123">
        <v>485.64</v>
      </c>
      <c r="BO581" s="520"/>
      <c r="BP581" s="520"/>
      <c r="BQ581" s="520"/>
      <c r="BR581" s="520"/>
      <c r="BS581" s="1124"/>
      <c r="BT581" s="728"/>
      <c r="BU581" s="520"/>
      <c r="BV581" s="520"/>
      <c r="BW581" s="520"/>
      <c r="BX581" s="1122"/>
      <c r="BY581" s="520"/>
      <c r="BZ581" s="520"/>
      <c r="CA581" s="520"/>
      <c r="CB581" s="520"/>
      <c r="CC581" s="1122"/>
      <c r="CD581" s="1122"/>
      <c r="CE581" s="1122"/>
      <c r="CF581" s="1122"/>
      <c r="CG581" s="519"/>
    </row>
    <row r="582" spans="1:85" s="614" customFormat="1" x14ac:dyDescent="0.3">
      <c r="A582" s="522"/>
      <c r="B582" s="352"/>
      <c r="C582" s="1094"/>
      <c r="D582" s="1094"/>
      <c r="E582" s="1094"/>
      <c r="F582" s="1094"/>
      <c r="G582" s="197"/>
      <c r="H582" s="197"/>
      <c r="I582" s="197"/>
      <c r="J582" s="197"/>
      <c r="K582" s="1094"/>
      <c r="L582" s="197"/>
      <c r="M582" s="197"/>
      <c r="N582" s="197"/>
      <c r="O582" s="197"/>
      <c r="P582" s="1094"/>
      <c r="Q582" s="197"/>
      <c r="R582" s="197"/>
      <c r="S582" s="197"/>
      <c r="T582" s="197"/>
      <c r="U582" s="1094"/>
      <c r="V582" s="197"/>
      <c r="W582" s="197"/>
      <c r="X582" s="197"/>
      <c r="Y582" s="197"/>
      <c r="Z582" s="1094"/>
      <c r="AA582" s="197"/>
      <c r="AB582" s="197"/>
      <c r="AC582" s="197"/>
      <c r="AD582" s="197"/>
      <c r="AE582" s="1094"/>
      <c r="AF582" s="197"/>
      <c r="AG582" s="197"/>
      <c r="AH582" s="197"/>
      <c r="AI582" s="197"/>
      <c r="AJ582" s="1094"/>
      <c r="AK582" s="197"/>
      <c r="AL582" s="197"/>
      <c r="AM582" s="197"/>
      <c r="AN582" s="197"/>
      <c r="AO582" s="1094"/>
      <c r="AP582" s="197"/>
      <c r="AQ582" s="197"/>
      <c r="AR582" s="197"/>
      <c r="AS582" s="197"/>
      <c r="AT582" s="198"/>
      <c r="AU582" s="197"/>
      <c r="AV582" s="197"/>
      <c r="AW582" s="197"/>
      <c r="AX582" s="197"/>
      <c r="AY582" s="198"/>
      <c r="AZ582" s="197"/>
      <c r="BA582" s="197"/>
      <c r="BB582" s="197"/>
      <c r="BC582" s="197"/>
      <c r="BD582" s="198"/>
      <c r="BE582" s="197"/>
      <c r="BF582" s="197"/>
      <c r="BG582" s="197"/>
      <c r="BH582" s="197"/>
      <c r="BI582" s="198"/>
      <c r="BJ582" s="197"/>
      <c r="BK582" s="197"/>
      <c r="BL582" s="197"/>
      <c r="BM582" s="197"/>
      <c r="BN582" s="198"/>
      <c r="BO582" s="197"/>
      <c r="BP582" s="197"/>
      <c r="BQ582" s="197"/>
      <c r="BR582" s="197"/>
      <c r="BS582" s="198"/>
      <c r="BT582" s="727"/>
      <c r="BU582" s="197"/>
      <c r="BV582" s="197"/>
      <c r="BW582" s="197"/>
      <c r="BX582" s="1094"/>
      <c r="BY582" s="197"/>
      <c r="BZ582" s="197"/>
      <c r="CA582" s="197"/>
      <c r="CB582" s="197"/>
      <c r="CC582" s="1094"/>
      <c r="CD582" s="1094"/>
      <c r="CE582" s="1094"/>
      <c r="CF582" s="1094"/>
      <c r="CG582" s="349"/>
    </row>
    <row r="583" spans="1:85" s="613" customFormat="1" x14ac:dyDescent="0.3">
      <c r="A583" s="478" t="s">
        <v>1674</v>
      </c>
      <c r="B583" s="523"/>
      <c r="C583" s="78"/>
      <c r="D583" s="78"/>
      <c r="E583" s="78"/>
      <c r="F583" s="78"/>
      <c r="G583" s="774"/>
      <c r="H583" s="774"/>
      <c r="I583" s="774"/>
      <c r="J583" s="774"/>
      <c r="K583" s="78"/>
      <c r="L583" s="774"/>
      <c r="M583" s="774"/>
      <c r="N583" s="774"/>
      <c r="O583" s="774"/>
      <c r="P583" s="78"/>
      <c r="Q583" s="774"/>
      <c r="R583" s="774"/>
      <c r="S583" s="774"/>
      <c r="T583" s="774"/>
      <c r="U583" s="78"/>
      <c r="V583" s="774"/>
      <c r="W583" s="774"/>
      <c r="X583" s="774"/>
      <c r="Y583" s="774"/>
      <c r="Z583" s="78"/>
      <c r="AA583" s="774"/>
      <c r="AB583" s="774"/>
      <c r="AC583" s="774"/>
      <c r="AD583" s="774"/>
      <c r="AE583" s="78"/>
      <c r="AF583" s="774"/>
      <c r="AG583" s="774"/>
      <c r="AH583" s="774"/>
      <c r="AI583" s="774"/>
      <c r="AJ583" s="78"/>
      <c r="AK583" s="774"/>
      <c r="AL583" s="774"/>
      <c r="AM583" s="774"/>
      <c r="AN583" s="774"/>
      <c r="AO583" s="78"/>
      <c r="AP583" s="774"/>
      <c r="AQ583" s="774"/>
      <c r="AR583" s="774"/>
      <c r="AS583" s="774"/>
      <c r="AT583" s="1119">
        <v>6.1210000000000004</v>
      </c>
      <c r="AU583" s="774"/>
      <c r="AV583" s="774"/>
      <c r="AW583" s="774"/>
      <c r="AX583" s="774"/>
      <c r="AY583" s="1119">
        <v>6.1210000000000004</v>
      </c>
      <c r="AZ583" s="774"/>
      <c r="BA583" s="774"/>
      <c r="BB583" s="774"/>
      <c r="BC583" s="774"/>
      <c r="BD583" s="1119">
        <v>6.1210000000000004</v>
      </c>
      <c r="BE583" s="774"/>
      <c r="BF583" s="774"/>
      <c r="BG583" s="774"/>
      <c r="BH583" s="774"/>
      <c r="BI583" s="1119">
        <v>6.1210000000000004</v>
      </c>
      <c r="BJ583" s="774"/>
      <c r="BK583" s="774"/>
      <c r="BL583" s="774"/>
      <c r="BM583" s="774"/>
      <c r="BN583" s="1119">
        <v>6.1210000000000004</v>
      </c>
      <c r="BO583" s="774"/>
      <c r="BP583" s="774"/>
      <c r="BQ583" s="774"/>
      <c r="BR583" s="774"/>
      <c r="BS583" s="78"/>
      <c r="BT583" s="775"/>
      <c r="BU583" s="774"/>
      <c r="BV583" s="774"/>
      <c r="BW583" s="774"/>
      <c r="BX583" s="78"/>
      <c r="BY583" s="774"/>
      <c r="BZ583" s="774"/>
      <c r="CA583" s="774"/>
      <c r="CB583" s="774"/>
      <c r="CC583" s="78"/>
      <c r="CD583" s="78"/>
      <c r="CE583" s="78"/>
      <c r="CF583" s="78"/>
      <c r="CG583" s="532"/>
    </row>
    <row r="584" spans="1:85" s="615" customFormat="1" x14ac:dyDescent="0.3">
      <c r="A584" s="522" t="s">
        <v>1673</v>
      </c>
      <c r="B584" s="521"/>
      <c r="C584" s="1122"/>
      <c r="D584" s="1122"/>
      <c r="E584" s="1122"/>
      <c r="F584" s="1122"/>
      <c r="G584" s="520"/>
      <c r="H584" s="520"/>
      <c r="I584" s="520"/>
      <c r="J584" s="520"/>
      <c r="K584" s="1122"/>
      <c r="L584" s="520"/>
      <c r="M584" s="520"/>
      <c r="N584" s="520"/>
      <c r="O584" s="520"/>
      <c r="P584" s="1122"/>
      <c r="Q584" s="520"/>
      <c r="R584" s="520"/>
      <c r="S584" s="520"/>
      <c r="T584" s="520"/>
      <c r="U584" s="1122"/>
      <c r="V584" s="520"/>
      <c r="W584" s="520"/>
      <c r="X584" s="520"/>
      <c r="Y584" s="520"/>
      <c r="Z584" s="1122"/>
      <c r="AA584" s="520"/>
      <c r="AB584" s="520"/>
      <c r="AC584" s="520"/>
      <c r="AD584" s="520"/>
      <c r="AE584" s="1122"/>
      <c r="AF584" s="520"/>
      <c r="AG584" s="520"/>
      <c r="AH584" s="520"/>
      <c r="AI584" s="520"/>
      <c r="AJ584" s="1122"/>
      <c r="AK584" s="520"/>
      <c r="AL584" s="520"/>
      <c r="AM584" s="520"/>
      <c r="AN584" s="520"/>
      <c r="AO584" s="1122"/>
      <c r="AP584" s="520"/>
      <c r="AQ584" s="520"/>
      <c r="AR584" s="520"/>
      <c r="AS584" s="520"/>
      <c r="AT584" s="1123">
        <v>498.62</v>
      </c>
      <c r="AU584" s="520"/>
      <c r="AV584" s="520"/>
      <c r="AW584" s="520"/>
      <c r="AX584" s="520"/>
      <c r="AY584" s="1123">
        <v>498.62</v>
      </c>
      <c r="AZ584" s="520"/>
      <c r="BA584" s="520"/>
      <c r="BB584" s="520"/>
      <c r="BC584" s="520"/>
      <c r="BD584" s="1123">
        <v>498.62</v>
      </c>
      <c r="BE584" s="520"/>
      <c r="BF584" s="520"/>
      <c r="BG584" s="520"/>
      <c r="BH584" s="520"/>
      <c r="BI584" s="1123">
        <v>498.62</v>
      </c>
      <c r="BJ584" s="520"/>
      <c r="BK584" s="520"/>
      <c r="BL584" s="520"/>
      <c r="BM584" s="520"/>
      <c r="BN584" s="1123">
        <v>498.62</v>
      </c>
      <c r="BO584" s="520"/>
      <c r="BP584" s="520"/>
      <c r="BQ584" s="520"/>
      <c r="BR584" s="520"/>
      <c r="BS584" s="1124"/>
      <c r="BT584" s="728"/>
      <c r="BU584" s="520"/>
      <c r="BV584" s="520"/>
      <c r="BW584" s="520"/>
      <c r="BX584" s="1122"/>
      <c r="BY584" s="520"/>
      <c r="BZ584" s="520"/>
      <c r="CA584" s="520"/>
      <c r="CB584" s="520"/>
      <c r="CC584" s="1122"/>
      <c r="CD584" s="1122"/>
      <c r="CE584" s="1122"/>
      <c r="CF584" s="1122"/>
      <c r="CG584" s="519"/>
    </row>
    <row r="585" spans="1:85" s="614" customFormat="1" x14ac:dyDescent="0.3">
      <c r="A585" s="522"/>
      <c r="B585" s="352"/>
      <c r="C585" s="1094"/>
      <c r="D585" s="1094"/>
      <c r="E585" s="1094"/>
      <c r="F585" s="1094"/>
      <c r="G585" s="197"/>
      <c r="H585" s="197"/>
      <c r="I585" s="197"/>
      <c r="J585" s="197"/>
      <c r="K585" s="1094"/>
      <c r="L585" s="197"/>
      <c r="M585" s="197"/>
      <c r="N585" s="197"/>
      <c r="O585" s="197"/>
      <c r="P585" s="1094"/>
      <c r="Q585" s="197"/>
      <c r="R585" s="197"/>
      <c r="S585" s="197"/>
      <c r="T585" s="197"/>
      <c r="U585" s="1094"/>
      <c r="V585" s="197"/>
      <c r="W585" s="197"/>
      <c r="X585" s="197"/>
      <c r="Y585" s="197"/>
      <c r="Z585" s="1094"/>
      <c r="AA585" s="197"/>
      <c r="AB585" s="197"/>
      <c r="AC585" s="197"/>
      <c r="AD585" s="197"/>
      <c r="AE585" s="1094"/>
      <c r="AF585" s="197"/>
      <c r="AG585" s="197"/>
      <c r="AH585" s="197"/>
      <c r="AI585" s="197"/>
      <c r="AJ585" s="1094"/>
      <c r="AK585" s="197"/>
      <c r="AL585" s="197"/>
      <c r="AM585" s="197"/>
      <c r="AN585" s="197"/>
      <c r="AO585" s="1094"/>
      <c r="AP585" s="197"/>
      <c r="AQ585" s="197"/>
      <c r="AR585" s="197"/>
      <c r="AS585" s="197"/>
      <c r="AT585" s="198"/>
      <c r="AU585" s="197"/>
      <c r="AV585" s="197"/>
      <c r="AW585" s="197"/>
      <c r="AX585" s="197"/>
      <c r="AY585" s="198"/>
      <c r="AZ585" s="197"/>
      <c r="BA585" s="197"/>
      <c r="BB585" s="197"/>
      <c r="BC585" s="197"/>
      <c r="BD585" s="198"/>
      <c r="BE585" s="197"/>
      <c r="BF585" s="197"/>
      <c r="BG585" s="197"/>
      <c r="BH585" s="197"/>
      <c r="BI585" s="198"/>
      <c r="BJ585" s="197"/>
      <c r="BK585" s="197"/>
      <c r="BL585" s="197"/>
      <c r="BM585" s="197"/>
      <c r="BN585" s="198"/>
      <c r="BO585" s="197"/>
      <c r="BP585" s="197"/>
      <c r="BQ585" s="197"/>
      <c r="BR585" s="197"/>
      <c r="BS585" s="198"/>
      <c r="BT585" s="727"/>
      <c r="BU585" s="197"/>
      <c r="BV585" s="197"/>
      <c r="BW585" s="197"/>
      <c r="BX585" s="1094"/>
      <c r="BY585" s="197"/>
      <c r="BZ585" s="197"/>
      <c r="CA585" s="197"/>
      <c r="CB585" s="197"/>
      <c r="CC585" s="1094"/>
      <c r="CD585" s="1094"/>
      <c r="CE585" s="1094"/>
      <c r="CF585" s="1094"/>
      <c r="CG585" s="349"/>
    </row>
    <row r="586" spans="1:85" s="613" customFormat="1" x14ac:dyDescent="0.3">
      <c r="A586" s="478" t="s">
        <v>1672</v>
      </c>
      <c r="B586" s="523"/>
      <c r="C586" s="78"/>
      <c r="D586" s="78"/>
      <c r="E586" s="78"/>
      <c r="F586" s="78"/>
      <c r="G586" s="774"/>
      <c r="H586" s="774"/>
      <c r="I586" s="774"/>
      <c r="J586" s="774"/>
      <c r="K586" s="78"/>
      <c r="L586" s="774"/>
      <c r="M586" s="774"/>
      <c r="N586" s="774"/>
      <c r="O586" s="774"/>
      <c r="P586" s="78"/>
      <c r="Q586" s="774"/>
      <c r="R586" s="774"/>
      <c r="S586" s="774"/>
      <c r="T586" s="774"/>
      <c r="U586" s="78"/>
      <c r="V586" s="774"/>
      <c r="W586" s="774"/>
      <c r="X586" s="774"/>
      <c r="Y586" s="774"/>
      <c r="Z586" s="78"/>
      <c r="AA586" s="774"/>
      <c r="AB586" s="774"/>
      <c r="AC586" s="774"/>
      <c r="AD586" s="774"/>
      <c r="AE586" s="78"/>
      <c r="AF586" s="774"/>
      <c r="AG586" s="774"/>
      <c r="AH586" s="774"/>
      <c r="AI586" s="774"/>
      <c r="AJ586" s="78"/>
      <c r="AK586" s="774"/>
      <c r="AL586" s="774"/>
      <c r="AM586" s="774"/>
      <c r="AN586" s="774"/>
      <c r="AO586" s="78"/>
      <c r="AP586" s="774"/>
      <c r="AQ586" s="774"/>
      <c r="AR586" s="774"/>
      <c r="AS586" s="774"/>
      <c r="AT586" s="1119">
        <v>5.484</v>
      </c>
      <c r="AU586" s="774"/>
      <c r="AV586" s="774"/>
      <c r="AW586" s="774"/>
      <c r="AX586" s="774"/>
      <c r="AY586" s="1119">
        <v>5.484</v>
      </c>
      <c r="AZ586" s="774"/>
      <c r="BA586" s="774"/>
      <c r="BB586" s="774"/>
      <c r="BC586" s="774"/>
      <c r="BD586" s="1119">
        <v>5.484</v>
      </c>
      <c r="BE586" s="774"/>
      <c r="BF586" s="774"/>
      <c r="BG586" s="774"/>
      <c r="BH586" s="774"/>
      <c r="BI586" s="1119">
        <v>5.484</v>
      </c>
      <c r="BJ586" s="774"/>
      <c r="BK586" s="774"/>
      <c r="BL586" s="774"/>
      <c r="BM586" s="774"/>
      <c r="BN586" s="1119">
        <v>5.484</v>
      </c>
      <c r="BO586" s="774"/>
      <c r="BP586" s="774"/>
      <c r="BQ586" s="774"/>
      <c r="BR586" s="774"/>
      <c r="BS586" s="78"/>
      <c r="BT586" s="775"/>
      <c r="BU586" s="774"/>
      <c r="BV586" s="774"/>
      <c r="BW586" s="774"/>
      <c r="BX586" s="78"/>
      <c r="BY586" s="774"/>
      <c r="BZ586" s="774"/>
      <c r="CA586" s="774"/>
      <c r="CB586" s="774"/>
      <c r="CC586" s="78"/>
      <c r="CD586" s="78"/>
      <c r="CE586" s="78"/>
      <c r="CF586" s="78"/>
      <c r="CG586" s="532"/>
    </row>
    <row r="587" spans="1:85" s="615" customFormat="1" x14ac:dyDescent="0.3">
      <c r="A587" s="522" t="s">
        <v>1671</v>
      </c>
      <c r="B587" s="521"/>
      <c r="C587" s="1122"/>
      <c r="D587" s="1122"/>
      <c r="E587" s="1122"/>
      <c r="F587" s="1122"/>
      <c r="G587" s="520"/>
      <c r="H587" s="520"/>
      <c r="I587" s="520"/>
      <c r="J587" s="520"/>
      <c r="K587" s="1122"/>
      <c r="L587" s="520"/>
      <c r="M587" s="520"/>
      <c r="N587" s="520"/>
      <c r="O587" s="520"/>
      <c r="P587" s="1122"/>
      <c r="Q587" s="520"/>
      <c r="R587" s="520"/>
      <c r="S587" s="520"/>
      <c r="T587" s="520"/>
      <c r="U587" s="1122"/>
      <c r="V587" s="520"/>
      <c r="W587" s="520"/>
      <c r="X587" s="520"/>
      <c r="Y587" s="520"/>
      <c r="Z587" s="1122"/>
      <c r="AA587" s="520"/>
      <c r="AB587" s="520"/>
      <c r="AC587" s="520"/>
      <c r="AD587" s="520"/>
      <c r="AE587" s="1122"/>
      <c r="AF587" s="520"/>
      <c r="AG587" s="520"/>
      <c r="AH587" s="520"/>
      <c r="AI587" s="520"/>
      <c r="AJ587" s="1122"/>
      <c r="AK587" s="520"/>
      <c r="AL587" s="520"/>
      <c r="AM587" s="520"/>
      <c r="AN587" s="520"/>
      <c r="AO587" s="1122"/>
      <c r="AP587" s="520"/>
      <c r="AQ587" s="520"/>
      <c r="AR587" s="520"/>
      <c r="AS587" s="520"/>
      <c r="AT587" s="1123">
        <v>556.54999999999995</v>
      </c>
      <c r="AU587" s="520"/>
      <c r="AV587" s="520"/>
      <c r="AW587" s="520"/>
      <c r="AX587" s="520"/>
      <c r="AY587" s="1123">
        <v>556.54999999999995</v>
      </c>
      <c r="AZ587" s="520"/>
      <c r="BA587" s="520"/>
      <c r="BB587" s="520"/>
      <c r="BC587" s="520"/>
      <c r="BD587" s="1123">
        <v>556.54999999999995</v>
      </c>
      <c r="BE587" s="520"/>
      <c r="BF587" s="520"/>
      <c r="BG587" s="520"/>
      <c r="BH587" s="520"/>
      <c r="BI587" s="1123">
        <v>556.54999999999995</v>
      </c>
      <c r="BJ587" s="520"/>
      <c r="BK587" s="520"/>
      <c r="BL587" s="520"/>
      <c r="BM587" s="520"/>
      <c r="BN587" s="1123">
        <v>556.54999999999995</v>
      </c>
      <c r="BO587" s="520"/>
      <c r="BP587" s="520"/>
      <c r="BQ587" s="520"/>
      <c r="BR587" s="520"/>
      <c r="BS587" s="1124"/>
      <c r="BT587" s="728"/>
      <c r="BU587" s="520"/>
      <c r="BV587" s="520"/>
      <c r="BW587" s="520"/>
      <c r="BX587" s="1122"/>
      <c r="BY587" s="520"/>
      <c r="BZ587" s="520"/>
      <c r="CA587" s="520"/>
      <c r="CB587" s="520"/>
      <c r="CC587" s="1122"/>
      <c r="CD587" s="1122"/>
      <c r="CE587" s="1122"/>
      <c r="CF587" s="1122"/>
      <c r="CG587" s="519"/>
    </row>
    <row r="588" spans="1:85" s="614" customFormat="1" x14ac:dyDescent="0.3">
      <c r="A588" s="522"/>
      <c r="B588" s="352"/>
      <c r="C588" s="1094"/>
      <c r="D588" s="1094"/>
      <c r="E588" s="1094"/>
      <c r="F588" s="1094"/>
      <c r="G588" s="197"/>
      <c r="H588" s="197"/>
      <c r="I588" s="197"/>
      <c r="J588" s="197"/>
      <c r="K588" s="1094"/>
      <c r="L588" s="197"/>
      <c r="M588" s="197"/>
      <c r="N588" s="197"/>
      <c r="O588" s="197"/>
      <c r="P588" s="1094"/>
      <c r="Q588" s="197"/>
      <c r="R588" s="197"/>
      <c r="S588" s="197"/>
      <c r="T588" s="197"/>
      <c r="U588" s="1094"/>
      <c r="V588" s="197"/>
      <c r="W588" s="197"/>
      <c r="X588" s="197"/>
      <c r="Y588" s="197"/>
      <c r="Z588" s="1094"/>
      <c r="AA588" s="197"/>
      <c r="AB588" s="197"/>
      <c r="AC588" s="197"/>
      <c r="AD588" s="197"/>
      <c r="AE588" s="1094"/>
      <c r="AF588" s="197"/>
      <c r="AG588" s="197"/>
      <c r="AH588" s="197"/>
      <c r="AI588" s="197"/>
      <c r="AJ588" s="1094"/>
      <c r="AK588" s="197"/>
      <c r="AL588" s="197"/>
      <c r="AM588" s="197"/>
      <c r="AN588" s="197"/>
      <c r="AO588" s="1094"/>
      <c r="AP588" s="197"/>
      <c r="AQ588" s="197"/>
      <c r="AR588" s="197"/>
      <c r="AS588" s="197"/>
      <c r="AT588" s="198"/>
      <c r="AU588" s="197"/>
      <c r="AV588" s="197"/>
      <c r="AW588" s="197"/>
      <c r="AX588" s="197"/>
      <c r="AY588" s="198"/>
      <c r="AZ588" s="197"/>
      <c r="BA588" s="197"/>
      <c r="BB588" s="197"/>
      <c r="BC588" s="197"/>
      <c r="BD588" s="198"/>
      <c r="BE588" s="197"/>
      <c r="BF588" s="197"/>
      <c r="BG588" s="197"/>
      <c r="BH588" s="197"/>
      <c r="BI588" s="198"/>
      <c r="BJ588" s="197"/>
      <c r="BK588" s="197"/>
      <c r="BL588" s="197"/>
      <c r="BM588" s="197"/>
      <c r="BN588" s="198"/>
      <c r="BO588" s="197"/>
      <c r="BP588" s="197"/>
      <c r="BQ588" s="197"/>
      <c r="BR588" s="197"/>
      <c r="BS588" s="198"/>
      <c r="BT588" s="727"/>
      <c r="BU588" s="197"/>
      <c r="BV588" s="197"/>
      <c r="BW588" s="197"/>
      <c r="BX588" s="1094"/>
      <c r="BY588" s="197"/>
      <c r="BZ588" s="197"/>
      <c r="CA588" s="197"/>
      <c r="CB588" s="197"/>
      <c r="CC588" s="1094"/>
      <c r="CD588" s="1094"/>
      <c r="CE588" s="1094"/>
      <c r="CF588" s="1094"/>
      <c r="CG588" s="349"/>
    </row>
    <row r="589" spans="1:85" s="613" customFormat="1" x14ac:dyDescent="0.3">
      <c r="A589" s="478" t="s">
        <v>1670</v>
      </c>
      <c r="B589" s="523"/>
      <c r="C589" s="78"/>
      <c r="D589" s="78"/>
      <c r="E589" s="78"/>
      <c r="F589" s="78"/>
      <c r="G589" s="774"/>
      <c r="H589" s="774"/>
      <c r="I589" s="774"/>
      <c r="J589" s="774"/>
      <c r="K589" s="78"/>
      <c r="L589" s="774"/>
      <c r="M589" s="774"/>
      <c r="N589" s="774"/>
      <c r="O589" s="774"/>
      <c r="P589" s="78"/>
      <c r="Q589" s="774"/>
      <c r="R589" s="774"/>
      <c r="S589" s="774"/>
      <c r="T589" s="774"/>
      <c r="U589" s="78"/>
      <c r="V589" s="774"/>
      <c r="W589" s="774"/>
      <c r="X589" s="774"/>
      <c r="Y589" s="774"/>
      <c r="Z589" s="78"/>
      <c r="AA589" s="774"/>
      <c r="AB589" s="774"/>
      <c r="AC589" s="774"/>
      <c r="AD589" s="774"/>
      <c r="AE589" s="78"/>
      <c r="AF589" s="774"/>
      <c r="AG589" s="774"/>
      <c r="AH589" s="774"/>
      <c r="AI589" s="774"/>
      <c r="AJ589" s="78"/>
      <c r="AK589" s="774"/>
      <c r="AL589" s="774"/>
      <c r="AM589" s="774"/>
      <c r="AN589" s="774"/>
      <c r="AO589" s="78"/>
      <c r="AP589" s="774"/>
      <c r="AQ589" s="774"/>
      <c r="AR589" s="774"/>
      <c r="AS589" s="774"/>
      <c r="AT589" s="1119">
        <v>5.7859999999999996</v>
      </c>
      <c r="AU589" s="774"/>
      <c r="AV589" s="774"/>
      <c r="AW589" s="774"/>
      <c r="AX589" s="774"/>
      <c r="AY589" s="1119">
        <v>5.7859999999999996</v>
      </c>
      <c r="AZ589" s="774"/>
      <c r="BA589" s="774"/>
      <c r="BB589" s="774"/>
      <c r="BC589" s="774"/>
      <c r="BD589" s="1119">
        <v>5.7859999999999996</v>
      </c>
      <c r="BE589" s="774"/>
      <c r="BF589" s="774"/>
      <c r="BG589" s="774"/>
      <c r="BH589" s="774"/>
      <c r="BI589" s="1119">
        <v>5.7859999999999996</v>
      </c>
      <c r="BJ589" s="774"/>
      <c r="BK589" s="774"/>
      <c r="BL589" s="774"/>
      <c r="BM589" s="774"/>
      <c r="BN589" s="1119">
        <v>5.7859999999999996</v>
      </c>
      <c r="BO589" s="774"/>
      <c r="BP589" s="774"/>
      <c r="BQ589" s="774"/>
      <c r="BR589" s="774"/>
      <c r="BS589" s="78"/>
      <c r="BT589" s="775"/>
      <c r="BU589" s="774"/>
      <c r="BV589" s="774"/>
      <c r="BW589" s="774"/>
      <c r="BX589" s="78"/>
      <c r="BY589" s="774"/>
      <c r="BZ589" s="774"/>
      <c r="CA589" s="774"/>
      <c r="CB589" s="774"/>
      <c r="CC589" s="78"/>
      <c r="CD589" s="78"/>
      <c r="CE589" s="78"/>
      <c r="CF589" s="78"/>
      <c r="CG589" s="532"/>
    </row>
    <row r="590" spans="1:85" s="615" customFormat="1" x14ac:dyDescent="0.3">
      <c r="A590" s="522" t="s">
        <v>1669</v>
      </c>
      <c r="B590" s="521"/>
      <c r="C590" s="1122"/>
      <c r="D590" s="1122"/>
      <c r="E590" s="1122"/>
      <c r="F590" s="1122"/>
      <c r="G590" s="520"/>
      <c r="H590" s="520"/>
      <c r="I590" s="520"/>
      <c r="J590" s="520"/>
      <c r="K590" s="1122"/>
      <c r="L590" s="520"/>
      <c r="M590" s="520"/>
      <c r="N590" s="520"/>
      <c r="O590" s="520"/>
      <c r="P590" s="1122"/>
      <c r="Q590" s="520"/>
      <c r="R590" s="520"/>
      <c r="S590" s="520"/>
      <c r="T590" s="520"/>
      <c r="U590" s="1122"/>
      <c r="V590" s="520"/>
      <c r="W590" s="520"/>
      <c r="X590" s="520"/>
      <c r="Y590" s="520"/>
      <c r="Z590" s="1122"/>
      <c r="AA590" s="520"/>
      <c r="AB590" s="520"/>
      <c r="AC590" s="520"/>
      <c r="AD590" s="520"/>
      <c r="AE590" s="1122"/>
      <c r="AF590" s="520"/>
      <c r="AG590" s="520"/>
      <c r="AH590" s="520"/>
      <c r="AI590" s="520"/>
      <c r="AJ590" s="1122"/>
      <c r="AK590" s="520"/>
      <c r="AL590" s="520"/>
      <c r="AM590" s="520"/>
      <c r="AN590" s="520"/>
      <c r="AO590" s="1122"/>
      <c r="AP590" s="520"/>
      <c r="AQ590" s="520"/>
      <c r="AR590" s="520"/>
      <c r="AS590" s="520"/>
      <c r="AT590" s="1123">
        <v>527.51</v>
      </c>
      <c r="AU590" s="520"/>
      <c r="AV590" s="520"/>
      <c r="AW590" s="520"/>
      <c r="AX590" s="520"/>
      <c r="AY590" s="1123">
        <v>527.51</v>
      </c>
      <c r="AZ590" s="520"/>
      <c r="BA590" s="520"/>
      <c r="BB590" s="520"/>
      <c r="BC590" s="520"/>
      <c r="BD590" s="1123">
        <v>527.51</v>
      </c>
      <c r="BE590" s="520"/>
      <c r="BF590" s="520"/>
      <c r="BG590" s="520"/>
      <c r="BH590" s="520"/>
      <c r="BI590" s="1123">
        <v>527.51</v>
      </c>
      <c r="BJ590" s="520"/>
      <c r="BK590" s="520"/>
      <c r="BL590" s="520"/>
      <c r="BM590" s="520"/>
      <c r="BN590" s="1123">
        <v>527.51</v>
      </c>
      <c r="BO590" s="520"/>
      <c r="BP590" s="520"/>
      <c r="BQ590" s="520"/>
      <c r="BR590" s="520"/>
      <c r="BS590" s="1124"/>
      <c r="BT590" s="728"/>
      <c r="BU590" s="520"/>
      <c r="BV590" s="520"/>
      <c r="BW590" s="520"/>
      <c r="BX590" s="1122"/>
      <c r="BY590" s="520"/>
      <c r="BZ590" s="520"/>
      <c r="CA590" s="520"/>
      <c r="CB590" s="520"/>
      <c r="CC590" s="1122"/>
      <c r="CD590" s="1122"/>
      <c r="CE590" s="1122"/>
      <c r="CF590" s="1122"/>
      <c r="CG590" s="519"/>
    </row>
    <row r="591" spans="1:85" s="614" customFormat="1" x14ac:dyDescent="0.3">
      <c r="A591" s="522"/>
      <c r="B591" s="352"/>
      <c r="C591" s="1094"/>
      <c r="D591" s="1094"/>
      <c r="E591" s="1094"/>
      <c r="F591" s="1094"/>
      <c r="G591" s="197"/>
      <c r="H591" s="197"/>
      <c r="I591" s="197"/>
      <c r="J591" s="197"/>
      <c r="K591" s="1094"/>
      <c r="L591" s="197"/>
      <c r="M591" s="197"/>
      <c r="N591" s="197"/>
      <c r="O591" s="197"/>
      <c r="P591" s="1094"/>
      <c r="Q591" s="197"/>
      <c r="R591" s="197"/>
      <c r="S591" s="197"/>
      <c r="T591" s="197"/>
      <c r="U591" s="1094"/>
      <c r="V591" s="197"/>
      <c r="W591" s="197"/>
      <c r="X591" s="197"/>
      <c r="Y591" s="197"/>
      <c r="Z591" s="1094"/>
      <c r="AA591" s="197"/>
      <c r="AB591" s="197"/>
      <c r="AC591" s="197"/>
      <c r="AD591" s="197"/>
      <c r="AE591" s="1094"/>
      <c r="AF591" s="197"/>
      <c r="AG591" s="197"/>
      <c r="AH591" s="197"/>
      <c r="AI591" s="197"/>
      <c r="AJ591" s="1094"/>
      <c r="AK591" s="197"/>
      <c r="AL591" s="197"/>
      <c r="AM591" s="197"/>
      <c r="AN591" s="197"/>
      <c r="AO591" s="1094"/>
      <c r="AP591" s="197"/>
      <c r="AQ591" s="197"/>
      <c r="AR591" s="197"/>
      <c r="AS591" s="197"/>
      <c r="AT591" s="198"/>
      <c r="AU591" s="197"/>
      <c r="AV591" s="197"/>
      <c r="AW591" s="197"/>
      <c r="AX591" s="197"/>
      <c r="AY591" s="198"/>
      <c r="AZ591" s="197"/>
      <c r="BA591" s="197"/>
      <c r="BB591" s="197"/>
      <c r="BC591" s="197"/>
      <c r="BD591" s="198"/>
      <c r="BE591" s="197"/>
      <c r="BF591" s="197"/>
      <c r="BG591" s="197"/>
      <c r="BH591" s="197"/>
      <c r="BI591" s="198"/>
      <c r="BJ591" s="197"/>
      <c r="BK591" s="197"/>
      <c r="BL591" s="197"/>
      <c r="BM591" s="197"/>
      <c r="BN591" s="198"/>
      <c r="BO591" s="197"/>
      <c r="BP591" s="197"/>
      <c r="BQ591" s="197"/>
      <c r="BR591" s="197"/>
      <c r="BS591" s="198"/>
      <c r="BT591" s="727"/>
      <c r="BU591" s="197"/>
      <c r="BV591" s="197"/>
      <c r="BW591" s="197"/>
      <c r="BX591" s="1094"/>
      <c r="BY591" s="197"/>
      <c r="BZ591" s="197"/>
      <c r="CA591" s="197"/>
      <c r="CB591" s="197"/>
      <c r="CC591" s="1094"/>
      <c r="CD591" s="1094"/>
      <c r="CE591" s="1094"/>
      <c r="CF591" s="1094"/>
      <c r="CG591" s="349"/>
    </row>
    <row r="592" spans="1:85" s="613" customFormat="1" x14ac:dyDescent="0.3">
      <c r="A592" s="478" t="s">
        <v>1668</v>
      </c>
      <c r="B592" s="523"/>
      <c r="C592" s="78"/>
      <c r="D592" s="78"/>
      <c r="E592" s="78"/>
      <c r="F592" s="78"/>
      <c r="G592" s="774"/>
      <c r="H592" s="774"/>
      <c r="I592" s="774"/>
      <c r="J592" s="774"/>
      <c r="K592" s="78"/>
      <c r="L592" s="774"/>
      <c r="M592" s="774"/>
      <c r="N592" s="774"/>
      <c r="O592" s="774"/>
      <c r="P592" s="78"/>
      <c r="Q592" s="774"/>
      <c r="R592" s="774"/>
      <c r="S592" s="774"/>
      <c r="T592" s="774"/>
      <c r="U592" s="78"/>
      <c r="V592" s="774"/>
      <c r="W592" s="774"/>
      <c r="X592" s="774"/>
      <c r="Y592" s="774"/>
      <c r="Z592" s="78"/>
      <c r="AA592" s="774"/>
      <c r="AB592" s="774"/>
      <c r="AC592" s="774"/>
      <c r="AD592" s="774"/>
      <c r="AE592" s="78"/>
      <c r="AF592" s="774"/>
      <c r="AG592" s="774"/>
      <c r="AH592" s="774"/>
      <c r="AI592" s="774"/>
      <c r="AJ592" s="78"/>
      <c r="AK592" s="774"/>
      <c r="AL592" s="774"/>
      <c r="AM592" s="774"/>
      <c r="AN592" s="774"/>
      <c r="AO592" s="78"/>
      <c r="AP592" s="774"/>
      <c r="AQ592" s="774"/>
      <c r="AR592" s="774"/>
      <c r="AS592" s="774"/>
      <c r="AT592" s="1119">
        <v>6.3040000000000003</v>
      </c>
      <c r="AU592" s="774"/>
      <c r="AV592" s="774"/>
      <c r="AW592" s="774"/>
      <c r="AX592" s="774"/>
      <c r="AY592" s="1119">
        <v>6.3040000000000003</v>
      </c>
      <c r="AZ592" s="774"/>
      <c r="BA592" s="774"/>
      <c r="BB592" s="774"/>
      <c r="BC592" s="774"/>
      <c r="BD592" s="1119">
        <v>6.3040000000000003</v>
      </c>
      <c r="BE592" s="774"/>
      <c r="BF592" s="774"/>
      <c r="BG592" s="774"/>
      <c r="BH592" s="774"/>
      <c r="BI592" s="1119">
        <v>6.3040000000000003</v>
      </c>
      <c r="BJ592" s="774"/>
      <c r="BK592" s="774"/>
      <c r="BL592" s="774"/>
      <c r="BM592" s="774"/>
      <c r="BN592" s="1119">
        <v>6.3040000000000003</v>
      </c>
      <c r="BO592" s="774"/>
      <c r="BP592" s="774"/>
      <c r="BQ592" s="774"/>
      <c r="BR592" s="774"/>
      <c r="BS592" s="78"/>
      <c r="BT592" s="775"/>
      <c r="BU592" s="774"/>
      <c r="BV592" s="774"/>
      <c r="BW592" s="774"/>
      <c r="BX592" s="78"/>
      <c r="BY592" s="774"/>
      <c r="BZ592" s="774"/>
      <c r="CA592" s="774"/>
      <c r="CB592" s="774"/>
      <c r="CC592" s="78"/>
      <c r="CD592" s="78"/>
      <c r="CE592" s="78"/>
      <c r="CF592" s="78"/>
      <c r="CG592" s="532"/>
    </row>
    <row r="593" spans="1:85" s="615" customFormat="1" x14ac:dyDescent="0.3">
      <c r="A593" s="522" t="s">
        <v>1667</v>
      </c>
      <c r="B593" s="521"/>
      <c r="C593" s="1122"/>
      <c r="D593" s="1122"/>
      <c r="E593" s="1122"/>
      <c r="F593" s="1122"/>
      <c r="G593" s="520"/>
      <c r="H593" s="520"/>
      <c r="I593" s="520"/>
      <c r="J593" s="520"/>
      <c r="K593" s="1122"/>
      <c r="L593" s="520"/>
      <c r="M593" s="520"/>
      <c r="N593" s="520"/>
      <c r="O593" s="520"/>
      <c r="P593" s="1122"/>
      <c r="Q593" s="520"/>
      <c r="R593" s="520"/>
      <c r="S593" s="520"/>
      <c r="T593" s="520"/>
      <c r="U593" s="1122"/>
      <c r="V593" s="520"/>
      <c r="W593" s="520"/>
      <c r="X593" s="520"/>
      <c r="Y593" s="520"/>
      <c r="Z593" s="1122"/>
      <c r="AA593" s="520"/>
      <c r="AB593" s="520"/>
      <c r="AC593" s="520"/>
      <c r="AD593" s="520"/>
      <c r="AE593" s="1122"/>
      <c r="AF593" s="520"/>
      <c r="AG593" s="520"/>
      <c r="AH593" s="520"/>
      <c r="AI593" s="520"/>
      <c r="AJ593" s="1122"/>
      <c r="AK593" s="520"/>
      <c r="AL593" s="520"/>
      <c r="AM593" s="520"/>
      <c r="AN593" s="520"/>
      <c r="AO593" s="1122"/>
      <c r="AP593" s="520"/>
      <c r="AQ593" s="520"/>
      <c r="AR593" s="520"/>
      <c r="AS593" s="520"/>
      <c r="AT593" s="1123">
        <v>484.12</v>
      </c>
      <c r="AU593" s="520"/>
      <c r="AV593" s="520"/>
      <c r="AW593" s="520"/>
      <c r="AX593" s="520"/>
      <c r="AY593" s="1123">
        <v>484.12</v>
      </c>
      <c r="AZ593" s="520"/>
      <c r="BA593" s="520"/>
      <c r="BB593" s="520"/>
      <c r="BC593" s="520"/>
      <c r="BD593" s="1123">
        <v>484.12</v>
      </c>
      <c r="BE593" s="520"/>
      <c r="BF593" s="520"/>
      <c r="BG593" s="520"/>
      <c r="BH593" s="520"/>
      <c r="BI593" s="1123">
        <v>484.12</v>
      </c>
      <c r="BJ593" s="520"/>
      <c r="BK593" s="520"/>
      <c r="BL593" s="520"/>
      <c r="BM593" s="520"/>
      <c r="BN593" s="1123">
        <v>484.12</v>
      </c>
      <c r="BO593" s="520"/>
      <c r="BP593" s="520"/>
      <c r="BQ593" s="520"/>
      <c r="BR593" s="520"/>
      <c r="BS593" s="1124"/>
      <c r="BT593" s="728"/>
      <c r="BU593" s="520"/>
      <c r="BV593" s="520"/>
      <c r="BW593" s="520"/>
      <c r="BX593" s="1122"/>
      <c r="BY593" s="520"/>
      <c r="BZ593" s="520"/>
      <c r="CA593" s="520"/>
      <c r="CB593" s="520"/>
      <c r="CC593" s="1122"/>
      <c r="CD593" s="1122"/>
      <c r="CE593" s="1122"/>
      <c r="CF593" s="1122"/>
      <c r="CG593" s="519"/>
    </row>
    <row r="594" spans="1:85" s="614" customFormat="1" x14ac:dyDescent="0.3">
      <c r="A594" s="522"/>
      <c r="B594" s="352"/>
      <c r="C594" s="1094"/>
      <c r="D594" s="1094"/>
      <c r="E594" s="1094"/>
      <c r="F594" s="1094"/>
      <c r="G594" s="197"/>
      <c r="H594" s="197"/>
      <c r="I594" s="197"/>
      <c r="J594" s="197"/>
      <c r="K594" s="1094"/>
      <c r="L594" s="197"/>
      <c r="M594" s="197"/>
      <c r="N594" s="197"/>
      <c r="O594" s="197"/>
      <c r="P594" s="1094"/>
      <c r="Q594" s="197"/>
      <c r="R594" s="197"/>
      <c r="S594" s="197"/>
      <c r="T594" s="197"/>
      <c r="U594" s="1094"/>
      <c r="V594" s="197"/>
      <c r="W594" s="197"/>
      <c r="X594" s="197"/>
      <c r="Y594" s="197"/>
      <c r="Z594" s="1094"/>
      <c r="AA594" s="197"/>
      <c r="AB594" s="197"/>
      <c r="AC594" s="197"/>
      <c r="AD594" s="197"/>
      <c r="AE594" s="1094"/>
      <c r="AF594" s="197"/>
      <c r="AG594" s="197"/>
      <c r="AH594" s="197"/>
      <c r="AI594" s="197"/>
      <c r="AJ594" s="1094"/>
      <c r="AK594" s="197"/>
      <c r="AL594" s="197"/>
      <c r="AM594" s="197"/>
      <c r="AN594" s="197"/>
      <c r="AO594" s="1094"/>
      <c r="AP594" s="197"/>
      <c r="AQ594" s="197"/>
      <c r="AR594" s="197"/>
      <c r="AS594" s="197"/>
      <c r="AT594" s="198"/>
      <c r="AU594" s="197"/>
      <c r="AV594" s="197"/>
      <c r="AW594" s="197"/>
      <c r="AX594" s="197"/>
      <c r="AY594" s="198"/>
      <c r="AZ594" s="197"/>
      <c r="BA594" s="197"/>
      <c r="BB594" s="197"/>
      <c r="BC594" s="197"/>
      <c r="BD594" s="198"/>
      <c r="BE594" s="197"/>
      <c r="BF594" s="197"/>
      <c r="BG594" s="197"/>
      <c r="BH594" s="197"/>
      <c r="BI594" s="198"/>
      <c r="BJ594" s="197"/>
      <c r="BK594" s="197"/>
      <c r="BL594" s="197"/>
      <c r="BM594" s="197"/>
      <c r="BN594" s="198"/>
      <c r="BO594" s="197"/>
      <c r="BP594" s="197"/>
      <c r="BQ594" s="197"/>
      <c r="BR594" s="197"/>
      <c r="BS594" s="198"/>
      <c r="BT594" s="727"/>
      <c r="BU594" s="197"/>
      <c r="BV594" s="197"/>
      <c r="BW594" s="197"/>
      <c r="BX594" s="1094"/>
      <c r="BY594" s="197"/>
      <c r="BZ594" s="197"/>
      <c r="CA594" s="197"/>
      <c r="CB594" s="197"/>
      <c r="CC594" s="1094"/>
      <c r="CD594" s="1094"/>
      <c r="CE594" s="1094"/>
      <c r="CF594" s="1094"/>
      <c r="CG594" s="349"/>
    </row>
    <row r="595" spans="1:85" s="613" customFormat="1" x14ac:dyDescent="0.3">
      <c r="A595" s="478" t="s">
        <v>1666</v>
      </c>
      <c r="B595" s="523"/>
      <c r="C595" s="78"/>
      <c r="D595" s="78"/>
      <c r="E595" s="78"/>
      <c r="F595" s="78"/>
      <c r="G595" s="774"/>
      <c r="H595" s="774"/>
      <c r="I595" s="774"/>
      <c r="J595" s="774"/>
      <c r="K595" s="78"/>
      <c r="L595" s="774"/>
      <c r="M595" s="774"/>
      <c r="N595" s="774"/>
      <c r="O595" s="774"/>
      <c r="P595" s="78"/>
      <c r="Q595" s="774"/>
      <c r="R595" s="774"/>
      <c r="S595" s="774"/>
      <c r="T595" s="774"/>
      <c r="U595" s="78"/>
      <c r="V595" s="774"/>
      <c r="W595" s="774"/>
      <c r="X595" s="774"/>
      <c r="Y595" s="774"/>
      <c r="Z595" s="78"/>
      <c r="AA595" s="774"/>
      <c r="AB595" s="774"/>
      <c r="AC595" s="774"/>
      <c r="AD595" s="774"/>
      <c r="AE595" s="78"/>
      <c r="AF595" s="774"/>
      <c r="AG595" s="774"/>
      <c r="AH595" s="774"/>
      <c r="AI595" s="774"/>
      <c r="AJ595" s="78"/>
      <c r="AK595" s="774"/>
      <c r="AL595" s="774"/>
      <c r="AM595" s="774"/>
      <c r="AN595" s="774"/>
      <c r="AO595" s="78"/>
      <c r="AP595" s="774"/>
      <c r="AQ595" s="774"/>
      <c r="AR595" s="774"/>
      <c r="AS595" s="774"/>
      <c r="AT595" s="1119">
        <v>6.0490000000000004</v>
      </c>
      <c r="AU595" s="774"/>
      <c r="AV595" s="774"/>
      <c r="AW595" s="774"/>
      <c r="AX595" s="774"/>
      <c r="AY595" s="1119">
        <v>6.0490000000000004</v>
      </c>
      <c r="AZ595" s="774"/>
      <c r="BA595" s="774"/>
      <c r="BB595" s="774"/>
      <c r="BC595" s="774"/>
      <c r="BD595" s="1119">
        <v>6.0490000000000004</v>
      </c>
      <c r="BE595" s="774"/>
      <c r="BF595" s="774"/>
      <c r="BG595" s="774"/>
      <c r="BH595" s="774"/>
      <c r="BI595" s="1119">
        <v>6.0490000000000004</v>
      </c>
      <c r="BJ595" s="774"/>
      <c r="BK595" s="774"/>
      <c r="BL595" s="774"/>
      <c r="BM595" s="774"/>
      <c r="BN595" s="1119">
        <v>6.0490000000000004</v>
      </c>
      <c r="BO595" s="774"/>
      <c r="BP595" s="774"/>
      <c r="BQ595" s="774"/>
      <c r="BR595" s="774"/>
      <c r="BS595" s="78"/>
      <c r="BT595" s="775"/>
      <c r="BU595" s="774"/>
      <c r="BV595" s="774"/>
      <c r="BW595" s="774"/>
      <c r="BX595" s="78"/>
      <c r="BY595" s="774"/>
      <c r="BZ595" s="774"/>
      <c r="CA595" s="774"/>
      <c r="CB595" s="774"/>
      <c r="CC595" s="78"/>
      <c r="CD595" s="78"/>
      <c r="CE595" s="78"/>
      <c r="CF595" s="78"/>
      <c r="CG595" s="532"/>
    </row>
    <row r="596" spans="1:85" s="615" customFormat="1" x14ac:dyDescent="0.3">
      <c r="A596" s="522" t="s">
        <v>1665</v>
      </c>
      <c r="B596" s="521"/>
      <c r="C596" s="1122"/>
      <c r="D596" s="1122"/>
      <c r="E596" s="1122"/>
      <c r="F596" s="1122"/>
      <c r="G596" s="520"/>
      <c r="H596" s="520"/>
      <c r="I596" s="520"/>
      <c r="J596" s="520"/>
      <c r="K596" s="1122"/>
      <c r="L596" s="520"/>
      <c r="M596" s="520"/>
      <c r="N596" s="520"/>
      <c r="O596" s="520"/>
      <c r="P596" s="1122"/>
      <c r="Q596" s="520"/>
      <c r="R596" s="520"/>
      <c r="S596" s="520"/>
      <c r="T596" s="520"/>
      <c r="U596" s="1122"/>
      <c r="V596" s="520"/>
      <c r="W596" s="520"/>
      <c r="X596" s="520"/>
      <c r="Y596" s="520"/>
      <c r="Z596" s="1122"/>
      <c r="AA596" s="520"/>
      <c r="AB596" s="520"/>
      <c r="AC596" s="520"/>
      <c r="AD596" s="520"/>
      <c r="AE596" s="1122"/>
      <c r="AF596" s="520"/>
      <c r="AG596" s="520"/>
      <c r="AH596" s="520"/>
      <c r="AI596" s="520"/>
      <c r="AJ596" s="1122"/>
      <c r="AK596" s="520"/>
      <c r="AL596" s="520"/>
      <c r="AM596" s="520"/>
      <c r="AN596" s="520"/>
      <c r="AO596" s="1122"/>
      <c r="AP596" s="520"/>
      <c r="AQ596" s="520"/>
      <c r="AR596" s="520"/>
      <c r="AS596" s="520"/>
      <c r="AT596" s="1123">
        <v>504.58</v>
      </c>
      <c r="AU596" s="520"/>
      <c r="AV596" s="520"/>
      <c r="AW596" s="520"/>
      <c r="AX596" s="520"/>
      <c r="AY596" s="1123">
        <v>504.58</v>
      </c>
      <c r="AZ596" s="520"/>
      <c r="BA596" s="520"/>
      <c r="BB596" s="520"/>
      <c r="BC596" s="520"/>
      <c r="BD596" s="1123">
        <v>504.58</v>
      </c>
      <c r="BE596" s="520"/>
      <c r="BF596" s="520"/>
      <c r="BG596" s="520"/>
      <c r="BH596" s="520"/>
      <c r="BI596" s="1123">
        <v>504.58</v>
      </c>
      <c r="BJ596" s="520"/>
      <c r="BK596" s="520"/>
      <c r="BL596" s="520"/>
      <c r="BM596" s="520"/>
      <c r="BN596" s="1123">
        <v>504.58</v>
      </c>
      <c r="BO596" s="520"/>
      <c r="BP596" s="520"/>
      <c r="BQ596" s="520"/>
      <c r="BR596" s="520"/>
      <c r="BS596" s="1124"/>
      <c r="BT596" s="728"/>
      <c r="BU596" s="520"/>
      <c r="BV596" s="520"/>
      <c r="BW596" s="520"/>
      <c r="BX596" s="1122"/>
      <c r="BY596" s="520"/>
      <c r="BZ596" s="520"/>
      <c r="CA596" s="520"/>
      <c r="CB596" s="520"/>
      <c r="CC596" s="1122"/>
      <c r="CD596" s="1122"/>
      <c r="CE596" s="1122"/>
      <c r="CF596" s="1122"/>
      <c r="CG596" s="519"/>
    </row>
    <row r="597" spans="1:85" s="614" customFormat="1" x14ac:dyDescent="0.3">
      <c r="A597" s="351"/>
      <c r="B597" s="352"/>
      <c r="C597" s="1094"/>
      <c r="D597" s="1094"/>
      <c r="E597" s="1094"/>
      <c r="F597" s="1094"/>
      <c r="G597" s="197"/>
      <c r="H597" s="197"/>
      <c r="I597" s="197"/>
      <c r="J597" s="197"/>
      <c r="K597" s="1094"/>
      <c r="L597" s="197"/>
      <c r="M597" s="197"/>
      <c r="N597" s="197"/>
      <c r="O597" s="197"/>
      <c r="P597" s="1094"/>
      <c r="Q597" s="197"/>
      <c r="R597" s="197"/>
      <c r="S597" s="197"/>
      <c r="T597" s="197"/>
      <c r="U597" s="1094"/>
      <c r="V597" s="197"/>
      <c r="W597" s="197"/>
      <c r="X597" s="197"/>
      <c r="Y597" s="197"/>
      <c r="Z597" s="1094"/>
      <c r="AA597" s="197"/>
      <c r="AB597" s="197"/>
      <c r="AC597" s="197"/>
      <c r="AD597" s="197"/>
      <c r="AE597" s="1094"/>
      <c r="AF597" s="197"/>
      <c r="AG597" s="197"/>
      <c r="AH597" s="197"/>
      <c r="AI597" s="197"/>
      <c r="AJ597" s="1094"/>
      <c r="AK597" s="197"/>
      <c r="AL597" s="197"/>
      <c r="AM597" s="197"/>
      <c r="AN597" s="197"/>
      <c r="AO597" s="1094"/>
      <c r="AP597" s="197"/>
      <c r="AQ597" s="197"/>
      <c r="AR597" s="197"/>
      <c r="AS597" s="197"/>
      <c r="AT597" s="198"/>
      <c r="AU597" s="197"/>
      <c r="AV597" s="197"/>
      <c r="AW597" s="197"/>
      <c r="AX597" s="197"/>
      <c r="AY597" s="198"/>
      <c r="AZ597" s="197"/>
      <c r="BA597" s="197"/>
      <c r="BB597" s="197"/>
      <c r="BC597" s="197"/>
      <c r="BD597" s="198"/>
      <c r="BE597" s="197"/>
      <c r="BF597" s="197"/>
      <c r="BG597" s="197"/>
      <c r="BH597" s="197"/>
      <c r="BI597" s="1094"/>
      <c r="BJ597" s="197"/>
      <c r="BK597" s="197"/>
      <c r="BL597" s="197"/>
      <c r="BM597" s="197"/>
      <c r="BN597" s="1094"/>
      <c r="BO597" s="197"/>
      <c r="BP597" s="197"/>
      <c r="BQ597" s="197"/>
      <c r="BR597" s="197"/>
      <c r="BS597" s="1094"/>
      <c r="BT597" s="727"/>
      <c r="BU597" s="197"/>
      <c r="BV597" s="197"/>
      <c r="BW597" s="197"/>
      <c r="BX597" s="1094"/>
      <c r="BY597" s="197"/>
      <c r="BZ597" s="197"/>
      <c r="CA597" s="197"/>
      <c r="CB597" s="197"/>
      <c r="CC597" s="1094"/>
      <c r="CD597" s="1094"/>
      <c r="CE597" s="1094"/>
      <c r="CF597" s="1094"/>
      <c r="CG597" s="349"/>
    </row>
    <row r="598" spans="1:85" s="613" customFormat="1" x14ac:dyDescent="0.3">
      <c r="A598" s="478" t="s">
        <v>1664</v>
      </c>
      <c r="B598" s="523"/>
      <c r="C598" s="78"/>
      <c r="D598" s="78"/>
      <c r="E598" s="78"/>
      <c r="F598" s="78"/>
      <c r="G598" s="774"/>
      <c r="H598" s="774"/>
      <c r="I598" s="774"/>
      <c r="J598" s="774"/>
      <c r="K598" s="78"/>
      <c r="L598" s="774"/>
      <c r="M598" s="774"/>
      <c r="N598" s="774"/>
      <c r="O598" s="774"/>
      <c r="P598" s="78"/>
      <c r="Q598" s="774"/>
      <c r="R598" s="774"/>
      <c r="S598" s="774"/>
      <c r="T598" s="774"/>
      <c r="U598" s="78"/>
      <c r="V598" s="774"/>
      <c r="W598" s="774"/>
      <c r="X598" s="774"/>
      <c r="Y598" s="774"/>
      <c r="Z598" s="78"/>
      <c r="AA598" s="774"/>
      <c r="AB598" s="774"/>
      <c r="AC598" s="774"/>
      <c r="AD598" s="774"/>
      <c r="AE598" s="78"/>
      <c r="AF598" s="774"/>
      <c r="AG598" s="774"/>
      <c r="AH598" s="774"/>
      <c r="AI598" s="774"/>
      <c r="AJ598" s="78"/>
      <c r="AK598" s="774"/>
      <c r="AL598" s="774"/>
      <c r="AM598" s="774"/>
      <c r="AN598" s="774"/>
      <c r="AO598" s="78"/>
      <c r="AP598" s="774"/>
      <c r="AQ598" s="774"/>
      <c r="AR598" s="774"/>
      <c r="AS598" s="774"/>
      <c r="AT598" s="78"/>
      <c r="AU598" s="774"/>
      <c r="AV598" s="774"/>
      <c r="AW598" s="774"/>
      <c r="AX598" s="774"/>
      <c r="AY598" s="1119">
        <v>5.8369999999999997</v>
      </c>
      <c r="AZ598" s="774"/>
      <c r="BA598" s="774"/>
      <c r="BB598" s="774"/>
      <c r="BC598" s="774"/>
      <c r="BD598" s="1119">
        <v>5.8369999999999997</v>
      </c>
      <c r="BE598" s="774"/>
      <c r="BF598" s="774"/>
      <c r="BG598" s="774"/>
      <c r="BH598" s="774"/>
      <c r="BI598" s="1119">
        <v>5.8369999999999997</v>
      </c>
      <c r="BJ598" s="774"/>
      <c r="BK598" s="774"/>
      <c r="BL598" s="774"/>
      <c r="BM598" s="774"/>
      <c r="BN598" s="1119">
        <v>5.8369999999999997</v>
      </c>
      <c r="BO598" s="774"/>
      <c r="BP598" s="774"/>
      <c r="BQ598" s="774"/>
      <c r="BR598" s="774"/>
      <c r="BS598" s="78"/>
      <c r="BT598" s="775"/>
      <c r="BU598" s="774"/>
      <c r="BV598" s="774"/>
      <c r="BW598" s="774"/>
      <c r="BX598" s="78"/>
      <c r="BY598" s="774"/>
      <c r="BZ598" s="774"/>
      <c r="CA598" s="774"/>
      <c r="CB598" s="774"/>
      <c r="CC598" s="78"/>
      <c r="CD598" s="78"/>
      <c r="CE598" s="78"/>
      <c r="CF598" s="78"/>
      <c r="CG598" s="532"/>
    </row>
    <row r="599" spans="1:85" s="615" customFormat="1" x14ac:dyDescent="0.3">
      <c r="A599" s="522" t="s">
        <v>1663</v>
      </c>
      <c r="B599" s="521"/>
      <c r="C599" s="1122"/>
      <c r="D599" s="1122"/>
      <c r="E599" s="1122"/>
      <c r="F599" s="1122"/>
      <c r="G599" s="520"/>
      <c r="H599" s="520"/>
      <c r="I599" s="520"/>
      <c r="J599" s="520"/>
      <c r="K599" s="1122"/>
      <c r="L599" s="520"/>
      <c r="M599" s="520"/>
      <c r="N599" s="520"/>
      <c r="O599" s="520"/>
      <c r="P599" s="1122"/>
      <c r="Q599" s="520"/>
      <c r="R599" s="520"/>
      <c r="S599" s="520"/>
      <c r="T599" s="520"/>
      <c r="U599" s="1122"/>
      <c r="V599" s="520"/>
      <c r="W599" s="520"/>
      <c r="X599" s="520"/>
      <c r="Y599" s="520"/>
      <c r="Z599" s="1122"/>
      <c r="AA599" s="520"/>
      <c r="AB599" s="520"/>
      <c r="AC599" s="520"/>
      <c r="AD599" s="520"/>
      <c r="AE599" s="1122"/>
      <c r="AF599" s="520"/>
      <c r="AG599" s="520"/>
      <c r="AH599" s="520"/>
      <c r="AI599" s="520"/>
      <c r="AJ599" s="1122"/>
      <c r="AK599" s="520"/>
      <c r="AL599" s="520"/>
      <c r="AM599" s="520"/>
      <c r="AN599" s="520"/>
      <c r="AO599" s="1122"/>
      <c r="AP599" s="520"/>
      <c r="AQ599" s="520"/>
      <c r="AR599" s="520"/>
      <c r="AS599" s="520"/>
      <c r="AT599" s="1124"/>
      <c r="AU599" s="526"/>
      <c r="AV599" s="526"/>
      <c r="AW599" s="526"/>
      <c r="AX599" s="526"/>
      <c r="AY599" s="1123">
        <v>522.86</v>
      </c>
      <c r="AZ599" s="526"/>
      <c r="BA599" s="526"/>
      <c r="BB599" s="526"/>
      <c r="BC599" s="526"/>
      <c r="BD599" s="1123">
        <v>522.86</v>
      </c>
      <c r="BE599" s="520"/>
      <c r="BF599" s="520"/>
      <c r="BG599" s="520"/>
      <c r="BH599" s="520"/>
      <c r="BI599" s="1123">
        <v>522.86</v>
      </c>
      <c r="BJ599" s="520"/>
      <c r="BK599" s="520"/>
      <c r="BL599" s="520"/>
      <c r="BM599" s="520"/>
      <c r="BN599" s="1123">
        <v>522.86</v>
      </c>
      <c r="BO599" s="520"/>
      <c r="BP599" s="520"/>
      <c r="BQ599" s="520"/>
      <c r="BR599" s="520"/>
      <c r="BS599" s="1124"/>
      <c r="BT599" s="728"/>
      <c r="BU599" s="520"/>
      <c r="BV599" s="520"/>
      <c r="BW599" s="520"/>
      <c r="BX599" s="1122"/>
      <c r="BY599" s="520"/>
      <c r="BZ599" s="520"/>
      <c r="CA599" s="520"/>
      <c r="CB599" s="520"/>
      <c r="CC599" s="1122"/>
      <c r="CD599" s="1122"/>
      <c r="CE599" s="1122"/>
      <c r="CF599" s="1122"/>
      <c r="CG599" s="519"/>
    </row>
    <row r="600" spans="1:85" s="614" customFormat="1" x14ac:dyDescent="0.3">
      <c r="A600" s="522"/>
      <c r="B600" s="352"/>
      <c r="C600" s="1094"/>
      <c r="D600" s="1094"/>
      <c r="E600" s="1094"/>
      <c r="F600" s="1094"/>
      <c r="G600" s="197"/>
      <c r="H600" s="197"/>
      <c r="I600" s="197"/>
      <c r="J600" s="197"/>
      <c r="K600" s="1094"/>
      <c r="L600" s="197"/>
      <c r="M600" s="197"/>
      <c r="N600" s="197"/>
      <c r="O600" s="197"/>
      <c r="P600" s="1094"/>
      <c r="Q600" s="197"/>
      <c r="R600" s="197"/>
      <c r="S600" s="197"/>
      <c r="T600" s="197"/>
      <c r="U600" s="1094"/>
      <c r="V600" s="197"/>
      <c r="W600" s="197"/>
      <c r="X600" s="197"/>
      <c r="Y600" s="197"/>
      <c r="Z600" s="1094"/>
      <c r="AA600" s="197"/>
      <c r="AB600" s="197"/>
      <c r="AC600" s="197"/>
      <c r="AD600" s="197"/>
      <c r="AE600" s="1094"/>
      <c r="AF600" s="197"/>
      <c r="AG600" s="197"/>
      <c r="AH600" s="197"/>
      <c r="AI600" s="197"/>
      <c r="AJ600" s="1094"/>
      <c r="AK600" s="197"/>
      <c r="AL600" s="197"/>
      <c r="AM600" s="197"/>
      <c r="AN600" s="197"/>
      <c r="AO600" s="1094"/>
      <c r="AP600" s="197"/>
      <c r="AQ600" s="197"/>
      <c r="AR600" s="197"/>
      <c r="AS600" s="197"/>
      <c r="AT600" s="198"/>
      <c r="AU600" s="194"/>
      <c r="AV600" s="194"/>
      <c r="AW600" s="194"/>
      <c r="AX600" s="194"/>
      <c r="AY600" s="198"/>
      <c r="AZ600" s="194"/>
      <c r="BA600" s="194"/>
      <c r="BB600" s="194"/>
      <c r="BC600" s="194"/>
      <c r="BD600" s="198"/>
      <c r="BE600" s="197"/>
      <c r="BF600" s="197"/>
      <c r="BG600" s="197"/>
      <c r="BH600" s="197"/>
      <c r="BI600" s="198"/>
      <c r="BJ600" s="197"/>
      <c r="BK600" s="197"/>
      <c r="BL600" s="197"/>
      <c r="BM600" s="197"/>
      <c r="BN600" s="198"/>
      <c r="BO600" s="197"/>
      <c r="BP600" s="197"/>
      <c r="BQ600" s="197"/>
      <c r="BR600" s="197"/>
      <c r="BS600" s="198"/>
      <c r="BT600" s="727"/>
      <c r="BU600" s="197"/>
      <c r="BV600" s="197"/>
      <c r="BW600" s="197"/>
      <c r="BX600" s="1094"/>
      <c r="BY600" s="197"/>
      <c r="BZ600" s="197"/>
      <c r="CA600" s="197"/>
      <c r="CB600" s="197"/>
      <c r="CC600" s="1094"/>
      <c r="CD600" s="1094"/>
      <c r="CE600" s="1094"/>
      <c r="CF600" s="1094"/>
      <c r="CG600" s="349"/>
    </row>
    <row r="601" spans="1:85" s="613" customFormat="1" x14ac:dyDescent="0.3">
      <c r="A601" s="478" t="s">
        <v>1662</v>
      </c>
      <c r="B601" s="523"/>
      <c r="C601" s="78"/>
      <c r="D601" s="78"/>
      <c r="E601" s="78"/>
      <c r="F601" s="78"/>
      <c r="G601" s="774"/>
      <c r="H601" s="774"/>
      <c r="I601" s="774"/>
      <c r="J601" s="774"/>
      <c r="K601" s="78"/>
      <c r="L601" s="774"/>
      <c r="M601" s="774"/>
      <c r="N601" s="774"/>
      <c r="O601" s="774"/>
      <c r="P601" s="78"/>
      <c r="Q601" s="774"/>
      <c r="R601" s="774"/>
      <c r="S601" s="774"/>
      <c r="T601" s="774"/>
      <c r="U601" s="78"/>
      <c r="V601" s="774"/>
      <c r="W601" s="774"/>
      <c r="X601" s="774"/>
      <c r="Y601" s="774"/>
      <c r="Z601" s="78"/>
      <c r="AA601" s="774"/>
      <c r="AB601" s="774"/>
      <c r="AC601" s="774"/>
      <c r="AD601" s="774"/>
      <c r="AE601" s="78"/>
      <c r="AF601" s="774"/>
      <c r="AG601" s="774"/>
      <c r="AH601" s="774"/>
      <c r="AI601" s="774"/>
      <c r="AJ601" s="78"/>
      <c r="AK601" s="774"/>
      <c r="AL601" s="774"/>
      <c r="AM601" s="774"/>
      <c r="AN601" s="774"/>
      <c r="AO601" s="78"/>
      <c r="AP601" s="774"/>
      <c r="AQ601" s="774"/>
      <c r="AR601" s="774"/>
      <c r="AS601" s="774"/>
      <c r="AT601" s="78"/>
      <c r="AU601" s="774"/>
      <c r="AV601" s="774"/>
      <c r="AW601" s="774"/>
      <c r="AX601" s="774"/>
      <c r="AY601" s="1119">
        <v>5.6619999999999999</v>
      </c>
      <c r="AZ601" s="774"/>
      <c r="BA601" s="774"/>
      <c r="BB601" s="774"/>
      <c r="BC601" s="774"/>
      <c r="BD601" s="1119">
        <v>5.6619999999999999</v>
      </c>
      <c r="BE601" s="774"/>
      <c r="BF601" s="774"/>
      <c r="BG601" s="774"/>
      <c r="BH601" s="774"/>
      <c r="BI601" s="1119">
        <v>5.6619999999999999</v>
      </c>
      <c r="BJ601" s="774"/>
      <c r="BK601" s="774"/>
      <c r="BL601" s="774"/>
      <c r="BM601" s="774"/>
      <c r="BN601" s="1119">
        <v>5.6619999999999999</v>
      </c>
      <c r="BO601" s="774"/>
      <c r="BP601" s="774"/>
      <c r="BQ601" s="774"/>
      <c r="BR601" s="774"/>
      <c r="BS601" s="78"/>
      <c r="BT601" s="775"/>
      <c r="BU601" s="774"/>
      <c r="BV601" s="774"/>
      <c r="BW601" s="774"/>
      <c r="BX601" s="78"/>
      <c r="BY601" s="774"/>
      <c r="BZ601" s="774"/>
      <c r="CA601" s="774"/>
      <c r="CB601" s="774"/>
      <c r="CC601" s="78"/>
      <c r="CD601" s="78"/>
      <c r="CE601" s="78"/>
      <c r="CF601" s="78"/>
      <c r="CG601" s="532"/>
    </row>
    <row r="602" spans="1:85" s="615" customFormat="1" x14ac:dyDescent="0.3">
      <c r="A602" s="522" t="s">
        <v>1661</v>
      </c>
      <c r="B602" s="521"/>
      <c r="C602" s="1122"/>
      <c r="D602" s="1122"/>
      <c r="E602" s="1122"/>
      <c r="F602" s="1122"/>
      <c r="G602" s="520"/>
      <c r="H602" s="520"/>
      <c r="I602" s="520"/>
      <c r="J602" s="520"/>
      <c r="K602" s="1122"/>
      <c r="L602" s="520"/>
      <c r="M602" s="520"/>
      <c r="N602" s="520"/>
      <c r="O602" s="520"/>
      <c r="P602" s="1122"/>
      <c r="Q602" s="520"/>
      <c r="R602" s="520"/>
      <c r="S602" s="520"/>
      <c r="T602" s="520"/>
      <c r="U602" s="1122"/>
      <c r="V602" s="520"/>
      <c r="W602" s="520"/>
      <c r="X602" s="520"/>
      <c r="Y602" s="520"/>
      <c r="Z602" s="1122"/>
      <c r="AA602" s="520"/>
      <c r="AB602" s="520"/>
      <c r="AC602" s="520"/>
      <c r="AD602" s="520"/>
      <c r="AE602" s="1122"/>
      <c r="AF602" s="520"/>
      <c r="AG602" s="520"/>
      <c r="AH602" s="520"/>
      <c r="AI602" s="520"/>
      <c r="AJ602" s="1122"/>
      <c r="AK602" s="520"/>
      <c r="AL602" s="520"/>
      <c r="AM602" s="520"/>
      <c r="AN602" s="520"/>
      <c r="AO602" s="1122"/>
      <c r="AP602" s="520"/>
      <c r="AQ602" s="520"/>
      <c r="AR602" s="520"/>
      <c r="AS602" s="520"/>
      <c r="AT602" s="1124"/>
      <c r="AU602" s="526"/>
      <c r="AV602" s="526"/>
      <c r="AW602" s="526"/>
      <c r="AX602" s="526"/>
      <c r="AY602" s="1123">
        <v>539.04</v>
      </c>
      <c r="AZ602" s="526"/>
      <c r="BA602" s="526"/>
      <c r="BB602" s="526"/>
      <c r="BC602" s="526"/>
      <c r="BD602" s="1123">
        <v>539.04</v>
      </c>
      <c r="BE602" s="520"/>
      <c r="BF602" s="520"/>
      <c r="BG602" s="520"/>
      <c r="BH602" s="520"/>
      <c r="BI602" s="1123">
        <v>539.04</v>
      </c>
      <c r="BJ602" s="520"/>
      <c r="BK602" s="520"/>
      <c r="BL602" s="520"/>
      <c r="BM602" s="520"/>
      <c r="BN602" s="1123">
        <v>539.04</v>
      </c>
      <c r="BO602" s="520"/>
      <c r="BP602" s="520"/>
      <c r="BQ602" s="520"/>
      <c r="BR602" s="520"/>
      <c r="BS602" s="1124"/>
      <c r="BT602" s="728"/>
      <c r="BU602" s="520"/>
      <c r="BV602" s="520"/>
      <c r="BW602" s="520"/>
      <c r="BX602" s="1122"/>
      <c r="BY602" s="520"/>
      <c r="BZ602" s="520"/>
      <c r="CA602" s="520"/>
      <c r="CB602" s="520"/>
      <c r="CC602" s="1122"/>
      <c r="CD602" s="1122"/>
      <c r="CE602" s="1122"/>
      <c r="CF602" s="1122"/>
      <c r="CG602" s="519"/>
    </row>
    <row r="603" spans="1:85" s="614" customFormat="1" x14ac:dyDescent="0.3">
      <c r="A603" s="522"/>
      <c r="B603" s="352"/>
      <c r="C603" s="1094"/>
      <c r="D603" s="1094"/>
      <c r="E603" s="1094"/>
      <c r="F603" s="1094"/>
      <c r="G603" s="197"/>
      <c r="H603" s="197"/>
      <c r="I603" s="197"/>
      <c r="J603" s="197"/>
      <c r="K603" s="1094"/>
      <c r="L603" s="197"/>
      <c r="M603" s="197"/>
      <c r="N603" s="197"/>
      <c r="O603" s="197"/>
      <c r="P603" s="1094"/>
      <c r="Q603" s="197"/>
      <c r="R603" s="197"/>
      <c r="S603" s="197"/>
      <c r="T603" s="197"/>
      <c r="U603" s="1094"/>
      <c r="V603" s="197"/>
      <c r="W603" s="197"/>
      <c r="X603" s="197"/>
      <c r="Y603" s="197"/>
      <c r="Z603" s="1094"/>
      <c r="AA603" s="197"/>
      <c r="AB603" s="197"/>
      <c r="AC603" s="197"/>
      <c r="AD603" s="197"/>
      <c r="AE603" s="1094"/>
      <c r="AF603" s="197"/>
      <c r="AG603" s="197"/>
      <c r="AH603" s="197"/>
      <c r="AI603" s="197"/>
      <c r="AJ603" s="1094"/>
      <c r="AK603" s="197"/>
      <c r="AL603" s="197"/>
      <c r="AM603" s="197"/>
      <c r="AN603" s="197"/>
      <c r="AO603" s="1094"/>
      <c r="AP603" s="197"/>
      <c r="AQ603" s="197"/>
      <c r="AR603" s="197"/>
      <c r="AS603" s="197"/>
      <c r="AT603" s="198"/>
      <c r="AU603" s="194"/>
      <c r="AV603" s="194"/>
      <c r="AW603" s="194"/>
      <c r="AX603" s="194"/>
      <c r="AY603" s="198"/>
      <c r="AZ603" s="194"/>
      <c r="BA603" s="194"/>
      <c r="BB603" s="194"/>
      <c r="BC603" s="194"/>
      <c r="BD603" s="198"/>
      <c r="BE603" s="197"/>
      <c r="BF603" s="197"/>
      <c r="BG603" s="197"/>
      <c r="BH603" s="197"/>
      <c r="BI603" s="198"/>
      <c r="BJ603" s="197"/>
      <c r="BK603" s="197"/>
      <c r="BL603" s="197"/>
      <c r="BM603" s="197"/>
      <c r="BN603" s="198"/>
      <c r="BO603" s="197"/>
      <c r="BP603" s="197"/>
      <c r="BQ603" s="197"/>
      <c r="BR603" s="197"/>
      <c r="BS603" s="198"/>
      <c r="BT603" s="727"/>
      <c r="BU603" s="197"/>
      <c r="BV603" s="197"/>
      <c r="BW603" s="197"/>
      <c r="BX603" s="1094"/>
      <c r="BY603" s="197"/>
      <c r="BZ603" s="197"/>
      <c r="CA603" s="197"/>
      <c r="CB603" s="197"/>
      <c r="CC603" s="1094"/>
      <c r="CD603" s="1094"/>
      <c r="CE603" s="1094"/>
      <c r="CF603" s="1094"/>
      <c r="CG603" s="349"/>
    </row>
    <row r="604" spans="1:85" s="613" customFormat="1" x14ac:dyDescent="0.3">
      <c r="A604" s="478" t="s">
        <v>1660</v>
      </c>
      <c r="B604" s="523"/>
      <c r="C604" s="78"/>
      <c r="D604" s="78"/>
      <c r="E604" s="78"/>
      <c r="F604" s="78"/>
      <c r="G604" s="774"/>
      <c r="H604" s="774"/>
      <c r="I604" s="774"/>
      <c r="J604" s="774"/>
      <c r="K604" s="78"/>
      <c r="L604" s="774"/>
      <c r="M604" s="774"/>
      <c r="N604" s="774"/>
      <c r="O604" s="774"/>
      <c r="P604" s="78"/>
      <c r="Q604" s="774"/>
      <c r="R604" s="774"/>
      <c r="S604" s="774"/>
      <c r="T604" s="774"/>
      <c r="U604" s="78"/>
      <c r="V604" s="774"/>
      <c r="W604" s="774"/>
      <c r="X604" s="774"/>
      <c r="Y604" s="774"/>
      <c r="Z604" s="78"/>
      <c r="AA604" s="774"/>
      <c r="AB604" s="774"/>
      <c r="AC604" s="774"/>
      <c r="AD604" s="774"/>
      <c r="AE604" s="78"/>
      <c r="AF604" s="774"/>
      <c r="AG604" s="774"/>
      <c r="AH604" s="774"/>
      <c r="AI604" s="774"/>
      <c r="AJ604" s="78"/>
      <c r="AK604" s="774"/>
      <c r="AL604" s="774"/>
      <c r="AM604" s="774"/>
      <c r="AN604" s="774"/>
      <c r="AO604" s="78"/>
      <c r="AP604" s="774"/>
      <c r="AQ604" s="774"/>
      <c r="AR604" s="774"/>
      <c r="AS604" s="774"/>
      <c r="AT604" s="78"/>
      <c r="AU604" s="774"/>
      <c r="AV604" s="774"/>
      <c r="AW604" s="774"/>
      <c r="AX604" s="774"/>
      <c r="AY604" s="1119">
        <v>5.5430000000000001</v>
      </c>
      <c r="AZ604" s="774"/>
      <c r="BA604" s="774"/>
      <c r="BB604" s="774"/>
      <c r="BC604" s="774"/>
      <c r="BD604" s="1119">
        <v>5.5430000000000001</v>
      </c>
      <c r="BE604" s="774"/>
      <c r="BF604" s="774"/>
      <c r="BG604" s="774"/>
      <c r="BH604" s="774"/>
      <c r="BI604" s="1119">
        <v>5.5430000000000001</v>
      </c>
      <c r="BJ604" s="774"/>
      <c r="BK604" s="774"/>
      <c r="BL604" s="774"/>
      <c r="BM604" s="774"/>
      <c r="BN604" s="1119">
        <v>5.5430000000000001</v>
      </c>
      <c r="BO604" s="774"/>
      <c r="BP604" s="774"/>
      <c r="BQ604" s="774"/>
      <c r="BR604" s="774"/>
      <c r="BS604" s="78"/>
      <c r="BT604" s="775"/>
      <c r="BU604" s="774"/>
      <c r="BV604" s="774"/>
      <c r="BW604" s="774"/>
      <c r="BX604" s="78"/>
      <c r="BY604" s="774"/>
      <c r="BZ604" s="774"/>
      <c r="CA604" s="774"/>
      <c r="CB604" s="774"/>
      <c r="CC604" s="78"/>
      <c r="CD604" s="78"/>
      <c r="CE604" s="78"/>
      <c r="CF604" s="78"/>
      <c r="CG604" s="532"/>
    </row>
    <row r="605" spans="1:85" s="615" customFormat="1" x14ac:dyDescent="0.3">
      <c r="A605" s="522" t="s">
        <v>1659</v>
      </c>
      <c r="B605" s="521"/>
      <c r="C605" s="1122"/>
      <c r="D605" s="1122"/>
      <c r="E605" s="1122"/>
      <c r="F605" s="1122"/>
      <c r="G605" s="520"/>
      <c r="H605" s="520"/>
      <c r="I605" s="520"/>
      <c r="J605" s="520"/>
      <c r="K605" s="1122"/>
      <c r="L605" s="520"/>
      <c r="M605" s="520"/>
      <c r="N605" s="520"/>
      <c r="O605" s="520"/>
      <c r="P605" s="1122"/>
      <c r="Q605" s="520"/>
      <c r="R605" s="520"/>
      <c r="S605" s="520"/>
      <c r="T605" s="520"/>
      <c r="U605" s="1122"/>
      <c r="V605" s="520"/>
      <c r="W605" s="520"/>
      <c r="X605" s="520"/>
      <c r="Y605" s="520"/>
      <c r="Z605" s="1122"/>
      <c r="AA605" s="520"/>
      <c r="AB605" s="520"/>
      <c r="AC605" s="520"/>
      <c r="AD605" s="520"/>
      <c r="AE605" s="1122"/>
      <c r="AF605" s="520"/>
      <c r="AG605" s="520"/>
      <c r="AH605" s="520"/>
      <c r="AI605" s="520"/>
      <c r="AJ605" s="1122"/>
      <c r="AK605" s="520"/>
      <c r="AL605" s="520"/>
      <c r="AM605" s="520"/>
      <c r="AN605" s="520"/>
      <c r="AO605" s="1122"/>
      <c r="AP605" s="520"/>
      <c r="AQ605" s="520"/>
      <c r="AR605" s="520"/>
      <c r="AS605" s="520"/>
      <c r="AT605" s="1124"/>
      <c r="AU605" s="526"/>
      <c r="AV605" s="526"/>
      <c r="AW605" s="526"/>
      <c r="AX605" s="526"/>
      <c r="AY605" s="1123">
        <v>550.64</v>
      </c>
      <c r="AZ605" s="526"/>
      <c r="BA605" s="526"/>
      <c r="BB605" s="526"/>
      <c r="BC605" s="526"/>
      <c r="BD605" s="1123">
        <v>550.64</v>
      </c>
      <c r="BE605" s="520"/>
      <c r="BF605" s="520"/>
      <c r="BG605" s="520"/>
      <c r="BH605" s="520"/>
      <c r="BI605" s="1123">
        <v>550.64</v>
      </c>
      <c r="BJ605" s="520"/>
      <c r="BK605" s="520"/>
      <c r="BL605" s="520"/>
      <c r="BM605" s="520"/>
      <c r="BN605" s="1123">
        <v>550.64</v>
      </c>
      <c r="BO605" s="520"/>
      <c r="BP605" s="520"/>
      <c r="BQ605" s="520"/>
      <c r="BR605" s="520"/>
      <c r="BS605" s="1124"/>
      <c r="BT605" s="728"/>
      <c r="BU605" s="520"/>
      <c r="BV605" s="520"/>
      <c r="BW605" s="520"/>
      <c r="BX605" s="1122"/>
      <c r="BY605" s="520"/>
      <c r="BZ605" s="520"/>
      <c r="CA605" s="520"/>
      <c r="CB605" s="520"/>
      <c r="CC605" s="1122"/>
      <c r="CD605" s="1122"/>
      <c r="CE605" s="1122"/>
      <c r="CF605" s="1122"/>
      <c r="CG605" s="519"/>
    </row>
    <row r="606" spans="1:85" s="614" customFormat="1" x14ac:dyDescent="0.3">
      <c r="A606" s="522"/>
      <c r="B606" s="352"/>
      <c r="C606" s="1094"/>
      <c r="D606" s="1094"/>
      <c r="E606" s="1094"/>
      <c r="F606" s="1094"/>
      <c r="G606" s="197"/>
      <c r="H606" s="197"/>
      <c r="I606" s="197"/>
      <c r="J606" s="197"/>
      <c r="K606" s="1094"/>
      <c r="L606" s="197"/>
      <c r="M606" s="197"/>
      <c r="N606" s="197"/>
      <c r="O606" s="197"/>
      <c r="P606" s="1094"/>
      <c r="Q606" s="197"/>
      <c r="R606" s="197"/>
      <c r="S606" s="197"/>
      <c r="T606" s="197"/>
      <c r="U606" s="1094"/>
      <c r="V606" s="197"/>
      <c r="W606" s="197"/>
      <c r="X606" s="197"/>
      <c r="Y606" s="197"/>
      <c r="Z606" s="1094"/>
      <c r="AA606" s="197"/>
      <c r="AB606" s="197"/>
      <c r="AC606" s="197"/>
      <c r="AD606" s="197"/>
      <c r="AE606" s="1094"/>
      <c r="AF606" s="197"/>
      <c r="AG606" s="197"/>
      <c r="AH606" s="197"/>
      <c r="AI606" s="197"/>
      <c r="AJ606" s="1094"/>
      <c r="AK606" s="197"/>
      <c r="AL606" s="197"/>
      <c r="AM606" s="197"/>
      <c r="AN606" s="197"/>
      <c r="AO606" s="1094"/>
      <c r="AP606" s="197"/>
      <c r="AQ606" s="197"/>
      <c r="AR606" s="197"/>
      <c r="AS606" s="197"/>
      <c r="AT606" s="198"/>
      <c r="AU606" s="194"/>
      <c r="AV606" s="194"/>
      <c r="AW606" s="194"/>
      <c r="AX606" s="194"/>
      <c r="AY606" s="198"/>
      <c r="AZ606" s="194"/>
      <c r="BA606" s="194"/>
      <c r="BB606" s="194"/>
      <c r="BC606" s="194"/>
      <c r="BD606" s="198"/>
      <c r="BE606" s="197"/>
      <c r="BF606" s="197"/>
      <c r="BG606" s="197"/>
      <c r="BH606" s="197"/>
      <c r="BI606" s="198"/>
      <c r="BJ606" s="197"/>
      <c r="BK606" s="197"/>
      <c r="BL606" s="197"/>
      <c r="BM606" s="197"/>
      <c r="BN606" s="198"/>
      <c r="BO606" s="197"/>
      <c r="BP606" s="197"/>
      <c r="BQ606" s="197"/>
      <c r="BR606" s="197"/>
      <c r="BS606" s="198"/>
      <c r="BT606" s="727"/>
      <c r="BU606" s="197"/>
      <c r="BV606" s="197"/>
      <c r="BW606" s="197"/>
      <c r="BX606" s="1094"/>
      <c r="BY606" s="197"/>
      <c r="BZ606" s="197"/>
      <c r="CA606" s="197"/>
      <c r="CB606" s="197"/>
      <c r="CC606" s="1094"/>
      <c r="CD606" s="1094"/>
      <c r="CE606" s="1094"/>
      <c r="CF606" s="1094"/>
      <c r="CG606" s="349"/>
    </row>
    <row r="607" spans="1:85" s="613" customFormat="1" x14ac:dyDescent="0.3">
      <c r="A607" s="478" t="s">
        <v>1658</v>
      </c>
      <c r="B607" s="523"/>
      <c r="C607" s="78"/>
      <c r="D607" s="78"/>
      <c r="E607" s="78"/>
      <c r="F607" s="78"/>
      <c r="G607" s="774"/>
      <c r="H607" s="774"/>
      <c r="I607" s="774"/>
      <c r="J607" s="774"/>
      <c r="K607" s="78"/>
      <c r="L607" s="774"/>
      <c r="M607" s="774"/>
      <c r="N607" s="774"/>
      <c r="O607" s="774"/>
      <c r="P607" s="78"/>
      <c r="Q607" s="774"/>
      <c r="R607" s="774"/>
      <c r="S607" s="774"/>
      <c r="T607" s="774"/>
      <c r="U607" s="78"/>
      <c r="V607" s="774"/>
      <c r="W607" s="774"/>
      <c r="X607" s="774"/>
      <c r="Y607" s="774"/>
      <c r="Z607" s="78"/>
      <c r="AA607" s="774"/>
      <c r="AB607" s="774"/>
      <c r="AC607" s="774"/>
      <c r="AD607" s="774"/>
      <c r="AE607" s="78"/>
      <c r="AF607" s="774"/>
      <c r="AG607" s="774"/>
      <c r="AH607" s="774"/>
      <c r="AI607" s="774"/>
      <c r="AJ607" s="78"/>
      <c r="AK607" s="774"/>
      <c r="AL607" s="774"/>
      <c r="AM607" s="774"/>
      <c r="AN607" s="774"/>
      <c r="AO607" s="78"/>
      <c r="AP607" s="774"/>
      <c r="AQ607" s="774"/>
      <c r="AR607" s="774"/>
      <c r="AS607" s="774"/>
      <c r="AT607" s="78"/>
      <c r="AU607" s="774"/>
      <c r="AV607" s="774"/>
      <c r="AW607" s="774"/>
      <c r="AX607" s="774"/>
      <c r="AY607" s="1119">
        <v>5.6580000000000004</v>
      </c>
      <c r="AZ607" s="774"/>
      <c r="BA607" s="774"/>
      <c r="BB607" s="774"/>
      <c r="BC607" s="774"/>
      <c r="BD607" s="1119">
        <v>5.6580000000000004</v>
      </c>
      <c r="BE607" s="774"/>
      <c r="BF607" s="774"/>
      <c r="BG607" s="774"/>
      <c r="BH607" s="774"/>
      <c r="BI607" s="1119">
        <v>5.6580000000000004</v>
      </c>
      <c r="BJ607" s="774"/>
      <c r="BK607" s="774"/>
      <c r="BL607" s="774"/>
      <c r="BM607" s="774"/>
      <c r="BN607" s="1119">
        <v>5.6580000000000004</v>
      </c>
      <c r="BO607" s="774"/>
      <c r="BP607" s="774"/>
      <c r="BQ607" s="774"/>
      <c r="BR607" s="774"/>
      <c r="BS607" s="78"/>
      <c r="BT607" s="775"/>
      <c r="BU607" s="774"/>
      <c r="BV607" s="774"/>
      <c r="BW607" s="774"/>
      <c r="BX607" s="78"/>
      <c r="BY607" s="774"/>
      <c r="BZ607" s="774"/>
      <c r="CA607" s="774"/>
      <c r="CB607" s="774"/>
      <c r="CC607" s="78"/>
      <c r="CD607" s="78"/>
      <c r="CE607" s="78"/>
      <c r="CF607" s="78"/>
      <c r="CG607" s="532"/>
    </row>
    <row r="608" spans="1:85" s="615" customFormat="1" x14ac:dyDescent="0.3">
      <c r="A608" s="522" t="s">
        <v>1657</v>
      </c>
      <c r="B608" s="521"/>
      <c r="C608" s="1122"/>
      <c r="D608" s="1122"/>
      <c r="E608" s="1122"/>
      <c r="F608" s="1122"/>
      <c r="G608" s="520"/>
      <c r="H608" s="520"/>
      <c r="I608" s="520"/>
      <c r="J608" s="520"/>
      <c r="K608" s="1122"/>
      <c r="L608" s="520"/>
      <c r="M608" s="520"/>
      <c r="N608" s="520"/>
      <c r="O608" s="520"/>
      <c r="P608" s="1122"/>
      <c r="Q608" s="520"/>
      <c r="R608" s="520"/>
      <c r="S608" s="520"/>
      <c r="T608" s="520"/>
      <c r="U608" s="1122"/>
      <c r="V608" s="520"/>
      <c r="W608" s="520"/>
      <c r="X608" s="520"/>
      <c r="Y608" s="520"/>
      <c r="Z608" s="1122"/>
      <c r="AA608" s="520"/>
      <c r="AB608" s="520"/>
      <c r="AC608" s="520"/>
      <c r="AD608" s="520"/>
      <c r="AE608" s="1122"/>
      <c r="AF608" s="520"/>
      <c r="AG608" s="520"/>
      <c r="AH608" s="520"/>
      <c r="AI608" s="520"/>
      <c r="AJ608" s="1122"/>
      <c r="AK608" s="520"/>
      <c r="AL608" s="520"/>
      <c r="AM608" s="520"/>
      <c r="AN608" s="520"/>
      <c r="AO608" s="1122"/>
      <c r="AP608" s="520"/>
      <c r="AQ608" s="520"/>
      <c r="AR608" s="520"/>
      <c r="AS608" s="520"/>
      <c r="AT608" s="1124"/>
      <c r="AU608" s="526"/>
      <c r="AV608" s="526"/>
      <c r="AW608" s="526"/>
      <c r="AX608" s="526"/>
      <c r="AY608" s="1123">
        <v>539.41999999999996</v>
      </c>
      <c r="AZ608" s="526"/>
      <c r="BA608" s="526"/>
      <c r="BB608" s="526"/>
      <c r="BC608" s="526"/>
      <c r="BD608" s="1123">
        <v>539.41999999999996</v>
      </c>
      <c r="BE608" s="520"/>
      <c r="BF608" s="520"/>
      <c r="BG608" s="520"/>
      <c r="BH608" s="520"/>
      <c r="BI608" s="1123">
        <v>539.41999999999996</v>
      </c>
      <c r="BJ608" s="520"/>
      <c r="BK608" s="520"/>
      <c r="BL608" s="520"/>
      <c r="BM608" s="520"/>
      <c r="BN608" s="1123">
        <v>539.41999999999996</v>
      </c>
      <c r="BO608" s="520"/>
      <c r="BP608" s="520"/>
      <c r="BQ608" s="520"/>
      <c r="BR608" s="520"/>
      <c r="BS608" s="1124"/>
      <c r="BT608" s="728"/>
      <c r="BU608" s="520"/>
      <c r="BV608" s="520"/>
      <c r="BW608" s="520"/>
      <c r="BX608" s="1122"/>
      <c r="BY608" s="520"/>
      <c r="BZ608" s="520"/>
      <c r="CA608" s="520"/>
      <c r="CB608" s="520"/>
      <c r="CC608" s="1122"/>
      <c r="CD608" s="1122"/>
      <c r="CE608" s="1122"/>
      <c r="CF608" s="1122"/>
      <c r="CG608" s="519"/>
    </row>
    <row r="609" spans="1:85" s="614" customFormat="1" x14ac:dyDescent="0.3">
      <c r="A609" s="522"/>
      <c r="B609" s="352"/>
      <c r="C609" s="1094"/>
      <c r="D609" s="1094"/>
      <c r="E609" s="1094"/>
      <c r="F609" s="1094"/>
      <c r="G609" s="197"/>
      <c r="H609" s="197"/>
      <c r="I609" s="197"/>
      <c r="J609" s="197"/>
      <c r="K609" s="1094"/>
      <c r="L609" s="197"/>
      <c r="M609" s="197"/>
      <c r="N609" s="197"/>
      <c r="O609" s="197"/>
      <c r="P609" s="1094"/>
      <c r="Q609" s="197"/>
      <c r="R609" s="197"/>
      <c r="S609" s="197"/>
      <c r="T609" s="197"/>
      <c r="U609" s="1094"/>
      <c r="V609" s="197"/>
      <c r="W609" s="197"/>
      <c r="X609" s="197"/>
      <c r="Y609" s="197"/>
      <c r="Z609" s="1094"/>
      <c r="AA609" s="197"/>
      <c r="AB609" s="197"/>
      <c r="AC609" s="197"/>
      <c r="AD609" s="197"/>
      <c r="AE609" s="1094"/>
      <c r="AF609" s="197"/>
      <c r="AG609" s="197"/>
      <c r="AH609" s="197"/>
      <c r="AI609" s="197"/>
      <c r="AJ609" s="1094"/>
      <c r="AK609" s="197"/>
      <c r="AL609" s="197"/>
      <c r="AM609" s="197"/>
      <c r="AN609" s="197"/>
      <c r="AO609" s="1094"/>
      <c r="AP609" s="197"/>
      <c r="AQ609" s="197"/>
      <c r="AR609" s="197"/>
      <c r="AS609" s="197"/>
      <c r="AT609" s="198"/>
      <c r="AU609" s="194"/>
      <c r="AV609" s="194"/>
      <c r="AW609" s="194"/>
      <c r="AX609" s="194"/>
      <c r="AY609" s="198"/>
      <c r="AZ609" s="194"/>
      <c r="BA609" s="194"/>
      <c r="BB609" s="194"/>
      <c r="BC609" s="194"/>
      <c r="BD609" s="198"/>
      <c r="BE609" s="197"/>
      <c r="BF609" s="197"/>
      <c r="BG609" s="197"/>
      <c r="BH609" s="197"/>
      <c r="BI609" s="198"/>
      <c r="BJ609" s="197"/>
      <c r="BK609" s="197"/>
      <c r="BL609" s="197"/>
      <c r="BM609" s="197"/>
      <c r="BN609" s="198"/>
      <c r="BO609" s="197"/>
      <c r="BP609" s="197"/>
      <c r="BQ609" s="197"/>
      <c r="BR609" s="197"/>
      <c r="BS609" s="198"/>
      <c r="BT609" s="727"/>
      <c r="BU609" s="197"/>
      <c r="BV609" s="197"/>
      <c r="BW609" s="197"/>
      <c r="BX609" s="1094"/>
      <c r="BY609" s="197"/>
      <c r="BZ609" s="197"/>
      <c r="CA609" s="197"/>
      <c r="CB609" s="197"/>
      <c r="CC609" s="1094"/>
      <c r="CD609" s="1094"/>
      <c r="CE609" s="1094"/>
      <c r="CF609" s="1094"/>
      <c r="CG609" s="349"/>
    </row>
    <row r="610" spans="1:85" s="613" customFormat="1" x14ac:dyDescent="0.3">
      <c r="A610" s="478" t="s">
        <v>1656</v>
      </c>
      <c r="B610" s="523"/>
      <c r="C610" s="78"/>
      <c r="D610" s="78"/>
      <c r="E610" s="78"/>
      <c r="F610" s="78"/>
      <c r="G610" s="774"/>
      <c r="H610" s="774"/>
      <c r="I610" s="774"/>
      <c r="J610" s="774"/>
      <c r="K610" s="78"/>
      <c r="L610" s="774"/>
      <c r="M610" s="774"/>
      <c r="N610" s="774"/>
      <c r="O610" s="774"/>
      <c r="P610" s="78"/>
      <c r="Q610" s="774"/>
      <c r="R610" s="774"/>
      <c r="S610" s="774"/>
      <c r="T610" s="774"/>
      <c r="U610" s="78"/>
      <c r="V610" s="774"/>
      <c r="W610" s="774"/>
      <c r="X610" s="774"/>
      <c r="Y610" s="774"/>
      <c r="Z610" s="78"/>
      <c r="AA610" s="774"/>
      <c r="AB610" s="774"/>
      <c r="AC610" s="774"/>
      <c r="AD610" s="774"/>
      <c r="AE610" s="78"/>
      <c r="AF610" s="774"/>
      <c r="AG610" s="774"/>
      <c r="AH610" s="774"/>
      <c r="AI610" s="774"/>
      <c r="AJ610" s="78"/>
      <c r="AK610" s="774"/>
      <c r="AL610" s="774"/>
      <c r="AM610" s="774"/>
      <c r="AN610" s="774"/>
      <c r="AO610" s="78"/>
      <c r="AP610" s="774"/>
      <c r="AQ610" s="774"/>
      <c r="AR610" s="774"/>
      <c r="AS610" s="774"/>
      <c r="AT610" s="78"/>
      <c r="AU610" s="774"/>
      <c r="AV610" s="774"/>
      <c r="AW610" s="774"/>
      <c r="AX610" s="774"/>
      <c r="AY610" s="1119">
        <v>5.9950000000000001</v>
      </c>
      <c r="AZ610" s="774"/>
      <c r="BA610" s="774"/>
      <c r="BB610" s="774"/>
      <c r="BC610" s="774"/>
      <c r="BD610" s="1119">
        <v>5.9950000000000001</v>
      </c>
      <c r="BE610" s="774"/>
      <c r="BF610" s="774"/>
      <c r="BG610" s="774"/>
      <c r="BH610" s="774"/>
      <c r="BI610" s="1119">
        <v>5.9950000000000001</v>
      </c>
      <c r="BJ610" s="774"/>
      <c r="BK610" s="774"/>
      <c r="BL610" s="774"/>
      <c r="BM610" s="774"/>
      <c r="BN610" s="1119">
        <v>5.9950000000000001</v>
      </c>
      <c r="BO610" s="774"/>
      <c r="BP610" s="774"/>
      <c r="BQ610" s="774"/>
      <c r="BR610" s="774"/>
      <c r="BS610" s="78"/>
      <c r="BT610" s="775"/>
      <c r="BU610" s="774"/>
      <c r="BV610" s="774"/>
      <c r="BW610" s="774"/>
      <c r="BX610" s="78"/>
      <c r="BY610" s="774"/>
      <c r="BZ610" s="774"/>
      <c r="CA610" s="774"/>
      <c r="CB610" s="774"/>
      <c r="CC610" s="78"/>
      <c r="CD610" s="78"/>
      <c r="CE610" s="78"/>
      <c r="CF610" s="78"/>
      <c r="CG610" s="532"/>
    </row>
    <row r="611" spans="1:85" s="615" customFormat="1" x14ac:dyDescent="0.3">
      <c r="A611" s="522" t="s">
        <v>1655</v>
      </c>
      <c r="B611" s="521"/>
      <c r="C611" s="1122"/>
      <c r="D611" s="1122"/>
      <c r="E611" s="1122"/>
      <c r="F611" s="1122"/>
      <c r="G611" s="520"/>
      <c r="H611" s="520"/>
      <c r="I611" s="520"/>
      <c r="J611" s="520"/>
      <c r="K611" s="1122"/>
      <c r="L611" s="520"/>
      <c r="M611" s="520"/>
      <c r="N611" s="520"/>
      <c r="O611" s="520"/>
      <c r="P611" s="1122"/>
      <c r="Q611" s="520"/>
      <c r="R611" s="520"/>
      <c r="S611" s="520"/>
      <c r="T611" s="520"/>
      <c r="U611" s="1122"/>
      <c r="V611" s="520"/>
      <c r="W611" s="520"/>
      <c r="X611" s="520"/>
      <c r="Y611" s="520"/>
      <c r="Z611" s="1122"/>
      <c r="AA611" s="520"/>
      <c r="AB611" s="520"/>
      <c r="AC611" s="520"/>
      <c r="AD611" s="520"/>
      <c r="AE611" s="1122"/>
      <c r="AF611" s="520"/>
      <c r="AG611" s="520"/>
      <c r="AH611" s="520"/>
      <c r="AI611" s="520"/>
      <c r="AJ611" s="1122"/>
      <c r="AK611" s="520"/>
      <c r="AL611" s="520"/>
      <c r="AM611" s="520"/>
      <c r="AN611" s="520"/>
      <c r="AO611" s="1122"/>
      <c r="AP611" s="520"/>
      <c r="AQ611" s="520"/>
      <c r="AR611" s="520"/>
      <c r="AS611" s="520"/>
      <c r="AT611" s="1124"/>
      <c r="AU611" s="526"/>
      <c r="AV611" s="526"/>
      <c r="AW611" s="526"/>
      <c r="AX611" s="526"/>
      <c r="AY611" s="1123">
        <v>509.11</v>
      </c>
      <c r="AZ611" s="526"/>
      <c r="BA611" s="526"/>
      <c r="BB611" s="526"/>
      <c r="BC611" s="526"/>
      <c r="BD611" s="1123">
        <v>509.11</v>
      </c>
      <c r="BE611" s="520"/>
      <c r="BF611" s="520"/>
      <c r="BG611" s="520"/>
      <c r="BH611" s="520"/>
      <c r="BI611" s="1123">
        <v>509.11</v>
      </c>
      <c r="BJ611" s="520"/>
      <c r="BK611" s="520"/>
      <c r="BL611" s="520"/>
      <c r="BM611" s="520"/>
      <c r="BN611" s="1123">
        <v>509.11</v>
      </c>
      <c r="BO611" s="520"/>
      <c r="BP611" s="520"/>
      <c r="BQ611" s="520"/>
      <c r="BR611" s="520"/>
      <c r="BS611" s="1124"/>
      <c r="BT611" s="728"/>
      <c r="BU611" s="520"/>
      <c r="BV611" s="520"/>
      <c r="BW611" s="520"/>
      <c r="BX611" s="1122"/>
      <c r="BY611" s="520"/>
      <c r="BZ611" s="520"/>
      <c r="CA611" s="520"/>
      <c r="CB611" s="520"/>
      <c r="CC611" s="1122"/>
      <c r="CD611" s="1122"/>
      <c r="CE611" s="1122"/>
      <c r="CF611" s="1122"/>
      <c r="CG611" s="519"/>
    </row>
    <row r="612" spans="1:85" s="614" customFormat="1" x14ac:dyDescent="0.3">
      <c r="A612" s="522"/>
      <c r="B612" s="352"/>
      <c r="C612" s="1094"/>
      <c r="D612" s="1094"/>
      <c r="E612" s="1094"/>
      <c r="F612" s="1094"/>
      <c r="G612" s="197"/>
      <c r="H612" s="197"/>
      <c r="I612" s="197"/>
      <c r="J612" s="197"/>
      <c r="K612" s="1094"/>
      <c r="L612" s="197"/>
      <c r="M612" s="197"/>
      <c r="N612" s="197"/>
      <c r="O612" s="197"/>
      <c r="P612" s="1094"/>
      <c r="Q612" s="197"/>
      <c r="R612" s="197"/>
      <c r="S612" s="197"/>
      <c r="T612" s="197"/>
      <c r="U612" s="1094"/>
      <c r="V612" s="197"/>
      <c r="W612" s="197"/>
      <c r="X612" s="197"/>
      <c r="Y612" s="197"/>
      <c r="Z612" s="1094"/>
      <c r="AA612" s="197"/>
      <c r="AB612" s="197"/>
      <c r="AC612" s="197"/>
      <c r="AD612" s="197"/>
      <c r="AE612" s="1094"/>
      <c r="AF612" s="197"/>
      <c r="AG612" s="197"/>
      <c r="AH612" s="197"/>
      <c r="AI612" s="197"/>
      <c r="AJ612" s="1094"/>
      <c r="AK612" s="197"/>
      <c r="AL612" s="197"/>
      <c r="AM612" s="197"/>
      <c r="AN612" s="197"/>
      <c r="AO612" s="1094"/>
      <c r="AP612" s="197"/>
      <c r="AQ612" s="197"/>
      <c r="AR612" s="197"/>
      <c r="AS612" s="197"/>
      <c r="AT612" s="198"/>
      <c r="AU612" s="194"/>
      <c r="AV612" s="194"/>
      <c r="AW612" s="194"/>
      <c r="AX612" s="194"/>
      <c r="AY612" s="198"/>
      <c r="AZ612" s="194"/>
      <c r="BA612" s="194"/>
      <c r="BB612" s="194"/>
      <c r="BC612" s="194"/>
      <c r="BD612" s="198"/>
      <c r="BE612" s="197"/>
      <c r="BF612" s="197"/>
      <c r="BG612" s="197"/>
      <c r="BH612" s="197"/>
      <c r="BI612" s="198"/>
      <c r="BJ612" s="197"/>
      <c r="BK612" s="197"/>
      <c r="BL612" s="197"/>
      <c r="BM612" s="197"/>
      <c r="BN612" s="198"/>
      <c r="BO612" s="197"/>
      <c r="BP612" s="197"/>
      <c r="BQ612" s="197"/>
      <c r="BR612" s="197"/>
      <c r="BS612" s="198"/>
      <c r="BT612" s="727"/>
      <c r="BU612" s="197"/>
      <c r="BV612" s="197"/>
      <c r="BW612" s="197"/>
      <c r="BX612" s="1094"/>
      <c r="BY612" s="197"/>
      <c r="BZ612" s="197"/>
      <c r="CA612" s="197"/>
      <c r="CB612" s="197"/>
      <c r="CC612" s="1094"/>
      <c r="CD612" s="1094"/>
      <c r="CE612" s="1094"/>
      <c r="CF612" s="1094"/>
      <c r="CG612" s="349"/>
    </row>
    <row r="613" spans="1:85" s="613" customFormat="1" x14ac:dyDescent="0.3">
      <c r="A613" s="478" t="s">
        <v>1654</v>
      </c>
      <c r="B613" s="523"/>
      <c r="C613" s="78"/>
      <c r="D613" s="78"/>
      <c r="E613" s="78"/>
      <c r="F613" s="78"/>
      <c r="G613" s="774"/>
      <c r="H613" s="774"/>
      <c r="I613" s="774"/>
      <c r="J613" s="774"/>
      <c r="K613" s="78"/>
      <c r="L613" s="774"/>
      <c r="M613" s="774"/>
      <c r="N613" s="774"/>
      <c r="O613" s="774"/>
      <c r="P613" s="78"/>
      <c r="Q613" s="774"/>
      <c r="R613" s="774"/>
      <c r="S613" s="774"/>
      <c r="T613" s="774"/>
      <c r="U613" s="78"/>
      <c r="V613" s="774"/>
      <c r="W613" s="774"/>
      <c r="X613" s="774"/>
      <c r="Y613" s="774"/>
      <c r="Z613" s="78"/>
      <c r="AA613" s="774"/>
      <c r="AB613" s="774"/>
      <c r="AC613" s="774"/>
      <c r="AD613" s="774"/>
      <c r="AE613" s="78"/>
      <c r="AF613" s="774"/>
      <c r="AG613" s="774"/>
      <c r="AH613" s="774"/>
      <c r="AI613" s="774"/>
      <c r="AJ613" s="78"/>
      <c r="AK613" s="774"/>
      <c r="AL613" s="774"/>
      <c r="AM613" s="774"/>
      <c r="AN613" s="774"/>
      <c r="AO613" s="78"/>
      <c r="AP613" s="774"/>
      <c r="AQ613" s="774"/>
      <c r="AR613" s="774"/>
      <c r="AS613" s="774"/>
      <c r="AT613" s="78"/>
      <c r="AU613" s="774"/>
      <c r="AV613" s="774"/>
      <c r="AW613" s="774"/>
      <c r="AX613" s="774"/>
      <c r="AY613" s="1119">
        <v>6.1159999999999997</v>
      </c>
      <c r="AZ613" s="774"/>
      <c r="BA613" s="774"/>
      <c r="BB613" s="774"/>
      <c r="BC613" s="774"/>
      <c r="BD613" s="1119">
        <v>6.1159999999999997</v>
      </c>
      <c r="BE613" s="774"/>
      <c r="BF613" s="774"/>
      <c r="BG613" s="774"/>
      <c r="BH613" s="774"/>
      <c r="BI613" s="1119">
        <v>6.1159999999999997</v>
      </c>
      <c r="BJ613" s="774"/>
      <c r="BK613" s="774"/>
      <c r="BL613" s="774"/>
      <c r="BM613" s="774"/>
      <c r="BN613" s="1119">
        <v>6.1159999999999997</v>
      </c>
      <c r="BO613" s="774"/>
      <c r="BP613" s="774"/>
      <c r="BQ613" s="774"/>
      <c r="BR613" s="774"/>
      <c r="BS613" s="78"/>
      <c r="BT613" s="775"/>
      <c r="BU613" s="774"/>
      <c r="BV613" s="774"/>
      <c r="BW613" s="774"/>
      <c r="BX613" s="78"/>
      <c r="BY613" s="774"/>
      <c r="BZ613" s="774"/>
      <c r="CA613" s="774"/>
      <c r="CB613" s="774"/>
      <c r="CC613" s="78"/>
      <c r="CD613" s="78"/>
      <c r="CE613" s="78"/>
      <c r="CF613" s="78"/>
      <c r="CG613" s="532"/>
    </row>
    <row r="614" spans="1:85" s="615" customFormat="1" x14ac:dyDescent="0.3">
      <c r="A614" s="522" t="s">
        <v>1653</v>
      </c>
      <c r="B614" s="521"/>
      <c r="C614" s="1122"/>
      <c r="D614" s="1122"/>
      <c r="E614" s="1122"/>
      <c r="F614" s="1122"/>
      <c r="G614" s="520"/>
      <c r="H614" s="520"/>
      <c r="I614" s="520"/>
      <c r="J614" s="520"/>
      <c r="K614" s="1122"/>
      <c r="L614" s="520"/>
      <c r="M614" s="520"/>
      <c r="N614" s="520"/>
      <c r="O614" s="520"/>
      <c r="P614" s="1122"/>
      <c r="Q614" s="520"/>
      <c r="R614" s="520"/>
      <c r="S614" s="520"/>
      <c r="T614" s="520"/>
      <c r="U614" s="1122"/>
      <c r="V614" s="520"/>
      <c r="W614" s="520"/>
      <c r="X614" s="520"/>
      <c r="Y614" s="520"/>
      <c r="Z614" s="1122"/>
      <c r="AA614" s="520"/>
      <c r="AB614" s="520"/>
      <c r="AC614" s="520"/>
      <c r="AD614" s="520"/>
      <c r="AE614" s="1122"/>
      <c r="AF614" s="520"/>
      <c r="AG614" s="520"/>
      <c r="AH614" s="520"/>
      <c r="AI614" s="520"/>
      <c r="AJ614" s="1122"/>
      <c r="AK614" s="520"/>
      <c r="AL614" s="520"/>
      <c r="AM614" s="520"/>
      <c r="AN614" s="520"/>
      <c r="AO614" s="1122"/>
      <c r="AP614" s="520"/>
      <c r="AQ614" s="520"/>
      <c r="AR614" s="520"/>
      <c r="AS614" s="520"/>
      <c r="AT614" s="1124"/>
      <c r="AU614" s="526"/>
      <c r="AV614" s="526"/>
      <c r="AW614" s="526"/>
      <c r="AX614" s="526"/>
      <c r="AY614" s="1123">
        <v>499.08</v>
      </c>
      <c r="AZ614" s="526"/>
      <c r="BA614" s="526"/>
      <c r="BB614" s="526"/>
      <c r="BC614" s="526"/>
      <c r="BD614" s="1123">
        <v>499.08</v>
      </c>
      <c r="BE614" s="520"/>
      <c r="BF614" s="520"/>
      <c r="BG614" s="520"/>
      <c r="BH614" s="520"/>
      <c r="BI614" s="1123">
        <v>499.08</v>
      </c>
      <c r="BJ614" s="520"/>
      <c r="BK614" s="520"/>
      <c r="BL614" s="520"/>
      <c r="BM614" s="520"/>
      <c r="BN614" s="1123">
        <v>499.08</v>
      </c>
      <c r="BO614" s="520"/>
      <c r="BP614" s="520"/>
      <c r="BQ614" s="520"/>
      <c r="BR614" s="520"/>
      <c r="BS614" s="1124"/>
      <c r="BT614" s="728"/>
      <c r="BU614" s="520"/>
      <c r="BV614" s="520"/>
      <c r="BW614" s="520"/>
      <c r="BX614" s="1122"/>
      <c r="BY614" s="520"/>
      <c r="BZ614" s="520"/>
      <c r="CA614" s="520"/>
      <c r="CB614" s="520"/>
      <c r="CC614" s="1122"/>
      <c r="CD614" s="1122"/>
      <c r="CE614" s="1122"/>
      <c r="CF614" s="1122"/>
      <c r="CG614" s="519"/>
    </row>
    <row r="615" spans="1:85" s="614" customFormat="1" x14ac:dyDescent="0.3">
      <c r="A615" s="522"/>
      <c r="B615" s="352"/>
      <c r="C615" s="1094"/>
      <c r="D615" s="1094"/>
      <c r="E615" s="1094"/>
      <c r="F615" s="1094"/>
      <c r="G615" s="197"/>
      <c r="H615" s="197"/>
      <c r="I615" s="197"/>
      <c r="J615" s="197"/>
      <c r="K615" s="1094"/>
      <c r="L615" s="197"/>
      <c r="M615" s="197"/>
      <c r="N615" s="197"/>
      <c r="O615" s="197"/>
      <c r="P615" s="1094"/>
      <c r="Q615" s="197"/>
      <c r="R615" s="197"/>
      <c r="S615" s="197"/>
      <c r="T615" s="197"/>
      <c r="U615" s="1094"/>
      <c r="V615" s="197"/>
      <c r="W615" s="197"/>
      <c r="X615" s="197"/>
      <c r="Y615" s="197"/>
      <c r="Z615" s="1094"/>
      <c r="AA615" s="197"/>
      <c r="AB615" s="197"/>
      <c r="AC615" s="197"/>
      <c r="AD615" s="197"/>
      <c r="AE615" s="1094"/>
      <c r="AF615" s="197"/>
      <c r="AG615" s="197"/>
      <c r="AH615" s="197"/>
      <c r="AI615" s="197"/>
      <c r="AJ615" s="1094"/>
      <c r="AK615" s="197"/>
      <c r="AL615" s="197"/>
      <c r="AM615" s="197"/>
      <c r="AN615" s="197"/>
      <c r="AO615" s="1094"/>
      <c r="AP615" s="197"/>
      <c r="AQ615" s="197"/>
      <c r="AR615" s="197"/>
      <c r="AS615" s="197"/>
      <c r="AT615" s="198"/>
      <c r="AU615" s="194"/>
      <c r="AV615" s="194"/>
      <c r="AW615" s="194"/>
      <c r="AX615" s="194"/>
      <c r="AY615" s="198"/>
      <c r="AZ615" s="194"/>
      <c r="BA615" s="194"/>
      <c r="BB615" s="194"/>
      <c r="BC615" s="194"/>
      <c r="BD615" s="198"/>
      <c r="BE615" s="197"/>
      <c r="BF615" s="197"/>
      <c r="BG615" s="197"/>
      <c r="BH615" s="197"/>
      <c r="BI615" s="198"/>
      <c r="BJ615" s="197"/>
      <c r="BK615" s="197"/>
      <c r="BL615" s="197"/>
      <c r="BM615" s="197"/>
      <c r="BN615" s="198"/>
      <c r="BO615" s="197"/>
      <c r="BP615" s="197"/>
      <c r="BQ615" s="197"/>
      <c r="BR615" s="197"/>
      <c r="BS615" s="198"/>
      <c r="BT615" s="727"/>
      <c r="BU615" s="197"/>
      <c r="BV615" s="197"/>
      <c r="BW615" s="197"/>
      <c r="BX615" s="1094"/>
      <c r="BY615" s="197"/>
      <c r="BZ615" s="197"/>
      <c r="CA615" s="197"/>
      <c r="CB615" s="197"/>
      <c r="CC615" s="1094"/>
      <c r="CD615" s="1094"/>
      <c r="CE615" s="1094"/>
      <c r="CF615" s="1094"/>
      <c r="CG615" s="349"/>
    </row>
    <row r="616" spans="1:85" s="613" customFormat="1" x14ac:dyDescent="0.3">
      <c r="A616" s="478" t="s">
        <v>1652</v>
      </c>
      <c r="B616" s="523"/>
      <c r="C616" s="78"/>
      <c r="D616" s="78"/>
      <c r="E616" s="78"/>
      <c r="F616" s="78"/>
      <c r="G616" s="774"/>
      <c r="H616" s="774"/>
      <c r="I616" s="774"/>
      <c r="J616" s="774"/>
      <c r="K616" s="78"/>
      <c r="L616" s="774"/>
      <c r="M616" s="774"/>
      <c r="N616" s="774"/>
      <c r="O616" s="774"/>
      <c r="P616" s="78"/>
      <c r="Q616" s="774"/>
      <c r="R616" s="774"/>
      <c r="S616" s="774"/>
      <c r="T616" s="774"/>
      <c r="U616" s="78"/>
      <c r="V616" s="774"/>
      <c r="W616" s="774"/>
      <c r="X616" s="774"/>
      <c r="Y616" s="774"/>
      <c r="Z616" s="78"/>
      <c r="AA616" s="774"/>
      <c r="AB616" s="774"/>
      <c r="AC616" s="774"/>
      <c r="AD616" s="774"/>
      <c r="AE616" s="78"/>
      <c r="AF616" s="774"/>
      <c r="AG616" s="774"/>
      <c r="AH616" s="774"/>
      <c r="AI616" s="774"/>
      <c r="AJ616" s="78"/>
      <c r="AK616" s="774"/>
      <c r="AL616" s="774"/>
      <c r="AM616" s="774"/>
      <c r="AN616" s="774"/>
      <c r="AO616" s="78"/>
      <c r="AP616" s="774"/>
      <c r="AQ616" s="774"/>
      <c r="AR616" s="774"/>
      <c r="AS616" s="774"/>
      <c r="AT616" s="78"/>
      <c r="AU616" s="774"/>
      <c r="AV616" s="774"/>
      <c r="AW616" s="774"/>
      <c r="AX616" s="774"/>
      <c r="AY616" s="1119">
        <v>5.72</v>
      </c>
      <c r="AZ616" s="774"/>
      <c r="BA616" s="774"/>
      <c r="BB616" s="774"/>
      <c r="BC616" s="774"/>
      <c r="BD616" s="1119">
        <v>5.72</v>
      </c>
      <c r="BE616" s="774"/>
      <c r="BF616" s="774"/>
      <c r="BG616" s="774"/>
      <c r="BH616" s="774"/>
      <c r="BI616" s="1119">
        <v>5.72</v>
      </c>
      <c r="BJ616" s="774"/>
      <c r="BK616" s="774"/>
      <c r="BL616" s="774"/>
      <c r="BM616" s="774"/>
      <c r="BN616" s="1119">
        <v>5.72</v>
      </c>
      <c r="BO616" s="774"/>
      <c r="BP616" s="774"/>
      <c r="BQ616" s="774"/>
      <c r="BR616" s="774"/>
      <c r="BS616" s="78"/>
      <c r="BT616" s="775"/>
      <c r="BU616" s="774"/>
      <c r="BV616" s="774"/>
      <c r="BW616" s="774"/>
      <c r="BX616" s="78"/>
      <c r="BY616" s="774"/>
      <c r="BZ616" s="774"/>
      <c r="CA616" s="774"/>
      <c r="CB616" s="774"/>
      <c r="CC616" s="78"/>
      <c r="CD616" s="78"/>
      <c r="CE616" s="78"/>
      <c r="CF616" s="78"/>
      <c r="CG616" s="532"/>
    </row>
    <row r="617" spans="1:85" s="615" customFormat="1" x14ac:dyDescent="0.3">
      <c r="A617" s="522" t="s">
        <v>1651</v>
      </c>
      <c r="B617" s="521"/>
      <c r="C617" s="1122"/>
      <c r="D617" s="1122"/>
      <c r="E617" s="1122"/>
      <c r="F617" s="1122"/>
      <c r="G617" s="520"/>
      <c r="H617" s="520"/>
      <c r="I617" s="520"/>
      <c r="J617" s="520"/>
      <c r="K617" s="1122"/>
      <c r="L617" s="520"/>
      <c r="M617" s="520"/>
      <c r="N617" s="520"/>
      <c r="O617" s="520"/>
      <c r="P617" s="1122"/>
      <c r="Q617" s="520"/>
      <c r="R617" s="520"/>
      <c r="S617" s="520"/>
      <c r="T617" s="520"/>
      <c r="U617" s="1122"/>
      <c r="V617" s="520"/>
      <c r="W617" s="520"/>
      <c r="X617" s="520"/>
      <c r="Y617" s="520"/>
      <c r="Z617" s="1122"/>
      <c r="AA617" s="520"/>
      <c r="AB617" s="520"/>
      <c r="AC617" s="520"/>
      <c r="AD617" s="520"/>
      <c r="AE617" s="1122"/>
      <c r="AF617" s="520"/>
      <c r="AG617" s="520"/>
      <c r="AH617" s="520"/>
      <c r="AI617" s="520"/>
      <c r="AJ617" s="1122"/>
      <c r="AK617" s="520"/>
      <c r="AL617" s="520"/>
      <c r="AM617" s="520"/>
      <c r="AN617" s="520"/>
      <c r="AO617" s="1122"/>
      <c r="AP617" s="520"/>
      <c r="AQ617" s="520"/>
      <c r="AR617" s="520"/>
      <c r="AS617" s="520"/>
      <c r="AT617" s="1124"/>
      <c r="AU617" s="526"/>
      <c r="AV617" s="526"/>
      <c r="AW617" s="526"/>
      <c r="AX617" s="526"/>
      <c r="AY617" s="1123">
        <v>533.54</v>
      </c>
      <c r="AZ617" s="526"/>
      <c r="BA617" s="526"/>
      <c r="BB617" s="526"/>
      <c r="BC617" s="526"/>
      <c r="BD617" s="1123">
        <v>533.54</v>
      </c>
      <c r="BE617" s="520"/>
      <c r="BF617" s="520"/>
      <c r="BG617" s="520"/>
      <c r="BH617" s="520"/>
      <c r="BI617" s="1123">
        <v>533.54</v>
      </c>
      <c r="BJ617" s="520"/>
      <c r="BK617" s="520"/>
      <c r="BL617" s="520"/>
      <c r="BM617" s="520"/>
      <c r="BN617" s="1123">
        <v>533.54</v>
      </c>
      <c r="BO617" s="520"/>
      <c r="BP617" s="520"/>
      <c r="BQ617" s="520"/>
      <c r="BR617" s="520"/>
      <c r="BS617" s="1124"/>
      <c r="BT617" s="728"/>
      <c r="BU617" s="520"/>
      <c r="BV617" s="520"/>
      <c r="BW617" s="520"/>
      <c r="BX617" s="1122"/>
      <c r="BY617" s="520"/>
      <c r="BZ617" s="520"/>
      <c r="CA617" s="520"/>
      <c r="CB617" s="520"/>
      <c r="CC617" s="1122"/>
      <c r="CD617" s="1122"/>
      <c r="CE617" s="1122"/>
      <c r="CF617" s="1122"/>
      <c r="CG617" s="519"/>
    </row>
    <row r="618" spans="1:85" s="614" customFormat="1" x14ac:dyDescent="0.3">
      <c r="A618" s="522"/>
      <c r="B618" s="352"/>
      <c r="C618" s="1094"/>
      <c r="D618" s="1094"/>
      <c r="E618" s="1094"/>
      <c r="F618" s="1094"/>
      <c r="G618" s="197"/>
      <c r="H618" s="197"/>
      <c r="I618" s="197"/>
      <c r="J618" s="197"/>
      <c r="K618" s="1094"/>
      <c r="L618" s="197"/>
      <c r="M618" s="197"/>
      <c r="N618" s="197"/>
      <c r="O618" s="197"/>
      <c r="P618" s="1094"/>
      <c r="Q618" s="197"/>
      <c r="R618" s="197"/>
      <c r="S618" s="197"/>
      <c r="T618" s="197"/>
      <c r="U618" s="1094"/>
      <c r="V618" s="197"/>
      <c r="W618" s="197"/>
      <c r="X618" s="197"/>
      <c r="Y618" s="197"/>
      <c r="Z618" s="1094"/>
      <c r="AA618" s="197"/>
      <c r="AB618" s="197"/>
      <c r="AC618" s="197"/>
      <c r="AD618" s="197"/>
      <c r="AE618" s="1094"/>
      <c r="AF618" s="197"/>
      <c r="AG618" s="197"/>
      <c r="AH618" s="197"/>
      <c r="AI618" s="197"/>
      <c r="AJ618" s="1094"/>
      <c r="AK618" s="197"/>
      <c r="AL618" s="197"/>
      <c r="AM618" s="197"/>
      <c r="AN618" s="197"/>
      <c r="AO618" s="1094"/>
      <c r="AP618" s="197"/>
      <c r="AQ618" s="197"/>
      <c r="AR618" s="197"/>
      <c r="AS618" s="197"/>
      <c r="AT618" s="198"/>
      <c r="AU618" s="194"/>
      <c r="AV618" s="194"/>
      <c r="AW618" s="194"/>
      <c r="AX618" s="194"/>
      <c r="AY618" s="198"/>
      <c r="AZ618" s="194"/>
      <c r="BA618" s="194"/>
      <c r="BB618" s="194"/>
      <c r="BC618" s="194"/>
      <c r="BD618" s="198"/>
      <c r="BE618" s="197"/>
      <c r="BF618" s="197"/>
      <c r="BG618" s="197"/>
      <c r="BH618" s="197"/>
      <c r="BI618" s="198"/>
      <c r="BJ618" s="197"/>
      <c r="BK618" s="197"/>
      <c r="BL618" s="197"/>
      <c r="BM618" s="197"/>
      <c r="BN618" s="198"/>
      <c r="BO618" s="197"/>
      <c r="BP618" s="197"/>
      <c r="BQ618" s="197"/>
      <c r="BR618" s="197"/>
      <c r="BS618" s="198"/>
      <c r="BT618" s="727"/>
      <c r="BU618" s="197"/>
      <c r="BV618" s="197"/>
      <c r="BW618" s="197"/>
      <c r="BX618" s="1094"/>
      <c r="BY618" s="197"/>
      <c r="BZ618" s="197"/>
      <c r="CA618" s="197"/>
      <c r="CB618" s="197"/>
      <c r="CC618" s="1094"/>
      <c r="CD618" s="1094"/>
      <c r="CE618" s="1094"/>
      <c r="CF618" s="1094"/>
      <c r="CG618" s="349"/>
    </row>
    <row r="619" spans="1:85" s="613" customFormat="1" x14ac:dyDescent="0.3">
      <c r="A619" s="478" t="s">
        <v>1650</v>
      </c>
      <c r="B619" s="523"/>
      <c r="C619" s="78"/>
      <c r="D619" s="78"/>
      <c r="E619" s="78"/>
      <c r="F619" s="78"/>
      <c r="G619" s="774"/>
      <c r="H619" s="774"/>
      <c r="I619" s="774"/>
      <c r="J619" s="774"/>
      <c r="K619" s="78"/>
      <c r="L619" s="774"/>
      <c r="M619" s="774"/>
      <c r="N619" s="774"/>
      <c r="O619" s="774"/>
      <c r="P619" s="78"/>
      <c r="Q619" s="774"/>
      <c r="R619" s="774"/>
      <c r="S619" s="774"/>
      <c r="T619" s="774"/>
      <c r="U619" s="78"/>
      <c r="V619" s="774"/>
      <c r="W619" s="774"/>
      <c r="X619" s="774"/>
      <c r="Y619" s="774"/>
      <c r="Z619" s="78"/>
      <c r="AA619" s="774"/>
      <c r="AB619" s="774"/>
      <c r="AC619" s="774"/>
      <c r="AD619" s="774"/>
      <c r="AE619" s="78"/>
      <c r="AF619" s="774"/>
      <c r="AG619" s="774"/>
      <c r="AH619" s="774"/>
      <c r="AI619" s="774"/>
      <c r="AJ619" s="78"/>
      <c r="AK619" s="774"/>
      <c r="AL619" s="774"/>
      <c r="AM619" s="774"/>
      <c r="AN619" s="774"/>
      <c r="AO619" s="78"/>
      <c r="AP619" s="774"/>
      <c r="AQ619" s="774"/>
      <c r="AR619" s="774"/>
      <c r="AS619" s="774"/>
      <c r="AT619" s="78"/>
      <c r="AU619" s="774"/>
      <c r="AV619" s="774"/>
      <c r="AW619" s="774"/>
      <c r="AX619" s="774"/>
      <c r="AY619" s="1119">
        <v>5.9249999999999998</v>
      </c>
      <c r="AZ619" s="774"/>
      <c r="BA619" s="774"/>
      <c r="BB619" s="774"/>
      <c r="BC619" s="774"/>
      <c r="BD619" s="1119">
        <v>5.9249999999999998</v>
      </c>
      <c r="BE619" s="774"/>
      <c r="BF619" s="774"/>
      <c r="BG619" s="774"/>
      <c r="BH619" s="774"/>
      <c r="BI619" s="1119">
        <v>5.9249999999999998</v>
      </c>
      <c r="BJ619" s="774"/>
      <c r="BK619" s="774"/>
      <c r="BL619" s="774"/>
      <c r="BM619" s="774"/>
      <c r="BN619" s="1119">
        <v>5.9249999999999998</v>
      </c>
      <c r="BO619" s="774"/>
      <c r="BP619" s="774"/>
      <c r="BQ619" s="774"/>
      <c r="BR619" s="774"/>
      <c r="BS619" s="78"/>
      <c r="BT619" s="775"/>
      <c r="BU619" s="774"/>
      <c r="BV619" s="774"/>
      <c r="BW619" s="774"/>
      <c r="BX619" s="78"/>
      <c r="BY619" s="774"/>
      <c r="BZ619" s="774"/>
      <c r="CA619" s="774"/>
      <c r="CB619" s="774"/>
      <c r="CC619" s="78"/>
      <c r="CD619" s="78"/>
      <c r="CE619" s="78"/>
      <c r="CF619" s="78"/>
      <c r="CG619" s="532"/>
    </row>
    <row r="620" spans="1:85" s="615" customFormat="1" x14ac:dyDescent="0.3">
      <c r="A620" s="522" t="s">
        <v>1649</v>
      </c>
      <c r="B620" s="521"/>
      <c r="C620" s="1122"/>
      <c r="D620" s="1122"/>
      <c r="E620" s="1122"/>
      <c r="F620" s="1122"/>
      <c r="G620" s="520"/>
      <c r="H620" s="520"/>
      <c r="I620" s="520"/>
      <c r="J620" s="520"/>
      <c r="K620" s="1122"/>
      <c r="L620" s="520"/>
      <c r="M620" s="520"/>
      <c r="N620" s="520"/>
      <c r="O620" s="520"/>
      <c r="P620" s="1122"/>
      <c r="Q620" s="520"/>
      <c r="R620" s="520"/>
      <c r="S620" s="520"/>
      <c r="T620" s="520"/>
      <c r="U620" s="1122"/>
      <c r="V620" s="520"/>
      <c r="W620" s="520"/>
      <c r="X620" s="520"/>
      <c r="Y620" s="520"/>
      <c r="Z620" s="1122"/>
      <c r="AA620" s="520"/>
      <c r="AB620" s="520"/>
      <c r="AC620" s="520"/>
      <c r="AD620" s="520"/>
      <c r="AE620" s="1122"/>
      <c r="AF620" s="520"/>
      <c r="AG620" s="520"/>
      <c r="AH620" s="520"/>
      <c r="AI620" s="520"/>
      <c r="AJ620" s="1122"/>
      <c r="AK620" s="520"/>
      <c r="AL620" s="520"/>
      <c r="AM620" s="520"/>
      <c r="AN620" s="520"/>
      <c r="AO620" s="1122"/>
      <c r="AP620" s="520"/>
      <c r="AQ620" s="520"/>
      <c r="AR620" s="520"/>
      <c r="AS620" s="520"/>
      <c r="AT620" s="1124"/>
      <c r="AU620" s="526"/>
      <c r="AV620" s="526"/>
      <c r="AW620" s="526"/>
      <c r="AX620" s="526"/>
      <c r="AY620" s="1123">
        <v>515.15</v>
      </c>
      <c r="AZ620" s="526"/>
      <c r="BA620" s="526"/>
      <c r="BB620" s="526"/>
      <c r="BC620" s="526"/>
      <c r="BD620" s="1123">
        <v>515.15</v>
      </c>
      <c r="BE620" s="520"/>
      <c r="BF620" s="520"/>
      <c r="BG620" s="520"/>
      <c r="BH620" s="520"/>
      <c r="BI620" s="1123">
        <v>515.15</v>
      </c>
      <c r="BJ620" s="520"/>
      <c r="BK620" s="520"/>
      <c r="BL620" s="520"/>
      <c r="BM620" s="520"/>
      <c r="BN620" s="1123">
        <v>515.15</v>
      </c>
      <c r="BO620" s="520"/>
      <c r="BP620" s="520"/>
      <c r="BQ620" s="520"/>
      <c r="BR620" s="520"/>
      <c r="BS620" s="1124"/>
      <c r="BT620" s="728"/>
      <c r="BU620" s="520"/>
      <c r="BV620" s="520"/>
      <c r="BW620" s="520"/>
      <c r="BX620" s="1122"/>
      <c r="BY620" s="520"/>
      <c r="BZ620" s="520"/>
      <c r="CA620" s="520"/>
      <c r="CB620" s="520"/>
      <c r="CC620" s="1122"/>
      <c r="CD620" s="1122"/>
      <c r="CE620" s="1122"/>
      <c r="CF620" s="1122"/>
      <c r="CG620" s="519"/>
    </row>
    <row r="621" spans="1:85" s="614" customFormat="1" x14ac:dyDescent="0.3">
      <c r="A621" s="522"/>
      <c r="B621" s="352"/>
      <c r="C621" s="1094"/>
      <c r="D621" s="1094"/>
      <c r="E621" s="1094"/>
      <c r="F621" s="1094"/>
      <c r="G621" s="197"/>
      <c r="H621" s="197"/>
      <c r="I621" s="197"/>
      <c r="J621" s="197"/>
      <c r="K621" s="1094"/>
      <c r="L621" s="197"/>
      <c r="M621" s="197"/>
      <c r="N621" s="197"/>
      <c r="O621" s="197"/>
      <c r="P621" s="1094"/>
      <c r="Q621" s="197"/>
      <c r="R621" s="197"/>
      <c r="S621" s="197"/>
      <c r="T621" s="197"/>
      <c r="U621" s="1094"/>
      <c r="V621" s="197"/>
      <c r="W621" s="197"/>
      <c r="X621" s="197"/>
      <c r="Y621" s="197"/>
      <c r="Z621" s="1094"/>
      <c r="AA621" s="197"/>
      <c r="AB621" s="197"/>
      <c r="AC621" s="197"/>
      <c r="AD621" s="197"/>
      <c r="AE621" s="1094"/>
      <c r="AF621" s="197"/>
      <c r="AG621" s="197"/>
      <c r="AH621" s="197"/>
      <c r="AI621" s="197"/>
      <c r="AJ621" s="1094"/>
      <c r="AK621" s="197"/>
      <c r="AL621" s="197"/>
      <c r="AM621" s="197"/>
      <c r="AN621" s="197"/>
      <c r="AO621" s="1094"/>
      <c r="AP621" s="197"/>
      <c r="AQ621" s="197"/>
      <c r="AR621" s="197"/>
      <c r="AS621" s="197"/>
      <c r="AT621" s="198"/>
      <c r="AU621" s="194"/>
      <c r="AV621" s="194"/>
      <c r="AW621" s="194"/>
      <c r="AX621" s="194"/>
      <c r="AY621" s="198"/>
      <c r="AZ621" s="194"/>
      <c r="BA621" s="194"/>
      <c r="BB621" s="194"/>
      <c r="BC621" s="194"/>
      <c r="BD621" s="198"/>
      <c r="BE621" s="197"/>
      <c r="BF621" s="197"/>
      <c r="BG621" s="197"/>
      <c r="BH621" s="197"/>
      <c r="BI621" s="198"/>
      <c r="BJ621" s="197"/>
      <c r="BK621" s="197"/>
      <c r="BL621" s="197"/>
      <c r="BM621" s="197"/>
      <c r="BN621" s="198"/>
      <c r="BO621" s="197"/>
      <c r="BP621" s="197"/>
      <c r="BQ621" s="197"/>
      <c r="BR621" s="197"/>
      <c r="BS621" s="198"/>
      <c r="BT621" s="727"/>
      <c r="BU621" s="197"/>
      <c r="BV621" s="197"/>
      <c r="BW621" s="197"/>
      <c r="BX621" s="1094"/>
      <c r="BY621" s="197"/>
      <c r="BZ621" s="197"/>
      <c r="CA621" s="197"/>
      <c r="CB621" s="197"/>
      <c r="CC621" s="1094"/>
      <c r="CD621" s="1094"/>
      <c r="CE621" s="1094"/>
      <c r="CF621" s="1094"/>
      <c r="CG621" s="349"/>
    </row>
    <row r="622" spans="1:85" s="613" customFormat="1" x14ac:dyDescent="0.3">
      <c r="A622" s="478" t="s">
        <v>1648</v>
      </c>
      <c r="B622" s="523"/>
      <c r="C622" s="78"/>
      <c r="D622" s="78"/>
      <c r="E622" s="78"/>
      <c r="F622" s="78"/>
      <c r="G622" s="774"/>
      <c r="H622" s="774"/>
      <c r="I622" s="774"/>
      <c r="J622" s="774"/>
      <c r="K622" s="78"/>
      <c r="L622" s="774"/>
      <c r="M622" s="774"/>
      <c r="N622" s="774"/>
      <c r="O622" s="774"/>
      <c r="P622" s="78"/>
      <c r="Q622" s="774"/>
      <c r="R622" s="774"/>
      <c r="S622" s="774"/>
      <c r="T622" s="774"/>
      <c r="U622" s="78"/>
      <c r="V622" s="774"/>
      <c r="W622" s="774"/>
      <c r="X622" s="774"/>
      <c r="Y622" s="774"/>
      <c r="Z622" s="78"/>
      <c r="AA622" s="774"/>
      <c r="AB622" s="774"/>
      <c r="AC622" s="774"/>
      <c r="AD622" s="774"/>
      <c r="AE622" s="78"/>
      <c r="AF622" s="774"/>
      <c r="AG622" s="774"/>
      <c r="AH622" s="774"/>
      <c r="AI622" s="774"/>
      <c r="AJ622" s="78"/>
      <c r="AK622" s="774"/>
      <c r="AL622" s="774"/>
      <c r="AM622" s="774"/>
      <c r="AN622" s="774"/>
      <c r="AO622" s="78"/>
      <c r="AP622" s="774"/>
      <c r="AQ622" s="774"/>
      <c r="AR622" s="774"/>
      <c r="AS622" s="774"/>
      <c r="AT622" s="78"/>
      <c r="AU622" s="774"/>
      <c r="AV622" s="774"/>
      <c r="AW622" s="774"/>
      <c r="AX622" s="774"/>
      <c r="AY622" s="1119">
        <v>5.2430000000000003</v>
      </c>
      <c r="AZ622" s="774"/>
      <c r="BA622" s="774"/>
      <c r="BB622" s="774"/>
      <c r="BC622" s="774"/>
      <c r="BD622" s="1119">
        <v>5.2430000000000003</v>
      </c>
      <c r="BE622" s="774"/>
      <c r="BF622" s="774"/>
      <c r="BG622" s="774"/>
      <c r="BH622" s="774"/>
      <c r="BI622" s="1119">
        <v>5.2430000000000003</v>
      </c>
      <c r="BJ622" s="774"/>
      <c r="BK622" s="774"/>
      <c r="BL622" s="774"/>
      <c r="BM622" s="774"/>
      <c r="BN622" s="1119">
        <v>5.2430000000000003</v>
      </c>
      <c r="BO622" s="774"/>
      <c r="BP622" s="774"/>
      <c r="BQ622" s="774"/>
      <c r="BR622" s="774"/>
      <c r="BS622" s="78"/>
      <c r="BT622" s="775"/>
      <c r="BU622" s="774"/>
      <c r="BV622" s="774"/>
      <c r="BW622" s="774"/>
      <c r="BX622" s="78"/>
      <c r="BY622" s="774"/>
      <c r="BZ622" s="774"/>
      <c r="CA622" s="774"/>
      <c r="CB622" s="774"/>
      <c r="CC622" s="78"/>
      <c r="CD622" s="78"/>
      <c r="CE622" s="78"/>
      <c r="CF622" s="78"/>
      <c r="CG622" s="532"/>
    </row>
    <row r="623" spans="1:85" s="615" customFormat="1" x14ac:dyDescent="0.3">
      <c r="A623" s="522" t="s">
        <v>1647</v>
      </c>
      <c r="B623" s="521"/>
      <c r="C623" s="1122"/>
      <c r="D623" s="1122"/>
      <c r="E623" s="1122"/>
      <c r="F623" s="1122"/>
      <c r="G623" s="520"/>
      <c r="H623" s="520"/>
      <c r="I623" s="520"/>
      <c r="J623" s="520"/>
      <c r="K623" s="1122"/>
      <c r="L623" s="520"/>
      <c r="M623" s="520"/>
      <c r="N623" s="520"/>
      <c r="O623" s="520"/>
      <c r="P623" s="1122"/>
      <c r="Q623" s="520"/>
      <c r="R623" s="520"/>
      <c r="S623" s="520"/>
      <c r="T623" s="520"/>
      <c r="U623" s="1122"/>
      <c r="V623" s="520"/>
      <c r="W623" s="520"/>
      <c r="X623" s="520"/>
      <c r="Y623" s="520"/>
      <c r="Z623" s="1122"/>
      <c r="AA623" s="520"/>
      <c r="AB623" s="520"/>
      <c r="AC623" s="520"/>
      <c r="AD623" s="520"/>
      <c r="AE623" s="1122"/>
      <c r="AF623" s="520"/>
      <c r="AG623" s="520"/>
      <c r="AH623" s="520"/>
      <c r="AI623" s="520"/>
      <c r="AJ623" s="1122"/>
      <c r="AK623" s="520"/>
      <c r="AL623" s="520"/>
      <c r="AM623" s="520"/>
      <c r="AN623" s="520"/>
      <c r="AO623" s="1122"/>
      <c r="AP623" s="520"/>
      <c r="AQ623" s="520"/>
      <c r="AR623" s="520"/>
      <c r="AS623" s="520"/>
      <c r="AT623" s="1124"/>
      <c r="AU623" s="526"/>
      <c r="AV623" s="526"/>
      <c r="AW623" s="526"/>
      <c r="AX623" s="526"/>
      <c r="AY623" s="1123">
        <v>582.07000000000005</v>
      </c>
      <c r="AZ623" s="526"/>
      <c r="BA623" s="526"/>
      <c r="BB623" s="526"/>
      <c r="BC623" s="526"/>
      <c r="BD623" s="1123">
        <v>582.07000000000005</v>
      </c>
      <c r="BE623" s="520"/>
      <c r="BF623" s="520"/>
      <c r="BG623" s="520"/>
      <c r="BH623" s="520"/>
      <c r="BI623" s="1123">
        <v>582.07000000000005</v>
      </c>
      <c r="BJ623" s="520"/>
      <c r="BK623" s="520"/>
      <c r="BL623" s="520"/>
      <c r="BM623" s="520"/>
      <c r="BN623" s="1123">
        <v>582.07000000000005</v>
      </c>
      <c r="BO623" s="520"/>
      <c r="BP623" s="520"/>
      <c r="BQ623" s="520"/>
      <c r="BR623" s="520"/>
      <c r="BS623" s="1124"/>
      <c r="BT623" s="728"/>
      <c r="BU623" s="520"/>
      <c r="BV623" s="520"/>
      <c r="BW623" s="520"/>
      <c r="BX623" s="1122"/>
      <c r="BY623" s="520"/>
      <c r="BZ623" s="520"/>
      <c r="CA623" s="520"/>
      <c r="CB623" s="520"/>
      <c r="CC623" s="1122"/>
      <c r="CD623" s="1122"/>
      <c r="CE623" s="1122"/>
      <c r="CF623" s="1122"/>
      <c r="CG623" s="519"/>
    </row>
    <row r="624" spans="1:85" s="614" customFormat="1" x14ac:dyDescent="0.3">
      <c r="A624" s="522"/>
      <c r="B624" s="352"/>
      <c r="C624" s="1094"/>
      <c r="D624" s="1094"/>
      <c r="E624" s="1094"/>
      <c r="F624" s="1094"/>
      <c r="G624" s="197"/>
      <c r="H624" s="197"/>
      <c r="I624" s="197"/>
      <c r="J624" s="197"/>
      <c r="K624" s="1094"/>
      <c r="L624" s="197"/>
      <c r="M624" s="197"/>
      <c r="N624" s="197"/>
      <c r="O624" s="197"/>
      <c r="P624" s="1094"/>
      <c r="Q624" s="197"/>
      <c r="R624" s="197"/>
      <c r="S624" s="197"/>
      <c r="T624" s="197"/>
      <c r="U624" s="1094"/>
      <c r="V624" s="197"/>
      <c r="W624" s="197"/>
      <c r="X624" s="197"/>
      <c r="Y624" s="197"/>
      <c r="Z624" s="1094"/>
      <c r="AA624" s="197"/>
      <c r="AB624" s="197"/>
      <c r="AC624" s="197"/>
      <c r="AD624" s="197"/>
      <c r="AE624" s="1094"/>
      <c r="AF624" s="197"/>
      <c r="AG624" s="197"/>
      <c r="AH624" s="197"/>
      <c r="AI624" s="197"/>
      <c r="AJ624" s="1094"/>
      <c r="AK624" s="197"/>
      <c r="AL624" s="197"/>
      <c r="AM624" s="197"/>
      <c r="AN624" s="197"/>
      <c r="AO624" s="1094"/>
      <c r="AP624" s="197"/>
      <c r="AQ624" s="197"/>
      <c r="AR624" s="197"/>
      <c r="AS624" s="197"/>
      <c r="AT624" s="198"/>
      <c r="AU624" s="194"/>
      <c r="AV624" s="194"/>
      <c r="AW624" s="194"/>
      <c r="AX624" s="194"/>
      <c r="AY624" s="198"/>
      <c r="AZ624" s="194"/>
      <c r="BA624" s="194"/>
      <c r="BB624" s="194"/>
      <c r="BC624" s="194"/>
      <c r="BD624" s="198"/>
      <c r="BE624" s="197"/>
      <c r="BF624" s="197"/>
      <c r="BG624" s="197"/>
      <c r="BH624" s="197"/>
      <c r="BI624" s="198"/>
      <c r="BJ624" s="197"/>
      <c r="BK624" s="197"/>
      <c r="BL624" s="197"/>
      <c r="BM624" s="197"/>
      <c r="BN624" s="198"/>
      <c r="BO624" s="197"/>
      <c r="BP624" s="197"/>
      <c r="BQ624" s="197"/>
      <c r="BR624" s="197"/>
      <c r="BS624" s="198"/>
      <c r="BT624" s="727"/>
      <c r="BU624" s="197"/>
      <c r="BV624" s="197"/>
      <c r="BW624" s="197"/>
      <c r="BX624" s="1094"/>
      <c r="BY624" s="197"/>
      <c r="BZ624" s="197"/>
      <c r="CA624" s="197"/>
      <c r="CB624" s="197"/>
      <c r="CC624" s="1094"/>
      <c r="CD624" s="1094"/>
      <c r="CE624" s="1094"/>
      <c r="CF624" s="1094"/>
      <c r="CG624" s="349"/>
    </row>
    <row r="625" spans="1:85" s="613" customFormat="1" x14ac:dyDescent="0.3">
      <c r="A625" s="478" t="s">
        <v>1646</v>
      </c>
      <c r="B625" s="523"/>
      <c r="C625" s="78"/>
      <c r="D625" s="78"/>
      <c r="E625" s="78"/>
      <c r="F625" s="78"/>
      <c r="G625" s="774"/>
      <c r="H625" s="774"/>
      <c r="I625" s="774"/>
      <c r="J625" s="774"/>
      <c r="K625" s="78"/>
      <c r="L625" s="774"/>
      <c r="M625" s="774"/>
      <c r="N625" s="774"/>
      <c r="O625" s="774"/>
      <c r="P625" s="78"/>
      <c r="Q625" s="774"/>
      <c r="R625" s="774"/>
      <c r="S625" s="774"/>
      <c r="T625" s="774"/>
      <c r="U625" s="78"/>
      <c r="V625" s="774"/>
      <c r="W625" s="774"/>
      <c r="X625" s="774"/>
      <c r="Y625" s="774"/>
      <c r="Z625" s="78"/>
      <c r="AA625" s="774"/>
      <c r="AB625" s="774"/>
      <c r="AC625" s="774"/>
      <c r="AD625" s="774"/>
      <c r="AE625" s="78"/>
      <c r="AF625" s="774"/>
      <c r="AG625" s="774"/>
      <c r="AH625" s="774"/>
      <c r="AI625" s="774"/>
      <c r="AJ625" s="78"/>
      <c r="AK625" s="774"/>
      <c r="AL625" s="774"/>
      <c r="AM625" s="774"/>
      <c r="AN625" s="774"/>
      <c r="AO625" s="78"/>
      <c r="AP625" s="774"/>
      <c r="AQ625" s="774"/>
      <c r="AR625" s="774"/>
      <c r="AS625" s="774"/>
      <c r="AT625" s="78"/>
      <c r="AU625" s="774"/>
      <c r="AV625" s="774"/>
      <c r="AW625" s="774"/>
      <c r="AX625" s="774"/>
      <c r="AY625" s="1119">
        <v>4.9779999999999998</v>
      </c>
      <c r="AZ625" s="774"/>
      <c r="BA625" s="774"/>
      <c r="BB625" s="774"/>
      <c r="BC625" s="774"/>
      <c r="BD625" s="1119">
        <v>4.9779999999999998</v>
      </c>
      <c r="BE625" s="774"/>
      <c r="BF625" s="774"/>
      <c r="BG625" s="774"/>
      <c r="BH625" s="774"/>
      <c r="BI625" s="1119">
        <v>4.9779999999999998</v>
      </c>
      <c r="BJ625" s="774"/>
      <c r="BK625" s="774"/>
      <c r="BL625" s="774"/>
      <c r="BM625" s="774"/>
      <c r="BN625" s="1119">
        <v>4.9779999999999998</v>
      </c>
      <c r="BO625" s="774"/>
      <c r="BP625" s="774"/>
      <c r="BQ625" s="774"/>
      <c r="BR625" s="774"/>
      <c r="BS625" s="78"/>
      <c r="BT625" s="775"/>
      <c r="BU625" s="774"/>
      <c r="BV625" s="774"/>
      <c r="BW625" s="774"/>
      <c r="BX625" s="78"/>
      <c r="BY625" s="774"/>
      <c r="BZ625" s="774"/>
      <c r="CA625" s="774"/>
      <c r="CB625" s="774"/>
      <c r="CC625" s="78"/>
      <c r="CD625" s="78"/>
      <c r="CE625" s="78"/>
      <c r="CF625" s="78"/>
      <c r="CG625" s="532"/>
    </row>
    <row r="626" spans="1:85" s="615" customFormat="1" x14ac:dyDescent="0.3">
      <c r="A626" s="522" t="s">
        <v>1645</v>
      </c>
      <c r="B626" s="521"/>
      <c r="C626" s="1122"/>
      <c r="D626" s="1122"/>
      <c r="E626" s="1122"/>
      <c r="F626" s="1122"/>
      <c r="G626" s="520"/>
      <c r="H626" s="520"/>
      <c r="I626" s="520"/>
      <c r="J626" s="520"/>
      <c r="K626" s="1122"/>
      <c r="L626" s="520"/>
      <c r="M626" s="520"/>
      <c r="N626" s="520"/>
      <c r="O626" s="520"/>
      <c r="P626" s="1122"/>
      <c r="Q626" s="520"/>
      <c r="R626" s="520"/>
      <c r="S626" s="520"/>
      <c r="T626" s="520"/>
      <c r="U626" s="1122"/>
      <c r="V626" s="520"/>
      <c r="W626" s="520"/>
      <c r="X626" s="520"/>
      <c r="Y626" s="520"/>
      <c r="Z626" s="1122"/>
      <c r="AA626" s="520"/>
      <c r="AB626" s="520"/>
      <c r="AC626" s="520"/>
      <c r="AD626" s="520"/>
      <c r="AE626" s="1122"/>
      <c r="AF626" s="520"/>
      <c r="AG626" s="520"/>
      <c r="AH626" s="520"/>
      <c r="AI626" s="520"/>
      <c r="AJ626" s="1122"/>
      <c r="AK626" s="520"/>
      <c r="AL626" s="520"/>
      <c r="AM626" s="520"/>
      <c r="AN626" s="520"/>
      <c r="AO626" s="1122"/>
      <c r="AP626" s="520"/>
      <c r="AQ626" s="520"/>
      <c r="AR626" s="520"/>
      <c r="AS626" s="520"/>
      <c r="AT626" s="1124"/>
      <c r="AU626" s="526"/>
      <c r="AV626" s="526"/>
      <c r="AW626" s="526"/>
      <c r="AX626" s="526"/>
      <c r="AY626" s="1123">
        <v>613.15</v>
      </c>
      <c r="AZ626" s="526"/>
      <c r="BA626" s="526"/>
      <c r="BB626" s="526"/>
      <c r="BC626" s="526"/>
      <c r="BD626" s="1123">
        <v>613.15</v>
      </c>
      <c r="BE626" s="520"/>
      <c r="BF626" s="520"/>
      <c r="BG626" s="520"/>
      <c r="BH626" s="520"/>
      <c r="BI626" s="1123">
        <v>613.15</v>
      </c>
      <c r="BJ626" s="520"/>
      <c r="BK626" s="520"/>
      <c r="BL626" s="520"/>
      <c r="BM626" s="520"/>
      <c r="BN626" s="1123">
        <v>613.15</v>
      </c>
      <c r="BO626" s="520"/>
      <c r="BP626" s="520"/>
      <c r="BQ626" s="520"/>
      <c r="BR626" s="520"/>
      <c r="BS626" s="1124"/>
      <c r="BT626" s="728"/>
      <c r="BU626" s="520"/>
      <c r="BV626" s="520"/>
      <c r="BW626" s="520"/>
      <c r="BX626" s="1122"/>
      <c r="BY626" s="520"/>
      <c r="BZ626" s="520"/>
      <c r="CA626" s="520"/>
      <c r="CB626" s="520"/>
      <c r="CC626" s="1122"/>
      <c r="CD626" s="1122"/>
      <c r="CE626" s="1122"/>
      <c r="CF626" s="1122"/>
      <c r="CG626" s="519"/>
    </row>
    <row r="627" spans="1:85" s="614" customFormat="1" x14ac:dyDescent="0.3">
      <c r="A627" s="522"/>
      <c r="B627" s="352"/>
      <c r="C627" s="1094"/>
      <c r="D627" s="1094"/>
      <c r="E627" s="1094"/>
      <c r="F627" s="1094"/>
      <c r="G627" s="197"/>
      <c r="H627" s="197"/>
      <c r="I627" s="197"/>
      <c r="J627" s="197"/>
      <c r="K627" s="1094"/>
      <c r="L627" s="197"/>
      <c r="M627" s="197"/>
      <c r="N627" s="197"/>
      <c r="O627" s="197"/>
      <c r="P627" s="1094"/>
      <c r="Q627" s="197"/>
      <c r="R627" s="197"/>
      <c r="S627" s="197"/>
      <c r="T627" s="197"/>
      <c r="U627" s="1094"/>
      <c r="V627" s="197"/>
      <c r="W627" s="197"/>
      <c r="X627" s="197"/>
      <c r="Y627" s="197"/>
      <c r="Z627" s="1094"/>
      <c r="AA627" s="197"/>
      <c r="AB627" s="197"/>
      <c r="AC627" s="197"/>
      <c r="AD627" s="197"/>
      <c r="AE627" s="1094"/>
      <c r="AF627" s="197"/>
      <c r="AG627" s="197"/>
      <c r="AH627" s="197"/>
      <c r="AI627" s="197"/>
      <c r="AJ627" s="1094"/>
      <c r="AK627" s="197"/>
      <c r="AL627" s="197"/>
      <c r="AM627" s="197"/>
      <c r="AN627" s="197"/>
      <c r="AO627" s="1094"/>
      <c r="AP627" s="197"/>
      <c r="AQ627" s="197"/>
      <c r="AR627" s="197"/>
      <c r="AS627" s="197"/>
      <c r="AT627" s="198"/>
      <c r="AU627" s="194"/>
      <c r="AV627" s="194"/>
      <c r="AW627" s="194"/>
      <c r="AX627" s="194"/>
      <c r="AY627" s="198"/>
      <c r="AZ627" s="194"/>
      <c r="BA627" s="194"/>
      <c r="BB627" s="194"/>
      <c r="BC627" s="194"/>
      <c r="BD627" s="198"/>
      <c r="BE627" s="197"/>
      <c r="BF627" s="197"/>
      <c r="BG627" s="197"/>
      <c r="BH627" s="197"/>
      <c r="BI627" s="198"/>
      <c r="BJ627" s="197"/>
      <c r="BK627" s="197"/>
      <c r="BL627" s="197"/>
      <c r="BM627" s="197"/>
      <c r="BN627" s="198"/>
      <c r="BO627" s="197"/>
      <c r="BP627" s="197"/>
      <c r="BQ627" s="197"/>
      <c r="BR627" s="197"/>
      <c r="BS627" s="198"/>
      <c r="BT627" s="727"/>
      <c r="BU627" s="197"/>
      <c r="BV627" s="197"/>
      <c r="BW627" s="197"/>
      <c r="BX627" s="1094"/>
      <c r="BY627" s="197"/>
      <c r="BZ627" s="197"/>
      <c r="CA627" s="197"/>
      <c r="CB627" s="197"/>
      <c r="CC627" s="1094"/>
      <c r="CD627" s="1094"/>
      <c r="CE627" s="1094"/>
      <c r="CF627" s="1094"/>
      <c r="CG627" s="349"/>
    </row>
    <row r="628" spans="1:85" s="613" customFormat="1" x14ac:dyDescent="0.3">
      <c r="A628" s="478" t="s">
        <v>1644</v>
      </c>
      <c r="B628" s="523"/>
      <c r="C628" s="78"/>
      <c r="D628" s="78"/>
      <c r="E628" s="78"/>
      <c r="F628" s="78"/>
      <c r="G628" s="774"/>
      <c r="H628" s="774"/>
      <c r="I628" s="774"/>
      <c r="J628" s="774"/>
      <c r="K628" s="78"/>
      <c r="L628" s="774"/>
      <c r="M628" s="774"/>
      <c r="N628" s="774"/>
      <c r="O628" s="774"/>
      <c r="P628" s="78"/>
      <c r="Q628" s="774"/>
      <c r="R628" s="774"/>
      <c r="S628" s="774"/>
      <c r="T628" s="774"/>
      <c r="U628" s="78"/>
      <c r="V628" s="774"/>
      <c r="W628" s="774"/>
      <c r="X628" s="774"/>
      <c r="Y628" s="774"/>
      <c r="Z628" s="78"/>
      <c r="AA628" s="774"/>
      <c r="AB628" s="774"/>
      <c r="AC628" s="774"/>
      <c r="AD628" s="774"/>
      <c r="AE628" s="78"/>
      <c r="AF628" s="774"/>
      <c r="AG628" s="774"/>
      <c r="AH628" s="774"/>
      <c r="AI628" s="774"/>
      <c r="AJ628" s="78"/>
      <c r="AK628" s="774"/>
      <c r="AL628" s="774"/>
      <c r="AM628" s="774"/>
      <c r="AN628" s="774"/>
      <c r="AO628" s="78"/>
      <c r="AP628" s="774"/>
      <c r="AQ628" s="774"/>
      <c r="AR628" s="774"/>
      <c r="AS628" s="774"/>
      <c r="AT628" s="78"/>
      <c r="AU628" s="774"/>
      <c r="AV628" s="774"/>
      <c r="AW628" s="774"/>
      <c r="AX628" s="774"/>
      <c r="AY628" s="1119">
        <v>4.4809999999999999</v>
      </c>
      <c r="AZ628" s="774"/>
      <c r="BA628" s="774"/>
      <c r="BB628" s="774"/>
      <c r="BC628" s="774"/>
      <c r="BD628" s="1119">
        <v>4.4809999999999999</v>
      </c>
      <c r="BE628" s="774"/>
      <c r="BF628" s="774"/>
      <c r="BG628" s="774"/>
      <c r="BH628" s="774"/>
      <c r="BI628" s="1119">
        <v>4.4809999999999999</v>
      </c>
      <c r="BJ628" s="774"/>
      <c r="BK628" s="774"/>
      <c r="BL628" s="774"/>
      <c r="BM628" s="774"/>
      <c r="BN628" s="1119">
        <v>4.4809999999999999</v>
      </c>
      <c r="BO628" s="774"/>
      <c r="BP628" s="774"/>
      <c r="BQ628" s="774"/>
      <c r="BR628" s="774"/>
      <c r="BS628" s="78"/>
      <c r="BT628" s="775"/>
      <c r="BU628" s="774"/>
      <c r="BV628" s="774"/>
      <c r="BW628" s="774"/>
      <c r="BX628" s="78"/>
      <c r="BY628" s="774"/>
      <c r="BZ628" s="774"/>
      <c r="CA628" s="774"/>
      <c r="CB628" s="774"/>
      <c r="CC628" s="78"/>
      <c r="CD628" s="78"/>
      <c r="CE628" s="78"/>
      <c r="CF628" s="78"/>
      <c r="CG628" s="532"/>
    </row>
    <row r="629" spans="1:85" s="615" customFormat="1" x14ac:dyDescent="0.3">
      <c r="A629" s="522" t="s">
        <v>1643</v>
      </c>
      <c r="B629" s="521"/>
      <c r="C629" s="1122"/>
      <c r="D629" s="1122"/>
      <c r="E629" s="1122"/>
      <c r="F629" s="1122"/>
      <c r="G629" s="520"/>
      <c r="H629" s="520"/>
      <c r="I629" s="520"/>
      <c r="J629" s="520"/>
      <c r="K629" s="1122"/>
      <c r="L629" s="520"/>
      <c r="M629" s="520"/>
      <c r="N629" s="520"/>
      <c r="O629" s="520"/>
      <c r="P629" s="1122"/>
      <c r="Q629" s="520"/>
      <c r="R629" s="520"/>
      <c r="S629" s="520"/>
      <c r="T629" s="520"/>
      <c r="U629" s="1122"/>
      <c r="V629" s="520"/>
      <c r="W629" s="520"/>
      <c r="X629" s="520"/>
      <c r="Y629" s="520"/>
      <c r="Z629" s="1122"/>
      <c r="AA629" s="520"/>
      <c r="AB629" s="520"/>
      <c r="AC629" s="520"/>
      <c r="AD629" s="520"/>
      <c r="AE629" s="1122"/>
      <c r="AF629" s="520"/>
      <c r="AG629" s="520"/>
      <c r="AH629" s="520"/>
      <c r="AI629" s="520"/>
      <c r="AJ629" s="1122"/>
      <c r="AK629" s="520"/>
      <c r="AL629" s="520"/>
      <c r="AM629" s="520"/>
      <c r="AN629" s="520"/>
      <c r="AO629" s="1122"/>
      <c r="AP629" s="520"/>
      <c r="AQ629" s="520"/>
      <c r="AR629" s="520"/>
      <c r="AS629" s="520"/>
      <c r="AT629" s="1124"/>
      <c r="AU629" s="526"/>
      <c r="AV629" s="526"/>
      <c r="AW629" s="526"/>
      <c r="AX629" s="526"/>
      <c r="AY629" s="1123">
        <v>681.17</v>
      </c>
      <c r="AZ629" s="526"/>
      <c r="BA629" s="526"/>
      <c r="BB629" s="526"/>
      <c r="BC629" s="526"/>
      <c r="BD629" s="1123">
        <v>681.17</v>
      </c>
      <c r="BE629" s="520"/>
      <c r="BF629" s="520"/>
      <c r="BG629" s="520"/>
      <c r="BH629" s="520"/>
      <c r="BI629" s="1123">
        <v>681.17</v>
      </c>
      <c r="BJ629" s="520"/>
      <c r="BK629" s="520"/>
      <c r="BL629" s="520"/>
      <c r="BM629" s="520"/>
      <c r="BN629" s="1123">
        <v>681.17</v>
      </c>
      <c r="BO629" s="520"/>
      <c r="BP629" s="520"/>
      <c r="BQ629" s="520"/>
      <c r="BR629" s="520"/>
      <c r="BS629" s="1124"/>
      <c r="BT629" s="728"/>
      <c r="BU629" s="520"/>
      <c r="BV629" s="520"/>
      <c r="BW629" s="520"/>
      <c r="BX629" s="1122"/>
      <c r="BY629" s="520"/>
      <c r="BZ629" s="520"/>
      <c r="CA629" s="520"/>
      <c r="CB629" s="520"/>
      <c r="CC629" s="1122"/>
      <c r="CD629" s="1122"/>
      <c r="CE629" s="1122"/>
      <c r="CF629" s="1122"/>
      <c r="CG629" s="519"/>
    </row>
    <row r="630" spans="1:85" s="614" customFormat="1" x14ac:dyDescent="0.3">
      <c r="A630" s="522"/>
      <c r="B630" s="352"/>
      <c r="C630" s="1094"/>
      <c r="D630" s="1094"/>
      <c r="E630" s="1094"/>
      <c r="F630" s="1094"/>
      <c r="G630" s="197"/>
      <c r="H630" s="197"/>
      <c r="I630" s="197"/>
      <c r="J630" s="197"/>
      <c r="K630" s="1094"/>
      <c r="L630" s="197"/>
      <c r="M630" s="197"/>
      <c r="N630" s="197"/>
      <c r="O630" s="197"/>
      <c r="P630" s="1094"/>
      <c r="Q630" s="197"/>
      <c r="R630" s="197"/>
      <c r="S630" s="197"/>
      <c r="T630" s="197"/>
      <c r="U630" s="1094"/>
      <c r="V630" s="197"/>
      <c r="W630" s="197"/>
      <c r="X630" s="197"/>
      <c r="Y630" s="197"/>
      <c r="Z630" s="1094"/>
      <c r="AA630" s="197"/>
      <c r="AB630" s="197"/>
      <c r="AC630" s="197"/>
      <c r="AD630" s="197"/>
      <c r="AE630" s="1094"/>
      <c r="AF630" s="197"/>
      <c r="AG630" s="197"/>
      <c r="AH630" s="197"/>
      <c r="AI630" s="197"/>
      <c r="AJ630" s="1094"/>
      <c r="AK630" s="197"/>
      <c r="AL630" s="197"/>
      <c r="AM630" s="197"/>
      <c r="AN630" s="197"/>
      <c r="AO630" s="1094"/>
      <c r="AP630" s="197"/>
      <c r="AQ630" s="197"/>
      <c r="AR630" s="197"/>
      <c r="AS630" s="197"/>
      <c r="AT630" s="198"/>
      <c r="AU630" s="194"/>
      <c r="AV630" s="194"/>
      <c r="AW630" s="194"/>
      <c r="AX630" s="194"/>
      <c r="AY630" s="198"/>
      <c r="AZ630" s="194"/>
      <c r="BA630" s="194"/>
      <c r="BB630" s="194"/>
      <c r="BC630" s="194"/>
      <c r="BD630" s="198"/>
      <c r="BE630" s="197"/>
      <c r="BF630" s="197"/>
      <c r="BG630" s="197"/>
      <c r="BH630" s="197"/>
      <c r="BI630" s="198"/>
      <c r="BJ630" s="197"/>
      <c r="BK630" s="197"/>
      <c r="BL630" s="197"/>
      <c r="BM630" s="197"/>
      <c r="BN630" s="198"/>
      <c r="BO630" s="197"/>
      <c r="BP630" s="197"/>
      <c r="BQ630" s="197"/>
      <c r="BR630" s="197"/>
      <c r="BS630" s="198"/>
      <c r="BT630" s="727"/>
      <c r="BU630" s="197"/>
      <c r="BV630" s="197"/>
      <c r="BW630" s="197"/>
      <c r="BX630" s="1094"/>
      <c r="BY630" s="197"/>
      <c r="BZ630" s="197"/>
      <c r="CA630" s="197"/>
      <c r="CB630" s="197"/>
      <c r="CC630" s="1094"/>
      <c r="CD630" s="1094"/>
      <c r="CE630" s="1094"/>
      <c r="CF630" s="1094"/>
      <c r="CG630" s="349"/>
    </row>
    <row r="631" spans="1:85" s="613" customFormat="1" x14ac:dyDescent="0.3">
      <c r="A631" s="478" t="s">
        <v>1642</v>
      </c>
      <c r="B631" s="523"/>
      <c r="C631" s="78"/>
      <c r="D631" s="78"/>
      <c r="E631" s="78"/>
      <c r="F631" s="78"/>
      <c r="G631" s="774"/>
      <c r="H631" s="774"/>
      <c r="I631" s="774"/>
      <c r="J631" s="774"/>
      <c r="K631" s="78"/>
      <c r="L631" s="774"/>
      <c r="M631" s="774"/>
      <c r="N631" s="774"/>
      <c r="O631" s="774"/>
      <c r="P631" s="78"/>
      <c r="Q631" s="774"/>
      <c r="R631" s="774"/>
      <c r="S631" s="774"/>
      <c r="T631" s="774"/>
      <c r="U631" s="78"/>
      <c r="V631" s="774"/>
      <c r="W631" s="774"/>
      <c r="X631" s="774"/>
      <c r="Y631" s="774"/>
      <c r="Z631" s="78"/>
      <c r="AA631" s="774"/>
      <c r="AB631" s="774"/>
      <c r="AC631" s="774"/>
      <c r="AD631" s="774"/>
      <c r="AE631" s="78"/>
      <c r="AF631" s="774"/>
      <c r="AG631" s="774"/>
      <c r="AH631" s="774"/>
      <c r="AI631" s="774"/>
      <c r="AJ631" s="78"/>
      <c r="AK631" s="774"/>
      <c r="AL631" s="774"/>
      <c r="AM631" s="774"/>
      <c r="AN631" s="774"/>
      <c r="AO631" s="78"/>
      <c r="AP631" s="774"/>
      <c r="AQ631" s="774"/>
      <c r="AR631" s="774"/>
      <c r="AS631" s="774"/>
      <c r="AT631" s="78"/>
      <c r="AU631" s="774"/>
      <c r="AV631" s="774"/>
      <c r="AW631" s="774"/>
      <c r="AX631" s="774"/>
      <c r="AY631" s="1119">
        <v>4.9400000000000004</v>
      </c>
      <c r="AZ631" s="774"/>
      <c r="BA631" s="774"/>
      <c r="BB631" s="774"/>
      <c r="BC631" s="774"/>
      <c r="BD631" s="1119">
        <v>4.9400000000000004</v>
      </c>
      <c r="BE631" s="774"/>
      <c r="BF631" s="774"/>
      <c r="BG631" s="774"/>
      <c r="BH631" s="774"/>
      <c r="BI631" s="1119">
        <v>4.9400000000000004</v>
      </c>
      <c r="BJ631" s="774"/>
      <c r="BK631" s="774"/>
      <c r="BL631" s="774"/>
      <c r="BM631" s="774"/>
      <c r="BN631" s="1119">
        <v>4.9400000000000004</v>
      </c>
      <c r="BO631" s="774"/>
      <c r="BP631" s="774"/>
      <c r="BQ631" s="774"/>
      <c r="BR631" s="774"/>
      <c r="BS631" s="78"/>
      <c r="BT631" s="775"/>
      <c r="BU631" s="774"/>
      <c r="BV631" s="774"/>
      <c r="BW631" s="774"/>
      <c r="BX631" s="78"/>
      <c r="BY631" s="774"/>
      <c r="BZ631" s="774"/>
      <c r="CA631" s="774"/>
      <c r="CB631" s="774"/>
      <c r="CC631" s="78"/>
      <c r="CD631" s="78"/>
      <c r="CE631" s="78"/>
      <c r="CF631" s="78"/>
      <c r="CG631" s="532"/>
    </row>
    <row r="632" spans="1:85" s="615" customFormat="1" x14ac:dyDescent="0.3">
      <c r="A632" s="522" t="s">
        <v>1641</v>
      </c>
      <c r="B632" s="521"/>
      <c r="C632" s="1122"/>
      <c r="D632" s="1122"/>
      <c r="E632" s="1122"/>
      <c r="F632" s="1122"/>
      <c r="G632" s="520"/>
      <c r="H632" s="520"/>
      <c r="I632" s="520"/>
      <c r="J632" s="520"/>
      <c r="K632" s="1122"/>
      <c r="L632" s="520"/>
      <c r="M632" s="520"/>
      <c r="N632" s="520"/>
      <c r="O632" s="520"/>
      <c r="P632" s="1122"/>
      <c r="Q632" s="520"/>
      <c r="R632" s="520"/>
      <c r="S632" s="520"/>
      <c r="T632" s="520"/>
      <c r="U632" s="1122"/>
      <c r="V632" s="520"/>
      <c r="W632" s="520"/>
      <c r="X632" s="520"/>
      <c r="Y632" s="520"/>
      <c r="Z632" s="1122"/>
      <c r="AA632" s="520"/>
      <c r="AB632" s="520"/>
      <c r="AC632" s="520"/>
      <c r="AD632" s="520"/>
      <c r="AE632" s="1122"/>
      <c r="AF632" s="520"/>
      <c r="AG632" s="520"/>
      <c r="AH632" s="520"/>
      <c r="AI632" s="520"/>
      <c r="AJ632" s="1122"/>
      <c r="AK632" s="520"/>
      <c r="AL632" s="520"/>
      <c r="AM632" s="520"/>
      <c r="AN632" s="520"/>
      <c r="AO632" s="1122"/>
      <c r="AP632" s="520"/>
      <c r="AQ632" s="520"/>
      <c r="AR632" s="520"/>
      <c r="AS632" s="520"/>
      <c r="AT632" s="1124"/>
      <c r="AU632" s="526"/>
      <c r="AV632" s="526"/>
      <c r="AW632" s="526"/>
      <c r="AX632" s="526"/>
      <c r="AY632" s="1123">
        <v>617.77</v>
      </c>
      <c r="AZ632" s="526"/>
      <c r="BA632" s="526"/>
      <c r="BB632" s="526"/>
      <c r="BC632" s="526"/>
      <c r="BD632" s="1123">
        <v>617.77</v>
      </c>
      <c r="BE632" s="520"/>
      <c r="BF632" s="520"/>
      <c r="BG632" s="520"/>
      <c r="BH632" s="520"/>
      <c r="BI632" s="1123">
        <v>617.77</v>
      </c>
      <c r="BJ632" s="520"/>
      <c r="BK632" s="520"/>
      <c r="BL632" s="520"/>
      <c r="BM632" s="520"/>
      <c r="BN632" s="1123">
        <v>617.77</v>
      </c>
      <c r="BO632" s="520"/>
      <c r="BP632" s="520"/>
      <c r="BQ632" s="520"/>
      <c r="BR632" s="520"/>
      <c r="BS632" s="1124"/>
      <c r="BT632" s="728"/>
      <c r="BU632" s="520"/>
      <c r="BV632" s="520"/>
      <c r="BW632" s="520"/>
      <c r="BX632" s="1122"/>
      <c r="BY632" s="520"/>
      <c r="BZ632" s="520"/>
      <c r="CA632" s="520"/>
      <c r="CB632" s="520"/>
      <c r="CC632" s="1122"/>
      <c r="CD632" s="1122"/>
      <c r="CE632" s="1122"/>
      <c r="CF632" s="1122"/>
      <c r="CG632" s="519"/>
    </row>
    <row r="633" spans="1:85" s="614" customFormat="1" x14ac:dyDescent="0.3">
      <c r="A633" s="522"/>
      <c r="B633" s="352"/>
      <c r="C633" s="1094"/>
      <c r="D633" s="1094"/>
      <c r="E633" s="1094"/>
      <c r="F633" s="1094"/>
      <c r="G633" s="197"/>
      <c r="H633" s="197"/>
      <c r="I633" s="197"/>
      <c r="J633" s="197"/>
      <c r="K633" s="1094"/>
      <c r="L633" s="197"/>
      <c r="M633" s="197"/>
      <c r="N633" s="197"/>
      <c r="O633" s="197"/>
      <c r="P633" s="1094"/>
      <c r="Q633" s="197"/>
      <c r="R633" s="197"/>
      <c r="S633" s="197"/>
      <c r="T633" s="197"/>
      <c r="U633" s="1094"/>
      <c r="V633" s="197"/>
      <c r="W633" s="197"/>
      <c r="X633" s="197"/>
      <c r="Y633" s="197"/>
      <c r="Z633" s="1094"/>
      <c r="AA633" s="197"/>
      <c r="AB633" s="197"/>
      <c r="AC633" s="197"/>
      <c r="AD633" s="197"/>
      <c r="AE633" s="1094"/>
      <c r="AF633" s="197"/>
      <c r="AG633" s="197"/>
      <c r="AH633" s="197"/>
      <c r="AI633" s="197"/>
      <c r="AJ633" s="1094"/>
      <c r="AK633" s="197"/>
      <c r="AL633" s="197"/>
      <c r="AM633" s="197"/>
      <c r="AN633" s="197"/>
      <c r="AO633" s="1094"/>
      <c r="AP633" s="197"/>
      <c r="AQ633" s="197"/>
      <c r="AR633" s="197"/>
      <c r="AS633" s="197"/>
      <c r="AT633" s="198"/>
      <c r="AU633" s="194"/>
      <c r="AV633" s="194"/>
      <c r="AW633" s="194"/>
      <c r="AX633" s="194"/>
      <c r="AY633" s="198"/>
      <c r="AZ633" s="194"/>
      <c r="BA633" s="194"/>
      <c r="BB633" s="194"/>
      <c r="BC633" s="194"/>
      <c r="BD633" s="198"/>
      <c r="BE633" s="197"/>
      <c r="BF633" s="197"/>
      <c r="BG633" s="197"/>
      <c r="BH633" s="197"/>
      <c r="BI633" s="198"/>
      <c r="BJ633" s="197"/>
      <c r="BK633" s="197"/>
      <c r="BL633" s="197"/>
      <c r="BM633" s="197"/>
      <c r="BN633" s="198"/>
      <c r="BO633" s="197"/>
      <c r="BP633" s="197"/>
      <c r="BQ633" s="197"/>
      <c r="BR633" s="197"/>
      <c r="BS633" s="198"/>
      <c r="BT633" s="727"/>
      <c r="BU633" s="197"/>
      <c r="BV633" s="197"/>
      <c r="BW633" s="197"/>
      <c r="BX633" s="1094"/>
      <c r="BY633" s="197"/>
      <c r="BZ633" s="197"/>
      <c r="CA633" s="197"/>
      <c r="CB633" s="197"/>
      <c r="CC633" s="1094"/>
      <c r="CD633" s="1094"/>
      <c r="CE633" s="1094"/>
      <c r="CF633" s="1094"/>
      <c r="CG633" s="349"/>
    </row>
    <row r="634" spans="1:85" s="613" customFormat="1" x14ac:dyDescent="0.3">
      <c r="A634" s="478" t="s">
        <v>1640</v>
      </c>
      <c r="B634" s="523"/>
      <c r="C634" s="78"/>
      <c r="D634" s="78"/>
      <c r="E634" s="78"/>
      <c r="F634" s="78"/>
      <c r="G634" s="774"/>
      <c r="H634" s="774"/>
      <c r="I634" s="774"/>
      <c r="J634" s="774"/>
      <c r="K634" s="78"/>
      <c r="L634" s="774"/>
      <c r="M634" s="774"/>
      <c r="N634" s="774"/>
      <c r="O634" s="774"/>
      <c r="P634" s="78"/>
      <c r="Q634" s="774"/>
      <c r="R634" s="774"/>
      <c r="S634" s="774"/>
      <c r="T634" s="774"/>
      <c r="U634" s="78"/>
      <c r="V634" s="774"/>
      <c r="W634" s="774"/>
      <c r="X634" s="774"/>
      <c r="Y634" s="774"/>
      <c r="Z634" s="78"/>
      <c r="AA634" s="774"/>
      <c r="AB634" s="774"/>
      <c r="AC634" s="774"/>
      <c r="AD634" s="774"/>
      <c r="AE634" s="78"/>
      <c r="AF634" s="774"/>
      <c r="AG634" s="774"/>
      <c r="AH634" s="774"/>
      <c r="AI634" s="774"/>
      <c r="AJ634" s="78"/>
      <c r="AK634" s="774"/>
      <c r="AL634" s="774"/>
      <c r="AM634" s="774"/>
      <c r="AN634" s="774"/>
      <c r="AO634" s="78"/>
      <c r="AP634" s="774"/>
      <c r="AQ634" s="774"/>
      <c r="AR634" s="774"/>
      <c r="AS634" s="774"/>
      <c r="AT634" s="78"/>
      <c r="AU634" s="774"/>
      <c r="AV634" s="774"/>
      <c r="AW634" s="774"/>
      <c r="AX634" s="774"/>
      <c r="AY634" s="78"/>
      <c r="AZ634" s="774"/>
      <c r="BA634" s="774"/>
      <c r="BB634" s="774"/>
      <c r="BC634" s="774"/>
      <c r="BD634" s="1119">
        <v>5.109</v>
      </c>
      <c r="BE634" s="774"/>
      <c r="BF634" s="774"/>
      <c r="BG634" s="774"/>
      <c r="BH634" s="774"/>
      <c r="BI634" s="1119">
        <v>5.109</v>
      </c>
      <c r="BJ634" s="774"/>
      <c r="BK634" s="774"/>
      <c r="BL634" s="774"/>
      <c r="BM634" s="774"/>
      <c r="BN634" s="1119">
        <v>5.109</v>
      </c>
      <c r="BO634" s="774"/>
      <c r="BP634" s="774"/>
      <c r="BQ634" s="774"/>
      <c r="BR634" s="774"/>
      <c r="BS634" s="78"/>
      <c r="BT634" s="775"/>
      <c r="BU634" s="774"/>
      <c r="BV634" s="774"/>
      <c r="BW634" s="774"/>
      <c r="BX634" s="78"/>
      <c r="BY634" s="774"/>
      <c r="BZ634" s="774"/>
      <c r="CA634" s="774"/>
      <c r="CB634" s="774"/>
      <c r="CC634" s="78"/>
      <c r="CD634" s="78"/>
      <c r="CE634" s="78"/>
      <c r="CF634" s="78"/>
      <c r="CG634" s="532"/>
    </row>
    <row r="635" spans="1:85" s="615" customFormat="1" x14ac:dyDescent="0.3">
      <c r="A635" s="522" t="s">
        <v>1639</v>
      </c>
      <c r="B635" s="521"/>
      <c r="C635" s="1122"/>
      <c r="D635" s="1122"/>
      <c r="E635" s="1122"/>
      <c r="F635" s="1122"/>
      <c r="G635" s="520"/>
      <c r="H635" s="520"/>
      <c r="I635" s="520"/>
      <c r="J635" s="520"/>
      <c r="K635" s="1122"/>
      <c r="L635" s="520"/>
      <c r="M635" s="520"/>
      <c r="N635" s="520"/>
      <c r="O635" s="520"/>
      <c r="P635" s="1122"/>
      <c r="Q635" s="520"/>
      <c r="R635" s="520"/>
      <c r="S635" s="520"/>
      <c r="T635" s="520"/>
      <c r="U635" s="1122"/>
      <c r="V635" s="520"/>
      <c r="W635" s="520"/>
      <c r="X635" s="520"/>
      <c r="Y635" s="520"/>
      <c r="Z635" s="1122"/>
      <c r="AA635" s="520"/>
      <c r="AB635" s="520"/>
      <c r="AC635" s="520"/>
      <c r="AD635" s="520"/>
      <c r="AE635" s="1122"/>
      <c r="AF635" s="520"/>
      <c r="AG635" s="520"/>
      <c r="AH635" s="520"/>
      <c r="AI635" s="520"/>
      <c r="AJ635" s="1122"/>
      <c r="AK635" s="520"/>
      <c r="AL635" s="520"/>
      <c r="AM635" s="520"/>
      <c r="AN635" s="520"/>
      <c r="AO635" s="1122"/>
      <c r="AP635" s="520"/>
      <c r="AQ635" s="520"/>
      <c r="AR635" s="520"/>
      <c r="AS635" s="520"/>
      <c r="AT635" s="1124"/>
      <c r="AU635" s="526"/>
      <c r="AV635" s="526"/>
      <c r="AW635" s="526"/>
      <c r="AX635" s="526"/>
      <c r="AY635" s="1124"/>
      <c r="AZ635" s="526"/>
      <c r="BA635" s="526"/>
      <c r="BB635" s="526"/>
      <c r="BC635" s="526"/>
      <c r="BD635" s="1123">
        <v>597.37</v>
      </c>
      <c r="BE635" s="520"/>
      <c r="BF635" s="520"/>
      <c r="BG635" s="520"/>
      <c r="BH635" s="520"/>
      <c r="BI635" s="1123">
        <v>597.37</v>
      </c>
      <c r="BJ635" s="520"/>
      <c r="BK635" s="520"/>
      <c r="BL635" s="520"/>
      <c r="BM635" s="520"/>
      <c r="BN635" s="1123">
        <v>597.37</v>
      </c>
      <c r="BO635" s="520"/>
      <c r="BP635" s="520"/>
      <c r="BQ635" s="520"/>
      <c r="BR635" s="520"/>
      <c r="BS635" s="1124"/>
      <c r="BT635" s="728"/>
      <c r="BU635" s="520"/>
      <c r="BV635" s="520"/>
      <c r="BW635" s="520"/>
      <c r="BX635" s="1122"/>
      <c r="BY635" s="520"/>
      <c r="BZ635" s="520"/>
      <c r="CA635" s="520"/>
      <c r="CB635" s="520"/>
      <c r="CC635" s="1122"/>
      <c r="CD635" s="1122"/>
      <c r="CE635" s="1122"/>
      <c r="CF635" s="1122"/>
      <c r="CG635" s="519"/>
    </row>
    <row r="636" spans="1:85" s="614" customFormat="1" x14ac:dyDescent="0.3">
      <c r="A636" s="522"/>
      <c r="B636" s="352"/>
      <c r="C636" s="1094"/>
      <c r="D636" s="1094"/>
      <c r="E636" s="1094"/>
      <c r="F636" s="1094"/>
      <c r="G636" s="197"/>
      <c r="H636" s="197"/>
      <c r="I636" s="197"/>
      <c r="J636" s="197"/>
      <c r="K636" s="1094"/>
      <c r="L636" s="197"/>
      <c r="M636" s="197"/>
      <c r="N636" s="197"/>
      <c r="O636" s="197"/>
      <c r="P636" s="1094"/>
      <c r="Q636" s="197"/>
      <c r="R636" s="197"/>
      <c r="S636" s="197"/>
      <c r="T636" s="197"/>
      <c r="U636" s="1094"/>
      <c r="V636" s="197"/>
      <c r="W636" s="197"/>
      <c r="X636" s="197"/>
      <c r="Y636" s="197"/>
      <c r="Z636" s="1094"/>
      <c r="AA636" s="197"/>
      <c r="AB636" s="197"/>
      <c r="AC636" s="197"/>
      <c r="AD636" s="197"/>
      <c r="AE636" s="1094"/>
      <c r="AF636" s="197"/>
      <c r="AG636" s="197"/>
      <c r="AH636" s="197"/>
      <c r="AI636" s="197"/>
      <c r="AJ636" s="1094"/>
      <c r="AK636" s="197"/>
      <c r="AL636" s="197"/>
      <c r="AM636" s="197"/>
      <c r="AN636" s="197"/>
      <c r="AO636" s="1094"/>
      <c r="AP636" s="197"/>
      <c r="AQ636" s="197"/>
      <c r="AR636" s="197"/>
      <c r="AS636" s="197"/>
      <c r="AT636" s="198"/>
      <c r="AU636" s="194"/>
      <c r="AV636" s="194"/>
      <c r="AW636" s="194"/>
      <c r="AX636" s="194"/>
      <c r="AY636" s="198"/>
      <c r="AZ636" s="194"/>
      <c r="BA636" s="194"/>
      <c r="BB636" s="194"/>
      <c r="BC636" s="194"/>
      <c r="BD636" s="198"/>
      <c r="BE636" s="197"/>
      <c r="BF636" s="197"/>
      <c r="BG636" s="197"/>
      <c r="BH636" s="197"/>
      <c r="BI636" s="198"/>
      <c r="BJ636" s="197"/>
      <c r="BK636" s="197"/>
      <c r="BL636" s="197"/>
      <c r="BM636" s="197"/>
      <c r="BN636" s="198"/>
      <c r="BO636" s="197"/>
      <c r="BP636" s="197"/>
      <c r="BQ636" s="197"/>
      <c r="BR636" s="197"/>
      <c r="BS636" s="198"/>
      <c r="BT636" s="727"/>
      <c r="BU636" s="197"/>
      <c r="BV636" s="197"/>
      <c r="BW636" s="197"/>
      <c r="BX636" s="1094"/>
      <c r="BY636" s="197"/>
      <c r="BZ636" s="197"/>
      <c r="CA636" s="197"/>
      <c r="CB636" s="197"/>
      <c r="CC636" s="1094"/>
      <c r="CD636" s="1094"/>
      <c r="CE636" s="1094"/>
      <c r="CF636" s="1094"/>
      <c r="CG636" s="349"/>
    </row>
    <row r="637" spans="1:85" s="613" customFormat="1" x14ac:dyDescent="0.3">
      <c r="A637" s="478" t="s">
        <v>1638</v>
      </c>
      <c r="B637" s="523"/>
      <c r="C637" s="78"/>
      <c r="D637" s="78"/>
      <c r="E637" s="78"/>
      <c r="F637" s="78"/>
      <c r="G637" s="774"/>
      <c r="H637" s="774"/>
      <c r="I637" s="774"/>
      <c r="J637" s="774"/>
      <c r="K637" s="78"/>
      <c r="L637" s="774"/>
      <c r="M637" s="774"/>
      <c r="N637" s="774"/>
      <c r="O637" s="774"/>
      <c r="P637" s="78"/>
      <c r="Q637" s="774"/>
      <c r="R637" s="774"/>
      <c r="S637" s="774"/>
      <c r="T637" s="774"/>
      <c r="U637" s="78"/>
      <c r="V637" s="774"/>
      <c r="W637" s="774"/>
      <c r="X637" s="774"/>
      <c r="Y637" s="774"/>
      <c r="Z637" s="78"/>
      <c r="AA637" s="774"/>
      <c r="AB637" s="774"/>
      <c r="AC637" s="774"/>
      <c r="AD637" s="774"/>
      <c r="AE637" s="78"/>
      <c r="AF637" s="774"/>
      <c r="AG637" s="774"/>
      <c r="AH637" s="774"/>
      <c r="AI637" s="774"/>
      <c r="AJ637" s="78"/>
      <c r="AK637" s="774"/>
      <c r="AL637" s="774"/>
      <c r="AM637" s="774"/>
      <c r="AN637" s="774"/>
      <c r="AO637" s="78"/>
      <c r="AP637" s="774"/>
      <c r="AQ637" s="774"/>
      <c r="AR637" s="774"/>
      <c r="AS637" s="774"/>
      <c r="AT637" s="78"/>
      <c r="AU637" s="774"/>
      <c r="AV637" s="774"/>
      <c r="AW637" s="774"/>
      <c r="AX637" s="774"/>
      <c r="AY637" s="78"/>
      <c r="AZ637" s="774"/>
      <c r="BA637" s="774"/>
      <c r="BB637" s="774"/>
      <c r="BC637" s="774"/>
      <c r="BD637" s="1119">
        <v>9.1150000000000002</v>
      </c>
      <c r="BE637" s="774"/>
      <c r="BF637" s="774"/>
      <c r="BG637" s="774"/>
      <c r="BH637" s="774"/>
      <c r="BI637" s="1119">
        <v>9.1150000000000002</v>
      </c>
      <c r="BJ637" s="774"/>
      <c r="BK637" s="774"/>
      <c r="BL637" s="774"/>
      <c r="BM637" s="774"/>
      <c r="BN637" s="1119">
        <v>9.1150000000000002</v>
      </c>
      <c r="BO637" s="774"/>
      <c r="BP637" s="774"/>
      <c r="BQ637" s="774"/>
      <c r="BR637" s="774"/>
      <c r="BS637" s="78"/>
      <c r="BT637" s="775"/>
      <c r="BU637" s="774"/>
      <c r="BV637" s="774"/>
      <c r="BW637" s="774"/>
      <c r="BX637" s="78"/>
      <c r="BY637" s="774"/>
      <c r="BZ637" s="774"/>
      <c r="CA637" s="774"/>
      <c r="CB637" s="774"/>
      <c r="CC637" s="78"/>
      <c r="CD637" s="78"/>
      <c r="CE637" s="78"/>
      <c r="CF637" s="78"/>
      <c r="CG637" s="532"/>
    </row>
    <row r="638" spans="1:85" s="615" customFormat="1" x14ac:dyDescent="0.3">
      <c r="A638" s="522" t="s">
        <v>1637</v>
      </c>
      <c r="B638" s="521"/>
      <c r="C638" s="1122"/>
      <c r="D638" s="1122"/>
      <c r="E638" s="1122"/>
      <c r="F638" s="1122"/>
      <c r="G638" s="520"/>
      <c r="H638" s="520"/>
      <c r="I638" s="520"/>
      <c r="J638" s="520"/>
      <c r="K638" s="1122"/>
      <c r="L638" s="520"/>
      <c r="M638" s="520"/>
      <c r="N638" s="520"/>
      <c r="O638" s="520"/>
      <c r="P638" s="1122"/>
      <c r="Q638" s="520"/>
      <c r="R638" s="520"/>
      <c r="S638" s="520"/>
      <c r="T638" s="520"/>
      <c r="U638" s="1122"/>
      <c r="V638" s="520"/>
      <c r="W638" s="520"/>
      <c r="X638" s="520"/>
      <c r="Y638" s="520"/>
      <c r="Z638" s="1122"/>
      <c r="AA638" s="520"/>
      <c r="AB638" s="520"/>
      <c r="AC638" s="520"/>
      <c r="AD638" s="520"/>
      <c r="AE638" s="1122"/>
      <c r="AF638" s="520"/>
      <c r="AG638" s="520"/>
      <c r="AH638" s="520"/>
      <c r="AI638" s="520"/>
      <c r="AJ638" s="1122"/>
      <c r="AK638" s="520"/>
      <c r="AL638" s="520"/>
      <c r="AM638" s="520"/>
      <c r="AN638" s="520"/>
      <c r="AO638" s="1122"/>
      <c r="AP638" s="520"/>
      <c r="AQ638" s="520"/>
      <c r="AR638" s="520"/>
      <c r="AS638" s="520"/>
      <c r="AT638" s="1124"/>
      <c r="AU638" s="526"/>
      <c r="AV638" s="526"/>
      <c r="AW638" s="526"/>
      <c r="AX638" s="526"/>
      <c r="AY638" s="1124"/>
      <c r="AZ638" s="526"/>
      <c r="BA638" s="526"/>
      <c r="BB638" s="526"/>
      <c r="BC638" s="526"/>
      <c r="BD638" s="1123">
        <v>457.13</v>
      </c>
      <c r="BE638" s="520"/>
      <c r="BF638" s="520"/>
      <c r="BG638" s="520"/>
      <c r="BH638" s="520"/>
      <c r="BI638" s="1123">
        <v>457.13</v>
      </c>
      <c r="BJ638" s="520"/>
      <c r="BK638" s="520"/>
      <c r="BL638" s="520"/>
      <c r="BM638" s="520"/>
      <c r="BN638" s="1123">
        <v>457.13</v>
      </c>
      <c r="BO638" s="520"/>
      <c r="BP638" s="520"/>
      <c r="BQ638" s="520"/>
      <c r="BR638" s="520"/>
      <c r="BS638" s="1124"/>
      <c r="BT638" s="728"/>
      <c r="BU638" s="520"/>
      <c r="BV638" s="520"/>
      <c r="BW638" s="520"/>
      <c r="BX638" s="1122"/>
      <c r="BY638" s="520"/>
      <c r="BZ638" s="520"/>
      <c r="CA638" s="520"/>
      <c r="CB638" s="520"/>
      <c r="CC638" s="1122"/>
      <c r="CD638" s="1122"/>
      <c r="CE638" s="1122"/>
      <c r="CF638" s="1122"/>
      <c r="CG638" s="519"/>
    </row>
    <row r="639" spans="1:85" s="614" customFormat="1" x14ac:dyDescent="0.3">
      <c r="A639" s="522"/>
      <c r="B639" s="352"/>
      <c r="C639" s="1094"/>
      <c r="D639" s="1094"/>
      <c r="E639" s="1094"/>
      <c r="F639" s="1094"/>
      <c r="G639" s="197"/>
      <c r="H639" s="197"/>
      <c r="I639" s="197"/>
      <c r="J639" s="197"/>
      <c r="K639" s="1094"/>
      <c r="L639" s="197"/>
      <c r="M639" s="197"/>
      <c r="N639" s="197"/>
      <c r="O639" s="197"/>
      <c r="P639" s="1094"/>
      <c r="Q639" s="197"/>
      <c r="R639" s="197"/>
      <c r="S639" s="197"/>
      <c r="T639" s="197"/>
      <c r="U639" s="1094"/>
      <c r="V639" s="197"/>
      <c r="W639" s="197"/>
      <c r="X639" s="197"/>
      <c r="Y639" s="197"/>
      <c r="Z639" s="1094"/>
      <c r="AA639" s="197"/>
      <c r="AB639" s="197"/>
      <c r="AC639" s="197"/>
      <c r="AD639" s="197"/>
      <c r="AE639" s="1094"/>
      <c r="AF639" s="197"/>
      <c r="AG639" s="197"/>
      <c r="AH639" s="197"/>
      <c r="AI639" s="197"/>
      <c r="AJ639" s="1094"/>
      <c r="AK639" s="197"/>
      <c r="AL639" s="197"/>
      <c r="AM639" s="197"/>
      <c r="AN639" s="197"/>
      <c r="AO639" s="1094"/>
      <c r="AP639" s="197"/>
      <c r="AQ639" s="197"/>
      <c r="AR639" s="197"/>
      <c r="AS639" s="197"/>
      <c r="AT639" s="198"/>
      <c r="AU639" s="194"/>
      <c r="AV639" s="194"/>
      <c r="AW639" s="194"/>
      <c r="AX639" s="194"/>
      <c r="AY639" s="198"/>
      <c r="AZ639" s="194"/>
      <c r="BA639" s="194"/>
      <c r="BB639" s="194"/>
      <c r="BC639" s="194"/>
      <c r="BD639" s="198"/>
      <c r="BE639" s="197"/>
      <c r="BF639" s="197"/>
      <c r="BG639" s="197"/>
      <c r="BH639" s="197"/>
      <c r="BI639" s="198"/>
      <c r="BJ639" s="197"/>
      <c r="BK639" s="197"/>
      <c r="BL639" s="197"/>
      <c r="BM639" s="197"/>
      <c r="BN639" s="198"/>
      <c r="BO639" s="197"/>
      <c r="BP639" s="197"/>
      <c r="BQ639" s="197"/>
      <c r="BR639" s="197"/>
      <c r="BS639" s="198"/>
      <c r="BT639" s="727"/>
      <c r="BU639" s="197"/>
      <c r="BV639" s="197"/>
      <c r="BW639" s="197"/>
      <c r="BX639" s="1094"/>
      <c r="BY639" s="197"/>
      <c r="BZ639" s="197"/>
      <c r="CA639" s="197"/>
      <c r="CB639" s="197"/>
      <c r="CC639" s="1094"/>
      <c r="CD639" s="1094"/>
      <c r="CE639" s="1094"/>
      <c r="CF639" s="1094"/>
      <c r="CG639" s="349"/>
    </row>
    <row r="640" spans="1:85" s="613" customFormat="1" x14ac:dyDescent="0.3">
      <c r="A640" s="478" t="s">
        <v>1636</v>
      </c>
      <c r="B640" s="523"/>
      <c r="C640" s="78"/>
      <c r="D640" s="78"/>
      <c r="E640" s="78"/>
      <c r="F640" s="78"/>
      <c r="G640" s="774"/>
      <c r="H640" s="774"/>
      <c r="I640" s="774"/>
      <c r="J640" s="774"/>
      <c r="K640" s="78"/>
      <c r="L640" s="774"/>
      <c r="M640" s="774"/>
      <c r="N640" s="774"/>
      <c r="O640" s="774"/>
      <c r="P640" s="78"/>
      <c r="Q640" s="774"/>
      <c r="R640" s="774"/>
      <c r="S640" s="774"/>
      <c r="T640" s="774"/>
      <c r="U640" s="78"/>
      <c r="V640" s="774"/>
      <c r="W640" s="774"/>
      <c r="X640" s="774"/>
      <c r="Y640" s="774"/>
      <c r="Z640" s="78"/>
      <c r="AA640" s="774"/>
      <c r="AB640" s="774"/>
      <c r="AC640" s="774"/>
      <c r="AD640" s="774"/>
      <c r="AE640" s="78"/>
      <c r="AF640" s="774"/>
      <c r="AG640" s="774"/>
      <c r="AH640" s="774"/>
      <c r="AI640" s="774"/>
      <c r="AJ640" s="78"/>
      <c r="AK640" s="774"/>
      <c r="AL640" s="774"/>
      <c r="AM640" s="774"/>
      <c r="AN640" s="774"/>
      <c r="AO640" s="78"/>
      <c r="AP640" s="774"/>
      <c r="AQ640" s="774"/>
      <c r="AR640" s="774"/>
      <c r="AS640" s="774"/>
      <c r="AT640" s="78"/>
      <c r="AU640" s="774"/>
      <c r="AV640" s="774"/>
      <c r="AW640" s="774"/>
      <c r="AX640" s="774"/>
      <c r="AY640" s="78"/>
      <c r="AZ640" s="774"/>
      <c r="BA640" s="774"/>
      <c r="BB640" s="774"/>
      <c r="BC640" s="774"/>
      <c r="BD640" s="1119">
        <v>10.788</v>
      </c>
      <c r="BE640" s="774"/>
      <c r="BF640" s="774"/>
      <c r="BG640" s="774"/>
      <c r="BH640" s="774"/>
      <c r="BI640" s="1119">
        <v>10.788</v>
      </c>
      <c r="BJ640" s="774"/>
      <c r="BK640" s="774"/>
      <c r="BL640" s="774"/>
      <c r="BM640" s="774"/>
      <c r="BN640" s="1119">
        <v>10.788</v>
      </c>
      <c r="BO640" s="774"/>
      <c r="BP640" s="774"/>
      <c r="BQ640" s="774"/>
      <c r="BR640" s="774"/>
      <c r="BS640" s="78"/>
      <c r="BT640" s="775"/>
      <c r="BU640" s="774"/>
      <c r="BV640" s="774"/>
      <c r="BW640" s="774"/>
      <c r="BX640" s="78"/>
      <c r="BY640" s="774"/>
      <c r="BZ640" s="774"/>
      <c r="CA640" s="774"/>
      <c r="CB640" s="774"/>
      <c r="CC640" s="78"/>
      <c r="CD640" s="78"/>
      <c r="CE640" s="78"/>
      <c r="CF640" s="78"/>
      <c r="CG640" s="532"/>
    </row>
    <row r="641" spans="1:85" s="615" customFormat="1" x14ac:dyDescent="0.3">
      <c r="A641" s="522" t="s">
        <v>1635</v>
      </c>
      <c r="B641" s="521"/>
      <c r="C641" s="1122"/>
      <c r="D641" s="1122"/>
      <c r="E641" s="1122"/>
      <c r="F641" s="1122"/>
      <c r="G641" s="520"/>
      <c r="H641" s="520"/>
      <c r="I641" s="520"/>
      <c r="J641" s="520"/>
      <c r="K641" s="1122"/>
      <c r="L641" s="520"/>
      <c r="M641" s="520"/>
      <c r="N641" s="520"/>
      <c r="O641" s="520"/>
      <c r="P641" s="1122"/>
      <c r="Q641" s="520"/>
      <c r="R641" s="520"/>
      <c r="S641" s="520"/>
      <c r="T641" s="520"/>
      <c r="U641" s="1122"/>
      <c r="V641" s="520"/>
      <c r="W641" s="520"/>
      <c r="X641" s="520"/>
      <c r="Y641" s="520"/>
      <c r="Z641" s="1122"/>
      <c r="AA641" s="520"/>
      <c r="AB641" s="520"/>
      <c r="AC641" s="520"/>
      <c r="AD641" s="520"/>
      <c r="AE641" s="1122"/>
      <c r="AF641" s="520"/>
      <c r="AG641" s="520"/>
      <c r="AH641" s="520"/>
      <c r="AI641" s="520"/>
      <c r="AJ641" s="1122"/>
      <c r="AK641" s="520"/>
      <c r="AL641" s="520"/>
      <c r="AM641" s="520"/>
      <c r="AN641" s="520"/>
      <c r="AO641" s="1122"/>
      <c r="AP641" s="520"/>
      <c r="AQ641" s="520"/>
      <c r="AR641" s="520"/>
      <c r="AS641" s="520"/>
      <c r="AT641" s="1124"/>
      <c r="AU641" s="526"/>
      <c r="AV641" s="526"/>
      <c r="AW641" s="526"/>
      <c r="AX641" s="526"/>
      <c r="AY641" s="1124"/>
      <c r="AZ641" s="526"/>
      <c r="BA641" s="526"/>
      <c r="BB641" s="526"/>
      <c r="BC641" s="526"/>
      <c r="BD641" s="1123">
        <v>386.24</v>
      </c>
      <c r="BE641" s="520"/>
      <c r="BF641" s="520"/>
      <c r="BG641" s="520"/>
      <c r="BH641" s="520"/>
      <c r="BI641" s="1123">
        <v>386.24</v>
      </c>
      <c r="BJ641" s="520"/>
      <c r="BK641" s="520"/>
      <c r="BL641" s="520"/>
      <c r="BM641" s="520"/>
      <c r="BN641" s="1123">
        <v>386.24</v>
      </c>
      <c r="BO641" s="520"/>
      <c r="BP641" s="520"/>
      <c r="BQ641" s="520"/>
      <c r="BR641" s="520"/>
      <c r="BS641" s="1124"/>
      <c r="BT641" s="728"/>
      <c r="BU641" s="520"/>
      <c r="BV641" s="520"/>
      <c r="BW641" s="520"/>
      <c r="BX641" s="1122"/>
      <c r="BY641" s="520"/>
      <c r="BZ641" s="520"/>
      <c r="CA641" s="520"/>
      <c r="CB641" s="520"/>
      <c r="CC641" s="1122"/>
      <c r="CD641" s="1122"/>
      <c r="CE641" s="1122"/>
      <c r="CF641" s="1122"/>
      <c r="CG641" s="519"/>
    </row>
    <row r="642" spans="1:85" s="614" customFormat="1" x14ac:dyDescent="0.3">
      <c r="A642" s="522"/>
      <c r="B642" s="352"/>
      <c r="C642" s="1094"/>
      <c r="D642" s="1094"/>
      <c r="E642" s="1094"/>
      <c r="F642" s="1094"/>
      <c r="G642" s="197"/>
      <c r="H642" s="197"/>
      <c r="I642" s="197"/>
      <c r="J642" s="197"/>
      <c r="K642" s="1094"/>
      <c r="L642" s="197"/>
      <c r="M642" s="197"/>
      <c r="N642" s="197"/>
      <c r="O642" s="197"/>
      <c r="P642" s="1094"/>
      <c r="Q642" s="197"/>
      <c r="R642" s="197"/>
      <c r="S642" s="197"/>
      <c r="T642" s="197"/>
      <c r="U642" s="1094"/>
      <c r="V642" s="197"/>
      <c r="W642" s="197"/>
      <c r="X642" s="197"/>
      <c r="Y642" s="197"/>
      <c r="Z642" s="1094"/>
      <c r="AA642" s="197"/>
      <c r="AB642" s="197"/>
      <c r="AC642" s="197"/>
      <c r="AD642" s="197"/>
      <c r="AE642" s="1094"/>
      <c r="AF642" s="197"/>
      <c r="AG642" s="197"/>
      <c r="AH642" s="197"/>
      <c r="AI642" s="197"/>
      <c r="AJ642" s="1094"/>
      <c r="AK642" s="197"/>
      <c r="AL642" s="197"/>
      <c r="AM642" s="197"/>
      <c r="AN642" s="197"/>
      <c r="AO642" s="1094"/>
      <c r="AP642" s="197"/>
      <c r="AQ642" s="197"/>
      <c r="AR642" s="197"/>
      <c r="AS642" s="197"/>
      <c r="AT642" s="198"/>
      <c r="AU642" s="194"/>
      <c r="AV642" s="194"/>
      <c r="AW642" s="194"/>
      <c r="AX642" s="194"/>
      <c r="AY642" s="198"/>
      <c r="AZ642" s="194"/>
      <c r="BA642" s="194"/>
      <c r="BB642" s="194"/>
      <c r="BC642" s="194"/>
      <c r="BD642" s="198"/>
      <c r="BE642" s="197"/>
      <c r="BF642" s="197"/>
      <c r="BG642" s="197"/>
      <c r="BH642" s="197"/>
      <c r="BI642" s="198"/>
      <c r="BJ642" s="197"/>
      <c r="BK642" s="197"/>
      <c r="BL642" s="197"/>
      <c r="BM642" s="197"/>
      <c r="BN642" s="198"/>
      <c r="BO642" s="197"/>
      <c r="BP642" s="197"/>
      <c r="BQ642" s="197"/>
      <c r="BR642" s="197"/>
      <c r="BS642" s="198"/>
      <c r="BT642" s="727"/>
      <c r="BU642" s="197"/>
      <c r="BV642" s="197"/>
      <c r="BW642" s="197"/>
      <c r="BX642" s="1094"/>
      <c r="BY642" s="197"/>
      <c r="BZ642" s="197"/>
      <c r="CA642" s="197"/>
      <c r="CB642" s="197"/>
      <c r="CC642" s="1094"/>
      <c r="CD642" s="1094"/>
      <c r="CE642" s="1094"/>
      <c r="CF642" s="1094"/>
      <c r="CG642" s="349"/>
    </row>
    <row r="643" spans="1:85" s="613" customFormat="1" x14ac:dyDescent="0.3">
      <c r="A643" s="478" t="s">
        <v>1634</v>
      </c>
      <c r="B643" s="523"/>
      <c r="C643" s="78"/>
      <c r="D643" s="78"/>
      <c r="E643" s="78"/>
      <c r="F643" s="78"/>
      <c r="G643" s="774"/>
      <c r="H643" s="774"/>
      <c r="I643" s="774"/>
      <c r="J643" s="774"/>
      <c r="K643" s="78"/>
      <c r="L643" s="774"/>
      <c r="M643" s="774"/>
      <c r="N643" s="774"/>
      <c r="O643" s="774"/>
      <c r="P643" s="78"/>
      <c r="Q643" s="774"/>
      <c r="R643" s="774"/>
      <c r="S643" s="774"/>
      <c r="T643" s="774"/>
      <c r="U643" s="78"/>
      <c r="V643" s="774"/>
      <c r="W643" s="774"/>
      <c r="X643" s="774"/>
      <c r="Y643" s="774"/>
      <c r="Z643" s="78"/>
      <c r="AA643" s="774"/>
      <c r="AB643" s="774"/>
      <c r="AC643" s="774"/>
      <c r="AD643" s="774"/>
      <c r="AE643" s="78"/>
      <c r="AF643" s="774"/>
      <c r="AG643" s="774"/>
      <c r="AH643" s="774"/>
      <c r="AI643" s="774"/>
      <c r="AJ643" s="78"/>
      <c r="AK643" s="774"/>
      <c r="AL643" s="774"/>
      <c r="AM643" s="774"/>
      <c r="AN643" s="774"/>
      <c r="AO643" s="78"/>
      <c r="AP643" s="774"/>
      <c r="AQ643" s="774"/>
      <c r="AR643" s="774"/>
      <c r="AS643" s="774"/>
      <c r="AT643" s="78"/>
      <c r="AU643" s="774"/>
      <c r="AV643" s="774"/>
      <c r="AW643" s="774"/>
      <c r="AX643" s="774"/>
      <c r="AY643" s="78"/>
      <c r="AZ643" s="774"/>
      <c r="BA643" s="774"/>
      <c r="BB643" s="774"/>
      <c r="BC643" s="774"/>
      <c r="BD643" s="1119">
        <v>11.157</v>
      </c>
      <c r="BE643" s="774"/>
      <c r="BF643" s="774"/>
      <c r="BG643" s="774"/>
      <c r="BH643" s="774"/>
      <c r="BI643" s="1119">
        <v>11.157</v>
      </c>
      <c r="BJ643" s="774"/>
      <c r="BK643" s="774"/>
      <c r="BL643" s="774"/>
      <c r="BM643" s="774"/>
      <c r="BN643" s="1119">
        <v>11.157</v>
      </c>
      <c r="BO643" s="774"/>
      <c r="BP643" s="774"/>
      <c r="BQ643" s="774"/>
      <c r="BR643" s="774"/>
      <c r="BS643" s="78"/>
      <c r="BT643" s="775"/>
      <c r="BU643" s="774"/>
      <c r="BV643" s="774"/>
      <c r="BW643" s="774"/>
      <c r="BX643" s="78"/>
      <c r="BY643" s="774"/>
      <c r="BZ643" s="774"/>
      <c r="CA643" s="774"/>
      <c r="CB643" s="774"/>
      <c r="CC643" s="78"/>
      <c r="CD643" s="78"/>
      <c r="CE643" s="78"/>
      <c r="CF643" s="78"/>
      <c r="CG643" s="532"/>
    </row>
    <row r="644" spans="1:85" s="615" customFormat="1" x14ac:dyDescent="0.3">
      <c r="A644" s="522" t="s">
        <v>1633</v>
      </c>
      <c r="B644" s="521"/>
      <c r="C644" s="1122"/>
      <c r="D644" s="1122"/>
      <c r="E644" s="1122"/>
      <c r="F644" s="1122"/>
      <c r="G644" s="520"/>
      <c r="H644" s="520"/>
      <c r="I644" s="520"/>
      <c r="J644" s="520"/>
      <c r="K644" s="1122"/>
      <c r="L644" s="520"/>
      <c r="M644" s="520"/>
      <c r="N644" s="520"/>
      <c r="O644" s="520"/>
      <c r="P644" s="1122"/>
      <c r="Q644" s="520"/>
      <c r="R644" s="520"/>
      <c r="S644" s="520"/>
      <c r="T644" s="520"/>
      <c r="U644" s="1122"/>
      <c r="V644" s="520"/>
      <c r="W644" s="520"/>
      <c r="X644" s="520"/>
      <c r="Y644" s="520"/>
      <c r="Z644" s="1122"/>
      <c r="AA644" s="520"/>
      <c r="AB644" s="520"/>
      <c r="AC644" s="520"/>
      <c r="AD644" s="520"/>
      <c r="AE644" s="1122"/>
      <c r="AF644" s="520"/>
      <c r="AG644" s="520"/>
      <c r="AH644" s="520"/>
      <c r="AI644" s="520"/>
      <c r="AJ644" s="1122"/>
      <c r="AK644" s="520"/>
      <c r="AL644" s="520"/>
      <c r="AM644" s="520"/>
      <c r="AN644" s="520"/>
      <c r="AO644" s="1122"/>
      <c r="AP644" s="520"/>
      <c r="AQ644" s="520"/>
      <c r="AR644" s="520"/>
      <c r="AS644" s="520"/>
      <c r="AT644" s="1124"/>
      <c r="AU644" s="526"/>
      <c r="AV644" s="526"/>
      <c r="AW644" s="526"/>
      <c r="AX644" s="526"/>
      <c r="AY644" s="1124"/>
      <c r="AZ644" s="526"/>
      <c r="BA644" s="526"/>
      <c r="BB644" s="526"/>
      <c r="BC644" s="526"/>
      <c r="BD644" s="1123">
        <v>373.47</v>
      </c>
      <c r="BE644" s="520"/>
      <c r="BF644" s="520"/>
      <c r="BG644" s="520"/>
      <c r="BH644" s="520"/>
      <c r="BI644" s="1123">
        <v>373.47</v>
      </c>
      <c r="BJ644" s="520"/>
      <c r="BK644" s="520"/>
      <c r="BL644" s="520"/>
      <c r="BM644" s="520"/>
      <c r="BN644" s="1123">
        <v>373.47</v>
      </c>
      <c r="BO644" s="520"/>
      <c r="BP644" s="520"/>
      <c r="BQ644" s="520"/>
      <c r="BR644" s="520"/>
      <c r="BS644" s="1124"/>
      <c r="BT644" s="728"/>
      <c r="BU644" s="520"/>
      <c r="BV644" s="520"/>
      <c r="BW644" s="520"/>
      <c r="BX644" s="1122"/>
      <c r="BY644" s="520"/>
      <c r="BZ644" s="520"/>
      <c r="CA644" s="520"/>
      <c r="CB644" s="520"/>
      <c r="CC644" s="1122"/>
      <c r="CD644" s="1122"/>
      <c r="CE644" s="1122"/>
      <c r="CF644" s="1122"/>
      <c r="CG644" s="519"/>
    </row>
    <row r="645" spans="1:85" s="614" customFormat="1" x14ac:dyDescent="0.3">
      <c r="A645" s="522"/>
      <c r="B645" s="352"/>
      <c r="C645" s="1094"/>
      <c r="D645" s="1094"/>
      <c r="E645" s="1094"/>
      <c r="F645" s="1094"/>
      <c r="G645" s="197"/>
      <c r="H645" s="197"/>
      <c r="I645" s="197"/>
      <c r="J645" s="197"/>
      <c r="K645" s="1094"/>
      <c r="L645" s="197"/>
      <c r="M645" s="197"/>
      <c r="N645" s="197"/>
      <c r="O645" s="197"/>
      <c r="P645" s="1094"/>
      <c r="Q645" s="197"/>
      <c r="R645" s="197"/>
      <c r="S645" s="197"/>
      <c r="T645" s="197"/>
      <c r="U645" s="1094"/>
      <c r="V645" s="197"/>
      <c r="W645" s="197"/>
      <c r="X645" s="197"/>
      <c r="Y645" s="197"/>
      <c r="Z645" s="1094"/>
      <c r="AA645" s="197"/>
      <c r="AB645" s="197"/>
      <c r="AC645" s="197"/>
      <c r="AD645" s="197"/>
      <c r="AE645" s="1094"/>
      <c r="AF645" s="197"/>
      <c r="AG645" s="197"/>
      <c r="AH645" s="197"/>
      <c r="AI645" s="197"/>
      <c r="AJ645" s="1094"/>
      <c r="AK645" s="197"/>
      <c r="AL645" s="197"/>
      <c r="AM645" s="197"/>
      <c r="AN645" s="197"/>
      <c r="AO645" s="1094"/>
      <c r="AP645" s="197"/>
      <c r="AQ645" s="197"/>
      <c r="AR645" s="197"/>
      <c r="AS645" s="197"/>
      <c r="AT645" s="198"/>
      <c r="AU645" s="194"/>
      <c r="AV645" s="194"/>
      <c r="AW645" s="194"/>
      <c r="AX645" s="194"/>
      <c r="AY645" s="198"/>
      <c r="AZ645" s="194"/>
      <c r="BA645" s="194"/>
      <c r="BB645" s="194"/>
      <c r="BC645" s="194"/>
      <c r="BD645" s="198"/>
      <c r="BE645" s="197"/>
      <c r="BF645" s="197"/>
      <c r="BG645" s="197"/>
      <c r="BH645" s="197"/>
      <c r="BI645" s="198"/>
      <c r="BJ645" s="197"/>
      <c r="BK645" s="197"/>
      <c r="BL645" s="197"/>
      <c r="BM645" s="197"/>
      <c r="BN645" s="198"/>
      <c r="BO645" s="197"/>
      <c r="BP645" s="197"/>
      <c r="BQ645" s="197"/>
      <c r="BR645" s="197"/>
      <c r="BS645" s="198"/>
      <c r="BT645" s="727"/>
      <c r="BU645" s="197"/>
      <c r="BV645" s="197"/>
      <c r="BW645" s="197"/>
      <c r="BX645" s="1094"/>
      <c r="BY645" s="197"/>
      <c r="BZ645" s="197"/>
      <c r="CA645" s="197"/>
      <c r="CB645" s="197"/>
      <c r="CC645" s="1094"/>
      <c r="CD645" s="1094"/>
      <c r="CE645" s="1094"/>
      <c r="CF645" s="1094"/>
      <c r="CG645" s="349"/>
    </row>
    <row r="646" spans="1:85" s="613" customFormat="1" x14ac:dyDescent="0.3">
      <c r="A646" s="478" t="s">
        <v>1632</v>
      </c>
      <c r="B646" s="523"/>
      <c r="C646" s="78"/>
      <c r="D646" s="78"/>
      <c r="E646" s="78"/>
      <c r="F646" s="78"/>
      <c r="G646" s="774"/>
      <c r="H646" s="774"/>
      <c r="I646" s="774"/>
      <c r="J646" s="774"/>
      <c r="K646" s="78"/>
      <c r="L646" s="774"/>
      <c r="M646" s="774"/>
      <c r="N646" s="774"/>
      <c r="O646" s="774"/>
      <c r="P646" s="78"/>
      <c r="Q646" s="774"/>
      <c r="R646" s="774"/>
      <c r="S646" s="774"/>
      <c r="T646" s="774"/>
      <c r="U646" s="78"/>
      <c r="V646" s="774"/>
      <c r="W646" s="774"/>
      <c r="X646" s="774"/>
      <c r="Y646" s="774"/>
      <c r="Z646" s="78"/>
      <c r="AA646" s="774"/>
      <c r="AB646" s="774"/>
      <c r="AC646" s="774"/>
      <c r="AD646" s="774"/>
      <c r="AE646" s="78"/>
      <c r="AF646" s="774"/>
      <c r="AG646" s="774"/>
      <c r="AH646" s="774"/>
      <c r="AI646" s="774"/>
      <c r="AJ646" s="78"/>
      <c r="AK646" s="774"/>
      <c r="AL646" s="774"/>
      <c r="AM646" s="774"/>
      <c r="AN646" s="774"/>
      <c r="AO646" s="78"/>
      <c r="AP646" s="774"/>
      <c r="AQ646" s="774"/>
      <c r="AR646" s="774"/>
      <c r="AS646" s="774"/>
      <c r="AT646" s="78"/>
      <c r="AU646" s="774"/>
      <c r="AV646" s="774"/>
      <c r="AW646" s="774"/>
      <c r="AX646" s="774"/>
      <c r="AY646" s="78"/>
      <c r="AZ646" s="774"/>
      <c r="BA646" s="774"/>
      <c r="BB646" s="774"/>
      <c r="BC646" s="774"/>
      <c r="BD646" s="1119">
        <v>20.89</v>
      </c>
      <c r="BE646" s="774"/>
      <c r="BF646" s="774"/>
      <c r="BG646" s="774"/>
      <c r="BH646" s="774"/>
      <c r="BI646" s="1119">
        <v>20.89</v>
      </c>
      <c r="BJ646" s="774"/>
      <c r="BK646" s="774"/>
      <c r="BL646" s="774"/>
      <c r="BM646" s="774"/>
      <c r="BN646" s="1119">
        <v>20.89</v>
      </c>
      <c r="BO646" s="774"/>
      <c r="BP646" s="774"/>
      <c r="BQ646" s="774"/>
      <c r="BR646" s="774"/>
      <c r="BS646" s="78"/>
      <c r="BT646" s="775"/>
      <c r="BU646" s="774"/>
      <c r="BV646" s="774"/>
      <c r="BW646" s="774"/>
      <c r="BX646" s="78"/>
      <c r="BY646" s="774"/>
      <c r="BZ646" s="774"/>
      <c r="CA646" s="774"/>
      <c r="CB646" s="774"/>
      <c r="CC646" s="78"/>
      <c r="CD646" s="78"/>
      <c r="CE646" s="78"/>
      <c r="CF646" s="78"/>
      <c r="CG646" s="532"/>
    </row>
    <row r="647" spans="1:85" s="615" customFormat="1" x14ac:dyDescent="0.3">
      <c r="A647" s="522" t="s">
        <v>1631</v>
      </c>
      <c r="B647" s="521"/>
      <c r="C647" s="1122"/>
      <c r="D647" s="1122"/>
      <c r="E647" s="1122"/>
      <c r="F647" s="1122"/>
      <c r="G647" s="520"/>
      <c r="H647" s="520"/>
      <c r="I647" s="520"/>
      <c r="J647" s="520"/>
      <c r="K647" s="1122"/>
      <c r="L647" s="520"/>
      <c r="M647" s="520"/>
      <c r="N647" s="520"/>
      <c r="O647" s="520"/>
      <c r="P647" s="1122"/>
      <c r="Q647" s="520"/>
      <c r="R647" s="520"/>
      <c r="S647" s="520"/>
      <c r="T647" s="520"/>
      <c r="U647" s="1122"/>
      <c r="V647" s="520"/>
      <c r="W647" s="520"/>
      <c r="X647" s="520"/>
      <c r="Y647" s="520"/>
      <c r="Z647" s="1122"/>
      <c r="AA647" s="520"/>
      <c r="AB647" s="520"/>
      <c r="AC647" s="520"/>
      <c r="AD647" s="520"/>
      <c r="AE647" s="1122"/>
      <c r="AF647" s="520"/>
      <c r="AG647" s="520"/>
      <c r="AH647" s="520"/>
      <c r="AI647" s="520"/>
      <c r="AJ647" s="1122"/>
      <c r="AK647" s="520"/>
      <c r="AL647" s="520"/>
      <c r="AM647" s="520"/>
      <c r="AN647" s="520"/>
      <c r="AO647" s="1122"/>
      <c r="AP647" s="520"/>
      <c r="AQ647" s="520"/>
      <c r="AR647" s="520"/>
      <c r="AS647" s="520"/>
      <c r="AT647" s="1124"/>
      <c r="AU647" s="526"/>
      <c r="AV647" s="526"/>
      <c r="AW647" s="526"/>
      <c r="AX647" s="526"/>
      <c r="AY647" s="1124"/>
      <c r="AZ647" s="526"/>
      <c r="BA647" s="526"/>
      <c r="BB647" s="526"/>
      <c r="BC647" s="526"/>
      <c r="BD647" s="1123">
        <v>199.46</v>
      </c>
      <c r="BE647" s="520"/>
      <c r="BF647" s="520"/>
      <c r="BG647" s="520"/>
      <c r="BH647" s="520"/>
      <c r="BI647" s="1123">
        <v>199.46</v>
      </c>
      <c r="BJ647" s="520"/>
      <c r="BK647" s="520"/>
      <c r="BL647" s="520"/>
      <c r="BM647" s="520"/>
      <c r="BN647" s="1123">
        <v>199.46</v>
      </c>
      <c r="BO647" s="520"/>
      <c r="BP647" s="520"/>
      <c r="BQ647" s="520"/>
      <c r="BR647" s="520"/>
      <c r="BS647" s="1124"/>
      <c r="BT647" s="728"/>
      <c r="BU647" s="520"/>
      <c r="BV647" s="520"/>
      <c r="BW647" s="520"/>
      <c r="BX647" s="1122"/>
      <c r="BY647" s="520"/>
      <c r="BZ647" s="520"/>
      <c r="CA647" s="520"/>
      <c r="CB647" s="520"/>
      <c r="CC647" s="1122"/>
      <c r="CD647" s="1122"/>
      <c r="CE647" s="1122"/>
      <c r="CF647" s="1122"/>
      <c r="CG647" s="519"/>
    </row>
    <row r="648" spans="1:85" s="614" customFormat="1" x14ac:dyDescent="0.3">
      <c r="A648" s="522"/>
      <c r="B648" s="352"/>
      <c r="C648" s="1094"/>
      <c r="D648" s="1094"/>
      <c r="E648" s="1094"/>
      <c r="F648" s="1094"/>
      <c r="G648" s="197"/>
      <c r="H648" s="197"/>
      <c r="I648" s="197"/>
      <c r="J648" s="197"/>
      <c r="K648" s="1094"/>
      <c r="L648" s="197"/>
      <c r="M648" s="197"/>
      <c r="N648" s="197"/>
      <c r="O648" s="197"/>
      <c r="P648" s="1094"/>
      <c r="Q648" s="197"/>
      <c r="R648" s="197"/>
      <c r="S648" s="197"/>
      <c r="T648" s="197"/>
      <c r="U648" s="1094"/>
      <c r="V648" s="197"/>
      <c r="W648" s="197"/>
      <c r="X648" s="197"/>
      <c r="Y648" s="197"/>
      <c r="Z648" s="1094"/>
      <c r="AA648" s="197"/>
      <c r="AB648" s="197"/>
      <c r="AC648" s="197"/>
      <c r="AD648" s="197"/>
      <c r="AE648" s="1094"/>
      <c r="AF648" s="197"/>
      <c r="AG648" s="197"/>
      <c r="AH648" s="197"/>
      <c r="AI648" s="197"/>
      <c r="AJ648" s="1094"/>
      <c r="AK648" s="197"/>
      <c r="AL648" s="197"/>
      <c r="AM648" s="197"/>
      <c r="AN648" s="197"/>
      <c r="AO648" s="1094"/>
      <c r="AP648" s="197"/>
      <c r="AQ648" s="197"/>
      <c r="AR648" s="197"/>
      <c r="AS648" s="197"/>
      <c r="AT648" s="198"/>
      <c r="AU648" s="194"/>
      <c r="AV648" s="194"/>
      <c r="AW648" s="194"/>
      <c r="AX648" s="194"/>
      <c r="AY648" s="198"/>
      <c r="AZ648" s="194"/>
      <c r="BA648" s="194"/>
      <c r="BB648" s="194"/>
      <c r="BC648" s="194"/>
      <c r="BD648" s="198"/>
      <c r="BE648" s="197"/>
      <c r="BF648" s="197"/>
      <c r="BG648" s="197"/>
      <c r="BH648" s="197"/>
      <c r="BI648" s="198"/>
      <c r="BJ648" s="197"/>
      <c r="BK648" s="197"/>
      <c r="BL648" s="197"/>
      <c r="BM648" s="197"/>
      <c r="BN648" s="198"/>
      <c r="BO648" s="197"/>
      <c r="BP648" s="197"/>
      <c r="BQ648" s="197"/>
      <c r="BR648" s="197"/>
      <c r="BS648" s="198"/>
      <c r="BT648" s="727"/>
      <c r="BU648" s="197"/>
      <c r="BV648" s="197"/>
      <c r="BW648" s="197"/>
      <c r="BX648" s="1094"/>
      <c r="BY648" s="197"/>
      <c r="BZ648" s="197"/>
      <c r="CA648" s="197"/>
      <c r="CB648" s="197"/>
      <c r="CC648" s="1094"/>
      <c r="CD648" s="1094"/>
      <c r="CE648" s="1094"/>
      <c r="CF648" s="1094"/>
      <c r="CG648" s="349"/>
    </row>
    <row r="649" spans="1:85" s="613" customFormat="1" x14ac:dyDescent="0.3">
      <c r="A649" s="478" t="s">
        <v>1630</v>
      </c>
      <c r="B649" s="523"/>
      <c r="C649" s="78"/>
      <c r="D649" s="78"/>
      <c r="E649" s="78"/>
      <c r="F649" s="78"/>
      <c r="G649" s="774"/>
      <c r="H649" s="774"/>
      <c r="I649" s="774"/>
      <c r="J649" s="774"/>
      <c r="K649" s="78"/>
      <c r="L649" s="774"/>
      <c r="M649" s="774"/>
      <c r="N649" s="774"/>
      <c r="O649" s="774"/>
      <c r="P649" s="78"/>
      <c r="Q649" s="774"/>
      <c r="R649" s="774"/>
      <c r="S649" s="774"/>
      <c r="T649" s="774"/>
      <c r="U649" s="78"/>
      <c r="V649" s="774"/>
      <c r="W649" s="774"/>
      <c r="X649" s="774"/>
      <c r="Y649" s="774"/>
      <c r="Z649" s="78"/>
      <c r="AA649" s="774"/>
      <c r="AB649" s="774"/>
      <c r="AC649" s="774"/>
      <c r="AD649" s="774"/>
      <c r="AE649" s="78"/>
      <c r="AF649" s="774"/>
      <c r="AG649" s="774"/>
      <c r="AH649" s="774"/>
      <c r="AI649" s="774"/>
      <c r="AJ649" s="78"/>
      <c r="AK649" s="774"/>
      <c r="AL649" s="774"/>
      <c r="AM649" s="774"/>
      <c r="AN649" s="774"/>
      <c r="AO649" s="78"/>
      <c r="AP649" s="774"/>
      <c r="AQ649" s="774"/>
      <c r="AR649" s="774"/>
      <c r="AS649" s="774"/>
      <c r="AT649" s="78"/>
      <c r="AU649" s="774"/>
      <c r="AV649" s="774"/>
      <c r="AW649" s="774"/>
      <c r="AX649" s="774"/>
      <c r="AY649" s="78"/>
      <c r="AZ649" s="774"/>
      <c r="BA649" s="774"/>
      <c r="BB649" s="774"/>
      <c r="BC649" s="774"/>
      <c r="BD649" s="1119">
        <v>21.599</v>
      </c>
      <c r="BE649" s="774"/>
      <c r="BF649" s="774"/>
      <c r="BG649" s="774"/>
      <c r="BH649" s="774"/>
      <c r="BI649" s="1119">
        <v>21.599</v>
      </c>
      <c r="BJ649" s="774"/>
      <c r="BK649" s="774"/>
      <c r="BL649" s="774"/>
      <c r="BM649" s="774"/>
      <c r="BN649" s="1119">
        <v>21.599</v>
      </c>
      <c r="BO649" s="774"/>
      <c r="BP649" s="774"/>
      <c r="BQ649" s="774"/>
      <c r="BR649" s="774"/>
      <c r="BS649" s="78"/>
      <c r="BT649" s="775"/>
      <c r="BU649" s="774"/>
      <c r="BV649" s="774"/>
      <c r="BW649" s="774"/>
      <c r="BX649" s="78"/>
      <c r="BY649" s="774"/>
      <c r="BZ649" s="774"/>
      <c r="CA649" s="774"/>
      <c r="CB649" s="774"/>
      <c r="CC649" s="78"/>
      <c r="CD649" s="78"/>
      <c r="CE649" s="78"/>
      <c r="CF649" s="78"/>
      <c r="CG649" s="532"/>
    </row>
    <row r="650" spans="1:85" s="615" customFormat="1" x14ac:dyDescent="0.3">
      <c r="A650" s="522" t="s">
        <v>1629</v>
      </c>
      <c r="B650" s="521"/>
      <c r="C650" s="1122"/>
      <c r="D650" s="1122"/>
      <c r="E650" s="1122"/>
      <c r="F650" s="1122"/>
      <c r="G650" s="520"/>
      <c r="H650" s="520"/>
      <c r="I650" s="520"/>
      <c r="J650" s="520"/>
      <c r="K650" s="1122"/>
      <c r="L650" s="520"/>
      <c r="M650" s="520"/>
      <c r="N650" s="520"/>
      <c r="O650" s="520"/>
      <c r="P650" s="1122"/>
      <c r="Q650" s="520"/>
      <c r="R650" s="520"/>
      <c r="S650" s="520"/>
      <c r="T650" s="520"/>
      <c r="U650" s="1122"/>
      <c r="V650" s="520"/>
      <c r="W650" s="520"/>
      <c r="X650" s="520"/>
      <c r="Y650" s="520"/>
      <c r="Z650" s="1122"/>
      <c r="AA650" s="520"/>
      <c r="AB650" s="520"/>
      <c r="AC650" s="520"/>
      <c r="AD650" s="520"/>
      <c r="AE650" s="1122"/>
      <c r="AF650" s="520"/>
      <c r="AG650" s="520"/>
      <c r="AH650" s="520"/>
      <c r="AI650" s="520"/>
      <c r="AJ650" s="1122"/>
      <c r="AK650" s="520"/>
      <c r="AL650" s="520"/>
      <c r="AM650" s="520"/>
      <c r="AN650" s="520"/>
      <c r="AO650" s="1122"/>
      <c r="AP650" s="520"/>
      <c r="AQ650" s="520"/>
      <c r="AR650" s="520"/>
      <c r="AS650" s="520"/>
      <c r="AT650" s="1124"/>
      <c r="AU650" s="526"/>
      <c r="AV650" s="526"/>
      <c r="AW650" s="526"/>
      <c r="AX650" s="526"/>
      <c r="AY650" s="1124"/>
      <c r="AZ650" s="526"/>
      <c r="BA650" s="526"/>
      <c r="BB650" s="526"/>
      <c r="BC650" s="526"/>
      <c r="BD650" s="1123">
        <v>192.91</v>
      </c>
      <c r="BE650" s="520"/>
      <c r="BF650" s="520"/>
      <c r="BG650" s="520"/>
      <c r="BH650" s="520"/>
      <c r="BI650" s="1123">
        <v>192.91</v>
      </c>
      <c r="BJ650" s="520"/>
      <c r="BK650" s="520"/>
      <c r="BL650" s="520"/>
      <c r="BM650" s="520"/>
      <c r="BN650" s="1123">
        <v>192.91</v>
      </c>
      <c r="BO650" s="520"/>
      <c r="BP650" s="520"/>
      <c r="BQ650" s="520"/>
      <c r="BR650" s="520"/>
      <c r="BS650" s="1124"/>
      <c r="BT650" s="728"/>
      <c r="BU650" s="520"/>
      <c r="BV650" s="520"/>
      <c r="BW650" s="520"/>
      <c r="BX650" s="1122"/>
      <c r="BY650" s="520"/>
      <c r="BZ650" s="520"/>
      <c r="CA650" s="520"/>
      <c r="CB650" s="520"/>
      <c r="CC650" s="1122"/>
      <c r="CD650" s="1122"/>
      <c r="CE650" s="1122"/>
      <c r="CF650" s="1122"/>
      <c r="CG650" s="519"/>
    </row>
    <row r="651" spans="1:85" s="614" customFormat="1" x14ac:dyDescent="0.3">
      <c r="A651" s="522"/>
      <c r="B651" s="352"/>
      <c r="C651" s="1094"/>
      <c r="D651" s="1094"/>
      <c r="E651" s="1094"/>
      <c r="F651" s="1094"/>
      <c r="G651" s="197"/>
      <c r="H651" s="197"/>
      <c r="I651" s="197"/>
      <c r="J651" s="197"/>
      <c r="K651" s="1094"/>
      <c r="L651" s="197"/>
      <c r="M651" s="197"/>
      <c r="N651" s="197"/>
      <c r="O651" s="197"/>
      <c r="P651" s="1094"/>
      <c r="Q651" s="197"/>
      <c r="R651" s="197"/>
      <c r="S651" s="197"/>
      <c r="T651" s="197"/>
      <c r="U651" s="1094"/>
      <c r="V651" s="197"/>
      <c r="W651" s="197"/>
      <c r="X651" s="197"/>
      <c r="Y651" s="197"/>
      <c r="Z651" s="1094"/>
      <c r="AA651" s="197"/>
      <c r="AB651" s="197"/>
      <c r="AC651" s="197"/>
      <c r="AD651" s="197"/>
      <c r="AE651" s="1094"/>
      <c r="AF651" s="197"/>
      <c r="AG651" s="197"/>
      <c r="AH651" s="197"/>
      <c r="AI651" s="197"/>
      <c r="AJ651" s="1094"/>
      <c r="AK651" s="197"/>
      <c r="AL651" s="197"/>
      <c r="AM651" s="197"/>
      <c r="AN651" s="197"/>
      <c r="AO651" s="1094"/>
      <c r="AP651" s="197"/>
      <c r="AQ651" s="197"/>
      <c r="AR651" s="197"/>
      <c r="AS651" s="197"/>
      <c r="AT651" s="198"/>
      <c r="AU651" s="194"/>
      <c r="AV651" s="194"/>
      <c r="AW651" s="194"/>
      <c r="AX651" s="194"/>
      <c r="AY651" s="198"/>
      <c r="AZ651" s="194"/>
      <c r="BA651" s="194"/>
      <c r="BB651" s="194"/>
      <c r="BC651" s="194"/>
      <c r="BD651" s="198"/>
      <c r="BE651" s="197"/>
      <c r="BF651" s="197"/>
      <c r="BG651" s="197"/>
      <c r="BH651" s="197"/>
      <c r="BI651" s="198"/>
      <c r="BJ651" s="197"/>
      <c r="BK651" s="197"/>
      <c r="BL651" s="197"/>
      <c r="BM651" s="197"/>
      <c r="BN651" s="198"/>
      <c r="BO651" s="197"/>
      <c r="BP651" s="197"/>
      <c r="BQ651" s="197"/>
      <c r="BR651" s="197"/>
      <c r="BS651" s="198"/>
      <c r="BT651" s="727"/>
      <c r="BU651" s="197"/>
      <c r="BV651" s="197"/>
      <c r="BW651" s="197"/>
      <c r="BX651" s="1094"/>
      <c r="BY651" s="197"/>
      <c r="BZ651" s="197"/>
      <c r="CA651" s="197"/>
      <c r="CB651" s="197"/>
      <c r="CC651" s="1094"/>
      <c r="CD651" s="1094"/>
      <c r="CE651" s="1094"/>
      <c r="CF651" s="1094"/>
      <c r="CG651" s="349"/>
    </row>
    <row r="652" spans="1:85" s="613" customFormat="1" x14ac:dyDescent="0.3">
      <c r="A652" s="478" t="s">
        <v>1628</v>
      </c>
      <c r="B652" s="523"/>
      <c r="C652" s="78"/>
      <c r="D652" s="78"/>
      <c r="E652" s="78"/>
      <c r="F652" s="78"/>
      <c r="G652" s="774"/>
      <c r="H652" s="774"/>
      <c r="I652" s="774"/>
      <c r="J652" s="774"/>
      <c r="K652" s="78"/>
      <c r="L652" s="774"/>
      <c r="M652" s="774"/>
      <c r="N652" s="774"/>
      <c r="O652" s="774"/>
      <c r="P652" s="78"/>
      <c r="Q652" s="774"/>
      <c r="R652" s="774"/>
      <c r="S652" s="774"/>
      <c r="T652" s="774"/>
      <c r="U652" s="78"/>
      <c r="V652" s="774"/>
      <c r="W652" s="774"/>
      <c r="X652" s="774"/>
      <c r="Y652" s="774"/>
      <c r="Z652" s="78"/>
      <c r="AA652" s="774"/>
      <c r="AB652" s="774"/>
      <c r="AC652" s="774"/>
      <c r="AD652" s="774"/>
      <c r="AE652" s="78"/>
      <c r="AF652" s="774"/>
      <c r="AG652" s="774"/>
      <c r="AH652" s="774"/>
      <c r="AI652" s="774"/>
      <c r="AJ652" s="78"/>
      <c r="AK652" s="774"/>
      <c r="AL652" s="774"/>
      <c r="AM652" s="774"/>
      <c r="AN652" s="774"/>
      <c r="AO652" s="78"/>
      <c r="AP652" s="774"/>
      <c r="AQ652" s="774"/>
      <c r="AR652" s="774"/>
      <c r="AS652" s="774"/>
      <c r="AT652" s="78"/>
      <c r="AU652" s="774"/>
      <c r="AV652" s="774"/>
      <c r="AW652" s="774"/>
      <c r="AX652" s="774"/>
      <c r="AY652" s="78"/>
      <c r="AZ652" s="774"/>
      <c r="BA652" s="774"/>
      <c r="BB652" s="774"/>
      <c r="BC652" s="774"/>
      <c r="BD652" s="1119">
        <v>23.155000000000001</v>
      </c>
      <c r="BE652" s="774"/>
      <c r="BF652" s="774"/>
      <c r="BG652" s="774"/>
      <c r="BH652" s="774"/>
      <c r="BI652" s="78"/>
      <c r="BJ652" s="774"/>
      <c r="BK652" s="774"/>
      <c r="BL652" s="774"/>
      <c r="BM652" s="774"/>
      <c r="BN652" s="78"/>
      <c r="BO652" s="774"/>
      <c r="BP652" s="774"/>
      <c r="BQ652" s="774"/>
      <c r="BR652" s="774"/>
      <c r="BS652" s="78"/>
      <c r="BT652" s="775"/>
      <c r="BU652" s="774"/>
      <c r="BV652" s="774"/>
      <c r="BW652" s="774"/>
      <c r="BX652" s="78"/>
      <c r="BY652" s="774"/>
      <c r="BZ652" s="774"/>
      <c r="CA652" s="774"/>
      <c r="CB652" s="774"/>
      <c r="CC652" s="78"/>
      <c r="CD652" s="78"/>
      <c r="CE652" s="78"/>
      <c r="CF652" s="78"/>
      <c r="CG652" s="532"/>
    </row>
    <row r="653" spans="1:85" s="615" customFormat="1" x14ac:dyDescent="0.3">
      <c r="A653" s="522" t="s">
        <v>1627</v>
      </c>
      <c r="B653" s="521"/>
      <c r="C653" s="1122"/>
      <c r="D653" s="1122"/>
      <c r="E653" s="1122"/>
      <c r="F653" s="1122"/>
      <c r="G653" s="520"/>
      <c r="H653" s="520"/>
      <c r="I653" s="520"/>
      <c r="J653" s="520"/>
      <c r="K653" s="1122"/>
      <c r="L653" s="520"/>
      <c r="M653" s="520"/>
      <c r="N653" s="520"/>
      <c r="O653" s="520"/>
      <c r="P653" s="1122"/>
      <c r="Q653" s="520"/>
      <c r="R653" s="520"/>
      <c r="S653" s="520"/>
      <c r="T653" s="520"/>
      <c r="U653" s="1122"/>
      <c r="V653" s="520"/>
      <c r="W653" s="520"/>
      <c r="X653" s="520"/>
      <c r="Y653" s="520"/>
      <c r="Z653" s="1122"/>
      <c r="AA653" s="520"/>
      <c r="AB653" s="520"/>
      <c r="AC653" s="520"/>
      <c r="AD653" s="520"/>
      <c r="AE653" s="1122"/>
      <c r="AF653" s="520"/>
      <c r="AG653" s="520"/>
      <c r="AH653" s="520"/>
      <c r="AI653" s="520"/>
      <c r="AJ653" s="1122"/>
      <c r="AK653" s="520"/>
      <c r="AL653" s="520"/>
      <c r="AM653" s="520"/>
      <c r="AN653" s="520"/>
      <c r="AO653" s="1122"/>
      <c r="AP653" s="520"/>
      <c r="AQ653" s="520"/>
      <c r="AR653" s="520"/>
      <c r="AS653" s="520"/>
      <c r="AT653" s="1124"/>
      <c r="AU653" s="526"/>
      <c r="AV653" s="526"/>
      <c r="AW653" s="526"/>
      <c r="AX653" s="526"/>
      <c r="AY653" s="1124"/>
      <c r="AZ653" s="526"/>
      <c r="BA653" s="526"/>
      <c r="BB653" s="526"/>
      <c r="BC653" s="526"/>
      <c r="BD653" s="1123">
        <v>179.95</v>
      </c>
      <c r="BE653" s="520"/>
      <c r="BF653" s="520"/>
      <c r="BG653" s="520"/>
      <c r="BH653" s="520"/>
      <c r="BI653" s="1124"/>
      <c r="BJ653" s="520"/>
      <c r="BK653" s="520"/>
      <c r="BL653" s="520"/>
      <c r="BM653" s="520"/>
      <c r="BN653" s="1124"/>
      <c r="BO653" s="520"/>
      <c r="BP653" s="520"/>
      <c r="BQ653" s="520"/>
      <c r="BR653" s="520"/>
      <c r="BS653" s="1124"/>
      <c r="BT653" s="728"/>
      <c r="BU653" s="520"/>
      <c r="BV653" s="520"/>
      <c r="BW653" s="520"/>
      <c r="BX653" s="1122"/>
      <c r="BY653" s="520"/>
      <c r="BZ653" s="520"/>
      <c r="CA653" s="520"/>
      <c r="CB653" s="520"/>
      <c r="CC653" s="1122"/>
      <c r="CD653" s="1122"/>
      <c r="CE653" s="1122"/>
      <c r="CF653" s="1122"/>
      <c r="CG653" s="519"/>
    </row>
    <row r="654" spans="1:85" s="614" customFormat="1" x14ac:dyDescent="0.3">
      <c r="A654" s="522"/>
      <c r="B654" s="352"/>
      <c r="C654" s="1094"/>
      <c r="D654" s="1094"/>
      <c r="E654" s="1094"/>
      <c r="F654" s="1094"/>
      <c r="G654" s="197"/>
      <c r="H654" s="197"/>
      <c r="I654" s="197"/>
      <c r="J654" s="197"/>
      <c r="K654" s="1094"/>
      <c r="L654" s="197"/>
      <c r="M654" s="197"/>
      <c r="N654" s="197"/>
      <c r="O654" s="197"/>
      <c r="P654" s="1094"/>
      <c r="Q654" s="197"/>
      <c r="R654" s="197"/>
      <c r="S654" s="197"/>
      <c r="T654" s="197"/>
      <c r="U654" s="1094"/>
      <c r="V654" s="197"/>
      <c r="W654" s="197"/>
      <c r="X654" s="197"/>
      <c r="Y654" s="197"/>
      <c r="Z654" s="1094"/>
      <c r="AA654" s="197"/>
      <c r="AB654" s="197"/>
      <c r="AC654" s="197"/>
      <c r="AD654" s="197"/>
      <c r="AE654" s="1094"/>
      <c r="AF654" s="197"/>
      <c r="AG654" s="197"/>
      <c r="AH654" s="197"/>
      <c r="AI654" s="197"/>
      <c r="AJ654" s="1094"/>
      <c r="AK654" s="197"/>
      <c r="AL654" s="197"/>
      <c r="AM654" s="197"/>
      <c r="AN654" s="197"/>
      <c r="AO654" s="1094"/>
      <c r="AP654" s="197"/>
      <c r="AQ654" s="197"/>
      <c r="AR654" s="197"/>
      <c r="AS654" s="197"/>
      <c r="AT654" s="198"/>
      <c r="AU654" s="194"/>
      <c r="AV654" s="194"/>
      <c r="AW654" s="194"/>
      <c r="AX654" s="194"/>
      <c r="AY654" s="198"/>
      <c r="AZ654" s="194"/>
      <c r="BA654" s="194"/>
      <c r="BB654" s="194"/>
      <c r="BC654" s="194"/>
      <c r="BD654" s="198"/>
      <c r="BE654" s="197"/>
      <c r="BF654" s="197"/>
      <c r="BG654" s="197"/>
      <c r="BH654" s="197"/>
      <c r="BI654" s="198"/>
      <c r="BJ654" s="197"/>
      <c r="BK654" s="197"/>
      <c r="BL654" s="197"/>
      <c r="BM654" s="197"/>
      <c r="BN654" s="198"/>
      <c r="BO654" s="197"/>
      <c r="BP654" s="197"/>
      <c r="BQ654" s="197"/>
      <c r="BR654" s="197"/>
      <c r="BS654" s="198"/>
      <c r="BT654" s="727"/>
      <c r="BU654" s="197"/>
      <c r="BV654" s="197"/>
      <c r="BW654" s="197"/>
      <c r="BX654" s="1094"/>
      <c r="BY654" s="197"/>
      <c r="BZ654" s="197"/>
      <c r="CA654" s="197"/>
      <c r="CB654" s="197"/>
      <c r="CC654" s="1094"/>
      <c r="CD654" s="1094"/>
      <c r="CE654" s="1094"/>
      <c r="CF654" s="1094"/>
      <c r="CG654" s="349"/>
    </row>
    <row r="655" spans="1:85" s="613" customFormat="1" x14ac:dyDescent="0.3">
      <c r="A655" s="478" t="s">
        <v>1626</v>
      </c>
      <c r="B655" s="523"/>
      <c r="C655" s="78"/>
      <c r="D655" s="78"/>
      <c r="E655" s="78"/>
      <c r="F655" s="78"/>
      <c r="G655" s="774"/>
      <c r="H655" s="774"/>
      <c r="I655" s="774"/>
      <c r="J655" s="774"/>
      <c r="K655" s="78"/>
      <c r="L655" s="774"/>
      <c r="M655" s="774"/>
      <c r="N655" s="774"/>
      <c r="O655" s="774"/>
      <c r="P655" s="78"/>
      <c r="Q655" s="774"/>
      <c r="R655" s="774"/>
      <c r="S655" s="774"/>
      <c r="T655" s="774"/>
      <c r="U655" s="78"/>
      <c r="V655" s="774"/>
      <c r="W655" s="774"/>
      <c r="X655" s="774"/>
      <c r="Y655" s="774"/>
      <c r="Z655" s="78"/>
      <c r="AA655" s="774"/>
      <c r="AB655" s="774"/>
      <c r="AC655" s="774"/>
      <c r="AD655" s="774"/>
      <c r="AE655" s="78"/>
      <c r="AF655" s="774"/>
      <c r="AG655" s="774"/>
      <c r="AH655" s="774"/>
      <c r="AI655" s="774"/>
      <c r="AJ655" s="78"/>
      <c r="AK655" s="774"/>
      <c r="AL655" s="774"/>
      <c r="AM655" s="774"/>
      <c r="AN655" s="774"/>
      <c r="AO655" s="78"/>
      <c r="AP655" s="774"/>
      <c r="AQ655" s="774"/>
      <c r="AR655" s="774"/>
      <c r="AS655" s="774"/>
      <c r="AT655" s="78"/>
      <c r="AU655" s="774"/>
      <c r="AV655" s="774"/>
      <c r="AW655" s="774"/>
      <c r="AX655" s="774"/>
      <c r="AY655" s="78"/>
      <c r="AZ655" s="774"/>
      <c r="BA655" s="774"/>
      <c r="BB655" s="774"/>
      <c r="BC655" s="774"/>
      <c r="BD655" s="1119">
        <v>18.419</v>
      </c>
      <c r="BE655" s="774"/>
      <c r="BF655" s="774"/>
      <c r="BG655" s="774"/>
      <c r="BH655" s="774"/>
      <c r="BI655" s="1119">
        <v>18.419</v>
      </c>
      <c r="BJ655" s="774"/>
      <c r="BK655" s="774"/>
      <c r="BL655" s="774"/>
      <c r="BM655" s="774"/>
      <c r="BN655" s="1119">
        <v>18.419</v>
      </c>
      <c r="BO655" s="774"/>
      <c r="BP655" s="774"/>
      <c r="BQ655" s="774"/>
      <c r="BR655" s="774"/>
      <c r="BS655" s="78"/>
      <c r="BT655" s="775"/>
      <c r="BU655" s="774"/>
      <c r="BV655" s="774"/>
      <c r="BW655" s="774"/>
      <c r="BX655" s="78"/>
      <c r="BY655" s="774"/>
      <c r="BZ655" s="774"/>
      <c r="CA655" s="774"/>
      <c r="CB655" s="774"/>
      <c r="CC655" s="78"/>
      <c r="CD655" s="78"/>
      <c r="CE655" s="78"/>
      <c r="CF655" s="78"/>
      <c r="CG655" s="532"/>
    </row>
    <row r="656" spans="1:85" s="615" customFormat="1" x14ac:dyDescent="0.3">
      <c r="A656" s="522" t="s">
        <v>1625</v>
      </c>
      <c r="B656" s="521"/>
      <c r="C656" s="1122"/>
      <c r="D656" s="1122"/>
      <c r="E656" s="1122"/>
      <c r="F656" s="1122"/>
      <c r="G656" s="520"/>
      <c r="H656" s="520"/>
      <c r="I656" s="520"/>
      <c r="J656" s="520"/>
      <c r="K656" s="1122"/>
      <c r="L656" s="520"/>
      <c r="M656" s="520"/>
      <c r="N656" s="520"/>
      <c r="O656" s="520"/>
      <c r="P656" s="1122"/>
      <c r="Q656" s="520"/>
      <c r="R656" s="520"/>
      <c r="S656" s="520"/>
      <c r="T656" s="520"/>
      <c r="U656" s="1122"/>
      <c r="V656" s="520"/>
      <c r="W656" s="520"/>
      <c r="X656" s="520"/>
      <c r="Y656" s="520"/>
      <c r="Z656" s="1122"/>
      <c r="AA656" s="520"/>
      <c r="AB656" s="520"/>
      <c r="AC656" s="520"/>
      <c r="AD656" s="520"/>
      <c r="AE656" s="1122"/>
      <c r="AF656" s="520"/>
      <c r="AG656" s="520"/>
      <c r="AH656" s="520"/>
      <c r="AI656" s="520"/>
      <c r="AJ656" s="1122"/>
      <c r="AK656" s="520"/>
      <c r="AL656" s="520"/>
      <c r="AM656" s="520"/>
      <c r="AN656" s="520"/>
      <c r="AO656" s="1122"/>
      <c r="AP656" s="520"/>
      <c r="AQ656" s="520"/>
      <c r="AR656" s="520"/>
      <c r="AS656" s="520"/>
      <c r="AT656" s="1124"/>
      <c r="AU656" s="526"/>
      <c r="AV656" s="526"/>
      <c r="AW656" s="526"/>
      <c r="AX656" s="526"/>
      <c r="AY656" s="1124"/>
      <c r="AZ656" s="526"/>
      <c r="BA656" s="526"/>
      <c r="BB656" s="526"/>
      <c r="BC656" s="526"/>
      <c r="BD656" s="1123">
        <v>226.21</v>
      </c>
      <c r="BE656" s="520"/>
      <c r="BF656" s="520"/>
      <c r="BG656" s="520"/>
      <c r="BH656" s="520"/>
      <c r="BI656" s="1123">
        <v>226.21</v>
      </c>
      <c r="BJ656" s="520"/>
      <c r="BK656" s="520"/>
      <c r="BL656" s="520"/>
      <c r="BM656" s="520"/>
      <c r="BN656" s="1123">
        <v>226.21</v>
      </c>
      <c r="BO656" s="520"/>
      <c r="BP656" s="520"/>
      <c r="BQ656" s="520"/>
      <c r="BR656" s="520"/>
      <c r="BS656" s="1124"/>
      <c r="BT656" s="728"/>
      <c r="BU656" s="520"/>
      <c r="BV656" s="520"/>
      <c r="BW656" s="520"/>
      <c r="BX656" s="1122"/>
      <c r="BY656" s="520"/>
      <c r="BZ656" s="520"/>
      <c r="CA656" s="520"/>
      <c r="CB656" s="520"/>
      <c r="CC656" s="1122"/>
      <c r="CD656" s="1122"/>
      <c r="CE656" s="1122"/>
      <c r="CF656" s="1122"/>
      <c r="CG656" s="519"/>
    </row>
    <row r="657" spans="1:85" s="614" customFormat="1" x14ac:dyDescent="0.3">
      <c r="A657" s="522"/>
      <c r="B657" s="352"/>
      <c r="C657" s="1094"/>
      <c r="D657" s="1094"/>
      <c r="E657" s="1094"/>
      <c r="F657" s="1094"/>
      <c r="G657" s="197"/>
      <c r="H657" s="197"/>
      <c r="I657" s="197"/>
      <c r="J657" s="197"/>
      <c r="K657" s="1094"/>
      <c r="L657" s="197"/>
      <c r="M657" s="197"/>
      <c r="N657" s="197"/>
      <c r="O657" s="197"/>
      <c r="P657" s="1094"/>
      <c r="Q657" s="197"/>
      <c r="R657" s="197"/>
      <c r="S657" s="197"/>
      <c r="T657" s="197"/>
      <c r="U657" s="1094"/>
      <c r="V657" s="197"/>
      <c r="W657" s="197"/>
      <c r="X657" s="197"/>
      <c r="Y657" s="197"/>
      <c r="Z657" s="1094"/>
      <c r="AA657" s="197"/>
      <c r="AB657" s="197"/>
      <c r="AC657" s="197"/>
      <c r="AD657" s="197"/>
      <c r="AE657" s="1094"/>
      <c r="AF657" s="197"/>
      <c r="AG657" s="197"/>
      <c r="AH657" s="197"/>
      <c r="AI657" s="197"/>
      <c r="AJ657" s="1094"/>
      <c r="AK657" s="197"/>
      <c r="AL657" s="197"/>
      <c r="AM657" s="197"/>
      <c r="AN657" s="197"/>
      <c r="AO657" s="1094"/>
      <c r="AP657" s="197"/>
      <c r="AQ657" s="197"/>
      <c r="AR657" s="197"/>
      <c r="AS657" s="197"/>
      <c r="AT657" s="198"/>
      <c r="AU657" s="194"/>
      <c r="AV657" s="194"/>
      <c r="AW657" s="194"/>
      <c r="AX657" s="194"/>
      <c r="AY657" s="198"/>
      <c r="AZ657" s="194"/>
      <c r="BA657" s="194"/>
      <c r="BB657" s="194"/>
      <c r="BC657" s="194"/>
      <c r="BD657" s="198"/>
      <c r="BE657" s="197"/>
      <c r="BF657" s="197"/>
      <c r="BG657" s="197"/>
      <c r="BH657" s="197"/>
      <c r="BI657" s="198"/>
      <c r="BJ657" s="197"/>
      <c r="BK657" s="197"/>
      <c r="BL657" s="197"/>
      <c r="BM657" s="197"/>
      <c r="BN657" s="198"/>
      <c r="BO657" s="197"/>
      <c r="BP657" s="197"/>
      <c r="BQ657" s="197"/>
      <c r="BR657" s="197"/>
      <c r="BS657" s="198"/>
      <c r="BT657" s="727"/>
      <c r="BU657" s="197"/>
      <c r="BV657" s="197"/>
      <c r="BW657" s="197"/>
      <c r="BX657" s="1094"/>
      <c r="BY657" s="197"/>
      <c r="BZ657" s="197"/>
      <c r="CA657" s="197"/>
      <c r="CB657" s="197"/>
      <c r="CC657" s="1094"/>
      <c r="CD657" s="1094"/>
      <c r="CE657" s="1094"/>
      <c r="CF657" s="1094"/>
      <c r="CG657" s="349"/>
    </row>
    <row r="658" spans="1:85" s="613" customFormat="1" x14ac:dyDescent="0.3">
      <c r="A658" s="478" t="s">
        <v>1624</v>
      </c>
      <c r="B658" s="523"/>
      <c r="C658" s="78"/>
      <c r="D658" s="78"/>
      <c r="E658" s="78"/>
      <c r="F658" s="78"/>
      <c r="G658" s="774"/>
      <c r="H658" s="774"/>
      <c r="I658" s="774"/>
      <c r="J658" s="774"/>
      <c r="K658" s="78"/>
      <c r="L658" s="774"/>
      <c r="M658" s="774"/>
      <c r="N658" s="774"/>
      <c r="O658" s="774"/>
      <c r="P658" s="78"/>
      <c r="Q658" s="774"/>
      <c r="R658" s="774"/>
      <c r="S658" s="774"/>
      <c r="T658" s="774"/>
      <c r="U658" s="78"/>
      <c r="V658" s="774"/>
      <c r="W658" s="774"/>
      <c r="X658" s="774"/>
      <c r="Y658" s="774"/>
      <c r="Z658" s="78"/>
      <c r="AA658" s="774"/>
      <c r="AB658" s="774"/>
      <c r="AC658" s="774"/>
      <c r="AD658" s="774"/>
      <c r="AE658" s="78"/>
      <c r="AF658" s="774"/>
      <c r="AG658" s="774"/>
      <c r="AH658" s="774"/>
      <c r="AI658" s="774"/>
      <c r="AJ658" s="78"/>
      <c r="AK658" s="774"/>
      <c r="AL658" s="774"/>
      <c r="AM658" s="774"/>
      <c r="AN658" s="774"/>
      <c r="AO658" s="78"/>
      <c r="AP658" s="774"/>
      <c r="AQ658" s="774"/>
      <c r="AR658" s="774"/>
      <c r="AS658" s="774"/>
      <c r="AT658" s="78"/>
      <c r="AU658" s="774"/>
      <c r="AV658" s="774"/>
      <c r="AW658" s="774"/>
      <c r="AX658" s="774"/>
      <c r="AY658" s="78"/>
      <c r="AZ658" s="774"/>
      <c r="BA658" s="774"/>
      <c r="BB658" s="774"/>
      <c r="BC658" s="774"/>
      <c r="BD658" s="1119">
        <v>18.113</v>
      </c>
      <c r="BE658" s="774"/>
      <c r="BF658" s="774"/>
      <c r="BG658" s="774"/>
      <c r="BH658" s="774"/>
      <c r="BI658" s="1119">
        <v>18.113</v>
      </c>
      <c r="BJ658" s="774"/>
      <c r="BK658" s="774"/>
      <c r="BL658" s="774"/>
      <c r="BM658" s="774"/>
      <c r="BN658" s="1119">
        <v>18.113</v>
      </c>
      <c r="BO658" s="774"/>
      <c r="BP658" s="774"/>
      <c r="BQ658" s="774"/>
      <c r="BR658" s="774"/>
      <c r="BS658" s="78"/>
      <c r="BT658" s="775"/>
      <c r="BU658" s="774"/>
      <c r="BV658" s="774"/>
      <c r="BW658" s="774"/>
      <c r="BX658" s="78"/>
      <c r="BY658" s="774"/>
      <c r="BZ658" s="774"/>
      <c r="CA658" s="774"/>
      <c r="CB658" s="774"/>
      <c r="CC658" s="78"/>
      <c r="CD658" s="78"/>
      <c r="CE658" s="78"/>
      <c r="CF658" s="78"/>
      <c r="CG658" s="532"/>
    </row>
    <row r="659" spans="1:85" s="615" customFormat="1" x14ac:dyDescent="0.3">
      <c r="A659" s="522" t="s">
        <v>1623</v>
      </c>
      <c r="B659" s="521"/>
      <c r="C659" s="1122"/>
      <c r="D659" s="1122"/>
      <c r="E659" s="1122"/>
      <c r="F659" s="1122"/>
      <c r="G659" s="520"/>
      <c r="H659" s="520"/>
      <c r="I659" s="520"/>
      <c r="J659" s="520"/>
      <c r="K659" s="1122"/>
      <c r="L659" s="520"/>
      <c r="M659" s="520"/>
      <c r="N659" s="520"/>
      <c r="O659" s="520"/>
      <c r="P659" s="1122"/>
      <c r="Q659" s="520"/>
      <c r="R659" s="520"/>
      <c r="S659" s="520"/>
      <c r="T659" s="520"/>
      <c r="U659" s="1122"/>
      <c r="V659" s="520"/>
      <c r="W659" s="520"/>
      <c r="X659" s="520"/>
      <c r="Y659" s="520"/>
      <c r="Z659" s="1122"/>
      <c r="AA659" s="520"/>
      <c r="AB659" s="520"/>
      <c r="AC659" s="520"/>
      <c r="AD659" s="520"/>
      <c r="AE659" s="1122"/>
      <c r="AF659" s="520"/>
      <c r="AG659" s="520"/>
      <c r="AH659" s="520"/>
      <c r="AI659" s="520"/>
      <c r="AJ659" s="1122"/>
      <c r="AK659" s="520"/>
      <c r="AL659" s="520"/>
      <c r="AM659" s="520"/>
      <c r="AN659" s="520"/>
      <c r="AO659" s="1122"/>
      <c r="AP659" s="520"/>
      <c r="AQ659" s="520"/>
      <c r="AR659" s="520"/>
      <c r="AS659" s="520"/>
      <c r="AT659" s="1124"/>
      <c r="AU659" s="526"/>
      <c r="AV659" s="526"/>
      <c r="AW659" s="526"/>
      <c r="AX659" s="526"/>
      <c r="AY659" s="1124"/>
      <c r="AZ659" s="526"/>
      <c r="BA659" s="526"/>
      <c r="BB659" s="526"/>
      <c r="BC659" s="526"/>
      <c r="BD659" s="1123">
        <v>230.04</v>
      </c>
      <c r="BE659" s="520"/>
      <c r="BF659" s="520"/>
      <c r="BG659" s="520"/>
      <c r="BH659" s="520"/>
      <c r="BI659" s="1123">
        <v>230.04</v>
      </c>
      <c r="BJ659" s="520"/>
      <c r="BK659" s="520"/>
      <c r="BL659" s="520"/>
      <c r="BM659" s="520"/>
      <c r="BN659" s="1123">
        <v>230.04</v>
      </c>
      <c r="BO659" s="520"/>
      <c r="BP659" s="520"/>
      <c r="BQ659" s="520"/>
      <c r="BR659" s="520"/>
      <c r="BS659" s="1124"/>
      <c r="BT659" s="728"/>
      <c r="BU659" s="520"/>
      <c r="BV659" s="520"/>
      <c r="BW659" s="520"/>
      <c r="BX659" s="1122"/>
      <c r="BY659" s="520"/>
      <c r="BZ659" s="520"/>
      <c r="CA659" s="520"/>
      <c r="CB659" s="520"/>
      <c r="CC659" s="1122"/>
      <c r="CD659" s="1122"/>
      <c r="CE659" s="1122"/>
      <c r="CF659" s="1122"/>
      <c r="CG659" s="519"/>
    </row>
    <row r="660" spans="1:85" s="614" customFormat="1" x14ac:dyDescent="0.3">
      <c r="A660" s="522"/>
      <c r="B660" s="352"/>
      <c r="C660" s="1094"/>
      <c r="D660" s="1094"/>
      <c r="E660" s="1094"/>
      <c r="F660" s="1094"/>
      <c r="G660" s="197"/>
      <c r="H660" s="197"/>
      <c r="I660" s="197"/>
      <c r="J660" s="197"/>
      <c r="K660" s="1094"/>
      <c r="L660" s="197"/>
      <c r="M660" s="197"/>
      <c r="N660" s="197"/>
      <c r="O660" s="197"/>
      <c r="P660" s="1094"/>
      <c r="Q660" s="197"/>
      <c r="R660" s="197"/>
      <c r="S660" s="197"/>
      <c r="T660" s="197"/>
      <c r="U660" s="1094"/>
      <c r="V660" s="197"/>
      <c r="W660" s="197"/>
      <c r="X660" s="197"/>
      <c r="Y660" s="197"/>
      <c r="Z660" s="1094"/>
      <c r="AA660" s="197"/>
      <c r="AB660" s="197"/>
      <c r="AC660" s="197"/>
      <c r="AD660" s="197"/>
      <c r="AE660" s="1094"/>
      <c r="AF660" s="197"/>
      <c r="AG660" s="197"/>
      <c r="AH660" s="197"/>
      <c r="AI660" s="197"/>
      <c r="AJ660" s="1094"/>
      <c r="AK660" s="197"/>
      <c r="AL660" s="197"/>
      <c r="AM660" s="197"/>
      <c r="AN660" s="197"/>
      <c r="AO660" s="1094"/>
      <c r="AP660" s="197"/>
      <c r="AQ660" s="197"/>
      <c r="AR660" s="197"/>
      <c r="AS660" s="197"/>
      <c r="AT660" s="198"/>
      <c r="AU660" s="194"/>
      <c r="AV660" s="194"/>
      <c r="AW660" s="194"/>
      <c r="AX660" s="194"/>
      <c r="AY660" s="198"/>
      <c r="AZ660" s="194"/>
      <c r="BA660" s="194"/>
      <c r="BB660" s="194"/>
      <c r="BC660" s="194"/>
      <c r="BD660" s="198"/>
      <c r="BE660" s="197"/>
      <c r="BF660" s="197"/>
      <c r="BG660" s="197"/>
      <c r="BH660" s="197"/>
      <c r="BI660" s="198"/>
      <c r="BJ660" s="197"/>
      <c r="BK660" s="197"/>
      <c r="BL660" s="197"/>
      <c r="BM660" s="197"/>
      <c r="BN660" s="198"/>
      <c r="BO660" s="197"/>
      <c r="BP660" s="197"/>
      <c r="BQ660" s="197"/>
      <c r="BR660" s="197"/>
      <c r="BS660" s="198"/>
      <c r="BT660" s="727"/>
      <c r="BU660" s="197"/>
      <c r="BV660" s="197"/>
      <c r="BW660" s="197"/>
      <c r="BX660" s="1094"/>
      <c r="BY660" s="197"/>
      <c r="BZ660" s="197"/>
      <c r="CA660" s="197"/>
      <c r="CB660" s="197"/>
      <c r="CC660" s="1094"/>
      <c r="CD660" s="1094"/>
      <c r="CE660" s="1094"/>
      <c r="CF660" s="1094"/>
      <c r="CG660" s="349"/>
    </row>
    <row r="661" spans="1:85" s="613" customFormat="1" x14ac:dyDescent="0.3">
      <c r="A661" s="478" t="s">
        <v>1622</v>
      </c>
      <c r="B661" s="523"/>
      <c r="C661" s="78"/>
      <c r="D661" s="78"/>
      <c r="E661" s="78"/>
      <c r="F661" s="78"/>
      <c r="G661" s="774"/>
      <c r="H661" s="774"/>
      <c r="I661" s="774"/>
      <c r="J661" s="774"/>
      <c r="K661" s="78"/>
      <c r="L661" s="774"/>
      <c r="M661" s="774"/>
      <c r="N661" s="774"/>
      <c r="O661" s="774"/>
      <c r="P661" s="78"/>
      <c r="Q661" s="774"/>
      <c r="R661" s="774"/>
      <c r="S661" s="774"/>
      <c r="T661" s="774"/>
      <c r="U661" s="78"/>
      <c r="V661" s="774"/>
      <c r="W661" s="774"/>
      <c r="X661" s="774"/>
      <c r="Y661" s="774"/>
      <c r="Z661" s="78"/>
      <c r="AA661" s="774"/>
      <c r="AB661" s="774"/>
      <c r="AC661" s="774"/>
      <c r="AD661" s="774"/>
      <c r="AE661" s="78"/>
      <c r="AF661" s="774"/>
      <c r="AG661" s="774"/>
      <c r="AH661" s="774"/>
      <c r="AI661" s="774"/>
      <c r="AJ661" s="78"/>
      <c r="AK661" s="774"/>
      <c r="AL661" s="774"/>
      <c r="AM661" s="774"/>
      <c r="AN661" s="774"/>
      <c r="AO661" s="78"/>
      <c r="AP661" s="774"/>
      <c r="AQ661" s="774"/>
      <c r="AR661" s="774"/>
      <c r="AS661" s="774"/>
      <c r="AT661" s="78"/>
      <c r="AU661" s="774"/>
      <c r="AV661" s="774"/>
      <c r="AW661" s="774"/>
      <c r="AX661" s="774"/>
      <c r="AY661" s="78"/>
      <c r="AZ661" s="774"/>
      <c r="BA661" s="774"/>
      <c r="BB661" s="774"/>
      <c r="BC661" s="774"/>
      <c r="BD661" s="1119">
        <v>17.431000000000001</v>
      </c>
      <c r="BE661" s="774"/>
      <c r="BF661" s="774"/>
      <c r="BG661" s="774"/>
      <c r="BH661" s="774"/>
      <c r="BI661" s="1119">
        <v>17.431000000000001</v>
      </c>
      <c r="BJ661" s="774"/>
      <c r="BK661" s="774"/>
      <c r="BL661" s="774"/>
      <c r="BM661" s="774"/>
      <c r="BN661" s="1119">
        <v>17.431000000000001</v>
      </c>
      <c r="BO661" s="774"/>
      <c r="BP661" s="774"/>
      <c r="BQ661" s="774"/>
      <c r="BR661" s="774"/>
      <c r="BS661" s="78"/>
      <c r="BT661" s="775"/>
      <c r="BU661" s="774"/>
      <c r="BV661" s="774"/>
      <c r="BW661" s="774"/>
      <c r="BX661" s="78"/>
      <c r="BY661" s="774"/>
      <c r="BZ661" s="774"/>
      <c r="CA661" s="774"/>
      <c r="CB661" s="774"/>
      <c r="CC661" s="78"/>
      <c r="CD661" s="78"/>
      <c r="CE661" s="78"/>
      <c r="CF661" s="78"/>
      <c r="CG661" s="532"/>
    </row>
    <row r="662" spans="1:85" s="615" customFormat="1" x14ac:dyDescent="0.3">
      <c r="A662" s="522" t="s">
        <v>1621</v>
      </c>
      <c r="B662" s="521"/>
      <c r="C662" s="1122"/>
      <c r="D662" s="1122"/>
      <c r="E662" s="1122"/>
      <c r="F662" s="1122"/>
      <c r="G662" s="520"/>
      <c r="H662" s="520"/>
      <c r="I662" s="520"/>
      <c r="J662" s="520"/>
      <c r="K662" s="1122"/>
      <c r="L662" s="520"/>
      <c r="M662" s="520"/>
      <c r="N662" s="520"/>
      <c r="O662" s="520"/>
      <c r="P662" s="1122"/>
      <c r="Q662" s="520"/>
      <c r="R662" s="520"/>
      <c r="S662" s="520"/>
      <c r="T662" s="520"/>
      <c r="U662" s="1122"/>
      <c r="V662" s="520"/>
      <c r="W662" s="520"/>
      <c r="X662" s="520"/>
      <c r="Y662" s="520"/>
      <c r="Z662" s="1122"/>
      <c r="AA662" s="520"/>
      <c r="AB662" s="520"/>
      <c r="AC662" s="520"/>
      <c r="AD662" s="520"/>
      <c r="AE662" s="1122"/>
      <c r="AF662" s="520"/>
      <c r="AG662" s="520"/>
      <c r="AH662" s="520"/>
      <c r="AI662" s="520"/>
      <c r="AJ662" s="1122"/>
      <c r="AK662" s="520"/>
      <c r="AL662" s="520"/>
      <c r="AM662" s="520"/>
      <c r="AN662" s="520"/>
      <c r="AO662" s="1122"/>
      <c r="AP662" s="520"/>
      <c r="AQ662" s="520"/>
      <c r="AR662" s="520"/>
      <c r="AS662" s="520"/>
      <c r="AT662" s="1124"/>
      <c r="AU662" s="526"/>
      <c r="AV662" s="526"/>
      <c r="AW662" s="526"/>
      <c r="AX662" s="526"/>
      <c r="AY662" s="1124"/>
      <c r="AZ662" s="526"/>
      <c r="BA662" s="526"/>
      <c r="BB662" s="526"/>
      <c r="BC662" s="526"/>
      <c r="BD662" s="1123">
        <v>239.04</v>
      </c>
      <c r="BE662" s="520"/>
      <c r="BF662" s="520"/>
      <c r="BG662" s="520"/>
      <c r="BH662" s="520"/>
      <c r="BI662" s="1123">
        <v>239.04</v>
      </c>
      <c r="BJ662" s="520"/>
      <c r="BK662" s="520"/>
      <c r="BL662" s="520"/>
      <c r="BM662" s="520"/>
      <c r="BN662" s="1123">
        <v>239.04</v>
      </c>
      <c r="BO662" s="520"/>
      <c r="BP662" s="520"/>
      <c r="BQ662" s="520"/>
      <c r="BR662" s="520"/>
      <c r="BS662" s="1124"/>
      <c r="BT662" s="728"/>
      <c r="BU662" s="520"/>
      <c r="BV662" s="520"/>
      <c r="BW662" s="520"/>
      <c r="BX662" s="1122"/>
      <c r="BY662" s="520"/>
      <c r="BZ662" s="520"/>
      <c r="CA662" s="520"/>
      <c r="CB662" s="520"/>
      <c r="CC662" s="1122"/>
      <c r="CD662" s="1122"/>
      <c r="CE662" s="1122"/>
      <c r="CF662" s="1122"/>
      <c r="CG662" s="519"/>
    </row>
    <row r="663" spans="1:85" s="614" customFormat="1" x14ac:dyDescent="0.3">
      <c r="A663" s="522"/>
      <c r="B663" s="352"/>
      <c r="C663" s="1094"/>
      <c r="D663" s="1094"/>
      <c r="E663" s="1094"/>
      <c r="F663" s="1094"/>
      <c r="G663" s="197"/>
      <c r="H663" s="197"/>
      <c r="I663" s="197"/>
      <c r="J663" s="197"/>
      <c r="K663" s="1094"/>
      <c r="L663" s="197"/>
      <c r="M663" s="197"/>
      <c r="N663" s="197"/>
      <c r="O663" s="197"/>
      <c r="P663" s="1094"/>
      <c r="Q663" s="197"/>
      <c r="R663" s="197"/>
      <c r="S663" s="197"/>
      <c r="T663" s="197"/>
      <c r="U663" s="1094"/>
      <c r="V663" s="197"/>
      <c r="W663" s="197"/>
      <c r="X663" s="197"/>
      <c r="Y663" s="197"/>
      <c r="Z663" s="1094"/>
      <c r="AA663" s="197"/>
      <c r="AB663" s="197"/>
      <c r="AC663" s="197"/>
      <c r="AD663" s="197"/>
      <c r="AE663" s="1094"/>
      <c r="AF663" s="197"/>
      <c r="AG663" s="197"/>
      <c r="AH663" s="197"/>
      <c r="AI663" s="197"/>
      <c r="AJ663" s="1094"/>
      <c r="AK663" s="197"/>
      <c r="AL663" s="197"/>
      <c r="AM663" s="197"/>
      <c r="AN663" s="197"/>
      <c r="AO663" s="1094"/>
      <c r="AP663" s="197"/>
      <c r="AQ663" s="197"/>
      <c r="AR663" s="197"/>
      <c r="AS663" s="197"/>
      <c r="AT663" s="198"/>
      <c r="AU663" s="194"/>
      <c r="AV663" s="194"/>
      <c r="AW663" s="194"/>
      <c r="AX663" s="194"/>
      <c r="AY663" s="198"/>
      <c r="AZ663" s="194"/>
      <c r="BA663" s="194"/>
      <c r="BB663" s="194"/>
      <c r="BC663" s="194"/>
      <c r="BD663" s="198"/>
      <c r="BE663" s="197"/>
      <c r="BF663" s="197"/>
      <c r="BG663" s="197"/>
      <c r="BH663" s="197"/>
      <c r="BI663" s="198"/>
      <c r="BJ663" s="197"/>
      <c r="BK663" s="197"/>
      <c r="BL663" s="197"/>
      <c r="BM663" s="197"/>
      <c r="BN663" s="198"/>
      <c r="BO663" s="197"/>
      <c r="BP663" s="197"/>
      <c r="BQ663" s="197"/>
      <c r="BR663" s="197"/>
      <c r="BS663" s="198"/>
      <c r="BT663" s="727"/>
      <c r="BU663" s="197"/>
      <c r="BV663" s="197"/>
      <c r="BW663" s="197"/>
      <c r="BX663" s="1094"/>
      <c r="BY663" s="197"/>
      <c r="BZ663" s="197"/>
      <c r="CA663" s="197"/>
      <c r="CB663" s="197"/>
      <c r="CC663" s="1094"/>
      <c r="CD663" s="1094"/>
      <c r="CE663" s="1094"/>
      <c r="CF663" s="1094"/>
      <c r="CG663" s="349"/>
    </row>
    <row r="664" spans="1:85" s="613" customFormat="1" x14ac:dyDescent="0.3">
      <c r="A664" s="478" t="s">
        <v>1620</v>
      </c>
      <c r="B664" s="523"/>
      <c r="C664" s="78"/>
      <c r="D664" s="78"/>
      <c r="E664" s="78"/>
      <c r="F664" s="78"/>
      <c r="G664" s="774"/>
      <c r="H664" s="774"/>
      <c r="I664" s="774"/>
      <c r="J664" s="774"/>
      <c r="K664" s="78"/>
      <c r="L664" s="774"/>
      <c r="M664" s="774"/>
      <c r="N664" s="774"/>
      <c r="O664" s="774"/>
      <c r="P664" s="78"/>
      <c r="Q664" s="774"/>
      <c r="R664" s="774"/>
      <c r="S664" s="774"/>
      <c r="T664" s="774"/>
      <c r="U664" s="78"/>
      <c r="V664" s="774"/>
      <c r="W664" s="774"/>
      <c r="X664" s="774"/>
      <c r="Y664" s="774"/>
      <c r="Z664" s="78"/>
      <c r="AA664" s="774"/>
      <c r="AB664" s="774"/>
      <c r="AC664" s="774"/>
      <c r="AD664" s="774"/>
      <c r="AE664" s="78"/>
      <c r="AF664" s="774"/>
      <c r="AG664" s="774"/>
      <c r="AH664" s="774"/>
      <c r="AI664" s="774"/>
      <c r="AJ664" s="78"/>
      <c r="AK664" s="774"/>
      <c r="AL664" s="774"/>
      <c r="AM664" s="774"/>
      <c r="AN664" s="774"/>
      <c r="AO664" s="78"/>
      <c r="AP664" s="774"/>
      <c r="AQ664" s="774"/>
      <c r="AR664" s="774"/>
      <c r="AS664" s="774"/>
      <c r="AT664" s="78"/>
      <c r="AU664" s="774"/>
      <c r="AV664" s="774"/>
      <c r="AW664" s="774"/>
      <c r="AX664" s="774"/>
      <c r="AY664" s="78"/>
      <c r="AZ664" s="774"/>
      <c r="BA664" s="774"/>
      <c r="BB664" s="774"/>
      <c r="BC664" s="774"/>
      <c r="BD664" s="1119">
        <v>14.53</v>
      </c>
      <c r="BE664" s="774"/>
      <c r="BF664" s="774"/>
      <c r="BG664" s="774"/>
      <c r="BH664" s="774"/>
      <c r="BI664" s="1119">
        <v>14.53</v>
      </c>
      <c r="BJ664" s="774"/>
      <c r="BK664" s="774"/>
      <c r="BL664" s="774"/>
      <c r="BM664" s="774"/>
      <c r="BN664" s="1119">
        <v>14.53</v>
      </c>
      <c r="BO664" s="774"/>
      <c r="BP664" s="774"/>
      <c r="BQ664" s="774"/>
      <c r="BR664" s="774"/>
      <c r="BS664" s="78"/>
      <c r="BT664" s="775"/>
      <c r="BU664" s="774"/>
      <c r="BV664" s="774"/>
      <c r="BW664" s="774"/>
      <c r="BX664" s="78"/>
      <c r="BY664" s="774"/>
      <c r="BZ664" s="774"/>
      <c r="CA664" s="774"/>
      <c r="CB664" s="774"/>
      <c r="CC664" s="78"/>
      <c r="CD664" s="78"/>
      <c r="CE664" s="78"/>
      <c r="CF664" s="78"/>
      <c r="CG664" s="532"/>
    </row>
    <row r="665" spans="1:85" s="615" customFormat="1" x14ac:dyDescent="0.3">
      <c r="A665" s="522" t="s">
        <v>1619</v>
      </c>
      <c r="B665" s="521"/>
      <c r="C665" s="1122"/>
      <c r="D665" s="1122"/>
      <c r="E665" s="1122"/>
      <c r="F665" s="1122"/>
      <c r="G665" s="520"/>
      <c r="H665" s="520"/>
      <c r="I665" s="520"/>
      <c r="J665" s="520"/>
      <c r="K665" s="1122"/>
      <c r="L665" s="520"/>
      <c r="M665" s="520"/>
      <c r="N665" s="520"/>
      <c r="O665" s="520"/>
      <c r="P665" s="1122"/>
      <c r="Q665" s="520"/>
      <c r="R665" s="520"/>
      <c r="S665" s="520"/>
      <c r="T665" s="520"/>
      <c r="U665" s="1122"/>
      <c r="V665" s="520"/>
      <c r="W665" s="520"/>
      <c r="X665" s="520"/>
      <c r="Y665" s="520"/>
      <c r="Z665" s="1122"/>
      <c r="AA665" s="520"/>
      <c r="AB665" s="520"/>
      <c r="AC665" s="520"/>
      <c r="AD665" s="520"/>
      <c r="AE665" s="1122"/>
      <c r="AF665" s="520"/>
      <c r="AG665" s="520"/>
      <c r="AH665" s="520"/>
      <c r="AI665" s="520"/>
      <c r="AJ665" s="1122"/>
      <c r="AK665" s="520"/>
      <c r="AL665" s="520"/>
      <c r="AM665" s="520"/>
      <c r="AN665" s="520"/>
      <c r="AO665" s="1122"/>
      <c r="AP665" s="520"/>
      <c r="AQ665" s="520"/>
      <c r="AR665" s="520"/>
      <c r="AS665" s="520"/>
      <c r="AT665" s="1124"/>
      <c r="AU665" s="526"/>
      <c r="AV665" s="526"/>
      <c r="AW665" s="526"/>
      <c r="AX665" s="526"/>
      <c r="AY665" s="1124"/>
      <c r="AZ665" s="526"/>
      <c r="BA665" s="526"/>
      <c r="BB665" s="526"/>
      <c r="BC665" s="526"/>
      <c r="BD665" s="1123">
        <v>286.75</v>
      </c>
      <c r="BE665" s="520"/>
      <c r="BF665" s="520"/>
      <c r="BG665" s="520"/>
      <c r="BH665" s="520"/>
      <c r="BI665" s="1123">
        <v>286.75</v>
      </c>
      <c r="BJ665" s="520"/>
      <c r="BK665" s="520"/>
      <c r="BL665" s="520"/>
      <c r="BM665" s="520"/>
      <c r="BN665" s="1123">
        <v>286.75</v>
      </c>
      <c r="BO665" s="520"/>
      <c r="BP665" s="520"/>
      <c r="BQ665" s="520"/>
      <c r="BR665" s="520"/>
      <c r="BS665" s="1124"/>
      <c r="BT665" s="728"/>
      <c r="BU665" s="520"/>
      <c r="BV665" s="520"/>
      <c r="BW665" s="520"/>
      <c r="BX665" s="1122"/>
      <c r="BY665" s="520"/>
      <c r="BZ665" s="520"/>
      <c r="CA665" s="520"/>
      <c r="CB665" s="520"/>
      <c r="CC665" s="1122"/>
      <c r="CD665" s="1122"/>
      <c r="CE665" s="1122"/>
      <c r="CF665" s="1122"/>
      <c r="CG665" s="519"/>
    </row>
    <row r="666" spans="1:85" s="614" customFormat="1" x14ac:dyDescent="0.3">
      <c r="A666" s="522"/>
      <c r="B666" s="352"/>
      <c r="C666" s="1094"/>
      <c r="D666" s="1094"/>
      <c r="E666" s="1094"/>
      <c r="F666" s="1094"/>
      <c r="G666" s="197"/>
      <c r="H666" s="197"/>
      <c r="I666" s="197"/>
      <c r="J666" s="197"/>
      <c r="K666" s="1094"/>
      <c r="L666" s="197"/>
      <c r="M666" s="197"/>
      <c r="N666" s="197"/>
      <c r="O666" s="197"/>
      <c r="P666" s="1094"/>
      <c r="Q666" s="197"/>
      <c r="R666" s="197"/>
      <c r="S666" s="197"/>
      <c r="T666" s="197"/>
      <c r="U666" s="1094"/>
      <c r="V666" s="197"/>
      <c r="W666" s="197"/>
      <c r="X666" s="197"/>
      <c r="Y666" s="197"/>
      <c r="Z666" s="1094"/>
      <c r="AA666" s="197"/>
      <c r="AB666" s="197"/>
      <c r="AC666" s="197"/>
      <c r="AD666" s="197"/>
      <c r="AE666" s="1094"/>
      <c r="AF666" s="197"/>
      <c r="AG666" s="197"/>
      <c r="AH666" s="197"/>
      <c r="AI666" s="197"/>
      <c r="AJ666" s="1094"/>
      <c r="AK666" s="197"/>
      <c r="AL666" s="197"/>
      <c r="AM666" s="197"/>
      <c r="AN666" s="197"/>
      <c r="AO666" s="1094"/>
      <c r="AP666" s="197"/>
      <c r="AQ666" s="197"/>
      <c r="AR666" s="197"/>
      <c r="AS666" s="197"/>
      <c r="AT666" s="198"/>
      <c r="AU666" s="194"/>
      <c r="AV666" s="194"/>
      <c r="AW666" s="194"/>
      <c r="AX666" s="194"/>
      <c r="AY666" s="198"/>
      <c r="AZ666" s="194"/>
      <c r="BA666" s="194"/>
      <c r="BB666" s="194"/>
      <c r="BC666" s="194"/>
      <c r="BD666" s="198"/>
      <c r="BE666" s="197"/>
      <c r="BF666" s="197"/>
      <c r="BG666" s="197"/>
      <c r="BH666" s="197"/>
      <c r="BI666" s="198"/>
      <c r="BJ666" s="197"/>
      <c r="BK666" s="197"/>
      <c r="BL666" s="197"/>
      <c r="BM666" s="197"/>
      <c r="BN666" s="198"/>
      <c r="BO666" s="197"/>
      <c r="BP666" s="197"/>
      <c r="BQ666" s="197"/>
      <c r="BR666" s="197"/>
      <c r="BS666" s="198"/>
      <c r="BT666" s="727"/>
      <c r="BU666" s="197"/>
      <c r="BV666" s="197"/>
      <c r="BW666" s="197"/>
      <c r="BX666" s="1094"/>
      <c r="BY666" s="197"/>
      <c r="BZ666" s="197"/>
      <c r="CA666" s="197"/>
      <c r="CB666" s="197"/>
      <c r="CC666" s="1094"/>
      <c r="CD666" s="1094"/>
      <c r="CE666" s="1094"/>
      <c r="CF666" s="1094"/>
      <c r="CG666" s="349"/>
    </row>
    <row r="667" spans="1:85" s="613" customFormat="1" x14ac:dyDescent="0.3">
      <c r="A667" s="478" t="s">
        <v>1618</v>
      </c>
      <c r="B667" s="523"/>
      <c r="C667" s="78"/>
      <c r="D667" s="78"/>
      <c r="E667" s="78"/>
      <c r="F667" s="78"/>
      <c r="G667" s="774"/>
      <c r="H667" s="774"/>
      <c r="I667" s="774"/>
      <c r="J667" s="774"/>
      <c r="K667" s="78"/>
      <c r="L667" s="774"/>
      <c r="M667" s="774"/>
      <c r="N667" s="774"/>
      <c r="O667" s="774"/>
      <c r="P667" s="78"/>
      <c r="Q667" s="774"/>
      <c r="R667" s="774"/>
      <c r="S667" s="774"/>
      <c r="T667" s="774"/>
      <c r="U667" s="78"/>
      <c r="V667" s="774"/>
      <c r="W667" s="774"/>
      <c r="X667" s="774"/>
      <c r="Y667" s="774"/>
      <c r="Z667" s="78"/>
      <c r="AA667" s="774"/>
      <c r="AB667" s="774"/>
      <c r="AC667" s="774"/>
      <c r="AD667" s="774"/>
      <c r="AE667" s="78"/>
      <c r="AF667" s="774"/>
      <c r="AG667" s="774"/>
      <c r="AH667" s="774"/>
      <c r="AI667" s="774"/>
      <c r="AJ667" s="78"/>
      <c r="AK667" s="774"/>
      <c r="AL667" s="774"/>
      <c r="AM667" s="774"/>
      <c r="AN667" s="774"/>
      <c r="AO667" s="78"/>
      <c r="AP667" s="774"/>
      <c r="AQ667" s="774"/>
      <c r="AR667" s="774"/>
      <c r="AS667" s="774"/>
      <c r="AT667" s="78"/>
      <c r="AU667" s="774"/>
      <c r="AV667" s="774"/>
      <c r="AW667" s="774"/>
      <c r="AX667" s="774"/>
      <c r="AY667" s="78"/>
      <c r="AZ667" s="774"/>
      <c r="BA667" s="774"/>
      <c r="BB667" s="774"/>
      <c r="BC667" s="774"/>
      <c r="BD667" s="1119">
        <v>13.146000000000001</v>
      </c>
      <c r="BE667" s="774"/>
      <c r="BF667" s="774"/>
      <c r="BG667" s="774"/>
      <c r="BH667" s="774"/>
      <c r="BI667" s="1119">
        <v>13.146000000000001</v>
      </c>
      <c r="BJ667" s="774"/>
      <c r="BK667" s="774"/>
      <c r="BL667" s="774"/>
      <c r="BM667" s="774"/>
      <c r="BN667" s="1119">
        <v>13.146000000000001</v>
      </c>
      <c r="BO667" s="774"/>
      <c r="BP667" s="774"/>
      <c r="BQ667" s="774"/>
      <c r="BR667" s="774"/>
      <c r="BS667" s="78"/>
      <c r="BT667" s="775"/>
      <c r="BU667" s="774"/>
      <c r="BV667" s="774"/>
      <c r="BW667" s="774"/>
      <c r="BX667" s="78"/>
      <c r="BY667" s="774"/>
      <c r="BZ667" s="774"/>
      <c r="CA667" s="774"/>
      <c r="CB667" s="774"/>
      <c r="CC667" s="78"/>
      <c r="CD667" s="78"/>
      <c r="CE667" s="78"/>
      <c r="CF667" s="78"/>
      <c r="CG667" s="532"/>
    </row>
    <row r="668" spans="1:85" s="615" customFormat="1" x14ac:dyDescent="0.3">
      <c r="A668" s="522" t="s">
        <v>1617</v>
      </c>
      <c r="B668" s="521"/>
      <c r="C668" s="1122"/>
      <c r="D668" s="1122"/>
      <c r="E668" s="1122"/>
      <c r="F668" s="1122"/>
      <c r="G668" s="520"/>
      <c r="H668" s="520"/>
      <c r="I668" s="520"/>
      <c r="J668" s="520"/>
      <c r="K668" s="1122"/>
      <c r="L668" s="520"/>
      <c r="M668" s="520"/>
      <c r="N668" s="520"/>
      <c r="O668" s="520"/>
      <c r="P668" s="1122"/>
      <c r="Q668" s="520"/>
      <c r="R668" s="520"/>
      <c r="S668" s="520"/>
      <c r="T668" s="520"/>
      <c r="U668" s="1122"/>
      <c r="V668" s="520"/>
      <c r="W668" s="520"/>
      <c r="X668" s="520"/>
      <c r="Y668" s="520"/>
      <c r="Z668" s="1122"/>
      <c r="AA668" s="520"/>
      <c r="AB668" s="520"/>
      <c r="AC668" s="520"/>
      <c r="AD668" s="520"/>
      <c r="AE668" s="1122"/>
      <c r="AF668" s="520"/>
      <c r="AG668" s="520"/>
      <c r="AH668" s="520"/>
      <c r="AI668" s="520"/>
      <c r="AJ668" s="1122"/>
      <c r="AK668" s="520"/>
      <c r="AL668" s="520"/>
      <c r="AM668" s="520"/>
      <c r="AN668" s="520"/>
      <c r="AO668" s="1122"/>
      <c r="AP668" s="520"/>
      <c r="AQ668" s="520"/>
      <c r="AR668" s="520"/>
      <c r="AS668" s="520"/>
      <c r="AT668" s="1124"/>
      <c r="AU668" s="526"/>
      <c r="AV668" s="526"/>
      <c r="AW668" s="526"/>
      <c r="AX668" s="526"/>
      <c r="AY668" s="1124"/>
      <c r="AZ668" s="526"/>
      <c r="BA668" s="526"/>
      <c r="BB668" s="526"/>
      <c r="BC668" s="526"/>
      <c r="BD668" s="1123">
        <v>316.95</v>
      </c>
      <c r="BE668" s="520"/>
      <c r="BF668" s="520"/>
      <c r="BG668" s="520"/>
      <c r="BH668" s="520"/>
      <c r="BI668" s="1123">
        <v>316.95</v>
      </c>
      <c r="BJ668" s="520"/>
      <c r="BK668" s="520"/>
      <c r="BL668" s="520"/>
      <c r="BM668" s="520"/>
      <c r="BN668" s="1123">
        <v>316.95</v>
      </c>
      <c r="BO668" s="520"/>
      <c r="BP668" s="520"/>
      <c r="BQ668" s="520"/>
      <c r="BR668" s="520"/>
      <c r="BS668" s="1124"/>
      <c r="BT668" s="728"/>
      <c r="BU668" s="520"/>
      <c r="BV668" s="520"/>
      <c r="BW668" s="520"/>
      <c r="BX668" s="1122"/>
      <c r="BY668" s="520"/>
      <c r="BZ668" s="520"/>
      <c r="CA668" s="520"/>
      <c r="CB668" s="520"/>
      <c r="CC668" s="1122"/>
      <c r="CD668" s="1122"/>
      <c r="CE668" s="1122"/>
      <c r="CF668" s="1122"/>
      <c r="CG668" s="519"/>
    </row>
    <row r="669" spans="1:85" s="615" customFormat="1" x14ac:dyDescent="0.3">
      <c r="A669" s="522"/>
      <c r="B669" s="521"/>
      <c r="C669" s="1122"/>
      <c r="D669" s="1122"/>
      <c r="E669" s="1122"/>
      <c r="F669" s="1122"/>
      <c r="G669" s="520"/>
      <c r="H669" s="520"/>
      <c r="I669" s="520"/>
      <c r="J669" s="520"/>
      <c r="K669" s="1122"/>
      <c r="L669" s="520"/>
      <c r="M669" s="520"/>
      <c r="N669" s="520"/>
      <c r="O669" s="520"/>
      <c r="P669" s="1122"/>
      <c r="Q669" s="520"/>
      <c r="R669" s="520"/>
      <c r="S669" s="520"/>
      <c r="T669" s="520"/>
      <c r="U669" s="1122"/>
      <c r="V669" s="520"/>
      <c r="W669" s="520"/>
      <c r="X669" s="520"/>
      <c r="Y669" s="520"/>
      <c r="Z669" s="1122"/>
      <c r="AA669" s="520"/>
      <c r="AB669" s="520"/>
      <c r="AC669" s="520"/>
      <c r="AD669" s="520"/>
      <c r="AE669" s="1122"/>
      <c r="AF669" s="520"/>
      <c r="AG669" s="520"/>
      <c r="AH669" s="520"/>
      <c r="AI669" s="520"/>
      <c r="AJ669" s="1122"/>
      <c r="AK669" s="520"/>
      <c r="AL669" s="520"/>
      <c r="AM669" s="520"/>
      <c r="AN669" s="520"/>
      <c r="AO669" s="1122"/>
      <c r="AP669" s="520"/>
      <c r="AQ669" s="520"/>
      <c r="AR669" s="520"/>
      <c r="AS669" s="520"/>
      <c r="AT669" s="1124"/>
      <c r="AU669" s="526"/>
      <c r="AV669" s="526"/>
      <c r="AW669" s="526"/>
      <c r="AX669" s="526"/>
      <c r="AY669" s="1124"/>
      <c r="AZ669" s="526"/>
      <c r="BA669" s="526"/>
      <c r="BB669" s="526"/>
      <c r="BC669" s="526"/>
      <c r="BD669" s="1124"/>
      <c r="BE669" s="520"/>
      <c r="BF669" s="520"/>
      <c r="BG669" s="520"/>
      <c r="BH669" s="520"/>
      <c r="BI669" s="1124"/>
      <c r="BJ669" s="520"/>
      <c r="BK669" s="520"/>
      <c r="BL669" s="520"/>
      <c r="BM669" s="520"/>
      <c r="BN669" s="1124"/>
      <c r="BO669" s="520"/>
      <c r="BP669" s="520"/>
      <c r="BQ669" s="520"/>
      <c r="BR669" s="520"/>
      <c r="BS669" s="1124"/>
      <c r="BT669" s="728"/>
      <c r="BU669" s="520"/>
      <c r="BV669" s="520"/>
      <c r="BW669" s="520"/>
      <c r="BX669" s="1122"/>
      <c r="BY669" s="520"/>
      <c r="BZ669" s="520"/>
      <c r="CA669" s="520"/>
      <c r="CB669" s="520"/>
      <c r="CC669" s="1122"/>
      <c r="CD669" s="1122"/>
      <c r="CE669" s="1122"/>
      <c r="CF669" s="1122"/>
      <c r="CG669" s="519"/>
    </row>
    <row r="670" spans="1:85" s="613" customFormat="1" x14ac:dyDescent="0.3">
      <c r="A670" s="478" t="s">
        <v>2027</v>
      </c>
      <c r="B670" s="523"/>
      <c r="C670" s="78"/>
      <c r="D670" s="78"/>
      <c r="E670" s="78"/>
      <c r="F670" s="78"/>
      <c r="G670" s="774"/>
      <c r="H670" s="774"/>
      <c r="I670" s="774"/>
      <c r="J670" s="774"/>
      <c r="K670" s="78"/>
      <c r="L670" s="774"/>
      <c r="M670" s="774"/>
      <c r="N670" s="774"/>
      <c r="O670" s="774"/>
      <c r="P670" s="78"/>
      <c r="Q670" s="774"/>
      <c r="R670" s="774"/>
      <c r="S670" s="774"/>
      <c r="T670" s="774"/>
      <c r="U670" s="78"/>
      <c r="V670" s="774"/>
      <c r="W670" s="774"/>
      <c r="X670" s="774"/>
      <c r="Y670" s="774"/>
      <c r="Z670" s="78"/>
      <c r="AA670" s="774"/>
      <c r="AB670" s="774"/>
      <c r="AC670" s="774"/>
      <c r="AD670" s="774"/>
      <c r="AE670" s="78"/>
      <c r="AF670" s="774"/>
      <c r="AG670" s="774"/>
      <c r="AH670" s="774"/>
      <c r="AI670" s="774"/>
      <c r="AJ670" s="78"/>
      <c r="AK670" s="774"/>
      <c r="AL670" s="774"/>
      <c r="AM670" s="774"/>
      <c r="AN670" s="774"/>
      <c r="AO670" s="78"/>
      <c r="AP670" s="774"/>
      <c r="AQ670" s="774"/>
      <c r="AR670" s="774"/>
      <c r="AS670" s="774"/>
      <c r="AT670" s="78"/>
      <c r="AU670" s="774"/>
      <c r="AV670" s="774"/>
      <c r="AW670" s="774"/>
      <c r="AX670" s="774"/>
      <c r="AY670" s="78"/>
      <c r="AZ670" s="774"/>
      <c r="BA670" s="774"/>
      <c r="BB670" s="774"/>
      <c r="BC670" s="774"/>
      <c r="BD670" s="78"/>
      <c r="BE670" s="774"/>
      <c r="BF670" s="774"/>
      <c r="BG670" s="774"/>
      <c r="BH670" s="774"/>
      <c r="BI670" s="1119">
        <v>14.127000000000001</v>
      </c>
      <c r="BJ670" s="774"/>
      <c r="BK670" s="774"/>
      <c r="BL670" s="774"/>
      <c r="BM670" s="774"/>
      <c r="BN670" s="1119">
        <v>14.127000000000001</v>
      </c>
      <c r="BO670" s="774"/>
      <c r="BP670" s="774"/>
      <c r="BQ670" s="774"/>
      <c r="BR670" s="774"/>
      <c r="BS670" s="78"/>
      <c r="BT670" s="775"/>
      <c r="BU670" s="774"/>
      <c r="BV670" s="774"/>
      <c r="BW670" s="774"/>
      <c r="BX670" s="78"/>
      <c r="BY670" s="774"/>
      <c r="BZ670" s="774"/>
      <c r="CA670" s="774"/>
      <c r="CB670" s="774"/>
      <c r="CC670" s="78"/>
      <c r="CD670" s="78"/>
      <c r="CE670" s="78"/>
      <c r="CF670" s="78"/>
      <c r="CG670" s="532"/>
    </row>
    <row r="671" spans="1:85" s="615" customFormat="1" x14ac:dyDescent="0.3">
      <c r="A671" s="522" t="s">
        <v>2028</v>
      </c>
      <c r="B671" s="521"/>
      <c r="C671" s="1122"/>
      <c r="D671" s="1122"/>
      <c r="E671" s="1122"/>
      <c r="F671" s="1122"/>
      <c r="G671" s="520"/>
      <c r="H671" s="520"/>
      <c r="I671" s="520"/>
      <c r="J671" s="520"/>
      <c r="K671" s="1122"/>
      <c r="L671" s="520"/>
      <c r="M671" s="520"/>
      <c r="N671" s="520"/>
      <c r="O671" s="520"/>
      <c r="P671" s="1122"/>
      <c r="Q671" s="520"/>
      <c r="R671" s="520"/>
      <c r="S671" s="520"/>
      <c r="T671" s="520"/>
      <c r="U671" s="1122"/>
      <c r="V671" s="520"/>
      <c r="W671" s="520"/>
      <c r="X671" s="520"/>
      <c r="Y671" s="520"/>
      <c r="Z671" s="1122"/>
      <c r="AA671" s="520"/>
      <c r="AB671" s="520"/>
      <c r="AC671" s="520"/>
      <c r="AD671" s="520"/>
      <c r="AE671" s="1122"/>
      <c r="AF671" s="520"/>
      <c r="AG671" s="520"/>
      <c r="AH671" s="520"/>
      <c r="AI671" s="520"/>
      <c r="AJ671" s="1122"/>
      <c r="AK671" s="520"/>
      <c r="AL671" s="520"/>
      <c r="AM671" s="520"/>
      <c r="AN671" s="520"/>
      <c r="AO671" s="1122"/>
      <c r="AP671" s="520"/>
      <c r="AQ671" s="520"/>
      <c r="AR671" s="520"/>
      <c r="AS671" s="520"/>
      <c r="AT671" s="1124"/>
      <c r="AU671" s="526"/>
      <c r="AV671" s="526"/>
      <c r="AW671" s="526"/>
      <c r="AX671" s="526"/>
      <c r="AY671" s="1124"/>
      <c r="AZ671" s="526"/>
      <c r="BA671" s="526"/>
      <c r="BB671" s="526"/>
      <c r="BC671" s="526"/>
      <c r="BD671" s="1124"/>
      <c r="BE671" s="520"/>
      <c r="BF671" s="520"/>
      <c r="BG671" s="520"/>
      <c r="BH671" s="520"/>
      <c r="BI671" s="1123">
        <v>294.95</v>
      </c>
      <c r="BJ671" s="520"/>
      <c r="BK671" s="520"/>
      <c r="BL671" s="520"/>
      <c r="BM671" s="520"/>
      <c r="BN671" s="1123">
        <v>294.95</v>
      </c>
      <c r="BO671" s="520"/>
      <c r="BP671" s="520"/>
      <c r="BQ671" s="520"/>
      <c r="BR671" s="520"/>
      <c r="BS671" s="1124"/>
      <c r="BT671" s="728"/>
      <c r="BU671" s="520"/>
      <c r="BV671" s="520"/>
      <c r="BW671" s="520"/>
      <c r="BX671" s="1122"/>
      <c r="BY671" s="520"/>
      <c r="BZ671" s="520"/>
      <c r="CA671" s="520"/>
      <c r="CB671" s="520"/>
      <c r="CC671" s="1122"/>
      <c r="CD671" s="1122"/>
      <c r="CE671" s="1122"/>
      <c r="CF671" s="1122"/>
      <c r="CG671" s="519"/>
    </row>
    <row r="672" spans="1:85" s="615" customFormat="1" x14ac:dyDescent="0.3">
      <c r="A672" s="522"/>
      <c r="B672" s="521"/>
      <c r="C672" s="1122"/>
      <c r="D672" s="1122"/>
      <c r="E672" s="1122"/>
      <c r="F672" s="1122"/>
      <c r="G672" s="520"/>
      <c r="H672" s="520"/>
      <c r="I672" s="520"/>
      <c r="J672" s="520"/>
      <c r="K672" s="1122"/>
      <c r="L672" s="520"/>
      <c r="M672" s="520"/>
      <c r="N672" s="520"/>
      <c r="O672" s="520"/>
      <c r="P672" s="1122"/>
      <c r="Q672" s="520"/>
      <c r="R672" s="520"/>
      <c r="S672" s="520"/>
      <c r="T672" s="520"/>
      <c r="U672" s="1122"/>
      <c r="V672" s="520"/>
      <c r="W672" s="520"/>
      <c r="X672" s="520"/>
      <c r="Y672" s="520"/>
      <c r="Z672" s="1122"/>
      <c r="AA672" s="520"/>
      <c r="AB672" s="520"/>
      <c r="AC672" s="520"/>
      <c r="AD672" s="520"/>
      <c r="AE672" s="1122"/>
      <c r="AF672" s="520"/>
      <c r="AG672" s="520"/>
      <c r="AH672" s="520"/>
      <c r="AI672" s="520"/>
      <c r="AJ672" s="1122"/>
      <c r="AK672" s="520"/>
      <c r="AL672" s="520"/>
      <c r="AM672" s="520"/>
      <c r="AN672" s="520"/>
      <c r="AO672" s="1122"/>
      <c r="AP672" s="520"/>
      <c r="AQ672" s="520"/>
      <c r="AR672" s="520"/>
      <c r="AS672" s="520"/>
      <c r="AT672" s="1124"/>
      <c r="AU672" s="526"/>
      <c r="AV672" s="526"/>
      <c r="AW672" s="526"/>
      <c r="AX672" s="526"/>
      <c r="AY672" s="1124"/>
      <c r="AZ672" s="526"/>
      <c r="BA672" s="526"/>
      <c r="BB672" s="526"/>
      <c r="BC672" s="526"/>
      <c r="BD672" s="1124"/>
      <c r="BE672" s="520"/>
      <c r="BF672" s="520"/>
      <c r="BG672" s="520"/>
      <c r="BH672" s="520"/>
      <c r="BI672" s="1124"/>
      <c r="BJ672" s="520"/>
      <c r="BK672" s="520"/>
      <c r="BL672" s="520"/>
      <c r="BM672" s="520"/>
      <c r="BN672" s="1124"/>
      <c r="BO672" s="520"/>
      <c r="BP672" s="520"/>
      <c r="BQ672" s="520"/>
      <c r="BR672" s="520"/>
      <c r="BS672" s="1124"/>
      <c r="BT672" s="728"/>
      <c r="BU672" s="520"/>
      <c r="BV672" s="520"/>
      <c r="BW672" s="520"/>
      <c r="BX672" s="1122"/>
      <c r="BY672" s="520"/>
      <c r="BZ672" s="520"/>
      <c r="CA672" s="520"/>
      <c r="CB672" s="520"/>
      <c r="CC672" s="1122"/>
      <c r="CD672" s="1122"/>
      <c r="CE672" s="1122"/>
      <c r="CF672" s="1122"/>
      <c r="CG672" s="519"/>
    </row>
    <row r="673" spans="1:85" s="612" customFormat="1" x14ac:dyDescent="0.3">
      <c r="A673" s="478" t="s">
        <v>2409</v>
      </c>
      <c r="B673" s="514"/>
      <c r="C673" s="1097"/>
      <c r="D673" s="1097"/>
      <c r="E673" s="1097"/>
      <c r="F673" s="1097"/>
      <c r="G673" s="772"/>
      <c r="H673" s="772"/>
      <c r="I673" s="772"/>
      <c r="J673" s="772"/>
      <c r="K673" s="1097"/>
      <c r="L673" s="772"/>
      <c r="M673" s="772"/>
      <c r="N673" s="772"/>
      <c r="O673" s="772"/>
      <c r="P673" s="1097"/>
      <c r="Q673" s="772"/>
      <c r="R673" s="772"/>
      <c r="S673" s="772"/>
      <c r="T673" s="772"/>
      <c r="U673" s="1097"/>
      <c r="V673" s="772"/>
      <c r="W673" s="772"/>
      <c r="X673" s="772"/>
      <c r="Y673" s="772"/>
      <c r="Z673" s="1097"/>
      <c r="AA673" s="772"/>
      <c r="AB673" s="772"/>
      <c r="AC673" s="772"/>
      <c r="AD673" s="772"/>
      <c r="AE673" s="1097"/>
      <c r="AF673" s="772"/>
      <c r="AG673" s="772"/>
      <c r="AH673" s="772"/>
      <c r="AI673" s="772"/>
      <c r="AJ673" s="1097"/>
      <c r="AK673" s="772"/>
      <c r="AL673" s="772"/>
      <c r="AM673" s="772"/>
      <c r="AN673" s="772"/>
      <c r="AO673" s="1097"/>
      <c r="AP673" s="772"/>
      <c r="AQ673" s="772"/>
      <c r="AR673" s="772"/>
      <c r="AS673" s="772"/>
      <c r="AT673" s="78"/>
      <c r="AU673" s="774"/>
      <c r="AV673" s="774"/>
      <c r="AW673" s="774"/>
      <c r="AX673" s="774"/>
      <c r="AY673" s="78"/>
      <c r="AZ673" s="774"/>
      <c r="BA673" s="774"/>
      <c r="BB673" s="774"/>
      <c r="BC673" s="774"/>
      <c r="BD673" s="78"/>
      <c r="BE673" s="772"/>
      <c r="BF673" s="772"/>
      <c r="BG673" s="772"/>
      <c r="BH673" s="772"/>
      <c r="BI673" s="78"/>
      <c r="BJ673" s="772"/>
      <c r="BK673" s="772"/>
      <c r="BL673" s="772"/>
      <c r="BM673" s="772"/>
      <c r="BN673" s="1119">
        <v>11.51</v>
      </c>
      <c r="BO673" s="772"/>
      <c r="BP673" s="772"/>
      <c r="BQ673" s="772"/>
      <c r="BR673" s="772"/>
      <c r="BS673" s="78"/>
      <c r="BT673" s="838"/>
      <c r="BU673" s="772"/>
      <c r="BV673" s="772"/>
      <c r="BW673" s="772"/>
      <c r="BX673" s="1097"/>
      <c r="BY673" s="772"/>
      <c r="BZ673" s="772"/>
      <c r="CA673" s="772"/>
      <c r="CB673" s="772"/>
      <c r="CC673" s="1097"/>
      <c r="CD673" s="1097"/>
      <c r="CE673" s="1097"/>
      <c r="CF673" s="1097"/>
      <c r="CG673" s="348"/>
    </row>
    <row r="674" spans="1:85" s="613" customFormat="1" x14ac:dyDescent="0.3">
      <c r="A674" s="478" t="s">
        <v>2140</v>
      </c>
      <c r="B674" s="523"/>
      <c r="C674" s="78"/>
      <c r="D674" s="78"/>
      <c r="E674" s="78"/>
      <c r="F674" s="78"/>
      <c r="G674" s="774"/>
      <c r="H674" s="774"/>
      <c r="I674" s="774"/>
      <c r="J674" s="774"/>
      <c r="K674" s="78"/>
      <c r="L674" s="774"/>
      <c r="M674" s="774"/>
      <c r="N674" s="774"/>
      <c r="O674" s="774"/>
      <c r="P674" s="78"/>
      <c r="Q674" s="774"/>
      <c r="R674" s="774"/>
      <c r="S674" s="774"/>
      <c r="T674" s="774"/>
      <c r="U674" s="78"/>
      <c r="V674" s="774"/>
      <c r="W674" s="774"/>
      <c r="X674" s="774"/>
      <c r="Y674" s="774"/>
      <c r="Z674" s="78"/>
      <c r="AA674" s="774"/>
      <c r="AB674" s="774"/>
      <c r="AC674" s="774"/>
      <c r="AD674" s="774"/>
      <c r="AE674" s="78"/>
      <c r="AF674" s="774"/>
      <c r="AG674" s="774"/>
      <c r="AH674" s="774"/>
      <c r="AI674" s="774"/>
      <c r="AJ674" s="78"/>
      <c r="AK674" s="774"/>
      <c r="AL674" s="774"/>
      <c r="AM674" s="774"/>
      <c r="AN674" s="774"/>
      <c r="AO674" s="78"/>
      <c r="AP674" s="774"/>
      <c r="AQ674" s="774"/>
      <c r="AR674" s="774"/>
      <c r="AS674" s="774"/>
      <c r="AT674" s="78"/>
      <c r="AU674" s="774"/>
      <c r="AV674" s="774"/>
      <c r="AW674" s="774"/>
      <c r="AX674" s="774"/>
      <c r="AY674" s="78"/>
      <c r="AZ674" s="774"/>
      <c r="BA674" s="774"/>
      <c r="BB674" s="774"/>
      <c r="BC674" s="774"/>
      <c r="BD674" s="78"/>
      <c r="BE674" s="774"/>
      <c r="BF674" s="774"/>
      <c r="BG674" s="774"/>
      <c r="BH674" s="774"/>
      <c r="BI674" s="1119">
        <v>11.51</v>
      </c>
      <c r="BJ674" s="774"/>
      <c r="BK674" s="774"/>
      <c r="BL674" s="774"/>
      <c r="BM674" s="774"/>
      <c r="BN674" s="78"/>
      <c r="BO674" s="774"/>
      <c r="BP674" s="774"/>
      <c r="BQ674" s="774"/>
      <c r="BR674" s="774"/>
      <c r="BS674" s="78"/>
      <c r="BT674" s="775"/>
      <c r="BU674" s="774"/>
      <c r="BV674" s="774"/>
      <c r="BW674" s="774"/>
      <c r="BX674" s="78"/>
      <c r="BY674" s="774"/>
      <c r="BZ674" s="774"/>
      <c r="CA674" s="774"/>
      <c r="CB674" s="774"/>
      <c r="CC674" s="78"/>
      <c r="CD674" s="78"/>
      <c r="CE674" s="78"/>
      <c r="CF674" s="78"/>
      <c r="CG674" s="532"/>
    </row>
    <row r="675" spans="1:85" s="615" customFormat="1" x14ac:dyDescent="0.3">
      <c r="A675" s="522" t="s">
        <v>2141</v>
      </c>
      <c r="B675" s="521"/>
      <c r="C675" s="1122"/>
      <c r="D675" s="1122"/>
      <c r="E675" s="1122"/>
      <c r="F675" s="1122"/>
      <c r="G675" s="520"/>
      <c r="H675" s="520"/>
      <c r="I675" s="520"/>
      <c r="J675" s="520"/>
      <c r="K675" s="1122"/>
      <c r="L675" s="520"/>
      <c r="M675" s="520"/>
      <c r="N675" s="520"/>
      <c r="O675" s="520"/>
      <c r="P675" s="1122"/>
      <c r="Q675" s="520"/>
      <c r="R675" s="520"/>
      <c r="S675" s="520"/>
      <c r="T675" s="520"/>
      <c r="U675" s="1122"/>
      <c r="V675" s="520"/>
      <c r="W675" s="520"/>
      <c r="X675" s="520"/>
      <c r="Y675" s="520"/>
      <c r="Z675" s="1122"/>
      <c r="AA675" s="520"/>
      <c r="AB675" s="520"/>
      <c r="AC675" s="520"/>
      <c r="AD675" s="520"/>
      <c r="AE675" s="1122"/>
      <c r="AF675" s="520"/>
      <c r="AG675" s="520"/>
      <c r="AH675" s="520"/>
      <c r="AI675" s="520"/>
      <c r="AJ675" s="1122"/>
      <c r="AK675" s="520"/>
      <c r="AL675" s="520"/>
      <c r="AM675" s="520"/>
      <c r="AN675" s="520"/>
      <c r="AO675" s="1122"/>
      <c r="AP675" s="520"/>
      <c r="AQ675" s="520"/>
      <c r="AR675" s="520"/>
      <c r="AS675" s="520"/>
      <c r="AT675" s="1124"/>
      <c r="AU675" s="526"/>
      <c r="AV675" s="526"/>
      <c r="AW675" s="526"/>
      <c r="AX675" s="526"/>
      <c r="AY675" s="1124"/>
      <c r="AZ675" s="526"/>
      <c r="BA675" s="526"/>
      <c r="BB675" s="526"/>
      <c r="BC675" s="526"/>
      <c r="BD675" s="1124"/>
      <c r="BE675" s="520"/>
      <c r="BF675" s="520"/>
      <c r="BG675" s="520"/>
      <c r="BH675" s="520"/>
      <c r="BI675" s="1123">
        <v>361.99</v>
      </c>
      <c r="BJ675" s="520"/>
      <c r="BK675" s="520"/>
      <c r="BL675" s="520"/>
      <c r="BM675" s="520"/>
      <c r="BN675" s="1123">
        <v>361.99</v>
      </c>
      <c r="BO675" s="520"/>
      <c r="BP675" s="520"/>
      <c r="BQ675" s="520"/>
      <c r="BR675" s="520"/>
      <c r="BS675" s="1124"/>
      <c r="BT675" s="728"/>
      <c r="BU675" s="520"/>
      <c r="BV675" s="520"/>
      <c r="BW675" s="520"/>
      <c r="BX675" s="1122"/>
      <c r="BY675" s="520"/>
      <c r="BZ675" s="520"/>
      <c r="CA675" s="520"/>
      <c r="CB675" s="520"/>
      <c r="CC675" s="1122"/>
      <c r="CD675" s="1122"/>
      <c r="CE675" s="1122"/>
      <c r="CF675" s="1122"/>
      <c r="CG675" s="519"/>
    </row>
    <row r="676" spans="1:85" s="615" customFormat="1" x14ac:dyDescent="0.3">
      <c r="A676" s="522"/>
      <c r="B676" s="521"/>
      <c r="C676" s="1122"/>
      <c r="D676" s="1122"/>
      <c r="E676" s="1122"/>
      <c r="F676" s="1122"/>
      <c r="G676" s="520"/>
      <c r="H676" s="520"/>
      <c r="I676" s="520"/>
      <c r="J676" s="520"/>
      <c r="K676" s="1122"/>
      <c r="L676" s="520"/>
      <c r="M676" s="520"/>
      <c r="N676" s="520"/>
      <c r="O676" s="520"/>
      <c r="P676" s="1122"/>
      <c r="Q676" s="520"/>
      <c r="R676" s="520"/>
      <c r="S676" s="520"/>
      <c r="T676" s="520"/>
      <c r="U676" s="1122"/>
      <c r="V676" s="520"/>
      <c r="W676" s="520"/>
      <c r="X676" s="520"/>
      <c r="Y676" s="520"/>
      <c r="Z676" s="1122"/>
      <c r="AA676" s="520"/>
      <c r="AB676" s="520"/>
      <c r="AC676" s="520"/>
      <c r="AD676" s="520"/>
      <c r="AE676" s="1122"/>
      <c r="AF676" s="520"/>
      <c r="AG676" s="520"/>
      <c r="AH676" s="520"/>
      <c r="AI676" s="520"/>
      <c r="AJ676" s="1122"/>
      <c r="AK676" s="520"/>
      <c r="AL676" s="520"/>
      <c r="AM676" s="520"/>
      <c r="AN676" s="520"/>
      <c r="AO676" s="1122"/>
      <c r="AP676" s="520"/>
      <c r="AQ676" s="520"/>
      <c r="AR676" s="520"/>
      <c r="AS676" s="520"/>
      <c r="AT676" s="1124"/>
      <c r="AU676" s="526"/>
      <c r="AV676" s="526"/>
      <c r="AW676" s="526"/>
      <c r="AX676" s="526"/>
      <c r="AY676" s="1124"/>
      <c r="AZ676" s="526"/>
      <c r="BA676" s="526"/>
      <c r="BB676" s="526"/>
      <c r="BC676" s="526"/>
      <c r="BD676" s="1124"/>
      <c r="BE676" s="520"/>
      <c r="BF676" s="520"/>
      <c r="BG676" s="520"/>
      <c r="BH676" s="520"/>
      <c r="BI676" s="1124"/>
      <c r="BJ676" s="520"/>
      <c r="BK676" s="520"/>
      <c r="BL676" s="520"/>
      <c r="BM676" s="520"/>
      <c r="BN676" s="1124"/>
      <c r="BO676" s="520"/>
      <c r="BP676" s="520"/>
      <c r="BQ676" s="520"/>
      <c r="BR676" s="520"/>
      <c r="BS676" s="1124"/>
      <c r="BT676" s="728"/>
      <c r="BU676" s="520"/>
      <c r="BV676" s="520"/>
      <c r="BW676" s="520"/>
      <c r="BX676" s="1122"/>
      <c r="BY676" s="520"/>
      <c r="BZ676" s="520"/>
      <c r="CA676" s="520"/>
      <c r="CB676" s="520"/>
      <c r="CC676" s="1122"/>
      <c r="CD676" s="1122"/>
      <c r="CE676" s="1122"/>
      <c r="CF676" s="1122"/>
      <c r="CG676" s="519"/>
    </row>
    <row r="677" spans="1:85" s="612" customFormat="1" x14ac:dyDescent="0.3">
      <c r="A677" s="478" t="s">
        <v>2410</v>
      </c>
      <c r="B677" s="514"/>
      <c r="C677" s="1097"/>
      <c r="D677" s="1097"/>
      <c r="E677" s="1097"/>
      <c r="F677" s="1097"/>
      <c r="G677" s="772"/>
      <c r="H677" s="772"/>
      <c r="I677" s="772"/>
      <c r="J677" s="772"/>
      <c r="K677" s="1097"/>
      <c r="L677" s="772"/>
      <c r="M677" s="772"/>
      <c r="N677" s="772"/>
      <c r="O677" s="772"/>
      <c r="P677" s="1097"/>
      <c r="Q677" s="772"/>
      <c r="R677" s="772"/>
      <c r="S677" s="772"/>
      <c r="T677" s="772"/>
      <c r="U677" s="1097"/>
      <c r="V677" s="772"/>
      <c r="W677" s="772"/>
      <c r="X677" s="772"/>
      <c r="Y677" s="772"/>
      <c r="Z677" s="1097"/>
      <c r="AA677" s="772"/>
      <c r="AB677" s="772"/>
      <c r="AC677" s="772"/>
      <c r="AD677" s="772"/>
      <c r="AE677" s="1097"/>
      <c r="AF677" s="772"/>
      <c r="AG677" s="772"/>
      <c r="AH677" s="772"/>
      <c r="AI677" s="772"/>
      <c r="AJ677" s="1097"/>
      <c r="AK677" s="772"/>
      <c r="AL677" s="772"/>
      <c r="AM677" s="772"/>
      <c r="AN677" s="772"/>
      <c r="AO677" s="1097"/>
      <c r="AP677" s="772"/>
      <c r="AQ677" s="772"/>
      <c r="AR677" s="772"/>
      <c r="AS677" s="772"/>
      <c r="AT677" s="78"/>
      <c r="AU677" s="774"/>
      <c r="AV677" s="774"/>
      <c r="AW677" s="774"/>
      <c r="AX677" s="774"/>
      <c r="AY677" s="78"/>
      <c r="AZ677" s="774"/>
      <c r="BA677" s="774"/>
      <c r="BB677" s="774"/>
      <c r="BC677" s="774"/>
      <c r="BD677" s="78"/>
      <c r="BE677" s="772"/>
      <c r="BF677" s="772"/>
      <c r="BG677" s="772"/>
      <c r="BH677" s="772"/>
      <c r="BI677" s="78"/>
      <c r="BJ677" s="772"/>
      <c r="BK677" s="772"/>
      <c r="BL677" s="772"/>
      <c r="BM677" s="772"/>
      <c r="BN677" s="1119">
        <v>13.292</v>
      </c>
      <c r="BO677" s="772"/>
      <c r="BP677" s="772"/>
      <c r="BQ677" s="772"/>
      <c r="BR677" s="772"/>
      <c r="BS677" s="78"/>
      <c r="BT677" s="838"/>
      <c r="BU677" s="772"/>
      <c r="BV677" s="772"/>
      <c r="BW677" s="772"/>
      <c r="BX677" s="1097"/>
      <c r="BY677" s="772"/>
      <c r="BZ677" s="772"/>
      <c r="CA677" s="772"/>
      <c r="CB677" s="772"/>
      <c r="CC677" s="1097"/>
      <c r="CD677" s="1097"/>
      <c r="CE677" s="1097"/>
      <c r="CF677" s="1097"/>
      <c r="CG677" s="348"/>
    </row>
    <row r="678" spans="1:85" s="613" customFormat="1" x14ac:dyDescent="0.3">
      <c r="A678" s="478" t="s">
        <v>2142</v>
      </c>
      <c r="B678" s="523"/>
      <c r="C678" s="78"/>
      <c r="D678" s="78"/>
      <c r="E678" s="78"/>
      <c r="F678" s="78"/>
      <c r="G678" s="774"/>
      <c r="H678" s="774"/>
      <c r="I678" s="774"/>
      <c r="J678" s="774"/>
      <c r="K678" s="78"/>
      <c r="L678" s="774"/>
      <c r="M678" s="774"/>
      <c r="N678" s="774"/>
      <c r="O678" s="774"/>
      <c r="P678" s="78"/>
      <c r="Q678" s="774"/>
      <c r="R678" s="774"/>
      <c r="S678" s="774"/>
      <c r="T678" s="774"/>
      <c r="U678" s="78"/>
      <c r="V678" s="774"/>
      <c r="W678" s="774"/>
      <c r="X678" s="774"/>
      <c r="Y678" s="774"/>
      <c r="Z678" s="78"/>
      <c r="AA678" s="774"/>
      <c r="AB678" s="774"/>
      <c r="AC678" s="774"/>
      <c r="AD678" s="774"/>
      <c r="AE678" s="78"/>
      <c r="AF678" s="774"/>
      <c r="AG678" s="774"/>
      <c r="AH678" s="774"/>
      <c r="AI678" s="774"/>
      <c r="AJ678" s="78"/>
      <c r="AK678" s="774"/>
      <c r="AL678" s="774"/>
      <c r="AM678" s="774"/>
      <c r="AN678" s="774"/>
      <c r="AO678" s="78"/>
      <c r="AP678" s="774"/>
      <c r="AQ678" s="774"/>
      <c r="AR678" s="774"/>
      <c r="AS678" s="774"/>
      <c r="AT678" s="78"/>
      <c r="AU678" s="774"/>
      <c r="AV678" s="774"/>
      <c r="AW678" s="774"/>
      <c r="AX678" s="774"/>
      <c r="AY678" s="78"/>
      <c r="AZ678" s="774"/>
      <c r="BA678" s="774"/>
      <c r="BB678" s="774"/>
      <c r="BC678" s="774"/>
      <c r="BD678" s="78"/>
      <c r="BE678" s="774"/>
      <c r="BF678" s="774"/>
      <c r="BG678" s="774"/>
      <c r="BH678" s="774"/>
      <c r="BI678" s="1119">
        <v>13.292</v>
      </c>
      <c r="BJ678" s="774"/>
      <c r="BK678" s="774"/>
      <c r="BL678" s="774"/>
      <c r="BM678" s="774"/>
      <c r="BN678" s="78"/>
      <c r="BO678" s="774"/>
      <c r="BP678" s="774"/>
      <c r="BQ678" s="774"/>
      <c r="BR678" s="774"/>
      <c r="BS678" s="78"/>
      <c r="BT678" s="775"/>
      <c r="BU678" s="774"/>
      <c r="BV678" s="774"/>
      <c r="BW678" s="774"/>
      <c r="BX678" s="78"/>
      <c r="BY678" s="774"/>
      <c r="BZ678" s="774"/>
      <c r="CA678" s="774"/>
      <c r="CB678" s="774"/>
      <c r="CC678" s="78"/>
      <c r="CD678" s="78"/>
      <c r="CE678" s="78"/>
      <c r="CF678" s="78"/>
      <c r="CG678" s="532"/>
    </row>
    <row r="679" spans="1:85" s="615" customFormat="1" x14ac:dyDescent="0.3">
      <c r="A679" s="522" t="s">
        <v>2143</v>
      </c>
      <c r="B679" s="521"/>
      <c r="C679" s="1122"/>
      <c r="D679" s="1122"/>
      <c r="E679" s="1122"/>
      <c r="F679" s="1122"/>
      <c r="G679" s="520"/>
      <c r="H679" s="520"/>
      <c r="I679" s="520"/>
      <c r="J679" s="520"/>
      <c r="K679" s="1122"/>
      <c r="L679" s="520"/>
      <c r="M679" s="520"/>
      <c r="N679" s="520"/>
      <c r="O679" s="520"/>
      <c r="P679" s="1122"/>
      <c r="Q679" s="520"/>
      <c r="R679" s="520"/>
      <c r="S679" s="520"/>
      <c r="T679" s="520"/>
      <c r="U679" s="1122"/>
      <c r="V679" s="520"/>
      <c r="W679" s="520"/>
      <c r="X679" s="520"/>
      <c r="Y679" s="520"/>
      <c r="Z679" s="1122"/>
      <c r="AA679" s="520"/>
      <c r="AB679" s="520"/>
      <c r="AC679" s="520"/>
      <c r="AD679" s="520"/>
      <c r="AE679" s="1122"/>
      <c r="AF679" s="520"/>
      <c r="AG679" s="520"/>
      <c r="AH679" s="520"/>
      <c r="AI679" s="520"/>
      <c r="AJ679" s="1122"/>
      <c r="AK679" s="520"/>
      <c r="AL679" s="520"/>
      <c r="AM679" s="520"/>
      <c r="AN679" s="520"/>
      <c r="AO679" s="1122"/>
      <c r="AP679" s="520"/>
      <c r="AQ679" s="520"/>
      <c r="AR679" s="520"/>
      <c r="AS679" s="520"/>
      <c r="AT679" s="1124"/>
      <c r="AU679" s="526"/>
      <c r="AV679" s="526"/>
      <c r="AW679" s="526"/>
      <c r="AX679" s="526"/>
      <c r="AY679" s="1124"/>
      <c r="AZ679" s="526"/>
      <c r="BA679" s="526"/>
      <c r="BB679" s="526"/>
      <c r="BC679" s="526"/>
      <c r="BD679" s="1124"/>
      <c r="BE679" s="520"/>
      <c r="BF679" s="520"/>
      <c r="BG679" s="520"/>
      <c r="BH679" s="520"/>
      <c r="BI679" s="1123">
        <v>313.48</v>
      </c>
      <c r="BJ679" s="520"/>
      <c r="BK679" s="520"/>
      <c r="BL679" s="520"/>
      <c r="BM679" s="520"/>
      <c r="BN679" s="1123">
        <v>313.48</v>
      </c>
      <c r="BO679" s="520"/>
      <c r="BP679" s="520"/>
      <c r="BQ679" s="520"/>
      <c r="BR679" s="520"/>
      <c r="BS679" s="1124"/>
      <c r="BT679" s="728"/>
      <c r="BU679" s="520"/>
      <c r="BV679" s="520"/>
      <c r="BW679" s="520"/>
      <c r="BX679" s="1122"/>
      <c r="BY679" s="520"/>
      <c r="BZ679" s="520"/>
      <c r="CA679" s="520"/>
      <c r="CB679" s="520"/>
      <c r="CC679" s="1122"/>
      <c r="CD679" s="1122"/>
      <c r="CE679" s="1122"/>
      <c r="CF679" s="1122"/>
      <c r="CG679" s="519"/>
    </row>
    <row r="680" spans="1:85" s="615" customFormat="1" x14ac:dyDescent="0.3">
      <c r="A680" s="522"/>
      <c r="B680" s="521"/>
      <c r="C680" s="1122"/>
      <c r="D680" s="1122"/>
      <c r="E680" s="1122"/>
      <c r="F680" s="1122"/>
      <c r="G680" s="520"/>
      <c r="H680" s="520"/>
      <c r="I680" s="520"/>
      <c r="J680" s="520"/>
      <c r="K680" s="1122"/>
      <c r="L680" s="520"/>
      <c r="M680" s="520"/>
      <c r="N680" s="520"/>
      <c r="O680" s="520"/>
      <c r="P680" s="1122"/>
      <c r="Q680" s="520"/>
      <c r="R680" s="520"/>
      <c r="S680" s="520"/>
      <c r="T680" s="520"/>
      <c r="U680" s="1122"/>
      <c r="V680" s="520"/>
      <c r="W680" s="520"/>
      <c r="X680" s="520"/>
      <c r="Y680" s="520"/>
      <c r="Z680" s="1122"/>
      <c r="AA680" s="520"/>
      <c r="AB680" s="520"/>
      <c r="AC680" s="520"/>
      <c r="AD680" s="520"/>
      <c r="AE680" s="1122"/>
      <c r="AF680" s="520"/>
      <c r="AG680" s="520"/>
      <c r="AH680" s="520"/>
      <c r="AI680" s="520"/>
      <c r="AJ680" s="1122"/>
      <c r="AK680" s="520"/>
      <c r="AL680" s="520"/>
      <c r="AM680" s="520"/>
      <c r="AN680" s="520"/>
      <c r="AO680" s="1122"/>
      <c r="AP680" s="520"/>
      <c r="AQ680" s="520"/>
      <c r="AR680" s="520"/>
      <c r="AS680" s="520"/>
      <c r="AT680" s="1124"/>
      <c r="AU680" s="526"/>
      <c r="AV680" s="526"/>
      <c r="AW680" s="526"/>
      <c r="AX680" s="526"/>
      <c r="AY680" s="1124"/>
      <c r="AZ680" s="526"/>
      <c r="BA680" s="526"/>
      <c r="BB680" s="526"/>
      <c r="BC680" s="526"/>
      <c r="BD680" s="1124"/>
      <c r="BE680" s="520"/>
      <c r="BF680" s="520"/>
      <c r="BG680" s="520"/>
      <c r="BH680" s="520"/>
      <c r="BI680" s="1124"/>
      <c r="BJ680" s="520"/>
      <c r="BK680" s="520"/>
      <c r="BL680" s="520"/>
      <c r="BM680" s="520"/>
      <c r="BN680" s="1124"/>
      <c r="BO680" s="520"/>
      <c r="BP680" s="520"/>
      <c r="BQ680" s="520"/>
      <c r="BR680" s="520"/>
      <c r="BS680" s="1124"/>
      <c r="BT680" s="728"/>
      <c r="BU680" s="520"/>
      <c r="BV680" s="520"/>
      <c r="BW680" s="520"/>
      <c r="BX680" s="1122"/>
      <c r="BY680" s="520"/>
      <c r="BZ680" s="520"/>
      <c r="CA680" s="520"/>
      <c r="CB680" s="520"/>
      <c r="CC680" s="1122"/>
      <c r="CD680" s="1122"/>
      <c r="CE680" s="1122"/>
      <c r="CF680" s="1122"/>
      <c r="CG680" s="519"/>
    </row>
    <row r="681" spans="1:85" s="612" customFormat="1" x14ac:dyDescent="0.3">
      <c r="A681" s="478" t="s">
        <v>2411</v>
      </c>
      <c r="B681" s="514"/>
      <c r="C681" s="1097"/>
      <c r="D681" s="1097"/>
      <c r="E681" s="1097"/>
      <c r="F681" s="1097"/>
      <c r="G681" s="772"/>
      <c r="H681" s="772"/>
      <c r="I681" s="772"/>
      <c r="J681" s="772"/>
      <c r="K681" s="1097"/>
      <c r="L681" s="772"/>
      <c r="M681" s="772"/>
      <c r="N681" s="772"/>
      <c r="O681" s="772"/>
      <c r="P681" s="1097"/>
      <c r="Q681" s="772"/>
      <c r="R681" s="772"/>
      <c r="S681" s="772"/>
      <c r="T681" s="772"/>
      <c r="U681" s="1097"/>
      <c r="V681" s="772"/>
      <c r="W681" s="772"/>
      <c r="X681" s="772"/>
      <c r="Y681" s="772"/>
      <c r="Z681" s="1097"/>
      <c r="AA681" s="772"/>
      <c r="AB681" s="772"/>
      <c r="AC681" s="772"/>
      <c r="AD681" s="772"/>
      <c r="AE681" s="1097"/>
      <c r="AF681" s="772"/>
      <c r="AG681" s="772"/>
      <c r="AH681" s="772"/>
      <c r="AI681" s="772"/>
      <c r="AJ681" s="1097"/>
      <c r="AK681" s="772"/>
      <c r="AL681" s="772"/>
      <c r="AM681" s="772"/>
      <c r="AN681" s="772"/>
      <c r="AO681" s="1097"/>
      <c r="AP681" s="772"/>
      <c r="AQ681" s="772"/>
      <c r="AR681" s="772"/>
      <c r="AS681" s="772"/>
      <c r="AT681" s="78"/>
      <c r="AU681" s="774"/>
      <c r="AV681" s="774"/>
      <c r="AW681" s="774"/>
      <c r="AX681" s="774"/>
      <c r="AY681" s="78"/>
      <c r="AZ681" s="774"/>
      <c r="BA681" s="774"/>
      <c r="BB681" s="774"/>
      <c r="BC681" s="774"/>
      <c r="BD681" s="78"/>
      <c r="BE681" s="772"/>
      <c r="BF681" s="772"/>
      <c r="BG681" s="772"/>
      <c r="BH681" s="772"/>
      <c r="BI681" s="78"/>
      <c r="BJ681" s="772"/>
      <c r="BK681" s="772"/>
      <c r="BL681" s="772"/>
      <c r="BM681" s="772"/>
      <c r="BN681" s="1119">
        <v>11.964</v>
      </c>
      <c r="BO681" s="772"/>
      <c r="BP681" s="772"/>
      <c r="BQ681" s="772"/>
      <c r="BR681" s="772"/>
      <c r="BS681" s="78"/>
      <c r="BT681" s="838"/>
      <c r="BU681" s="772"/>
      <c r="BV681" s="772"/>
      <c r="BW681" s="772"/>
      <c r="BX681" s="1097"/>
      <c r="BY681" s="772"/>
      <c r="BZ681" s="772"/>
      <c r="CA681" s="772"/>
      <c r="CB681" s="772"/>
      <c r="CC681" s="1097"/>
      <c r="CD681" s="1097"/>
      <c r="CE681" s="1097"/>
      <c r="CF681" s="1097"/>
      <c r="CG681" s="348"/>
    </row>
    <row r="682" spans="1:85" s="613" customFormat="1" x14ac:dyDescent="0.3">
      <c r="A682" s="478" t="s">
        <v>2144</v>
      </c>
      <c r="B682" s="523"/>
      <c r="C682" s="78"/>
      <c r="D682" s="78"/>
      <c r="E682" s="78"/>
      <c r="F682" s="78"/>
      <c r="G682" s="774"/>
      <c r="H682" s="774"/>
      <c r="I682" s="774"/>
      <c r="J682" s="774"/>
      <c r="K682" s="78"/>
      <c r="L682" s="774"/>
      <c r="M682" s="774"/>
      <c r="N682" s="774"/>
      <c r="O682" s="774"/>
      <c r="P682" s="78"/>
      <c r="Q682" s="774"/>
      <c r="R682" s="774"/>
      <c r="S682" s="774"/>
      <c r="T682" s="774"/>
      <c r="U682" s="78"/>
      <c r="V682" s="774"/>
      <c r="W682" s="774"/>
      <c r="X682" s="774"/>
      <c r="Y682" s="774"/>
      <c r="Z682" s="78"/>
      <c r="AA682" s="774"/>
      <c r="AB682" s="774"/>
      <c r="AC682" s="774"/>
      <c r="AD682" s="774"/>
      <c r="AE682" s="78"/>
      <c r="AF682" s="774"/>
      <c r="AG682" s="774"/>
      <c r="AH682" s="774"/>
      <c r="AI682" s="774"/>
      <c r="AJ682" s="78"/>
      <c r="AK682" s="774"/>
      <c r="AL682" s="774"/>
      <c r="AM682" s="774"/>
      <c r="AN682" s="774"/>
      <c r="AO682" s="78"/>
      <c r="AP682" s="774"/>
      <c r="AQ682" s="774"/>
      <c r="AR682" s="774"/>
      <c r="AS682" s="774"/>
      <c r="AT682" s="78"/>
      <c r="AU682" s="774"/>
      <c r="AV682" s="774"/>
      <c r="AW682" s="774"/>
      <c r="AX682" s="774"/>
      <c r="AY682" s="78"/>
      <c r="AZ682" s="774"/>
      <c r="BA682" s="774"/>
      <c r="BB682" s="774"/>
      <c r="BC682" s="774"/>
      <c r="BD682" s="78"/>
      <c r="BE682" s="774"/>
      <c r="BF682" s="774"/>
      <c r="BG682" s="774"/>
      <c r="BH682" s="774"/>
      <c r="BI682" s="1119">
        <v>11.964</v>
      </c>
      <c r="BJ682" s="774"/>
      <c r="BK682" s="774"/>
      <c r="BL682" s="774"/>
      <c r="BM682" s="774"/>
      <c r="BN682" s="78"/>
      <c r="BO682" s="774"/>
      <c r="BP682" s="774"/>
      <c r="BQ682" s="774"/>
      <c r="BR682" s="774"/>
      <c r="BS682" s="78"/>
      <c r="BT682" s="775"/>
      <c r="BU682" s="774"/>
      <c r="BV682" s="774"/>
      <c r="BW682" s="774"/>
      <c r="BX682" s="78"/>
      <c r="BY682" s="774"/>
      <c r="BZ682" s="774"/>
      <c r="CA682" s="774"/>
      <c r="CB682" s="774"/>
      <c r="CC682" s="78"/>
      <c r="CD682" s="78"/>
      <c r="CE682" s="78"/>
      <c r="CF682" s="78"/>
      <c r="CG682" s="532"/>
    </row>
    <row r="683" spans="1:85" s="615" customFormat="1" x14ac:dyDescent="0.3">
      <c r="A683" s="522" t="s">
        <v>2145</v>
      </c>
      <c r="B683" s="521"/>
      <c r="C683" s="1122"/>
      <c r="D683" s="1122"/>
      <c r="E683" s="1122"/>
      <c r="F683" s="1122"/>
      <c r="G683" s="520"/>
      <c r="H683" s="520"/>
      <c r="I683" s="520"/>
      <c r="J683" s="520"/>
      <c r="K683" s="1122"/>
      <c r="L683" s="520"/>
      <c r="M683" s="520"/>
      <c r="N683" s="520"/>
      <c r="O683" s="520"/>
      <c r="P683" s="1122"/>
      <c r="Q683" s="520"/>
      <c r="R683" s="520"/>
      <c r="S683" s="520"/>
      <c r="T683" s="520"/>
      <c r="U683" s="1122"/>
      <c r="V683" s="520"/>
      <c r="W683" s="520"/>
      <c r="X683" s="520"/>
      <c r="Y683" s="520"/>
      <c r="Z683" s="1122"/>
      <c r="AA683" s="520"/>
      <c r="AB683" s="520"/>
      <c r="AC683" s="520"/>
      <c r="AD683" s="520"/>
      <c r="AE683" s="1122"/>
      <c r="AF683" s="520"/>
      <c r="AG683" s="520"/>
      <c r="AH683" s="520"/>
      <c r="AI683" s="520"/>
      <c r="AJ683" s="1122"/>
      <c r="AK683" s="520"/>
      <c r="AL683" s="520"/>
      <c r="AM683" s="520"/>
      <c r="AN683" s="520"/>
      <c r="AO683" s="1122"/>
      <c r="AP683" s="520"/>
      <c r="AQ683" s="520"/>
      <c r="AR683" s="520"/>
      <c r="AS683" s="520"/>
      <c r="AT683" s="1124"/>
      <c r="AU683" s="526"/>
      <c r="AV683" s="526"/>
      <c r="AW683" s="526"/>
      <c r="AX683" s="526"/>
      <c r="AY683" s="1124"/>
      <c r="AZ683" s="526"/>
      <c r="BA683" s="526"/>
      <c r="BB683" s="526"/>
      <c r="BC683" s="526"/>
      <c r="BD683" s="1124"/>
      <c r="BE683" s="520"/>
      <c r="BF683" s="520"/>
      <c r="BG683" s="520"/>
      <c r="BH683" s="520"/>
      <c r="BI683" s="1123">
        <v>348.28</v>
      </c>
      <c r="BJ683" s="520"/>
      <c r="BK683" s="520"/>
      <c r="BL683" s="520"/>
      <c r="BM683" s="520"/>
      <c r="BN683" s="1123">
        <v>348.28</v>
      </c>
      <c r="BO683" s="520"/>
      <c r="BP683" s="520"/>
      <c r="BQ683" s="520"/>
      <c r="BR683" s="520"/>
      <c r="BS683" s="1124"/>
      <c r="BT683" s="728"/>
      <c r="BU683" s="520"/>
      <c r="BV683" s="520"/>
      <c r="BW683" s="520"/>
      <c r="BX683" s="1122"/>
      <c r="BY683" s="520"/>
      <c r="BZ683" s="520"/>
      <c r="CA683" s="520"/>
      <c r="CB683" s="520"/>
      <c r="CC683" s="1122"/>
      <c r="CD683" s="1122"/>
      <c r="CE683" s="1122"/>
      <c r="CF683" s="1122"/>
      <c r="CG683" s="519"/>
    </row>
    <row r="684" spans="1:85" s="615" customFormat="1" x14ac:dyDescent="0.3">
      <c r="A684" s="522"/>
      <c r="B684" s="521"/>
      <c r="C684" s="1122"/>
      <c r="D684" s="1122"/>
      <c r="E684" s="1122"/>
      <c r="F684" s="1122"/>
      <c r="G684" s="520"/>
      <c r="H684" s="520"/>
      <c r="I684" s="520"/>
      <c r="J684" s="520"/>
      <c r="K684" s="1122"/>
      <c r="L684" s="520"/>
      <c r="M684" s="520"/>
      <c r="N684" s="520"/>
      <c r="O684" s="520"/>
      <c r="P684" s="1122"/>
      <c r="Q684" s="520"/>
      <c r="R684" s="520"/>
      <c r="S684" s="520"/>
      <c r="T684" s="520"/>
      <c r="U684" s="1122"/>
      <c r="V684" s="520"/>
      <c r="W684" s="520"/>
      <c r="X684" s="520"/>
      <c r="Y684" s="520"/>
      <c r="Z684" s="1122"/>
      <c r="AA684" s="520"/>
      <c r="AB684" s="520"/>
      <c r="AC684" s="520"/>
      <c r="AD684" s="520"/>
      <c r="AE684" s="1122"/>
      <c r="AF684" s="520"/>
      <c r="AG684" s="520"/>
      <c r="AH684" s="520"/>
      <c r="AI684" s="520"/>
      <c r="AJ684" s="1122"/>
      <c r="AK684" s="520"/>
      <c r="AL684" s="520"/>
      <c r="AM684" s="520"/>
      <c r="AN684" s="520"/>
      <c r="AO684" s="1122"/>
      <c r="AP684" s="520"/>
      <c r="AQ684" s="520"/>
      <c r="AR684" s="520"/>
      <c r="AS684" s="520"/>
      <c r="AT684" s="1124"/>
      <c r="AU684" s="526"/>
      <c r="AV684" s="526"/>
      <c r="AW684" s="526"/>
      <c r="AX684" s="526"/>
      <c r="AY684" s="1124"/>
      <c r="AZ684" s="526"/>
      <c r="BA684" s="526"/>
      <c r="BB684" s="526"/>
      <c r="BC684" s="526"/>
      <c r="BD684" s="1124"/>
      <c r="BE684" s="520"/>
      <c r="BF684" s="520"/>
      <c r="BG684" s="520"/>
      <c r="BH684" s="520"/>
      <c r="BI684" s="1124"/>
      <c r="BJ684" s="520"/>
      <c r="BK684" s="520"/>
      <c r="BL684" s="520"/>
      <c r="BM684" s="520"/>
      <c r="BN684" s="1124"/>
      <c r="BO684" s="520"/>
      <c r="BP684" s="520"/>
      <c r="BQ684" s="520"/>
      <c r="BR684" s="520"/>
      <c r="BS684" s="1124"/>
      <c r="BT684" s="728"/>
      <c r="BU684" s="520"/>
      <c r="BV684" s="520"/>
      <c r="BW684" s="520"/>
      <c r="BX684" s="1122"/>
      <c r="BY684" s="520"/>
      <c r="BZ684" s="520"/>
      <c r="CA684" s="520"/>
      <c r="CB684" s="520"/>
      <c r="CC684" s="1122"/>
      <c r="CD684" s="1122"/>
      <c r="CE684" s="1122"/>
      <c r="CF684" s="1122"/>
      <c r="CG684" s="519"/>
    </row>
    <row r="685" spans="1:85" s="612" customFormat="1" x14ac:dyDescent="0.3">
      <c r="A685" s="478" t="s">
        <v>2412</v>
      </c>
      <c r="B685" s="514"/>
      <c r="C685" s="1097"/>
      <c r="D685" s="1097"/>
      <c r="E685" s="1097"/>
      <c r="F685" s="1097"/>
      <c r="G685" s="772"/>
      <c r="H685" s="772"/>
      <c r="I685" s="772"/>
      <c r="J685" s="772"/>
      <c r="K685" s="1097"/>
      <c r="L685" s="772"/>
      <c r="M685" s="772"/>
      <c r="N685" s="772"/>
      <c r="O685" s="772"/>
      <c r="P685" s="1097"/>
      <c r="Q685" s="772"/>
      <c r="R685" s="772"/>
      <c r="S685" s="772"/>
      <c r="T685" s="772"/>
      <c r="U685" s="1097"/>
      <c r="V685" s="772"/>
      <c r="W685" s="772"/>
      <c r="X685" s="772"/>
      <c r="Y685" s="772"/>
      <c r="Z685" s="1097"/>
      <c r="AA685" s="772"/>
      <c r="AB685" s="772"/>
      <c r="AC685" s="772"/>
      <c r="AD685" s="772"/>
      <c r="AE685" s="1097"/>
      <c r="AF685" s="772"/>
      <c r="AG685" s="772"/>
      <c r="AH685" s="772"/>
      <c r="AI685" s="772"/>
      <c r="AJ685" s="1097"/>
      <c r="AK685" s="772"/>
      <c r="AL685" s="772"/>
      <c r="AM685" s="772"/>
      <c r="AN685" s="772"/>
      <c r="AO685" s="1097"/>
      <c r="AP685" s="772"/>
      <c r="AQ685" s="772"/>
      <c r="AR685" s="772"/>
      <c r="AS685" s="772"/>
      <c r="AT685" s="78"/>
      <c r="AU685" s="774"/>
      <c r="AV685" s="774"/>
      <c r="AW685" s="774"/>
      <c r="AX685" s="774"/>
      <c r="AY685" s="78"/>
      <c r="AZ685" s="774"/>
      <c r="BA685" s="774"/>
      <c r="BB685" s="774"/>
      <c r="BC685" s="774"/>
      <c r="BD685" s="78"/>
      <c r="BE685" s="772"/>
      <c r="BF685" s="772"/>
      <c r="BG685" s="772"/>
      <c r="BH685" s="772"/>
      <c r="BI685" s="78"/>
      <c r="BJ685" s="772"/>
      <c r="BK685" s="772"/>
      <c r="BL685" s="772"/>
      <c r="BM685" s="772"/>
      <c r="BN685" s="1119">
        <v>12.855</v>
      </c>
      <c r="BO685" s="772"/>
      <c r="BP685" s="772"/>
      <c r="BQ685" s="772"/>
      <c r="BR685" s="772"/>
      <c r="BS685" s="78"/>
      <c r="BT685" s="838"/>
      <c r="BU685" s="772"/>
      <c r="BV685" s="772"/>
      <c r="BW685" s="772"/>
      <c r="BX685" s="1097"/>
      <c r="BY685" s="772"/>
      <c r="BZ685" s="772"/>
      <c r="CA685" s="772"/>
      <c r="CB685" s="772"/>
      <c r="CC685" s="1097"/>
      <c r="CD685" s="1097"/>
      <c r="CE685" s="1097"/>
      <c r="CF685" s="1097"/>
      <c r="CG685" s="348"/>
    </row>
    <row r="686" spans="1:85" s="613" customFormat="1" x14ac:dyDescent="0.3">
      <c r="A686" s="478" t="s">
        <v>2146</v>
      </c>
      <c r="B686" s="523"/>
      <c r="C686" s="78"/>
      <c r="D686" s="78"/>
      <c r="E686" s="78"/>
      <c r="F686" s="78"/>
      <c r="G686" s="774"/>
      <c r="H686" s="774"/>
      <c r="I686" s="774"/>
      <c r="J686" s="774"/>
      <c r="K686" s="78"/>
      <c r="L686" s="774"/>
      <c r="M686" s="774"/>
      <c r="N686" s="774"/>
      <c r="O686" s="774"/>
      <c r="P686" s="78"/>
      <c r="Q686" s="774"/>
      <c r="R686" s="774"/>
      <c r="S686" s="774"/>
      <c r="T686" s="774"/>
      <c r="U686" s="78"/>
      <c r="V686" s="774"/>
      <c r="W686" s="774"/>
      <c r="X686" s="774"/>
      <c r="Y686" s="774"/>
      <c r="Z686" s="78"/>
      <c r="AA686" s="774"/>
      <c r="AB686" s="774"/>
      <c r="AC686" s="774"/>
      <c r="AD686" s="774"/>
      <c r="AE686" s="78"/>
      <c r="AF686" s="774"/>
      <c r="AG686" s="774"/>
      <c r="AH686" s="774"/>
      <c r="AI686" s="774"/>
      <c r="AJ686" s="78"/>
      <c r="AK686" s="774"/>
      <c r="AL686" s="774"/>
      <c r="AM686" s="774"/>
      <c r="AN686" s="774"/>
      <c r="AO686" s="78"/>
      <c r="AP686" s="774"/>
      <c r="AQ686" s="774"/>
      <c r="AR686" s="774"/>
      <c r="AS686" s="774"/>
      <c r="AT686" s="78"/>
      <c r="AU686" s="774"/>
      <c r="AV686" s="774"/>
      <c r="AW686" s="774"/>
      <c r="AX686" s="774"/>
      <c r="AY686" s="78"/>
      <c r="AZ686" s="774"/>
      <c r="BA686" s="774"/>
      <c r="BB686" s="774"/>
      <c r="BC686" s="774"/>
      <c r="BD686" s="78"/>
      <c r="BE686" s="774"/>
      <c r="BF686" s="774"/>
      <c r="BG686" s="774"/>
      <c r="BH686" s="774"/>
      <c r="BI686" s="1119">
        <v>12.855</v>
      </c>
      <c r="BJ686" s="774"/>
      <c r="BK686" s="774"/>
      <c r="BL686" s="774"/>
      <c r="BM686" s="774"/>
      <c r="BN686" s="78"/>
      <c r="BO686" s="774"/>
      <c r="BP686" s="774"/>
      <c r="BQ686" s="774"/>
      <c r="BR686" s="774"/>
      <c r="BS686" s="78"/>
      <c r="BT686" s="775"/>
      <c r="BU686" s="774"/>
      <c r="BV686" s="774"/>
      <c r="BW686" s="774"/>
      <c r="BX686" s="78"/>
      <c r="BY686" s="774"/>
      <c r="BZ686" s="774"/>
      <c r="CA686" s="774"/>
      <c r="CB686" s="774"/>
      <c r="CC686" s="78"/>
      <c r="CD686" s="78"/>
      <c r="CE686" s="78"/>
      <c r="CF686" s="78"/>
      <c r="CG686" s="532"/>
    </row>
    <row r="687" spans="1:85" s="615" customFormat="1" x14ac:dyDescent="0.3">
      <c r="A687" s="522" t="s">
        <v>2147</v>
      </c>
      <c r="B687" s="521"/>
      <c r="C687" s="1122"/>
      <c r="D687" s="1122"/>
      <c r="E687" s="1122"/>
      <c r="F687" s="1122"/>
      <c r="G687" s="520"/>
      <c r="H687" s="520"/>
      <c r="I687" s="520"/>
      <c r="J687" s="520"/>
      <c r="K687" s="1122"/>
      <c r="L687" s="520"/>
      <c r="M687" s="520"/>
      <c r="N687" s="520"/>
      <c r="O687" s="520"/>
      <c r="P687" s="1122"/>
      <c r="Q687" s="520"/>
      <c r="R687" s="520"/>
      <c r="S687" s="520"/>
      <c r="T687" s="520"/>
      <c r="U687" s="1122"/>
      <c r="V687" s="520"/>
      <c r="W687" s="520"/>
      <c r="X687" s="520"/>
      <c r="Y687" s="520"/>
      <c r="Z687" s="1122"/>
      <c r="AA687" s="520"/>
      <c r="AB687" s="520"/>
      <c r="AC687" s="520"/>
      <c r="AD687" s="520"/>
      <c r="AE687" s="1122"/>
      <c r="AF687" s="520"/>
      <c r="AG687" s="520"/>
      <c r="AH687" s="520"/>
      <c r="AI687" s="520"/>
      <c r="AJ687" s="1122"/>
      <c r="AK687" s="520"/>
      <c r="AL687" s="520"/>
      <c r="AM687" s="520"/>
      <c r="AN687" s="520"/>
      <c r="AO687" s="1122"/>
      <c r="AP687" s="520"/>
      <c r="AQ687" s="520"/>
      <c r="AR687" s="520"/>
      <c r="AS687" s="520"/>
      <c r="AT687" s="1124"/>
      <c r="AU687" s="526"/>
      <c r="AV687" s="526"/>
      <c r="AW687" s="526"/>
      <c r="AX687" s="526"/>
      <c r="AY687" s="1124"/>
      <c r="AZ687" s="526"/>
      <c r="BA687" s="526"/>
      <c r="BB687" s="526"/>
      <c r="BC687" s="526"/>
      <c r="BD687" s="1124"/>
      <c r="BE687" s="520"/>
      <c r="BF687" s="520"/>
      <c r="BG687" s="520"/>
      <c r="BH687" s="520"/>
      <c r="BI687" s="1123">
        <v>324.12</v>
      </c>
      <c r="BJ687" s="520"/>
      <c r="BK687" s="520"/>
      <c r="BL687" s="520"/>
      <c r="BM687" s="520"/>
      <c r="BN687" s="1123">
        <v>324.12</v>
      </c>
      <c r="BO687" s="520"/>
      <c r="BP687" s="520"/>
      <c r="BQ687" s="520"/>
      <c r="BR687" s="520"/>
      <c r="BS687" s="1124"/>
      <c r="BT687" s="728"/>
      <c r="BU687" s="520"/>
      <c r="BV687" s="520"/>
      <c r="BW687" s="520"/>
      <c r="BX687" s="1122"/>
      <c r="BY687" s="520"/>
      <c r="BZ687" s="520"/>
      <c r="CA687" s="520"/>
      <c r="CB687" s="520"/>
      <c r="CC687" s="1122"/>
      <c r="CD687" s="1122"/>
      <c r="CE687" s="1122"/>
      <c r="CF687" s="1122"/>
      <c r="CG687" s="519"/>
    </row>
    <row r="688" spans="1:85" s="615" customFormat="1" x14ac:dyDescent="0.3">
      <c r="A688" s="522"/>
      <c r="B688" s="521"/>
      <c r="C688" s="1122"/>
      <c r="D688" s="1122"/>
      <c r="E688" s="1122"/>
      <c r="F688" s="1122"/>
      <c r="G688" s="520"/>
      <c r="H688" s="520"/>
      <c r="I688" s="520"/>
      <c r="J688" s="520"/>
      <c r="K688" s="1122"/>
      <c r="L688" s="520"/>
      <c r="M688" s="520"/>
      <c r="N688" s="520"/>
      <c r="O688" s="520"/>
      <c r="P688" s="1122"/>
      <c r="Q688" s="520"/>
      <c r="R688" s="520"/>
      <c r="S688" s="520"/>
      <c r="T688" s="520"/>
      <c r="U688" s="1122"/>
      <c r="V688" s="520"/>
      <c r="W688" s="520"/>
      <c r="X688" s="520"/>
      <c r="Y688" s="520"/>
      <c r="Z688" s="1122"/>
      <c r="AA688" s="520"/>
      <c r="AB688" s="520"/>
      <c r="AC688" s="520"/>
      <c r="AD688" s="520"/>
      <c r="AE688" s="1122"/>
      <c r="AF688" s="520"/>
      <c r="AG688" s="520"/>
      <c r="AH688" s="520"/>
      <c r="AI688" s="520"/>
      <c r="AJ688" s="1122"/>
      <c r="AK688" s="520"/>
      <c r="AL688" s="520"/>
      <c r="AM688" s="520"/>
      <c r="AN688" s="520"/>
      <c r="AO688" s="1122"/>
      <c r="AP688" s="520"/>
      <c r="AQ688" s="520"/>
      <c r="AR688" s="520"/>
      <c r="AS688" s="520"/>
      <c r="AT688" s="1124"/>
      <c r="AU688" s="526"/>
      <c r="AV688" s="526"/>
      <c r="AW688" s="526"/>
      <c r="AX688" s="526"/>
      <c r="AY688" s="1124"/>
      <c r="AZ688" s="526"/>
      <c r="BA688" s="526"/>
      <c r="BB688" s="526"/>
      <c r="BC688" s="526"/>
      <c r="BD688" s="1124"/>
      <c r="BE688" s="520"/>
      <c r="BF688" s="520"/>
      <c r="BG688" s="520"/>
      <c r="BH688" s="520"/>
      <c r="BI688" s="1124"/>
      <c r="BJ688" s="520"/>
      <c r="BK688" s="520"/>
      <c r="BL688" s="520"/>
      <c r="BM688" s="520"/>
      <c r="BN688" s="1124"/>
      <c r="BO688" s="520"/>
      <c r="BP688" s="520"/>
      <c r="BQ688" s="520"/>
      <c r="BR688" s="520"/>
      <c r="BS688" s="1124"/>
      <c r="BT688" s="728"/>
      <c r="BU688" s="520"/>
      <c r="BV688" s="520"/>
      <c r="BW688" s="520"/>
      <c r="BX688" s="1122"/>
      <c r="BY688" s="520"/>
      <c r="BZ688" s="520"/>
      <c r="CA688" s="520"/>
      <c r="CB688" s="520"/>
      <c r="CC688" s="1122"/>
      <c r="CD688" s="1122"/>
      <c r="CE688" s="1122"/>
      <c r="CF688" s="1122"/>
      <c r="CG688" s="519"/>
    </row>
    <row r="689" spans="1:85" s="612" customFormat="1" x14ac:dyDescent="0.3">
      <c r="A689" s="478" t="s">
        <v>2413</v>
      </c>
      <c r="B689" s="514"/>
      <c r="C689" s="1097"/>
      <c r="D689" s="1097"/>
      <c r="E689" s="1097"/>
      <c r="F689" s="1097"/>
      <c r="G689" s="772"/>
      <c r="H689" s="772"/>
      <c r="I689" s="772"/>
      <c r="J689" s="772"/>
      <c r="K689" s="1097"/>
      <c r="L689" s="772"/>
      <c r="M689" s="772"/>
      <c r="N689" s="772"/>
      <c r="O689" s="772"/>
      <c r="P689" s="1097"/>
      <c r="Q689" s="772"/>
      <c r="R689" s="772"/>
      <c r="S689" s="772"/>
      <c r="T689" s="772"/>
      <c r="U689" s="1097"/>
      <c r="V689" s="772"/>
      <c r="W689" s="772"/>
      <c r="X689" s="772"/>
      <c r="Y689" s="772"/>
      <c r="Z689" s="1097"/>
      <c r="AA689" s="772"/>
      <c r="AB689" s="772"/>
      <c r="AC689" s="772"/>
      <c r="AD689" s="772"/>
      <c r="AE689" s="1097"/>
      <c r="AF689" s="772"/>
      <c r="AG689" s="772"/>
      <c r="AH689" s="772"/>
      <c r="AI689" s="772"/>
      <c r="AJ689" s="1097"/>
      <c r="AK689" s="772"/>
      <c r="AL689" s="772"/>
      <c r="AM689" s="772"/>
      <c r="AN689" s="772"/>
      <c r="AO689" s="1097"/>
      <c r="AP689" s="772"/>
      <c r="AQ689" s="772"/>
      <c r="AR689" s="772"/>
      <c r="AS689" s="772"/>
      <c r="AT689" s="78"/>
      <c r="AU689" s="774"/>
      <c r="AV689" s="774"/>
      <c r="AW689" s="774"/>
      <c r="AX689" s="774"/>
      <c r="AY689" s="78"/>
      <c r="AZ689" s="774"/>
      <c r="BA689" s="774"/>
      <c r="BB689" s="774"/>
      <c r="BC689" s="774"/>
      <c r="BD689" s="78"/>
      <c r="BE689" s="772"/>
      <c r="BF689" s="772"/>
      <c r="BG689" s="772"/>
      <c r="BH689" s="772"/>
      <c r="BI689" s="78"/>
      <c r="BJ689" s="772"/>
      <c r="BK689" s="772"/>
      <c r="BL689" s="772"/>
      <c r="BM689" s="772"/>
      <c r="BN689" s="1119">
        <v>10.336</v>
      </c>
      <c r="BO689" s="772"/>
      <c r="BP689" s="772"/>
      <c r="BQ689" s="772"/>
      <c r="BR689" s="772"/>
      <c r="BS689" s="78"/>
      <c r="BT689" s="838"/>
      <c r="BU689" s="772"/>
      <c r="BV689" s="772"/>
      <c r="BW689" s="772"/>
      <c r="BX689" s="1097"/>
      <c r="BY689" s="772"/>
      <c r="BZ689" s="772"/>
      <c r="CA689" s="772"/>
      <c r="CB689" s="772"/>
      <c r="CC689" s="1097"/>
      <c r="CD689" s="1097"/>
      <c r="CE689" s="1097"/>
      <c r="CF689" s="1097"/>
      <c r="CG689" s="348"/>
    </row>
    <row r="690" spans="1:85" s="613" customFormat="1" x14ac:dyDescent="0.3">
      <c r="A690" s="478" t="s">
        <v>2148</v>
      </c>
      <c r="B690" s="523"/>
      <c r="C690" s="78"/>
      <c r="D690" s="78"/>
      <c r="E690" s="78"/>
      <c r="F690" s="78"/>
      <c r="G690" s="774"/>
      <c r="H690" s="774"/>
      <c r="I690" s="774"/>
      <c r="J690" s="774"/>
      <c r="K690" s="78"/>
      <c r="L690" s="774"/>
      <c r="M690" s="774"/>
      <c r="N690" s="774"/>
      <c r="O690" s="774"/>
      <c r="P690" s="78"/>
      <c r="Q690" s="774"/>
      <c r="R690" s="774"/>
      <c r="S690" s="774"/>
      <c r="T690" s="774"/>
      <c r="U690" s="78"/>
      <c r="V690" s="774"/>
      <c r="W690" s="774"/>
      <c r="X690" s="774"/>
      <c r="Y690" s="774"/>
      <c r="Z690" s="78"/>
      <c r="AA690" s="774"/>
      <c r="AB690" s="774"/>
      <c r="AC690" s="774"/>
      <c r="AD690" s="774"/>
      <c r="AE690" s="78"/>
      <c r="AF690" s="774"/>
      <c r="AG690" s="774"/>
      <c r="AH690" s="774"/>
      <c r="AI690" s="774"/>
      <c r="AJ690" s="78"/>
      <c r="AK690" s="774"/>
      <c r="AL690" s="774"/>
      <c r="AM690" s="774"/>
      <c r="AN690" s="774"/>
      <c r="AO690" s="78"/>
      <c r="AP690" s="774"/>
      <c r="AQ690" s="774"/>
      <c r="AR690" s="774"/>
      <c r="AS690" s="774"/>
      <c r="AT690" s="78"/>
      <c r="AU690" s="774"/>
      <c r="AV690" s="774"/>
      <c r="AW690" s="774"/>
      <c r="AX690" s="774"/>
      <c r="AY690" s="78"/>
      <c r="AZ690" s="774"/>
      <c r="BA690" s="774"/>
      <c r="BB690" s="774"/>
      <c r="BC690" s="774"/>
      <c r="BD690" s="78"/>
      <c r="BE690" s="774"/>
      <c r="BF690" s="774"/>
      <c r="BG690" s="774"/>
      <c r="BH690" s="774"/>
      <c r="BI690" s="1119">
        <v>10.336</v>
      </c>
      <c r="BJ690" s="774"/>
      <c r="BK690" s="774"/>
      <c r="BL690" s="774"/>
      <c r="BM690" s="774"/>
      <c r="BN690" s="78"/>
      <c r="BO690" s="774"/>
      <c r="BP690" s="774"/>
      <c r="BQ690" s="774"/>
      <c r="BR690" s="774"/>
      <c r="BS690" s="78"/>
      <c r="BT690" s="775"/>
      <c r="BU690" s="774"/>
      <c r="BV690" s="774"/>
      <c r="BW690" s="774"/>
      <c r="BX690" s="78"/>
      <c r="BY690" s="774"/>
      <c r="BZ690" s="774"/>
      <c r="CA690" s="774"/>
      <c r="CB690" s="774"/>
      <c r="CC690" s="78"/>
      <c r="CD690" s="78"/>
      <c r="CE690" s="78"/>
      <c r="CF690" s="78"/>
      <c r="CG690" s="532"/>
    </row>
    <row r="691" spans="1:85" s="615" customFormat="1" x14ac:dyDescent="0.3">
      <c r="A691" s="522" t="s">
        <v>2149</v>
      </c>
      <c r="B691" s="521"/>
      <c r="C691" s="1122"/>
      <c r="D691" s="1122"/>
      <c r="E691" s="1122"/>
      <c r="F691" s="1122"/>
      <c r="G691" s="520"/>
      <c r="H691" s="520"/>
      <c r="I691" s="520"/>
      <c r="J691" s="520"/>
      <c r="K691" s="1122"/>
      <c r="L691" s="520"/>
      <c r="M691" s="520"/>
      <c r="N691" s="520"/>
      <c r="O691" s="520"/>
      <c r="P691" s="1122"/>
      <c r="Q691" s="520"/>
      <c r="R691" s="520"/>
      <c r="S691" s="520"/>
      <c r="T691" s="520"/>
      <c r="U691" s="1122"/>
      <c r="V691" s="520"/>
      <c r="W691" s="520"/>
      <c r="X691" s="520"/>
      <c r="Y691" s="520"/>
      <c r="Z691" s="1122"/>
      <c r="AA691" s="520"/>
      <c r="AB691" s="520"/>
      <c r="AC691" s="520"/>
      <c r="AD691" s="520"/>
      <c r="AE691" s="1122"/>
      <c r="AF691" s="520"/>
      <c r="AG691" s="520"/>
      <c r="AH691" s="520"/>
      <c r="AI691" s="520"/>
      <c r="AJ691" s="1122"/>
      <c r="AK691" s="520"/>
      <c r="AL691" s="520"/>
      <c r="AM691" s="520"/>
      <c r="AN691" s="520"/>
      <c r="AO691" s="1122"/>
      <c r="AP691" s="520"/>
      <c r="AQ691" s="520"/>
      <c r="AR691" s="520"/>
      <c r="AS691" s="520"/>
      <c r="AT691" s="1124"/>
      <c r="AU691" s="526"/>
      <c r="AV691" s="526"/>
      <c r="AW691" s="526"/>
      <c r="AX691" s="526"/>
      <c r="AY691" s="1124"/>
      <c r="AZ691" s="526"/>
      <c r="BA691" s="526"/>
      <c r="BB691" s="526"/>
      <c r="BC691" s="526"/>
      <c r="BD691" s="1124"/>
      <c r="BE691" s="520"/>
      <c r="BF691" s="520"/>
      <c r="BG691" s="520"/>
      <c r="BH691" s="520"/>
      <c r="BI691" s="1123">
        <v>403.13</v>
      </c>
      <c r="BJ691" s="520"/>
      <c r="BK691" s="520"/>
      <c r="BL691" s="520"/>
      <c r="BM691" s="520"/>
      <c r="BN691" s="1123">
        <v>403.13</v>
      </c>
      <c r="BO691" s="520"/>
      <c r="BP691" s="520"/>
      <c r="BQ691" s="520"/>
      <c r="BR691" s="520"/>
      <c r="BS691" s="1124"/>
      <c r="BT691" s="728"/>
      <c r="BU691" s="520"/>
      <c r="BV691" s="520"/>
      <c r="BW691" s="520"/>
      <c r="BX691" s="1122"/>
      <c r="BY691" s="520"/>
      <c r="BZ691" s="520"/>
      <c r="CA691" s="520"/>
      <c r="CB691" s="520"/>
      <c r="CC691" s="1122"/>
      <c r="CD691" s="1122"/>
      <c r="CE691" s="1122"/>
      <c r="CF691" s="1122"/>
      <c r="CG691" s="519"/>
    </row>
    <row r="692" spans="1:85" s="615" customFormat="1" x14ac:dyDescent="0.3">
      <c r="A692" s="522"/>
      <c r="B692" s="521"/>
      <c r="C692" s="1122"/>
      <c r="D692" s="1122"/>
      <c r="E692" s="1122"/>
      <c r="F692" s="1122"/>
      <c r="G692" s="520"/>
      <c r="H692" s="520"/>
      <c r="I692" s="520"/>
      <c r="J692" s="520"/>
      <c r="K692" s="1122"/>
      <c r="L692" s="520"/>
      <c r="M692" s="520"/>
      <c r="N692" s="520"/>
      <c r="O692" s="520"/>
      <c r="P692" s="1122"/>
      <c r="Q692" s="520"/>
      <c r="R692" s="520"/>
      <c r="S692" s="520"/>
      <c r="T692" s="520"/>
      <c r="U692" s="1122"/>
      <c r="V692" s="520"/>
      <c r="W692" s="520"/>
      <c r="X692" s="520"/>
      <c r="Y692" s="520"/>
      <c r="Z692" s="1122"/>
      <c r="AA692" s="520"/>
      <c r="AB692" s="520"/>
      <c r="AC692" s="520"/>
      <c r="AD692" s="520"/>
      <c r="AE692" s="1122"/>
      <c r="AF692" s="520"/>
      <c r="AG692" s="520"/>
      <c r="AH692" s="520"/>
      <c r="AI692" s="520"/>
      <c r="AJ692" s="1122"/>
      <c r="AK692" s="520"/>
      <c r="AL692" s="520"/>
      <c r="AM692" s="520"/>
      <c r="AN692" s="520"/>
      <c r="AO692" s="1122"/>
      <c r="AP692" s="520"/>
      <c r="AQ692" s="520"/>
      <c r="AR692" s="520"/>
      <c r="AS692" s="520"/>
      <c r="AT692" s="1124"/>
      <c r="AU692" s="526"/>
      <c r="AV692" s="526"/>
      <c r="AW692" s="526"/>
      <c r="AX692" s="526"/>
      <c r="AY692" s="1124"/>
      <c r="AZ692" s="526"/>
      <c r="BA692" s="526"/>
      <c r="BB692" s="526"/>
      <c r="BC692" s="526"/>
      <c r="BD692" s="1124"/>
      <c r="BE692" s="520"/>
      <c r="BF692" s="520"/>
      <c r="BG692" s="520"/>
      <c r="BH692" s="520"/>
      <c r="BI692" s="1124"/>
      <c r="BJ692" s="520"/>
      <c r="BK692" s="520"/>
      <c r="BL692" s="520"/>
      <c r="BM692" s="520"/>
      <c r="BN692" s="1124"/>
      <c r="BO692" s="520"/>
      <c r="BP692" s="520"/>
      <c r="BQ692" s="520"/>
      <c r="BR692" s="520"/>
      <c r="BS692" s="1124"/>
      <c r="BT692" s="728"/>
      <c r="BU692" s="520"/>
      <c r="BV692" s="520"/>
      <c r="BW692" s="520"/>
      <c r="BX692" s="1122"/>
      <c r="BY692" s="520"/>
      <c r="BZ692" s="520"/>
      <c r="CA692" s="520"/>
      <c r="CB692" s="520"/>
      <c r="CC692" s="1122"/>
      <c r="CD692" s="1122"/>
      <c r="CE692" s="1122"/>
      <c r="CF692" s="1122"/>
      <c r="CG692" s="519"/>
    </row>
    <row r="693" spans="1:85" s="612" customFormat="1" x14ac:dyDescent="0.3">
      <c r="A693" s="478" t="s">
        <v>2414</v>
      </c>
      <c r="B693" s="514"/>
      <c r="C693" s="1097"/>
      <c r="D693" s="1097"/>
      <c r="E693" s="1097"/>
      <c r="F693" s="1097"/>
      <c r="G693" s="772"/>
      <c r="H693" s="772"/>
      <c r="I693" s="772"/>
      <c r="J693" s="772"/>
      <c r="K693" s="1097"/>
      <c r="L693" s="772"/>
      <c r="M693" s="772"/>
      <c r="N693" s="772"/>
      <c r="O693" s="772"/>
      <c r="P693" s="1097"/>
      <c r="Q693" s="772"/>
      <c r="R693" s="772"/>
      <c r="S693" s="772"/>
      <c r="T693" s="772"/>
      <c r="U693" s="1097"/>
      <c r="V693" s="772"/>
      <c r="W693" s="772"/>
      <c r="X693" s="772"/>
      <c r="Y693" s="772"/>
      <c r="Z693" s="1097"/>
      <c r="AA693" s="772"/>
      <c r="AB693" s="772"/>
      <c r="AC693" s="772"/>
      <c r="AD693" s="772"/>
      <c r="AE693" s="1097"/>
      <c r="AF693" s="772"/>
      <c r="AG693" s="772"/>
      <c r="AH693" s="772"/>
      <c r="AI693" s="772"/>
      <c r="AJ693" s="1097"/>
      <c r="AK693" s="772"/>
      <c r="AL693" s="772"/>
      <c r="AM693" s="772"/>
      <c r="AN693" s="772"/>
      <c r="AO693" s="1097"/>
      <c r="AP693" s="772"/>
      <c r="AQ693" s="772"/>
      <c r="AR693" s="772"/>
      <c r="AS693" s="772"/>
      <c r="AT693" s="78"/>
      <c r="AU693" s="774"/>
      <c r="AV693" s="774"/>
      <c r="AW693" s="774"/>
      <c r="AX693" s="774"/>
      <c r="AY693" s="78"/>
      <c r="AZ693" s="774"/>
      <c r="BA693" s="774"/>
      <c r="BB693" s="774"/>
      <c r="BC693" s="774"/>
      <c r="BD693" s="78"/>
      <c r="BE693" s="772"/>
      <c r="BF693" s="772"/>
      <c r="BG693" s="772"/>
      <c r="BH693" s="772"/>
      <c r="BI693" s="78"/>
      <c r="BJ693" s="772"/>
      <c r="BK693" s="772"/>
      <c r="BL693" s="772"/>
      <c r="BM693" s="772"/>
      <c r="BN693" s="1119">
        <v>9.4390000000000001</v>
      </c>
      <c r="BO693" s="772"/>
      <c r="BP693" s="772"/>
      <c r="BQ693" s="772"/>
      <c r="BR693" s="772"/>
      <c r="BS693" s="78"/>
      <c r="BT693" s="838"/>
      <c r="BU693" s="772"/>
      <c r="BV693" s="772"/>
      <c r="BW693" s="772"/>
      <c r="BX693" s="1097"/>
      <c r="BY693" s="772"/>
      <c r="BZ693" s="772"/>
      <c r="CA693" s="772"/>
      <c r="CB693" s="772"/>
      <c r="CC693" s="1097"/>
      <c r="CD693" s="1097"/>
      <c r="CE693" s="1097"/>
      <c r="CF693" s="1097"/>
      <c r="CG693" s="348"/>
    </row>
    <row r="694" spans="1:85" s="613" customFormat="1" x14ac:dyDescent="0.3">
      <c r="A694" s="478" t="s">
        <v>2150</v>
      </c>
      <c r="B694" s="523"/>
      <c r="C694" s="78"/>
      <c r="D694" s="78"/>
      <c r="E694" s="78"/>
      <c r="F694" s="78"/>
      <c r="G694" s="774"/>
      <c r="H694" s="774"/>
      <c r="I694" s="774"/>
      <c r="J694" s="774"/>
      <c r="K694" s="78"/>
      <c r="L694" s="774"/>
      <c r="M694" s="774"/>
      <c r="N694" s="774"/>
      <c r="O694" s="774"/>
      <c r="P694" s="78"/>
      <c r="Q694" s="774"/>
      <c r="R694" s="774"/>
      <c r="S694" s="774"/>
      <c r="T694" s="774"/>
      <c r="U694" s="78"/>
      <c r="V694" s="774"/>
      <c r="W694" s="774"/>
      <c r="X694" s="774"/>
      <c r="Y694" s="774"/>
      <c r="Z694" s="78"/>
      <c r="AA694" s="774"/>
      <c r="AB694" s="774"/>
      <c r="AC694" s="774"/>
      <c r="AD694" s="774"/>
      <c r="AE694" s="78"/>
      <c r="AF694" s="774"/>
      <c r="AG694" s="774"/>
      <c r="AH694" s="774"/>
      <c r="AI694" s="774"/>
      <c r="AJ694" s="78"/>
      <c r="AK694" s="774"/>
      <c r="AL694" s="774"/>
      <c r="AM694" s="774"/>
      <c r="AN694" s="774"/>
      <c r="AO694" s="78"/>
      <c r="AP694" s="774"/>
      <c r="AQ694" s="774"/>
      <c r="AR694" s="774"/>
      <c r="AS694" s="774"/>
      <c r="AT694" s="78"/>
      <c r="AU694" s="774"/>
      <c r="AV694" s="774"/>
      <c r="AW694" s="774"/>
      <c r="AX694" s="774"/>
      <c r="AY694" s="78"/>
      <c r="AZ694" s="774"/>
      <c r="BA694" s="774"/>
      <c r="BB694" s="774"/>
      <c r="BC694" s="774"/>
      <c r="BD694" s="78"/>
      <c r="BE694" s="774"/>
      <c r="BF694" s="774"/>
      <c r="BG694" s="774"/>
      <c r="BH694" s="774"/>
      <c r="BI694" s="1119">
        <v>9.4390000000000001</v>
      </c>
      <c r="BJ694" s="774"/>
      <c r="BK694" s="774"/>
      <c r="BL694" s="774"/>
      <c r="BM694" s="774"/>
      <c r="BN694" s="78"/>
      <c r="BO694" s="774"/>
      <c r="BP694" s="774"/>
      <c r="BQ694" s="774"/>
      <c r="BR694" s="774"/>
      <c r="BS694" s="78"/>
      <c r="BT694" s="775"/>
      <c r="BU694" s="774"/>
      <c r="BV694" s="774"/>
      <c r="BW694" s="774"/>
      <c r="BX694" s="78"/>
      <c r="BY694" s="774"/>
      <c r="BZ694" s="774"/>
      <c r="CA694" s="774"/>
      <c r="CB694" s="774"/>
      <c r="CC694" s="78"/>
      <c r="CD694" s="78"/>
      <c r="CE694" s="78"/>
      <c r="CF694" s="78"/>
      <c r="CG694" s="532"/>
    </row>
    <row r="695" spans="1:85" s="615" customFormat="1" x14ac:dyDescent="0.3">
      <c r="A695" s="522" t="s">
        <v>2151</v>
      </c>
      <c r="B695" s="521"/>
      <c r="C695" s="1122"/>
      <c r="D695" s="1122"/>
      <c r="E695" s="1122"/>
      <c r="F695" s="1122"/>
      <c r="G695" s="520"/>
      <c r="H695" s="520"/>
      <c r="I695" s="520"/>
      <c r="J695" s="520"/>
      <c r="K695" s="1122"/>
      <c r="L695" s="520"/>
      <c r="M695" s="520"/>
      <c r="N695" s="520"/>
      <c r="O695" s="520"/>
      <c r="P695" s="1122"/>
      <c r="Q695" s="520"/>
      <c r="R695" s="520"/>
      <c r="S695" s="520"/>
      <c r="T695" s="520"/>
      <c r="U695" s="1122"/>
      <c r="V695" s="520"/>
      <c r="W695" s="520"/>
      <c r="X695" s="520"/>
      <c r="Y695" s="520"/>
      <c r="Z695" s="1122"/>
      <c r="AA695" s="520"/>
      <c r="AB695" s="520"/>
      <c r="AC695" s="520"/>
      <c r="AD695" s="520"/>
      <c r="AE695" s="1122"/>
      <c r="AF695" s="520"/>
      <c r="AG695" s="520"/>
      <c r="AH695" s="520"/>
      <c r="AI695" s="520"/>
      <c r="AJ695" s="1122"/>
      <c r="AK695" s="520"/>
      <c r="AL695" s="520"/>
      <c r="AM695" s="520"/>
      <c r="AN695" s="520"/>
      <c r="AO695" s="1122"/>
      <c r="AP695" s="520"/>
      <c r="AQ695" s="520"/>
      <c r="AR695" s="520"/>
      <c r="AS695" s="520"/>
      <c r="AT695" s="1124"/>
      <c r="AU695" s="526"/>
      <c r="AV695" s="526"/>
      <c r="AW695" s="526"/>
      <c r="AX695" s="526"/>
      <c r="AY695" s="1124"/>
      <c r="AZ695" s="526"/>
      <c r="BA695" s="526"/>
      <c r="BB695" s="526"/>
      <c r="BC695" s="526"/>
      <c r="BD695" s="1124"/>
      <c r="BE695" s="520"/>
      <c r="BF695" s="520"/>
      <c r="BG695" s="520"/>
      <c r="BH695" s="520"/>
      <c r="BI695" s="1123">
        <v>441.44</v>
      </c>
      <c r="BJ695" s="520"/>
      <c r="BK695" s="520"/>
      <c r="BL695" s="520"/>
      <c r="BM695" s="520"/>
      <c r="BN695" s="1123">
        <v>441.44</v>
      </c>
      <c r="BO695" s="520"/>
      <c r="BP695" s="520"/>
      <c r="BQ695" s="520"/>
      <c r="BR695" s="520"/>
      <c r="BS695" s="1124"/>
      <c r="BT695" s="728"/>
      <c r="BU695" s="520"/>
      <c r="BV695" s="520"/>
      <c r="BW695" s="520"/>
      <c r="BX695" s="1122"/>
      <c r="BY695" s="520"/>
      <c r="BZ695" s="520"/>
      <c r="CA695" s="520"/>
      <c r="CB695" s="520"/>
      <c r="CC695" s="1122"/>
      <c r="CD695" s="1122"/>
      <c r="CE695" s="1122"/>
      <c r="CF695" s="1122"/>
      <c r="CG695" s="519"/>
    </row>
    <row r="696" spans="1:85" s="615" customFormat="1" x14ac:dyDescent="0.3">
      <c r="A696" s="522"/>
      <c r="B696" s="521"/>
      <c r="C696" s="1122"/>
      <c r="D696" s="1122"/>
      <c r="E696" s="1122"/>
      <c r="F696" s="1122"/>
      <c r="G696" s="520"/>
      <c r="H696" s="520"/>
      <c r="I696" s="520"/>
      <c r="J696" s="520"/>
      <c r="K696" s="1122"/>
      <c r="L696" s="520"/>
      <c r="M696" s="520"/>
      <c r="N696" s="520"/>
      <c r="O696" s="520"/>
      <c r="P696" s="1122"/>
      <c r="Q696" s="520"/>
      <c r="R696" s="520"/>
      <c r="S696" s="520"/>
      <c r="T696" s="520"/>
      <c r="U696" s="1122"/>
      <c r="V696" s="520"/>
      <c r="W696" s="520"/>
      <c r="X696" s="520"/>
      <c r="Y696" s="520"/>
      <c r="Z696" s="1122"/>
      <c r="AA696" s="520"/>
      <c r="AB696" s="520"/>
      <c r="AC696" s="520"/>
      <c r="AD696" s="520"/>
      <c r="AE696" s="1122"/>
      <c r="AF696" s="520"/>
      <c r="AG696" s="520"/>
      <c r="AH696" s="520"/>
      <c r="AI696" s="520"/>
      <c r="AJ696" s="1122"/>
      <c r="AK696" s="520"/>
      <c r="AL696" s="520"/>
      <c r="AM696" s="520"/>
      <c r="AN696" s="520"/>
      <c r="AO696" s="1122"/>
      <c r="AP696" s="520"/>
      <c r="AQ696" s="520"/>
      <c r="AR696" s="520"/>
      <c r="AS696" s="520"/>
      <c r="AT696" s="1124"/>
      <c r="AU696" s="526"/>
      <c r="AV696" s="526"/>
      <c r="AW696" s="526"/>
      <c r="AX696" s="526"/>
      <c r="AY696" s="1124"/>
      <c r="AZ696" s="526"/>
      <c r="BA696" s="526"/>
      <c r="BB696" s="526"/>
      <c r="BC696" s="526"/>
      <c r="BD696" s="1124"/>
      <c r="BE696" s="520"/>
      <c r="BF696" s="520"/>
      <c r="BG696" s="520"/>
      <c r="BH696" s="520"/>
      <c r="BI696" s="1124"/>
      <c r="BJ696" s="520"/>
      <c r="BK696" s="520"/>
      <c r="BL696" s="520"/>
      <c r="BM696" s="520"/>
      <c r="BN696" s="1124"/>
      <c r="BO696" s="520"/>
      <c r="BP696" s="520"/>
      <c r="BQ696" s="520"/>
      <c r="BR696" s="520"/>
      <c r="BS696" s="1124"/>
      <c r="BT696" s="728"/>
      <c r="BU696" s="520"/>
      <c r="BV696" s="520"/>
      <c r="BW696" s="520"/>
      <c r="BX696" s="1122"/>
      <c r="BY696" s="520"/>
      <c r="BZ696" s="520"/>
      <c r="CA696" s="520"/>
      <c r="CB696" s="520"/>
      <c r="CC696" s="1122"/>
      <c r="CD696" s="1122"/>
      <c r="CE696" s="1122"/>
      <c r="CF696" s="1122"/>
      <c r="CG696" s="519"/>
    </row>
    <row r="697" spans="1:85" s="612" customFormat="1" x14ac:dyDescent="0.3">
      <c r="A697" s="478" t="s">
        <v>2415</v>
      </c>
      <c r="B697" s="514"/>
      <c r="C697" s="1097"/>
      <c r="D697" s="1097"/>
      <c r="E697" s="1097"/>
      <c r="F697" s="1097"/>
      <c r="G697" s="772"/>
      <c r="H697" s="772"/>
      <c r="I697" s="772"/>
      <c r="J697" s="772"/>
      <c r="K697" s="1097"/>
      <c r="L697" s="772"/>
      <c r="M697" s="772"/>
      <c r="N697" s="772"/>
      <c r="O697" s="772"/>
      <c r="P697" s="1097"/>
      <c r="Q697" s="772"/>
      <c r="R697" s="772"/>
      <c r="S697" s="772"/>
      <c r="T697" s="772"/>
      <c r="U697" s="1097"/>
      <c r="V697" s="772"/>
      <c r="W697" s="772"/>
      <c r="X697" s="772"/>
      <c r="Y697" s="772"/>
      <c r="Z697" s="1097"/>
      <c r="AA697" s="772"/>
      <c r="AB697" s="772"/>
      <c r="AC697" s="772"/>
      <c r="AD697" s="772"/>
      <c r="AE697" s="1097"/>
      <c r="AF697" s="772"/>
      <c r="AG697" s="772"/>
      <c r="AH697" s="772"/>
      <c r="AI697" s="772"/>
      <c r="AJ697" s="1097"/>
      <c r="AK697" s="772"/>
      <c r="AL697" s="772"/>
      <c r="AM697" s="772"/>
      <c r="AN697" s="772"/>
      <c r="AO697" s="1097"/>
      <c r="AP697" s="772"/>
      <c r="AQ697" s="772"/>
      <c r="AR697" s="772"/>
      <c r="AS697" s="772"/>
      <c r="AT697" s="78"/>
      <c r="AU697" s="774"/>
      <c r="AV697" s="774"/>
      <c r="AW697" s="774"/>
      <c r="AX697" s="774"/>
      <c r="AY697" s="78"/>
      <c r="AZ697" s="774"/>
      <c r="BA697" s="774"/>
      <c r="BB697" s="774"/>
      <c r="BC697" s="774"/>
      <c r="BD697" s="78"/>
      <c r="BE697" s="772"/>
      <c r="BF697" s="772"/>
      <c r="BG697" s="772"/>
      <c r="BH697" s="772"/>
      <c r="BI697" s="78"/>
      <c r="BJ697" s="772"/>
      <c r="BK697" s="772"/>
      <c r="BL697" s="772"/>
      <c r="BM697" s="772"/>
      <c r="BN697" s="1119">
        <v>9.4990000000000006</v>
      </c>
      <c r="BO697" s="772"/>
      <c r="BP697" s="772"/>
      <c r="BQ697" s="772"/>
      <c r="BR697" s="772"/>
      <c r="BS697" s="78"/>
      <c r="BT697" s="838"/>
      <c r="BU697" s="772"/>
      <c r="BV697" s="772"/>
      <c r="BW697" s="772"/>
      <c r="BX697" s="1097"/>
      <c r="BY697" s="772"/>
      <c r="BZ697" s="772"/>
      <c r="CA697" s="772"/>
      <c r="CB697" s="772"/>
      <c r="CC697" s="1097"/>
      <c r="CD697" s="1097"/>
      <c r="CE697" s="1097"/>
      <c r="CF697" s="1097"/>
      <c r="CG697" s="348"/>
    </row>
    <row r="698" spans="1:85" s="613" customFormat="1" x14ac:dyDescent="0.3">
      <c r="A698" s="478" t="s">
        <v>2160</v>
      </c>
      <c r="B698" s="523"/>
      <c r="C698" s="78"/>
      <c r="D698" s="78"/>
      <c r="E698" s="78"/>
      <c r="F698" s="78"/>
      <c r="G698" s="774"/>
      <c r="H698" s="774"/>
      <c r="I698" s="774"/>
      <c r="J698" s="774"/>
      <c r="K698" s="78"/>
      <c r="L698" s="774"/>
      <c r="M698" s="774"/>
      <c r="N698" s="774"/>
      <c r="O698" s="774"/>
      <c r="P698" s="78"/>
      <c r="Q698" s="774"/>
      <c r="R698" s="774"/>
      <c r="S698" s="774"/>
      <c r="T698" s="774"/>
      <c r="U698" s="78"/>
      <c r="V698" s="774"/>
      <c r="W698" s="774"/>
      <c r="X698" s="774"/>
      <c r="Y698" s="774"/>
      <c r="Z698" s="78"/>
      <c r="AA698" s="774"/>
      <c r="AB698" s="774"/>
      <c r="AC698" s="774"/>
      <c r="AD698" s="774"/>
      <c r="AE698" s="78"/>
      <c r="AF698" s="774"/>
      <c r="AG698" s="774"/>
      <c r="AH698" s="774"/>
      <c r="AI698" s="774"/>
      <c r="AJ698" s="78"/>
      <c r="AK698" s="774"/>
      <c r="AL698" s="774"/>
      <c r="AM698" s="774"/>
      <c r="AN698" s="774"/>
      <c r="AO698" s="78"/>
      <c r="AP698" s="774"/>
      <c r="AQ698" s="774"/>
      <c r="AR698" s="774"/>
      <c r="AS698" s="774"/>
      <c r="AT698" s="78"/>
      <c r="AU698" s="774"/>
      <c r="AV698" s="774"/>
      <c r="AW698" s="774"/>
      <c r="AX698" s="774"/>
      <c r="AY698" s="78"/>
      <c r="AZ698" s="774"/>
      <c r="BA698" s="774"/>
      <c r="BB698" s="774"/>
      <c r="BC698" s="774"/>
      <c r="BD698" s="78"/>
      <c r="BE698" s="774"/>
      <c r="BF698" s="774"/>
      <c r="BG698" s="774"/>
      <c r="BH698" s="774"/>
      <c r="BI698" s="1119">
        <v>9.4990000000000006</v>
      </c>
      <c r="BJ698" s="774"/>
      <c r="BK698" s="774"/>
      <c r="BL698" s="774"/>
      <c r="BM698" s="774"/>
      <c r="BN698" s="78"/>
      <c r="BO698" s="774"/>
      <c r="BP698" s="774"/>
      <c r="BQ698" s="774"/>
      <c r="BR698" s="774"/>
      <c r="BS698" s="78"/>
      <c r="BT698" s="775"/>
      <c r="BU698" s="774"/>
      <c r="BV698" s="774"/>
      <c r="BW698" s="774"/>
      <c r="BX698" s="78"/>
      <c r="BY698" s="774"/>
      <c r="BZ698" s="774"/>
      <c r="CA698" s="774"/>
      <c r="CB698" s="774"/>
      <c r="CC698" s="78"/>
      <c r="CD698" s="78"/>
      <c r="CE698" s="78"/>
      <c r="CF698" s="78"/>
      <c r="CG698" s="532"/>
    </row>
    <row r="699" spans="1:85" s="615" customFormat="1" x14ac:dyDescent="0.3">
      <c r="A699" s="522" t="s">
        <v>2161</v>
      </c>
      <c r="B699" s="521"/>
      <c r="C699" s="1122"/>
      <c r="D699" s="1122"/>
      <c r="E699" s="1122"/>
      <c r="F699" s="1122"/>
      <c r="G699" s="520"/>
      <c r="H699" s="520"/>
      <c r="I699" s="520"/>
      <c r="J699" s="520"/>
      <c r="K699" s="1122"/>
      <c r="L699" s="520"/>
      <c r="M699" s="520"/>
      <c r="N699" s="520"/>
      <c r="O699" s="520"/>
      <c r="P699" s="1122"/>
      <c r="Q699" s="520"/>
      <c r="R699" s="520"/>
      <c r="S699" s="520"/>
      <c r="T699" s="520"/>
      <c r="U699" s="1122"/>
      <c r="V699" s="520"/>
      <c r="W699" s="520"/>
      <c r="X699" s="520"/>
      <c r="Y699" s="520"/>
      <c r="Z699" s="1122"/>
      <c r="AA699" s="520"/>
      <c r="AB699" s="520"/>
      <c r="AC699" s="520"/>
      <c r="AD699" s="520"/>
      <c r="AE699" s="1122"/>
      <c r="AF699" s="520"/>
      <c r="AG699" s="520"/>
      <c r="AH699" s="520"/>
      <c r="AI699" s="520"/>
      <c r="AJ699" s="1122"/>
      <c r="AK699" s="520"/>
      <c r="AL699" s="520"/>
      <c r="AM699" s="520"/>
      <c r="AN699" s="520"/>
      <c r="AO699" s="1122"/>
      <c r="AP699" s="520"/>
      <c r="AQ699" s="520"/>
      <c r="AR699" s="520"/>
      <c r="AS699" s="520"/>
      <c r="AT699" s="1124"/>
      <c r="AU699" s="526"/>
      <c r="AV699" s="526"/>
      <c r="AW699" s="526"/>
      <c r="AX699" s="526"/>
      <c r="AY699" s="1124"/>
      <c r="AZ699" s="526"/>
      <c r="BA699" s="526"/>
      <c r="BB699" s="526"/>
      <c r="BC699" s="526"/>
      <c r="BD699" s="1124"/>
      <c r="BE699" s="520"/>
      <c r="BF699" s="520"/>
      <c r="BG699" s="520"/>
      <c r="BH699" s="520"/>
      <c r="BI699" s="1123">
        <v>438.62</v>
      </c>
      <c r="BJ699" s="520"/>
      <c r="BK699" s="520"/>
      <c r="BL699" s="520"/>
      <c r="BM699" s="520"/>
      <c r="BN699" s="1123">
        <v>438.62</v>
      </c>
      <c r="BO699" s="520"/>
      <c r="BP699" s="520"/>
      <c r="BQ699" s="520"/>
      <c r="BR699" s="520"/>
      <c r="BS699" s="1124"/>
      <c r="BT699" s="728"/>
      <c r="BU699" s="520"/>
      <c r="BV699" s="520"/>
      <c r="BW699" s="520"/>
      <c r="BX699" s="1122"/>
      <c r="BY699" s="520"/>
      <c r="BZ699" s="520"/>
      <c r="CA699" s="520"/>
      <c r="CB699" s="520"/>
      <c r="CC699" s="1122"/>
      <c r="CD699" s="1122"/>
      <c r="CE699" s="1122"/>
      <c r="CF699" s="1122"/>
      <c r="CG699" s="519"/>
    </row>
    <row r="700" spans="1:85" s="615" customFormat="1" x14ac:dyDescent="0.3">
      <c r="A700" s="522"/>
      <c r="B700" s="521"/>
      <c r="C700" s="1122"/>
      <c r="D700" s="1122"/>
      <c r="E700" s="1122"/>
      <c r="F700" s="1122"/>
      <c r="G700" s="520"/>
      <c r="H700" s="520"/>
      <c r="I700" s="520"/>
      <c r="J700" s="520"/>
      <c r="K700" s="1122"/>
      <c r="L700" s="520"/>
      <c r="M700" s="520"/>
      <c r="N700" s="520"/>
      <c r="O700" s="520"/>
      <c r="P700" s="1122"/>
      <c r="Q700" s="520"/>
      <c r="R700" s="520"/>
      <c r="S700" s="520"/>
      <c r="T700" s="520"/>
      <c r="U700" s="1122"/>
      <c r="V700" s="520"/>
      <c r="W700" s="520"/>
      <c r="X700" s="520"/>
      <c r="Y700" s="520"/>
      <c r="Z700" s="1122"/>
      <c r="AA700" s="520"/>
      <c r="AB700" s="520"/>
      <c r="AC700" s="520"/>
      <c r="AD700" s="520"/>
      <c r="AE700" s="1122"/>
      <c r="AF700" s="520"/>
      <c r="AG700" s="520"/>
      <c r="AH700" s="520"/>
      <c r="AI700" s="520"/>
      <c r="AJ700" s="1122"/>
      <c r="AK700" s="520"/>
      <c r="AL700" s="520"/>
      <c r="AM700" s="520"/>
      <c r="AN700" s="520"/>
      <c r="AO700" s="1122"/>
      <c r="AP700" s="520"/>
      <c r="AQ700" s="520"/>
      <c r="AR700" s="520"/>
      <c r="AS700" s="520"/>
      <c r="AT700" s="1124"/>
      <c r="AU700" s="526"/>
      <c r="AV700" s="526"/>
      <c r="AW700" s="526"/>
      <c r="AX700" s="526"/>
      <c r="AY700" s="1124"/>
      <c r="AZ700" s="526"/>
      <c r="BA700" s="526"/>
      <c r="BB700" s="526"/>
      <c r="BC700" s="526"/>
      <c r="BD700" s="1124"/>
      <c r="BE700" s="520"/>
      <c r="BF700" s="520"/>
      <c r="BG700" s="520"/>
      <c r="BH700" s="520"/>
      <c r="BI700" s="1124"/>
      <c r="BJ700" s="520"/>
      <c r="BK700" s="520"/>
      <c r="BL700" s="520"/>
      <c r="BM700" s="520"/>
      <c r="BN700" s="1124"/>
      <c r="BO700" s="520"/>
      <c r="BP700" s="520"/>
      <c r="BQ700" s="520"/>
      <c r="BR700" s="520"/>
      <c r="BS700" s="1124"/>
      <c r="BT700" s="728"/>
      <c r="BU700" s="520"/>
      <c r="BV700" s="520"/>
      <c r="BW700" s="520"/>
      <c r="BX700" s="1122"/>
      <c r="BY700" s="520"/>
      <c r="BZ700" s="520"/>
      <c r="CA700" s="520"/>
      <c r="CB700" s="520"/>
      <c r="CC700" s="1122"/>
      <c r="CD700" s="1122"/>
      <c r="CE700" s="1122"/>
      <c r="CF700" s="1122"/>
      <c r="CG700" s="519"/>
    </row>
    <row r="701" spans="1:85" s="612" customFormat="1" x14ac:dyDescent="0.3">
      <c r="A701" s="478" t="s">
        <v>2416</v>
      </c>
      <c r="B701" s="514"/>
      <c r="C701" s="1097"/>
      <c r="D701" s="1097"/>
      <c r="E701" s="1097"/>
      <c r="F701" s="1097"/>
      <c r="G701" s="772"/>
      <c r="H701" s="772"/>
      <c r="I701" s="772"/>
      <c r="J701" s="772"/>
      <c r="K701" s="1097"/>
      <c r="L701" s="772"/>
      <c r="M701" s="772"/>
      <c r="N701" s="772"/>
      <c r="O701" s="772"/>
      <c r="P701" s="1097"/>
      <c r="Q701" s="772"/>
      <c r="R701" s="772"/>
      <c r="S701" s="772"/>
      <c r="T701" s="772"/>
      <c r="U701" s="1097"/>
      <c r="V701" s="772"/>
      <c r="W701" s="772"/>
      <c r="X701" s="772"/>
      <c r="Y701" s="772"/>
      <c r="Z701" s="1097"/>
      <c r="AA701" s="772"/>
      <c r="AB701" s="772"/>
      <c r="AC701" s="772"/>
      <c r="AD701" s="772"/>
      <c r="AE701" s="1097"/>
      <c r="AF701" s="772"/>
      <c r="AG701" s="772"/>
      <c r="AH701" s="772"/>
      <c r="AI701" s="772"/>
      <c r="AJ701" s="1097"/>
      <c r="AK701" s="772"/>
      <c r="AL701" s="772"/>
      <c r="AM701" s="772"/>
      <c r="AN701" s="772"/>
      <c r="AO701" s="1097"/>
      <c r="AP701" s="772"/>
      <c r="AQ701" s="772"/>
      <c r="AR701" s="772"/>
      <c r="AS701" s="772"/>
      <c r="AT701" s="78"/>
      <c r="AU701" s="774"/>
      <c r="AV701" s="774"/>
      <c r="AW701" s="774"/>
      <c r="AX701" s="774"/>
      <c r="AY701" s="78"/>
      <c r="AZ701" s="774"/>
      <c r="BA701" s="774"/>
      <c r="BB701" s="774"/>
      <c r="BC701" s="774"/>
      <c r="BD701" s="78"/>
      <c r="BE701" s="772"/>
      <c r="BF701" s="772"/>
      <c r="BG701" s="772"/>
      <c r="BH701" s="772"/>
      <c r="BI701" s="78"/>
      <c r="BJ701" s="772"/>
      <c r="BK701" s="772"/>
      <c r="BL701" s="772"/>
      <c r="BM701" s="772"/>
      <c r="BN701" s="1119">
        <v>9.4719999999999995</v>
      </c>
      <c r="BO701" s="772"/>
      <c r="BP701" s="772"/>
      <c r="BQ701" s="772"/>
      <c r="BR701" s="772"/>
      <c r="BS701" s="78"/>
      <c r="BT701" s="838"/>
      <c r="BU701" s="772"/>
      <c r="BV701" s="772"/>
      <c r="BW701" s="772"/>
      <c r="BX701" s="1097"/>
      <c r="BY701" s="772"/>
      <c r="BZ701" s="772"/>
      <c r="CA701" s="772"/>
      <c r="CB701" s="772"/>
      <c r="CC701" s="1097"/>
      <c r="CD701" s="1097"/>
      <c r="CE701" s="1097"/>
      <c r="CF701" s="1097"/>
      <c r="CG701" s="348"/>
    </row>
    <row r="702" spans="1:85" s="613" customFormat="1" x14ac:dyDescent="0.3">
      <c r="A702" s="478" t="s">
        <v>2152</v>
      </c>
      <c r="B702" s="523"/>
      <c r="C702" s="78"/>
      <c r="D702" s="78"/>
      <c r="E702" s="78"/>
      <c r="F702" s="78"/>
      <c r="G702" s="774"/>
      <c r="H702" s="774"/>
      <c r="I702" s="774"/>
      <c r="J702" s="774"/>
      <c r="K702" s="78"/>
      <c r="L702" s="774"/>
      <c r="M702" s="774"/>
      <c r="N702" s="774"/>
      <c r="O702" s="774"/>
      <c r="P702" s="78"/>
      <c r="Q702" s="774"/>
      <c r="R702" s="774"/>
      <c r="S702" s="774"/>
      <c r="T702" s="774"/>
      <c r="U702" s="78"/>
      <c r="V702" s="774"/>
      <c r="W702" s="774"/>
      <c r="X702" s="774"/>
      <c r="Y702" s="774"/>
      <c r="Z702" s="78"/>
      <c r="AA702" s="774"/>
      <c r="AB702" s="774"/>
      <c r="AC702" s="774"/>
      <c r="AD702" s="774"/>
      <c r="AE702" s="78"/>
      <c r="AF702" s="774"/>
      <c r="AG702" s="774"/>
      <c r="AH702" s="774"/>
      <c r="AI702" s="774"/>
      <c r="AJ702" s="78"/>
      <c r="AK702" s="774"/>
      <c r="AL702" s="774"/>
      <c r="AM702" s="774"/>
      <c r="AN702" s="774"/>
      <c r="AO702" s="78"/>
      <c r="AP702" s="774"/>
      <c r="AQ702" s="774"/>
      <c r="AR702" s="774"/>
      <c r="AS702" s="774"/>
      <c r="AT702" s="78"/>
      <c r="AU702" s="774"/>
      <c r="AV702" s="774"/>
      <c r="AW702" s="774"/>
      <c r="AX702" s="774"/>
      <c r="AY702" s="78"/>
      <c r="AZ702" s="774"/>
      <c r="BA702" s="774"/>
      <c r="BB702" s="774"/>
      <c r="BC702" s="774"/>
      <c r="BD702" s="78"/>
      <c r="BE702" s="774"/>
      <c r="BF702" s="774"/>
      <c r="BG702" s="774"/>
      <c r="BH702" s="774"/>
      <c r="BI702" s="1119">
        <v>9.4719999999999995</v>
      </c>
      <c r="BJ702" s="774"/>
      <c r="BK702" s="774"/>
      <c r="BL702" s="774"/>
      <c r="BM702" s="774"/>
      <c r="BN702" s="78"/>
      <c r="BO702" s="774"/>
      <c r="BP702" s="774"/>
      <c r="BQ702" s="774"/>
      <c r="BR702" s="774"/>
      <c r="BS702" s="78"/>
      <c r="BT702" s="775"/>
      <c r="BU702" s="774"/>
      <c r="BV702" s="774"/>
      <c r="BW702" s="774"/>
      <c r="BX702" s="78"/>
      <c r="BY702" s="774"/>
      <c r="BZ702" s="774"/>
      <c r="CA702" s="774"/>
      <c r="CB702" s="774"/>
      <c r="CC702" s="78"/>
      <c r="CD702" s="78"/>
      <c r="CE702" s="78"/>
      <c r="CF702" s="78"/>
      <c r="CG702" s="532"/>
    </row>
    <row r="703" spans="1:85" s="615" customFormat="1" x14ac:dyDescent="0.3">
      <c r="A703" s="522" t="s">
        <v>2153</v>
      </c>
      <c r="B703" s="521"/>
      <c r="C703" s="1122"/>
      <c r="D703" s="1122"/>
      <c r="E703" s="1122"/>
      <c r="F703" s="1122"/>
      <c r="G703" s="520"/>
      <c r="H703" s="520"/>
      <c r="I703" s="520"/>
      <c r="J703" s="520"/>
      <c r="K703" s="1122"/>
      <c r="L703" s="520"/>
      <c r="M703" s="520"/>
      <c r="N703" s="520"/>
      <c r="O703" s="520"/>
      <c r="P703" s="1122"/>
      <c r="Q703" s="520"/>
      <c r="R703" s="520"/>
      <c r="S703" s="520"/>
      <c r="T703" s="520"/>
      <c r="U703" s="1122"/>
      <c r="V703" s="520"/>
      <c r="W703" s="520"/>
      <c r="X703" s="520"/>
      <c r="Y703" s="520"/>
      <c r="Z703" s="1122"/>
      <c r="AA703" s="520"/>
      <c r="AB703" s="520"/>
      <c r="AC703" s="520"/>
      <c r="AD703" s="520"/>
      <c r="AE703" s="1122"/>
      <c r="AF703" s="520"/>
      <c r="AG703" s="520"/>
      <c r="AH703" s="520"/>
      <c r="AI703" s="520"/>
      <c r="AJ703" s="1122"/>
      <c r="AK703" s="520"/>
      <c r="AL703" s="520"/>
      <c r="AM703" s="520"/>
      <c r="AN703" s="520"/>
      <c r="AO703" s="1122"/>
      <c r="AP703" s="520"/>
      <c r="AQ703" s="520"/>
      <c r="AR703" s="520"/>
      <c r="AS703" s="520"/>
      <c r="AT703" s="1124"/>
      <c r="AU703" s="526"/>
      <c r="AV703" s="526"/>
      <c r="AW703" s="526"/>
      <c r="AX703" s="526"/>
      <c r="AY703" s="1124"/>
      <c r="AZ703" s="526"/>
      <c r="BA703" s="526"/>
      <c r="BB703" s="526"/>
      <c r="BC703" s="526"/>
      <c r="BD703" s="1124"/>
      <c r="BE703" s="520"/>
      <c r="BF703" s="520"/>
      <c r="BG703" s="520"/>
      <c r="BH703" s="520"/>
      <c r="BI703" s="1123">
        <v>439.88</v>
      </c>
      <c r="BJ703" s="520"/>
      <c r="BK703" s="520"/>
      <c r="BL703" s="520"/>
      <c r="BM703" s="520"/>
      <c r="BN703" s="1123">
        <v>439.88</v>
      </c>
      <c r="BO703" s="520"/>
      <c r="BP703" s="520"/>
      <c r="BQ703" s="520"/>
      <c r="BR703" s="520"/>
      <c r="BS703" s="1124"/>
      <c r="BT703" s="728"/>
      <c r="BU703" s="520"/>
      <c r="BV703" s="520"/>
      <c r="BW703" s="520"/>
      <c r="BX703" s="1122"/>
      <c r="BY703" s="520"/>
      <c r="BZ703" s="520"/>
      <c r="CA703" s="520"/>
      <c r="CB703" s="520"/>
      <c r="CC703" s="1122"/>
      <c r="CD703" s="1122"/>
      <c r="CE703" s="1122"/>
      <c r="CF703" s="1122"/>
      <c r="CG703" s="519"/>
    </row>
    <row r="704" spans="1:85" s="615" customFormat="1" x14ac:dyDescent="0.3">
      <c r="A704" s="522"/>
      <c r="B704" s="521"/>
      <c r="C704" s="1122"/>
      <c r="D704" s="1122"/>
      <c r="E704" s="1122"/>
      <c r="F704" s="1122"/>
      <c r="G704" s="520"/>
      <c r="H704" s="520"/>
      <c r="I704" s="520"/>
      <c r="J704" s="520"/>
      <c r="K704" s="1122"/>
      <c r="L704" s="520"/>
      <c r="M704" s="520"/>
      <c r="N704" s="520"/>
      <c r="O704" s="520"/>
      <c r="P704" s="1122"/>
      <c r="Q704" s="520"/>
      <c r="R704" s="520"/>
      <c r="S704" s="520"/>
      <c r="T704" s="520"/>
      <c r="U704" s="1122"/>
      <c r="V704" s="520"/>
      <c r="W704" s="520"/>
      <c r="X704" s="520"/>
      <c r="Y704" s="520"/>
      <c r="Z704" s="1122"/>
      <c r="AA704" s="520"/>
      <c r="AB704" s="520"/>
      <c r="AC704" s="520"/>
      <c r="AD704" s="520"/>
      <c r="AE704" s="1122"/>
      <c r="AF704" s="520"/>
      <c r="AG704" s="520"/>
      <c r="AH704" s="520"/>
      <c r="AI704" s="520"/>
      <c r="AJ704" s="1122"/>
      <c r="AK704" s="520"/>
      <c r="AL704" s="520"/>
      <c r="AM704" s="520"/>
      <c r="AN704" s="520"/>
      <c r="AO704" s="1122"/>
      <c r="AP704" s="520"/>
      <c r="AQ704" s="520"/>
      <c r="AR704" s="520"/>
      <c r="AS704" s="520"/>
      <c r="AT704" s="1124"/>
      <c r="AU704" s="526"/>
      <c r="AV704" s="526"/>
      <c r="AW704" s="526"/>
      <c r="AX704" s="526"/>
      <c r="AY704" s="1124"/>
      <c r="AZ704" s="526"/>
      <c r="BA704" s="526"/>
      <c r="BB704" s="526"/>
      <c r="BC704" s="526"/>
      <c r="BD704" s="1124"/>
      <c r="BE704" s="520"/>
      <c r="BF704" s="520"/>
      <c r="BG704" s="520"/>
      <c r="BH704" s="520"/>
      <c r="BI704" s="1124"/>
      <c r="BJ704" s="520"/>
      <c r="BK704" s="520"/>
      <c r="BL704" s="520"/>
      <c r="BM704" s="520"/>
      <c r="BN704" s="1124"/>
      <c r="BO704" s="520"/>
      <c r="BP704" s="520"/>
      <c r="BQ704" s="520"/>
      <c r="BR704" s="520"/>
      <c r="BS704" s="1124"/>
      <c r="BT704" s="728"/>
      <c r="BU704" s="520"/>
      <c r="BV704" s="520"/>
      <c r="BW704" s="520"/>
      <c r="BX704" s="1122"/>
      <c r="BY704" s="520"/>
      <c r="BZ704" s="520"/>
      <c r="CA704" s="520"/>
      <c r="CB704" s="520"/>
      <c r="CC704" s="1122"/>
      <c r="CD704" s="1122"/>
      <c r="CE704" s="1122"/>
      <c r="CF704" s="1122"/>
      <c r="CG704" s="519"/>
    </row>
    <row r="705" spans="1:85" s="612" customFormat="1" x14ac:dyDescent="0.3">
      <c r="A705" s="478" t="s">
        <v>2417</v>
      </c>
      <c r="B705" s="514"/>
      <c r="C705" s="1097"/>
      <c r="D705" s="1097"/>
      <c r="E705" s="1097"/>
      <c r="F705" s="1097"/>
      <c r="G705" s="772"/>
      <c r="H705" s="772"/>
      <c r="I705" s="772"/>
      <c r="J705" s="772"/>
      <c r="K705" s="1097"/>
      <c r="L705" s="772"/>
      <c r="M705" s="772"/>
      <c r="N705" s="772"/>
      <c r="O705" s="772"/>
      <c r="P705" s="1097"/>
      <c r="Q705" s="772"/>
      <c r="R705" s="772"/>
      <c r="S705" s="772"/>
      <c r="T705" s="772"/>
      <c r="U705" s="1097"/>
      <c r="V705" s="772"/>
      <c r="W705" s="772"/>
      <c r="X705" s="772"/>
      <c r="Y705" s="772"/>
      <c r="Z705" s="1097"/>
      <c r="AA705" s="772"/>
      <c r="AB705" s="772"/>
      <c r="AC705" s="772"/>
      <c r="AD705" s="772"/>
      <c r="AE705" s="1097"/>
      <c r="AF705" s="772"/>
      <c r="AG705" s="772"/>
      <c r="AH705" s="772"/>
      <c r="AI705" s="772"/>
      <c r="AJ705" s="1097"/>
      <c r="AK705" s="772"/>
      <c r="AL705" s="772"/>
      <c r="AM705" s="772"/>
      <c r="AN705" s="772"/>
      <c r="AO705" s="1097"/>
      <c r="AP705" s="772"/>
      <c r="AQ705" s="772"/>
      <c r="AR705" s="772"/>
      <c r="AS705" s="772"/>
      <c r="AT705" s="78"/>
      <c r="AU705" s="774"/>
      <c r="AV705" s="774"/>
      <c r="AW705" s="774"/>
      <c r="AX705" s="774"/>
      <c r="AY705" s="78"/>
      <c r="AZ705" s="774"/>
      <c r="BA705" s="774"/>
      <c r="BB705" s="774"/>
      <c r="BC705" s="774"/>
      <c r="BD705" s="78"/>
      <c r="BE705" s="772"/>
      <c r="BF705" s="772"/>
      <c r="BG705" s="772"/>
      <c r="BH705" s="772"/>
      <c r="BI705" s="78"/>
      <c r="BJ705" s="772"/>
      <c r="BK705" s="772"/>
      <c r="BL705" s="772"/>
      <c r="BM705" s="772"/>
      <c r="BN705" s="1119">
        <v>10.956</v>
      </c>
      <c r="BO705" s="772"/>
      <c r="BP705" s="772"/>
      <c r="BQ705" s="772"/>
      <c r="BR705" s="772"/>
      <c r="BS705" s="78"/>
      <c r="BT705" s="838"/>
      <c r="BU705" s="772"/>
      <c r="BV705" s="772"/>
      <c r="BW705" s="772"/>
      <c r="BX705" s="1097"/>
      <c r="BY705" s="772"/>
      <c r="BZ705" s="772"/>
      <c r="CA705" s="772"/>
      <c r="CB705" s="772"/>
      <c r="CC705" s="1097"/>
      <c r="CD705" s="1097"/>
      <c r="CE705" s="1097"/>
      <c r="CF705" s="1097"/>
      <c r="CG705" s="348"/>
    </row>
    <row r="706" spans="1:85" s="613" customFormat="1" x14ac:dyDescent="0.3">
      <c r="A706" s="478" t="s">
        <v>2154</v>
      </c>
      <c r="B706" s="523"/>
      <c r="C706" s="78"/>
      <c r="D706" s="78"/>
      <c r="E706" s="78"/>
      <c r="F706" s="78"/>
      <c r="G706" s="774"/>
      <c r="H706" s="774"/>
      <c r="I706" s="774"/>
      <c r="J706" s="774"/>
      <c r="K706" s="78"/>
      <c r="L706" s="774"/>
      <c r="M706" s="774"/>
      <c r="N706" s="774"/>
      <c r="O706" s="774"/>
      <c r="P706" s="78"/>
      <c r="Q706" s="774"/>
      <c r="R706" s="774"/>
      <c r="S706" s="774"/>
      <c r="T706" s="774"/>
      <c r="U706" s="78"/>
      <c r="V706" s="774"/>
      <c r="W706" s="774"/>
      <c r="X706" s="774"/>
      <c r="Y706" s="774"/>
      <c r="Z706" s="78"/>
      <c r="AA706" s="774"/>
      <c r="AB706" s="774"/>
      <c r="AC706" s="774"/>
      <c r="AD706" s="774"/>
      <c r="AE706" s="78"/>
      <c r="AF706" s="774"/>
      <c r="AG706" s="774"/>
      <c r="AH706" s="774"/>
      <c r="AI706" s="774"/>
      <c r="AJ706" s="78"/>
      <c r="AK706" s="774"/>
      <c r="AL706" s="774"/>
      <c r="AM706" s="774"/>
      <c r="AN706" s="774"/>
      <c r="AO706" s="78"/>
      <c r="AP706" s="774"/>
      <c r="AQ706" s="774"/>
      <c r="AR706" s="774"/>
      <c r="AS706" s="774"/>
      <c r="AT706" s="78"/>
      <c r="AU706" s="774"/>
      <c r="AV706" s="774"/>
      <c r="AW706" s="774"/>
      <c r="AX706" s="774"/>
      <c r="AY706" s="78"/>
      <c r="AZ706" s="774"/>
      <c r="BA706" s="774"/>
      <c r="BB706" s="774"/>
      <c r="BC706" s="774"/>
      <c r="BD706" s="78"/>
      <c r="BE706" s="774"/>
      <c r="BF706" s="774"/>
      <c r="BG706" s="774"/>
      <c r="BH706" s="774"/>
      <c r="BI706" s="1119">
        <v>10.956</v>
      </c>
      <c r="BJ706" s="774"/>
      <c r="BK706" s="774"/>
      <c r="BL706" s="774"/>
      <c r="BM706" s="774"/>
      <c r="BN706" s="78"/>
      <c r="BO706" s="774"/>
      <c r="BP706" s="774"/>
      <c r="BQ706" s="774"/>
      <c r="BR706" s="774"/>
      <c r="BS706" s="78"/>
      <c r="BT706" s="775"/>
      <c r="BU706" s="774"/>
      <c r="BV706" s="774"/>
      <c r="BW706" s="774"/>
      <c r="BX706" s="78"/>
      <c r="BY706" s="774"/>
      <c r="BZ706" s="774"/>
      <c r="CA706" s="774"/>
      <c r="CB706" s="774"/>
      <c r="CC706" s="78"/>
      <c r="CD706" s="78"/>
      <c r="CE706" s="78"/>
      <c r="CF706" s="78"/>
      <c r="CG706" s="532"/>
    </row>
    <row r="707" spans="1:85" s="615" customFormat="1" x14ac:dyDescent="0.3">
      <c r="A707" s="522" t="s">
        <v>2155</v>
      </c>
      <c r="B707" s="521"/>
      <c r="C707" s="1122"/>
      <c r="D707" s="1122"/>
      <c r="E707" s="1122"/>
      <c r="F707" s="1122"/>
      <c r="G707" s="520"/>
      <c r="H707" s="520"/>
      <c r="I707" s="520"/>
      <c r="J707" s="520"/>
      <c r="K707" s="1122"/>
      <c r="L707" s="520"/>
      <c r="M707" s="520"/>
      <c r="N707" s="520"/>
      <c r="O707" s="520"/>
      <c r="P707" s="1122"/>
      <c r="Q707" s="520"/>
      <c r="R707" s="520"/>
      <c r="S707" s="520"/>
      <c r="T707" s="520"/>
      <c r="U707" s="1122"/>
      <c r="V707" s="520"/>
      <c r="W707" s="520"/>
      <c r="X707" s="520"/>
      <c r="Y707" s="520"/>
      <c r="Z707" s="1122"/>
      <c r="AA707" s="520"/>
      <c r="AB707" s="520"/>
      <c r="AC707" s="520"/>
      <c r="AD707" s="520"/>
      <c r="AE707" s="1122"/>
      <c r="AF707" s="520"/>
      <c r="AG707" s="520"/>
      <c r="AH707" s="520"/>
      <c r="AI707" s="520"/>
      <c r="AJ707" s="1122"/>
      <c r="AK707" s="520"/>
      <c r="AL707" s="520"/>
      <c r="AM707" s="520"/>
      <c r="AN707" s="520"/>
      <c r="AO707" s="1122"/>
      <c r="AP707" s="520"/>
      <c r="AQ707" s="520"/>
      <c r="AR707" s="520"/>
      <c r="AS707" s="520"/>
      <c r="AT707" s="1124"/>
      <c r="AU707" s="526"/>
      <c r="AV707" s="526"/>
      <c r="AW707" s="526"/>
      <c r="AX707" s="526"/>
      <c r="AY707" s="1124"/>
      <c r="AZ707" s="526"/>
      <c r="BA707" s="526"/>
      <c r="BB707" s="526"/>
      <c r="BC707" s="526"/>
      <c r="BD707" s="1124"/>
      <c r="BE707" s="520"/>
      <c r="BF707" s="520"/>
      <c r="BG707" s="520"/>
      <c r="BH707" s="520"/>
      <c r="BI707" s="1123">
        <v>380.33</v>
      </c>
      <c r="BJ707" s="520"/>
      <c r="BK707" s="520"/>
      <c r="BL707" s="520"/>
      <c r="BM707" s="520"/>
      <c r="BN707" s="1123">
        <v>380.33</v>
      </c>
      <c r="BO707" s="520"/>
      <c r="BP707" s="520"/>
      <c r="BQ707" s="520"/>
      <c r="BR707" s="520"/>
      <c r="BS707" s="1124"/>
      <c r="BT707" s="728"/>
      <c r="BU707" s="520"/>
      <c r="BV707" s="520"/>
      <c r="BW707" s="520"/>
      <c r="BX707" s="1122"/>
      <c r="BY707" s="520"/>
      <c r="BZ707" s="520"/>
      <c r="CA707" s="520"/>
      <c r="CB707" s="520"/>
      <c r="CC707" s="1122"/>
      <c r="CD707" s="1122"/>
      <c r="CE707" s="1122"/>
      <c r="CF707" s="1122"/>
      <c r="CG707" s="519"/>
    </row>
    <row r="708" spans="1:85" s="615" customFormat="1" x14ac:dyDescent="0.3">
      <c r="A708" s="522"/>
      <c r="B708" s="521"/>
      <c r="C708" s="1122"/>
      <c r="D708" s="1122"/>
      <c r="E708" s="1122"/>
      <c r="F708" s="1122"/>
      <c r="G708" s="520"/>
      <c r="H708" s="520"/>
      <c r="I708" s="520"/>
      <c r="J708" s="520"/>
      <c r="K708" s="1122"/>
      <c r="L708" s="520"/>
      <c r="M708" s="520"/>
      <c r="N708" s="520"/>
      <c r="O708" s="520"/>
      <c r="P708" s="1122"/>
      <c r="Q708" s="520"/>
      <c r="R708" s="520"/>
      <c r="S708" s="520"/>
      <c r="T708" s="520"/>
      <c r="U708" s="1122"/>
      <c r="V708" s="520"/>
      <c r="W708" s="520"/>
      <c r="X708" s="520"/>
      <c r="Y708" s="520"/>
      <c r="Z708" s="1122"/>
      <c r="AA708" s="520"/>
      <c r="AB708" s="520"/>
      <c r="AC708" s="520"/>
      <c r="AD708" s="520"/>
      <c r="AE708" s="1122"/>
      <c r="AF708" s="520"/>
      <c r="AG708" s="520"/>
      <c r="AH708" s="520"/>
      <c r="AI708" s="520"/>
      <c r="AJ708" s="1122"/>
      <c r="AK708" s="520"/>
      <c r="AL708" s="520"/>
      <c r="AM708" s="520"/>
      <c r="AN708" s="520"/>
      <c r="AO708" s="1122"/>
      <c r="AP708" s="520"/>
      <c r="AQ708" s="520"/>
      <c r="AR708" s="520"/>
      <c r="AS708" s="520"/>
      <c r="AT708" s="1124"/>
      <c r="AU708" s="526"/>
      <c r="AV708" s="526"/>
      <c r="AW708" s="526"/>
      <c r="AX708" s="526"/>
      <c r="AY708" s="1124"/>
      <c r="AZ708" s="526"/>
      <c r="BA708" s="526"/>
      <c r="BB708" s="526"/>
      <c r="BC708" s="526"/>
      <c r="BD708" s="1124"/>
      <c r="BE708" s="520"/>
      <c r="BF708" s="520"/>
      <c r="BG708" s="520"/>
      <c r="BH708" s="520"/>
      <c r="BI708" s="1124"/>
      <c r="BJ708" s="520"/>
      <c r="BK708" s="520"/>
      <c r="BL708" s="520"/>
      <c r="BM708" s="520"/>
      <c r="BN708" s="1124"/>
      <c r="BO708" s="520"/>
      <c r="BP708" s="520"/>
      <c r="BQ708" s="520"/>
      <c r="BR708" s="520"/>
      <c r="BS708" s="1124"/>
      <c r="BT708" s="728"/>
      <c r="BU708" s="520"/>
      <c r="BV708" s="520"/>
      <c r="BW708" s="520"/>
      <c r="BX708" s="1122"/>
      <c r="BY708" s="520"/>
      <c r="BZ708" s="520"/>
      <c r="CA708" s="520"/>
      <c r="CB708" s="520"/>
      <c r="CC708" s="1122"/>
      <c r="CD708" s="1122"/>
      <c r="CE708" s="1122"/>
      <c r="CF708" s="1122"/>
      <c r="CG708" s="519"/>
    </row>
    <row r="709" spans="1:85" s="612" customFormat="1" x14ac:dyDescent="0.3">
      <c r="A709" s="478" t="s">
        <v>2418</v>
      </c>
      <c r="B709" s="514"/>
      <c r="C709" s="1097"/>
      <c r="D709" s="1097"/>
      <c r="E709" s="1097"/>
      <c r="F709" s="1097"/>
      <c r="G709" s="772"/>
      <c r="H709" s="772"/>
      <c r="I709" s="772"/>
      <c r="J709" s="772"/>
      <c r="K709" s="1097"/>
      <c r="L709" s="772"/>
      <c r="M709" s="772"/>
      <c r="N709" s="772"/>
      <c r="O709" s="772"/>
      <c r="P709" s="1097"/>
      <c r="Q709" s="772"/>
      <c r="R709" s="772"/>
      <c r="S709" s="772"/>
      <c r="T709" s="772"/>
      <c r="U709" s="1097"/>
      <c r="V709" s="772"/>
      <c r="W709" s="772"/>
      <c r="X709" s="772"/>
      <c r="Y709" s="772"/>
      <c r="Z709" s="1097"/>
      <c r="AA709" s="772"/>
      <c r="AB709" s="772"/>
      <c r="AC709" s="772"/>
      <c r="AD709" s="772"/>
      <c r="AE709" s="1097"/>
      <c r="AF709" s="772"/>
      <c r="AG709" s="772"/>
      <c r="AH709" s="772"/>
      <c r="AI709" s="772"/>
      <c r="AJ709" s="1097"/>
      <c r="AK709" s="772"/>
      <c r="AL709" s="772"/>
      <c r="AM709" s="772"/>
      <c r="AN709" s="772"/>
      <c r="AO709" s="1097"/>
      <c r="AP709" s="772"/>
      <c r="AQ709" s="772"/>
      <c r="AR709" s="772"/>
      <c r="AS709" s="772"/>
      <c r="AT709" s="78"/>
      <c r="AU709" s="774"/>
      <c r="AV709" s="774"/>
      <c r="AW709" s="774"/>
      <c r="AX709" s="774"/>
      <c r="AY709" s="78"/>
      <c r="AZ709" s="774"/>
      <c r="BA709" s="774"/>
      <c r="BB709" s="774"/>
      <c r="BC709" s="774"/>
      <c r="BD709" s="78"/>
      <c r="BE709" s="772"/>
      <c r="BF709" s="772"/>
      <c r="BG709" s="772"/>
      <c r="BH709" s="772"/>
      <c r="BI709" s="78"/>
      <c r="BJ709" s="772"/>
      <c r="BK709" s="772"/>
      <c r="BL709" s="772"/>
      <c r="BM709" s="772"/>
      <c r="BN709" s="1119">
        <v>9.9160000000000004</v>
      </c>
      <c r="BO709" s="772"/>
      <c r="BP709" s="772"/>
      <c r="BQ709" s="772"/>
      <c r="BR709" s="772"/>
      <c r="BS709" s="78"/>
      <c r="BT709" s="838"/>
      <c r="BU709" s="772"/>
      <c r="BV709" s="772"/>
      <c r="BW709" s="772"/>
      <c r="BX709" s="1097"/>
      <c r="BY709" s="772"/>
      <c r="BZ709" s="772"/>
      <c r="CA709" s="772"/>
      <c r="CB709" s="772"/>
      <c r="CC709" s="1097"/>
      <c r="CD709" s="1097"/>
      <c r="CE709" s="1097"/>
      <c r="CF709" s="1097"/>
      <c r="CG709" s="348"/>
    </row>
    <row r="710" spans="1:85" s="613" customFormat="1" x14ac:dyDescent="0.3">
      <c r="A710" s="478" t="s">
        <v>2156</v>
      </c>
      <c r="B710" s="523"/>
      <c r="C710" s="78"/>
      <c r="D710" s="78"/>
      <c r="E710" s="78"/>
      <c r="F710" s="78"/>
      <c r="G710" s="774"/>
      <c r="H710" s="774"/>
      <c r="I710" s="774"/>
      <c r="J710" s="774"/>
      <c r="K710" s="78"/>
      <c r="L710" s="774"/>
      <c r="M710" s="774"/>
      <c r="N710" s="774"/>
      <c r="O710" s="774"/>
      <c r="P710" s="78"/>
      <c r="Q710" s="774"/>
      <c r="R710" s="774"/>
      <c r="S710" s="774"/>
      <c r="T710" s="774"/>
      <c r="U710" s="78"/>
      <c r="V710" s="774"/>
      <c r="W710" s="774"/>
      <c r="X710" s="774"/>
      <c r="Y710" s="774"/>
      <c r="Z710" s="78"/>
      <c r="AA710" s="774"/>
      <c r="AB710" s="774"/>
      <c r="AC710" s="774"/>
      <c r="AD710" s="774"/>
      <c r="AE710" s="78"/>
      <c r="AF710" s="774"/>
      <c r="AG710" s="774"/>
      <c r="AH710" s="774"/>
      <c r="AI710" s="774"/>
      <c r="AJ710" s="78"/>
      <c r="AK710" s="774"/>
      <c r="AL710" s="774"/>
      <c r="AM710" s="774"/>
      <c r="AN710" s="774"/>
      <c r="AO710" s="78"/>
      <c r="AP710" s="774"/>
      <c r="AQ710" s="774"/>
      <c r="AR710" s="774"/>
      <c r="AS710" s="774"/>
      <c r="AT710" s="78"/>
      <c r="AU710" s="774"/>
      <c r="AV710" s="774"/>
      <c r="AW710" s="774"/>
      <c r="AX710" s="774"/>
      <c r="AY710" s="78"/>
      <c r="AZ710" s="774"/>
      <c r="BA710" s="774"/>
      <c r="BB710" s="774"/>
      <c r="BC710" s="774"/>
      <c r="BD710" s="78"/>
      <c r="BE710" s="774"/>
      <c r="BF710" s="774"/>
      <c r="BG710" s="774"/>
      <c r="BH710" s="774"/>
      <c r="BI710" s="1119">
        <v>9.9160000000000004</v>
      </c>
      <c r="BJ710" s="774"/>
      <c r="BK710" s="774"/>
      <c r="BL710" s="774"/>
      <c r="BM710" s="774"/>
      <c r="BN710" s="78"/>
      <c r="BO710" s="774"/>
      <c r="BP710" s="774"/>
      <c r="BQ710" s="774"/>
      <c r="BR710" s="774"/>
      <c r="BS710" s="78"/>
      <c r="BT710" s="775"/>
      <c r="BU710" s="774"/>
      <c r="BV710" s="774"/>
      <c r="BW710" s="774"/>
      <c r="BX710" s="78"/>
      <c r="BY710" s="774"/>
      <c r="BZ710" s="774"/>
      <c r="CA710" s="774"/>
      <c r="CB710" s="774"/>
      <c r="CC710" s="78"/>
      <c r="CD710" s="78"/>
      <c r="CE710" s="78"/>
      <c r="CF710" s="78"/>
      <c r="CG710" s="532"/>
    </row>
    <row r="711" spans="1:85" s="615" customFormat="1" x14ac:dyDescent="0.3">
      <c r="A711" s="522" t="s">
        <v>2157</v>
      </c>
      <c r="B711" s="521"/>
      <c r="C711" s="1122"/>
      <c r="D711" s="1122"/>
      <c r="E711" s="1122"/>
      <c r="F711" s="1122"/>
      <c r="G711" s="520"/>
      <c r="H711" s="520"/>
      <c r="I711" s="520"/>
      <c r="J711" s="520"/>
      <c r="K711" s="1122"/>
      <c r="L711" s="520"/>
      <c r="M711" s="520"/>
      <c r="N711" s="520"/>
      <c r="O711" s="520"/>
      <c r="P711" s="1122"/>
      <c r="Q711" s="520"/>
      <c r="R711" s="520"/>
      <c r="S711" s="520"/>
      <c r="T711" s="520"/>
      <c r="U711" s="1122"/>
      <c r="V711" s="520"/>
      <c r="W711" s="520"/>
      <c r="X711" s="520"/>
      <c r="Y711" s="520"/>
      <c r="Z711" s="1122"/>
      <c r="AA711" s="520"/>
      <c r="AB711" s="520"/>
      <c r="AC711" s="520"/>
      <c r="AD711" s="520"/>
      <c r="AE711" s="1122"/>
      <c r="AF711" s="520"/>
      <c r="AG711" s="520"/>
      <c r="AH711" s="520"/>
      <c r="AI711" s="520"/>
      <c r="AJ711" s="1122"/>
      <c r="AK711" s="520"/>
      <c r="AL711" s="520"/>
      <c r="AM711" s="520"/>
      <c r="AN711" s="520"/>
      <c r="AO711" s="1122"/>
      <c r="AP711" s="520"/>
      <c r="AQ711" s="520"/>
      <c r="AR711" s="520"/>
      <c r="AS711" s="520"/>
      <c r="AT711" s="1124"/>
      <c r="AU711" s="526"/>
      <c r="AV711" s="526"/>
      <c r="AW711" s="526"/>
      <c r="AX711" s="526"/>
      <c r="AY711" s="1124"/>
      <c r="AZ711" s="526"/>
      <c r="BA711" s="526"/>
      <c r="BB711" s="526"/>
      <c r="BC711" s="526"/>
      <c r="BD711" s="1124"/>
      <c r="BE711" s="520"/>
      <c r="BF711" s="520"/>
      <c r="BG711" s="520"/>
      <c r="BH711" s="520"/>
      <c r="BI711" s="1123">
        <v>420.19</v>
      </c>
      <c r="BJ711" s="520"/>
      <c r="BK711" s="520"/>
      <c r="BL711" s="520"/>
      <c r="BM711" s="520"/>
      <c r="BN711" s="1123">
        <v>420.19</v>
      </c>
      <c r="BO711" s="520"/>
      <c r="BP711" s="520"/>
      <c r="BQ711" s="520"/>
      <c r="BR711" s="520"/>
      <c r="BS711" s="1124"/>
      <c r="BT711" s="728"/>
      <c r="BU711" s="520"/>
      <c r="BV711" s="520"/>
      <c r="BW711" s="520"/>
      <c r="BX711" s="1122"/>
      <c r="BY711" s="520"/>
      <c r="BZ711" s="520"/>
      <c r="CA711" s="520"/>
      <c r="CB711" s="520"/>
      <c r="CC711" s="1122"/>
      <c r="CD711" s="1122"/>
      <c r="CE711" s="1122"/>
      <c r="CF711" s="1122"/>
      <c r="CG711" s="519"/>
    </row>
    <row r="712" spans="1:85" s="615" customFormat="1" x14ac:dyDescent="0.3">
      <c r="A712" s="522"/>
      <c r="B712" s="521"/>
      <c r="C712" s="1122"/>
      <c r="D712" s="1122"/>
      <c r="E712" s="1122"/>
      <c r="F712" s="1122"/>
      <c r="G712" s="520"/>
      <c r="H712" s="520"/>
      <c r="I712" s="520"/>
      <c r="J712" s="520"/>
      <c r="K712" s="1122"/>
      <c r="L712" s="520"/>
      <c r="M712" s="520"/>
      <c r="N712" s="520"/>
      <c r="O712" s="520"/>
      <c r="P712" s="1122"/>
      <c r="Q712" s="520"/>
      <c r="R712" s="520"/>
      <c r="S712" s="520"/>
      <c r="T712" s="520"/>
      <c r="U712" s="1122"/>
      <c r="V712" s="520"/>
      <c r="W712" s="520"/>
      <c r="X712" s="520"/>
      <c r="Y712" s="520"/>
      <c r="Z712" s="1122"/>
      <c r="AA712" s="520"/>
      <c r="AB712" s="520"/>
      <c r="AC712" s="520"/>
      <c r="AD712" s="520"/>
      <c r="AE712" s="1122"/>
      <c r="AF712" s="520"/>
      <c r="AG712" s="520"/>
      <c r="AH712" s="520"/>
      <c r="AI712" s="520"/>
      <c r="AJ712" s="1122"/>
      <c r="AK712" s="520"/>
      <c r="AL712" s="520"/>
      <c r="AM712" s="520"/>
      <c r="AN712" s="520"/>
      <c r="AO712" s="1122"/>
      <c r="AP712" s="520"/>
      <c r="AQ712" s="520"/>
      <c r="AR712" s="520"/>
      <c r="AS712" s="520"/>
      <c r="AT712" s="1124"/>
      <c r="AU712" s="526"/>
      <c r="AV712" s="526"/>
      <c r="AW712" s="526"/>
      <c r="AX712" s="526"/>
      <c r="AY712" s="1124"/>
      <c r="AZ712" s="526"/>
      <c r="BA712" s="526"/>
      <c r="BB712" s="526"/>
      <c r="BC712" s="526"/>
      <c r="BD712" s="1124"/>
      <c r="BE712" s="520"/>
      <c r="BF712" s="520"/>
      <c r="BG712" s="520"/>
      <c r="BH712" s="520"/>
      <c r="BI712" s="1124"/>
      <c r="BJ712" s="520"/>
      <c r="BK712" s="520"/>
      <c r="BL712" s="520"/>
      <c r="BM712" s="520"/>
      <c r="BN712" s="1124"/>
      <c r="BO712" s="520"/>
      <c r="BP712" s="520"/>
      <c r="BQ712" s="520"/>
      <c r="BR712" s="520"/>
      <c r="BS712" s="1124"/>
      <c r="BT712" s="728"/>
      <c r="BU712" s="520"/>
      <c r="BV712" s="520"/>
      <c r="BW712" s="520"/>
      <c r="BX712" s="1122"/>
      <c r="BY712" s="520"/>
      <c r="BZ712" s="520"/>
      <c r="CA712" s="520"/>
      <c r="CB712" s="520"/>
      <c r="CC712" s="1122"/>
      <c r="CD712" s="1122"/>
      <c r="CE712" s="1122"/>
      <c r="CF712" s="1122"/>
      <c r="CG712" s="519"/>
    </row>
    <row r="713" spans="1:85" s="612" customFormat="1" x14ac:dyDescent="0.3">
      <c r="A713" s="478" t="s">
        <v>2419</v>
      </c>
      <c r="B713" s="514"/>
      <c r="C713" s="1097"/>
      <c r="D713" s="1097"/>
      <c r="E713" s="1097"/>
      <c r="F713" s="1097"/>
      <c r="G713" s="772"/>
      <c r="H713" s="772"/>
      <c r="I713" s="772"/>
      <c r="J713" s="772"/>
      <c r="K713" s="1097"/>
      <c r="L713" s="772"/>
      <c r="M713" s="772"/>
      <c r="N713" s="772"/>
      <c r="O713" s="772"/>
      <c r="P713" s="1097"/>
      <c r="Q713" s="772"/>
      <c r="R713" s="772"/>
      <c r="S713" s="772"/>
      <c r="T713" s="772"/>
      <c r="U713" s="1097"/>
      <c r="V713" s="772"/>
      <c r="W713" s="772"/>
      <c r="X713" s="772"/>
      <c r="Y713" s="772"/>
      <c r="Z713" s="1097"/>
      <c r="AA713" s="772"/>
      <c r="AB713" s="772"/>
      <c r="AC713" s="772"/>
      <c r="AD713" s="772"/>
      <c r="AE713" s="1097"/>
      <c r="AF713" s="772"/>
      <c r="AG713" s="772"/>
      <c r="AH713" s="772"/>
      <c r="AI713" s="772"/>
      <c r="AJ713" s="1097"/>
      <c r="AK713" s="772"/>
      <c r="AL713" s="772"/>
      <c r="AM713" s="772"/>
      <c r="AN713" s="772"/>
      <c r="AO713" s="1097"/>
      <c r="AP713" s="772"/>
      <c r="AQ713" s="772"/>
      <c r="AR713" s="772"/>
      <c r="AS713" s="772"/>
      <c r="AT713" s="78"/>
      <c r="AU713" s="774"/>
      <c r="AV713" s="774"/>
      <c r="AW713" s="774"/>
      <c r="AX713" s="774"/>
      <c r="AY713" s="78"/>
      <c r="AZ713" s="774"/>
      <c r="BA713" s="774"/>
      <c r="BB713" s="774"/>
      <c r="BC713" s="774"/>
      <c r="BD713" s="78"/>
      <c r="BE713" s="772"/>
      <c r="BF713" s="772"/>
      <c r="BG713" s="772"/>
      <c r="BH713" s="772"/>
      <c r="BI713" s="78"/>
      <c r="BJ713" s="772"/>
      <c r="BK713" s="772"/>
      <c r="BL713" s="772"/>
      <c r="BM713" s="772"/>
      <c r="BN713" s="1119">
        <v>8.9459999999999997</v>
      </c>
      <c r="BO713" s="772"/>
      <c r="BP713" s="772"/>
      <c r="BQ713" s="772"/>
      <c r="BR713" s="772"/>
      <c r="BS713" s="78"/>
      <c r="BT713" s="838"/>
      <c r="BU713" s="772"/>
      <c r="BV713" s="772"/>
      <c r="BW713" s="772"/>
      <c r="BX713" s="1097"/>
      <c r="BY713" s="772"/>
      <c r="BZ713" s="772"/>
      <c r="CA713" s="772"/>
      <c r="CB713" s="772"/>
      <c r="CC713" s="1097"/>
      <c r="CD713" s="1097"/>
      <c r="CE713" s="1097"/>
      <c r="CF713" s="1097"/>
      <c r="CG713" s="348"/>
    </row>
    <row r="714" spans="1:85" s="613" customFormat="1" x14ac:dyDescent="0.3">
      <c r="A714" s="478" t="s">
        <v>2158</v>
      </c>
      <c r="B714" s="523"/>
      <c r="C714" s="78"/>
      <c r="D714" s="78"/>
      <c r="E714" s="78"/>
      <c r="F714" s="78"/>
      <c r="G714" s="774"/>
      <c r="H714" s="774"/>
      <c r="I714" s="774"/>
      <c r="J714" s="774"/>
      <c r="K714" s="78"/>
      <c r="L714" s="774"/>
      <c r="M714" s="774"/>
      <c r="N714" s="774"/>
      <c r="O714" s="774"/>
      <c r="P714" s="78"/>
      <c r="Q714" s="774"/>
      <c r="R714" s="774"/>
      <c r="S714" s="774"/>
      <c r="T714" s="774"/>
      <c r="U714" s="78"/>
      <c r="V714" s="774"/>
      <c r="W714" s="774"/>
      <c r="X714" s="774"/>
      <c r="Y714" s="774"/>
      <c r="Z714" s="78"/>
      <c r="AA714" s="774"/>
      <c r="AB714" s="774"/>
      <c r="AC714" s="774"/>
      <c r="AD714" s="774"/>
      <c r="AE714" s="78"/>
      <c r="AF714" s="774"/>
      <c r="AG714" s="774"/>
      <c r="AH714" s="774"/>
      <c r="AI714" s="774"/>
      <c r="AJ714" s="78"/>
      <c r="AK714" s="774"/>
      <c r="AL714" s="774"/>
      <c r="AM714" s="774"/>
      <c r="AN714" s="774"/>
      <c r="AO714" s="78"/>
      <c r="AP714" s="774"/>
      <c r="AQ714" s="774"/>
      <c r="AR714" s="774"/>
      <c r="AS714" s="774"/>
      <c r="AT714" s="78"/>
      <c r="AU714" s="774"/>
      <c r="AV714" s="774"/>
      <c r="AW714" s="774"/>
      <c r="AX714" s="774"/>
      <c r="AY714" s="78"/>
      <c r="AZ714" s="774"/>
      <c r="BA714" s="774"/>
      <c r="BB714" s="774"/>
      <c r="BC714" s="774"/>
      <c r="BD714" s="78"/>
      <c r="BE714" s="774"/>
      <c r="BF714" s="774"/>
      <c r="BG714" s="774"/>
      <c r="BH714" s="774"/>
      <c r="BI714" s="1119">
        <v>8.9459999999999997</v>
      </c>
      <c r="BJ714" s="774"/>
      <c r="BK714" s="774"/>
      <c r="BL714" s="774"/>
      <c r="BM714" s="774"/>
      <c r="BN714" s="78"/>
      <c r="BO714" s="774"/>
      <c r="BP714" s="774"/>
      <c r="BQ714" s="774"/>
      <c r="BR714" s="774"/>
      <c r="BS714" s="78"/>
      <c r="BT714" s="775"/>
      <c r="BU714" s="774"/>
      <c r="BV714" s="774"/>
      <c r="BW714" s="774"/>
      <c r="BX714" s="78"/>
      <c r="BY714" s="774"/>
      <c r="BZ714" s="774"/>
      <c r="CA714" s="774"/>
      <c r="CB714" s="774"/>
      <c r="CC714" s="78"/>
      <c r="CD714" s="78"/>
      <c r="CE714" s="78"/>
      <c r="CF714" s="78"/>
      <c r="CG714" s="532"/>
    </row>
    <row r="715" spans="1:85" s="615" customFormat="1" x14ac:dyDescent="0.3">
      <c r="A715" s="522" t="s">
        <v>2159</v>
      </c>
      <c r="B715" s="521"/>
      <c r="C715" s="1122"/>
      <c r="D715" s="1122"/>
      <c r="E715" s="1122"/>
      <c r="F715" s="1122"/>
      <c r="G715" s="520"/>
      <c r="H715" s="520"/>
      <c r="I715" s="520"/>
      <c r="J715" s="520"/>
      <c r="K715" s="1122"/>
      <c r="L715" s="520"/>
      <c r="M715" s="520"/>
      <c r="N715" s="520"/>
      <c r="O715" s="520"/>
      <c r="P715" s="1122"/>
      <c r="Q715" s="520"/>
      <c r="R715" s="520"/>
      <c r="S715" s="520"/>
      <c r="T715" s="520"/>
      <c r="U715" s="1122"/>
      <c r="V715" s="520"/>
      <c r="W715" s="520"/>
      <c r="X715" s="520"/>
      <c r="Y715" s="520"/>
      <c r="Z715" s="1122"/>
      <c r="AA715" s="520"/>
      <c r="AB715" s="520"/>
      <c r="AC715" s="520"/>
      <c r="AD715" s="520"/>
      <c r="AE715" s="1122"/>
      <c r="AF715" s="520"/>
      <c r="AG715" s="520"/>
      <c r="AH715" s="520"/>
      <c r="AI715" s="520"/>
      <c r="AJ715" s="1122"/>
      <c r="AK715" s="520"/>
      <c r="AL715" s="520"/>
      <c r="AM715" s="520"/>
      <c r="AN715" s="520"/>
      <c r="AO715" s="1122"/>
      <c r="AP715" s="520"/>
      <c r="AQ715" s="520"/>
      <c r="AR715" s="520"/>
      <c r="AS715" s="520"/>
      <c r="AT715" s="1124"/>
      <c r="AU715" s="526"/>
      <c r="AV715" s="526"/>
      <c r="AW715" s="526"/>
      <c r="AX715" s="526"/>
      <c r="AY715" s="1124"/>
      <c r="AZ715" s="526"/>
      <c r="BA715" s="526"/>
      <c r="BB715" s="526"/>
      <c r="BC715" s="526"/>
      <c r="BD715" s="1124"/>
      <c r="BE715" s="520"/>
      <c r="BF715" s="520"/>
      <c r="BG715" s="520"/>
      <c r="BH715" s="520"/>
      <c r="BI715" s="1123">
        <v>465.74</v>
      </c>
      <c r="BJ715" s="520"/>
      <c r="BK715" s="520"/>
      <c r="BL715" s="520"/>
      <c r="BM715" s="520"/>
      <c r="BN715" s="1123">
        <v>465.74</v>
      </c>
      <c r="BO715" s="520"/>
      <c r="BP715" s="520"/>
      <c r="BQ715" s="520"/>
      <c r="BR715" s="520"/>
      <c r="BS715" s="1124"/>
      <c r="BT715" s="728"/>
      <c r="BU715" s="520"/>
      <c r="BV715" s="520"/>
      <c r="BW715" s="520"/>
      <c r="BX715" s="1122"/>
      <c r="BY715" s="520"/>
      <c r="BZ715" s="520"/>
      <c r="CA715" s="520"/>
      <c r="CB715" s="520"/>
      <c r="CC715" s="1122"/>
      <c r="CD715" s="1122"/>
      <c r="CE715" s="1122"/>
      <c r="CF715" s="1122"/>
      <c r="CG715" s="519"/>
    </row>
    <row r="716" spans="1:85" s="615" customFormat="1" x14ac:dyDescent="0.3">
      <c r="A716" s="522"/>
      <c r="B716" s="521"/>
      <c r="C716" s="1122"/>
      <c r="D716" s="1122"/>
      <c r="E716" s="1122"/>
      <c r="F716" s="1122"/>
      <c r="G716" s="520"/>
      <c r="H716" s="520"/>
      <c r="I716" s="520"/>
      <c r="J716" s="520"/>
      <c r="K716" s="1122"/>
      <c r="L716" s="520"/>
      <c r="M716" s="520"/>
      <c r="N716" s="520"/>
      <c r="O716" s="520"/>
      <c r="P716" s="1122"/>
      <c r="Q716" s="520"/>
      <c r="R716" s="520"/>
      <c r="S716" s="520"/>
      <c r="T716" s="520"/>
      <c r="U716" s="1122"/>
      <c r="V716" s="520"/>
      <c r="W716" s="520"/>
      <c r="X716" s="520"/>
      <c r="Y716" s="520"/>
      <c r="Z716" s="1122"/>
      <c r="AA716" s="520"/>
      <c r="AB716" s="520"/>
      <c r="AC716" s="520"/>
      <c r="AD716" s="520"/>
      <c r="AE716" s="1122"/>
      <c r="AF716" s="520"/>
      <c r="AG716" s="520"/>
      <c r="AH716" s="520"/>
      <c r="AI716" s="520"/>
      <c r="AJ716" s="1122"/>
      <c r="AK716" s="520"/>
      <c r="AL716" s="520"/>
      <c r="AM716" s="520"/>
      <c r="AN716" s="520"/>
      <c r="AO716" s="1122"/>
      <c r="AP716" s="520"/>
      <c r="AQ716" s="520"/>
      <c r="AR716" s="520"/>
      <c r="AS716" s="520"/>
      <c r="AT716" s="1124"/>
      <c r="AU716" s="526"/>
      <c r="AV716" s="526"/>
      <c r="AW716" s="526"/>
      <c r="AX716" s="526"/>
      <c r="AY716" s="1124"/>
      <c r="AZ716" s="526"/>
      <c r="BA716" s="526"/>
      <c r="BB716" s="526"/>
      <c r="BC716" s="526"/>
      <c r="BD716" s="1124"/>
      <c r="BE716" s="520"/>
      <c r="BF716" s="520"/>
      <c r="BG716" s="520"/>
      <c r="BH716" s="520"/>
      <c r="BI716" s="1124"/>
      <c r="BJ716" s="520"/>
      <c r="BK716" s="520"/>
      <c r="BL716" s="520"/>
      <c r="BM716" s="520"/>
      <c r="BN716" s="1124"/>
      <c r="BO716" s="520"/>
      <c r="BP716" s="520"/>
      <c r="BQ716" s="520"/>
      <c r="BR716" s="520"/>
      <c r="BS716" s="1124"/>
      <c r="BT716" s="728"/>
      <c r="BU716" s="520"/>
      <c r="BV716" s="520"/>
      <c r="BW716" s="520"/>
      <c r="BX716" s="1122"/>
      <c r="BY716" s="520"/>
      <c r="BZ716" s="520"/>
      <c r="CA716" s="520"/>
      <c r="CB716" s="520"/>
      <c r="CC716" s="1122"/>
      <c r="CD716" s="1122"/>
      <c r="CE716" s="1122"/>
      <c r="CF716" s="1122"/>
      <c r="CG716" s="519"/>
    </row>
    <row r="717" spans="1:85" s="612" customFormat="1" x14ac:dyDescent="0.3">
      <c r="A717" s="478" t="s">
        <v>2420</v>
      </c>
      <c r="B717" s="514"/>
      <c r="C717" s="1097"/>
      <c r="D717" s="1097"/>
      <c r="E717" s="1097"/>
      <c r="F717" s="1097"/>
      <c r="G717" s="772"/>
      <c r="H717" s="772"/>
      <c r="I717" s="772"/>
      <c r="J717" s="772"/>
      <c r="K717" s="1097"/>
      <c r="L717" s="772"/>
      <c r="M717" s="772"/>
      <c r="N717" s="772"/>
      <c r="O717" s="772"/>
      <c r="P717" s="1097"/>
      <c r="Q717" s="772"/>
      <c r="R717" s="772"/>
      <c r="S717" s="772"/>
      <c r="T717" s="772"/>
      <c r="U717" s="1097"/>
      <c r="V717" s="772"/>
      <c r="W717" s="772"/>
      <c r="X717" s="772"/>
      <c r="Y717" s="772"/>
      <c r="Z717" s="1097"/>
      <c r="AA717" s="772"/>
      <c r="AB717" s="772"/>
      <c r="AC717" s="772"/>
      <c r="AD717" s="772"/>
      <c r="AE717" s="1097"/>
      <c r="AF717" s="772"/>
      <c r="AG717" s="772"/>
      <c r="AH717" s="772"/>
      <c r="AI717" s="772"/>
      <c r="AJ717" s="1097"/>
      <c r="AK717" s="772"/>
      <c r="AL717" s="772"/>
      <c r="AM717" s="772"/>
      <c r="AN717" s="772"/>
      <c r="AO717" s="1097"/>
      <c r="AP717" s="772"/>
      <c r="AQ717" s="772"/>
      <c r="AR717" s="772"/>
      <c r="AS717" s="772"/>
      <c r="AT717" s="78"/>
      <c r="AU717" s="774"/>
      <c r="AV717" s="774"/>
      <c r="AW717" s="774"/>
      <c r="AX717" s="774"/>
      <c r="AY717" s="78"/>
      <c r="AZ717" s="774"/>
      <c r="BA717" s="774"/>
      <c r="BB717" s="774"/>
      <c r="BC717" s="774"/>
      <c r="BD717" s="78"/>
      <c r="BE717" s="772"/>
      <c r="BF717" s="772"/>
      <c r="BG717" s="772"/>
      <c r="BH717" s="772"/>
      <c r="BI717" s="78"/>
      <c r="BJ717" s="772"/>
      <c r="BK717" s="772"/>
      <c r="BL717" s="772"/>
      <c r="BM717" s="772"/>
      <c r="BN717" s="1119">
        <v>8.8940000000000001</v>
      </c>
      <c r="BO717" s="772"/>
      <c r="BP717" s="772"/>
      <c r="BQ717" s="772"/>
      <c r="BR717" s="772"/>
      <c r="BS717" s="78"/>
      <c r="BT717" s="838"/>
      <c r="BU717" s="772"/>
      <c r="BV717" s="772"/>
      <c r="BW717" s="772"/>
      <c r="BX717" s="1097"/>
      <c r="BY717" s="772"/>
      <c r="BZ717" s="772"/>
      <c r="CA717" s="772"/>
      <c r="CB717" s="772"/>
      <c r="CC717" s="1097"/>
      <c r="CD717" s="1097"/>
      <c r="CE717" s="1097"/>
      <c r="CF717" s="1097"/>
      <c r="CG717" s="348"/>
    </row>
    <row r="718" spans="1:85" s="615" customFormat="1" x14ac:dyDescent="0.3">
      <c r="A718" s="522" t="s">
        <v>2421</v>
      </c>
      <c r="B718" s="521"/>
      <c r="C718" s="1122"/>
      <c r="D718" s="1122"/>
      <c r="E718" s="1122"/>
      <c r="F718" s="1122"/>
      <c r="G718" s="520"/>
      <c r="H718" s="520"/>
      <c r="I718" s="520"/>
      <c r="J718" s="520"/>
      <c r="K718" s="1122"/>
      <c r="L718" s="520"/>
      <c r="M718" s="520"/>
      <c r="N718" s="520"/>
      <c r="O718" s="520"/>
      <c r="P718" s="1122"/>
      <c r="Q718" s="520"/>
      <c r="R718" s="520"/>
      <c r="S718" s="520"/>
      <c r="T718" s="520"/>
      <c r="U718" s="1122"/>
      <c r="V718" s="520"/>
      <c r="W718" s="520"/>
      <c r="X718" s="520"/>
      <c r="Y718" s="520"/>
      <c r="Z718" s="1122"/>
      <c r="AA718" s="520"/>
      <c r="AB718" s="520"/>
      <c r="AC718" s="520"/>
      <c r="AD718" s="520"/>
      <c r="AE718" s="1122"/>
      <c r="AF718" s="520"/>
      <c r="AG718" s="520"/>
      <c r="AH718" s="520"/>
      <c r="AI718" s="520"/>
      <c r="AJ718" s="1122"/>
      <c r="AK718" s="520"/>
      <c r="AL718" s="520"/>
      <c r="AM718" s="520"/>
      <c r="AN718" s="520"/>
      <c r="AO718" s="1122"/>
      <c r="AP718" s="520"/>
      <c r="AQ718" s="520"/>
      <c r="AR718" s="520"/>
      <c r="AS718" s="520"/>
      <c r="AT718" s="1124"/>
      <c r="AU718" s="526"/>
      <c r="AV718" s="526"/>
      <c r="AW718" s="526"/>
      <c r="AX718" s="526"/>
      <c r="AY718" s="1124"/>
      <c r="AZ718" s="526"/>
      <c r="BA718" s="526"/>
      <c r="BB718" s="526"/>
      <c r="BC718" s="526"/>
      <c r="BD718" s="1124"/>
      <c r="BE718" s="520"/>
      <c r="BF718" s="520"/>
      <c r="BG718" s="520"/>
      <c r="BH718" s="520"/>
      <c r="BI718" s="1124"/>
      <c r="BJ718" s="520"/>
      <c r="BK718" s="520"/>
      <c r="BL718" s="520"/>
      <c r="BM718" s="520"/>
      <c r="BN718" s="1123">
        <v>468.5</v>
      </c>
      <c r="BO718" s="520"/>
      <c r="BP718" s="520"/>
      <c r="BQ718" s="520"/>
      <c r="BR718" s="520"/>
      <c r="BS718" s="1124"/>
      <c r="BT718" s="728"/>
      <c r="BU718" s="520"/>
      <c r="BV718" s="520"/>
      <c r="BW718" s="520"/>
      <c r="BX718" s="1122"/>
      <c r="BY718" s="520"/>
      <c r="BZ718" s="520"/>
      <c r="CA718" s="520"/>
      <c r="CB718" s="520"/>
      <c r="CC718" s="1122"/>
      <c r="CD718" s="1122"/>
      <c r="CE718" s="1122"/>
      <c r="CF718" s="1122"/>
      <c r="CG718" s="519"/>
    </row>
    <row r="719" spans="1:85" s="615" customFormat="1" x14ac:dyDescent="0.3">
      <c r="A719" s="522"/>
      <c r="B719" s="521"/>
      <c r="C719" s="1122"/>
      <c r="D719" s="1122"/>
      <c r="E719" s="1122"/>
      <c r="F719" s="1122"/>
      <c r="G719" s="520"/>
      <c r="H719" s="520"/>
      <c r="I719" s="520"/>
      <c r="J719" s="520"/>
      <c r="K719" s="1122"/>
      <c r="L719" s="520"/>
      <c r="M719" s="520"/>
      <c r="N719" s="520"/>
      <c r="O719" s="520"/>
      <c r="P719" s="1122"/>
      <c r="Q719" s="520"/>
      <c r="R719" s="520"/>
      <c r="S719" s="520"/>
      <c r="T719" s="520"/>
      <c r="U719" s="1122"/>
      <c r="V719" s="520"/>
      <c r="W719" s="520"/>
      <c r="X719" s="520"/>
      <c r="Y719" s="520"/>
      <c r="Z719" s="1122"/>
      <c r="AA719" s="520"/>
      <c r="AB719" s="520"/>
      <c r="AC719" s="520"/>
      <c r="AD719" s="520"/>
      <c r="AE719" s="1122"/>
      <c r="AF719" s="520"/>
      <c r="AG719" s="520"/>
      <c r="AH719" s="520"/>
      <c r="AI719" s="520"/>
      <c r="AJ719" s="1122"/>
      <c r="AK719" s="520"/>
      <c r="AL719" s="520"/>
      <c r="AM719" s="520"/>
      <c r="AN719" s="520"/>
      <c r="AO719" s="1122"/>
      <c r="AP719" s="520"/>
      <c r="AQ719" s="520"/>
      <c r="AR719" s="520"/>
      <c r="AS719" s="520"/>
      <c r="AT719" s="1124"/>
      <c r="AU719" s="526"/>
      <c r="AV719" s="526"/>
      <c r="AW719" s="526"/>
      <c r="AX719" s="526"/>
      <c r="AY719" s="1124"/>
      <c r="AZ719" s="526"/>
      <c r="BA719" s="526"/>
      <c r="BB719" s="526"/>
      <c r="BC719" s="526"/>
      <c r="BD719" s="1124"/>
      <c r="BE719" s="520"/>
      <c r="BF719" s="520"/>
      <c r="BG719" s="520"/>
      <c r="BH719" s="520"/>
      <c r="BI719" s="1124"/>
      <c r="BJ719" s="520"/>
      <c r="BK719" s="520"/>
      <c r="BL719" s="520"/>
      <c r="BM719" s="520"/>
      <c r="BN719" s="1124"/>
      <c r="BO719" s="520"/>
      <c r="BP719" s="520"/>
      <c r="BQ719" s="520"/>
      <c r="BR719" s="520"/>
      <c r="BS719" s="1124"/>
      <c r="BT719" s="728"/>
      <c r="BU719" s="520"/>
      <c r="BV719" s="520"/>
      <c r="BW719" s="520"/>
      <c r="BX719" s="1122"/>
      <c r="BY719" s="520"/>
      <c r="BZ719" s="520"/>
      <c r="CA719" s="520"/>
      <c r="CB719" s="520"/>
      <c r="CC719" s="1122"/>
      <c r="CD719" s="1122"/>
      <c r="CE719" s="1122"/>
      <c r="CF719" s="1122"/>
      <c r="CG719" s="519"/>
    </row>
    <row r="720" spans="1:85" s="612" customFormat="1" x14ac:dyDescent="0.3">
      <c r="A720" s="106" t="s">
        <v>1616</v>
      </c>
      <c r="B720" s="514"/>
      <c r="C720" s="1097"/>
      <c r="D720" s="1097"/>
      <c r="E720" s="1097"/>
      <c r="F720" s="1097"/>
      <c r="G720" s="772"/>
      <c r="H720" s="772"/>
      <c r="I720" s="772"/>
      <c r="J720" s="772"/>
      <c r="K720" s="1097"/>
      <c r="L720" s="772"/>
      <c r="M720" s="772"/>
      <c r="N720" s="772"/>
      <c r="O720" s="772"/>
      <c r="P720" s="1097"/>
      <c r="Q720" s="772"/>
      <c r="R720" s="772"/>
      <c r="S720" s="772"/>
      <c r="T720" s="772"/>
      <c r="U720" s="1097"/>
      <c r="V720" s="772"/>
      <c r="W720" s="772"/>
      <c r="X720" s="772"/>
      <c r="Y720" s="772"/>
      <c r="Z720" s="1097"/>
      <c r="AA720" s="772"/>
      <c r="AB720" s="772"/>
      <c r="AC720" s="772"/>
      <c r="AD720" s="772"/>
      <c r="AE720" s="1097"/>
      <c r="AF720" s="772"/>
      <c r="AG720" s="772"/>
      <c r="AH720" s="772"/>
      <c r="AI720" s="772"/>
      <c r="AJ720" s="1097"/>
      <c r="AK720" s="772"/>
      <c r="AL720" s="772"/>
      <c r="AM720" s="772"/>
      <c r="AN720" s="772"/>
      <c r="AO720" s="1097"/>
      <c r="AP720" s="772"/>
      <c r="AQ720" s="772"/>
      <c r="AR720" s="772"/>
      <c r="AS720" s="772"/>
      <c r="AT720" s="1125">
        <v>563.13400000000001</v>
      </c>
      <c r="AU720" s="772"/>
      <c r="AV720" s="772"/>
      <c r="AW720" s="772"/>
      <c r="AX720" s="772"/>
      <c r="AY720" s="1125">
        <v>572.99400000000003</v>
      </c>
      <c r="AZ720" s="772"/>
      <c r="BA720" s="772"/>
      <c r="BB720" s="772"/>
      <c r="BC720" s="772"/>
      <c r="BD720" s="1125">
        <v>734.404</v>
      </c>
      <c r="BE720" s="772"/>
      <c r="BF720" s="772"/>
      <c r="BG720" s="772"/>
      <c r="BH720" s="772"/>
      <c r="BI720" s="1125">
        <v>673.88900000000001</v>
      </c>
      <c r="BJ720" s="772"/>
      <c r="BK720" s="772"/>
      <c r="BL720" s="772"/>
      <c r="BM720" s="772"/>
      <c r="BN720" s="1125">
        <v>557.28200000000004</v>
      </c>
      <c r="BO720" s="772"/>
      <c r="BP720" s="772"/>
      <c r="BQ720" s="772"/>
      <c r="BR720" s="772"/>
      <c r="BS720" s="1097"/>
      <c r="BT720" s="838"/>
      <c r="BU720" s="772"/>
      <c r="BV720" s="772"/>
      <c r="BW720" s="772"/>
      <c r="BX720" s="1097"/>
      <c r="BY720" s="772"/>
      <c r="BZ720" s="772"/>
      <c r="CA720" s="772"/>
      <c r="CB720" s="772"/>
      <c r="CC720" s="1097"/>
      <c r="CD720" s="1097"/>
      <c r="CE720" s="1097"/>
      <c r="CF720" s="1097"/>
      <c r="CG720" s="348"/>
    </row>
    <row r="721" spans="1:85" s="614" customFormat="1" x14ac:dyDescent="0.3">
      <c r="A721" s="106"/>
      <c r="B721" s="352"/>
      <c r="C721" s="1094"/>
      <c r="D721" s="1094"/>
      <c r="E721" s="1094"/>
      <c r="F721" s="1094"/>
      <c r="G721" s="197"/>
      <c r="H721" s="197"/>
      <c r="I721" s="197"/>
      <c r="J721" s="197"/>
      <c r="K721" s="1094"/>
      <c r="L721" s="197"/>
      <c r="M721" s="197"/>
      <c r="N721" s="197"/>
      <c r="O721" s="197"/>
      <c r="P721" s="1094"/>
      <c r="Q721" s="197"/>
      <c r="R721" s="197"/>
      <c r="S721" s="197"/>
      <c r="T721" s="197"/>
      <c r="U721" s="1094"/>
      <c r="V721" s="197"/>
      <c r="W721" s="197"/>
      <c r="X721" s="197"/>
      <c r="Y721" s="197"/>
      <c r="Z721" s="1094"/>
      <c r="AA721" s="197"/>
      <c r="AB721" s="197"/>
      <c r="AC721" s="197"/>
      <c r="AD721" s="197"/>
      <c r="AE721" s="1094"/>
      <c r="AF721" s="197"/>
      <c r="AG721" s="197"/>
      <c r="AH721" s="197"/>
      <c r="AI721" s="197"/>
      <c r="AJ721" s="1094"/>
      <c r="AK721" s="197"/>
      <c r="AL721" s="197"/>
      <c r="AM721" s="197"/>
      <c r="AN721" s="197"/>
      <c r="AO721" s="1094"/>
      <c r="AP721" s="197"/>
      <c r="AQ721" s="197"/>
      <c r="AR721" s="197"/>
      <c r="AS721" s="197"/>
      <c r="AT721" s="1094"/>
      <c r="AU721" s="197"/>
      <c r="AV721" s="197"/>
      <c r="AW721" s="197"/>
      <c r="AX721" s="197"/>
      <c r="AY721" s="1094"/>
      <c r="AZ721" s="197"/>
      <c r="BA721" s="197"/>
      <c r="BB721" s="197"/>
      <c r="BC721" s="197"/>
      <c r="BD721" s="1094"/>
      <c r="BE721" s="197"/>
      <c r="BF721" s="197"/>
      <c r="BG721" s="197"/>
      <c r="BH721" s="197"/>
      <c r="BI721" s="1094"/>
      <c r="BJ721" s="197"/>
      <c r="BK721" s="197"/>
      <c r="BL721" s="197"/>
      <c r="BM721" s="197"/>
      <c r="BN721" s="1094"/>
      <c r="BO721" s="197"/>
      <c r="BP721" s="197"/>
      <c r="BQ721" s="197"/>
      <c r="BR721" s="197"/>
      <c r="BS721" s="1094"/>
      <c r="BT721" s="727"/>
      <c r="BU721" s="197"/>
      <c r="BV721" s="197"/>
      <c r="BW721" s="197"/>
      <c r="BX721" s="1094"/>
      <c r="BY721" s="197"/>
      <c r="BZ721" s="197"/>
      <c r="CA721" s="197"/>
      <c r="CB721" s="197"/>
      <c r="CC721" s="1094"/>
      <c r="CD721" s="1094"/>
      <c r="CE721" s="1094"/>
      <c r="CF721" s="1094"/>
      <c r="CG721" s="349"/>
    </row>
    <row r="722" spans="1:85" s="612" customFormat="1" x14ac:dyDescent="0.3">
      <c r="A722" s="107" t="s">
        <v>1615</v>
      </c>
      <c r="B722" s="514"/>
      <c r="C722" s="1097"/>
      <c r="D722" s="1097"/>
      <c r="E722" s="1097"/>
      <c r="F722" s="1097"/>
      <c r="G722" s="772"/>
      <c r="H722" s="772"/>
      <c r="I722" s="772"/>
      <c r="J722" s="772"/>
      <c r="K722" s="1097"/>
      <c r="L722" s="772"/>
      <c r="M722" s="772"/>
      <c r="N722" s="772"/>
      <c r="O722" s="772"/>
      <c r="P722" s="1097"/>
      <c r="Q722" s="772"/>
      <c r="R722" s="772"/>
      <c r="S722" s="772"/>
      <c r="T722" s="772"/>
      <c r="U722" s="1097"/>
      <c r="V722" s="772"/>
      <c r="W722" s="772"/>
      <c r="X722" s="772"/>
      <c r="Y722" s="772"/>
      <c r="Z722" s="1097"/>
      <c r="AA722" s="772"/>
      <c r="AB722" s="772"/>
      <c r="AC722" s="772"/>
      <c r="AD722" s="772"/>
      <c r="AE722" s="1097"/>
      <c r="AF722" s="772"/>
      <c r="AG722" s="772"/>
      <c r="AH722" s="772"/>
      <c r="AI722" s="772"/>
      <c r="AJ722" s="1097"/>
      <c r="AK722" s="772"/>
      <c r="AL722" s="772"/>
      <c r="AM722" s="772"/>
      <c r="AN722" s="772"/>
      <c r="AO722" s="1097"/>
      <c r="AP722" s="772"/>
      <c r="AQ722" s="772"/>
      <c r="AR722" s="772"/>
      <c r="AS722" s="772"/>
      <c r="AT722" s="1119">
        <v>12000</v>
      </c>
      <c r="AU722" s="772"/>
      <c r="AV722" s="772"/>
      <c r="AW722" s="772"/>
      <c r="AX722" s="772"/>
      <c r="AY722" s="1119">
        <v>12000</v>
      </c>
      <c r="AZ722" s="772"/>
      <c r="BA722" s="772"/>
      <c r="BB722" s="772"/>
      <c r="BC722" s="772"/>
      <c r="BD722" s="1126">
        <v>16000</v>
      </c>
      <c r="BE722" s="772"/>
      <c r="BF722" s="772"/>
      <c r="BG722" s="772"/>
      <c r="BH722" s="772"/>
      <c r="BI722" s="1097"/>
      <c r="BJ722" s="772"/>
      <c r="BK722" s="772"/>
      <c r="BL722" s="772"/>
      <c r="BM722" s="772"/>
      <c r="BN722" s="1097"/>
      <c r="BO722" s="772"/>
      <c r="BP722" s="772"/>
      <c r="BQ722" s="772"/>
      <c r="BR722" s="772"/>
      <c r="BS722" s="1097"/>
      <c r="BT722" s="838"/>
      <c r="BU722" s="772"/>
      <c r="BV722" s="772"/>
      <c r="BW722" s="772"/>
      <c r="BX722" s="1097"/>
      <c r="BY722" s="772"/>
      <c r="BZ722" s="772"/>
      <c r="CA722" s="772"/>
      <c r="CB722" s="772"/>
      <c r="CC722" s="1097"/>
      <c r="CD722" s="1097"/>
      <c r="CE722" s="1097"/>
      <c r="CF722" s="1097"/>
      <c r="CG722" s="348"/>
    </row>
    <row r="723" spans="1:85" s="612" customFormat="1" x14ac:dyDescent="0.3">
      <c r="A723" s="107" t="s">
        <v>1614</v>
      </c>
      <c r="B723" s="514"/>
      <c r="C723" s="1097"/>
      <c r="D723" s="1097"/>
      <c r="E723" s="1097"/>
      <c r="F723" s="1097"/>
      <c r="G723" s="772"/>
      <c r="H723" s="772"/>
      <c r="I723" s="772"/>
      <c r="J723" s="772"/>
      <c r="K723" s="1097"/>
      <c r="L723" s="772"/>
      <c r="M723" s="772"/>
      <c r="N723" s="772"/>
      <c r="O723" s="772"/>
      <c r="P723" s="1097"/>
      <c r="Q723" s="772"/>
      <c r="R723" s="772"/>
      <c r="S723" s="772"/>
      <c r="T723" s="772"/>
      <c r="U723" s="1097"/>
      <c r="V723" s="772"/>
      <c r="W723" s="772"/>
      <c r="X723" s="772"/>
      <c r="Y723" s="772"/>
      <c r="Z723" s="1097"/>
      <c r="AA723" s="772"/>
      <c r="AB723" s="772"/>
      <c r="AC723" s="772"/>
      <c r="AD723" s="772"/>
      <c r="AE723" s="1097"/>
      <c r="AF723" s="772"/>
      <c r="AG723" s="772"/>
      <c r="AH723" s="772"/>
      <c r="AI723" s="772"/>
      <c r="AJ723" s="1097"/>
      <c r="AK723" s="772"/>
      <c r="AL723" s="772"/>
      <c r="AM723" s="772"/>
      <c r="AN723" s="772"/>
      <c r="AO723" s="1097"/>
      <c r="AP723" s="772"/>
      <c r="AQ723" s="772"/>
      <c r="AR723" s="772"/>
      <c r="AS723" s="772"/>
      <c r="AT723" s="1119">
        <v>8664.3369999999995</v>
      </c>
      <c r="AU723" s="772"/>
      <c r="AV723" s="772"/>
      <c r="AW723" s="772"/>
      <c r="AX723" s="772"/>
      <c r="AY723" s="1119">
        <v>8063.2839999999997</v>
      </c>
      <c r="AZ723" s="772"/>
      <c r="BA723" s="772"/>
      <c r="BB723" s="772"/>
      <c r="BC723" s="772"/>
      <c r="BD723" s="1119">
        <v>11512</v>
      </c>
      <c r="BE723" s="772"/>
      <c r="BF723" s="772"/>
      <c r="BG723" s="772"/>
      <c r="BH723" s="772"/>
      <c r="BI723" s="1097"/>
      <c r="BJ723" s="772"/>
      <c r="BK723" s="772"/>
      <c r="BL723" s="772"/>
      <c r="BM723" s="772"/>
      <c r="BN723" s="1097"/>
      <c r="BO723" s="772"/>
      <c r="BP723" s="772"/>
      <c r="BQ723" s="772"/>
      <c r="BR723" s="772"/>
      <c r="BS723" s="1097"/>
      <c r="BT723" s="838"/>
      <c r="BU723" s="772"/>
      <c r="BV723" s="772"/>
      <c r="BW723" s="772"/>
      <c r="BX723" s="1097"/>
      <c r="BY723" s="772"/>
      <c r="BZ723" s="772"/>
      <c r="CA723" s="772"/>
      <c r="CB723" s="772"/>
      <c r="CC723" s="1097"/>
      <c r="CD723" s="1097"/>
      <c r="CE723" s="1097"/>
      <c r="CF723" s="1097"/>
      <c r="CG723" s="348"/>
    </row>
    <row r="724" spans="1:85" s="612" customFormat="1" x14ac:dyDescent="0.3">
      <c r="A724" s="174" t="s">
        <v>1613</v>
      </c>
      <c r="B724" s="515"/>
      <c r="C724" s="1128"/>
      <c r="D724" s="1128"/>
      <c r="E724" s="1128"/>
      <c r="F724" s="1128"/>
      <c r="G724" s="844"/>
      <c r="H724" s="844"/>
      <c r="I724" s="844"/>
      <c r="J724" s="844"/>
      <c r="K724" s="1128"/>
      <c r="L724" s="844"/>
      <c r="M724" s="844"/>
      <c r="N724" s="844"/>
      <c r="O724" s="844"/>
      <c r="P724" s="1128"/>
      <c r="Q724" s="844"/>
      <c r="R724" s="844"/>
      <c r="S724" s="844"/>
      <c r="T724" s="844"/>
      <c r="U724" s="1128"/>
      <c r="V724" s="844"/>
      <c r="W724" s="844"/>
      <c r="X724" s="844"/>
      <c r="Y724" s="844"/>
      <c r="Z724" s="1128"/>
      <c r="AA724" s="844"/>
      <c r="AB724" s="844"/>
      <c r="AC724" s="844"/>
      <c r="AD724" s="844"/>
      <c r="AE724" s="1128"/>
      <c r="AF724" s="844"/>
      <c r="AG724" s="844"/>
      <c r="AH724" s="844"/>
      <c r="AI724" s="844"/>
      <c r="AJ724" s="1128"/>
      <c r="AK724" s="844"/>
      <c r="AL724" s="844"/>
      <c r="AM724" s="844"/>
      <c r="AN724" s="844"/>
      <c r="AO724" s="1128"/>
      <c r="AP724" s="844"/>
      <c r="AQ724" s="844"/>
      <c r="AR724" s="844"/>
      <c r="AS724" s="844"/>
      <c r="AT724" s="1120">
        <v>141.65799999999999</v>
      </c>
      <c r="AU724" s="844"/>
      <c r="AV724" s="844"/>
      <c r="AW724" s="844"/>
      <c r="AX724" s="844"/>
      <c r="AY724" s="1120">
        <v>308.10899999999998</v>
      </c>
      <c r="AZ724" s="844"/>
      <c r="BA724" s="844"/>
      <c r="BB724" s="844"/>
      <c r="BC724" s="844"/>
      <c r="BD724" s="1120">
        <v>617.26300000000003</v>
      </c>
      <c r="BE724" s="844"/>
      <c r="BF724" s="844"/>
      <c r="BG724" s="844"/>
      <c r="BH724" s="844"/>
      <c r="BI724" s="1128"/>
      <c r="BJ724" s="844"/>
      <c r="BK724" s="844"/>
      <c r="BL724" s="844"/>
      <c r="BM724" s="844"/>
      <c r="BN724" s="1128"/>
      <c r="BO724" s="844"/>
      <c r="BP724" s="844"/>
      <c r="BQ724" s="844"/>
      <c r="BR724" s="844"/>
      <c r="BS724" s="1128"/>
      <c r="BT724" s="845"/>
      <c r="BU724" s="844"/>
      <c r="BV724" s="844"/>
      <c r="BW724" s="844"/>
      <c r="BX724" s="1128"/>
      <c r="BY724" s="844"/>
      <c r="BZ724" s="844"/>
      <c r="CA724" s="844"/>
      <c r="CB724" s="844"/>
      <c r="CC724" s="1128"/>
      <c r="CD724" s="1128"/>
      <c r="CE724" s="1128"/>
      <c r="CF724" s="1128"/>
      <c r="CG724" s="348"/>
    </row>
    <row r="725" spans="1:85" s="612" customFormat="1" x14ac:dyDescent="0.3">
      <c r="A725" s="106" t="s">
        <v>1612</v>
      </c>
      <c r="B725" s="514"/>
      <c r="C725" s="1097"/>
      <c r="D725" s="1097"/>
      <c r="E725" s="1097"/>
      <c r="F725" s="1097"/>
      <c r="G725" s="772"/>
      <c r="H725" s="772"/>
      <c r="I725" s="772"/>
      <c r="J725" s="772"/>
      <c r="K725" s="1097"/>
      <c r="L725" s="772"/>
      <c r="M725" s="772"/>
      <c r="N725" s="772"/>
      <c r="O725" s="772"/>
      <c r="P725" s="1097"/>
      <c r="Q725" s="772"/>
      <c r="R725" s="772"/>
      <c r="S725" s="772"/>
      <c r="T725" s="772"/>
      <c r="U725" s="1097"/>
      <c r="V725" s="772"/>
      <c r="W725" s="772"/>
      <c r="X725" s="772"/>
      <c r="Y725" s="772"/>
      <c r="Z725" s="1097"/>
      <c r="AA725" s="772"/>
      <c r="AB725" s="772"/>
      <c r="AC725" s="772"/>
      <c r="AD725" s="772"/>
      <c r="AE725" s="1097"/>
      <c r="AF725" s="772"/>
      <c r="AG725" s="772"/>
      <c r="AH725" s="772"/>
      <c r="AI725" s="772"/>
      <c r="AJ725" s="1097"/>
      <c r="AK725" s="772"/>
      <c r="AL725" s="772"/>
      <c r="AM725" s="772"/>
      <c r="AN725" s="772"/>
      <c r="AO725" s="1097"/>
      <c r="AP725" s="772"/>
      <c r="AQ725" s="772"/>
      <c r="AR725" s="772"/>
      <c r="AS725" s="772"/>
      <c r="AT725" s="1097">
        <f>SUM(AT722:AT724)</f>
      </c>
      <c r="AU725" s="772"/>
      <c r="AV725" s="772"/>
      <c r="AW725" s="772"/>
      <c r="AX725" s="772"/>
      <c r="AY725" s="1097">
        <f>SUM(AY722:AY724)</f>
      </c>
      <c r="AZ725" s="772"/>
      <c r="BA725" s="772"/>
      <c r="BB725" s="772"/>
      <c r="BC725" s="772"/>
      <c r="BD725" s="1097">
        <f>SUM(BD722:BD724)</f>
      </c>
      <c r="BE725" s="772"/>
      <c r="BF725" s="772"/>
      <c r="BG725" s="772"/>
      <c r="BH725" s="772"/>
      <c r="BI725" s="1097"/>
      <c r="BJ725" s="772"/>
      <c r="BK725" s="772"/>
      <c r="BL725" s="772"/>
      <c r="BM725" s="772"/>
      <c r="BN725" s="1097"/>
      <c r="BO725" s="772"/>
      <c r="BP725" s="772"/>
      <c r="BQ725" s="772"/>
      <c r="BR725" s="772"/>
      <c r="BS725" s="1097"/>
      <c r="BT725" s="838"/>
      <c r="BU725" s="772"/>
      <c r="BV725" s="772"/>
      <c r="BW725" s="772"/>
      <c r="BX725" s="1097"/>
      <c r="BY725" s="772"/>
      <c r="BZ725" s="772"/>
      <c r="CA725" s="772"/>
      <c r="CB725" s="772"/>
      <c r="CC725" s="1097"/>
      <c r="CD725" s="1097"/>
      <c r="CE725" s="1097"/>
      <c r="CF725" s="1097"/>
      <c r="CG725" s="348"/>
    </row>
    <row r="726" spans="1:85" s="617" customFormat="1" x14ac:dyDescent="0.3">
      <c r="A726" s="116" t="s">
        <v>1611</v>
      </c>
      <c r="B726" s="525"/>
      <c r="C726" s="1099"/>
      <c r="D726" s="1099"/>
      <c r="E726" s="1099"/>
      <c r="F726" s="1099"/>
      <c r="G726" s="185"/>
      <c r="H726" s="185"/>
      <c r="I726" s="185"/>
      <c r="J726" s="185"/>
      <c r="K726" s="1099"/>
      <c r="L726" s="185"/>
      <c r="M726" s="185"/>
      <c r="N726" s="185"/>
      <c r="O726" s="185"/>
      <c r="P726" s="1099"/>
      <c r="Q726" s="185"/>
      <c r="R726" s="185"/>
      <c r="S726" s="185"/>
      <c r="T726" s="185"/>
      <c r="U726" s="1099"/>
      <c r="V726" s="185"/>
      <c r="W726" s="185"/>
      <c r="X726" s="185"/>
      <c r="Y726" s="185"/>
      <c r="Z726" s="1099"/>
      <c r="AA726" s="185"/>
      <c r="AB726" s="185"/>
      <c r="AC726" s="185"/>
      <c r="AD726" s="185"/>
      <c r="AE726" s="1099"/>
      <c r="AF726" s="185"/>
      <c r="AG726" s="185"/>
      <c r="AH726" s="185"/>
      <c r="AI726" s="185"/>
      <c r="AJ726" s="1099"/>
      <c r="AK726" s="185"/>
      <c r="AL726" s="185"/>
      <c r="AM726" s="185"/>
      <c r="AN726" s="185"/>
      <c r="AO726" s="1099"/>
      <c r="AP726" s="185"/>
      <c r="AQ726" s="185"/>
      <c r="AR726" s="185"/>
      <c r="AS726" s="185"/>
      <c r="AT726" s="83">
        <f>SUM(AT723)/AT725</f>
      </c>
      <c r="AU726" s="185"/>
      <c r="AV726" s="185"/>
      <c r="AW726" s="185"/>
      <c r="AX726" s="185"/>
      <c r="AY726" s="83">
        <f>SUM(AY723)/AY725</f>
      </c>
      <c r="AZ726" s="185"/>
      <c r="BA726" s="185"/>
      <c r="BB726" s="185"/>
      <c r="BC726" s="185"/>
      <c r="BD726" s="83">
        <f>SUM(BD723)/BD725</f>
      </c>
      <c r="BE726" s="185"/>
      <c r="BF726" s="185"/>
      <c r="BG726" s="185"/>
      <c r="BH726" s="185"/>
      <c r="BI726" s="1099"/>
      <c r="BJ726" s="185"/>
      <c r="BK726" s="185"/>
      <c r="BL726" s="185"/>
      <c r="BM726" s="185"/>
      <c r="BN726" s="1099"/>
      <c r="BO726" s="185"/>
      <c r="BP726" s="185"/>
      <c r="BQ726" s="185"/>
      <c r="BR726" s="185"/>
      <c r="BS726" s="1099"/>
      <c r="BT726" s="730"/>
      <c r="BU726" s="185"/>
      <c r="BV726" s="185"/>
      <c r="BW726" s="185"/>
      <c r="BX726" s="1099"/>
      <c r="BY726" s="185"/>
      <c r="BZ726" s="185"/>
      <c r="CA726" s="185"/>
      <c r="CB726" s="185"/>
      <c r="CC726" s="1099"/>
      <c r="CD726" s="1099"/>
      <c r="CE726" s="1099"/>
      <c r="CF726" s="1099"/>
      <c r="CG726" s="524"/>
    </row>
    <row r="727" spans="1:85" s="614" customFormat="1" x14ac:dyDescent="0.3">
      <c r="A727" s="116"/>
      <c r="B727" s="352"/>
      <c r="C727" s="1094"/>
      <c r="D727" s="1094"/>
      <c r="E727" s="1094"/>
      <c r="F727" s="1094"/>
      <c r="G727" s="197"/>
      <c r="H727" s="197"/>
      <c r="I727" s="197"/>
      <c r="J727" s="197"/>
      <c r="K727" s="1094"/>
      <c r="L727" s="197"/>
      <c r="M727" s="197"/>
      <c r="N727" s="197"/>
      <c r="O727" s="197"/>
      <c r="P727" s="1094"/>
      <c r="Q727" s="197"/>
      <c r="R727" s="197"/>
      <c r="S727" s="197"/>
      <c r="T727" s="197"/>
      <c r="U727" s="1094"/>
      <c r="V727" s="197"/>
      <c r="W727" s="197"/>
      <c r="X727" s="197"/>
      <c r="Y727" s="197"/>
      <c r="Z727" s="1094"/>
      <c r="AA727" s="197"/>
      <c r="AB727" s="197"/>
      <c r="AC727" s="197"/>
      <c r="AD727" s="197"/>
      <c r="AE727" s="1094"/>
      <c r="AF727" s="197"/>
      <c r="AG727" s="197"/>
      <c r="AH727" s="197"/>
      <c r="AI727" s="197"/>
      <c r="AJ727" s="1094"/>
      <c r="AK727" s="197"/>
      <c r="AL727" s="197"/>
      <c r="AM727" s="197"/>
      <c r="AN727" s="197"/>
      <c r="AO727" s="1094"/>
      <c r="AP727" s="197"/>
      <c r="AQ727" s="197"/>
      <c r="AR727" s="197"/>
      <c r="AS727" s="197"/>
      <c r="AT727" s="198"/>
      <c r="AU727" s="197"/>
      <c r="AV727" s="197"/>
      <c r="AW727" s="197"/>
      <c r="AX727" s="197"/>
      <c r="AY727" s="198"/>
      <c r="AZ727" s="197"/>
      <c r="BA727" s="197"/>
      <c r="BB727" s="197"/>
      <c r="BC727" s="197"/>
      <c r="BD727" s="198"/>
      <c r="BE727" s="197"/>
      <c r="BF727" s="197"/>
      <c r="BG727" s="197"/>
      <c r="BH727" s="197"/>
      <c r="BI727" s="1094"/>
      <c r="BJ727" s="197"/>
      <c r="BK727" s="197"/>
      <c r="BL727" s="197"/>
      <c r="BM727" s="197"/>
      <c r="BN727" s="1094"/>
      <c r="BO727" s="197"/>
      <c r="BP727" s="197"/>
      <c r="BQ727" s="197"/>
      <c r="BR727" s="197"/>
      <c r="BS727" s="1094"/>
      <c r="BT727" s="727"/>
      <c r="BU727" s="197"/>
      <c r="BV727" s="197"/>
      <c r="BW727" s="197"/>
      <c r="BX727" s="1094"/>
      <c r="BY727" s="197"/>
      <c r="BZ727" s="197"/>
      <c r="CA727" s="197"/>
      <c r="CB727" s="197"/>
      <c r="CC727" s="1094"/>
      <c r="CD727" s="1094"/>
      <c r="CE727" s="1094"/>
      <c r="CF727" s="1094"/>
      <c r="CG727" s="349"/>
    </row>
    <row r="728" spans="1:85" s="613" customFormat="1" x14ac:dyDescent="0.3">
      <c r="A728" s="478" t="s">
        <v>1610</v>
      </c>
      <c r="B728" s="523"/>
      <c r="C728" s="78"/>
      <c r="D728" s="78"/>
      <c r="E728" s="78"/>
      <c r="F728" s="78"/>
      <c r="G728" s="774"/>
      <c r="H728" s="774"/>
      <c r="I728" s="774"/>
      <c r="J728" s="774"/>
      <c r="K728" s="78"/>
      <c r="L728" s="774"/>
      <c r="M728" s="774"/>
      <c r="N728" s="774"/>
      <c r="O728" s="774"/>
      <c r="P728" s="78"/>
      <c r="Q728" s="774"/>
      <c r="R728" s="774"/>
      <c r="S728" s="774"/>
      <c r="T728" s="774"/>
      <c r="U728" s="78"/>
      <c r="V728" s="774"/>
      <c r="W728" s="774"/>
      <c r="X728" s="774"/>
      <c r="Y728" s="774"/>
      <c r="Z728" s="78"/>
      <c r="AA728" s="774"/>
      <c r="AB728" s="774"/>
      <c r="AC728" s="774"/>
      <c r="AD728" s="774"/>
      <c r="AE728" s="78"/>
      <c r="AF728" s="774"/>
      <c r="AG728" s="774"/>
      <c r="AH728" s="774"/>
      <c r="AI728" s="774"/>
      <c r="AJ728" s="78"/>
      <c r="AK728" s="774"/>
      <c r="AL728" s="774"/>
      <c r="AM728" s="774"/>
      <c r="AN728" s="774"/>
      <c r="AO728" s="78"/>
      <c r="AP728" s="774"/>
      <c r="AQ728" s="774"/>
      <c r="AR728" s="774"/>
      <c r="AS728" s="774"/>
      <c r="AT728" s="1119">
        <v>6.9409999999999998</v>
      </c>
      <c r="AU728" s="774"/>
      <c r="AV728" s="774"/>
      <c r="AW728" s="774"/>
      <c r="AX728" s="774"/>
      <c r="AY728" s="78"/>
      <c r="AZ728" s="774"/>
      <c r="BA728" s="774"/>
      <c r="BB728" s="774"/>
      <c r="BC728" s="774"/>
      <c r="BD728" s="78"/>
      <c r="BE728" s="774"/>
      <c r="BF728" s="774"/>
      <c r="BG728" s="774"/>
      <c r="BH728" s="774"/>
      <c r="BI728" s="78"/>
      <c r="BJ728" s="774"/>
      <c r="BK728" s="774"/>
      <c r="BL728" s="774"/>
      <c r="BM728" s="774"/>
      <c r="BN728" s="78"/>
      <c r="BO728" s="774"/>
      <c r="BP728" s="774"/>
      <c r="BQ728" s="774"/>
      <c r="BR728" s="774"/>
      <c r="BS728" s="78"/>
      <c r="BT728" s="775"/>
      <c r="BU728" s="774"/>
      <c r="BV728" s="774"/>
      <c r="BW728" s="774"/>
      <c r="BX728" s="78"/>
      <c r="BY728" s="774"/>
      <c r="BZ728" s="774"/>
      <c r="CA728" s="774"/>
      <c r="CB728" s="774"/>
      <c r="CC728" s="78"/>
      <c r="CD728" s="78"/>
      <c r="CE728" s="78"/>
      <c r="CF728" s="78"/>
      <c r="CG728" s="532"/>
    </row>
    <row r="729" spans="1:85" s="615" customFormat="1" x14ac:dyDescent="0.3">
      <c r="A729" s="522" t="s">
        <v>1609</v>
      </c>
      <c r="B729" s="521"/>
      <c r="C729" s="1122"/>
      <c r="D729" s="1122"/>
      <c r="E729" s="1122"/>
      <c r="F729" s="1122"/>
      <c r="G729" s="520"/>
      <c r="H729" s="520"/>
      <c r="I729" s="520"/>
      <c r="J729" s="520"/>
      <c r="K729" s="1122"/>
      <c r="L729" s="520"/>
      <c r="M729" s="520"/>
      <c r="N729" s="520"/>
      <c r="O729" s="520"/>
      <c r="P729" s="1122"/>
      <c r="Q729" s="520"/>
      <c r="R729" s="520"/>
      <c r="S729" s="520"/>
      <c r="T729" s="520"/>
      <c r="U729" s="1122"/>
      <c r="V729" s="520"/>
      <c r="W729" s="520"/>
      <c r="X729" s="520"/>
      <c r="Y729" s="520"/>
      <c r="Z729" s="1122"/>
      <c r="AA729" s="520"/>
      <c r="AB729" s="520"/>
      <c r="AC729" s="520"/>
      <c r="AD729" s="520"/>
      <c r="AE729" s="1122"/>
      <c r="AF729" s="520"/>
      <c r="AG729" s="520"/>
      <c r="AH729" s="520"/>
      <c r="AI729" s="520"/>
      <c r="AJ729" s="1122"/>
      <c r="AK729" s="520"/>
      <c r="AL729" s="520"/>
      <c r="AM729" s="520"/>
      <c r="AN729" s="520"/>
      <c r="AO729" s="1122"/>
      <c r="AP729" s="520"/>
      <c r="AQ729" s="520"/>
      <c r="AR729" s="520"/>
      <c r="AS729" s="520"/>
      <c r="AT729" s="1123">
        <v>98.3</v>
      </c>
      <c r="AU729" s="520"/>
      <c r="AV729" s="520"/>
      <c r="AW729" s="520"/>
      <c r="AX729" s="520"/>
      <c r="AY729" s="1124"/>
      <c r="AZ729" s="520"/>
      <c r="BA729" s="520"/>
      <c r="BB729" s="520"/>
      <c r="BC729" s="520"/>
      <c r="BD729" s="1124"/>
      <c r="BE729" s="520"/>
      <c r="BF729" s="520"/>
      <c r="BG729" s="520"/>
      <c r="BH729" s="520"/>
      <c r="BI729" s="1122"/>
      <c r="BJ729" s="520"/>
      <c r="BK729" s="520"/>
      <c r="BL729" s="520"/>
      <c r="BM729" s="520"/>
      <c r="BN729" s="1122"/>
      <c r="BO729" s="520"/>
      <c r="BP729" s="520"/>
      <c r="BQ729" s="520"/>
      <c r="BR729" s="520"/>
      <c r="BS729" s="1122"/>
      <c r="BT729" s="728"/>
      <c r="BU729" s="520"/>
      <c r="BV729" s="520"/>
      <c r="BW729" s="520"/>
      <c r="BX729" s="1122"/>
      <c r="BY729" s="520"/>
      <c r="BZ729" s="520"/>
      <c r="CA729" s="520"/>
      <c r="CB729" s="520"/>
      <c r="CC729" s="1122"/>
      <c r="CD729" s="1122"/>
      <c r="CE729" s="1122"/>
      <c r="CF729" s="1122"/>
      <c r="CG729" s="519"/>
    </row>
    <row r="730" spans="1:85" s="614" customFormat="1" x14ac:dyDescent="0.3">
      <c r="A730" s="116"/>
      <c r="B730" s="352"/>
      <c r="C730" s="1094"/>
      <c r="D730" s="1094"/>
      <c r="E730" s="1094"/>
      <c r="F730" s="1094"/>
      <c r="G730" s="197"/>
      <c r="H730" s="197"/>
      <c r="I730" s="197"/>
      <c r="J730" s="197"/>
      <c r="K730" s="1094"/>
      <c r="L730" s="197"/>
      <c r="M730" s="197"/>
      <c r="N730" s="197"/>
      <c r="O730" s="197"/>
      <c r="P730" s="1094"/>
      <c r="Q730" s="197"/>
      <c r="R730" s="197"/>
      <c r="S730" s="197"/>
      <c r="T730" s="197"/>
      <c r="U730" s="1094"/>
      <c r="V730" s="197"/>
      <c r="W730" s="197"/>
      <c r="X730" s="197"/>
      <c r="Y730" s="197"/>
      <c r="Z730" s="1094"/>
      <c r="AA730" s="197"/>
      <c r="AB730" s="197"/>
      <c r="AC730" s="197"/>
      <c r="AD730" s="197"/>
      <c r="AE730" s="1094"/>
      <c r="AF730" s="197"/>
      <c r="AG730" s="197"/>
      <c r="AH730" s="197"/>
      <c r="AI730" s="197"/>
      <c r="AJ730" s="1094"/>
      <c r="AK730" s="197"/>
      <c r="AL730" s="197"/>
      <c r="AM730" s="197"/>
      <c r="AN730" s="197"/>
      <c r="AO730" s="1094"/>
      <c r="AP730" s="197"/>
      <c r="AQ730" s="197"/>
      <c r="AR730" s="197"/>
      <c r="AS730" s="197"/>
      <c r="AT730" s="198"/>
      <c r="AU730" s="197"/>
      <c r="AV730" s="197"/>
      <c r="AW730" s="197"/>
      <c r="AX730" s="197"/>
      <c r="AY730" s="198"/>
      <c r="AZ730" s="197"/>
      <c r="BA730" s="197"/>
      <c r="BB730" s="197"/>
      <c r="BC730" s="197"/>
      <c r="BD730" s="198"/>
      <c r="BE730" s="197"/>
      <c r="BF730" s="197"/>
      <c r="BG730" s="197"/>
      <c r="BH730" s="197"/>
      <c r="BI730" s="1094"/>
      <c r="BJ730" s="197"/>
      <c r="BK730" s="197"/>
      <c r="BL730" s="197"/>
      <c r="BM730" s="197"/>
      <c r="BN730" s="1094"/>
      <c r="BO730" s="197"/>
      <c r="BP730" s="197"/>
      <c r="BQ730" s="197"/>
      <c r="BR730" s="197"/>
      <c r="BS730" s="1094"/>
      <c r="BT730" s="727"/>
      <c r="BU730" s="197"/>
      <c r="BV730" s="197"/>
      <c r="BW730" s="197"/>
      <c r="BX730" s="1094"/>
      <c r="BY730" s="197"/>
      <c r="BZ730" s="197"/>
      <c r="CA730" s="197"/>
      <c r="CB730" s="197"/>
      <c r="CC730" s="1094"/>
      <c r="CD730" s="1094"/>
      <c r="CE730" s="1094"/>
      <c r="CF730" s="1094"/>
      <c r="CG730" s="349"/>
    </row>
    <row r="731" spans="1:85" s="613" customFormat="1" x14ac:dyDescent="0.3">
      <c r="A731" s="478" t="s">
        <v>1608</v>
      </c>
      <c r="B731" s="523"/>
      <c r="C731" s="78"/>
      <c r="D731" s="78"/>
      <c r="E731" s="78"/>
      <c r="F731" s="78"/>
      <c r="G731" s="774"/>
      <c r="H731" s="774"/>
      <c r="I731" s="774"/>
      <c r="J731" s="774"/>
      <c r="K731" s="78"/>
      <c r="L731" s="774"/>
      <c r="M731" s="774"/>
      <c r="N731" s="774"/>
      <c r="O731" s="774"/>
      <c r="P731" s="78"/>
      <c r="Q731" s="774"/>
      <c r="R731" s="774"/>
      <c r="S731" s="774"/>
      <c r="T731" s="774"/>
      <c r="U731" s="78"/>
      <c r="V731" s="774"/>
      <c r="W731" s="774"/>
      <c r="X731" s="774"/>
      <c r="Y731" s="774"/>
      <c r="Z731" s="78"/>
      <c r="AA731" s="774"/>
      <c r="AB731" s="774"/>
      <c r="AC731" s="774"/>
      <c r="AD731" s="774"/>
      <c r="AE731" s="78"/>
      <c r="AF731" s="774"/>
      <c r="AG731" s="774"/>
      <c r="AH731" s="774"/>
      <c r="AI731" s="774"/>
      <c r="AJ731" s="78"/>
      <c r="AK731" s="774"/>
      <c r="AL731" s="774"/>
      <c r="AM731" s="774"/>
      <c r="AN731" s="774"/>
      <c r="AO731" s="78"/>
      <c r="AP731" s="774"/>
      <c r="AQ731" s="774"/>
      <c r="AR731" s="774"/>
      <c r="AS731" s="774"/>
      <c r="AT731" s="1119">
        <v>6.4550000000000001</v>
      </c>
      <c r="AU731" s="774"/>
      <c r="AV731" s="774"/>
      <c r="AW731" s="774"/>
      <c r="AX731" s="774"/>
      <c r="AY731" s="78"/>
      <c r="AZ731" s="774"/>
      <c r="BA731" s="774"/>
      <c r="BB731" s="774"/>
      <c r="BC731" s="774"/>
      <c r="BD731" s="78"/>
      <c r="BE731" s="774"/>
      <c r="BF731" s="774"/>
      <c r="BG731" s="774"/>
      <c r="BH731" s="774"/>
      <c r="BI731" s="78"/>
      <c r="BJ731" s="774"/>
      <c r="BK731" s="774"/>
      <c r="BL731" s="774"/>
      <c r="BM731" s="774"/>
      <c r="BN731" s="78"/>
      <c r="BO731" s="774"/>
      <c r="BP731" s="774"/>
      <c r="BQ731" s="774"/>
      <c r="BR731" s="774"/>
      <c r="BS731" s="78"/>
      <c r="BT731" s="775"/>
      <c r="BU731" s="774"/>
      <c r="BV731" s="774"/>
      <c r="BW731" s="774"/>
      <c r="BX731" s="78"/>
      <c r="BY731" s="774"/>
      <c r="BZ731" s="774"/>
      <c r="CA731" s="774"/>
      <c r="CB731" s="774"/>
      <c r="CC731" s="78"/>
      <c r="CD731" s="78"/>
      <c r="CE731" s="78"/>
      <c r="CF731" s="78"/>
      <c r="CG731" s="532"/>
    </row>
    <row r="732" spans="1:85" s="615" customFormat="1" x14ac:dyDescent="0.3">
      <c r="A732" s="522" t="s">
        <v>1607</v>
      </c>
      <c r="B732" s="521"/>
      <c r="C732" s="1122"/>
      <c r="D732" s="1122"/>
      <c r="E732" s="1122"/>
      <c r="F732" s="1122"/>
      <c r="G732" s="520"/>
      <c r="H732" s="520"/>
      <c r="I732" s="520"/>
      <c r="J732" s="520"/>
      <c r="K732" s="1122"/>
      <c r="L732" s="520"/>
      <c r="M732" s="520"/>
      <c r="N732" s="520"/>
      <c r="O732" s="520"/>
      <c r="P732" s="1122"/>
      <c r="Q732" s="520"/>
      <c r="R732" s="520"/>
      <c r="S732" s="520"/>
      <c r="T732" s="520"/>
      <c r="U732" s="1122"/>
      <c r="V732" s="520"/>
      <c r="W732" s="520"/>
      <c r="X732" s="520"/>
      <c r="Y732" s="520"/>
      <c r="Z732" s="1122"/>
      <c r="AA732" s="520"/>
      <c r="AB732" s="520"/>
      <c r="AC732" s="520"/>
      <c r="AD732" s="520"/>
      <c r="AE732" s="1122"/>
      <c r="AF732" s="520"/>
      <c r="AG732" s="520"/>
      <c r="AH732" s="520"/>
      <c r="AI732" s="520"/>
      <c r="AJ732" s="1122"/>
      <c r="AK732" s="520"/>
      <c r="AL732" s="520"/>
      <c r="AM732" s="520"/>
      <c r="AN732" s="520"/>
      <c r="AO732" s="1122"/>
      <c r="AP732" s="520"/>
      <c r="AQ732" s="520"/>
      <c r="AR732" s="520"/>
      <c r="AS732" s="520"/>
      <c r="AT732" s="1123">
        <v>105.7</v>
      </c>
      <c r="AU732" s="520"/>
      <c r="AV732" s="520"/>
      <c r="AW732" s="520"/>
      <c r="AX732" s="520"/>
      <c r="AY732" s="1124"/>
      <c r="AZ732" s="520"/>
      <c r="BA732" s="520"/>
      <c r="BB732" s="520"/>
      <c r="BC732" s="520"/>
      <c r="BD732" s="1124"/>
      <c r="BE732" s="520"/>
      <c r="BF732" s="520"/>
      <c r="BG732" s="520"/>
      <c r="BH732" s="520"/>
      <c r="BI732" s="1122"/>
      <c r="BJ732" s="520"/>
      <c r="BK732" s="520"/>
      <c r="BL732" s="520"/>
      <c r="BM732" s="520"/>
      <c r="BN732" s="1122"/>
      <c r="BO732" s="520"/>
      <c r="BP732" s="520"/>
      <c r="BQ732" s="520"/>
      <c r="BR732" s="520"/>
      <c r="BS732" s="1122"/>
      <c r="BT732" s="728"/>
      <c r="BU732" s="520"/>
      <c r="BV732" s="520"/>
      <c r="BW732" s="520"/>
      <c r="BX732" s="1122"/>
      <c r="BY732" s="520"/>
      <c r="BZ732" s="520"/>
      <c r="CA732" s="520"/>
      <c r="CB732" s="520"/>
      <c r="CC732" s="1122"/>
      <c r="CD732" s="1122"/>
      <c r="CE732" s="1122"/>
      <c r="CF732" s="1122"/>
      <c r="CG732" s="519"/>
    </row>
    <row r="733" spans="1:85" s="614" customFormat="1" x14ac:dyDescent="0.3">
      <c r="A733" s="522"/>
      <c r="B733" s="352"/>
      <c r="C733" s="1094"/>
      <c r="D733" s="1094"/>
      <c r="E733" s="1094"/>
      <c r="F733" s="1094"/>
      <c r="G733" s="197"/>
      <c r="H733" s="197"/>
      <c r="I733" s="197"/>
      <c r="J733" s="197"/>
      <c r="K733" s="1094"/>
      <c r="L733" s="197"/>
      <c r="M733" s="197"/>
      <c r="N733" s="197"/>
      <c r="O733" s="197"/>
      <c r="P733" s="1094"/>
      <c r="Q733" s="197"/>
      <c r="R733" s="197"/>
      <c r="S733" s="197"/>
      <c r="T733" s="197"/>
      <c r="U733" s="1094"/>
      <c r="V733" s="197"/>
      <c r="W733" s="197"/>
      <c r="X733" s="197"/>
      <c r="Y733" s="197"/>
      <c r="Z733" s="1094"/>
      <c r="AA733" s="197"/>
      <c r="AB733" s="197"/>
      <c r="AC733" s="197"/>
      <c r="AD733" s="197"/>
      <c r="AE733" s="1094"/>
      <c r="AF733" s="197"/>
      <c r="AG733" s="197"/>
      <c r="AH733" s="197"/>
      <c r="AI733" s="197"/>
      <c r="AJ733" s="1094"/>
      <c r="AK733" s="197"/>
      <c r="AL733" s="197"/>
      <c r="AM733" s="197"/>
      <c r="AN733" s="197"/>
      <c r="AO733" s="1094"/>
      <c r="AP733" s="197"/>
      <c r="AQ733" s="197"/>
      <c r="AR733" s="197"/>
      <c r="AS733" s="197"/>
      <c r="AT733" s="198"/>
      <c r="AU733" s="197"/>
      <c r="AV733" s="197"/>
      <c r="AW733" s="197"/>
      <c r="AX733" s="197"/>
      <c r="AY733" s="198"/>
      <c r="AZ733" s="197"/>
      <c r="BA733" s="197"/>
      <c r="BB733" s="197"/>
      <c r="BC733" s="197"/>
      <c r="BD733" s="198"/>
      <c r="BE733" s="197"/>
      <c r="BF733" s="197"/>
      <c r="BG733" s="197"/>
      <c r="BH733" s="197"/>
      <c r="BI733" s="1094"/>
      <c r="BJ733" s="197"/>
      <c r="BK733" s="197"/>
      <c r="BL733" s="197"/>
      <c r="BM733" s="197"/>
      <c r="BN733" s="1094"/>
      <c r="BO733" s="197"/>
      <c r="BP733" s="197"/>
      <c r="BQ733" s="197"/>
      <c r="BR733" s="197"/>
      <c r="BS733" s="1094"/>
      <c r="BT733" s="727"/>
      <c r="BU733" s="197"/>
      <c r="BV733" s="197"/>
      <c r="BW733" s="197"/>
      <c r="BX733" s="1094"/>
      <c r="BY733" s="197"/>
      <c r="BZ733" s="197"/>
      <c r="CA733" s="197"/>
      <c r="CB733" s="197"/>
      <c r="CC733" s="1094"/>
      <c r="CD733" s="1094"/>
      <c r="CE733" s="1094"/>
      <c r="CF733" s="1094"/>
      <c r="CG733" s="349"/>
    </row>
    <row r="734" spans="1:85" s="613" customFormat="1" x14ac:dyDescent="0.3">
      <c r="A734" s="478" t="s">
        <v>1606</v>
      </c>
      <c r="B734" s="523"/>
      <c r="C734" s="78"/>
      <c r="D734" s="78"/>
      <c r="E734" s="78"/>
      <c r="F734" s="78"/>
      <c r="G734" s="774"/>
      <c r="H734" s="774"/>
      <c r="I734" s="774"/>
      <c r="J734" s="774"/>
      <c r="K734" s="78"/>
      <c r="L734" s="774"/>
      <c r="M734" s="774"/>
      <c r="N734" s="774"/>
      <c r="O734" s="774"/>
      <c r="P734" s="78"/>
      <c r="Q734" s="774"/>
      <c r="R734" s="774"/>
      <c r="S734" s="774"/>
      <c r="T734" s="774"/>
      <c r="U734" s="78"/>
      <c r="V734" s="774"/>
      <c r="W734" s="774"/>
      <c r="X734" s="774"/>
      <c r="Y734" s="774"/>
      <c r="Z734" s="78"/>
      <c r="AA734" s="774"/>
      <c r="AB734" s="774"/>
      <c r="AC734" s="774"/>
      <c r="AD734" s="774"/>
      <c r="AE734" s="78"/>
      <c r="AF734" s="774"/>
      <c r="AG734" s="774"/>
      <c r="AH734" s="774"/>
      <c r="AI734" s="774"/>
      <c r="AJ734" s="78"/>
      <c r="AK734" s="774"/>
      <c r="AL734" s="774"/>
      <c r="AM734" s="774"/>
      <c r="AN734" s="774"/>
      <c r="AO734" s="78"/>
      <c r="AP734" s="774"/>
      <c r="AQ734" s="774"/>
      <c r="AR734" s="774"/>
      <c r="AS734" s="774"/>
      <c r="AT734" s="1119">
        <v>7.3289999999999997</v>
      </c>
      <c r="AU734" s="774"/>
      <c r="AV734" s="774"/>
      <c r="AW734" s="774"/>
      <c r="AX734" s="774"/>
      <c r="AY734" s="78"/>
      <c r="AZ734" s="774"/>
      <c r="BA734" s="774"/>
      <c r="BB734" s="774"/>
      <c r="BC734" s="774"/>
      <c r="BD734" s="78"/>
      <c r="BE734" s="774"/>
      <c r="BF734" s="774"/>
      <c r="BG734" s="774"/>
      <c r="BH734" s="774"/>
      <c r="BI734" s="78"/>
      <c r="BJ734" s="774"/>
      <c r="BK734" s="774"/>
      <c r="BL734" s="774"/>
      <c r="BM734" s="774"/>
      <c r="BN734" s="78"/>
      <c r="BO734" s="774"/>
      <c r="BP734" s="774"/>
      <c r="BQ734" s="774"/>
      <c r="BR734" s="774"/>
      <c r="BS734" s="78"/>
      <c r="BT734" s="775"/>
      <c r="BU734" s="774"/>
      <c r="BV734" s="774"/>
      <c r="BW734" s="774"/>
      <c r="BX734" s="78"/>
      <c r="BY734" s="774"/>
      <c r="BZ734" s="774"/>
      <c r="CA734" s="774"/>
      <c r="CB734" s="774"/>
      <c r="CC734" s="78"/>
      <c r="CD734" s="78"/>
      <c r="CE734" s="78"/>
      <c r="CF734" s="78"/>
      <c r="CG734" s="532"/>
    </row>
    <row r="735" spans="1:85" s="615" customFormat="1" x14ac:dyDescent="0.3">
      <c r="A735" s="522" t="s">
        <v>1605</v>
      </c>
      <c r="B735" s="521"/>
      <c r="C735" s="1122"/>
      <c r="D735" s="1122"/>
      <c r="E735" s="1122"/>
      <c r="F735" s="1122"/>
      <c r="G735" s="520"/>
      <c r="H735" s="520"/>
      <c r="I735" s="520"/>
      <c r="J735" s="520"/>
      <c r="K735" s="1122"/>
      <c r="L735" s="520"/>
      <c r="M735" s="520"/>
      <c r="N735" s="520"/>
      <c r="O735" s="520"/>
      <c r="P735" s="1122"/>
      <c r="Q735" s="520"/>
      <c r="R735" s="520"/>
      <c r="S735" s="520"/>
      <c r="T735" s="520"/>
      <c r="U735" s="1122"/>
      <c r="V735" s="520"/>
      <c r="W735" s="520"/>
      <c r="X735" s="520"/>
      <c r="Y735" s="520"/>
      <c r="Z735" s="1122"/>
      <c r="AA735" s="520"/>
      <c r="AB735" s="520"/>
      <c r="AC735" s="520"/>
      <c r="AD735" s="520"/>
      <c r="AE735" s="1122"/>
      <c r="AF735" s="520"/>
      <c r="AG735" s="520"/>
      <c r="AH735" s="520"/>
      <c r="AI735" s="520"/>
      <c r="AJ735" s="1122"/>
      <c r="AK735" s="520"/>
      <c r="AL735" s="520"/>
      <c r="AM735" s="520"/>
      <c r="AN735" s="520"/>
      <c r="AO735" s="1122"/>
      <c r="AP735" s="520"/>
      <c r="AQ735" s="520"/>
      <c r="AR735" s="520"/>
      <c r="AS735" s="520"/>
      <c r="AT735" s="1123">
        <v>93.11</v>
      </c>
      <c r="AU735" s="520"/>
      <c r="AV735" s="520"/>
      <c r="AW735" s="520"/>
      <c r="AX735" s="520"/>
      <c r="AY735" s="1124"/>
      <c r="AZ735" s="520"/>
      <c r="BA735" s="520"/>
      <c r="BB735" s="520"/>
      <c r="BC735" s="520"/>
      <c r="BD735" s="1124"/>
      <c r="BE735" s="520"/>
      <c r="BF735" s="520"/>
      <c r="BG735" s="520"/>
      <c r="BH735" s="520"/>
      <c r="BI735" s="1122"/>
      <c r="BJ735" s="520"/>
      <c r="BK735" s="520"/>
      <c r="BL735" s="520"/>
      <c r="BM735" s="520"/>
      <c r="BN735" s="1122"/>
      <c r="BO735" s="520"/>
      <c r="BP735" s="520"/>
      <c r="BQ735" s="520"/>
      <c r="BR735" s="520"/>
      <c r="BS735" s="1122"/>
      <c r="BT735" s="728"/>
      <c r="BU735" s="520"/>
      <c r="BV735" s="520"/>
      <c r="BW735" s="520"/>
      <c r="BX735" s="1122"/>
      <c r="BY735" s="520"/>
      <c r="BZ735" s="520"/>
      <c r="CA735" s="520"/>
      <c r="CB735" s="520"/>
      <c r="CC735" s="1122"/>
      <c r="CD735" s="1122"/>
      <c r="CE735" s="1122"/>
      <c r="CF735" s="1122"/>
      <c r="CG735" s="519"/>
    </row>
    <row r="736" spans="1:85" s="614" customFormat="1" x14ac:dyDescent="0.3">
      <c r="A736" s="522"/>
      <c r="B736" s="352"/>
      <c r="C736" s="1094"/>
      <c r="D736" s="1094"/>
      <c r="E736" s="1094"/>
      <c r="F736" s="1094"/>
      <c r="G736" s="197"/>
      <c r="H736" s="197"/>
      <c r="I736" s="197"/>
      <c r="J736" s="197"/>
      <c r="K736" s="1094"/>
      <c r="L736" s="197"/>
      <c r="M736" s="197"/>
      <c r="N736" s="197"/>
      <c r="O736" s="197"/>
      <c r="P736" s="1094"/>
      <c r="Q736" s="197"/>
      <c r="R736" s="197"/>
      <c r="S736" s="197"/>
      <c r="T736" s="197"/>
      <c r="U736" s="1094"/>
      <c r="V736" s="197"/>
      <c r="W736" s="197"/>
      <c r="X736" s="197"/>
      <c r="Y736" s="197"/>
      <c r="Z736" s="1094"/>
      <c r="AA736" s="197"/>
      <c r="AB736" s="197"/>
      <c r="AC736" s="197"/>
      <c r="AD736" s="197"/>
      <c r="AE736" s="1094"/>
      <c r="AF736" s="197"/>
      <c r="AG736" s="197"/>
      <c r="AH736" s="197"/>
      <c r="AI736" s="197"/>
      <c r="AJ736" s="1094"/>
      <c r="AK736" s="197"/>
      <c r="AL736" s="197"/>
      <c r="AM736" s="197"/>
      <c r="AN736" s="197"/>
      <c r="AO736" s="1094"/>
      <c r="AP736" s="197"/>
      <c r="AQ736" s="197"/>
      <c r="AR736" s="197"/>
      <c r="AS736" s="197"/>
      <c r="AT736" s="198"/>
      <c r="AU736" s="197"/>
      <c r="AV736" s="197"/>
      <c r="AW736" s="197"/>
      <c r="AX736" s="197"/>
      <c r="AY736" s="198"/>
      <c r="AZ736" s="197"/>
      <c r="BA736" s="197"/>
      <c r="BB736" s="197"/>
      <c r="BC736" s="197"/>
      <c r="BD736" s="198"/>
      <c r="BE736" s="197"/>
      <c r="BF736" s="197"/>
      <c r="BG736" s="197"/>
      <c r="BH736" s="197"/>
      <c r="BI736" s="1094"/>
      <c r="BJ736" s="197"/>
      <c r="BK736" s="197"/>
      <c r="BL736" s="197"/>
      <c r="BM736" s="197"/>
      <c r="BN736" s="1094"/>
      <c r="BO736" s="197"/>
      <c r="BP736" s="197"/>
      <c r="BQ736" s="197"/>
      <c r="BR736" s="197"/>
      <c r="BS736" s="1094"/>
      <c r="BT736" s="727"/>
      <c r="BU736" s="197"/>
      <c r="BV736" s="197"/>
      <c r="BW736" s="197"/>
      <c r="BX736" s="1094"/>
      <c r="BY736" s="197"/>
      <c r="BZ736" s="197"/>
      <c r="CA736" s="197"/>
      <c r="CB736" s="197"/>
      <c r="CC736" s="1094"/>
      <c r="CD736" s="1094"/>
      <c r="CE736" s="1094"/>
      <c r="CF736" s="1094"/>
      <c r="CG736" s="349"/>
    </row>
    <row r="737" spans="1:85" s="613" customFormat="1" x14ac:dyDescent="0.3">
      <c r="A737" s="478" t="s">
        <v>1604</v>
      </c>
      <c r="B737" s="523"/>
      <c r="C737" s="78"/>
      <c r="D737" s="78"/>
      <c r="E737" s="78"/>
      <c r="F737" s="78"/>
      <c r="G737" s="774"/>
      <c r="H737" s="774"/>
      <c r="I737" s="774"/>
      <c r="J737" s="774"/>
      <c r="K737" s="78"/>
      <c r="L737" s="774"/>
      <c r="M737" s="774"/>
      <c r="N737" s="774"/>
      <c r="O737" s="774"/>
      <c r="P737" s="78"/>
      <c r="Q737" s="774"/>
      <c r="R737" s="774"/>
      <c r="S737" s="774"/>
      <c r="T737" s="774"/>
      <c r="U737" s="78"/>
      <c r="V737" s="774"/>
      <c r="W737" s="774"/>
      <c r="X737" s="774"/>
      <c r="Y737" s="774"/>
      <c r="Z737" s="78"/>
      <c r="AA737" s="774"/>
      <c r="AB737" s="774"/>
      <c r="AC737" s="774"/>
      <c r="AD737" s="774"/>
      <c r="AE737" s="78"/>
      <c r="AF737" s="774"/>
      <c r="AG737" s="774"/>
      <c r="AH737" s="774"/>
      <c r="AI737" s="774"/>
      <c r="AJ737" s="78"/>
      <c r="AK737" s="774"/>
      <c r="AL737" s="774"/>
      <c r="AM737" s="774"/>
      <c r="AN737" s="774"/>
      <c r="AO737" s="78"/>
      <c r="AP737" s="774"/>
      <c r="AQ737" s="774"/>
      <c r="AR737" s="774"/>
      <c r="AS737" s="774"/>
      <c r="AT737" s="1119">
        <v>6.7210000000000001</v>
      </c>
      <c r="AU737" s="774"/>
      <c r="AV737" s="774"/>
      <c r="AW737" s="774"/>
      <c r="AX737" s="774"/>
      <c r="AY737" s="78"/>
      <c r="AZ737" s="774"/>
      <c r="BA737" s="774"/>
      <c r="BB737" s="774"/>
      <c r="BC737" s="774"/>
      <c r="BD737" s="78"/>
      <c r="BE737" s="774"/>
      <c r="BF737" s="774"/>
      <c r="BG737" s="774"/>
      <c r="BH737" s="774"/>
      <c r="BI737" s="78"/>
      <c r="BJ737" s="774"/>
      <c r="BK737" s="774"/>
      <c r="BL737" s="774"/>
      <c r="BM737" s="774"/>
      <c r="BN737" s="78"/>
      <c r="BO737" s="774"/>
      <c r="BP737" s="774"/>
      <c r="BQ737" s="774"/>
      <c r="BR737" s="774"/>
      <c r="BS737" s="78"/>
      <c r="BT737" s="775"/>
      <c r="BU737" s="774"/>
      <c r="BV737" s="774"/>
      <c r="BW737" s="774"/>
      <c r="BX737" s="78"/>
      <c r="BY737" s="774"/>
      <c r="BZ737" s="774"/>
      <c r="CA737" s="774"/>
      <c r="CB737" s="774"/>
      <c r="CC737" s="78"/>
      <c r="CD737" s="78"/>
      <c r="CE737" s="78"/>
      <c r="CF737" s="78"/>
      <c r="CG737" s="532"/>
    </row>
    <row r="738" spans="1:85" s="615" customFormat="1" x14ac:dyDescent="0.3">
      <c r="A738" s="522" t="s">
        <v>1603</v>
      </c>
      <c r="B738" s="521"/>
      <c r="C738" s="1122"/>
      <c r="D738" s="1122"/>
      <c r="E738" s="1122"/>
      <c r="F738" s="1122"/>
      <c r="G738" s="520"/>
      <c r="H738" s="520"/>
      <c r="I738" s="520"/>
      <c r="J738" s="520"/>
      <c r="K738" s="1122"/>
      <c r="L738" s="520"/>
      <c r="M738" s="520"/>
      <c r="N738" s="520"/>
      <c r="O738" s="520"/>
      <c r="P738" s="1122"/>
      <c r="Q738" s="520"/>
      <c r="R738" s="520"/>
      <c r="S738" s="520"/>
      <c r="T738" s="520"/>
      <c r="U738" s="1122"/>
      <c r="V738" s="520"/>
      <c r="W738" s="520"/>
      <c r="X738" s="520"/>
      <c r="Y738" s="520"/>
      <c r="Z738" s="1122"/>
      <c r="AA738" s="520"/>
      <c r="AB738" s="520"/>
      <c r="AC738" s="520"/>
      <c r="AD738" s="520"/>
      <c r="AE738" s="1122"/>
      <c r="AF738" s="520"/>
      <c r="AG738" s="520"/>
      <c r="AH738" s="520"/>
      <c r="AI738" s="520"/>
      <c r="AJ738" s="1122"/>
      <c r="AK738" s="520"/>
      <c r="AL738" s="520"/>
      <c r="AM738" s="520"/>
      <c r="AN738" s="520"/>
      <c r="AO738" s="1122"/>
      <c r="AP738" s="520"/>
      <c r="AQ738" s="520"/>
      <c r="AR738" s="520"/>
      <c r="AS738" s="520"/>
      <c r="AT738" s="1123">
        <v>101.51</v>
      </c>
      <c r="AU738" s="520"/>
      <c r="AV738" s="520"/>
      <c r="AW738" s="520"/>
      <c r="AX738" s="520"/>
      <c r="AY738" s="1124"/>
      <c r="AZ738" s="520"/>
      <c r="BA738" s="520"/>
      <c r="BB738" s="520"/>
      <c r="BC738" s="520"/>
      <c r="BD738" s="1124"/>
      <c r="BE738" s="520"/>
      <c r="BF738" s="520"/>
      <c r="BG738" s="520"/>
      <c r="BH738" s="520"/>
      <c r="BI738" s="1122"/>
      <c r="BJ738" s="520"/>
      <c r="BK738" s="520"/>
      <c r="BL738" s="520"/>
      <c r="BM738" s="520"/>
      <c r="BN738" s="1122"/>
      <c r="BO738" s="520"/>
      <c r="BP738" s="520"/>
      <c r="BQ738" s="520"/>
      <c r="BR738" s="520"/>
      <c r="BS738" s="1122"/>
      <c r="BT738" s="728"/>
      <c r="BU738" s="520"/>
      <c r="BV738" s="520"/>
      <c r="BW738" s="520"/>
      <c r="BX738" s="1122"/>
      <c r="BY738" s="520"/>
      <c r="BZ738" s="520"/>
      <c r="CA738" s="520"/>
      <c r="CB738" s="520"/>
      <c r="CC738" s="1122"/>
      <c r="CD738" s="1122"/>
      <c r="CE738" s="1122"/>
      <c r="CF738" s="1122"/>
      <c r="CG738" s="519"/>
    </row>
    <row r="739" spans="1:85" s="614" customFormat="1" x14ac:dyDescent="0.3">
      <c r="A739" s="522"/>
      <c r="B739" s="352"/>
      <c r="C739" s="1094"/>
      <c r="D739" s="1094"/>
      <c r="E739" s="1094"/>
      <c r="F739" s="1094"/>
      <c r="G739" s="197"/>
      <c r="H739" s="197"/>
      <c r="I739" s="197"/>
      <c r="J739" s="197"/>
      <c r="K739" s="1094"/>
      <c r="L739" s="197"/>
      <c r="M739" s="197"/>
      <c r="N739" s="197"/>
      <c r="O739" s="197"/>
      <c r="P739" s="1094"/>
      <c r="Q739" s="197"/>
      <c r="R739" s="197"/>
      <c r="S739" s="197"/>
      <c r="T739" s="197"/>
      <c r="U739" s="1094"/>
      <c r="V739" s="197"/>
      <c r="W739" s="197"/>
      <c r="X739" s="197"/>
      <c r="Y739" s="197"/>
      <c r="Z739" s="1094"/>
      <c r="AA739" s="197"/>
      <c r="AB739" s="197"/>
      <c r="AC739" s="197"/>
      <c r="AD739" s="197"/>
      <c r="AE739" s="1094"/>
      <c r="AF739" s="197"/>
      <c r="AG739" s="197"/>
      <c r="AH739" s="197"/>
      <c r="AI739" s="197"/>
      <c r="AJ739" s="1094"/>
      <c r="AK739" s="197"/>
      <c r="AL739" s="197"/>
      <c r="AM739" s="197"/>
      <c r="AN739" s="197"/>
      <c r="AO739" s="1094"/>
      <c r="AP739" s="197"/>
      <c r="AQ739" s="197"/>
      <c r="AR739" s="197"/>
      <c r="AS739" s="197"/>
      <c r="AT739" s="198"/>
      <c r="AU739" s="197"/>
      <c r="AV739" s="197"/>
      <c r="AW739" s="197"/>
      <c r="AX739" s="197"/>
      <c r="AY739" s="198"/>
      <c r="AZ739" s="197"/>
      <c r="BA739" s="197"/>
      <c r="BB739" s="197"/>
      <c r="BC739" s="197"/>
      <c r="BD739" s="198"/>
      <c r="BE739" s="197"/>
      <c r="BF739" s="197"/>
      <c r="BG739" s="197"/>
      <c r="BH739" s="197"/>
      <c r="BI739" s="1094"/>
      <c r="BJ739" s="197"/>
      <c r="BK739" s="197"/>
      <c r="BL739" s="197"/>
      <c r="BM739" s="197"/>
      <c r="BN739" s="1094"/>
      <c r="BO739" s="197"/>
      <c r="BP739" s="197"/>
      <c r="BQ739" s="197"/>
      <c r="BR739" s="197"/>
      <c r="BS739" s="1094"/>
      <c r="BT739" s="727"/>
      <c r="BU739" s="197"/>
      <c r="BV739" s="197"/>
      <c r="BW739" s="197"/>
      <c r="BX739" s="1094"/>
      <c r="BY739" s="197"/>
      <c r="BZ739" s="197"/>
      <c r="CA739" s="197"/>
      <c r="CB739" s="197"/>
      <c r="CC739" s="1094"/>
      <c r="CD739" s="1094"/>
      <c r="CE739" s="1094"/>
      <c r="CF739" s="1094"/>
      <c r="CG739" s="349"/>
    </row>
    <row r="740" spans="1:85" s="613" customFormat="1" x14ac:dyDescent="0.3">
      <c r="A740" s="478" t="s">
        <v>1602</v>
      </c>
      <c r="B740" s="523"/>
      <c r="C740" s="78"/>
      <c r="D740" s="78"/>
      <c r="E740" s="78"/>
      <c r="F740" s="78"/>
      <c r="G740" s="774"/>
      <c r="H740" s="774"/>
      <c r="I740" s="774"/>
      <c r="J740" s="774"/>
      <c r="K740" s="78"/>
      <c r="L740" s="774"/>
      <c r="M740" s="774"/>
      <c r="N740" s="774"/>
      <c r="O740" s="774"/>
      <c r="P740" s="78"/>
      <c r="Q740" s="774"/>
      <c r="R740" s="774"/>
      <c r="S740" s="774"/>
      <c r="T740" s="774"/>
      <c r="U740" s="78"/>
      <c r="V740" s="774"/>
      <c r="W740" s="774"/>
      <c r="X740" s="774"/>
      <c r="Y740" s="774"/>
      <c r="Z740" s="78"/>
      <c r="AA740" s="774"/>
      <c r="AB740" s="774"/>
      <c r="AC740" s="774"/>
      <c r="AD740" s="774"/>
      <c r="AE740" s="78"/>
      <c r="AF740" s="774"/>
      <c r="AG740" s="774"/>
      <c r="AH740" s="774"/>
      <c r="AI740" s="774"/>
      <c r="AJ740" s="78"/>
      <c r="AK740" s="774"/>
      <c r="AL740" s="774"/>
      <c r="AM740" s="774"/>
      <c r="AN740" s="774"/>
      <c r="AO740" s="78"/>
      <c r="AP740" s="774"/>
      <c r="AQ740" s="774"/>
      <c r="AR740" s="774"/>
      <c r="AS740" s="774"/>
      <c r="AT740" s="1119">
        <v>7.0579999999999998</v>
      </c>
      <c r="AU740" s="774"/>
      <c r="AV740" s="774"/>
      <c r="AW740" s="774"/>
      <c r="AX740" s="774"/>
      <c r="AY740" s="78"/>
      <c r="AZ740" s="774"/>
      <c r="BA740" s="774"/>
      <c r="BB740" s="774"/>
      <c r="BC740" s="774"/>
      <c r="BD740" s="78"/>
      <c r="BE740" s="774"/>
      <c r="BF740" s="774"/>
      <c r="BG740" s="774"/>
      <c r="BH740" s="774"/>
      <c r="BI740" s="78"/>
      <c r="BJ740" s="774"/>
      <c r="BK740" s="774"/>
      <c r="BL740" s="774"/>
      <c r="BM740" s="774"/>
      <c r="BN740" s="78"/>
      <c r="BO740" s="774"/>
      <c r="BP740" s="774"/>
      <c r="BQ740" s="774"/>
      <c r="BR740" s="774"/>
      <c r="BS740" s="78"/>
      <c r="BT740" s="775"/>
      <c r="BU740" s="774"/>
      <c r="BV740" s="774"/>
      <c r="BW740" s="774"/>
      <c r="BX740" s="78"/>
      <c r="BY740" s="774"/>
      <c r="BZ740" s="774"/>
      <c r="CA740" s="774"/>
      <c r="CB740" s="774"/>
      <c r="CC740" s="78"/>
      <c r="CD740" s="78"/>
      <c r="CE740" s="78"/>
      <c r="CF740" s="78"/>
      <c r="CG740" s="532"/>
    </row>
    <row r="741" spans="1:85" s="615" customFormat="1" x14ac:dyDescent="0.3">
      <c r="A741" s="522" t="s">
        <v>1601</v>
      </c>
      <c r="B741" s="521"/>
      <c r="C741" s="1122"/>
      <c r="D741" s="1122"/>
      <c r="E741" s="1122"/>
      <c r="F741" s="1122"/>
      <c r="G741" s="520"/>
      <c r="H741" s="520"/>
      <c r="I741" s="520"/>
      <c r="J741" s="520"/>
      <c r="K741" s="1122"/>
      <c r="L741" s="520"/>
      <c r="M741" s="520"/>
      <c r="N741" s="520"/>
      <c r="O741" s="520"/>
      <c r="P741" s="1122"/>
      <c r="Q741" s="520"/>
      <c r="R741" s="520"/>
      <c r="S741" s="520"/>
      <c r="T741" s="520"/>
      <c r="U741" s="1122"/>
      <c r="V741" s="520"/>
      <c r="W741" s="520"/>
      <c r="X741" s="520"/>
      <c r="Y741" s="520"/>
      <c r="Z741" s="1122"/>
      <c r="AA741" s="520"/>
      <c r="AB741" s="520"/>
      <c r="AC741" s="520"/>
      <c r="AD741" s="520"/>
      <c r="AE741" s="1122"/>
      <c r="AF741" s="520"/>
      <c r="AG741" s="520"/>
      <c r="AH741" s="520"/>
      <c r="AI741" s="520"/>
      <c r="AJ741" s="1122"/>
      <c r="AK741" s="520"/>
      <c r="AL741" s="520"/>
      <c r="AM741" s="520"/>
      <c r="AN741" s="520"/>
      <c r="AO741" s="1122"/>
      <c r="AP741" s="520"/>
      <c r="AQ741" s="520"/>
      <c r="AR741" s="520"/>
      <c r="AS741" s="520"/>
      <c r="AT741" s="1123">
        <v>96.67</v>
      </c>
      <c r="AU741" s="520"/>
      <c r="AV741" s="520"/>
      <c r="AW741" s="520"/>
      <c r="AX741" s="520"/>
      <c r="AY741" s="1124"/>
      <c r="AZ741" s="520"/>
      <c r="BA741" s="520"/>
      <c r="BB741" s="520"/>
      <c r="BC741" s="520"/>
      <c r="BD741" s="1124"/>
      <c r="BE741" s="520"/>
      <c r="BF741" s="520"/>
      <c r="BG741" s="520"/>
      <c r="BH741" s="520"/>
      <c r="BI741" s="1122"/>
      <c r="BJ741" s="520"/>
      <c r="BK741" s="520"/>
      <c r="BL741" s="520"/>
      <c r="BM741" s="520"/>
      <c r="BN741" s="1122"/>
      <c r="BO741" s="520"/>
      <c r="BP741" s="520"/>
      <c r="BQ741" s="520"/>
      <c r="BR741" s="520"/>
      <c r="BS741" s="1122"/>
      <c r="BT741" s="728"/>
      <c r="BU741" s="520"/>
      <c r="BV741" s="520"/>
      <c r="BW741" s="520"/>
      <c r="BX741" s="1122"/>
      <c r="BY741" s="520"/>
      <c r="BZ741" s="520"/>
      <c r="CA741" s="520"/>
      <c r="CB741" s="520"/>
      <c r="CC741" s="1122"/>
      <c r="CD741" s="1122"/>
      <c r="CE741" s="1122"/>
      <c r="CF741" s="1122"/>
      <c r="CG741" s="519"/>
    </row>
    <row r="742" spans="1:85" s="614" customFormat="1" x14ac:dyDescent="0.3">
      <c r="A742" s="116"/>
      <c r="B742" s="352"/>
      <c r="C742" s="1094"/>
      <c r="D742" s="1094"/>
      <c r="E742" s="1094"/>
      <c r="F742" s="1094"/>
      <c r="G742" s="197"/>
      <c r="H742" s="197"/>
      <c r="I742" s="197"/>
      <c r="J742" s="197"/>
      <c r="K742" s="1094"/>
      <c r="L742" s="197"/>
      <c r="M742" s="197"/>
      <c r="N742" s="197"/>
      <c r="O742" s="197"/>
      <c r="P742" s="1094"/>
      <c r="Q742" s="197"/>
      <c r="R742" s="197"/>
      <c r="S742" s="197"/>
      <c r="T742" s="197"/>
      <c r="U742" s="1094"/>
      <c r="V742" s="197"/>
      <c r="W742" s="197"/>
      <c r="X742" s="197"/>
      <c r="Y742" s="197"/>
      <c r="Z742" s="1094"/>
      <c r="AA742" s="197"/>
      <c r="AB742" s="197"/>
      <c r="AC742" s="197"/>
      <c r="AD742" s="197"/>
      <c r="AE742" s="1094"/>
      <c r="AF742" s="197"/>
      <c r="AG742" s="197"/>
      <c r="AH742" s="197"/>
      <c r="AI742" s="197"/>
      <c r="AJ742" s="1094"/>
      <c r="AK742" s="197"/>
      <c r="AL742" s="197"/>
      <c r="AM742" s="197"/>
      <c r="AN742" s="197"/>
      <c r="AO742" s="1094"/>
      <c r="AP742" s="197"/>
      <c r="AQ742" s="197"/>
      <c r="AR742" s="197"/>
      <c r="AS742" s="197"/>
      <c r="AT742" s="198"/>
      <c r="AU742" s="197"/>
      <c r="AV742" s="197"/>
      <c r="AW742" s="197"/>
      <c r="AX742" s="197"/>
      <c r="AY742" s="198"/>
      <c r="AZ742" s="197"/>
      <c r="BA742" s="197"/>
      <c r="BB742" s="197"/>
      <c r="BC742" s="197"/>
      <c r="BD742" s="198"/>
      <c r="BE742" s="197"/>
      <c r="BF742" s="197"/>
      <c r="BG742" s="197"/>
      <c r="BH742" s="197"/>
      <c r="BI742" s="1094"/>
      <c r="BJ742" s="197"/>
      <c r="BK742" s="197"/>
      <c r="BL742" s="197"/>
      <c r="BM742" s="197"/>
      <c r="BN742" s="1094"/>
      <c r="BO742" s="197"/>
      <c r="BP742" s="197"/>
      <c r="BQ742" s="197"/>
      <c r="BR742" s="197"/>
      <c r="BS742" s="1094"/>
      <c r="BT742" s="727"/>
      <c r="BU742" s="197"/>
      <c r="BV742" s="197"/>
      <c r="BW742" s="197"/>
      <c r="BX742" s="1094"/>
      <c r="BY742" s="197"/>
      <c r="BZ742" s="197"/>
      <c r="CA742" s="197"/>
      <c r="CB742" s="197"/>
      <c r="CC742" s="1094"/>
      <c r="CD742" s="1094"/>
      <c r="CE742" s="1094"/>
      <c r="CF742" s="1094"/>
      <c r="CG742" s="349"/>
    </row>
    <row r="743" spans="1:85" s="613" customFormat="1" x14ac:dyDescent="0.3">
      <c r="A743" s="478" t="s">
        <v>1600</v>
      </c>
      <c r="B743" s="523"/>
      <c r="C743" s="78"/>
      <c r="D743" s="78"/>
      <c r="E743" s="78"/>
      <c r="F743" s="78"/>
      <c r="G743" s="774"/>
      <c r="H743" s="774"/>
      <c r="I743" s="774"/>
      <c r="J743" s="774"/>
      <c r="K743" s="78"/>
      <c r="L743" s="774"/>
      <c r="M743" s="774"/>
      <c r="N743" s="774"/>
      <c r="O743" s="774"/>
      <c r="P743" s="78"/>
      <c r="Q743" s="774"/>
      <c r="R743" s="774"/>
      <c r="S743" s="774"/>
      <c r="T743" s="774"/>
      <c r="U743" s="78"/>
      <c r="V743" s="774"/>
      <c r="W743" s="774"/>
      <c r="X743" s="774"/>
      <c r="Y743" s="774"/>
      <c r="Z743" s="78"/>
      <c r="AA743" s="774"/>
      <c r="AB743" s="774"/>
      <c r="AC743" s="774"/>
      <c r="AD743" s="774"/>
      <c r="AE743" s="78"/>
      <c r="AF743" s="774"/>
      <c r="AG743" s="774"/>
      <c r="AH743" s="774"/>
      <c r="AI743" s="774"/>
      <c r="AJ743" s="78"/>
      <c r="AK743" s="774"/>
      <c r="AL743" s="774"/>
      <c r="AM743" s="774"/>
      <c r="AN743" s="774"/>
      <c r="AO743" s="78"/>
      <c r="AP743" s="774"/>
      <c r="AQ743" s="774"/>
      <c r="AR743" s="774"/>
      <c r="AS743" s="774"/>
      <c r="AT743" s="1119">
        <v>7.23</v>
      </c>
      <c r="AU743" s="774"/>
      <c r="AV743" s="774"/>
      <c r="AW743" s="774"/>
      <c r="AX743" s="774"/>
      <c r="AY743" s="1119">
        <v>7.23</v>
      </c>
      <c r="AZ743" s="774"/>
      <c r="BA743" s="774"/>
      <c r="BB743" s="774"/>
      <c r="BC743" s="774"/>
      <c r="BD743" s="1119">
        <v>7.23</v>
      </c>
      <c r="BE743" s="774"/>
      <c r="BF743" s="774"/>
      <c r="BG743" s="774"/>
      <c r="BH743" s="774"/>
      <c r="BI743" s="78"/>
      <c r="BJ743" s="774"/>
      <c r="BK743" s="774"/>
      <c r="BL743" s="774"/>
      <c r="BM743" s="774"/>
      <c r="BN743" s="78"/>
      <c r="BO743" s="774"/>
      <c r="BP743" s="774"/>
      <c r="BQ743" s="774"/>
      <c r="BR743" s="774"/>
      <c r="BS743" s="78"/>
      <c r="BT743" s="775"/>
      <c r="BU743" s="774"/>
      <c r="BV743" s="774"/>
      <c r="BW743" s="774"/>
      <c r="BX743" s="78"/>
      <c r="BY743" s="774"/>
      <c r="BZ743" s="774"/>
      <c r="CA743" s="774"/>
      <c r="CB743" s="774"/>
      <c r="CC743" s="78"/>
      <c r="CD743" s="78"/>
      <c r="CE743" s="78"/>
      <c r="CF743" s="78"/>
      <c r="CG743" s="532"/>
    </row>
    <row r="744" spans="1:85" s="615" customFormat="1" x14ac:dyDescent="0.3">
      <c r="A744" s="522" t="s">
        <v>1599</v>
      </c>
      <c r="B744" s="521"/>
      <c r="C744" s="1122"/>
      <c r="D744" s="1122"/>
      <c r="E744" s="1122"/>
      <c r="F744" s="1122"/>
      <c r="G744" s="520"/>
      <c r="H744" s="520"/>
      <c r="I744" s="520"/>
      <c r="J744" s="520"/>
      <c r="K744" s="1122"/>
      <c r="L744" s="520"/>
      <c r="M744" s="520"/>
      <c r="N744" s="520"/>
      <c r="O744" s="520"/>
      <c r="P744" s="1122"/>
      <c r="Q744" s="520"/>
      <c r="R744" s="520"/>
      <c r="S744" s="520"/>
      <c r="T744" s="520"/>
      <c r="U744" s="1122"/>
      <c r="V744" s="520"/>
      <c r="W744" s="520"/>
      <c r="X744" s="520"/>
      <c r="Y744" s="520"/>
      <c r="Z744" s="1122"/>
      <c r="AA744" s="520"/>
      <c r="AB744" s="520"/>
      <c r="AC744" s="520"/>
      <c r="AD744" s="520"/>
      <c r="AE744" s="1122"/>
      <c r="AF744" s="520"/>
      <c r="AG744" s="520"/>
      <c r="AH744" s="520"/>
      <c r="AI744" s="520"/>
      <c r="AJ744" s="1122"/>
      <c r="AK744" s="520"/>
      <c r="AL744" s="520"/>
      <c r="AM744" s="520"/>
      <c r="AN744" s="520"/>
      <c r="AO744" s="1122"/>
      <c r="AP744" s="520"/>
      <c r="AQ744" s="520"/>
      <c r="AR744" s="520"/>
      <c r="AS744" s="520"/>
      <c r="AT744" s="1123">
        <v>94.37</v>
      </c>
      <c r="AU744" s="520"/>
      <c r="AV744" s="520"/>
      <c r="AW744" s="520"/>
      <c r="AX744" s="520"/>
      <c r="AY744" s="1123">
        <v>94.37</v>
      </c>
      <c r="AZ744" s="520"/>
      <c r="BA744" s="520"/>
      <c r="BB744" s="520"/>
      <c r="BC744" s="520"/>
      <c r="BD744" s="1123">
        <v>94.37</v>
      </c>
      <c r="BE744" s="520"/>
      <c r="BF744" s="520"/>
      <c r="BG744" s="520"/>
      <c r="BH744" s="520"/>
      <c r="BI744" s="1122"/>
      <c r="BJ744" s="520"/>
      <c r="BK744" s="520"/>
      <c r="BL744" s="520"/>
      <c r="BM744" s="520"/>
      <c r="BN744" s="1122"/>
      <c r="BO744" s="520"/>
      <c r="BP744" s="520"/>
      <c r="BQ744" s="520"/>
      <c r="BR744" s="520"/>
      <c r="BS744" s="1122"/>
      <c r="BT744" s="728"/>
      <c r="BU744" s="520"/>
      <c r="BV744" s="520"/>
      <c r="BW744" s="520"/>
      <c r="BX744" s="1122"/>
      <c r="BY744" s="520"/>
      <c r="BZ744" s="520"/>
      <c r="CA744" s="520"/>
      <c r="CB744" s="520"/>
      <c r="CC744" s="1122"/>
      <c r="CD744" s="1122"/>
      <c r="CE744" s="1122"/>
      <c r="CF744" s="1122"/>
      <c r="CG744" s="519"/>
    </row>
    <row r="745" spans="1:85" s="614" customFormat="1" x14ac:dyDescent="0.3">
      <c r="A745" s="522"/>
      <c r="B745" s="352"/>
      <c r="C745" s="1094"/>
      <c r="D745" s="1094"/>
      <c r="E745" s="1094"/>
      <c r="F745" s="1094"/>
      <c r="G745" s="197"/>
      <c r="H745" s="197"/>
      <c r="I745" s="197"/>
      <c r="J745" s="197"/>
      <c r="K745" s="1094"/>
      <c r="L745" s="197"/>
      <c r="M745" s="197"/>
      <c r="N745" s="197"/>
      <c r="O745" s="197"/>
      <c r="P745" s="1094"/>
      <c r="Q745" s="197"/>
      <c r="R745" s="197"/>
      <c r="S745" s="197"/>
      <c r="T745" s="197"/>
      <c r="U745" s="1094"/>
      <c r="V745" s="197"/>
      <c r="W745" s="197"/>
      <c r="X745" s="197"/>
      <c r="Y745" s="197"/>
      <c r="Z745" s="1094"/>
      <c r="AA745" s="197"/>
      <c r="AB745" s="197"/>
      <c r="AC745" s="197"/>
      <c r="AD745" s="197"/>
      <c r="AE745" s="1094"/>
      <c r="AF745" s="197"/>
      <c r="AG745" s="197"/>
      <c r="AH745" s="197"/>
      <c r="AI745" s="197"/>
      <c r="AJ745" s="1094"/>
      <c r="AK745" s="197"/>
      <c r="AL745" s="197"/>
      <c r="AM745" s="197"/>
      <c r="AN745" s="197"/>
      <c r="AO745" s="1094"/>
      <c r="AP745" s="197"/>
      <c r="AQ745" s="197"/>
      <c r="AR745" s="197"/>
      <c r="AS745" s="197"/>
      <c r="AT745" s="198"/>
      <c r="AU745" s="197"/>
      <c r="AV745" s="197"/>
      <c r="AW745" s="197"/>
      <c r="AX745" s="197"/>
      <c r="AY745" s="198"/>
      <c r="AZ745" s="197"/>
      <c r="BA745" s="197"/>
      <c r="BB745" s="197"/>
      <c r="BC745" s="197"/>
      <c r="BD745" s="198"/>
      <c r="BE745" s="197"/>
      <c r="BF745" s="197"/>
      <c r="BG745" s="197"/>
      <c r="BH745" s="197"/>
      <c r="BI745" s="1094"/>
      <c r="BJ745" s="197"/>
      <c r="BK745" s="197"/>
      <c r="BL745" s="197"/>
      <c r="BM745" s="197"/>
      <c r="BN745" s="1094"/>
      <c r="BO745" s="197"/>
      <c r="BP745" s="197"/>
      <c r="BQ745" s="197"/>
      <c r="BR745" s="197"/>
      <c r="BS745" s="1094"/>
      <c r="BT745" s="727"/>
      <c r="BU745" s="197"/>
      <c r="BV745" s="197"/>
      <c r="BW745" s="197"/>
      <c r="BX745" s="1094"/>
      <c r="BY745" s="197"/>
      <c r="BZ745" s="197"/>
      <c r="CA745" s="197"/>
      <c r="CB745" s="197"/>
      <c r="CC745" s="1094"/>
      <c r="CD745" s="1094"/>
      <c r="CE745" s="1094"/>
      <c r="CF745" s="1094"/>
      <c r="CG745" s="349"/>
    </row>
    <row r="746" spans="1:85" s="613" customFormat="1" x14ac:dyDescent="0.3">
      <c r="A746" s="478" t="s">
        <v>1598</v>
      </c>
      <c r="B746" s="523"/>
      <c r="C746" s="78"/>
      <c r="D746" s="78"/>
      <c r="E746" s="78"/>
      <c r="F746" s="78"/>
      <c r="G746" s="774"/>
      <c r="H746" s="774"/>
      <c r="I746" s="774"/>
      <c r="J746" s="774"/>
      <c r="K746" s="78"/>
      <c r="L746" s="774"/>
      <c r="M746" s="774"/>
      <c r="N746" s="774"/>
      <c r="O746" s="774"/>
      <c r="P746" s="78"/>
      <c r="Q746" s="774"/>
      <c r="R746" s="774"/>
      <c r="S746" s="774"/>
      <c r="T746" s="774"/>
      <c r="U746" s="78"/>
      <c r="V746" s="774"/>
      <c r="W746" s="774"/>
      <c r="X746" s="774"/>
      <c r="Y746" s="774"/>
      <c r="Z746" s="78"/>
      <c r="AA746" s="774"/>
      <c r="AB746" s="774"/>
      <c r="AC746" s="774"/>
      <c r="AD746" s="774"/>
      <c r="AE746" s="78"/>
      <c r="AF746" s="774"/>
      <c r="AG746" s="774"/>
      <c r="AH746" s="774"/>
      <c r="AI746" s="774"/>
      <c r="AJ746" s="78"/>
      <c r="AK746" s="774"/>
      <c r="AL746" s="774"/>
      <c r="AM746" s="774"/>
      <c r="AN746" s="774"/>
      <c r="AO746" s="78"/>
      <c r="AP746" s="774"/>
      <c r="AQ746" s="774"/>
      <c r="AR746" s="774"/>
      <c r="AS746" s="774"/>
      <c r="AT746" s="1119">
        <v>7.0069999999999997</v>
      </c>
      <c r="AU746" s="774"/>
      <c r="AV746" s="774"/>
      <c r="AW746" s="774"/>
      <c r="AX746" s="774"/>
      <c r="AY746" s="1119">
        <v>7.0069999999999997</v>
      </c>
      <c r="AZ746" s="774"/>
      <c r="BA746" s="774"/>
      <c r="BB746" s="774"/>
      <c r="BC746" s="774"/>
      <c r="BD746" s="1119">
        <v>7.0069999999999997</v>
      </c>
      <c r="BE746" s="774"/>
      <c r="BF746" s="774"/>
      <c r="BG746" s="774"/>
      <c r="BH746" s="774"/>
      <c r="BI746" s="78"/>
      <c r="BJ746" s="774"/>
      <c r="BK746" s="774"/>
      <c r="BL746" s="774"/>
      <c r="BM746" s="774"/>
      <c r="BN746" s="78"/>
      <c r="BO746" s="774"/>
      <c r="BP746" s="774"/>
      <c r="BQ746" s="774"/>
      <c r="BR746" s="774"/>
      <c r="BS746" s="78"/>
      <c r="BT746" s="775"/>
      <c r="BU746" s="774"/>
      <c r="BV746" s="774"/>
      <c r="BW746" s="774"/>
      <c r="BX746" s="78"/>
      <c r="BY746" s="774"/>
      <c r="BZ746" s="774"/>
      <c r="CA746" s="774"/>
      <c r="CB746" s="774"/>
      <c r="CC746" s="78"/>
      <c r="CD746" s="78"/>
      <c r="CE746" s="78"/>
      <c r="CF746" s="78"/>
      <c r="CG746" s="532"/>
    </row>
    <row r="747" spans="1:85" s="615" customFormat="1" x14ac:dyDescent="0.3">
      <c r="A747" s="522" t="s">
        <v>1597</v>
      </c>
      <c r="B747" s="521"/>
      <c r="C747" s="1122"/>
      <c r="D747" s="1122"/>
      <c r="E747" s="1122"/>
      <c r="F747" s="1122"/>
      <c r="G747" s="520"/>
      <c r="H747" s="520"/>
      <c r="I747" s="520"/>
      <c r="J747" s="520"/>
      <c r="K747" s="1122"/>
      <c r="L747" s="520"/>
      <c r="M747" s="520"/>
      <c r="N747" s="520"/>
      <c r="O747" s="520"/>
      <c r="P747" s="1122"/>
      <c r="Q747" s="520"/>
      <c r="R747" s="520"/>
      <c r="S747" s="520"/>
      <c r="T747" s="520"/>
      <c r="U747" s="1122"/>
      <c r="V747" s="520"/>
      <c r="W747" s="520"/>
      <c r="X747" s="520"/>
      <c r="Y747" s="520"/>
      <c r="Z747" s="1122"/>
      <c r="AA747" s="520"/>
      <c r="AB747" s="520"/>
      <c r="AC747" s="520"/>
      <c r="AD747" s="520"/>
      <c r="AE747" s="1122"/>
      <c r="AF747" s="520"/>
      <c r="AG747" s="520"/>
      <c r="AH747" s="520"/>
      <c r="AI747" s="520"/>
      <c r="AJ747" s="1122"/>
      <c r="AK747" s="520"/>
      <c r="AL747" s="520"/>
      <c r="AM747" s="520"/>
      <c r="AN747" s="520"/>
      <c r="AO747" s="1122"/>
      <c r="AP747" s="520"/>
      <c r="AQ747" s="520"/>
      <c r="AR747" s="520"/>
      <c r="AS747" s="520"/>
      <c r="AT747" s="1123">
        <v>97.38</v>
      </c>
      <c r="AU747" s="520"/>
      <c r="AV747" s="520"/>
      <c r="AW747" s="520"/>
      <c r="AX747" s="520"/>
      <c r="AY747" s="1123">
        <v>97.38</v>
      </c>
      <c r="AZ747" s="520"/>
      <c r="BA747" s="520"/>
      <c r="BB747" s="520"/>
      <c r="BC747" s="520"/>
      <c r="BD747" s="1123">
        <v>97.38</v>
      </c>
      <c r="BE747" s="520"/>
      <c r="BF747" s="520"/>
      <c r="BG747" s="520"/>
      <c r="BH747" s="520"/>
      <c r="BI747" s="1122"/>
      <c r="BJ747" s="520"/>
      <c r="BK747" s="520"/>
      <c r="BL747" s="520"/>
      <c r="BM747" s="520"/>
      <c r="BN747" s="1122"/>
      <c r="BO747" s="520"/>
      <c r="BP747" s="520"/>
      <c r="BQ747" s="520"/>
      <c r="BR747" s="520"/>
      <c r="BS747" s="1122"/>
      <c r="BT747" s="728"/>
      <c r="BU747" s="520"/>
      <c r="BV747" s="520"/>
      <c r="BW747" s="520"/>
      <c r="BX747" s="1122"/>
      <c r="BY747" s="520"/>
      <c r="BZ747" s="520"/>
      <c r="CA747" s="520"/>
      <c r="CB747" s="520"/>
      <c r="CC747" s="1122"/>
      <c r="CD747" s="1122"/>
      <c r="CE747" s="1122"/>
      <c r="CF747" s="1122"/>
      <c r="CG747" s="519"/>
    </row>
    <row r="748" spans="1:85" s="614" customFormat="1" x14ac:dyDescent="0.3">
      <c r="A748" s="522"/>
      <c r="B748" s="352"/>
      <c r="C748" s="1094"/>
      <c r="D748" s="1094"/>
      <c r="E748" s="1094"/>
      <c r="F748" s="1094"/>
      <c r="G748" s="197"/>
      <c r="H748" s="197"/>
      <c r="I748" s="197"/>
      <c r="J748" s="197"/>
      <c r="K748" s="1094"/>
      <c r="L748" s="197"/>
      <c r="M748" s="197"/>
      <c r="N748" s="197"/>
      <c r="O748" s="197"/>
      <c r="P748" s="1094"/>
      <c r="Q748" s="197"/>
      <c r="R748" s="197"/>
      <c r="S748" s="197"/>
      <c r="T748" s="197"/>
      <c r="U748" s="1094"/>
      <c r="V748" s="197"/>
      <c r="W748" s="197"/>
      <c r="X748" s="197"/>
      <c r="Y748" s="197"/>
      <c r="Z748" s="1094"/>
      <c r="AA748" s="197"/>
      <c r="AB748" s="197"/>
      <c r="AC748" s="197"/>
      <c r="AD748" s="197"/>
      <c r="AE748" s="1094"/>
      <c r="AF748" s="197"/>
      <c r="AG748" s="197"/>
      <c r="AH748" s="197"/>
      <c r="AI748" s="197"/>
      <c r="AJ748" s="1094"/>
      <c r="AK748" s="197"/>
      <c r="AL748" s="197"/>
      <c r="AM748" s="197"/>
      <c r="AN748" s="197"/>
      <c r="AO748" s="1094"/>
      <c r="AP748" s="197"/>
      <c r="AQ748" s="197"/>
      <c r="AR748" s="197"/>
      <c r="AS748" s="197"/>
      <c r="AT748" s="198"/>
      <c r="AU748" s="197"/>
      <c r="AV748" s="197"/>
      <c r="AW748" s="197"/>
      <c r="AX748" s="197"/>
      <c r="AY748" s="198"/>
      <c r="AZ748" s="197"/>
      <c r="BA748" s="197"/>
      <c r="BB748" s="197"/>
      <c r="BC748" s="197"/>
      <c r="BD748" s="198"/>
      <c r="BE748" s="197"/>
      <c r="BF748" s="197"/>
      <c r="BG748" s="197"/>
      <c r="BH748" s="197"/>
      <c r="BI748" s="1094"/>
      <c r="BJ748" s="197"/>
      <c r="BK748" s="197"/>
      <c r="BL748" s="197"/>
      <c r="BM748" s="197"/>
      <c r="BN748" s="1094"/>
      <c r="BO748" s="197"/>
      <c r="BP748" s="197"/>
      <c r="BQ748" s="197"/>
      <c r="BR748" s="197"/>
      <c r="BS748" s="1094"/>
      <c r="BT748" s="727"/>
      <c r="BU748" s="197"/>
      <c r="BV748" s="197"/>
      <c r="BW748" s="197"/>
      <c r="BX748" s="1094"/>
      <c r="BY748" s="197"/>
      <c r="BZ748" s="197"/>
      <c r="CA748" s="197"/>
      <c r="CB748" s="197"/>
      <c r="CC748" s="1094"/>
      <c r="CD748" s="1094"/>
      <c r="CE748" s="1094"/>
      <c r="CF748" s="1094"/>
      <c r="CG748" s="349"/>
    </row>
    <row r="749" spans="1:85" s="613" customFormat="1" x14ac:dyDescent="0.3">
      <c r="A749" s="478" t="s">
        <v>1596</v>
      </c>
      <c r="B749" s="523"/>
      <c r="C749" s="78"/>
      <c r="D749" s="78"/>
      <c r="E749" s="78"/>
      <c r="F749" s="78"/>
      <c r="G749" s="774"/>
      <c r="H749" s="774"/>
      <c r="I749" s="774"/>
      <c r="J749" s="774"/>
      <c r="K749" s="78"/>
      <c r="L749" s="774"/>
      <c r="M749" s="774"/>
      <c r="N749" s="774"/>
      <c r="O749" s="774"/>
      <c r="P749" s="78"/>
      <c r="Q749" s="774"/>
      <c r="R749" s="774"/>
      <c r="S749" s="774"/>
      <c r="T749" s="774"/>
      <c r="U749" s="78"/>
      <c r="V749" s="774"/>
      <c r="W749" s="774"/>
      <c r="X749" s="774"/>
      <c r="Y749" s="774"/>
      <c r="Z749" s="78"/>
      <c r="AA749" s="774"/>
      <c r="AB749" s="774"/>
      <c r="AC749" s="774"/>
      <c r="AD749" s="774"/>
      <c r="AE749" s="78"/>
      <c r="AF749" s="774"/>
      <c r="AG749" s="774"/>
      <c r="AH749" s="774"/>
      <c r="AI749" s="774"/>
      <c r="AJ749" s="78"/>
      <c r="AK749" s="774"/>
      <c r="AL749" s="774"/>
      <c r="AM749" s="774"/>
      <c r="AN749" s="774"/>
      <c r="AO749" s="78"/>
      <c r="AP749" s="774"/>
      <c r="AQ749" s="774"/>
      <c r="AR749" s="774"/>
      <c r="AS749" s="774"/>
      <c r="AT749" s="1119">
        <v>6.6479999999999997</v>
      </c>
      <c r="AU749" s="774"/>
      <c r="AV749" s="774"/>
      <c r="AW749" s="774"/>
      <c r="AX749" s="774"/>
      <c r="AY749" s="1119">
        <v>6.6479999999999997</v>
      </c>
      <c r="AZ749" s="774"/>
      <c r="BA749" s="774"/>
      <c r="BB749" s="774"/>
      <c r="BC749" s="774"/>
      <c r="BD749" s="1119">
        <v>6.6479999999999997</v>
      </c>
      <c r="BE749" s="774"/>
      <c r="BF749" s="774"/>
      <c r="BG749" s="774"/>
      <c r="BH749" s="774"/>
      <c r="BI749" s="78"/>
      <c r="BJ749" s="774"/>
      <c r="BK749" s="774"/>
      <c r="BL749" s="774"/>
      <c r="BM749" s="774"/>
      <c r="BN749" s="78"/>
      <c r="BO749" s="774"/>
      <c r="BP749" s="774"/>
      <c r="BQ749" s="774"/>
      <c r="BR749" s="774"/>
      <c r="BS749" s="78"/>
      <c r="BT749" s="775"/>
      <c r="BU749" s="774"/>
      <c r="BV749" s="774"/>
      <c r="BW749" s="774"/>
      <c r="BX749" s="78"/>
      <c r="BY749" s="774"/>
      <c r="BZ749" s="774"/>
      <c r="CA749" s="774"/>
      <c r="CB749" s="774"/>
      <c r="CC749" s="78"/>
      <c r="CD749" s="78"/>
      <c r="CE749" s="78"/>
      <c r="CF749" s="78"/>
      <c r="CG749" s="532"/>
    </row>
    <row r="750" spans="1:85" s="615" customFormat="1" x14ac:dyDescent="0.3">
      <c r="A750" s="522" t="s">
        <v>1595</v>
      </c>
      <c r="B750" s="521"/>
      <c r="C750" s="1122"/>
      <c r="D750" s="1122"/>
      <c r="E750" s="1122"/>
      <c r="F750" s="1122"/>
      <c r="G750" s="520"/>
      <c r="H750" s="520"/>
      <c r="I750" s="520"/>
      <c r="J750" s="520"/>
      <c r="K750" s="1122"/>
      <c r="L750" s="520"/>
      <c r="M750" s="520"/>
      <c r="N750" s="520"/>
      <c r="O750" s="520"/>
      <c r="P750" s="1122"/>
      <c r="Q750" s="520"/>
      <c r="R750" s="520"/>
      <c r="S750" s="520"/>
      <c r="T750" s="520"/>
      <c r="U750" s="1122"/>
      <c r="V750" s="520"/>
      <c r="W750" s="520"/>
      <c r="X750" s="520"/>
      <c r="Y750" s="520"/>
      <c r="Z750" s="1122"/>
      <c r="AA750" s="520"/>
      <c r="AB750" s="520"/>
      <c r="AC750" s="520"/>
      <c r="AD750" s="520"/>
      <c r="AE750" s="1122"/>
      <c r="AF750" s="520"/>
      <c r="AG750" s="520"/>
      <c r="AH750" s="520"/>
      <c r="AI750" s="520"/>
      <c r="AJ750" s="1122"/>
      <c r="AK750" s="520"/>
      <c r="AL750" s="520"/>
      <c r="AM750" s="520"/>
      <c r="AN750" s="520"/>
      <c r="AO750" s="1122"/>
      <c r="AP750" s="520"/>
      <c r="AQ750" s="520"/>
      <c r="AR750" s="520"/>
      <c r="AS750" s="520"/>
      <c r="AT750" s="1123">
        <v>102.63</v>
      </c>
      <c r="AU750" s="520"/>
      <c r="AV750" s="520"/>
      <c r="AW750" s="520"/>
      <c r="AX750" s="520"/>
      <c r="AY750" s="1123">
        <v>102.63</v>
      </c>
      <c r="AZ750" s="520"/>
      <c r="BA750" s="520"/>
      <c r="BB750" s="520"/>
      <c r="BC750" s="520"/>
      <c r="BD750" s="1123">
        <v>102.63</v>
      </c>
      <c r="BE750" s="520"/>
      <c r="BF750" s="520"/>
      <c r="BG750" s="520"/>
      <c r="BH750" s="520"/>
      <c r="BI750" s="1122"/>
      <c r="BJ750" s="520"/>
      <c r="BK750" s="520"/>
      <c r="BL750" s="520"/>
      <c r="BM750" s="520"/>
      <c r="BN750" s="1122"/>
      <c r="BO750" s="520"/>
      <c r="BP750" s="520"/>
      <c r="BQ750" s="520"/>
      <c r="BR750" s="520"/>
      <c r="BS750" s="1122"/>
      <c r="BT750" s="728"/>
      <c r="BU750" s="520"/>
      <c r="BV750" s="520"/>
      <c r="BW750" s="520"/>
      <c r="BX750" s="1122"/>
      <c r="BY750" s="520"/>
      <c r="BZ750" s="520"/>
      <c r="CA750" s="520"/>
      <c r="CB750" s="520"/>
      <c r="CC750" s="1122"/>
      <c r="CD750" s="1122"/>
      <c r="CE750" s="1122"/>
      <c r="CF750" s="1122"/>
      <c r="CG750" s="519"/>
    </row>
    <row r="751" spans="1:85" s="614" customFormat="1" x14ac:dyDescent="0.3">
      <c r="A751" s="522"/>
      <c r="B751" s="352"/>
      <c r="C751" s="1094"/>
      <c r="D751" s="1094"/>
      <c r="E751" s="1094"/>
      <c r="F751" s="1094"/>
      <c r="G751" s="197"/>
      <c r="H751" s="197"/>
      <c r="I751" s="197"/>
      <c r="J751" s="197"/>
      <c r="K751" s="1094"/>
      <c r="L751" s="197"/>
      <c r="M751" s="197"/>
      <c r="N751" s="197"/>
      <c r="O751" s="197"/>
      <c r="P751" s="1094"/>
      <c r="Q751" s="197"/>
      <c r="R751" s="197"/>
      <c r="S751" s="197"/>
      <c r="T751" s="197"/>
      <c r="U751" s="1094"/>
      <c r="V751" s="197"/>
      <c r="W751" s="197"/>
      <c r="X751" s="197"/>
      <c r="Y751" s="197"/>
      <c r="Z751" s="1094"/>
      <c r="AA751" s="197"/>
      <c r="AB751" s="197"/>
      <c r="AC751" s="197"/>
      <c r="AD751" s="197"/>
      <c r="AE751" s="1094"/>
      <c r="AF751" s="197"/>
      <c r="AG751" s="197"/>
      <c r="AH751" s="197"/>
      <c r="AI751" s="197"/>
      <c r="AJ751" s="1094"/>
      <c r="AK751" s="197"/>
      <c r="AL751" s="197"/>
      <c r="AM751" s="197"/>
      <c r="AN751" s="197"/>
      <c r="AO751" s="1094"/>
      <c r="AP751" s="197"/>
      <c r="AQ751" s="197"/>
      <c r="AR751" s="197"/>
      <c r="AS751" s="197"/>
      <c r="AT751" s="198"/>
      <c r="AU751" s="197"/>
      <c r="AV751" s="197"/>
      <c r="AW751" s="197"/>
      <c r="AX751" s="197"/>
      <c r="AY751" s="198"/>
      <c r="AZ751" s="197"/>
      <c r="BA751" s="197"/>
      <c r="BB751" s="197"/>
      <c r="BC751" s="197"/>
      <c r="BD751" s="198"/>
      <c r="BE751" s="197"/>
      <c r="BF751" s="197"/>
      <c r="BG751" s="197"/>
      <c r="BH751" s="197"/>
      <c r="BI751" s="1094"/>
      <c r="BJ751" s="197"/>
      <c r="BK751" s="197"/>
      <c r="BL751" s="197"/>
      <c r="BM751" s="197"/>
      <c r="BN751" s="1094"/>
      <c r="BO751" s="197"/>
      <c r="BP751" s="197"/>
      <c r="BQ751" s="197"/>
      <c r="BR751" s="197"/>
      <c r="BS751" s="1094"/>
      <c r="BT751" s="727"/>
      <c r="BU751" s="197"/>
      <c r="BV751" s="197"/>
      <c r="BW751" s="197"/>
      <c r="BX751" s="1094"/>
      <c r="BY751" s="197"/>
      <c r="BZ751" s="197"/>
      <c r="CA751" s="197"/>
      <c r="CB751" s="197"/>
      <c r="CC751" s="1094"/>
      <c r="CD751" s="1094"/>
      <c r="CE751" s="1094"/>
      <c r="CF751" s="1094"/>
      <c r="CG751" s="349"/>
    </row>
    <row r="752" spans="1:85" s="613" customFormat="1" x14ac:dyDescent="0.3">
      <c r="A752" s="478" t="s">
        <v>1594</v>
      </c>
      <c r="B752" s="523"/>
      <c r="C752" s="78"/>
      <c r="D752" s="78"/>
      <c r="E752" s="78"/>
      <c r="F752" s="78"/>
      <c r="G752" s="774"/>
      <c r="H752" s="774"/>
      <c r="I752" s="774"/>
      <c r="J752" s="774"/>
      <c r="K752" s="78"/>
      <c r="L752" s="774"/>
      <c r="M752" s="774"/>
      <c r="N752" s="774"/>
      <c r="O752" s="774"/>
      <c r="P752" s="78"/>
      <c r="Q752" s="774"/>
      <c r="R752" s="774"/>
      <c r="S752" s="774"/>
      <c r="T752" s="774"/>
      <c r="U752" s="78"/>
      <c r="V752" s="774"/>
      <c r="W752" s="774"/>
      <c r="X752" s="774"/>
      <c r="Y752" s="774"/>
      <c r="Z752" s="78"/>
      <c r="AA752" s="774"/>
      <c r="AB752" s="774"/>
      <c r="AC752" s="774"/>
      <c r="AD752" s="774"/>
      <c r="AE752" s="78"/>
      <c r="AF752" s="774"/>
      <c r="AG752" s="774"/>
      <c r="AH752" s="774"/>
      <c r="AI752" s="774"/>
      <c r="AJ752" s="78"/>
      <c r="AK752" s="774"/>
      <c r="AL752" s="774"/>
      <c r="AM752" s="774"/>
      <c r="AN752" s="774"/>
      <c r="AO752" s="78"/>
      <c r="AP752" s="774"/>
      <c r="AQ752" s="774"/>
      <c r="AR752" s="774"/>
      <c r="AS752" s="774"/>
      <c r="AT752" s="1119">
        <v>5.5330000000000004</v>
      </c>
      <c r="AU752" s="774"/>
      <c r="AV752" s="774"/>
      <c r="AW752" s="774"/>
      <c r="AX752" s="774"/>
      <c r="AY752" s="1119">
        <v>5.5330000000000004</v>
      </c>
      <c r="AZ752" s="774"/>
      <c r="BA752" s="774"/>
      <c r="BB752" s="774"/>
      <c r="BC752" s="774"/>
      <c r="BD752" s="1119">
        <v>5.5330000000000004</v>
      </c>
      <c r="BE752" s="774"/>
      <c r="BF752" s="774"/>
      <c r="BG752" s="774"/>
      <c r="BH752" s="774"/>
      <c r="BI752" s="78"/>
      <c r="BJ752" s="774"/>
      <c r="BK752" s="774"/>
      <c r="BL752" s="774"/>
      <c r="BM752" s="774"/>
      <c r="BN752" s="78"/>
      <c r="BO752" s="774"/>
      <c r="BP752" s="774"/>
      <c r="BQ752" s="774"/>
      <c r="BR752" s="774"/>
      <c r="BS752" s="78"/>
      <c r="BT752" s="775"/>
      <c r="BU752" s="774"/>
      <c r="BV752" s="774"/>
      <c r="BW752" s="774"/>
      <c r="BX752" s="78"/>
      <c r="BY752" s="774"/>
      <c r="BZ752" s="774"/>
      <c r="CA752" s="774"/>
      <c r="CB752" s="774"/>
      <c r="CC752" s="78"/>
      <c r="CD752" s="78"/>
      <c r="CE752" s="78"/>
      <c r="CF752" s="78"/>
      <c r="CG752" s="532"/>
    </row>
    <row r="753" spans="1:85" s="615" customFormat="1" x14ac:dyDescent="0.3">
      <c r="A753" s="522" t="s">
        <v>1593</v>
      </c>
      <c r="B753" s="521"/>
      <c r="C753" s="1122"/>
      <c r="D753" s="1122"/>
      <c r="E753" s="1122"/>
      <c r="F753" s="1122"/>
      <c r="G753" s="520"/>
      <c r="H753" s="520"/>
      <c r="I753" s="520"/>
      <c r="J753" s="520"/>
      <c r="K753" s="1122"/>
      <c r="L753" s="520"/>
      <c r="M753" s="520"/>
      <c r="N753" s="520"/>
      <c r="O753" s="520"/>
      <c r="P753" s="1122"/>
      <c r="Q753" s="520"/>
      <c r="R753" s="520"/>
      <c r="S753" s="520"/>
      <c r="T753" s="520"/>
      <c r="U753" s="1122"/>
      <c r="V753" s="520"/>
      <c r="W753" s="520"/>
      <c r="X753" s="520"/>
      <c r="Y753" s="520"/>
      <c r="Z753" s="1122"/>
      <c r="AA753" s="520"/>
      <c r="AB753" s="520"/>
      <c r="AC753" s="520"/>
      <c r="AD753" s="520"/>
      <c r="AE753" s="1122"/>
      <c r="AF753" s="520"/>
      <c r="AG753" s="520"/>
      <c r="AH753" s="520"/>
      <c r="AI753" s="520"/>
      <c r="AJ753" s="1122"/>
      <c r="AK753" s="520"/>
      <c r="AL753" s="520"/>
      <c r="AM753" s="520"/>
      <c r="AN753" s="520"/>
      <c r="AO753" s="1122"/>
      <c r="AP753" s="520"/>
      <c r="AQ753" s="520"/>
      <c r="AR753" s="520"/>
      <c r="AS753" s="520"/>
      <c r="AT753" s="1123">
        <v>123.3</v>
      </c>
      <c r="AU753" s="520"/>
      <c r="AV753" s="520"/>
      <c r="AW753" s="520"/>
      <c r="AX753" s="520"/>
      <c r="AY753" s="1123">
        <v>123.3</v>
      </c>
      <c r="AZ753" s="520"/>
      <c r="BA753" s="520"/>
      <c r="BB753" s="520"/>
      <c r="BC753" s="520"/>
      <c r="BD753" s="1123">
        <v>123.3</v>
      </c>
      <c r="BE753" s="520"/>
      <c r="BF753" s="520"/>
      <c r="BG753" s="520"/>
      <c r="BH753" s="520"/>
      <c r="BI753" s="1122"/>
      <c r="BJ753" s="520"/>
      <c r="BK753" s="520"/>
      <c r="BL753" s="520"/>
      <c r="BM753" s="520"/>
      <c r="BN753" s="1122"/>
      <c r="BO753" s="520"/>
      <c r="BP753" s="520"/>
      <c r="BQ753" s="520"/>
      <c r="BR753" s="520"/>
      <c r="BS753" s="1122"/>
      <c r="BT753" s="728"/>
      <c r="BU753" s="520"/>
      <c r="BV753" s="520"/>
      <c r="BW753" s="520"/>
      <c r="BX753" s="1122"/>
      <c r="BY753" s="520"/>
      <c r="BZ753" s="520"/>
      <c r="CA753" s="520"/>
      <c r="CB753" s="520"/>
      <c r="CC753" s="1122"/>
      <c r="CD753" s="1122"/>
      <c r="CE753" s="1122"/>
      <c r="CF753" s="1122"/>
      <c r="CG753" s="519"/>
    </row>
    <row r="754" spans="1:85" s="614" customFormat="1" x14ac:dyDescent="0.3">
      <c r="A754" s="522"/>
      <c r="B754" s="352"/>
      <c r="C754" s="1094"/>
      <c r="D754" s="1094"/>
      <c r="E754" s="1094"/>
      <c r="F754" s="1094"/>
      <c r="G754" s="197"/>
      <c r="H754" s="197"/>
      <c r="I754" s="197"/>
      <c r="J754" s="197"/>
      <c r="K754" s="1094"/>
      <c r="L754" s="197"/>
      <c r="M754" s="197"/>
      <c r="N754" s="197"/>
      <c r="O754" s="197"/>
      <c r="P754" s="1094"/>
      <c r="Q754" s="197"/>
      <c r="R754" s="197"/>
      <c r="S754" s="197"/>
      <c r="T754" s="197"/>
      <c r="U754" s="1094"/>
      <c r="V754" s="197"/>
      <c r="W754" s="197"/>
      <c r="X754" s="197"/>
      <c r="Y754" s="197"/>
      <c r="Z754" s="1094"/>
      <c r="AA754" s="197"/>
      <c r="AB754" s="197"/>
      <c r="AC754" s="197"/>
      <c r="AD754" s="197"/>
      <c r="AE754" s="1094"/>
      <c r="AF754" s="197"/>
      <c r="AG754" s="197"/>
      <c r="AH754" s="197"/>
      <c r="AI754" s="197"/>
      <c r="AJ754" s="1094"/>
      <c r="AK754" s="197"/>
      <c r="AL754" s="197"/>
      <c r="AM754" s="197"/>
      <c r="AN754" s="197"/>
      <c r="AO754" s="1094"/>
      <c r="AP754" s="197"/>
      <c r="AQ754" s="197"/>
      <c r="AR754" s="197"/>
      <c r="AS754" s="197"/>
      <c r="AT754" s="198"/>
      <c r="AU754" s="197"/>
      <c r="AV754" s="197"/>
      <c r="AW754" s="197"/>
      <c r="AX754" s="197"/>
      <c r="AY754" s="198"/>
      <c r="AZ754" s="197"/>
      <c r="BA754" s="197"/>
      <c r="BB754" s="197"/>
      <c r="BC754" s="197"/>
      <c r="BD754" s="198"/>
      <c r="BE754" s="197"/>
      <c r="BF754" s="197"/>
      <c r="BG754" s="197"/>
      <c r="BH754" s="197"/>
      <c r="BI754" s="1094"/>
      <c r="BJ754" s="197"/>
      <c r="BK754" s="197"/>
      <c r="BL754" s="197"/>
      <c r="BM754" s="197"/>
      <c r="BN754" s="1094"/>
      <c r="BO754" s="197"/>
      <c r="BP754" s="197"/>
      <c r="BQ754" s="197"/>
      <c r="BR754" s="197"/>
      <c r="BS754" s="1094"/>
      <c r="BT754" s="727"/>
      <c r="BU754" s="197"/>
      <c r="BV754" s="197"/>
      <c r="BW754" s="197"/>
      <c r="BX754" s="1094"/>
      <c r="BY754" s="197"/>
      <c r="BZ754" s="197"/>
      <c r="CA754" s="197"/>
      <c r="CB754" s="197"/>
      <c r="CC754" s="1094"/>
      <c r="CD754" s="1094"/>
      <c r="CE754" s="1094"/>
      <c r="CF754" s="1094"/>
      <c r="CG754" s="349"/>
    </row>
    <row r="755" spans="1:85" s="613" customFormat="1" x14ac:dyDescent="0.3">
      <c r="A755" s="478" t="s">
        <v>1592</v>
      </c>
      <c r="B755" s="523"/>
      <c r="C755" s="78"/>
      <c r="D755" s="78"/>
      <c r="E755" s="78"/>
      <c r="F755" s="78"/>
      <c r="G755" s="774"/>
      <c r="H755" s="774"/>
      <c r="I755" s="774"/>
      <c r="J755" s="774"/>
      <c r="K755" s="78"/>
      <c r="L755" s="774"/>
      <c r="M755" s="774"/>
      <c r="N755" s="774"/>
      <c r="O755" s="774"/>
      <c r="P755" s="78"/>
      <c r="Q755" s="774"/>
      <c r="R755" s="774"/>
      <c r="S755" s="774"/>
      <c r="T755" s="774"/>
      <c r="U755" s="78"/>
      <c r="V755" s="774"/>
      <c r="W755" s="774"/>
      <c r="X755" s="774"/>
      <c r="Y755" s="774"/>
      <c r="Z755" s="78"/>
      <c r="AA755" s="774"/>
      <c r="AB755" s="774"/>
      <c r="AC755" s="774"/>
      <c r="AD755" s="774"/>
      <c r="AE755" s="78"/>
      <c r="AF755" s="774"/>
      <c r="AG755" s="774"/>
      <c r="AH755" s="774"/>
      <c r="AI755" s="774"/>
      <c r="AJ755" s="78"/>
      <c r="AK755" s="774"/>
      <c r="AL755" s="774"/>
      <c r="AM755" s="774"/>
      <c r="AN755" s="774"/>
      <c r="AO755" s="78"/>
      <c r="AP755" s="774"/>
      <c r="AQ755" s="774"/>
      <c r="AR755" s="774"/>
      <c r="AS755" s="774"/>
      <c r="AT755" s="1119">
        <v>5.8209999999999997</v>
      </c>
      <c r="AU755" s="774"/>
      <c r="AV755" s="774"/>
      <c r="AW755" s="774"/>
      <c r="AX755" s="774"/>
      <c r="AY755" s="1119">
        <v>5.8209999999999997</v>
      </c>
      <c r="AZ755" s="774"/>
      <c r="BA755" s="774"/>
      <c r="BB755" s="774"/>
      <c r="BC755" s="774"/>
      <c r="BD755" s="1119">
        <v>5.8209999999999997</v>
      </c>
      <c r="BE755" s="774"/>
      <c r="BF755" s="774"/>
      <c r="BG755" s="774"/>
      <c r="BH755" s="774"/>
      <c r="BI755" s="78"/>
      <c r="BJ755" s="774"/>
      <c r="BK755" s="774"/>
      <c r="BL755" s="774"/>
      <c r="BM755" s="774"/>
      <c r="BN755" s="78"/>
      <c r="BO755" s="774"/>
      <c r="BP755" s="774"/>
      <c r="BQ755" s="774"/>
      <c r="BR755" s="774"/>
      <c r="BS755" s="78"/>
      <c r="BT755" s="775"/>
      <c r="BU755" s="774"/>
      <c r="BV755" s="774"/>
      <c r="BW755" s="774"/>
      <c r="BX755" s="78"/>
      <c r="BY755" s="774"/>
      <c r="BZ755" s="774"/>
      <c r="CA755" s="774"/>
      <c r="CB755" s="774"/>
      <c r="CC755" s="78"/>
      <c r="CD755" s="78"/>
      <c r="CE755" s="78"/>
      <c r="CF755" s="78"/>
      <c r="CG755" s="532"/>
    </row>
    <row r="756" spans="1:85" s="615" customFormat="1" x14ac:dyDescent="0.3">
      <c r="A756" s="522" t="s">
        <v>1591</v>
      </c>
      <c r="B756" s="521"/>
      <c r="C756" s="1122"/>
      <c r="D756" s="1122"/>
      <c r="E756" s="1122"/>
      <c r="F756" s="1122"/>
      <c r="G756" s="520"/>
      <c r="H756" s="520"/>
      <c r="I756" s="520"/>
      <c r="J756" s="520"/>
      <c r="K756" s="1122"/>
      <c r="L756" s="520"/>
      <c r="M756" s="520"/>
      <c r="N756" s="520"/>
      <c r="O756" s="520"/>
      <c r="P756" s="1122"/>
      <c r="Q756" s="520"/>
      <c r="R756" s="520"/>
      <c r="S756" s="520"/>
      <c r="T756" s="520"/>
      <c r="U756" s="1122"/>
      <c r="V756" s="520"/>
      <c r="W756" s="520"/>
      <c r="X756" s="520"/>
      <c r="Y756" s="520"/>
      <c r="Z756" s="1122"/>
      <c r="AA756" s="520"/>
      <c r="AB756" s="520"/>
      <c r="AC756" s="520"/>
      <c r="AD756" s="520"/>
      <c r="AE756" s="1122"/>
      <c r="AF756" s="520"/>
      <c r="AG756" s="520"/>
      <c r="AH756" s="520"/>
      <c r="AI756" s="520"/>
      <c r="AJ756" s="1122"/>
      <c r="AK756" s="520"/>
      <c r="AL756" s="520"/>
      <c r="AM756" s="520"/>
      <c r="AN756" s="520"/>
      <c r="AO756" s="1122"/>
      <c r="AP756" s="520"/>
      <c r="AQ756" s="520"/>
      <c r="AR756" s="520"/>
      <c r="AS756" s="520"/>
      <c r="AT756" s="1123">
        <v>117.22</v>
      </c>
      <c r="AU756" s="520"/>
      <c r="AV756" s="520"/>
      <c r="AW756" s="520"/>
      <c r="AX756" s="520"/>
      <c r="AY756" s="1123">
        <v>117.22</v>
      </c>
      <c r="AZ756" s="520"/>
      <c r="BA756" s="520"/>
      <c r="BB756" s="520"/>
      <c r="BC756" s="520"/>
      <c r="BD756" s="1123">
        <v>117.22</v>
      </c>
      <c r="BE756" s="520"/>
      <c r="BF756" s="520"/>
      <c r="BG756" s="520"/>
      <c r="BH756" s="520"/>
      <c r="BI756" s="1122"/>
      <c r="BJ756" s="520"/>
      <c r="BK756" s="520"/>
      <c r="BL756" s="520"/>
      <c r="BM756" s="520"/>
      <c r="BN756" s="1122"/>
      <c r="BO756" s="520"/>
      <c r="BP756" s="520"/>
      <c r="BQ756" s="520"/>
      <c r="BR756" s="520"/>
      <c r="BS756" s="1122"/>
      <c r="BT756" s="728"/>
      <c r="BU756" s="520"/>
      <c r="BV756" s="520"/>
      <c r="BW756" s="520"/>
      <c r="BX756" s="1122"/>
      <c r="BY756" s="520"/>
      <c r="BZ756" s="520"/>
      <c r="CA756" s="520"/>
      <c r="CB756" s="520"/>
      <c r="CC756" s="1122"/>
      <c r="CD756" s="1122"/>
      <c r="CE756" s="1122"/>
      <c r="CF756" s="1122"/>
      <c r="CG756" s="519"/>
    </row>
    <row r="757" spans="1:85" s="614" customFormat="1" x14ac:dyDescent="0.3">
      <c r="A757" s="224"/>
      <c r="B757" s="352"/>
      <c r="C757" s="1094"/>
      <c r="D757" s="1094"/>
      <c r="E757" s="1094"/>
      <c r="F757" s="1094"/>
      <c r="G757" s="197"/>
      <c r="H757" s="197"/>
      <c r="I757" s="197"/>
      <c r="J757" s="197"/>
      <c r="K757" s="1094"/>
      <c r="L757" s="197"/>
      <c r="M757" s="197"/>
      <c r="N757" s="197"/>
      <c r="O757" s="197"/>
      <c r="P757" s="1094"/>
      <c r="Q757" s="197"/>
      <c r="R757" s="197"/>
      <c r="S757" s="197"/>
      <c r="T757" s="197"/>
      <c r="U757" s="1094"/>
      <c r="V757" s="197"/>
      <c r="W757" s="197"/>
      <c r="X757" s="197"/>
      <c r="Y757" s="197"/>
      <c r="Z757" s="1094"/>
      <c r="AA757" s="197"/>
      <c r="AB757" s="197"/>
      <c r="AC757" s="197"/>
      <c r="AD757" s="197"/>
      <c r="AE757" s="1094"/>
      <c r="AF757" s="197"/>
      <c r="AG757" s="197"/>
      <c r="AH757" s="197"/>
      <c r="AI757" s="197"/>
      <c r="AJ757" s="1094"/>
      <c r="AK757" s="197"/>
      <c r="AL757" s="197"/>
      <c r="AM757" s="197"/>
      <c r="AN757" s="197"/>
      <c r="AO757" s="1094"/>
      <c r="AP757" s="197"/>
      <c r="AQ757" s="197"/>
      <c r="AR757" s="197"/>
      <c r="AS757" s="197"/>
      <c r="AT757" s="198"/>
      <c r="AU757" s="197"/>
      <c r="AV757" s="197"/>
      <c r="AW757" s="197"/>
      <c r="AX757" s="197"/>
      <c r="AY757" s="198"/>
      <c r="AZ757" s="197"/>
      <c r="BA757" s="197"/>
      <c r="BB757" s="197"/>
      <c r="BC757" s="197"/>
      <c r="BD757" s="198"/>
      <c r="BE757" s="197"/>
      <c r="BF757" s="197"/>
      <c r="BG757" s="197"/>
      <c r="BH757" s="197"/>
      <c r="BI757" s="1094"/>
      <c r="BJ757" s="197"/>
      <c r="BK757" s="197"/>
      <c r="BL757" s="197"/>
      <c r="BM757" s="197"/>
      <c r="BN757" s="1094"/>
      <c r="BO757" s="197"/>
      <c r="BP757" s="197"/>
      <c r="BQ757" s="197"/>
      <c r="BR757" s="197"/>
      <c r="BS757" s="1094"/>
      <c r="BT757" s="727"/>
      <c r="BU757" s="197"/>
      <c r="BV757" s="197"/>
      <c r="BW757" s="197"/>
      <c r="BX757" s="1094"/>
      <c r="BY757" s="197"/>
      <c r="BZ757" s="197"/>
      <c r="CA757" s="197"/>
      <c r="CB757" s="197"/>
      <c r="CC757" s="1094"/>
      <c r="CD757" s="1094"/>
      <c r="CE757" s="1094"/>
      <c r="CF757" s="1094"/>
      <c r="CG757" s="349"/>
    </row>
    <row r="758" spans="1:85" s="613" customFormat="1" x14ac:dyDescent="0.3">
      <c r="A758" s="478" t="s">
        <v>1590</v>
      </c>
      <c r="B758" s="523"/>
      <c r="C758" s="78"/>
      <c r="D758" s="78"/>
      <c r="E758" s="78"/>
      <c r="F758" s="78"/>
      <c r="G758" s="774"/>
      <c r="H758" s="774"/>
      <c r="I758" s="774"/>
      <c r="J758" s="774"/>
      <c r="K758" s="78"/>
      <c r="L758" s="774"/>
      <c r="M758" s="774"/>
      <c r="N758" s="774"/>
      <c r="O758" s="774"/>
      <c r="P758" s="78"/>
      <c r="Q758" s="774"/>
      <c r="R758" s="774"/>
      <c r="S758" s="774"/>
      <c r="T758" s="774"/>
      <c r="U758" s="78"/>
      <c r="V758" s="774"/>
      <c r="W758" s="774"/>
      <c r="X758" s="774"/>
      <c r="Y758" s="774"/>
      <c r="Z758" s="78"/>
      <c r="AA758" s="774"/>
      <c r="AB758" s="774"/>
      <c r="AC758" s="774"/>
      <c r="AD758" s="774"/>
      <c r="AE758" s="78"/>
      <c r="AF758" s="774"/>
      <c r="AG758" s="774"/>
      <c r="AH758" s="774"/>
      <c r="AI758" s="774"/>
      <c r="AJ758" s="78"/>
      <c r="AK758" s="774"/>
      <c r="AL758" s="774"/>
      <c r="AM758" s="774"/>
      <c r="AN758" s="774"/>
      <c r="AO758" s="78"/>
      <c r="AP758" s="774"/>
      <c r="AQ758" s="774"/>
      <c r="AR758" s="774"/>
      <c r="AS758" s="774"/>
      <c r="AT758" s="1119">
        <v>5.3520000000000003</v>
      </c>
      <c r="AU758" s="774"/>
      <c r="AV758" s="774"/>
      <c r="AW758" s="774"/>
      <c r="AX758" s="774"/>
      <c r="AY758" s="1119">
        <v>5.3520000000000003</v>
      </c>
      <c r="AZ758" s="774"/>
      <c r="BA758" s="774"/>
      <c r="BB758" s="774"/>
      <c r="BC758" s="774"/>
      <c r="BD758" s="1119">
        <v>5.3520000000000003</v>
      </c>
      <c r="BE758" s="774"/>
      <c r="BF758" s="774"/>
      <c r="BG758" s="774"/>
      <c r="BH758" s="774"/>
      <c r="BI758" s="78"/>
      <c r="BJ758" s="774"/>
      <c r="BK758" s="774"/>
      <c r="BL758" s="774"/>
      <c r="BM758" s="774"/>
      <c r="BN758" s="78"/>
      <c r="BO758" s="774"/>
      <c r="BP758" s="774"/>
      <c r="BQ758" s="774"/>
      <c r="BR758" s="774"/>
      <c r="BS758" s="78"/>
      <c r="BT758" s="775"/>
      <c r="BU758" s="774"/>
      <c r="BV758" s="774"/>
      <c r="BW758" s="774"/>
      <c r="BX758" s="78"/>
      <c r="BY758" s="774"/>
      <c r="BZ758" s="774"/>
      <c r="CA758" s="774"/>
      <c r="CB758" s="774"/>
      <c r="CC758" s="78"/>
      <c r="CD758" s="78"/>
      <c r="CE758" s="78"/>
      <c r="CF758" s="78"/>
      <c r="CG758" s="532"/>
    </row>
    <row r="759" spans="1:85" s="615" customFormat="1" x14ac:dyDescent="0.3">
      <c r="A759" s="522" t="s">
        <v>1589</v>
      </c>
      <c r="B759" s="521"/>
      <c r="C759" s="1122"/>
      <c r="D759" s="1122"/>
      <c r="E759" s="1122"/>
      <c r="F759" s="1122"/>
      <c r="G759" s="520"/>
      <c r="H759" s="520"/>
      <c r="I759" s="520"/>
      <c r="J759" s="520"/>
      <c r="K759" s="1122"/>
      <c r="L759" s="520"/>
      <c r="M759" s="520"/>
      <c r="N759" s="520"/>
      <c r="O759" s="520"/>
      <c r="P759" s="1122"/>
      <c r="Q759" s="520"/>
      <c r="R759" s="520"/>
      <c r="S759" s="520"/>
      <c r="T759" s="520"/>
      <c r="U759" s="1122"/>
      <c r="V759" s="520"/>
      <c r="W759" s="520"/>
      <c r="X759" s="520"/>
      <c r="Y759" s="520"/>
      <c r="Z759" s="1122"/>
      <c r="AA759" s="520"/>
      <c r="AB759" s="520"/>
      <c r="AC759" s="520"/>
      <c r="AD759" s="520"/>
      <c r="AE759" s="1122"/>
      <c r="AF759" s="520"/>
      <c r="AG759" s="520"/>
      <c r="AH759" s="520"/>
      <c r="AI759" s="520"/>
      <c r="AJ759" s="1122"/>
      <c r="AK759" s="520"/>
      <c r="AL759" s="520"/>
      <c r="AM759" s="520"/>
      <c r="AN759" s="520"/>
      <c r="AO759" s="1122"/>
      <c r="AP759" s="520"/>
      <c r="AQ759" s="520"/>
      <c r="AR759" s="520"/>
      <c r="AS759" s="520"/>
      <c r="AT759" s="1123">
        <v>127.49</v>
      </c>
      <c r="AU759" s="520"/>
      <c r="AV759" s="520"/>
      <c r="AW759" s="520"/>
      <c r="AX759" s="520"/>
      <c r="AY759" s="1123">
        <v>127.49</v>
      </c>
      <c r="AZ759" s="520"/>
      <c r="BA759" s="520"/>
      <c r="BB759" s="520"/>
      <c r="BC759" s="520"/>
      <c r="BD759" s="1123">
        <v>127.49</v>
      </c>
      <c r="BE759" s="520"/>
      <c r="BF759" s="520"/>
      <c r="BG759" s="520"/>
      <c r="BH759" s="520"/>
      <c r="BI759" s="1122"/>
      <c r="BJ759" s="520"/>
      <c r="BK759" s="520"/>
      <c r="BL759" s="520"/>
      <c r="BM759" s="520"/>
      <c r="BN759" s="1122"/>
      <c r="BO759" s="520"/>
      <c r="BP759" s="520"/>
      <c r="BQ759" s="520"/>
      <c r="BR759" s="520"/>
      <c r="BS759" s="1122"/>
      <c r="BT759" s="728"/>
      <c r="BU759" s="520"/>
      <c r="BV759" s="520"/>
      <c r="BW759" s="520"/>
      <c r="BX759" s="1122"/>
      <c r="BY759" s="520"/>
      <c r="BZ759" s="520"/>
      <c r="CA759" s="520"/>
      <c r="CB759" s="520"/>
      <c r="CC759" s="1122"/>
      <c r="CD759" s="1122"/>
      <c r="CE759" s="1122"/>
      <c r="CF759" s="1122"/>
      <c r="CG759" s="519"/>
    </row>
    <row r="760" spans="1:85" s="614" customFormat="1" x14ac:dyDescent="0.3">
      <c r="A760" s="522"/>
      <c r="B760" s="352"/>
      <c r="C760" s="1094"/>
      <c r="D760" s="1094"/>
      <c r="E760" s="1094"/>
      <c r="F760" s="1094"/>
      <c r="G760" s="197"/>
      <c r="H760" s="197"/>
      <c r="I760" s="197"/>
      <c r="J760" s="197"/>
      <c r="K760" s="1094"/>
      <c r="L760" s="197"/>
      <c r="M760" s="197"/>
      <c r="N760" s="197"/>
      <c r="O760" s="197"/>
      <c r="P760" s="1094"/>
      <c r="Q760" s="197"/>
      <c r="R760" s="197"/>
      <c r="S760" s="197"/>
      <c r="T760" s="197"/>
      <c r="U760" s="1094"/>
      <c r="V760" s="197"/>
      <c r="W760" s="197"/>
      <c r="X760" s="197"/>
      <c r="Y760" s="197"/>
      <c r="Z760" s="1094"/>
      <c r="AA760" s="197"/>
      <c r="AB760" s="197"/>
      <c r="AC760" s="197"/>
      <c r="AD760" s="197"/>
      <c r="AE760" s="1094"/>
      <c r="AF760" s="197"/>
      <c r="AG760" s="197"/>
      <c r="AH760" s="197"/>
      <c r="AI760" s="197"/>
      <c r="AJ760" s="1094"/>
      <c r="AK760" s="197"/>
      <c r="AL760" s="197"/>
      <c r="AM760" s="197"/>
      <c r="AN760" s="197"/>
      <c r="AO760" s="1094"/>
      <c r="AP760" s="197"/>
      <c r="AQ760" s="197"/>
      <c r="AR760" s="197"/>
      <c r="AS760" s="197"/>
      <c r="AT760" s="198"/>
      <c r="AU760" s="197"/>
      <c r="AV760" s="197"/>
      <c r="AW760" s="197"/>
      <c r="AX760" s="197"/>
      <c r="AY760" s="198"/>
      <c r="AZ760" s="197"/>
      <c r="BA760" s="197"/>
      <c r="BB760" s="197"/>
      <c r="BC760" s="197"/>
      <c r="BD760" s="198"/>
      <c r="BE760" s="197"/>
      <c r="BF760" s="197"/>
      <c r="BG760" s="197"/>
      <c r="BH760" s="197"/>
      <c r="BI760" s="1094"/>
      <c r="BJ760" s="197"/>
      <c r="BK760" s="197"/>
      <c r="BL760" s="197"/>
      <c r="BM760" s="197"/>
      <c r="BN760" s="1094"/>
      <c r="BO760" s="197"/>
      <c r="BP760" s="197"/>
      <c r="BQ760" s="197"/>
      <c r="BR760" s="197"/>
      <c r="BS760" s="1094"/>
      <c r="BT760" s="727"/>
      <c r="BU760" s="197"/>
      <c r="BV760" s="197"/>
      <c r="BW760" s="197"/>
      <c r="BX760" s="1094"/>
      <c r="BY760" s="197"/>
      <c r="BZ760" s="197"/>
      <c r="CA760" s="197"/>
      <c r="CB760" s="197"/>
      <c r="CC760" s="1094"/>
      <c r="CD760" s="1094"/>
      <c r="CE760" s="1094"/>
      <c r="CF760" s="1094"/>
      <c r="CG760" s="349"/>
    </row>
    <row r="761" spans="1:85" s="613" customFormat="1" x14ac:dyDescent="0.3">
      <c r="A761" s="478" t="s">
        <v>1588</v>
      </c>
      <c r="B761" s="523"/>
      <c r="C761" s="78"/>
      <c r="D761" s="78"/>
      <c r="E761" s="78"/>
      <c r="F761" s="78"/>
      <c r="G761" s="774"/>
      <c r="H761" s="774"/>
      <c r="I761" s="774"/>
      <c r="J761" s="774"/>
      <c r="K761" s="78"/>
      <c r="L761" s="774"/>
      <c r="M761" s="774"/>
      <c r="N761" s="774"/>
      <c r="O761" s="774"/>
      <c r="P761" s="78"/>
      <c r="Q761" s="774"/>
      <c r="R761" s="774"/>
      <c r="S761" s="774"/>
      <c r="T761" s="774"/>
      <c r="U761" s="78"/>
      <c r="V761" s="774"/>
      <c r="W761" s="774"/>
      <c r="X761" s="774"/>
      <c r="Y761" s="774"/>
      <c r="Z761" s="78"/>
      <c r="AA761" s="774"/>
      <c r="AB761" s="774"/>
      <c r="AC761" s="774"/>
      <c r="AD761" s="774"/>
      <c r="AE761" s="78"/>
      <c r="AF761" s="774"/>
      <c r="AG761" s="774"/>
      <c r="AH761" s="774"/>
      <c r="AI761" s="774"/>
      <c r="AJ761" s="78"/>
      <c r="AK761" s="774"/>
      <c r="AL761" s="774"/>
      <c r="AM761" s="774"/>
      <c r="AN761" s="774"/>
      <c r="AO761" s="78"/>
      <c r="AP761" s="774"/>
      <c r="AQ761" s="774"/>
      <c r="AR761" s="774"/>
      <c r="AS761" s="774"/>
      <c r="AT761" s="1119">
        <v>4.8460000000000001</v>
      </c>
      <c r="AU761" s="774"/>
      <c r="AV761" s="774"/>
      <c r="AW761" s="774"/>
      <c r="AX761" s="774"/>
      <c r="AY761" s="1119">
        <v>4.8460000000000001</v>
      </c>
      <c r="AZ761" s="774"/>
      <c r="BA761" s="774"/>
      <c r="BB761" s="774"/>
      <c r="BC761" s="774"/>
      <c r="BD761" s="1119">
        <v>4.8460000000000001</v>
      </c>
      <c r="BE761" s="774"/>
      <c r="BF761" s="774"/>
      <c r="BG761" s="774"/>
      <c r="BH761" s="774"/>
      <c r="BI761" s="78"/>
      <c r="BJ761" s="774"/>
      <c r="BK761" s="774"/>
      <c r="BL761" s="774"/>
      <c r="BM761" s="774"/>
      <c r="BN761" s="78"/>
      <c r="BO761" s="774"/>
      <c r="BP761" s="774"/>
      <c r="BQ761" s="774"/>
      <c r="BR761" s="774"/>
      <c r="BS761" s="78"/>
      <c r="BT761" s="775"/>
      <c r="BU761" s="774"/>
      <c r="BV761" s="774"/>
      <c r="BW761" s="774"/>
      <c r="BX761" s="78"/>
      <c r="BY761" s="774"/>
      <c r="BZ761" s="774"/>
      <c r="CA761" s="774"/>
      <c r="CB761" s="774"/>
      <c r="CC761" s="78"/>
      <c r="CD761" s="78"/>
      <c r="CE761" s="78"/>
      <c r="CF761" s="78"/>
      <c r="CG761" s="532"/>
    </row>
    <row r="762" spans="1:85" s="615" customFormat="1" x14ac:dyDescent="0.3">
      <c r="A762" s="522" t="s">
        <v>1587</v>
      </c>
      <c r="B762" s="521"/>
      <c r="C762" s="1122"/>
      <c r="D762" s="1122"/>
      <c r="E762" s="1122"/>
      <c r="F762" s="1122"/>
      <c r="G762" s="520"/>
      <c r="H762" s="520"/>
      <c r="I762" s="520"/>
      <c r="J762" s="520"/>
      <c r="K762" s="1122"/>
      <c r="L762" s="520"/>
      <c r="M762" s="520"/>
      <c r="N762" s="520"/>
      <c r="O762" s="520"/>
      <c r="P762" s="1122"/>
      <c r="Q762" s="520"/>
      <c r="R762" s="520"/>
      <c r="S762" s="520"/>
      <c r="T762" s="520"/>
      <c r="U762" s="1122"/>
      <c r="V762" s="520"/>
      <c r="W762" s="520"/>
      <c r="X762" s="520"/>
      <c r="Y762" s="520"/>
      <c r="Z762" s="1122"/>
      <c r="AA762" s="520"/>
      <c r="AB762" s="520"/>
      <c r="AC762" s="520"/>
      <c r="AD762" s="520"/>
      <c r="AE762" s="1122"/>
      <c r="AF762" s="520"/>
      <c r="AG762" s="520"/>
      <c r="AH762" s="520"/>
      <c r="AI762" s="520"/>
      <c r="AJ762" s="1122"/>
      <c r="AK762" s="520"/>
      <c r="AL762" s="520"/>
      <c r="AM762" s="520"/>
      <c r="AN762" s="520"/>
      <c r="AO762" s="1122"/>
      <c r="AP762" s="520"/>
      <c r="AQ762" s="520"/>
      <c r="AR762" s="520"/>
      <c r="AS762" s="520"/>
      <c r="AT762" s="1123">
        <v>140.78</v>
      </c>
      <c r="AU762" s="520"/>
      <c r="AV762" s="520"/>
      <c r="AW762" s="520"/>
      <c r="AX762" s="520"/>
      <c r="AY762" s="1123">
        <v>140.78</v>
      </c>
      <c r="AZ762" s="520"/>
      <c r="BA762" s="520"/>
      <c r="BB762" s="520"/>
      <c r="BC762" s="520"/>
      <c r="BD762" s="1123">
        <v>140.78</v>
      </c>
      <c r="BE762" s="520"/>
      <c r="BF762" s="520"/>
      <c r="BG762" s="520"/>
      <c r="BH762" s="520"/>
      <c r="BI762" s="1122"/>
      <c r="BJ762" s="520"/>
      <c r="BK762" s="520"/>
      <c r="BL762" s="520"/>
      <c r="BM762" s="520"/>
      <c r="BN762" s="1122"/>
      <c r="BO762" s="520"/>
      <c r="BP762" s="520"/>
      <c r="BQ762" s="520"/>
      <c r="BR762" s="520"/>
      <c r="BS762" s="1122"/>
      <c r="BT762" s="728"/>
      <c r="BU762" s="520"/>
      <c r="BV762" s="520"/>
      <c r="BW762" s="520"/>
      <c r="BX762" s="1122"/>
      <c r="BY762" s="520"/>
      <c r="BZ762" s="520"/>
      <c r="CA762" s="520"/>
      <c r="CB762" s="520"/>
      <c r="CC762" s="1122"/>
      <c r="CD762" s="1122"/>
      <c r="CE762" s="1122"/>
      <c r="CF762" s="1122"/>
      <c r="CG762" s="519"/>
    </row>
    <row r="763" spans="1:85" s="614" customFormat="1" x14ac:dyDescent="0.3">
      <c r="A763" s="522"/>
      <c r="B763" s="352"/>
      <c r="C763" s="1094"/>
      <c r="D763" s="1094"/>
      <c r="E763" s="1094"/>
      <c r="F763" s="1094"/>
      <c r="G763" s="197"/>
      <c r="H763" s="197"/>
      <c r="I763" s="197"/>
      <c r="J763" s="197"/>
      <c r="K763" s="1094"/>
      <c r="L763" s="197"/>
      <c r="M763" s="197"/>
      <c r="N763" s="197"/>
      <c r="O763" s="197"/>
      <c r="P763" s="1094"/>
      <c r="Q763" s="197"/>
      <c r="R763" s="197"/>
      <c r="S763" s="197"/>
      <c r="T763" s="197"/>
      <c r="U763" s="1094"/>
      <c r="V763" s="197"/>
      <c r="W763" s="197"/>
      <c r="X763" s="197"/>
      <c r="Y763" s="197"/>
      <c r="Z763" s="1094"/>
      <c r="AA763" s="197"/>
      <c r="AB763" s="197"/>
      <c r="AC763" s="197"/>
      <c r="AD763" s="197"/>
      <c r="AE763" s="1094"/>
      <c r="AF763" s="197"/>
      <c r="AG763" s="197"/>
      <c r="AH763" s="197"/>
      <c r="AI763" s="197"/>
      <c r="AJ763" s="1094"/>
      <c r="AK763" s="197"/>
      <c r="AL763" s="197"/>
      <c r="AM763" s="197"/>
      <c r="AN763" s="197"/>
      <c r="AO763" s="1094"/>
      <c r="AP763" s="197"/>
      <c r="AQ763" s="197"/>
      <c r="AR763" s="197"/>
      <c r="AS763" s="197"/>
      <c r="AT763" s="198"/>
      <c r="AU763" s="197"/>
      <c r="AV763" s="197"/>
      <c r="AW763" s="197"/>
      <c r="AX763" s="197"/>
      <c r="AY763" s="198"/>
      <c r="AZ763" s="197"/>
      <c r="BA763" s="197"/>
      <c r="BB763" s="197"/>
      <c r="BC763" s="197"/>
      <c r="BD763" s="198"/>
      <c r="BE763" s="197"/>
      <c r="BF763" s="197"/>
      <c r="BG763" s="197"/>
      <c r="BH763" s="197"/>
      <c r="BI763" s="1094"/>
      <c r="BJ763" s="197"/>
      <c r="BK763" s="197"/>
      <c r="BL763" s="197"/>
      <c r="BM763" s="197"/>
      <c r="BN763" s="1094"/>
      <c r="BO763" s="197"/>
      <c r="BP763" s="197"/>
      <c r="BQ763" s="197"/>
      <c r="BR763" s="197"/>
      <c r="BS763" s="1094"/>
      <c r="BT763" s="727"/>
      <c r="BU763" s="197"/>
      <c r="BV763" s="197"/>
      <c r="BW763" s="197"/>
      <c r="BX763" s="1094"/>
      <c r="BY763" s="197"/>
      <c r="BZ763" s="197"/>
      <c r="CA763" s="197"/>
      <c r="CB763" s="197"/>
      <c r="CC763" s="1094"/>
      <c r="CD763" s="1094"/>
      <c r="CE763" s="1094"/>
      <c r="CF763" s="1094"/>
      <c r="CG763" s="349"/>
    </row>
    <row r="764" spans="1:85" s="613" customFormat="1" x14ac:dyDescent="0.3">
      <c r="A764" s="478" t="s">
        <v>1586</v>
      </c>
      <c r="B764" s="523"/>
      <c r="C764" s="78"/>
      <c r="D764" s="78"/>
      <c r="E764" s="78"/>
      <c r="F764" s="78"/>
      <c r="G764" s="774"/>
      <c r="H764" s="774"/>
      <c r="I764" s="774"/>
      <c r="J764" s="774"/>
      <c r="K764" s="78"/>
      <c r="L764" s="774"/>
      <c r="M764" s="774"/>
      <c r="N764" s="774"/>
      <c r="O764" s="774"/>
      <c r="P764" s="78"/>
      <c r="Q764" s="774"/>
      <c r="R764" s="774"/>
      <c r="S764" s="774"/>
      <c r="T764" s="774"/>
      <c r="U764" s="78"/>
      <c r="V764" s="774"/>
      <c r="W764" s="774"/>
      <c r="X764" s="774"/>
      <c r="Y764" s="774"/>
      <c r="Z764" s="78"/>
      <c r="AA764" s="774"/>
      <c r="AB764" s="774"/>
      <c r="AC764" s="774"/>
      <c r="AD764" s="774"/>
      <c r="AE764" s="78"/>
      <c r="AF764" s="774"/>
      <c r="AG764" s="774"/>
      <c r="AH764" s="774"/>
      <c r="AI764" s="774"/>
      <c r="AJ764" s="78"/>
      <c r="AK764" s="774"/>
      <c r="AL764" s="774"/>
      <c r="AM764" s="774"/>
      <c r="AN764" s="774"/>
      <c r="AO764" s="78"/>
      <c r="AP764" s="774"/>
      <c r="AQ764" s="774"/>
      <c r="AR764" s="774"/>
      <c r="AS764" s="774"/>
      <c r="AT764" s="1119">
        <v>4.7830000000000004</v>
      </c>
      <c r="AU764" s="774"/>
      <c r="AV764" s="774"/>
      <c r="AW764" s="774"/>
      <c r="AX764" s="774"/>
      <c r="AY764" s="1119">
        <v>4.7830000000000004</v>
      </c>
      <c r="AZ764" s="774"/>
      <c r="BA764" s="774"/>
      <c r="BB764" s="774"/>
      <c r="BC764" s="774"/>
      <c r="BD764" s="1119">
        <v>4.7830000000000004</v>
      </c>
      <c r="BE764" s="774"/>
      <c r="BF764" s="774"/>
      <c r="BG764" s="774"/>
      <c r="BH764" s="774"/>
      <c r="BI764" s="78"/>
      <c r="BJ764" s="774"/>
      <c r="BK764" s="774"/>
      <c r="BL764" s="774"/>
      <c r="BM764" s="774"/>
      <c r="BN764" s="78"/>
      <c r="BO764" s="774"/>
      <c r="BP764" s="774"/>
      <c r="BQ764" s="774"/>
      <c r="BR764" s="774"/>
      <c r="BS764" s="78"/>
      <c r="BT764" s="775"/>
      <c r="BU764" s="774"/>
      <c r="BV764" s="774"/>
      <c r="BW764" s="774"/>
      <c r="BX764" s="78"/>
      <c r="BY764" s="774"/>
      <c r="BZ764" s="774"/>
      <c r="CA764" s="774"/>
      <c r="CB764" s="774"/>
      <c r="CC764" s="78"/>
      <c r="CD764" s="78"/>
      <c r="CE764" s="78"/>
      <c r="CF764" s="78"/>
      <c r="CG764" s="532"/>
    </row>
    <row r="765" spans="1:85" s="615" customFormat="1" x14ac:dyDescent="0.3">
      <c r="A765" s="522" t="s">
        <v>1585</v>
      </c>
      <c r="B765" s="521"/>
      <c r="C765" s="1122"/>
      <c r="D765" s="1122"/>
      <c r="E765" s="1122"/>
      <c r="F765" s="1122"/>
      <c r="G765" s="520"/>
      <c r="H765" s="520"/>
      <c r="I765" s="520"/>
      <c r="J765" s="520"/>
      <c r="K765" s="1122"/>
      <c r="L765" s="520"/>
      <c r="M765" s="520"/>
      <c r="N765" s="520"/>
      <c r="O765" s="520"/>
      <c r="P765" s="1122"/>
      <c r="Q765" s="520"/>
      <c r="R765" s="520"/>
      <c r="S765" s="520"/>
      <c r="T765" s="520"/>
      <c r="U765" s="1122"/>
      <c r="V765" s="520"/>
      <c r="W765" s="520"/>
      <c r="X765" s="520"/>
      <c r="Y765" s="520"/>
      <c r="Z765" s="1122"/>
      <c r="AA765" s="520"/>
      <c r="AB765" s="520"/>
      <c r="AC765" s="520"/>
      <c r="AD765" s="520"/>
      <c r="AE765" s="1122"/>
      <c r="AF765" s="520"/>
      <c r="AG765" s="520"/>
      <c r="AH765" s="520"/>
      <c r="AI765" s="520"/>
      <c r="AJ765" s="1122"/>
      <c r="AK765" s="520"/>
      <c r="AL765" s="520"/>
      <c r="AM765" s="520"/>
      <c r="AN765" s="520"/>
      <c r="AO765" s="1122"/>
      <c r="AP765" s="520"/>
      <c r="AQ765" s="520"/>
      <c r="AR765" s="520"/>
      <c r="AS765" s="520"/>
      <c r="AT765" s="1123">
        <v>142.65</v>
      </c>
      <c r="AU765" s="520"/>
      <c r="AV765" s="520"/>
      <c r="AW765" s="520"/>
      <c r="AX765" s="520"/>
      <c r="AY765" s="1123">
        <v>142.65</v>
      </c>
      <c r="AZ765" s="520"/>
      <c r="BA765" s="520"/>
      <c r="BB765" s="520"/>
      <c r="BC765" s="520"/>
      <c r="BD765" s="1123">
        <v>142.65</v>
      </c>
      <c r="BE765" s="520"/>
      <c r="BF765" s="520"/>
      <c r="BG765" s="520"/>
      <c r="BH765" s="520"/>
      <c r="BI765" s="1122"/>
      <c r="BJ765" s="520"/>
      <c r="BK765" s="520"/>
      <c r="BL765" s="520"/>
      <c r="BM765" s="520"/>
      <c r="BN765" s="1122"/>
      <c r="BO765" s="520"/>
      <c r="BP765" s="520"/>
      <c r="BQ765" s="520"/>
      <c r="BR765" s="520"/>
      <c r="BS765" s="1122"/>
      <c r="BT765" s="728"/>
      <c r="BU765" s="520"/>
      <c r="BV765" s="520"/>
      <c r="BW765" s="520"/>
      <c r="BX765" s="1122"/>
      <c r="BY765" s="520"/>
      <c r="BZ765" s="520"/>
      <c r="CA765" s="520"/>
      <c r="CB765" s="520"/>
      <c r="CC765" s="1122"/>
      <c r="CD765" s="1122"/>
      <c r="CE765" s="1122"/>
      <c r="CF765" s="1122"/>
      <c r="CG765" s="519"/>
    </row>
    <row r="766" spans="1:85" s="614" customFormat="1" x14ac:dyDescent="0.3">
      <c r="A766" s="522"/>
      <c r="B766" s="352"/>
      <c r="C766" s="1094"/>
      <c r="D766" s="1094"/>
      <c r="E766" s="1094"/>
      <c r="F766" s="1094"/>
      <c r="G766" s="197"/>
      <c r="H766" s="197"/>
      <c r="I766" s="197"/>
      <c r="J766" s="197"/>
      <c r="K766" s="1094"/>
      <c r="L766" s="197"/>
      <c r="M766" s="197"/>
      <c r="N766" s="197"/>
      <c r="O766" s="197"/>
      <c r="P766" s="1094"/>
      <c r="Q766" s="197"/>
      <c r="R766" s="197"/>
      <c r="S766" s="197"/>
      <c r="T766" s="197"/>
      <c r="U766" s="1094"/>
      <c r="V766" s="197"/>
      <c r="W766" s="197"/>
      <c r="X766" s="197"/>
      <c r="Y766" s="197"/>
      <c r="Z766" s="1094"/>
      <c r="AA766" s="197"/>
      <c r="AB766" s="197"/>
      <c r="AC766" s="197"/>
      <c r="AD766" s="197"/>
      <c r="AE766" s="1094"/>
      <c r="AF766" s="197"/>
      <c r="AG766" s="197"/>
      <c r="AH766" s="197"/>
      <c r="AI766" s="197"/>
      <c r="AJ766" s="1094"/>
      <c r="AK766" s="197"/>
      <c r="AL766" s="197"/>
      <c r="AM766" s="197"/>
      <c r="AN766" s="197"/>
      <c r="AO766" s="1094"/>
      <c r="AP766" s="197"/>
      <c r="AQ766" s="197"/>
      <c r="AR766" s="197"/>
      <c r="AS766" s="197"/>
      <c r="AT766" s="198"/>
      <c r="AU766" s="197"/>
      <c r="AV766" s="197"/>
      <c r="AW766" s="197"/>
      <c r="AX766" s="197"/>
      <c r="AY766" s="198"/>
      <c r="AZ766" s="197"/>
      <c r="BA766" s="197"/>
      <c r="BB766" s="197"/>
      <c r="BC766" s="197"/>
      <c r="BD766" s="198"/>
      <c r="BE766" s="197"/>
      <c r="BF766" s="197"/>
      <c r="BG766" s="197"/>
      <c r="BH766" s="197"/>
      <c r="BI766" s="1094"/>
      <c r="BJ766" s="197"/>
      <c r="BK766" s="197"/>
      <c r="BL766" s="197"/>
      <c r="BM766" s="197"/>
      <c r="BN766" s="1094"/>
      <c r="BO766" s="197"/>
      <c r="BP766" s="197"/>
      <c r="BQ766" s="197"/>
      <c r="BR766" s="197"/>
      <c r="BS766" s="1094"/>
      <c r="BT766" s="727"/>
      <c r="BU766" s="197"/>
      <c r="BV766" s="197"/>
      <c r="BW766" s="197"/>
      <c r="BX766" s="1094"/>
      <c r="BY766" s="197"/>
      <c r="BZ766" s="197"/>
      <c r="CA766" s="197"/>
      <c r="CB766" s="197"/>
      <c r="CC766" s="1094"/>
      <c r="CD766" s="1094"/>
      <c r="CE766" s="1094"/>
      <c r="CF766" s="1094"/>
      <c r="CG766" s="349"/>
    </row>
    <row r="767" spans="1:85" s="613" customFormat="1" x14ac:dyDescent="0.3">
      <c r="A767" s="478" t="s">
        <v>1584</v>
      </c>
      <c r="B767" s="523"/>
      <c r="C767" s="78"/>
      <c r="D767" s="78"/>
      <c r="E767" s="78"/>
      <c r="F767" s="78"/>
      <c r="G767" s="774"/>
      <c r="H767" s="774"/>
      <c r="I767" s="774"/>
      <c r="J767" s="774"/>
      <c r="K767" s="78"/>
      <c r="L767" s="774"/>
      <c r="M767" s="774"/>
      <c r="N767" s="774"/>
      <c r="O767" s="774"/>
      <c r="P767" s="78"/>
      <c r="Q767" s="774"/>
      <c r="R767" s="774"/>
      <c r="S767" s="774"/>
      <c r="T767" s="774"/>
      <c r="U767" s="78"/>
      <c r="V767" s="774"/>
      <c r="W767" s="774"/>
      <c r="X767" s="774"/>
      <c r="Y767" s="774"/>
      <c r="Z767" s="78"/>
      <c r="AA767" s="774"/>
      <c r="AB767" s="774"/>
      <c r="AC767" s="774"/>
      <c r="AD767" s="774"/>
      <c r="AE767" s="78"/>
      <c r="AF767" s="774"/>
      <c r="AG767" s="774"/>
      <c r="AH767" s="774"/>
      <c r="AI767" s="774"/>
      <c r="AJ767" s="78"/>
      <c r="AK767" s="774"/>
      <c r="AL767" s="774"/>
      <c r="AM767" s="774"/>
      <c r="AN767" s="774"/>
      <c r="AO767" s="78"/>
      <c r="AP767" s="774"/>
      <c r="AQ767" s="774"/>
      <c r="AR767" s="774"/>
      <c r="AS767" s="774"/>
      <c r="AT767" s="1119">
        <v>4.6440000000000001</v>
      </c>
      <c r="AU767" s="774"/>
      <c r="AV767" s="774"/>
      <c r="AW767" s="774"/>
      <c r="AX767" s="774"/>
      <c r="AY767" s="1119">
        <v>4.6440000000000001</v>
      </c>
      <c r="AZ767" s="774"/>
      <c r="BA767" s="774"/>
      <c r="BB767" s="774"/>
      <c r="BC767" s="774"/>
      <c r="BD767" s="1119">
        <v>4.6440000000000001</v>
      </c>
      <c r="BE767" s="774"/>
      <c r="BF767" s="774"/>
      <c r="BG767" s="774"/>
      <c r="BH767" s="774"/>
      <c r="BI767" s="78"/>
      <c r="BJ767" s="774"/>
      <c r="BK767" s="774"/>
      <c r="BL767" s="774"/>
      <c r="BM767" s="774"/>
      <c r="BN767" s="78"/>
      <c r="BO767" s="774"/>
      <c r="BP767" s="774"/>
      <c r="BQ767" s="774"/>
      <c r="BR767" s="774"/>
      <c r="BS767" s="78"/>
      <c r="BT767" s="775"/>
      <c r="BU767" s="774"/>
      <c r="BV767" s="774"/>
      <c r="BW767" s="774"/>
      <c r="BX767" s="78"/>
      <c r="BY767" s="774"/>
      <c r="BZ767" s="774"/>
      <c r="CA767" s="774"/>
      <c r="CB767" s="774"/>
      <c r="CC767" s="78"/>
      <c r="CD767" s="78"/>
      <c r="CE767" s="78"/>
      <c r="CF767" s="78"/>
      <c r="CG767" s="532"/>
    </row>
    <row r="768" spans="1:85" s="615" customFormat="1" x14ac:dyDescent="0.3">
      <c r="A768" s="522" t="s">
        <v>1583</v>
      </c>
      <c r="B768" s="521"/>
      <c r="C768" s="1122"/>
      <c r="D768" s="1122"/>
      <c r="E768" s="1122"/>
      <c r="F768" s="1122"/>
      <c r="G768" s="520"/>
      <c r="H768" s="520"/>
      <c r="I768" s="520"/>
      <c r="J768" s="520"/>
      <c r="K768" s="1122"/>
      <c r="L768" s="520"/>
      <c r="M768" s="520"/>
      <c r="N768" s="520"/>
      <c r="O768" s="520"/>
      <c r="P768" s="1122"/>
      <c r="Q768" s="520"/>
      <c r="R768" s="520"/>
      <c r="S768" s="520"/>
      <c r="T768" s="520"/>
      <c r="U768" s="1122"/>
      <c r="V768" s="520"/>
      <c r="W768" s="520"/>
      <c r="X768" s="520"/>
      <c r="Y768" s="520"/>
      <c r="Z768" s="1122"/>
      <c r="AA768" s="520"/>
      <c r="AB768" s="520"/>
      <c r="AC768" s="520"/>
      <c r="AD768" s="520"/>
      <c r="AE768" s="1122"/>
      <c r="AF768" s="520"/>
      <c r="AG768" s="520"/>
      <c r="AH768" s="520"/>
      <c r="AI768" s="520"/>
      <c r="AJ768" s="1122"/>
      <c r="AK768" s="520"/>
      <c r="AL768" s="520"/>
      <c r="AM768" s="520"/>
      <c r="AN768" s="520"/>
      <c r="AO768" s="1122"/>
      <c r="AP768" s="520"/>
      <c r="AQ768" s="520"/>
      <c r="AR768" s="520"/>
      <c r="AS768" s="520"/>
      <c r="AT768" s="1123">
        <v>146.91999999999999</v>
      </c>
      <c r="AU768" s="520"/>
      <c r="AV768" s="520"/>
      <c r="AW768" s="520"/>
      <c r="AX768" s="520"/>
      <c r="AY768" s="1123">
        <v>146.91999999999999</v>
      </c>
      <c r="AZ768" s="520"/>
      <c r="BA768" s="520"/>
      <c r="BB768" s="520"/>
      <c r="BC768" s="520"/>
      <c r="BD768" s="1123">
        <v>146.91999999999999</v>
      </c>
      <c r="BE768" s="520"/>
      <c r="BF768" s="520"/>
      <c r="BG768" s="520"/>
      <c r="BH768" s="520"/>
      <c r="BI768" s="1122"/>
      <c r="BJ768" s="520"/>
      <c r="BK768" s="520"/>
      <c r="BL768" s="520"/>
      <c r="BM768" s="520"/>
      <c r="BN768" s="1122"/>
      <c r="BO768" s="520"/>
      <c r="BP768" s="520"/>
      <c r="BQ768" s="520"/>
      <c r="BR768" s="520"/>
      <c r="BS768" s="1122"/>
      <c r="BT768" s="728"/>
      <c r="BU768" s="520"/>
      <c r="BV768" s="520"/>
      <c r="BW768" s="520"/>
      <c r="BX768" s="1122"/>
      <c r="BY768" s="520"/>
      <c r="BZ768" s="520"/>
      <c r="CA768" s="520"/>
      <c r="CB768" s="520"/>
      <c r="CC768" s="1122"/>
      <c r="CD768" s="1122"/>
      <c r="CE768" s="1122"/>
      <c r="CF768" s="1122"/>
      <c r="CG768" s="519"/>
    </row>
    <row r="769" spans="1:85" s="614" customFormat="1" x14ac:dyDescent="0.3">
      <c r="A769" s="522"/>
      <c r="B769" s="352"/>
      <c r="C769" s="1094"/>
      <c r="D769" s="1094"/>
      <c r="E769" s="1094"/>
      <c r="F769" s="1094"/>
      <c r="G769" s="197"/>
      <c r="H769" s="197"/>
      <c r="I769" s="197"/>
      <c r="J769" s="197"/>
      <c r="K769" s="1094"/>
      <c r="L769" s="197"/>
      <c r="M769" s="197"/>
      <c r="N769" s="197"/>
      <c r="O769" s="197"/>
      <c r="P769" s="1094"/>
      <c r="Q769" s="197"/>
      <c r="R769" s="197"/>
      <c r="S769" s="197"/>
      <c r="T769" s="197"/>
      <c r="U769" s="1094"/>
      <c r="V769" s="197"/>
      <c r="W769" s="197"/>
      <c r="X769" s="197"/>
      <c r="Y769" s="197"/>
      <c r="Z769" s="1094"/>
      <c r="AA769" s="197"/>
      <c r="AB769" s="197"/>
      <c r="AC769" s="197"/>
      <c r="AD769" s="197"/>
      <c r="AE769" s="1094"/>
      <c r="AF769" s="197"/>
      <c r="AG769" s="197"/>
      <c r="AH769" s="197"/>
      <c r="AI769" s="197"/>
      <c r="AJ769" s="1094"/>
      <c r="AK769" s="197"/>
      <c r="AL769" s="197"/>
      <c r="AM769" s="197"/>
      <c r="AN769" s="197"/>
      <c r="AO769" s="1094"/>
      <c r="AP769" s="197"/>
      <c r="AQ769" s="197"/>
      <c r="AR769" s="197"/>
      <c r="AS769" s="197"/>
      <c r="AT769" s="198"/>
      <c r="AU769" s="197"/>
      <c r="AV769" s="197"/>
      <c r="AW769" s="197"/>
      <c r="AX769" s="197"/>
      <c r="AY769" s="198"/>
      <c r="AZ769" s="197"/>
      <c r="BA769" s="197"/>
      <c r="BB769" s="197"/>
      <c r="BC769" s="197"/>
      <c r="BD769" s="198"/>
      <c r="BE769" s="197"/>
      <c r="BF769" s="197"/>
      <c r="BG769" s="197"/>
      <c r="BH769" s="197"/>
      <c r="BI769" s="1094"/>
      <c r="BJ769" s="197"/>
      <c r="BK769" s="197"/>
      <c r="BL769" s="197"/>
      <c r="BM769" s="197"/>
      <c r="BN769" s="1094"/>
      <c r="BO769" s="197"/>
      <c r="BP769" s="197"/>
      <c r="BQ769" s="197"/>
      <c r="BR769" s="197"/>
      <c r="BS769" s="1094"/>
      <c r="BT769" s="727"/>
      <c r="BU769" s="197"/>
      <c r="BV769" s="197"/>
      <c r="BW769" s="197"/>
      <c r="BX769" s="1094"/>
      <c r="BY769" s="197"/>
      <c r="BZ769" s="197"/>
      <c r="CA769" s="197"/>
      <c r="CB769" s="197"/>
      <c r="CC769" s="1094"/>
      <c r="CD769" s="1094"/>
      <c r="CE769" s="1094"/>
      <c r="CF769" s="1094"/>
      <c r="CG769" s="349"/>
    </row>
    <row r="770" spans="1:85" s="613" customFormat="1" x14ac:dyDescent="0.3">
      <c r="A770" s="478" t="s">
        <v>1582</v>
      </c>
      <c r="B770" s="523"/>
      <c r="C770" s="78"/>
      <c r="D770" s="78"/>
      <c r="E770" s="78"/>
      <c r="F770" s="78"/>
      <c r="G770" s="774"/>
      <c r="H770" s="774"/>
      <c r="I770" s="774"/>
      <c r="J770" s="774"/>
      <c r="K770" s="78"/>
      <c r="L770" s="774"/>
      <c r="M770" s="774"/>
      <c r="N770" s="774"/>
      <c r="O770" s="774"/>
      <c r="P770" s="78"/>
      <c r="Q770" s="774"/>
      <c r="R770" s="774"/>
      <c r="S770" s="774"/>
      <c r="T770" s="774"/>
      <c r="U770" s="78"/>
      <c r="V770" s="774"/>
      <c r="W770" s="774"/>
      <c r="X770" s="774"/>
      <c r="Y770" s="774"/>
      <c r="Z770" s="78"/>
      <c r="AA770" s="774"/>
      <c r="AB770" s="774"/>
      <c r="AC770" s="774"/>
      <c r="AD770" s="774"/>
      <c r="AE770" s="78"/>
      <c r="AF770" s="774"/>
      <c r="AG770" s="774"/>
      <c r="AH770" s="774"/>
      <c r="AI770" s="774"/>
      <c r="AJ770" s="78"/>
      <c r="AK770" s="774"/>
      <c r="AL770" s="774"/>
      <c r="AM770" s="774"/>
      <c r="AN770" s="774"/>
      <c r="AO770" s="78"/>
      <c r="AP770" s="774"/>
      <c r="AQ770" s="774"/>
      <c r="AR770" s="774"/>
      <c r="AS770" s="774"/>
      <c r="AT770" s="1119">
        <v>4.3920000000000003</v>
      </c>
      <c r="AU770" s="774"/>
      <c r="AV770" s="774"/>
      <c r="AW770" s="774"/>
      <c r="AX770" s="774"/>
      <c r="AY770" s="1119">
        <v>4.3920000000000003</v>
      </c>
      <c r="AZ770" s="774"/>
      <c r="BA770" s="774"/>
      <c r="BB770" s="774"/>
      <c r="BC770" s="774"/>
      <c r="BD770" s="1119">
        <v>4.3920000000000003</v>
      </c>
      <c r="BE770" s="774"/>
      <c r="BF770" s="774"/>
      <c r="BG770" s="774"/>
      <c r="BH770" s="774"/>
      <c r="BI770" s="78"/>
      <c r="BJ770" s="774"/>
      <c r="BK770" s="774"/>
      <c r="BL770" s="774"/>
      <c r="BM770" s="774"/>
      <c r="BN770" s="78"/>
      <c r="BO770" s="774"/>
      <c r="BP770" s="774"/>
      <c r="BQ770" s="774"/>
      <c r="BR770" s="774"/>
      <c r="BS770" s="78"/>
      <c r="BT770" s="775"/>
      <c r="BU770" s="774"/>
      <c r="BV770" s="774"/>
      <c r="BW770" s="774"/>
      <c r="BX770" s="78"/>
      <c r="BY770" s="774"/>
      <c r="BZ770" s="774"/>
      <c r="CA770" s="774"/>
      <c r="CB770" s="774"/>
      <c r="CC770" s="78"/>
      <c r="CD770" s="78"/>
      <c r="CE770" s="78"/>
      <c r="CF770" s="78"/>
      <c r="CG770" s="532"/>
    </row>
    <row r="771" spans="1:85" s="615" customFormat="1" x14ac:dyDescent="0.3">
      <c r="A771" s="522" t="s">
        <v>1581</v>
      </c>
      <c r="B771" s="521"/>
      <c r="C771" s="1122"/>
      <c r="D771" s="1122"/>
      <c r="E771" s="1122"/>
      <c r="F771" s="1122"/>
      <c r="G771" s="520"/>
      <c r="H771" s="520"/>
      <c r="I771" s="520"/>
      <c r="J771" s="520"/>
      <c r="K771" s="1122"/>
      <c r="L771" s="520"/>
      <c r="M771" s="520"/>
      <c r="N771" s="520"/>
      <c r="O771" s="520"/>
      <c r="P771" s="1122"/>
      <c r="Q771" s="520"/>
      <c r="R771" s="520"/>
      <c r="S771" s="520"/>
      <c r="T771" s="520"/>
      <c r="U771" s="1122"/>
      <c r="V771" s="520"/>
      <c r="W771" s="520"/>
      <c r="X771" s="520"/>
      <c r="Y771" s="520"/>
      <c r="Z771" s="1122"/>
      <c r="AA771" s="520"/>
      <c r="AB771" s="520"/>
      <c r="AC771" s="520"/>
      <c r="AD771" s="520"/>
      <c r="AE771" s="1122"/>
      <c r="AF771" s="520"/>
      <c r="AG771" s="520"/>
      <c r="AH771" s="520"/>
      <c r="AI771" s="520"/>
      <c r="AJ771" s="1122"/>
      <c r="AK771" s="520"/>
      <c r="AL771" s="520"/>
      <c r="AM771" s="520"/>
      <c r="AN771" s="520"/>
      <c r="AO771" s="1122"/>
      <c r="AP771" s="520"/>
      <c r="AQ771" s="520"/>
      <c r="AR771" s="520"/>
      <c r="AS771" s="520"/>
      <c r="AT771" s="1123">
        <v>155.35</v>
      </c>
      <c r="AU771" s="520"/>
      <c r="AV771" s="520"/>
      <c r="AW771" s="520"/>
      <c r="AX771" s="520"/>
      <c r="AY771" s="1123">
        <v>155.35</v>
      </c>
      <c r="AZ771" s="520"/>
      <c r="BA771" s="520"/>
      <c r="BB771" s="520"/>
      <c r="BC771" s="520"/>
      <c r="BD771" s="1123">
        <v>155.35</v>
      </c>
      <c r="BE771" s="520"/>
      <c r="BF771" s="520"/>
      <c r="BG771" s="520"/>
      <c r="BH771" s="520"/>
      <c r="BI771" s="1122"/>
      <c r="BJ771" s="520"/>
      <c r="BK771" s="520"/>
      <c r="BL771" s="520"/>
      <c r="BM771" s="520"/>
      <c r="BN771" s="1122"/>
      <c r="BO771" s="520"/>
      <c r="BP771" s="520"/>
      <c r="BQ771" s="520"/>
      <c r="BR771" s="520"/>
      <c r="BS771" s="1122"/>
      <c r="BT771" s="728"/>
      <c r="BU771" s="520"/>
      <c r="BV771" s="520"/>
      <c r="BW771" s="520"/>
      <c r="BX771" s="1122"/>
      <c r="BY771" s="520"/>
      <c r="BZ771" s="520"/>
      <c r="CA771" s="520"/>
      <c r="CB771" s="520"/>
      <c r="CC771" s="1122"/>
      <c r="CD771" s="1122"/>
      <c r="CE771" s="1122"/>
      <c r="CF771" s="1122"/>
      <c r="CG771" s="519"/>
    </row>
    <row r="772" spans="1:85" s="614" customFormat="1" x14ac:dyDescent="0.3">
      <c r="A772" s="522"/>
      <c r="B772" s="352"/>
      <c r="C772" s="1094"/>
      <c r="D772" s="1094"/>
      <c r="E772" s="1094"/>
      <c r="F772" s="1094"/>
      <c r="G772" s="197"/>
      <c r="H772" s="197"/>
      <c r="I772" s="197"/>
      <c r="J772" s="197"/>
      <c r="K772" s="1094"/>
      <c r="L772" s="197"/>
      <c r="M772" s="197"/>
      <c r="N772" s="197"/>
      <c r="O772" s="197"/>
      <c r="P772" s="1094"/>
      <c r="Q772" s="197"/>
      <c r="R772" s="197"/>
      <c r="S772" s="197"/>
      <c r="T772" s="197"/>
      <c r="U772" s="1094"/>
      <c r="V772" s="197"/>
      <c r="W772" s="197"/>
      <c r="X772" s="197"/>
      <c r="Y772" s="197"/>
      <c r="Z772" s="1094"/>
      <c r="AA772" s="197"/>
      <c r="AB772" s="197"/>
      <c r="AC772" s="197"/>
      <c r="AD772" s="197"/>
      <c r="AE772" s="1094"/>
      <c r="AF772" s="197"/>
      <c r="AG772" s="197"/>
      <c r="AH772" s="197"/>
      <c r="AI772" s="197"/>
      <c r="AJ772" s="1094"/>
      <c r="AK772" s="197"/>
      <c r="AL772" s="197"/>
      <c r="AM772" s="197"/>
      <c r="AN772" s="197"/>
      <c r="AO772" s="1094"/>
      <c r="AP772" s="197"/>
      <c r="AQ772" s="197"/>
      <c r="AR772" s="197"/>
      <c r="AS772" s="197"/>
      <c r="AT772" s="198"/>
      <c r="AU772" s="197"/>
      <c r="AV772" s="197"/>
      <c r="AW772" s="197"/>
      <c r="AX772" s="197"/>
      <c r="AY772" s="198"/>
      <c r="AZ772" s="197"/>
      <c r="BA772" s="197"/>
      <c r="BB772" s="197"/>
      <c r="BC772" s="197"/>
      <c r="BD772" s="198"/>
      <c r="BE772" s="197"/>
      <c r="BF772" s="197"/>
      <c r="BG772" s="197"/>
      <c r="BH772" s="197"/>
      <c r="BI772" s="1094"/>
      <c r="BJ772" s="197"/>
      <c r="BK772" s="197"/>
      <c r="BL772" s="197"/>
      <c r="BM772" s="197"/>
      <c r="BN772" s="1094"/>
      <c r="BO772" s="197"/>
      <c r="BP772" s="197"/>
      <c r="BQ772" s="197"/>
      <c r="BR772" s="197"/>
      <c r="BS772" s="1094"/>
      <c r="BT772" s="727"/>
      <c r="BU772" s="197"/>
      <c r="BV772" s="197"/>
      <c r="BW772" s="197"/>
      <c r="BX772" s="1094"/>
      <c r="BY772" s="197"/>
      <c r="BZ772" s="197"/>
      <c r="CA772" s="197"/>
      <c r="CB772" s="197"/>
      <c r="CC772" s="1094"/>
      <c r="CD772" s="1094"/>
      <c r="CE772" s="1094"/>
      <c r="CF772" s="1094"/>
      <c r="CG772" s="349"/>
    </row>
    <row r="773" spans="1:85" s="613" customFormat="1" x14ac:dyDescent="0.3">
      <c r="A773" s="478" t="s">
        <v>1580</v>
      </c>
      <c r="B773" s="523"/>
      <c r="C773" s="78"/>
      <c r="D773" s="78"/>
      <c r="E773" s="78"/>
      <c r="F773" s="78"/>
      <c r="G773" s="774"/>
      <c r="H773" s="774"/>
      <c r="I773" s="774"/>
      <c r="J773" s="774"/>
      <c r="K773" s="78"/>
      <c r="L773" s="774"/>
      <c r="M773" s="774"/>
      <c r="N773" s="774"/>
      <c r="O773" s="774"/>
      <c r="P773" s="78"/>
      <c r="Q773" s="774"/>
      <c r="R773" s="774"/>
      <c r="S773" s="774"/>
      <c r="T773" s="774"/>
      <c r="U773" s="78"/>
      <c r="V773" s="774"/>
      <c r="W773" s="774"/>
      <c r="X773" s="774"/>
      <c r="Y773" s="774"/>
      <c r="Z773" s="78"/>
      <c r="AA773" s="774"/>
      <c r="AB773" s="774"/>
      <c r="AC773" s="774"/>
      <c r="AD773" s="774"/>
      <c r="AE773" s="78"/>
      <c r="AF773" s="774"/>
      <c r="AG773" s="774"/>
      <c r="AH773" s="774"/>
      <c r="AI773" s="774"/>
      <c r="AJ773" s="78"/>
      <c r="AK773" s="774"/>
      <c r="AL773" s="774"/>
      <c r="AM773" s="774"/>
      <c r="AN773" s="774"/>
      <c r="AO773" s="78"/>
      <c r="AP773" s="774"/>
      <c r="AQ773" s="774"/>
      <c r="AR773" s="774"/>
      <c r="AS773" s="774"/>
      <c r="AT773" s="1119">
        <v>4.1859999999999999</v>
      </c>
      <c r="AU773" s="774"/>
      <c r="AV773" s="774"/>
      <c r="AW773" s="774"/>
      <c r="AX773" s="774"/>
      <c r="AY773" s="1119">
        <v>4.1859999999999999</v>
      </c>
      <c r="AZ773" s="774"/>
      <c r="BA773" s="774"/>
      <c r="BB773" s="774"/>
      <c r="BC773" s="774"/>
      <c r="BD773" s="1119">
        <v>4.1859999999999999</v>
      </c>
      <c r="BE773" s="774"/>
      <c r="BF773" s="774"/>
      <c r="BG773" s="774"/>
      <c r="BH773" s="774"/>
      <c r="BI773" s="78"/>
      <c r="BJ773" s="774"/>
      <c r="BK773" s="774"/>
      <c r="BL773" s="774"/>
      <c r="BM773" s="774"/>
      <c r="BN773" s="78"/>
      <c r="BO773" s="774"/>
      <c r="BP773" s="774"/>
      <c r="BQ773" s="774"/>
      <c r="BR773" s="774"/>
      <c r="BS773" s="78"/>
      <c r="BT773" s="775"/>
      <c r="BU773" s="774"/>
      <c r="BV773" s="774"/>
      <c r="BW773" s="774"/>
      <c r="BX773" s="78"/>
      <c r="BY773" s="774"/>
      <c r="BZ773" s="774"/>
      <c r="CA773" s="774"/>
      <c r="CB773" s="774"/>
      <c r="CC773" s="78"/>
      <c r="CD773" s="78"/>
      <c r="CE773" s="78"/>
      <c r="CF773" s="78"/>
      <c r="CG773" s="532"/>
    </row>
    <row r="774" spans="1:85" s="615" customFormat="1" x14ac:dyDescent="0.3">
      <c r="A774" s="522" t="s">
        <v>1579</v>
      </c>
      <c r="B774" s="521"/>
      <c r="C774" s="1122"/>
      <c r="D774" s="1122"/>
      <c r="E774" s="1122"/>
      <c r="F774" s="1122"/>
      <c r="G774" s="520"/>
      <c r="H774" s="520"/>
      <c r="I774" s="520"/>
      <c r="J774" s="520"/>
      <c r="K774" s="1122"/>
      <c r="L774" s="520"/>
      <c r="M774" s="520"/>
      <c r="N774" s="520"/>
      <c r="O774" s="520"/>
      <c r="P774" s="1122"/>
      <c r="Q774" s="520"/>
      <c r="R774" s="520"/>
      <c r="S774" s="520"/>
      <c r="T774" s="520"/>
      <c r="U774" s="1122"/>
      <c r="V774" s="520"/>
      <c r="W774" s="520"/>
      <c r="X774" s="520"/>
      <c r="Y774" s="520"/>
      <c r="Z774" s="1122"/>
      <c r="AA774" s="520"/>
      <c r="AB774" s="520"/>
      <c r="AC774" s="520"/>
      <c r="AD774" s="520"/>
      <c r="AE774" s="1122"/>
      <c r="AF774" s="520"/>
      <c r="AG774" s="520"/>
      <c r="AH774" s="520"/>
      <c r="AI774" s="520"/>
      <c r="AJ774" s="1122"/>
      <c r="AK774" s="520"/>
      <c r="AL774" s="520"/>
      <c r="AM774" s="520"/>
      <c r="AN774" s="520"/>
      <c r="AO774" s="1122"/>
      <c r="AP774" s="520"/>
      <c r="AQ774" s="520"/>
      <c r="AR774" s="520"/>
      <c r="AS774" s="520"/>
      <c r="AT774" s="1123">
        <v>162.99</v>
      </c>
      <c r="AU774" s="520"/>
      <c r="AV774" s="520"/>
      <c r="AW774" s="520"/>
      <c r="AX774" s="520"/>
      <c r="AY774" s="1123">
        <v>162.99</v>
      </c>
      <c r="AZ774" s="520"/>
      <c r="BA774" s="520"/>
      <c r="BB774" s="520"/>
      <c r="BC774" s="520"/>
      <c r="BD774" s="1123">
        <v>162.99</v>
      </c>
      <c r="BE774" s="520"/>
      <c r="BF774" s="520"/>
      <c r="BG774" s="520"/>
      <c r="BH774" s="520"/>
      <c r="BI774" s="1122"/>
      <c r="BJ774" s="520"/>
      <c r="BK774" s="520"/>
      <c r="BL774" s="520"/>
      <c r="BM774" s="520"/>
      <c r="BN774" s="1122"/>
      <c r="BO774" s="520"/>
      <c r="BP774" s="520"/>
      <c r="BQ774" s="520"/>
      <c r="BR774" s="520"/>
      <c r="BS774" s="1122"/>
      <c r="BT774" s="728"/>
      <c r="BU774" s="520"/>
      <c r="BV774" s="520"/>
      <c r="BW774" s="520"/>
      <c r="BX774" s="1122"/>
      <c r="BY774" s="520"/>
      <c r="BZ774" s="520"/>
      <c r="CA774" s="520"/>
      <c r="CB774" s="520"/>
      <c r="CC774" s="1122"/>
      <c r="CD774" s="1122"/>
      <c r="CE774" s="1122"/>
      <c r="CF774" s="1122"/>
      <c r="CG774" s="519"/>
    </row>
    <row r="775" spans="1:85" s="614" customFormat="1" x14ac:dyDescent="0.3">
      <c r="A775" s="522"/>
      <c r="B775" s="352"/>
      <c r="C775" s="1094"/>
      <c r="D775" s="1094"/>
      <c r="E775" s="1094"/>
      <c r="F775" s="1094"/>
      <c r="G775" s="197"/>
      <c r="H775" s="197"/>
      <c r="I775" s="197"/>
      <c r="J775" s="197"/>
      <c r="K775" s="1094"/>
      <c r="L775" s="197"/>
      <c r="M775" s="197"/>
      <c r="N775" s="197"/>
      <c r="O775" s="197"/>
      <c r="P775" s="1094"/>
      <c r="Q775" s="197"/>
      <c r="R775" s="197"/>
      <c r="S775" s="197"/>
      <c r="T775" s="197"/>
      <c r="U775" s="1094"/>
      <c r="V775" s="197"/>
      <c r="W775" s="197"/>
      <c r="X775" s="197"/>
      <c r="Y775" s="197"/>
      <c r="Z775" s="1094"/>
      <c r="AA775" s="197"/>
      <c r="AB775" s="197"/>
      <c r="AC775" s="197"/>
      <c r="AD775" s="197"/>
      <c r="AE775" s="1094"/>
      <c r="AF775" s="197"/>
      <c r="AG775" s="197"/>
      <c r="AH775" s="197"/>
      <c r="AI775" s="197"/>
      <c r="AJ775" s="1094"/>
      <c r="AK775" s="197"/>
      <c r="AL775" s="197"/>
      <c r="AM775" s="197"/>
      <c r="AN775" s="197"/>
      <c r="AO775" s="1094"/>
      <c r="AP775" s="197"/>
      <c r="AQ775" s="197"/>
      <c r="AR775" s="197"/>
      <c r="AS775" s="197"/>
      <c r="AT775" s="198"/>
      <c r="AU775" s="197"/>
      <c r="AV775" s="197"/>
      <c r="AW775" s="197"/>
      <c r="AX775" s="197"/>
      <c r="AY775" s="198"/>
      <c r="AZ775" s="197"/>
      <c r="BA775" s="197"/>
      <c r="BB775" s="197"/>
      <c r="BC775" s="197"/>
      <c r="BD775" s="198"/>
      <c r="BE775" s="197"/>
      <c r="BF775" s="197"/>
      <c r="BG775" s="197"/>
      <c r="BH775" s="197"/>
      <c r="BI775" s="1094"/>
      <c r="BJ775" s="197"/>
      <c r="BK775" s="197"/>
      <c r="BL775" s="197"/>
      <c r="BM775" s="197"/>
      <c r="BN775" s="1094"/>
      <c r="BO775" s="197"/>
      <c r="BP775" s="197"/>
      <c r="BQ775" s="197"/>
      <c r="BR775" s="197"/>
      <c r="BS775" s="1094"/>
      <c r="BT775" s="727"/>
      <c r="BU775" s="197"/>
      <c r="BV775" s="197"/>
      <c r="BW775" s="197"/>
      <c r="BX775" s="1094"/>
      <c r="BY775" s="197"/>
      <c r="BZ775" s="197"/>
      <c r="CA775" s="197"/>
      <c r="CB775" s="197"/>
      <c r="CC775" s="1094"/>
      <c r="CD775" s="1094"/>
      <c r="CE775" s="1094"/>
      <c r="CF775" s="1094"/>
      <c r="CG775" s="349"/>
    </row>
    <row r="776" spans="1:85" s="613" customFormat="1" x14ac:dyDescent="0.3">
      <c r="A776" s="478" t="s">
        <v>1578</v>
      </c>
      <c r="B776" s="523"/>
      <c r="C776" s="78"/>
      <c r="D776" s="78"/>
      <c r="E776" s="78"/>
      <c r="F776" s="78"/>
      <c r="G776" s="774"/>
      <c r="H776" s="774"/>
      <c r="I776" s="774"/>
      <c r="J776" s="774"/>
      <c r="K776" s="78"/>
      <c r="L776" s="774"/>
      <c r="M776" s="774"/>
      <c r="N776" s="774"/>
      <c r="O776" s="774"/>
      <c r="P776" s="78"/>
      <c r="Q776" s="774"/>
      <c r="R776" s="774"/>
      <c r="S776" s="774"/>
      <c r="T776" s="774"/>
      <c r="U776" s="78"/>
      <c r="V776" s="774"/>
      <c r="W776" s="774"/>
      <c r="X776" s="774"/>
      <c r="Y776" s="774"/>
      <c r="Z776" s="78"/>
      <c r="AA776" s="774"/>
      <c r="AB776" s="774"/>
      <c r="AC776" s="774"/>
      <c r="AD776" s="774"/>
      <c r="AE776" s="78"/>
      <c r="AF776" s="774"/>
      <c r="AG776" s="774"/>
      <c r="AH776" s="774"/>
      <c r="AI776" s="774"/>
      <c r="AJ776" s="78"/>
      <c r="AK776" s="774"/>
      <c r="AL776" s="774"/>
      <c r="AM776" s="774"/>
      <c r="AN776" s="774"/>
      <c r="AO776" s="78"/>
      <c r="AP776" s="774"/>
      <c r="AQ776" s="774"/>
      <c r="AR776" s="774"/>
      <c r="AS776" s="774"/>
      <c r="AT776" s="1119">
        <v>4.6680000000000001</v>
      </c>
      <c r="AU776" s="774"/>
      <c r="AV776" s="774"/>
      <c r="AW776" s="774"/>
      <c r="AX776" s="774"/>
      <c r="AY776" s="1119">
        <v>4.6680000000000001</v>
      </c>
      <c r="AZ776" s="774"/>
      <c r="BA776" s="774"/>
      <c r="BB776" s="774"/>
      <c r="BC776" s="774"/>
      <c r="BD776" s="1119">
        <v>4.6680000000000001</v>
      </c>
      <c r="BE776" s="774"/>
      <c r="BF776" s="774"/>
      <c r="BG776" s="774"/>
      <c r="BH776" s="774"/>
      <c r="BI776" s="78"/>
      <c r="BJ776" s="774"/>
      <c r="BK776" s="774"/>
      <c r="BL776" s="774"/>
      <c r="BM776" s="774"/>
      <c r="BN776" s="78"/>
      <c r="BO776" s="774"/>
      <c r="BP776" s="774"/>
      <c r="BQ776" s="774"/>
      <c r="BR776" s="774"/>
      <c r="BS776" s="78"/>
      <c r="BT776" s="775"/>
      <c r="BU776" s="774"/>
      <c r="BV776" s="774"/>
      <c r="BW776" s="774"/>
      <c r="BX776" s="78"/>
      <c r="BY776" s="774"/>
      <c r="BZ776" s="774"/>
      <c r="CA776" s="774"/>
      <c r="CB776" s="774"/>
      <c r="CC776" s="78"/>
      <c r="CD776" s="78"/>
      <c r="CE776" s="78"/>
      <c r="CF776" s="78"/>
      <c r="CG776" s="532"/>
    </row>
    <row r="777" spans="1:85" s="615" customFormat="1" x14ac:dyDescent="0.3">
      <c r="A777" s="522" t="s">
        <v>1577</v>
      </c>
      <c r="B777" s="521"/>
      <c r="C777" s="1122"/>
      <c r="D777" s="1122"/>
      <c r="E777" s="1122"/>
      <c r="F777" s="1122"/>
      <c r="G777" s="520"/>
      <c r="H777" s="520"/>
      <c r="I777" s="520"/>
      <c r="J777" s="520"/>
      <c r="K777" s="1122"/>
      <c r="L777" s="520"/>
      <c r="M777" s="520"/>
      <c r="N777" s="520"/>
      <c r="O777" s="520"/>
      <c r="P777" s="1122"/>
      <c r="Q777" s="520"/>
      <c r="R777" s="520"/>
      <c r="S777" s="520"/>
      <c r="T777" s="520"/>
      <c r="U777" s="1122"/>
      <c r="V777" s="520"/>
      <c r="W777" s="520"/>
      <c r="X777" s="520"/>
      <c r="Y777" s="520"/>
      <c r="Z777" s="1122"/>
      <c r="AA777" s="520"/>
      <c r="AB777" s="520"/>
      <c r="AC777" s="520"/>
      <c r="AD777" s="520"/>
      <c r="AE777" s="1122"/>
      <c r="AF777" s="520"/>
      <c r="AG777" s="520"/>
      <c r="AH777" s="520"/>
      <c r="AI777" s="520"/>
      <c r="AJ777" s="1122"/>
      <c r="AK777" s="520"/>
      <c r="AL777" s="520"/>
      <c r="AM777" s="520"/>
      <c r="AN777" s="520"/>
      <c r="AO777" s="1122"/>
      <c r="AP777" s="520"/>
      <c r="AQ777" s="520"/>
      <c r="AR777" s="520"/>
      <c r="AS777" s="520"/>
      <c r="AT777" s="1123">
        <v>146.16999999999999</v>
      </c>
      <c r="AU777" s="520"/>
      <c r="AV777" s="520"/>
      <c r="AW777" s="520"/>
      <c r="AX777" s="520"/>
      <c r="AY777" s="1123">
        <v>146.16999999999999</v>
      </c>
      <c r="AZ777" s="520"/>
      <c r="BA777" s="520"/>
      <c r="BB777" s="520"/>
      <c r="BC777" s="520"/>
      <c r="BD777" s="1123">
        <v>146.16999999999999</v>
      </c>
      <c r="BE777" s="520"/>
      <c r="BF777" s="520"/>
      <c r="BG777" s="520"/>
      <c r="BH777" s="520"/>
      <c r="BI777" s="1122"/>
      <c r="BJ777" s="520"/>
      <c r="BK777" s="520"/>
      <c r="BL777" s="520"/>
      <c r="BM777" s="520"/>
      <c r="BN777" s="1122"/>
      <c r="BO777" s="520"/>
      <c r="BP777" s="520"/>
      <c r="BQ777" s="520"/>
      <c r="BR777" s="520"/>
      <c r="BS777" s="1122"/>
      <c r="BT777" s="728"/>
      <c r="BU777" s="520"/>
      <c r="BV777" s="520"/>
      <c r="BW777" s="520"/>
      <c r="BX777" s="1122"/>
      <c r="BY777" s="520"/>
      <c r="BZ777" s="520"/>
      <c r="CA777" s="520"/>
      <c r="CB777" s="520"/>
      <c r="CC777" s="1122"/>
      <c r="CD777" s="1122"/>
      <c r="CE777" s="1122"/>
      <c r="CF777" s="1122"/>
      <c r="CG777" s="519"/>
    </row>
    <row r="778" spans="1:85" s="614" customFormat="1" x14ac:dyDescent="0.3">
      <c r="A778" s="522"/>
      <c r="B778" s="352"/>
      <c r="C778" s="1094"/>
      <c r="D778" s="1094"/>
      <c r="E778" s="1094"/>
      <c r="F778" s="1094"/>
      <c r="G778" s="197"/>
      <c r="H778" s="197"/>
      <c r="I778" s="197"/>
      <c r="J778" s="197"/>
      <c r="K778" s="1094"/>
      <c r="L778" s="197"/>
      <c r="M778" s="197"/>
      <c r="N778" s="197"/>
      <c r="O778" s="197"/>
      <c r="P778" s="1094"/>
      <c r="Q778" s="197"/>
      <c r="R778" s="197"/>
      <c r="S778" s="197"/>
      <c r="T778" s="197"/>
      <c r="U778" s="1094"/>
      <c r="V778" s="197"/>
      <c r="W778" s="197"/>
      <c r="X778" s="197"/>
      <c r="Y778" s="197"/>
      <c r="Z778" s="1094"/>
      <c r="AA778" s="197"/>
      <c r="AB778" s="197"/>
      <c r="AC778" s="197"/>
      <c r="AD778" s="197"/>
      <c r="AE778" s="1094"/>
      <c r="AF778" s="197"/>
      <c r="AG778" s="197"/>
      <c r="AH778" s="197"/>
      <c r="AI778" s="197"/>
      <c r="AJ778" s="1094"/>
      <c r="AK778" s="197"/>
      <c r="AL778" s="197"/>
      <c r="AM778" s="197"/>
      <c r="AN778" s="197"/>
      <c r="AO778" s="1094"/>
      <c r="AP778" s="197"/>
      <c r="AQ778" s="197"/>
      <c r="AR778" s="197"/>
      <c r="AS778" s="197"/>
      <c r="AT778" s="198"/>
      <c r="AU778" s="197"/>
      <c r="AV778" s="197"/>
      <c r="AW778" s="197"/>
      <c r="AX778" s="197"/>
      <c r="AY778" s="198"/>
      <c r="AZ778" s="197"/>
      <c r="BA778" s="197"/>
      <c r="BB778" s="197"/>
      <c r="BC778" s="197"/>
      <c r="BD778" s="198"/>
      <c r="BE778" s="197"/>
      <c r="BF778" s="197"/>
      <c r="BG778" s="197"/>
      <c r="BH778" s="197"/>
      <c r="BI778" s="1094"/>
      <c r="BJ778" s="197"/>
      <c r="BK778" s="197"/>
      <c r="BL778" s="197"/>
      <c r="BM778" s="197"/>
      <c r="BN778" s="1094"/>
      <c r="BO778" s="197"/>
      <c r="BP778" s="197"/>
      <c r="BQ778" s="197"/>
      <c r="BR778" s="197"/>
      <c r="BS778" s="1094"/>
      <c r="BT778" s="727"/>
      <c r="BU778" s="197"/>
      <c r="BV778" s="197"/>
      <c r="BW778" s="197"/>
      <c r="BX778" s="1094"/>
      <c r="BY778" s="197"/>
      <c r="BZ778" s="197"/>
      <c r="CA778" s="197"/>
      <c r="CB778" s="197"/>
      <c r="CC778" s="1094"/>
      <c r="CD778" s="1094"/>
      <c r="CE778" s="1094"/>
      <c r="CF778" s="1094"/>
      <c r="CG778" s="349"/>
    </row>
    <row r="779" spans="1:85" s="613" customFormat="1" x14ac:dyDescent="0.3">
      <c r="A779" s="478" t="s">
        <v>1576</v>
      </c>
      <c r="B779" s="523"/>
      <c r="C779" s="78"/>
      <c r="D779" s="78"/>
      <c r="E779" s="78"/>
      <c r="F779" s="78"/>
      <c r="G779" s="774"/>
      <c r="H779" s="774"/>
      <c r="I779" s="774"/>
      <c r="J779" s="774"/>
      <c r="K779" s="78"/>
      <c r="L779" s="774"/>
      <c r="M779" s="774"/>
      <c r="N779" s="774"/>
      <c r="O779" s="774"/>
      <c r="P779" s="78"/>
      <c r="Q779" s="774"/>
      <c r="R779" s="774"/>
      <c r="S779" s="774"/>
      <c r="T779" s="774"/>
      <c r="U779" s="78"/>
      <c r="V779" s="774"/>
      <c r="W779" s="774"/>
      <c r="X779" s="774"/>
      <c r="Y779" s="774"/>
      <c r="Z779" s="78"/>
      <c r="AA779" s="774"/>
      <c r="AB779" s="774"/>
      <c r="AC779" s="774"/>
      <c r="AD779" s="774"/>
      <c r="AE779" s="78"/>
      <c r="AF779" s="774"/>
      <c r="AG779" s="774"/>
      <c r="AH779" s="774"/>
      <c r="AI779" s="774"/>
      <c r="AJ779" s="78"/>
      <c r="AK779" s="774"/>
      <c r="AL779" s="774"/>
      <c r="AM779" s="774"/>
      <c r="AN779" s="774"/>
      <c r="AO779" s="78"/>
      <c r="AP779" s="774"/>
      <c r="AQ779" s="774"/>
      <c r="AR779" s="774"/>
      <c r="AS779" s="774"/>
      <c r="AT779" s="1119">
        <v>3.891</v>
      </c>
      <c r="AU779" s="774"/>
      <c r="AV779" s="774"/>
      <c r="AW779" s="774"/>
      <c r="AX779" s="774"/>
      <c r="AY779" s="1119">
        <v>3.891</v>
      </c>
      <c r="AZ779" s="774"/>
      <c r="BA779" s="774"/>
      <c r="BB779" s="774"/>
      <c r="BC779" s="774"/>
      <c r="BD779" s="1119">
        <v>3.891</v>
      </c>
      <c r="BE779" s="774"/>
      <c r="BF779" s="774"/>
      <c r="BG779" s="774"/>
      <c r="BH779" s="774"/>
      <c r="BI779" s="78"/>
      <c r="BJ779" s="774"/>
      <c r="BK779" s="774"/>
      <c r="BL779" s="774"/>
      <c r="BM779" s="774"/>
      <c r="BN779" s="78"/>
      <c r="BO779" s="774"/>
      <c r="BP779" s="774"/>
      <c r="BQ779" s="774"/>
      <c r="BR779" s="774"/>
      <c r="BS779" s="78"/>
      <c r="BT779" s="775"/>
      <c r="BU779" s="774"/>
      <c r="BV779" s="774"/>
      <c r="BW779" s="774"/>
      <c r="BX779" s="78"/>
      <c r="BY779" s="774"/>
      <c r="BZ779" s="774"/>
      <c r="CA779" s="774"/>
      <c r="CB779" s="774"/>
      <c r="CC779" s="78"/>
      <c r="CD779" s="78"/>
      <c r="CE779" s="78"/>
      <c r="CF779" s="78"/>
      <c r="CG779" s="532"/>
    </row>
    <row r="780" spans="1:85" s="615" customFormat="1" x14ac:dyDescent="0.3">
      <c r="A780" s="522" t="s">
        <v>1575</v>
      </c>
      <c r="B780" s="521"/>
      <c r="C780" s="1122"/>
      <c r="D780" s="1122"/>
      <c r="E780" s="1122"/>
      <c r="F780" s="1122"/>
      <c r="G780" s="520"/>
      <c r="H780" s="520"/>
      <c r="I780" s="520"/>
      <c r="J780" s="520"/>
      <c r="K780" s="1122"/>
      <c r="L780" s="520"/>
      <c r="M780" s="520"/>
      <c r="N780" s="520"/>
      <c r="O780" s="520"/>
      <c r="P780" s="1122"/>
      <c r="Q780" s="520"/>
      <c r="R780" s="520"/>
      <c r="S780" s="520"/>
      <c r="T780" s="520"/>
      <c r="U780" s="1122"/>
      <c r="V780" s="520"/>
      <c r="W780" s="520"/>
      <c r="X780" s="520"/>
      <c r="Y780" s="520"/>
      <c r="Z780" s="1122"/>
      <c r="AA780" s="520"/>
      <c r="AB780" s="520"/>
      <c r="AC780" s="520"/>
      <c r="AD780" s="520"/>
      <c r="AE780" s="1122"/>
      <c r="AF780" s="520"/>
      <c r="AG780" s="520"/>
      <c r="AH780" s="520"/>
      <c r="AI780" s="520"/>
      <c r="AJ780" s="1122"/>
      <c r="AK780" s="520"/>
      <c r="AL780" s="520"/>
      <c r="AM780" s="520"/>
      <c r="AN780" s="520"/>
      <c r="AO780" s="1122"/>
      <c r="AP780" s="520"/>
      <c r="AQ780" s="520"/>
      <c r="AR780" s="520"/>
      <c r="AS780" s="520"/>
      <c r="AT780" s="1123">
        <v>182.03</v>
      </c>
      <c r="AU780" s="520"/>
      <c r="AV780" s="520"/>
      <c r="AW780" s="520"/>
      <c r="AX780" s="520"/>
      <c r="AY780" s="1123">
        <v>182.03</v>
      </c>
      <c r="AZ780" s="520"/>
      <c r="BA780" s="520"/>
      <c r="BB780" s="520"/>
      <c r="BC780" s="520"/>
      <c r="BD780" s="1123">
        <v>182.03</v>
      </c>
      <c r="BE780" s="520"/>
      <c r="BF780" s="520"/>
      <c r="BG780" s="520"/>
      <c r="BH780" s="520"/>
      <c r="BI780" s="1122"/>
      <c r="BJ780" s="520"/>
      <c r="BK780" s="520"/>
      <c r="BL780" s="520"/>
      <c r="BM780" s="520"/>
      <c r="BN780" s="1122"/>
      <c r="BO780" s="520"/>
      <c r="BP780" s="520"/>
      <c r="BQ780" s="520"/>
      <c r="BR780" s="520"/>
      <c r="BS780" s="1122"/>
      <c r="BT780" s="728"/>
      <c r="BU780" s="520"/>
      <c r="BV780" s="520"/>
      <c r="BW780" s="520"/>
      <c r="BX780" s="1122"/>
      <c r="BY780" s="520"/>
      <c r="BZ780" s="520"/>
      <c r="CA780" s="520"/>
      <c r="CB780" s="520"/>
      <c r="CC780" s="1122"/>
      <c r="CD780" s="1122"/>
      <c r="CE780" s="1122"/>
      <c r="CF780" s="1122"/>
      <c r="CG780" s="519"/>
    </row>
    <row r="781" spans="1:85" s="614" customFormat="1" x14ac:dyDescent="0.3">
      <c r="A781" s="522"/>
      <c r="B781" s="352"/>
      <c r="C781" s="1094"/>
      <c r="D781" s="1094"/>
      <c r="E781" s="1094"/>
      <c r="F781" s="1094"/>
      <c r="G781" s="197"/>
      <c r="H781" s="197"/>
      <c r="I781" s="197"/>
      <c r="J781" s="197"/>
      <c r="K781" s="1094"/>
      <c r="L781" s="197"/>
      <c r="M781" s="197"/>
      <c r="N781" s="197"/>
      <c r="O781" s="197"/>
      <c r="P781" s="1094"/>
      <c r="Q781" s="197"/>
      <c r="R781" s="197"/>
      <c r="S781" s="197"/>
      <c r="T781" s="197"/>
      <c r="U781" s="1094"/>
      <c r="V781" s="197"/>
      <c r="W781" s="197"/>
      <c r="X781" s="197"/>
      <c r="Y781" s="197"/>
      <c r="Z781" s="1094"/>
      <c r="AA781" s="197"/>
      <c r="AB781" s="197"/>
      <c r="AC781" s="197"/>
      <c r="AD781" s="197"/>
      <c r="AE781" s="1094"/>
      <c r="AF781" s="197"/>
      <c r="AG781" s="197"/>
      <c r="AH781" s="197"/>
      <c r="AI781" s="197"/>
      <c r="AJ781" s="1094"/>
      <c r="AK781" s="197"/>
      <c r="AL781" s="197"/>
      <c r="AM781" s="197"/>
      <c r="AN781" s="197"/>
      <c r="AO781" s="1094"/>
      <c r="AP781" s="197"/>
      <c r="AQ781" s="197"/>
      <c r="AR781" s="197"/>
      <c r="AS781" s="197"/>
      <c r="AT781" s="198"/>
      <c r="AU781" s="197"/>
      <c r="AV781" s="197"/>
      <c r="AW781" s="197"/>
      <c r="AX781" s="197"/>
      <c r="AY781" s="198"/>
      <c r="AZ781" s="197"/>
      <c r="BA781" s="197"/>
      <c r="BB781" s="197"/>
      <c r="BC781" s="197"/>
      <c r="BD781" s="198"/>
      <c r="BE781" s="197"/>
      <c r="BF781" s="197"/>
      <c r="BG781" s="197"/>
      <c r="BH781" s="197"/>
      <c r="BI781" s="1094"/>
      <c r="BJ781" s="197"/>
      <c r="BK781" s="197"/>
      <c r="BL781" s="197"/>
      <c r="BM781" s="197"/>
      <c r="BN781" s="1094"/>
      <c r="BO781" s="197"/>
      <c r="BP781" s="197"/>
      <c r="BQ781" s="197"/>
      <c r="BR781" s="197"/>
      <c r="BS781" s="1094"/>
      <c r="BT781" s="727"/>
      <c r="BU781" s="197"/>
      <c r="BV781" s="197"/>
      <c r="BW781" s="197"/>
      <c r="BX781" s="1094"/>
      <c r="BY781" s="197"/>
      <c r="BZ781" s="197"/>
      <c r="CA781" s="197"/>
      <c r="CB781" s="197"/>
      <c r="CC781" s="1094"/>
      <c r="CD781" s="1094"/>
      <c r="CE781" s="1094"/>
      <c r="CF781" s="1094"/>
      <c r="CG781" s="349"/>
    </row>
    <row r="782" spans="1:85" s="613" customFormat="1" x14ac:dyDescent="0.3">
      <c r="A782" s="478" t="s">
        <v>1574</v>
      </c>
      <c r="B782" s="523"/>
      <c r="C782" s="78"/>
      <c r="D782" s="78"/>
      <c r="E782" s="78"/>
      <c r="F782" s="78"/>
      <c r="G782" s="774"/>
      <c r="H782" s="774"/>
      <c r="I782" s="774"/>
      <c r="J782" s="774"/>
      <c r="K782" s="78"/>
      <c r="L782" s="774"/>
      <c r="M782" s="774"/>
      <c r="N782" s="774"/>
      <c r="O782" s="774"/>
      <c r="P782" s="78"/>
      <c r="Q782" s="774"/>
      <c r="R782" s="774"/>
      <c r="S782" s="774"/>
      <c r="T782" s="774"/>
      <c r="U782" s="78"/>
      <c r="V782" s="774"/>
      <c r="W782" s="774"/>
      <c r="X782" s="774"/>
      <c r="Y782" s="774"/>
      <c r="Z782" s="78"/>
      <c r="AA782" s="774"/>
      <c r="AB782" s="774"/>
      <c r="AC782" s="774"/>
      <c r="AD782" s="774"/>
      <c r="AE782" s="78"/>
      <c r="AF782" s="774"/>
      <c r="AG782" s="774"/>
      <c r="AH782" s="774"/>
      <c r="AI782" s="774"/>
      <c r="AJ782" s="78"/>
      <c r="AK782" s="774"/>
      <c r="AL782" s="774"/>
      <c r="AM782" s="774"/>
      <c r="AN782" s="774"/>
      <c r="AO782" s="78"/>
      <c r="AP782" s="774"/>
      <c r="AQ782" s="774"/>
      <c r="AR782" s="774"/>
      <c r="AS782" s="774"/>
      <c r="AT782" s="1119">
        <v>4.0540000000000003</v>
      </c>
      <c r="AU782" s="774"/>
      <c r="AV782" s="774"/>
      <c r="AW782" s="774"/>
      <c r="AX782" s="774"/>
      <c r="AY782" s="1119">
        <v>4.0540000000000003</v>
      </c>
      <c r="AZ782" s="774"/>
      <c r="BA782" s="774"/>
      <c r="BB782" s="774"/>
      <c r="BC782" s="774"/>
      <c r="BD782" s="1119">
        <v>4.0540000000000003</v>
      </c>
      <c r="BE782" s="774"/>
      <c r="BF782" s="774"/>
      <c r="BG782" s="774"/>
      <c r="BH782" s="774"/>
      <c r="BI782" s="78"/>
      <c r="BJ782" s="774"/>
      <c r="BK782" s="774"/>
      <c r="BL782" s="774"/>
      <c r="BM782" s="774"/>
      <c r="BN782" s="78"/>
      <c r="BO782" s="774"/>
      <c r="BP782" s="774"/>
      <c r="BQ782" s="774"/>
      <c r="BR782" s="774"/>
      <c r="BS782" s="78"/>
      <c r="BT782" s="775"/>
      <c r="BU782" s="774"/>
      <c r="BV782" s="774"/>
      <c r="BW782" s="774"/>
      <c r="BX782" s="78"/>
      <c r="BY782" s="774"/>
      <c r="BZ782" s="774"/>
      <c r="CA782" s="774"/>
      <c r="CB782" s="774"/>
      <c r="CC782" s="78"/>
      <c r="CD782" s="78"/>
      <c r="CE782" s="78"/>
      <c r="CF782" s="78"/>
      <c r="CG782" s="532"/>
    </row>
    <row r="783" spans="1:85" s="615" customFormat="1" x14ac:dyDescent="0.3">
      <c r="A783" s="522" t="s">
        <v>1573</v>
      </c>
      <c r="B783" s="521"/>
      <c r="C783" s="1122"/>
      <c r="D783" s="1122"/>
      <c r="E783" s="1122"/>
      <c r="F783" s="1122"/>
      <c r="G783" s="520"/>
      <c r="H783" s="520"/>
      <c r="I783" s="520"/>
      <c r="J783" s="520"/>
      <c r="K783" s="1122"/>
      <c r="L783" s="520"/>
      <c r="M783" s="520"/>
      <c r="N783" s="520"/>
      <c r="O783" s="520"/>
      <c r="P783" s="1122"/>
      <c r="Q783" s="520"/>
      <c r="R783" s="520"/>
      <c r="S783" s="520"/>
      <c r="T783" s="520"/>
      <c r="U783" s="1122"/>
      <c r="V783" s="520"/>
      <c r="W783" s="520"/>
      <c r="X783" s="520"/>
      <c r="Y783" s="520"/>
      <c r="Z783" s="1122"/>
      <c r="AA783" s="520"/>
      <c r="AB783" s="520"/>
      <c r="AC783" s="520"/>
      <c r="AD783" s="520"/>
      <c r="AE783" s="1122"/>
      <c r="AF783" s="520"/>
      <c r="AG783" s="520"/>
      <c r="AH783" s="520"/>
      <c r="AI783" s="520"/>
      <c r="AJ783" s="1122"/>
      <c r="AK783" s="520"/>
      <c r="AL783" s="520"/>
      <c r="AM783" s="520"/>
      <c r="AN783" s="520"/>
      <c r="AO783" s="1122"/>
      <c r="AP783" s="520"/>
      <c r="AQ783" s="520"/>
      <c r="AR783" s="520"/>
      <c r="AS783" s="520"/>
      <c r="AT783" s="1123">
        <v>174.74</v>
      </c>
      <c r="AU783" s="520"/>
      <c r="AV783" s="520"/>
      <c r="AW783" s="520"/>
      <c r="AX783" s="520"/>
      <c r="AY783" s="1123">
        <v>174.74</v>
      </c>
      <c r="AZ783" s="520"/>
      <c r="BA783" s="520"/>
      <c r="BB783" s="520"/>
      <c r="BC783" s="520"/>
      <c r="BD783" s="1123">
        <v>174.74</v>
      </c>
      <c r="BE783" s="520"/>
      <c r="BF783" s="520"/>
      <c r="BG783" s="520"/>
      <c r="BH783" s="520"/>
      <c r="BI783" s="1122"/>
      <c r="BJ783" s="520"/>
      <c r="BK783" s="520"/>
      <c r="BL783" s="520"/>
      <c r="BM783" s="520"/>
      <c r="BN783" s="1122"/>
      <c r="BO783" s="520"/>
      <c r="BP783" s="520"/>
      <c r="BQ783" s="520"/>
      <c r="BR783" s="520"/>
      <c r="BS783" s="1122"/>
      <c r="BT783" s="728"/>
      <c r="BU783" s="520"/>
      <c r="BV783" s="520"/>
      <c r="BW783" s="520"/>
      <c r="BX783" s="1122"/>
      <c r="BY783" s="520"/>
      <c r="BZ783" s="520"/>
      <c r="CA783" s="520"/>
      <c r="CB783" s="520"/>
      <c r="CC783" s="1122"/>
      <c r="CD783" s="1122"/>
      <c r="CE783" s="1122"/>
      <c r="CF783" s="1122"/>
      <c r="CG783" s="519"/>
    </row>
    <row r="784" spans="1:85" s="614" customFormat="1" x14ac:dyDescent="0.3">
      <c r="A784" s="522"/>
      <c r="B784" s="352"/>
      <c r="C784" s="1094"/>
      <c r="D784" s="1094"/>
      <c r="E784" s="1094"/>
      <c r="F784" s="1094"/>
      <c r="G784" s="197"/>
      <c r="H784" s="197"/>
      <c r="I784" s="197"/>
      <c r="J784" s="197"/>
      <c r="K784" s="1094"/>
      <c r="L784" s="197"/>
      <c r="M784" s="197"/>
      <c r="N784" s="197"/>
      <c r="O784" s="197"/>
      <c r="P784" s="1094"/>
      <c r="Q784" s="197"/>
      <c r="R784" s="197"/>
      <c r="S784" s="197"/>
      <c r="T784" s="197"/>
      <c r="U784" s="1094"/>
      <c r="V784" s="197"/>
      <c r="W784" s="197"/>
      <c r="X784" s="197"/>
      <c r="Y784" s="197"/>
      <c r="Z784" s="1094"/>
      <c r="AA784" s="197"/>
      <c r="AB784" s="197"/>
      <c r="AC784" s="197"/>
      <c r="AD784" s="197"/>
      <c r="AE784" s="1094"/>
      <c r="AF784" s="197"/>
      <c r="AG784" s="197"/>
      <c r="AH784" s="197"/>
      <c r="AI784" s="197"/>
      <c r="AJ784" s="1094"/>
      <c r="AK784" s="197"/>
      <c r="AL784" s="197"/>
      <c r="AM784" s="197"/>
      <c r="AN784" s="197"/>
      <c r="AO784" s="1094"/>
      <c r="AP784" s="197"/>
      <c r="AQ784" s="197"/>
      <c r="AR784" s="197"/>
      <c r="AS784" s="197"/>
      <c r="AT784" s="198"/>
      <c r="AU784" s="197"/>
      <c r="AV784" s="197"/>
      <c r="AW784" s="197"/>
      <c r="AX784" s="197"/>
      <c r="AY784" s="198"/>
      <c r="AZ784" s="197"/>
      <c r="BA784" s="197"/>
      <c r="BB784" s="197"/>
      <c r="BC784" s="197"/>
      <c r="BD784" s="198"/>
      <c r="BE784" s="197"/>
      <c r="BF784" s="197"/>
      <c r="BG784" s="197"/>
      <c r="BH784" s="197"/>
      <c r="BI784" s="1094"/>
      <c r="BJ784" s="197"/>
      <c r="BK784" s="197"/>
      <c r="BL784" s="197"/>
      <c r="BM784" s="197"/>
      <c r="BN784" s="1094"/>
      <c r="BO784" s="197"/>
      <c r="BP784" s="197"/>
      <c r="BQ784" s="197"/>
      <c r="BR784" s="197"/>
      <c r="BS784" s="1094"/>
      <c r="BT784" s="727"/>
      <c r="BU784" s="197"/>
      <c r="BV784" s="197"/>
      <c r="BW784" s="197"/>
      <c r="BX784" s="1094"/>
      <c r="BY784" s="197"/>
      <c r="BZ784" s="197"/>
      <c r="CA784" s="197"/>
      <c r="CB784" s="197"/>
      <c r="CC784" s="1094"/>
      <c r="CD784" s="1094"/>
      <c r="CE784" s="1094"/>
      <c r="CF784" s="1094"/>
      <c r="CG784" s="349"/>
    </row>
    <row r="785" spans="1:85" s="613" customFormat="1" x14ac:dyDescent="0.3">
      <c r="A785" s="478" t="s">
        <v>1572</v>
      </c>
      <c r="B785" s="523"/>
      <c r="C785" s="78"/>
      <c r="D785" s="78"/>
      <c r="E785" s="78"/>
      <c r="F785" s="78"/>
      <c r="G785" s="774"/>
      <c r="H785" s="774"/>
      <c r="I785" s="774"/>
      <c r="J785" s="774"/>
      <c r="K785" s="78"/>
      <c r="L785" s="774"/>
      <c r="M785" s="774"/>
      <c r="N785" s="774"/>
      <c r="O785" s="774"/>
      <c r="P785" s="78"/>
      <c r="Q785" s="774"/>
      <c r="R785" s="774"/>
      <c r="S785" s="774"/>
      <c r="T785" s="774"/>
      <c r="U785" s="78"/>
      <c r="V785" s="774"/>
      <c r="W785" s="774"/>
      <c r="X785" s="774"/>
      <c r="Y785" s="774"/>
      <c r="Z785" s="78"/>
      <c r="AA785" s="774"/>
      <c r="AB785" s="774"/>
      <c r="AC785" s="774"/>
      <c r="AD785" s="774"/>
      <c r="AE785" s="78"/>
      <c r="AF785" s="774"/>
      <c r="AG785" s="774"/>
      <c r="AH785" s="774"/>
      <c r="AI785" s="774"/>
      <c r="AJ785" s="78"/>
      <c r="AK785" s="774"/>
      <c r="AL785" s="774"/>
      <c r="AM785" s="774"/>
      <c r="AN785" s="774"/>
      <c r="AO785" s="78"/>
      <c r="AP785" s="774"/>
      <c r="AQ785" s="774"/>
      <c r="AR785" s="774"/>
      <c r="AS785" s="774"/>
      <c r="AT785" s="1119">
        <v>4.0010000000000003</v>
      </c>
      <c r="AU785" s="774"/>
      <c r="AV785" s="774"/>
      <c r="AW785" s="774"/>
      <c r="AX785" s="774"/>
      <c r="AY785" s="1119">
        <v>4.0010000000000003</v>
      </c>
      <c r="AZ785" s="774"/>
      <c r="BA785" s="774"/>
      <c r="BB785" s="774"/>
      <c r="BC785" s="774"/>
      <c r="BD785" s="1119">
        <v>4.0010000000000003</v>
      </c>
      <c r="BE785" s="774"/>
      <c r="BF785" s="774"/>
      <c r="BG785" s="774"/>
      <c r="BH785" s="774"/>
      <c r="BI785" s="78"/>
      <c r="BJ785" s="774"/>
      <c r="BK785" s="774"/>
      <c r="BL785" s="774"/>
      <c r="BM785" s="774"/>
      <c r="BN785" s="78"/>
      <c r="BO785" s="774"/>
      <c r="BP785" s="774"/>
      <c r="BQ785" s="774"/>
      <c r="BR785" s="774"/>
      <c r="BS785" s="78"/>
      <c r="BT785" s="775"/>
      <c r="BU785" s="774"/>
      <c r="BV785" s="774"/>
      <c r="BW785" s="774"/>
      <c r="BX785" s="78"/>
      <c r="BY785" s="774"/>
      <c r="BZ785" s="774"/>
      <c r="CA785" s="774"/>
      <c r="CB785" s="774"/>
      <c r="CC785" s="78"/>
      <c r="CD785" s="78"/>
      <c r="CE785" s="78"/>
      <c r="CF785" s="78"/>
      <c r="CG785" s="532"/>
    </row>
    <row r="786" spans="1:85" s="615" customFormat="1" x14ac:dyDescent="0.3">
      <c r="A786" s="522" t="s">
        <v>1571</v>
      </c>
      <c r="B786" s="521"/>
      <c r="C786" s="1122"/>
      <c r="D786" s="1122"/>
      <c r="E786" s="1122"/>
      <c r="F786" s="1122"/>
      <c r="G786" s="520"/>
      <c r="H786" s="520"/>
      <c r="I786" s="520"/>
      <c r="J786" s="520"/>
      <c r="K786" s="1122"/>
      <c r="L786" s="520"/>
      <c r="M786" s="520"/>
      <c r="N786" s="520"/>
      <c r="O786" s="520"/>
      <c r="P786" s="1122"/>
      <c r="Q786" s="520"/>
      <c r="R786" s="520"/>
      <c r="S786" s="520"/>
      <c r="T786" s="520"/>
      <c r="U786" s="1122"/>
      <c r="V786" s="520"/>
      <c r="W786" s="520"/>
      <c r="X786" s="520"/>
      <c r="Y786" s="520"/>
      <c r="Z786" s="1122"/>
      <c r="AA786" s="520"/>
      <c r="AB786" s="520"/>
      <c r="AC786" s="520"/>
      <c r="AD786" s="520"/>
      <c r="AE786" s="1122"/>
      <c r="AF786" s="520"/>
      <c r="AG786" s="520"/>
      <c r="AH786" s="520"/>
      <c r="AI786" s="520"/>
      <c r="AJ786" s="1122"/>
      <c r="AK786" s="520"/>
      <c r="AL786" s="520"/>
      <c r="AM786" s="520"/>
      <c r="AN786" s="520"/>
      <c r="AO786" s="1122"/>
      <c r="AP786" s="520"/>
      <c r="AQ786" s="520"/>
      <c r="AR786" s="520"/>
      <c r="AS786" s="520"/>
      <c r="AT786" s="1123">
        <v>177.01</v>
      </c>
      <c r="AU786" s="520"/>
      <c r="AV786" s="520"/>
      <c r="AW786" s="520"/>
      <c r="AX786" s="520"/>
      <c r="AY786" s="1123">
        <v>177.01</v>
      </c>
      <c r="AZ786" s="520"/>
      <c r="BA786" s="520"/>
      <c r="BB786" s="520"/>
      <c r="BC786" s="520"/>
      <c r="BD786" s="1123">
        <v>177.01</v>
      </c>
      <c r="BE786" s="520"/>
      <c r="BF786" s="520"/>
      <c r="BG786" s="520"/>
      <c r="BH786" s="520"/>
      <c r="BI786" s="1122"/>
      <c r="BJ786" s="520"/>
      <c r="BK786" s="520"/>
      <c r="BL786" s="520"/>
      <c r="BM786" s="520"/>
      <c r="BN786" s="1122"/>
      <c r="BO786" s="520"/>
      <c r="BP786" s="520"/>
      <c r="BQ786" s="520"/>
      <c r="BR786" s="520"/>
      <c r="BS786" s="1122"/>
      <c r="BT786" s="728"/>
      <c r="BU786" s="520"/>
      <c r="BV786" s="520"/>
      <c r="BW786" s="520"/>
      <c r="BX786" s="1122"/>
      <c r="BY786" s="520"/>
      <c r="BZ786" s="520"/>
      <c r="CA786" s="520"/>
      <c r="CB786" s="520"/>
      <c r="CC786" s="1122"/>
      <c r="CD786" s="1122"/>
      <c r="CE786" s="1122"/>
      <c r="CF786" s="1122"/>
      <c r="CG786" s="519"/>
    </row>
    <row r="787" spans="1:85" s="614" customFormat="1" x14ac:dyDescent="0.3">
      <c r="A787" s="522"/>
      <c r="B787" s="352"/>
      <c r="C787" s="1094"/>
      <c r="D787" s="1094"/>
      <c r="E787" s="1094"/>
      <c r="F787" s="1094"/>
      <c r="G787" s="197"/>
      <c r="H787" s="197"/>
      <c r="I787" s="197"/>
      <c r="J787" s="197"/>
      <c r="K787" s="1094"/>
      <c r="L787" s="197"/>
      <c r="M787" s="197"/>
      <c r="N787" s="197"/>
      <c r="O787" s="197"/>
      <c r="P787" s="1094"/>
      <c r="Q787" s="197"/>
      <c r="R787" s="197"/>
      <c r="S787" s="197"/>
      <c r="T787" s="197"/>
      <c r="U787" s="1094"/>
      <c r="V787" s="197"/>
      <c r="W787" s="197"/>
      <c r="X787" s="197"/>
      <c r="Y787" s="197"/>
      <c r="Z787" s="1094"/>
      <c r="AA787" s="197"/>
      <c r="AB787" s="197"/>
      <c r="AC787" s="197"/>
      <c r="AD787" s="197"/>
      <c r="AE787" s="1094"/>
      <c r="AF787" s="197"/>
      <c r="AG787" s="197"/>
      <c r="AH787" s="197"/>
      <c r="AI787" s="197"/>
      <c r="AJ787" s="1094"/>
      <c r="AK787" s="197"/>
      <c r="AL787" s="197"/>
      <c r="AM787" s="197"/>
      <c r="AN787" s="197"/>
      <c r="AO787" s="1094"/>
      <c r="AP787" s="197"/>
      <c r="AQ787" s="197"/>
      <c r="AR787" s="197"/>
      <c r="AS787" s="197"/>
      <c r="AT787" s="198"/>
      <c r="AU787" s="197"/>
      <c r="AV787" s="197"/>
      <c r="AW787" s="197"/>
      <c r="AX787" s="197"/>
      <c r="AY787" s="198"/>
      <c r="AZ787" s="197"/>
      <c r="BA787" s="197"/>
      <c r="BB787" s="197"/>
      <c r="BC787" s="197"/>
      <c r="BD787" s="198"/>
      <c r="BE787" s="197"/>
      <c r="BF787" s="197"/>
      <c r="BG787" s="197"/>
      <c r="BH787" s="197"/>
      <c r="BI787" s="1094"/>
      <c r="BJ787" s="197"/>
      <c r="BK787" s="197"/>
      <c r="BL787" s="197"/>
      <c r="BM787" s="197"/>
      <c r="BN787" s="1094"/>
      <c r="BO787" s="197"/>
      <c r="BP787" s="197"/>
      <c r="BQ787" s="197"/>
      <c r="BR787" s="197"/>
      <c r="BS787" s="1094"/>
      <c r="BT787" s="727"/>
      <c r="BU787" s="197"/>
      <c r="BV787" s="197"/>
      <c r="BW787" s="197"/>
      <c r="BX787" s="1094"/>
      <c r="BY787" s="197"/>
      <c r="BZ787" s="197"/>
      <c r="CA787" s="197"/>
      <c r="CB787" s="197"/>
      <c r="CC787" s="1094"/>
      <c r="CD787" s="1094"/>
      <c r="CE787" s="1094"/>
      <c r="CF787" s="1094"/>
      <c r="CG787" s="349"/>
    </row>
    <row r="788" spans="1:85" s="613" customFormat="1" x14ac:dyDescent="0.3">
      <c r="A788" s="478" t="s">
        <v>1570</v>
      </c>
      <c r="B788" s="523"/>
      <c r="C788" s="78"/>
      <c r="D788" s="78"/>
      <c r="E788" s="78"/>
      <c r="F788" s="78"/>
      <c r="G788" s="774"/>
      <c r="H788" s="774"/>
      <c r="I788" s="774"/>
      <c r="J788" s="774"/>
      <c r="K788" s="78"/>
      <c r="L788" s="774"/>
      <c r="M788" s="774"/>
      <c r="N788" s="774"/>
      <c r="O788" s="774"/>
      <c r="P788" s="78"/>
      <c r="Q788" s="774"/>
      <c r="R788" s="774"/>
      <c r="S788" s="774"/>
      <c r="T788" s="774"/>
      <c r="U788" s="78"/>
      <c r="V788" s="774"/>
      <c r="W788" s="774"/>
      <c r="X788" s="774"/>
      <c r="Y788" s="774"/>
      <c r="Z788" s="78"/>
      <c r="AA788" s="774"/>
      <c r="AB788" s="774"/>
      <c r="AC788" s="774"/>
      <c r="AD788" s="774"/>
      <c r="AE788" s="78"/>
      <c r="AF788" s="774"/>
      <c r="AG788" s="774"/>
      <c r="AH788" s="774"/>
      <c r="AI788" s="774"/>
      <c r="AJ788" s="78"/>
      <c r="AK788" s="774"/>
      <c r="AL788" s="774"/>
      <c r="AM788" s="774"/>
      <c r="AN788" s="774"/>
      <c r="AO788" s="78"/>
      <c r="AP788" s="774"/>
      <c r="AQ788" s="774"/>
      <c r="AR788" s="774"/>
      <c r="AS788" s="774"/>
      <c r="AT788" s="1119">
        <v>3.5779999999999998</v>
      </c>
      <c r="AU788" s="774"/>
      <c r="AV788" s="774"/>
      <c r="AW788" s="774"/>
      <c r="AX788" s="774"/>
      <c r="AY788" s="1119">
        <v>3.5779999999999998</v>
      </c>
      <c r="AZ788" s="774"/>
      <c r="BA788" s="774"/>
      <c r="BB788" s="774"/>
      <c r="BC788" s="774"/>
      <c r="BD788" s="1119">
        <v>3.5779999999999998</v>
      </c>
      <c r="BE788" s="774"/>
      <c r="BF788" s="774"/>
      <c r="BG788" s="774"/>
      <c r="BH788" s="774"/>
      <c r="BI788" s="78"/>
      <c r="BJ788" s="774"/>
      <c r="BK788" s="774"/>
      <c r="BL788" s="774"/>
      <c r="BM788" s="774"/>
      <c r="BN788" s="78"/>
      <c r="BO788" s="774"/>
      <c r="BP788" s="774"/>
      <c r="BQ788" s="774"/>
      <c r="BR788" s="774"/>
      <c r="BS788" s="78"/>
      <c r="BT788" s="775"/>
      <c r="BU788" s="774"/>
      <c r="BV788" s="774"/>
      <c r="BW788" s="774"/>
      <c r="BX788" s="78"/>
      <c r="BY788" s="774"/>
      <c r="BZ788" s="774"/>
      <c r="CA788" s="774"/>
      <c r="CB788" s="774"/>
      <c r="CC788" s="78"/>
      <c r="CD788" s="78"/>
      <c r="CE788" s="78"/>
      <c r="CF788" s="78"/>
      <c r="CG788" s="532"/>
    </row>
    <row r="789" spans="1:85" s="615" customFormat="1" x14ac:dyDescent="0.3">
      <c r="A789" s="522" t="s">
        <v>1569</v>
      </c>
      <c r="B789" s="521"/>
      <c r="C789" s="1122"/>
      <c r="D789" s="1122"/>
      <c r="E789" s="1122"/>
      <c r="F789" s="1122"/>
      <c r="G789" s="520"/>
      <c r="H789" s="520"/>
      <c r="I789" s="520"/>
      <c r="J789" s="520"/>
      <c r="K789" s="1122"/>
      <c r="L789" s="520"/>
      <c r="M789" s="520"/>
      <c r="N789" s="520"/>
      <c r="O789" s="520"/>
      <c r="P789" s="1122"/>
      <c r="Q789" s="520"/>
      <c r="R789" s="520"/>
      <c r="S789" s="520"/>
      <c r="T789" s="520"/>
      <c r="U789" s="1122"/>
      <c r="V789" s="520"/>
      <c r="W789" s="520"/>
      <c r="X789" s="520"/>
      <c r="Y789" s="520"/>
      <c r="Z789" s="1122"/>
      <c r="AA789" s="520"/>
      <c r="AB789" s="520"/>
      <c r="AC789" s="520"/>
      <c r="AD789" s="520"/>
      <c r="AE789" s="1122"/>
      <c r="AF789" s="520"/>
      <c r="AG789" s="520"/>
      <c r="AH789" s="520"/>
      <c r="AI789" s="520"/>
      <c r="AJ789" s="1122"/>
      <c r="AK789" s="520"/>
      <c r="AL789" s="520"/>
      <c r="AM789" s="520"/>
      <c r="AN789" s="520"/>
      <c r="AO789" s="1122"/>
      <c r="AP789" s="520"/>
      <c r="AQ789" s="520"/>
      <c r="AR789" s="520"/>
      <c r="AS789" s="520"/>
      <c r="AT789" s="1123">
        <v>198</v>
      </c>
      <c r="AU789" s="520"/>
      <c r="AV789" s="520"/>
      <c r="AW789" s="520"/>
      <c r="AX789" s="520"/>
      <c r="AY789" s="1123">
        <v>198</v>
      </c>
      <c r="AZ789" s="520"/>
      <c r="BA789" s="520"/>
      <c r="BB789" s="520"/>
      <c r="BC789" s="520"/>
      <c r="BD789" s="1123">
        <v>198</v>
      </c>
      <c r="BE789" s="520"/>
      <c r="BF789" s="520"/>
      <c r="BG789" s="520"/>
      <c r="BH789" s="520"/>
      <c r="BI789" s="1122"/>
      <c r="BJ789" s="520"/>
      <c r="BK789" s="520"/>
      <c r="BL789" s="520"/>
      <c r="BM789" s="520"/>
      <c r="BN789" s="1122"/>
      <c r="BO789" s="520"/>
      <c r="BP789" s="520"/>
      <c r="BQ789" s="520"/>
      <c r="BR789" s="520"/>
      <c r="BS789" s="1122"/>
      <c r="BT789" s="728"/>
      <c r="BU789" s="520"/>
      <c r="BV789" s="520"/>
      <c r="BW789" s="520"/>
      <c r="BX789" s="1122"/>
      <c r="BY789" s="520"/>
      <c r="BZ789" s="520"/>
      <c r="CA789" s="520"/>
      <c r="CB789" s="520"/>
      <c r="CC789" s="1122"/>
      <c r="CD789" s="1122"/>
      <c r="CE789" s="1122"/>
      <c r="CF789" s="1122"/>
      <c r="CG789" s="519"/>
    </row>
    <row r="790" spans="1:85" s="614" customFormat="1" x14ac:dyDescent="0.3">
      <c r="A790" s="522"/>
      <c r="B790" s="352"/>
      <c r="C790" s="1094"/>
      <c r="D790" s="1094"/>
      <c r="E790" s="1094"/>
      <c r="F790" s="1094"/>
      <c r="G790" s="197"/>
      <c r="H790" s="197"/>
      <c r="I790" s="197"/>
      <c r="J790" s="197"/>
      <c r="K790" s="1094"/>
      <c r="L790" s="197"/>
      <c r="M790" s="197"/>
      <c r="N790" s="197"/>
      <c r="O790" s="197"/>
      <c r="P790" s="1094"/>
      <c r="Q790" s="197"/>
      <c r="R790" s="197"/>
      <c r="S790" s="197"/>
      <c r="T790" s="197"/>
      <c r="U790" s="1094"/>
      <c r="V790" s="197"/>
      <c r="W790" s="197"/>
      <c r="X790" s="197"/>
      <c r="Y790" s="197"/>
      <c r="Z790" s="1094"/>
      <c r="AA790" s="197"/>
      <c r="AB790" s="197"/>
      <c r="AC790" s="197"/>
      <c r="AD790" s="197"/>
      <c r="AE790" s="1094"/>
      <c r="AF790" s="197"/>
      <c r="AG790" s="197"/>
      <c r="AH790" s="197"/>
      <c r="AI790" s="197"/>
      <c r="AJ790" s="1094"/>
      <c r="AK790" s="197"/>
      <c r="AL790" s="197"/>
      <c r="AM790" s="197"/>
      <c r="AN790" s="197"/>
      <c r="AO790" s="1094"/>
      <c r="AP790" s="197"/>
      <c r="AQ790" s="197"/>
      <c r="AR790" s="197"/>
      <c r="AS790" s="197"/>
      <c r="AT790" s="198"/>
      <c r="AU790" s="197"/>
      <c r="AV790" s="197"/>
      <c r="AW790" s="197"/>
      <c r="AX790" s="197"/>
      <c r="AY790" s="198"/>
      <c r="AZ790" s="197"/>
      <c r="BA790" s="197"/>
      <c r="BB790" s="197"/>
      <c r="BC790" s="197"/>
      <c r="BD790" s="198"/>
      <c r="BE790" s="197"/>
      <c r="BF790" s="197"/>
      <c r="BG790" s="197"/>
      <c r="BH790" s="197"/>
      <c r="BI790" s="1094"/>
      <c r="BJ790" s="197"/>
      <c r="BK790" s="197"/>
      <c r="BL790" s="197"/>
      <c r="BM790" s="197"/>
      <c r="BN790" s="1094"/>
      <c r="BO790" s="197"/>
      <c r="BP790" s="197"/>
      <c r="BQ790" s="197"/>
      <c r="BR790" s="197"/>
      <c r="BS790" s="1094"/>
      <c r="BT790" s="727"/>
      <c r="BU790" s="197"/>
      <c r="BV790" s="197"/>
      <c r="BW790" s="197"/>
      <c r="BX790" s="1094"/>
      <c r="BY790" s="197"/>
      <c r="BZ790" s="197"/>
      <c r="CA790" s="197"/>
      <c r="CB790" s="197"/>
      <c r="CC790" s="1094"/>
      <c r="CD790" s="1094"/>
      <c r="CE790" s="1094"/>
      <c r="CF790" s="1094"/>
      <c r="CG790" s="349"/>
    </row>
    <row r="791" spans="1:85" s="613" customFormat="1" x14ac:dyDescent="0.3">
      <c r="A791" s="478" t="s">
        <v>1568</v>
      </c>
      <c r="B791" s="523"/>
      <c r="C791" s="78"/>
      <c r="D791" s="78"/>
      <c r="E791" s="78"/>
      <c r="F791" s="78"/>
      <c r="G791" s="774"/>
      <c r="H791" s="774"/>
      <c r="I791" s="774"/>
      <c r="J791" s="774"/>
      <c r="K791" s="78"/>
      <c r="L791" s="774"/>
      <c r="M791" s="774"/>
      <c r="N791" s="774"/>
      <c r="O791" s="774"/>
      <c r="P791" s="78"/>
      <c r="Q791" s="774"/>
      <c r="R791" s="774"/>
      <c r="S791" s="774"/>
      <c r="T791" s="774"/>
      <c r="U791" s="78"/>
      <c r="V791" s="774"/>
      <c r="W791" s="774"/>
      <c r="X791" s="774"/>
      <c r="Y791" s="774"/>
      <c r="Z791" s="78"/>
      <c r="AA791" s="774"/>
      <c r="AB791" s="774"/>
      <c r="AC791" s="774"/>
      <c r="AD791" s="774"/>
      <c r="AE791" s="78"/>
      <c r="AF791" s="774"/>
      <c r="AG791" s="774"/>
      <c r="AH791" s="774"/>
      <c r="AI791" s="774"/>
      <c r="AJ791" s="78"/>
      <c r="AK791" s="774"/>
      <c r="AL791" s="774"/>
      <c r="AM791" s="774"/>
      <c r="AN791" s="774"/>
      <c r="AO791" s="78"/>
      <c r="AP791" s="774"/>
      <c r="AQ791" s="774"/>
      <c r="AR791" s="774"/>
      <c r="AS791" s="774"/>
      <c r="AT791" s="1119">
        <v>3.7909999999999999</v>
      </c>
      <c r="AU791" s="774"/>
      <c r="AV791" s="774"/>
      <c r="AW791" s="774"/>
      <c r="AX791" s="774"/>
      <c r="AY791" s="1119">
        <v>3.7909999999999999</v>
      </c>
      <c r="AZ791" s="774"/>
      <c r="BA791" s="774"/>
      <c r="BB791" s="774"/>
      <c r="BC791" s="774"/>
      <c r="BD791" s="1119">
        <v>3.7909999999999999</v>
      </c>
      <c r="BE791" s="774"/>
      <c r="BF791" s="774"/>
      <c r="BG791" s="774"/>
      <c r="BH791" s="774"/>
      <c r="BI791" s="78"/>
      <c r="BJ791" s="774"/>
      <c r="BK791" s="774"/>
      <c r="BL791" s="774"/>
      <c r="BM791" s="774"/>
      <c r="BN791" s="78"/>
      <c r="BO791" s="774"/>
      <c r="BP791" s="774"/>
      <c r="BQ791" s="774"/>
      <c r="BR791" s="774"/>
      <c r="BS791" s="78"/>
      <c r="BT791" s="775"/>
      <c r="BU791" s="774"/>
      <c r="BV791" s="774"/>
      <c r="BW791" s="774"/>
      <c r="BX791" s="78"/>
      <c r="BY791" s="774"/>
      <c r="BZ791" s="774"/>
      <c r="CA791" s="774"/>
      <c r="CB791" s="774"/>
      <c r="CC791" s="78"/>
      <c r="CD791" s="78"/>
      <c r="CE791" s="78"/>
      <c r="CF791" s="78"/>
      <c r="CG791" s="532"/>
    </row>
    <row r="792" spans="1:85" s="615" customFormat="1" x14ac:dyDescent="0.3">
      <c r="A792" s="522" t="s">
        <v>1567</v>
      </c>
      <c r="B792" s="521"/>
      <c r="C792" s="1122"/>
      <c r="D792" s="1122"/>
      <c r="E792" s="1122"/>
      <c r="F792" s="1122"/>
      <c r="G792" s="520"/>
      <c r="H792" s="520"/>
      <c r="I792" s="520"/>
      <c r="J792" s="520"/>
      <c r="K792" s="1122"/>
      <c r="L792" s="520"/>
      <c r="M792" s="520"/>
      <c r="N792" s="520"/>
      <c r="O792" s="520"/>
      <c r="P792" s="1122"/>
      <c r="Q792" s="520"/>
      <c r="R792" s="520"/>
      <c r="S792" s="520"/>
      <c r="T792" s="520"/>
      <c r="U792" s="1122"/>
      <c r="V792" s="520"/>
      <c r="W792" s="520"/>
      <c r="X792" s="520"/>
      <c r="Y792" s="520"/>
      <c r="Z792" s="1122"/>
      <c r="AA792" s="520"/>
      <c r="AB792" s="520"/>
      <c r="AC792" s="520"/>
      <c r="AD792" s="520"/>
      <c r="AE792" s="1122"/>
      <c r="AF792" s="520"/>
      <c r="AG792" s="520"/>
      <c r="AH792" s="520"/>
      <c r="AI792" s="520"/>
      <c r="AJ792" s="1122"/>
      <c r="AK792" s="520"/>
      <c r="AL792" s="520"/>
      <c r="AM792" s="520"/>
      <c r="AN792" s="520"/>
      <c r="AO792" s="1122"/>
      <c r="AP792" s="520"/>
      <c r="AQ792" s="520"/>
      <c r="AR792" s="520"/>
      <c r="AS792" s="520"/>
      <c r="AT792" s="1123">
        <v>186.82</v>
      </c>
      <c r="AU792" s="520"/>
      <c r="AV792" s="520"/>
      <c r="AW792" s="520"/>
      <c r="AX792" s="520"/>
      <c r="AY792" s="1123">
        <v>186.82</v>
      </c>
      <c r="AZ792" s="520"/>
      <c r="BA792" s="520"/>
      <c r="BB792" s="520"/>
      <c r="BC792" s="520"/>
      <c r="BD792" s="1123">
        <v>186.82</v>
      </c>
      <c r="BE792" s="520"/>
      <c r="BF792" s="520"/>
      <c r="BG792" s="520"/>
      <c r="BH792" s="520"/>
      <c r="BI792" s="1122"/>
      <c r="BJ792" s="520"/>
      <c r="BK792" s="520"/>
      <c r="BL792" s="520"/>
      <c r="BM792" s="520"/>
      <c r="BN792" s="1122"/>
      <c r="BO792" s="520"/>
      <c r="BP792" s="520"/>
      <c r="BQ792" s="520"/>
      <c r="BR792" s="520"/>
      <c r="BS792" s="1122"/>
      <c r="BT792" s="728"/>
      <c r="BU792" s="520"/>
      <c r="BV792" s="520"/>
      <c r="BW792" s="520"/>
      <c r="BX792" s="1122"/>
      <c r="BY792" s="520"/>
      <c r="BZ792" s="520"/>
      <c r="CA792" s="520"/>
      <c r="CB792" s="520"/>
      <c r="CC792" s="1122"/>
      <c r="CD792" s="1122"/>
      <c r="CE792" s="1122"/>
      <c r="CF792" s="1122"/>
      <c r="CG792" s="519"/>
    </row>
    <row r="793" spans="1:85" s="614" customFormat="1" x14ac:dyDescent="0.3">
      <c r="A793" s="224"/>
      <c r="B793" s="352"/>
      <c r="C793" s="1094"/>
      <c r="D793" s="1094"/>
      <c r="E793" s="1094"/>
      <c r="F793" s="1094"/>
      <c r="G793" s="197"/>
      <c r="H793" s="197"/>
      <c r="I793" s="197"/>
      <c r="J793" s="197"/>
      <c r="K793" s="1094"/>
      <c r="L793" s="197"/>
      <c r="M793" s="197"/>
      <c r="N793" s="197"/>
      <c r="O793" s="197"/>
      <c r="P793" s="1094"/>
      <c r="Q793" s="197"/>
      <c r="R793" s="197"/>
      <c r="S793" s="197"/>
      <c r="T793" s="197"/>
      <c r="U793" s="1094"/>
      <c r="V793" s="197"/>
      <c r="W793" s="197"/>
      <c r="X793" s="197"/>
      <c r="Y793" s="197"/>
      <c r="Z793" s="1094"/>
      <c r="AA793" s="197"/>
      <c r="AB793" s="197"/>
      <c r="AC793" s="197"/>
      <c r="AD793" s="197"/>
      <c r="AE793" s="1094"/>
      <c r="AF793" s="197"/>
      <c r="AG793" s="197"/>
      <c r="AH793" s="197"/>
      <c r="AI793" s="197"/>
      <c r="AJ793" s="1094"/>
      <c r="AK793" s="197"/>
      <c r="AL793" s="197"/>
      <c r="AM793" s="197"/>
      <c r="AN793" s="197"/>
      <c r="AO793" s="1094"/>
      <c r="AP793" s="197"/>
      <c r="AQ793" s="197"/>
      <c r="AR793" s="197"/>
      <c r="AS793" s="197"/>
      <c r="AT793" s="198"/>
      <c r="AU793" s="197"/>
      <c r="AV793" s="197"/>
      <c r="AW793" s="197"/>
      <c r="AX793" s="197"/>
      <c r="AY793" s="198"/>
      <c r="AZ793" s="197"/>
      <c r="BA793" s="197"/>
      <c r="BB793" s="197"/>
      <c r="BC793" s="197"/>
      <c r="BD793" s="198"/>
      <c r="BE793" s="197"/>
      <c r="BF793" s="197"/>
      <c r="BG793" s="197"/>
      <c r="BH793" s="197"/>
      <c r="BI793" s="1094"/>
      <c r="BJ793" s="197"/>
      <c r="BK793" s="197"/>
      <c r="BL793" s="197"/>
      <c r="BM793" s="197"/>
      <c r="BN793" s="1094"/>
      <c r="BO793" s="197"/>
      <c r="BP793" s="197"/>
      <c r="BQ793" s="197"/>
      <c r="BR793" s="197"/>
      <c r="BS793" s="1094"/>
      <c r="BT793" s="727"/>
      <c r="BU793" s="197"/>
      <c r="BV793" s="197"/>
      <c r="BW793" s="197"/>
      <c r="BX793" s="1094"/>
      <c r="BY793" s="197"/>
      <c r="BZ793" s="197"/>
      <c r="CA793" s="197"/>
      <c r="CB793" s="197"/>
      <c r="CC793" s="1094"/>
      <c r="CD793" s="1094"/>
      <c r="CE793" s="1094"/>
      <c r="CF793" s="1094"/>
      <c r="CG793" s="349"/>
    </row>
    <row r="794" spans="1:85" s="613" customFormat="1" x14ac:dyDescent="0.3">
      <c r="A794" s="478" t="s">
        <v>1566</v>
      </c>
      <c r="B794" s="523"/>
      <c r="C794" s="78"/>
      <c r="D794" s="78"/>
      <c r="E794" s="78"/>
      <c r="F794" s="78"/>
      <c r="G794" s="774"/>
      <c r="H794" s="774"/>
      <c r="I794" s="774"/>
      <c r="J794" s="774"/>
      <c r="K794" s="78"/>
      <c r="L794" s="774"/>
      <c r="M794" s="774"/>
      <c r="N794" s="774"/>
      <c r="O794" s="774"/>
      <c r="P794" s="78"/>
      <c r="Q794" s="774"/>
      <c r="R794" s="774"/>
      <c r="S794" s="774"/>
      <c r="T794" s="774"/>
      <c r="U794" s="78"/>
      <c r="V794" s="774"/>
      <c r="W794" s="774"/>
      <c r="X794" s="774"/>
      <c r="Y794" s="774"/>
      <c r="Z794" s="78"/>
      <c r="AA794" s="774"/>
      <c r="AB794" s="774"/>
      <c r="AC794" s="774"/>
      <c r="AD794" s="774"/>
      <c r="AE794" s="78"/>
      <c r="AF794" s="774"/>
      <c r="AG794" s="774"/>
      <c r="AH794" s="774"/>
      <c r="AI794" s="774"/>
      <c r="AJ794" s="78"/>
      <c r="AK794" s="774"/>
      <c r="AL794" s="774"/>
      <c r="AM794" s="774"/>
      <c r="AN794" s="774"/>
      <c r="AO794" s="78"/>
      <c r="AP794" s="774"/>
      <c r="AQ794" s="774"/>
      <c r="AR794" s="774"/>
      <c r="AS794" s="774"/>
      <c r="AT794" s="1119">
        <v>3.5230000000000001</v>
      </c>
      <c r="AU794" s="774"/>
      <c r="AV794" s="774"/>
      <c r="AW794" s="774"/>
      <c r="AX794" s="774"/>
      <c r="AY794" s="1119">
        <v>3.5230000000000001</v>
      </c>
      <c r="AZ794" s="774"/>
      <c r="BA794" s="774"/>
      <c r="BB794" s="774"/>
      <c r="BC794" s="774"/>
      <c r="BD794" s="1119">
        <v>3.5230000000000001</v>
      </c>
      <c r="BE794" s="774"/>
      <c r="BF794" s="774"/>
      <c r="BG794" s="774"/>
      <c r="BH794" s="774"/>
      <c r="BI794" s="78"/>
      <c r="BJ794" s="774"/>
      <c r="BK794" s="774"/>
      <c r="BL794" s="774"/>
      <c r="BM794" s="774"/>
      <c r="BN794" s="78"/>
      <c r="BO794" s="774"/>
      <c r="BP794" s="774"/>
      <c r="BQ794" s="774"/>
      <c r="BR794" s="774"/>
      <c r="BS794" s="78"/>
      <c r="BT794" s="775"/>
      <c r="BU794" s="774"/>
      <c r="BV794" s="774"/>
      <c r="BW794" s="774"/>
      <c r="BX794" s="78"/>
      <c r="BY794" s="774"/>
      <c r="BZ794" s="774"/>
      <c r="CA794" s="774"/>
      <c r="CB794" s="774"/>
      <c r="CC794" s="78"/>
      <c r="CD794" s="78"/>
      <c r="CE794" s="78"/>
      <c r="CF794" s="78"/>
      <c r="CG794" s="532"/>
    </row>
    <row r="795" spans="1:85" s="615" customFormat="1" x14ac:dyDescent="0.3">
      <c r="A795" s="522" t="s">
        <v>1565</v>
      </c>
      <c r="B795" s="521"/>
      <c r="C795" s="1122"/>
      <c r="D795" s="1122"/>
      <c r="E795" s="1122"/>
      <c r="F795" s="1122"/>
      <c r="G795" s="520"/>
      <c r="H795" s="520"/>
      <c r="I795" s="520"/>
      <c r="J795" s="520"/>
      <c r="K795" s="1122"/>
      <c r="L795" s="520"/>
      <c r="M795" s="520"/>
      <c r="N795" s="520"/>
      <c r="O795" s="520"/>
      <c r="P795" s="1122"/>
      <c r="Q795" s="520"/>
      <c r="R795" s="520"/>
      <c r="S795" s="520"/>
      <c r="T795" s="520"/>
      <c r="U795" s="1122"/>
      <c r="V795" s="520"/>
      <c r="W795" s="520"/>
      <c r="X795" s="520"/>
      <c r="Y795" s="520"/>
      <c r="Z795" s="1122"/>
      <c r="AA795" s="520"/>
      <c r="AB795" s="520"/>
      <c r="AC795" s="520"/>
      <c r="AD795" s="520"/>
      <c r="AE795" s="1122"/>
      <c r="AF795" s="520"/>
      <c r="AG795" s="520"/>
      <c r="AH795" s="520"/>
      <c r="AI795" s="520"/>
      <c r="AJ795" s="1122"/>
      <c r="AK795" s="520"/>
      <c r="AL795" s="520"/>
      <c r="AM795" s="520"/>
      <c r="AN795" s="520"/>
      <c r="AO795" s="1122"/>
      <c r="AP795" s="520"/>
      <c r="AQ795" s="520"/>
      <c r="AR795" s="520"/>
      <c r="AS795" s="520"/>
      <c r="AT795" s="1123">
        <v>201.07</v>
      </c>
      <c r="AU795" s="520"/>
      <c r="AV795" s="520"/>
      <c r="AW795" s="520"/>
      <c r="AX795" s="520"/>
      <c r="AY795" s="1123">
        <v>201.07</v>
      </c>
      <c r="AZ795" s="520"/>
      <c r="BA795" s="520"/>
      <c r="BB795" s="520"/>
      <c r="BC795" s="520"/>
      <c r="BD795" s="1123">
        <v>201.07</v>
      </c>
      <c r="BE795" s="520"/>
      <c r="BF795" s="520"/>
      <c r="BG795" s="520"/>
      <c r="BH795" s="520"/>
      <c r="BI795" s="1122"/>
      <c r="BJ795" s="520"/>
      <c r="BK795" s="520"/>
      <c r="BL795" s="520"/>
      <c r="BM795" s="520"/>
      <c r="BN795" s="1122"/>
      <c r="BO795" s="520"/>
      <c r="BP795" s="520"/>
      <c r="BQ795" s="520"/>
      <c r="BR795" s="520"/>
      <c r="BS795" s="1122"/>
      <c r="BT795" s="728"/>
      <c r="BU795" s="520"/>
      <c r="BV795" s="520"/>
      <c r="BW795" s="520"/>
      <c r="BX795" s="1122"/>
      <c r="BY795" s="520"/>
      <c r="BZ795" s="520"/>
      <c r="CA795" s="520"/>
      <c r="CB795" s="520"/>
      <c r="CC795" s="1122"/>
      <c r="CD795" s="1122"/>
      <c r="CE795" s="1122"/>
      <c r="CF795" s="1122"/>
      <c r="CG795" s="519"/>
    </row>
    <row r="796" spans="1:85" s="614" customFormat="1" x14ac:dyDescent="0.3">
      <c r="A796" s="522"/>
      <c r="B796" s="352"/>
      <c r="C796" s="1094"/>
      <c r="D796" s="1094"/>
      <c r="E796" s="1094"/>
      <c r="F796" s="1094"/>
      <c r="G796" s="197"/>
      <c r="H796" s="197"/>
      <c r="I796" s="197"/>
      <c r="J796" s="197"/>
      <c r="K796" s="1094"/>
      <c r="L796" s="197"/>
      <c r="M796" s="197"/>
      <c r="N796" s="197"/>
      <c r="O796" s="197"/>
      <c r="P796" s="1094"/>
      <c r="Q796" s="197"/>
      <c r="R796" s="197"/>
      <c r="S796" s="197"/>
      <c r="T796" s="197"/>
      <c r="U796" s="1094"/>
      <c r="V796" s="197"/>
      <c r="W796" s="197"/>
      <c r="X796" s="197"/>
      <c r="Y796" s="197"/>
      <c r="Z796" s="1094"/>
      <c r="AA796" s="197"/>
      <c r="AB796" s="197"/>
      <c r="AC796" s="197"/>
      <c r="AD796" s="197"/>
      <c r="AE796" s="1094"/>
      <c r="AF796" s="197"/>
      <c r="AG796" s="197"/>
      <c r="AH796" s="197"/>
      <c r="AI796" s="197"/>
      <c r="AJ796" s="1094"/>
      <c r="AK796" s="197"/>
      <c r="AL796" s="197"/>
      <c r="AM796" s="197"/>
      <c r="AN796" s="197"/>
      <c r="AO796" s="1094"/>
      <c r="AP796" s="197"/>
      <c r="AQ796" s="197"/>
      <c r="AR796" s="197"/>
      <c r="AS796" s="197"/>
      <c r="AT796" s="198"/>
      <c r="AU796" s="197"/>
      <c r="AV796" s="197"/>
      <c r="AW796" s="197"/>
      <c r="AX796" s="197"/>
      <c r="AY796" s="198"/>
      <c r="AZ796" s="197"/>
      <c r="BA796" s="197"/>
      <c r="BB796" s="197"/>
      <c r="BC796" s="197"/>
      <c r="BD796" s="198"/>
      <c r="BE796" s="197"/>
      <c r="BF796" s="197"/>
      <c r="BG796" s="197"/>
      <c r="BH796" s="197"/>
      <c r="BI796" s="1094"/>
      <c r="BJ796" s="197"/>
      <c r="BK796" s="197"/>
      <c r="BL796" s="197"/>
      <c r="BM796" s="197"/>
      <c r="BN796" s="1094"/>
      <c r="BO796" s="197"/>
      <c r="BP796" s="197"/>
      <c r="BQ796" s="197"/>
      <c r="BR796" s="197"/>
      <c r="BS796" s="1094"/>
      <c r="BT796" s="727"/>
      <c r="BU796" s="197"/>
      <c r="BV796" s="197"/>
      <c r="BW796" s="197"/>
      <c r="BX796" s="1094"/>
      <c r="BY796" s="197"/>
      <c r="BZ796" s="197"/>
      <c r="CA796" s="197"/>
      <c r="CB796" s="197"/>
      <c r="CC796" s="1094"/>
      <c r="CD796" s="1094"/>
      <c r="CE796" s="1094"/>
      <c r="CF796" s="1094"/>
      <c r="CG796" s="349"/>
    </row>
    <row r="797" spans="1:85" s="613" customFormat="1" x14ac:dyDescent="0.3">
      <c r="A797" s="478" t="s">
        <v>1564</v>
      </c>
      <c r="B797" s="523"/>
      <c r="C797" s="78"/>
      <c r="D797" s="78"/>
      <c r="E797" s="78"/>
      <c r="F797" s="78"/>
      <c r="G797" s="774"/>
      <c r="H797" s="774"/>
      <c r="I797" s="774"/>
      <c r="J797" s="774"/>
      <c r="K797" s="78"/>
      <c r="L797" s="774"/>
      <c r="M797" s="774"/>
      <c r="N797" s="774"/>
      <c r="O797" s="774"/>
      <c r="P797" s="78"/>
      <c r="Q797" s="774"/>
      <c r="R797" s="774"/>
      <c r="S797" s="774"/>
      <c r="T797" s="774"/>
      <c r="U797" s="78"/>
      <c r="V797" s="774"/>
      <c r="W797" s="774"/>
      <c r="X797" s="774"/>
      <c r="Y797" s="774"/>
      <c r="Z797" s="78"/>
      <c r="AA797" s="774"/>
      <c r="AB797" s="774"/>
      <c r="AC797" s="774"/>
      <c r="AD797" s="774"/>
      <c r="AE797" s="78"/>
      <c r="AF797" s="774"/>
      <c r="AG797" s="774"/>
      <c r="AH797" s="774"/>
      <c r="AI797" s="774"/>
      <c r="AJ797" s="78"/>
      <c r="AK797" s="774"/>
      <c r="AL797" s="774"/>
      <c r="AM797" s="774"/>
      <c r="AN797" s="774"/>
      <c r="AO797" s="78"/>
      <c r="AP797" s="774"/>
      <c r="AQ797" s="774"/>
      <c r="AR797" s="774"/>
      <c r="AS797" s="774"/>
      <c r="AT797" s="1119">
        <v>5.1870000000000003</v>
      </c>
      <c r="AU797" s="774"/>
      <c r="AV797" s="774"/>
      <c r="AW797" s="774"/>
      <c r="AX797" s="774"/>
      <c r="AY797" s="1119">
        <v>5.1870000000000003</v>
      </c>
      <c r="AZ797" s="774"/>
      <c r="BA797" s="774"/>
      <c r="BB797" s="774"/>
      <c r="BC797" s="774"/>
      <c r="BD797" s="1119">
        <v>5.1870000000000003</v>
      </c>
      <c r="BE797" s="774"/>
      <c r="BF797" s="774"/>
      <c r="BG797" s="774"/>
      <c r="BH797" s="774"/>
      <c r="BI797" s="78"/>
      <c r="BJ797" s="774"/>
      <c r="BK797" s="774"/>
      <c r="BL797" s="774"/>
      <c r="BM797" s="774"/>
      <c r="BN797" s="78"/>
      <c r="BO797" s="774"/>
      <c r="BP797" s="774"/>
      <c r="BQ797" s="774"/>
      <c r="BR797" s="774"/>
      <c r="BS797" s="78"/>
      <c r="BT797" s="775"/>
      <c r="BU797" s="774"/>
      <c r="BV797" s="774"/>
      <c r="BW797" s="774"/>
      <c r="BX797" s="78"/>
      <c r="BY797" s="774"/>
      <c r="BZ797" s="774"/>
      <c r="CA797" s="774"/>
      <c r="CB797" s="774"/>
      <c r="CC797" s="78"/>
      <c r="CD797" s="78"/>
      <c r="CE797" s="78"/>
      <c r="CF797" s="78"/>
      <c r="CG797" s="532"/>
    </row>
    <row r="798" spans="1:85" s="615" customFormat="1" x14ac:dyDescent="0.3">
      <c r="A798" s="522" t="s">
        <v>1563</v>
      </c>
      <c r="B798" s="521"/>
      <c r="C798" s="1122"/>
      <c r="D798" s="1122"/>
      <c r="E798" s="1122"/>
      <c r="F798" s="1122"/>
      <c r="G798" s="520"/>
      <c r="H798" s="520"/>
      <c r="I798" s="520"/>
      <c r="J798" s="520"/>
      <c r="K798" s="1122"/>
      <c r="L798" s="520"/>
      <c r="M798" s="520"/>
      <c r="N798" s="520"/>
      <c r="O798" s="520"/>
      <c r="P798" s="1122"/>
      <c r="Q798" s="520"/>
      <c r="R798" s="520"/>
      <c r="S798" s="520"/>
      <c r="T798" s="520"/>
      <c r="U798" s="1122"/>
      <c r="V798" s="520"/>
      <c r="W798" s="520"/>
      <c r="X798" s="520"/>
      <c r="Y798" s="520"/>
      <c r="Z798" s="1122"/>
      <c r="AA798" s="520"/>
      <c r="AB798" s="520"/>
      <c r="AC798" s="520"/>
      <c r="AD798" s="520"/>
      <c r="AE798" s="1122"/>
      <c r="AF798" s="520"/>
      <c r="AG798" s="520"/>
      <c r="AH798" s="520"/>
      <c r="AI798" s="520"/>
      <c r="AJ798" s="1122"/>
      <c r="AK798" s="520"/>
      <c r="AL798" s="520"/>
      <c r="AM798" s="520"/>
      <c r="AN798" s="520"/>
      <c r="AO798" s="1122"/>
      <c r="AP798" s="520"/>
      <c r="AQ798" s="520"/>
      <c r="AR798" s="520"/>
      <c r="AS798" s="520"/>
      <c r="AT798" s="1123">
        <v>265.07</v>
      </c>
      <c r="AU798" s="654"/>
      <c r="AV798" s="520"/>
      <c r="AW798" s="520"/>
      <c r="AX798" s="520"/>
      <c r="AY798" s="1123">
        <v>265.07</v>
      </c>
      <c r="AZ798" s="654"/>
      <c r="BA798" s="520"/>
      <c r="BB798" s="520"/>
      <c r="BC798" s="520"/>
      <c r="BD798" s="1123">
        <v>265.07</v>
      </c>
      <c r="BE798" s="520"/>
      <c r="BF798" s="520"/>
      <c r="BG798" s="520"/>
      <c r="BH798" s="520"/>
      <c r="BI798" s="1122"/>
      <c r="BJ798" s="520"/>
      <c r="BK798" s="520"/>
      <c r="BL798" s="520"/>
      <c r="BM798" s="520"/>
      <c r="BN798" s="1122"/>
      <c r="BO798" s="520"/>
      <c r="BP798" s="520"/>
      <c r="BQ798" s="520"/>
      <c r="BR798" s="520"/>
      <c r="BS798" s="1122"/>
      <c r="BT798" s="728"/>
      <c r="BU798" s="520"/>
      <c r="BV798" s="520"/>
      <c r="BW798" s="520"/>
      <c r="BX798" s="1122"/>
      <c r="BY798" s="520"/>
      <c r="BZ798" s="520"/>
      <c r="CA798" s="520"/>
      <c r="CB798" s="520"/>
      <c r="CC798" s="1122"/>
      <c r="CD798" s="1122"/>
      <c r="CE798" s="1122"/>
      <c r="CF798" s="1122"/>
      <c r="CG798" s="519"/>
    </row>
    <row r="799" spans="1:85" s="614" customFormat="1" x14ac:dyDescent="0.3">
      <c r="A799" s="522"/>
      <c r="B799" s="352"/>
      <c r="C799" s="1094"/>
      <c r="D799" s="1094"/>
      <c r="E799" s="1094"/>
      <c r="F799" s="1094"/>
      <c r="G799" s="197"/>
      <c r="H799" s="197"/>
      <c r="I799" s="197"/>
      <c r="J799" s="197"/>
      <c r="K799" s="1094"/>
      <c r="L799" s="197"/>
      <c r="M799" s="197"/>
      <c r="N799" s="197"/>
      <c r="O799" s="197"/>
      <c r="P799" s="1094"/>
      <c r="Q799" s="197"/>
      <c r="R799" s="197"/>
      <c r="S799" s="197"/>
      <c r="T799" s="197"/>
      <c r="U799" s="1094"/>
      <c r="V799" s="197"/>
      <c r="W799" s="197"/>
      <c r="X799" s="197"/>
      <c r="Y799" s="197"/>
      <c r="Z799" s="1094"/>
      <c r="AA799" s="197"/>
      <c r="AB799" s="197"/>
      <c r="AC799" s="197"/>
      <c r="AD799" s="197"/>
      <c r="AE799" s="1094"/>
      <c r="AF799" s="197"/>
      <c r="AG799" s="197"/>
      <c r="AH799" s="197"/>
      <c r="AI799" s="197"/>
      <c r="AJ799" s="1094"/>
      <c r="AK799" s="197"/>
      <c r="AL799" s="197"/>
      <c r="AM799" s="197"/>
      <c r="AN799" s="197"/>
      <c r="AO799" s="1094"/>
      <c r="AP799" s="197"/>
      <c r="AQ799" s="197"/>
      <c r="AR799" s="197"/>
      <c r="AS799" s="197"/>
      <c r="AT799" s="198"/>
      <c r="AU799" s="204"/>
      <c r="AV799" s="197"/>
      <c r="AW799" s="197"/>
      <c r="AX799" s="197"/>
      <c r="AY799" s="198"/>
      <c r="AZ799" s="204"/>
      <c r="BA799" s="197"/>
      <c r="BB799" s="197"/>
      <c r="BC799" s="197"/>
      <c r="BD799" s="198"/>
      <c r="BE799" s="197"/>
      <c r="BF799" s="197"/>
      <c r="BG799" s="197"/>
      <c r="BH799" s="197"/>
      <c r="BI799" s="1094"/>
      <c r="BJ799" s="197"/>
      <c r="BK799" s="197"/>
      <c r="BL799" s="197"/>
      <c r="BM799" s="197"/>
      <c r="BN799" s="1094"/>
      <c r="BO799" s="197"/>
      <c r="BP799" s="197"/>
      <c r="BQ799" s="197"/>
      <c r="BR799" s="197"/>
      <c r="BS799" s="1094"/>
      <c r="BT799" s="727"/>
      <c r="BU799" s="197"/>
      <c r="BV799" s="197"/>
      <c r="BW799" s="197"/>
      <c r="BX799" s="1094"/>
      <c r="BY799" s="197"/>
      <c r="BZ799" s="197"/>
      <c r="CA799" s="197"/>
      <c r="CB799" s="197"/>
      <c r="CC799" s="1094"/>
      <c r="CD799" s="1094"/>
      <c r="CE799" s="1094"/>
      <c r="CF799" s="1094"/>
      <c r="CG799" s="349"/>
    </row>
    <row r="800" spans="1:85" s="613" customFormat="1" x14ac:dyDescent="0.3">
      <c r="A800" s="478" t="s">
        <v>1562</v>
      </c>
      <c r="B800" s="523"/>
      <c r="C800" s="78"/>
      <c r="D800" s="78"/>
      <c r="E800" s="78"/>
      <c r="F800" s="78"/>
      <c r="G800" s="774"/>
      <c r="H800" s="774"/>
      <c r="I800" s="774"/>
      <c r="J800" s="774"/>
      <c r="K800" s="78"/>
      <c r="L800" s="774"/>
      <c r="M800" s="774"/>
      <c r="N800" s="774"/>
      <c r="O800" s="774"/>
      <c r="P800" s="78"/>
      <c r="Q800" s="774"/>
      <c r="R800" s="774"/>
      <c r="S800" s="774"/>
      <c r="T800" s="774"/>
      <c r="U800" s="78"/>
      <c r="V800" s="774"/>
      <c r="W800" s="774"/>
      <c r="X800" s="774"/>
      <c r="Y800" s="774"/>
      <c r="Z800" s="78"/>
      <c r="AA800" s="774"/>
      <c r="AB800" s="774"/>
      <c r="AC800" s="774"/>
      <c r="AD800" s="774"/>
      <c r="AE800" s="78"/>
      <c r="AF800" s="774"/>
      <c r="AG800" s="774"/>
      <c r="AH800" s="774"/>
      <c r="AI800" s="774"/>
      <c r="AJ800" s="78"/>
      <c r="AK800" s="774"/>
      <c r="AL800" s="774"/>
      <c r="AM800" s="774"/>
      <c r="AN800" s="774"/>
      <c r="AO800" s="78"/>
      <c r="AP800" s="774"/>
      <c r="AQ800" s="774"/>
      <c r="AR800" s="774"/>
      <c r="AS800" s="774"/>
      <c r="AT800" s="1119">
        <v>4.7350000000000003</v>
      </c>
      <c r="AU800" s="774"/>
      <c r="AV800" s="774"/>
      <c r="AW800" s="774"/>
      <c r="AX800" s="774"/>
      <c r="AY800" s="1119">
        <v>4.7350000000000003</v>
      </c>
      <c r="AZ800" s="774"/>
      <c r="BA800" s="774"/>
      <c r="BB800" s="774"/>
      <c r="BC800" s="774"/>
      <c r="BD800" s="1119">
        <v>4.7350000000000003</v>
      </c>
      <c r="BE800" s="774"/>
      <c r="BF800" s="774"/>
      <c r="BG800" s="774"/>
      <c r="BH800" s="774"/>
      <c r="BI800" s="78"/>
      <c r="BJ800" s="774"/>
      <c r="BK800" s="774"/>
      <c r="BL800" s="774"/>
      <c r="BM800" s="774"/>
      <c r="BN800" s="78"/>
      <c r="BO800" s="774"/>
      <c r="BP800" s="774"/>
      <c r="BQ800" s="774"/>
      <c r="BR800" s="774"/>
      <c r="BS800" s="78"/>
      <c r="BT800" s="775"/>
      <c r="BU800" s="774"/>
      <c r="BV800" s="774"/>
      <c r="BW800" s="774"/>
      <c r="BX800" s="78"/>
      <c r="BY800" s="774"/>
      <c r="BZ800" s="774"/>
      <c r="CA800" s="774"/>
      <c r="CB800" s="774"/>
      <c r="CC800" s="78"/>
      <c r="CD800" s="78"/>
      <c r="CE800" s="78"/>
      <c r="CF800" s="78"/>
      <c r="CG800" s="532"/>
    </row>
    <row r="801" spans="1:85" s="615" customFormat="1" x14ac:dyDescent="0.3">
      <c r="A801" s="522" t="s">
        <v>1561</v>
      </c>
      <c r="B801" s="521"/>
      <c r="C801" s="1122"/>
      <c r="D801" s="1122"/>
      <c r="E801" s="1122"/>
      <c r="F801" s="1122"/>
      <c r="G801" s="520"/>
      <c r="H801" s="520"/>
      <c r="I801" s="520"/>
      <c r="J801" s="520"/>
      <c r="K801" s="1122"/>
      <c r="L801" s="520"/>
      <c r="M801" s="520"/>
      <c r="N801" s="520"/>
      <c r="O801" s="520"/>
      <c r="P801" s="1122"/>
      <c r="Q801" s="520"/>
      <c r="R801" s="520"/>
      <c r="S801" s="520"/>
      <c r="T801" s="520"/>
      <c r="U801" s="1122"/>
      <c r="V801" s="520"/>
      <c r="W801" s="520"/>
      <c r="X801" s="520"/>
      <c r="Y801" s="520"/>
      <c r="Z801" s="1122"/>
      <c r="AA801" s="520"/>
      <c r="AB801" s="520"/>
      <c r="AC801" s="520"/>
      <c r="AD801" s="520"/>
      <c r="AE801" s="1122"/>
      <c r="AF801" s="520"/>
      <c r="AG801" s="520"/>
      <c r="AH801" s="520"/>
      <c r="AI801" s="520"/>
      <c r="AJ801" s="1122"/>
      <c r="AK801" s="520"/>
      <c r="AL801" s="520"/>
      <c r="AM801" s="520"/>
      <c r="AN801" s="520"/>
      <c r="AO801" s="1122"/>
      <c r="AP801" s="520"/>
      <c r="AQ801" s="520"/>
      <c r="AR801" s="520"/>
      <c r="AS801" s="520"/>
      <c r="AT801" s="1123">
        <v>290.39</v>
      </c>
      <c r="AU801" s="520"/>
      <c r="AV801" s="520"/>
      <c r="AW801" s="520"/>
      <c r="AX801" s="520"/>
      <c r="AY801" s="1123">
        <v>290.39</v>
      </c>
      <c r="AZ801" s="520"/>
      <c r="BA801" s="520"/>
      <c r="BB801" s="520"/>
      <c r="BC801" s="520"/>
      <c r="BD801" s="1123">
        <v>290.39</v>
      </c>
      <c r="BE801" s="520"/>
      <c r="BF801" s="520"/>
      <c r="BG801" s="520"/>
      <c r="BH801" s="520"/>
      <c r="BI801" s="1122"/>
      <c r="BJ801" s="520"/>
      <c r="BK801" s="520"/>
      <c r="BL801" s="520"/>
      <c r="BM801" s="520"/>
      <c r="BN801" s="1122"/>
      <c r="BO801" s="520"/>
      <c r="BP801" s="520"/>
      <c r="BQ801" s="520"/>
      <c r="BR801" s="520"/>
      <c r="BS801" s="1122"/>
      <c r="BT801" s="728"/>
      <c r="BU801" s="520"/>
      <c r="BV801" s="520"/>
      <c r="BW801" s="520"/>
      <c r="BX801" s="1122"/>
      <c r="BY801" s="520"/>
      <c r="BZ801" s="520"/>
      <c r="CA801" s="520"/>
      <c r="CB801" s="520"/>
      <c r="CC801" s="1122"/>
      <c r="CD801" s="1122"/>
      <c r="CE801" s="1122"/>
      <c r="CF801" s="1122"/>
      <c r="CG801" s="519"/>
    </row>
    <row r="802" spans="1:85" s="614" customFormat="1" x14ac:dyDescent="0.3">
      <c r="A802" s="522"/>
      <c r="B802" s="352"/>
      <c r="C802" s="1094"/>
      <c r="D802" s="1094"/>
      <c r="E802" s="1094"/>
      <c r="F802" s="1094"/>
      <c r="G802" s="197"/>
      <c r="H802" s="197"/>
      <c r="I802" s="197"/>
      <c r="J802" s="197"/>
      <c r="K802" s="1094"/>
      <c r="L802" s="197"/>
      <c r="M802" s="197"/>
      <c r="N802" s="197"/>
      <c r="O802" s="197"/>
      <c r="P802" s="1094"/>
      <c r="Q802" s="197"/>
      <c r="R802" s="197"/>
      <c r="S802" s="197"/>
      <c r="T802" s="197"/>
      <c r="U802" s="1094"/>
      <c r="V802" s="197"/>
      <c r="W802" s="197"/>
      <c r="X802" s="197"/>
      <c r="Y802" s="197"/>
      <c r="Z802" s="1094"/>
      <c r="AA802" s="197"/>
      <c r="AB802" s="197"/>
      <c r="AC802" s="197"/>
      <c r="AD802" s="197"/>
      <c r="AE802" s="1094"/>
      <c r="AF802" s="197"/>
      <c r="AG802" s="197"/>
      <c r="AH802" s="197"/>
      <c r="AI802" s="197"/>
      <c r="AJ802" s="1094"/>
      <c r="AK802" s="197"/>
      <c r="AL802" s="197"/>
      <c r="AM802" s="197"/>
      <c r="AN802" s="197"/>
      <c r="AO802" s="1094"/>
      <c r="AP802" s="197"/>
      <c r="AQ802" s="197"/>
      <c r="AR802" s="197"/>
      <c r="AS802" s="197"/>
      <c r="AT802" s="198"/>
      <c r="AU802" s="197"/>
      <c r="AV802" s="197"/>
      <c r="AW802" s="197"/>
      <c r="AX802" s="197"/>
      <c r="AY802" s="198"/>
      <c r="AZ802" s="197"/>
      <c r="BA802" s="197"/>
      <c r="BB802" s="197"/>
      <c r="BC802" s="197"/>
      <c r="BD802" s="198"/>
      <c r="BE802" s="197"/>
      <c r="BF802" s="197"/>
      <c r="BG802" s="197"/>
      <c r="BH802" s="197"/>
      <c r="BI802" s="1094"/>
      <c r="BJ802" s="197"/>
      <c r="BK802" s="197"/>
      <c r="BL802" s="197"/>
      <c r="BM802" s="197"/>
      <c r="BN802" s="1094"/>
      <c r="BO802" s="197"/>
      <c r="BP802" s="197"/>
      <c r="BQ802" s="197"/>
      <c r="BR802" s="197"/>
      <c r="BS802" s="1094"/>
      <c r="BT802" s="727"/>
      <c r="BU802" s="197"/>
      <c r="BV802" s="197"/>
      <c r="BW802" s="197"/>
      <c r="BX802" s="1094"/>
      <c r="BY802" s="197"/>
      <c r="BZ802" s="197"/>
      <c r="CA802" s="197"/>
      <c r="CB802" s="197"/>
      <c r="CC802" s="1094"/>
      <c r="CD802" s="1094"/>
      <c r="CE802" s="1094"/>
      <c r="CF802" s="1094"/>
      <c r="CG802" s="349"/>
    </row>
    <row r="803" spans="1:85" s="613" customFormat="1" x14ac:dyDescent="0.3">
      <c r="A803" s="478" t="s">
        <v>1560</v>
      </c>
      <c r="B803" s="523"/>
      <c r="C803" s="78"/>
      <c r="D803" s="78"/>
      <c r="E803" s="78"/>
      <c r="F803" s="78"/>
      <c r="G803" s="774"/>
      <c r="H803" s="774"/>
      <c r="I803" s="774"/>
      <c r="J803" s="774"/>
      <c r="K803" s="78"/>
      <c r="L803" s="774"/>
      <c r="M803" s="774"/>
      <c r="N803" s="774"/>
      <c r="O803" s="774"/>
      <c r="P803" s="78"/>
      <c r="Q803" s="774"/>
      <c r="R803" s="774"/>
      <c r="S803" s="774"/>
      <c r="T803" s="774"/>
      <c r="U803" s="78"/>
      <c r="V803" s="774"/>
      <c r="W803" s="774"/>
      <c r="X803" s="774"/>
      <c r="Y803" s="774"/>
      <c r="Z803" s="78"/>
      <c r="AA803" s="774"/>
      <c r="AB803" s="774"/>
      <c r="AC803" s="774"/>
      <c r="AD803" s="774"/>
      <c r="AE803" s="78"/>
      <c r="AF803" s="774"/>
      <c r="AG803" s="774"/>
      <c r="AH803" s="774"/>
      <c r="AI803" s="774"/>
      <c r="AJ803" s="78"/>
      <c r="AK803" s="774"/>
      <c r="AL803" s="774"/>
      <c r="AM803" s="774"/>
      <c r="AN803" s="774"/>
      <c r="AO803" s="78"/>
      <c r="AP803" s="774"/>
      <c r="AQ803" s="774"/>
      <c r="AR803" s="774"/>
      <c r="AS803" s="774"/>
      <c r="AT803" s="1119">
        <v>4.9059999999999997</v>
      </c>
      <c r="AU803" s="774"/>
      <c r="AV803" s="774"/>
      <c r="AW803" s="774"/>
      <c r="AX803" s="774"/>
      <c r="AY803" s="1119">
        <v>4.9059999999999997</v>
      </c>
      <c r="AZ803" s="774"/>
      <c r="BA803" s="774"/>
      <c r="BB803" s="774"/>
      <c r="BC803" s="774"/>
      <c r="BD803" s="1119">
        <v>4.9059999999999997</v>
      </c>
      <c r="BE803" s="774"/>
      <c r="BF803" s="774"/>
      <c r="BG803" s="774"/>
      <c r="BH803" s="774"/>
      <c r="BI803" s="78"/>
      <c r="BJ803" s="774"/>
      <c r="BK803" s="774"/>
      <c r="BL803" s="774"/>
      <c r="BM803" s="774"/>
      <c r="BN803" s="78"/>
      <c r="BO803" s="774"/>
      <c r="BP803" s="774"/>
      <c r="BQ803" s="774"/>
      <c r="BR803" s="774"/>
      <c r="BS803" s="78"/>
      <c r="BT803" s="775"/>
      <c r="BU803" s="774"/>
      <c r="BV803" s="774"/>
      <c r="BW803" s="774"/>
      <c r="BX803" s="78"/>
      <c r="BY803" s="774"/>
      <c r="BZ803" s="774"/>
      <c r="CA803" s="774"/>
      <c r="CB803" s="774"/>
      <c r="CC803" s="78"/>
      <c r="CD803" s="78"/>
      <c r="CE803" s="78"/>
      <c r="CF803" s="78"/>
      <c r="CG803" s="532"/>
    </row>
    <row r="804" spans="1:85" s="615" customFormat="1" x14ac:dyDescent="0.3">
      <c r="A804" s="522" t="s">
        <v>1559</v>
      </c>
      <c r="B804" s="521"/>
      <c r="C804" s="1122"/>
      <c r="D804" s="1122"/>
      <c r="E804" s="1122"/>
      <c r="F804" s="1122"/>
      <c r="G804" s="520"/>
      <c r="H804" s="520"/>
      <c r="I804" s="520"/>
      <c r="J804" s="520"/>
      <c r="K804" s="1122"/>
      <c r="L804" s="520"/>
      <c r="M804" s="520"/>
      <c r="N804" s="520"/>
      <c r="O804" s="520"/>
      <c r="P804" s="1122"/>
      <c r="Q804" s="520"/>
      <c r="R804" s="520"/>
      <c r="S804" s="520"/>
      <c r="T804" s="520"/>
      <c r="U804" s="1122"/>
      <c r="V804" s="520"/>
      <c r="W804" s="520"/>
      <c r="X804" s="520"/>
      <c r="Y804" s="520"/>
      <c r="Z804" s="1122"/>
      <c r="AA804" s="520"/>
      <c r="AB804" s="520"/>
      <c r="AC804" s="520"/>
      <c r="AD804" s="520"/>
      <c r="AE804" s="1122"/>
      <c r="AF804" s="520"/>
      <c r="AG804" s="520"/>
      <c r="AH804" s="520"/>
      <c r="AI804" s="520"/>
      <c r="AJ804" s="1122"/>
      <c r="AK804" s="520"/>
      <c r="AL804" s="520"/>
      <c r="AM804" s="520"/>
      <c r="AN804" s="520"/>
      <c r="AO804" s="1122"/>
      <c r="AP804" s="520"/>
      <c r="AQ804" s="520"/>
      <c r="AR804" s="520"/>
      <c r="AS804" s="520"/>
      <c r="AT804" s="1123">
        <v>280.29000000000002</v>
      </c>
      <c r="AU804" s="520"/>
      <c r="AV804" s="520"/>
      <c r="AW804" s="520"/>
      <c r="AX804" s="520"/>
      <c r="AY804" s="1123">
        <v>280.29000000000002</v>
      </c>
      <c r="AZ804" s="520"/>
      <c r="BA804" s="520"/>
      <c r="BB804" s="520"/>
      <c r="BC804" s="520"/>
      <c r="BD804" s="1123">
        <v>280.29000000000002</v>
      </c>
      <c r="BE804" s="520"/>
      <c r="BF804" s="520"/>
      <c r="BG804" s="520"/>
      <c r="BH804" s="520"/>
      <c r="BI804" s="1122"/>
      <c r="BJ804" s="520"/>
      <c r="BK804" s="520"/>
      <c r="BL804" s="520"/>
      <c r="BM804" s="520"/>
      <c r="BN804" s="1122"/>
      <c r="BO804" s="520"/>
      <c r="BP804" s="520"/>
      <c r="BQ804" s="520"/>
      <c r="BR804" s="520"/>
      <c r="BS804" s="1122"/>
      <c r="BT804" s="728"/>
      <c r="BU804" s="520"/>
      <c r="BV804" s="520"/>
      <c r="BW804" s="520"/>
      <c r="BX804" s="1122"/>
      <c r="BY804" s="520"/>
      <c r="BZ804" s="520"/>
      <c r="CA804" s="520"/>
      <c r="CB804" s="520"/>
      <c r="CC804" s="1122"/>
      <c r="CD804" s="1122"/>
      <c r="CE804" s="1122"/>
      <c r="CF804" s="1122"/>
      <c r="CG804" s="519"/>
    </row>
    <row r="805" spans="1:85" s="614" customFormat="1" x14ac:dyDescent="0.3">
      <c r="A805" s="522"/>
      <c r="B805" s="352"/>
      <c r="C805" s="1094"/>
      <c r="D805" s="1094"/>
      <c r="E805" s="1094"/>
      <c r="F805" s="1094"/>
      <c r="G805" s="197"/>
      <c r="H805" s="197"/>
      <c r="I805" s="197"/>
      <c r="J805" s="197"/>
      <c r="K805" s="1094"/>
      <c r="L805" s="197"/>
      <c r="M805" s="197"/>
      <c r="N805" s="197"/>
      <c r="O805" s="197"/>
      <c r="P805" s="1094"/>
      <c r="Q805" s="197"/>
      <c r="R805" s="197"/>
      <c r="S805" s="197"/>
      <c r="T805" s="197"/>
      <c r="U805" s="1094"/>
      <c r="V805" s="197"/>
      <c r="W805" s="197"/>
      <c r="X805" s="197"/>
      <c r="Y805" s="197"/>
      <c r="Z805" s="1094"/>
      <c r="AA805" s="197"/>
      <c r="AB805" s="197"/>
      <c r="AC805" s="197"/>
      <c r="AD805" s="197"/>
      <c r="AE805" s="1094"/>
      <c r="AF805" s="197"/>
      <c r="AG805" s="197"/>
      <c r="AH805" s="197"/>
      <c r="AI805" s="197"/>
      <c r="AJ805" s="1094"/>
      <c r="AK805" s="197"/>
      <c r="AL805" s="197"/>
      <c r="AM805" s="197"/>
      <c r="AN805" s="197"/>
      <c r="AO805" s="1094"/>
      <c r="AP805" s="197"/>
      <c r="AQ805" s="197"/>
      <c r="AR805" s="197"/>
      <c r="AS805" s="197"/>
      <c r="AT805" s="198"/>
      <c r="AU805" s="197"/>
      <c r="AV805" s="197"/>
      <c r="AW805" s="197"/>
      <c r="AX805" s="197"/>
      <c r="AY805" s="198"/>
      <c r="AZ805" s="197"/>
      <c r="BA805" s="197"/>
      <c r="BB805" s="197"/>
      <c r="BC805" s="197"/>
      <c r="BD805" s="198"/>
      <c r="BE805" s="197"/>
      <c r="BF805" s="197"/>
      <c r="BG805" s="197"/>
      <c r="BH805" s="197"/>
      <c r="BI805" s="1094"/>
      <c r="BJ805" s="197"/>
      <c r="BK805" s="197"/>
      <c r="BL805" s="197"/>
      <c r="BM805" s="197"/>
      <c r="BN805" s="1094"/>
      <c r="BO805" s="197"/>
      <c r="BP805" s="197"/>
      <c r="BQ805" s="197"/>
      <c r="BR805" s="197"/>
      <c r="BS805" s="1094"/>
      <c r="BT805" s="727"/>
      <c r="BU805" s="197"/>
      <c r="BV805" s="197"/>
      <c r="BW805" s="197"/>
      <c r="BX805" s="1094"/>
      <c r="BY805" s="197"/>
      <c r="BZ805" s="197"/>
      <c r="CA805" s="197"/>
      <c r="CB805" s="197"/>
      <c r="CC805" s="1094"/>
      <c r="CD805" s="1094"/>
      <c r="CE805" s="1094"/>
      <c r="CF805" s="1094"/>
      <c r="CG805" s="349"/>
    </row>
    <row r="806" spans="1:85" s="613" customFormat="1" x14ac:dyDescent="0.3">
      <c r="A806" s="478" t="s">
        <v>1558</v>
      </c>
      <c r="B806" s="523"/>
      <c r="C806" s="78"/>
      <c r="D806" s="78"/>
      <c r="E806" s="78"/>
      <c r="F806" s="78"/>
      <c r="G806" s="774"/>
      <c r="H806" s="774"/>
      <c r="I806" s="774"/>
      <c r="J806" s="774"/>
      <c r="K806" s="78"/>
      <c r="L806" s="774"/>
      <c r="M806" s="774"/>
      <c r="N806" s="774"/>
      <c r="O806" s="774"/>
      <c r="P806" s="78"/>
      <c r="Q806" s="774"/>
      <c r="R806" s="774"/>
      <c r="S806" s="774"/>
      <c r="T806" s="774"/>
      <c r="U806" s="78"/>
      <c r="V806" s="774"/>
      <c r="W806" s="774"/>
      <c r="X806" s="774"/>
      <c r="Y806" s="774"/>
      <c r="Z806" s="78"/>
      <c r="AA806" s="774"/>
      <c r="AB806" s="774"/>
      <c r="AC806" s="774"/>
      <c r="AD806" s="774"/>
      <c r="AE806" s="78"/>
      <c r="AF806" s="774"/>
      <c r="AG806" s="774"/>
      <c r="AH806" s="774"/>
      <c r="AI806" s="774"/>
      <c r="AJ806" s="78"/>
      <c r="AK806" s="774"/>
      <c r="AL806" s="774"/>
      <c r="AM806" s="774"/>
      <c r="AN806" s="774"/>
      <c r="AO806" s="78"/>
      <c r="AP806" s="774"/>
      <c r="AQ806" s="774"/>
      <c r="AR806" s="774"/>
      <c r="AS806" s="774"/>
      <c r="AT806" s="1119">
        <v>4.3890000000000002</v>
      </c>
      <c r="AU806" s="774"/>
      <c r="AV806" s="774"/>
      <c r="AW806" s="774"/>
      <c r="AX806" s="774"/>
      <c r="AY806" s="1119">
        <v>4.3890000000000002</v>
      </c>
      <c r="AZ806" s="774"/>
      <c r="BA806" s="774"/>
      <c r="BB806" s="774"/>
      <c r="BC806" s="774"/>
      <c r="BD806" s="1119">
        <v>4.3890000000000002</v>
      </c>
      <c r="BE806" s="774"/>
      <c r="BF806" s="774"/>
      <c r="BG806" s="774"/>
      <c r="BH806" s="774"/>
      <c r="BI806" s="78"/>
      <c r="BJ806" s="774"/>
      <c r="BK806" s="774"/>
      <c r="BL806" s="774"/>
      <c r="BM806" s="774"/>
      <c r="BN806" s="78"/>
      <c r="BO806" s="774"/>
      <c r="BP806" s="774"/>
      <c r="BQ806" s="774"/>
      <c r="BR806" s="774"/>
      <c r="BS806" s="78"/>
      <c r="BT806" s="775"/>
      <c r="BU806" s="774"/>
      <c r="BV806" s="774"/>
      <c r="BW806" s="774"/>
      <c r="BX806" s="78"/>
      <c r="BY806" s="774"/>
      <c r="BZ806" s="774"/>
      <c r="CA806" s="774"/>
      <c r="CB806" s="774"/>
      <c r="CC806" s="78"/>
      <c r="CD806" s="78"/>
      <c r="CE806" s="78"/>
      <c r="CF806" s="78"/>
      <c r="CG806" s="532"/>
    </row>
    <row r="807" spans="1:85" s="615" customFormat="1" x14ac:dyDescent="0.3">
      <c r="A807" s="522" t="s">
        <v>1557</v>
      </c>
      <c r="B807" s="521"/>
      <c r="C807" s="1122"/>
      <c r="D807" s="1122"/>
      <c r="E807" s="1122"/>
      <c r="F807" s="1122"/>
      <c r="G807" s="520"/>
      <c r="H807" s="520"/>
      <c r="I807" s="520"/>
      <c r="J807" s="520"/>
      <c r="K807" s="1122"/>
      <c r="L807" s="520"/>
      <c r="M807" s="520"/>
      <c r="N807" s="520"/>
      <c r="O807" s="520"/>
      <c r="P807" s="1122"/>
      <c r="Q807" s="520"/>
      <c r="R807" s="520"/>
      <c r="S807" s="520"/>
      <c r="T807" s="520"/>
      <c r="U807" s="1122"/>
      <c r="V807" s="520"/>
      <c r="W807" s="520"/>
      <c r="X807" s="520"/>
      <c r="Y807" s="520"/>
      <c r="Z807" s="1122"/>
      <c r="AA807" s="520"/>
      <c r="AB807" s="520"/>
      <c r="AC807" s="520"/>
      <c r="AD807" s="520"/>
      <c r="AE807" s="1122"/>
      <c r="AF807" s="520"/>
      <c r="AG807" s="520"/>
      <c r="AH807" s="520"/>
      <c r="AI807" s="520"/>
      <c r="AJ807" s="1122"/>
      <c r="AK807" s="520"/>
      <c r="AL807" s="520"/>
      <c r="AM807" s="520"/>
      <c r="AN807" s="520"/>
      <c r="AO807" s="1122"/>
      <c r="AP807" s="520"/>
      <c r="AQ807" s="520"/>
      <c r="AR807" s="520"/>
      <c r="AS807" s="520"/>
      <c r="AT807" s="1123">
        <v>313.3</v>
      </c>
      <c r="AU807" s="520"/>
      <c r="AV807" s="520"/>
      <c r="AW807" s="520"/>
      <c r="AX807" s="520"/>
      <c r="AY807" s="1123">
        <v>313.3</v>
      </c>
      <c r="AZ807" s="520"/>
      <c r="BA807" s="520"/>
      <c r="BB807" s="520"/>
      <c r="BC807" s="520"/>
      <c r="BD807" s="1123">
        <v>313.3</v>
      </c>
      <c r="BE807" s="520"/>
      <c r="BF807" s="520"/>
      <c r="BG807" s="520"/>
      <c r="BH807" s="520"/>
      <c r="BI807" s="1122"/>
      <c r="BJ807" s="520"/>
      <c r="BK807" s="520"/>
      <c r="BL807" s="520"/>
      <c r="BM807" s="520"/>
      <c r="BN807" s="1122"/>
      <c r="BO807" s="520"/>
      <c r="BP807" s="520"/>
      <c r="BQ807" s="520"/>
      <c r="BR807" s="520"/>
      <c r="BS807" s="1122"/>
      <c r="BT807" s="728"/>
      <c r="BU807" s="520"/>
      <c r="BV807" s="520"/>
      <c r="BW807" s="520"/>
      <c r="BX807" s="1122"/>
      <c r="BY807" s="520"/>
      <c r="BZ807" s="520"/>
      <c r="CA807" s="520"/>
      <c r="CB807" s="520"/>
      <c r="CC807" s="1122"/>
      <c r="CD807" s="1122"/>
      <c r="CE807" s="1122"/>
      <c r="CF807" s="1122"/>
      <c r="CG807" s="519"/>
    </row>
    <row r="808" spans="1:85" s="614" customFormat="1" x14ac:dyDescent="0.3">
      <c r="A808" s="522"/>
      <c r="B808" s="352"/>
      <c r="C808" s="1094"/>
      <c r="D808" s="1094"/>
      <c r="E808" s="1094"/>
      <c r="F808" s="1094"/>
      <c r="G808" s="197"/>
      <c r="H808" s="197"/>
      <c r="I808" s="197"/>
      <c r="J808" s="197"/>
      <c r="K808" s="1094"/>
      <c r="L808" s="197"/>
      <c r="M808" s="197"/>
      <c r="N808" s="197"/>
      <c r="O808" s="197"/>
      <c r="P808" s="1094"/>
      <c r="Q808" s="197"/>
      <c r="R808" s="197"/>
      <c r="S808" s="197"/>
      <c r="T808" s="197"/>
      <c r="U808" s="1094"/>
      <c r="V808" s="197"/>
      <c r="W808" s="197"/>
      <c r="X808" s="197"/>
      <c r="Y808" s="197"/>
      <c r="Z808" s="1094"/>
      <c r="AA808" s="197"/>
      <c r="AB808" s="197"/>
      <c r="AC808" s="197"/>
      <c r="AD808" s="197"/>
      <c r="AE808" s="1094"/>
      <c r="AF808" s="197"/>
      <c r="AG808" s="197"/>
      <c r="AH808" s="197"/>
      <c r="AI808" s="197"/>
      <c r="AJ808" s="1094"/>
      <c r="AK808" s="197"/>
      <c r="AL808" s="197"/>
      <c r="AM808" s="197"/>
      <c r="AN808" s="197"/>
      <c r="AO808" s="1094"/>
      <c r="AP808" s="197"/>
      <c r="AQ808" s="197"/>
      <c r="AR808" s="197"/>
      <c r="AS808" s="197"/>
      <c r="AT808" s="198"/>
      <c r="AU808" s="197"/>
      <c r="AV808" s="197"/>
      <c r="AW808" s="197"/>
      <c r="AX808" s="197"/>
      <c r="AY808" s="198"/>
      <c r="AZ808" s="197"/>
      <c r="BA808" s="197"/>
      <c r="BB808" s="197"/>
      <c r="BC808" s="197"/>
      <c r="BD808" s="198"/>
      <c r="BE808" s="197"/>
      <c r="BF808" s="197"/>
      <c r="BG808" s="197"/>
      <c r="BH808" s="197"/>
      <c r="BI808" s="1094"/>
      <c r="BJ808" s="197"/>
      <c r="BK808" s="197"/>
      <c r="BL808" s="197"/>
      <c r="BM808" s="197"/>
      <c r="BN808" s="1094"/>
      <c r="BO808" s="197"/>
      <c r="BP808" s="197"/>
      <c r="BQ808" s="197"/>
      <c r="BR808" s="197"/>
      <c r="BS808" s="1094"/>
      <c r="BT808" s="727"/>
      <c r="BU808" s="197"/>
      <c r="BV808" s="197"/>
      <c r="BW808" s="197"/>
      <c r="BX808" s="1094"/>
      <c r="BY808" s="197"/>
      <c r="BZ808" s="197"/>
      <c r="CA808" s="197"/>
      <c r="CB808" s="197"/>
      <c r="CC808" s="1094"/>
      <c r="CD808" s="1094"/>
      <c r="CE808" s="1094"/>
      <c r="CF808" s="1094"/>
      <c r="CG808" s="349"/>
    </row>
    <row r="809" spans="1:85" s="613" customFormat="1" x14ac:dyDescent="0.3">
      <c r="A809" s="478" t="s">
        <v>1556</v>
      </c>
      <c r="B809" s="523"/>
      <c r="C809" s="78"/>
      <c r="D809" s="78"/>
      <c r="E809" s="78"/>
      <c r="F809" s="78"/>
      <c r="G809" s="774"/>
      <c r="H809" s="774"/>
      <c r="I809" s="774"/>
      <c r="J809" s="774"/>
      <c r="K809" s="78"/>
      <c r="L809" s="774"/>
      <c r="M809" s="774"/>
      <c r="N809" s="774"/>
      <c r="O809" s="774"/>
      <c r="P809" s="78"/>
      <c r="Q809" s="774"/>
      <c r="R809" s="774"/>
      <c r="S809" s="774"/>
      <c r="T809" s="774"/>
      <c r="U809" s="78"/>
      <c r="V809" s="774"/>
      <c r="W809" s="774"/>
      <c r="X809" s="774"/>
      <c r="Y809" s="774"/>
      <c r="Z809" s="78"/>
      <c r="AA809" s="774"/>
      <c r="AB809" s="774"/>
      <c r="AC809" s="774"/>
      <c r="AD809" s="774"/>
      <c r="AE809" s="78"/>
      <c r="AF809" s="774"/>
      <c r="AG809" s="774"/>
      <c r="AH809" s="774"/>
      <c r="AI809" s="774"/>
      <c r="AJ809" s="78"/>
      <c r="AK809" s="774"/>
      <c r="AL809" s="774"/>
      <c r="AM809" s="774"/>
      <c r="AN809" s="774"/>
      <c r="AO809" s="78"/>
      <c r="AP809" s="774"/>
      <c r="AQ809" s="774"/>
      <c r="AR809" s="774"/>
      <c r="AS809" s="774"/>
      <c r="AT809" s="1119">
        <v>3.82</v>
      </c>
      <c r="AU809" s="774"/>
      <c r="AV809" s="774"/>
      <c r="AW809" s="774"/>
      <c r="AX809" s="774"/>
      <c r="AY809" s="1119">
        <v>3.82</v>
      </c>
      <c r="AZ809" s="774"/>
      <c r="BA809" s="774"/>
      <c r="BB809" s="774"/>
      <c r="BC809" s="774"/>
      <c r="BD809" s="1119">
        <v>3.82</v>
      </c>
      <c r="BE809" s="774"/>
      <c r="BF809" s="774"/>
      <c r="BG809" s="774"/>
      <c r="BH809" s="774"/>
      <c r="BI809" s="78"/>
      <c r="BJ809" s="774"/>
      <c r="BK809" s="774"/>
      <c r="BL809" s="774"/>
      <c r="BM809" s="774"/>
      <c r="BN809" s="78"/>
      <c r="BO809" s="774"/>
      <c r="BP809" s="774"/>
      <c r="BQ809" s="774"/>
      <c r="BR809" s="774"/>
      <c r="BS809" s="78"/>
      <c r="BT809" s="775"/>
      <c r="BU809" s="774"/>
      <c r="BV809" s="774"/>
      <c r="BW809" s="774"/>
      <c r="BX809" s="78"/>
      <c r="BY809" s="774"/>
      <c r="BZ809" s="774"/>
      <c r="CA809" s="774"/>
      <c r="CB809" s="774"/>
      <c r="CC809" s="78"/>
      <c r="CD809" s="78"/>
      <c r="CE809" s="78"/>
      <c r="CF809" s="78"/>
      <c r="CG809" s="532"/>
    </row>
    <row r="810" spans="1:85" s="615" customFormat="1" x14ac:dyDescent="0.3">
      <c r="A810" s="522" t="s">
        <v>1555</v>
      </c>
      <c r="B810" s="521"/>
      <c r="C810" s="1122"/>
      <c r="D810" s="1122"/>
      <c r="E810" s="1122"/>
      <c r="F810" s="1122"/>
      <c r="G810" s="520"/>
      <c r="H810" s="520"/>
      <c r="I810" s="520"/>
      <c r="J810" s="520"/>
      <c r="K810" s="1122"/>
      <c r="L810" s="520"/>
      <c r="M810" s="520"/>
      <c r="N810" s="520"/>
      <c r="O810" s="520"/>
      <c r="P810" s="1122"/>
      <c r="Q810" s="520"/>
      <c r="R810" s="520"/>
      <c r="S810" s="520"/>
      <c r="T810" s="520"/>
      <c r="U810" s="1122"/>
      <c r="V810" s="520"/>
      <c r="W810" s="520"/>
      <c r="X810" s="520"/>
      <c r="Y810" s="520"/>
      <c r="Z810" s="1122"/>
      <c r="AA810" s="520"/>
      <c r="AB810" s="520"/>
      <c r="AC810" s="520"/>
      <c r="AD810" s="520"/>
      <c r="AE810" s="1122"/>
      <c r="AF810" s="520"/>
      <c r="AG810" s="520"/>
      <c r="AH810" s="520"/>
      <c r="AI810" s="520"/>
      <c r="AJ810" s="1122"/>
      <c r="AK810" s="520"/>
      <c r="AL810" s="520"/>
      <c r="AM810" s="520"/>
      <c r="AN810" s="520"/>
      <c r="AO810" s="1122"/>
      <c r="AP810" s="520"/>
      <c r="AQ810" s="520"/>
      <c r="AR810" s="520"/>
      <c r="AS810" s="520"/>
      <c r="AT810" s="1123">
        <v>359.93</v>
      </c>
      <c r="AU810" s="520"/>
      <c r="AV810" s="520"/>
      <c r="AW810" s="520"/>
      <c r="AX810" s="520"/>
      <c r="AY810" s="1123">
        <v>359.93</v>
      </c>
      <c r="AZ810" s="520"/>
      <c r="BA810" s="520"/>
      <c r="BB810" s="520"/>
      <c r="BC810" s="520"/>
      <c r="BD810" s="1123">
        <v>359.93</v>
      </c>
      <c r="BE810" s="520"/>
      <c r="BF810" s="520"/>
      <c r="BG810" s="520"/>
      <c r="BH810" s="520"/>
      <c r="BI810" s="1122"/>
      <c r="BJ810" s="520"/>
      <c r="BK810" s="520"/>
      <c r="BL810" s="520"/>
      <c r="BM810" s="520"/>
      <c r="BN810" s="1122"/>
      <c r="BO810" s="520"/>
      <c r="BP810" s="520"/>
      <c r="BQ810" s="520"/>
      <c r="BR810" s="520"/>
      <c r="BS810" s="1122"/>
      <c r="BT810" s="728"/>
      <c r="BU810" s="520"/>
      <c r="BV810" s="520"/>
      <c r="BW810" s="520"/>
      <c r="BX810" s="1122"/>
      <c r="BY810" s="520"/>
      <c r="BZ810" s="520"/>
      <c r="CA810" s="520"/>
      <c r="CB810" s="520"/>
      <c r="CC810" s="1122"/>
      <c r="CD810" s="1122"/>
      <c r="CE810" s="1122"/>
      <c r="CF810" s="1122"/>
      <c r="CG810" s="519"/>
    </row>
    <row r="811" spans="1:85" s="614" customFormat="1" x14ac:dyDescent="0.3">
      <c r="A811" s="522"/>
      <c r="B811" s="352"/>
      <c r="C811" s="1094"/>
      <c r="D811" s="1094"/>
      <c r="E811" s="1094"/>
      <c r="F811" s="1094"/>
      <c r="G811" s="197"/>
      <c r="H811" s="197"/>
      <c r="I811" s="197"/>
      <c r="J811" s="197"/>
      <c r="K811" s="1094"/>
      <c r="L811" s="197"/>
      <c r="M811" s="197"/>
      <c r="N811" s="197"/>
      <c r="O811" s="197"/>
      <c r="P811" s="1094"/>
      <c r="Q811" s="197"/>
      <c r="R811" s="197"/>
      <c r="S811" s="197"/>
      <c r="T811" s="197"/>
      <c r="U811" s="1094"/>
      <c r="V811" s="197"/>
      <c r="W811" s="197"/>
      <c r="X811" s="197"/>
      <c r="Y811" s="197"/>
      <c r="Z811" s="1094"/>
      <c r="AA811" s="197"/>
      <c r="AB811" s="197"/>
      <c r="AC811" s="197"/>
      <c r="AD811" s="197"/>
      <c r="AE811" s="1094"/>
      <c r="AF811" s="197"/>
      <c r="AG811" s="197"/>
      <c r="AH811" s="197"/>
      <c r="AI811" s="197"/>
      <c r="AJ811" s="1094"/>
      <c r="AK811" s="197"/>
      <c r="AL811" s="197"/>
      <c r="AM811" s="197"/>
      <c r="AN811" s="197"/>
      <c r="AO811" s="1094"/>
      <c r="AP811" s="197"/>
      <c r="AQ811" s="197"/>
      <c r="AR811" s="197"/>
      <c r="AS811" s="197"/>
      <c r="AT811" s="198"/>
      <c r="AU811" s="197"/>
      <c r="AV811" s="197"/>
      <c r="AW811" s="197"/>
      <c r="AX811" s="197"/>
      <c r="AY811" s="198"/>
      <c r="AZ811" s="197"/>
      <c r="BA811" s="197"/>
      <c r="BB811" s="197"/>
      <c r="BC811" s="197"/>
      <c r="BD811" s="198"/>
      <c r="BE811" s="197"/>
      <c r="BF811" s="197"/>
      <c r="BG811" s="197"/>
      <c r="BH811" s="197"/>
      <c r="BI811" s="1094"/>
      <c r="BJ811" s="197"/>
      <c r="BK811" s="197"/>
      <c r="BL811" s="197"/>
      <c r="BM811" s="197"/>
      <c r="BN811" s="1094"/>
      <c r="BO811" s="197"/>
      <c r="BP811" s="197"/>
      <c r="BQ811" s="197"/>
      <c r="BR811" s="197"/>
      <c r="BS811" s="1094"/>
      <c r="BT811" s="727"/>
      <c r="BU811" s="197"/>
      <c r="BV811" s="197"/>
      <c r="BW811" s="197"/>
      <c r="BX811" s="1094"/>
      <c r="BY811" s="197"/>
      <c r="BZ811" s="197"/>
      <c r="CA811" s="197"/>
      <c r="CB811" s="197"/>
      <c r="CC811" s="1094"/>
      <c r="CD811" s="1094"/>
      <c r="CE811" s="1094"/>
      <c r="CF811" s="1094"/>
      <c r="CG811" s="349"/>
    </row>
    <row r="812" spans="1:85" s="613" customFormat="1" x14ac:dyDescent="0.3">
      <c r="A812" s="478" t="s">
        <v>1554</v>
      </c>
      <c r="B812" s="523"/>
      <c r="C812" s="78"/>
      <c r="D812" s="78"/>
      <c r="E812" s="78"/>
      <c r="F812" s="78"/>
      <c r="G812" s="774"/>
      <c r="H812" s="774"/>
      <c r="I812" s="774"/>
      <c r="J812" s="774"/>
      <c r="K812" s="78"/>
      <c r="L812" s="774"/>
      <c r="M812" s="774"/>
      <c r="N812" s="774"/>
      <c r="O812" s="774"/>
      <c r="P812" s="78"/>
      <c r="Q812" s="774"/>
      <c r="R812" s="774"/>
      <c r="S812" s="774"/>
      <c r="T812" s="774"/>
      <c r="U812" s="78"/>
      <c r="V812" s="774"/>
      <c r="W812" s="774"/>
      <c r="X812" s="774"/>
      <c r="Y812" s="774"/>
      <c r="Z812" s="78"/>
      <c r="AA812" s="774"/>
      <c r="AB812" s="774"/>
      <c r="AC812" s="774"/>
      <c r="AD812" s="774"/>
      <c r="AE812" s="78"/>
      <c r="AF812" s="774"/>
      <c r="AG812" s="774"/>
      <c r="AH812" s="774"/>
      <c r="AI812" s="774"/>
      <c r="AJ812" s="78"/>
      <c r="AK812" s="774"/>
      <c r="AL812" s="774"/>
      <c r="AM812" s="774"/>
      <c r="AN812" s="774"/>
      <c r="AO812" s="78"/>
      <c r="AP812" s="774"/>
      <c r="AQ812" s="774"/>
      <c r="AR812" s="774"/>
      <c r="AS812" s="774"/>
      <c r="AT812" s="1119">
        <v>3.4529999999999998</v>
      </c>
      <c r="AU812" s="774"/>
      <c r="AV812" s="774"/>
      <c r="AW812" s="774"/>
      <c r="AX812" s="774"/>
      <c r="AY812" s="1119">
        <v>3.4529999999999998</v>
      </c>
      <c r="AZ812" s="774"/>
      <c r="BA812" s="774"/>
      <c r="BB812" s="774"/>
      <c r="BC812" s="774"/>
      <c r="BD812" s="1119">
        <v>3.4529999999999998</v>
      </c>
      <c r="BE812" s="774"/>
      <c r="BF812" s="774"/>
      <c r="BG812" s="774"/>
      <c r="BH812" s="774"/>
      <c r="BI812" s="78"/>
      <c r="BJ812" s="774"/>
      <c r="BK812" s="774"/>
      <c r="BL812" s="774"/>
      <c r="BM812" s="774"/>
      <c r="BN812" s="78"/>
      <c r="BO812" s="774"/>
      <c r="BP812" s="774"/>
      <c r="BQ812" s="774"/>
      <c r="BR812" s="774"/>
      <c r="BS812" s="78"/>
      <c r="BT812" s="775"/>
      <c r="BU812" s="774"/>
      <c r="BV812" s="774"/>
      <c r="BW812" s="774"/>
      <c r="BX812" s="78"/>
      <c r="BY812" s="774"/>
      <c r="BZ812" s="774"/>
      <c r="CA812" s="774"/>
      <c r="CB812" s="774"/>
      <c r="CC812" s="78"/>
      <c r="CD812" s="78"/>
      <c r="CE812" s="78"/>
      <c r="CF812" s="78"/>
      <c r="CG812" s="532"/>
    </row>
    <row r="813" spans="1:85" s="615" customFormat="1" x14ac:dyDescent="0.3">
      <c r="A813" s="522" t="s">
        <v>1553</v>
      </c>
      <c r="B813" s="521"/>
      <c r="C813" s="1122"/>
      <c r="D813" s="1122"/>
      <c r="E813" s="1122"/>
      <c r="F813" s="1122"/>
      <c r="G813" s="520"/>
      <c r="H813" s="520"/>
      <c r="I813" s="520"/>
      <c r="J813" s="520"/>
      <c r="K813" s="1122"/>
      <c r="L813" s="520"/>
      <c r="M813" s="520"/>
      <c r="N813" s="520"/>
      <c r="O813" s="520"/>
      <c r="P813" s="1122"/>
      <c r="Q813" s="520"/>
      <c r="R813" s="520"/>
      <c r="S813" s="520"/>
      <c r="T813" s="520"/>
      <c r="U813" s="1122"/>
      <c r="V813" s="520"/>
      <c r="W813" s="520"/>
      <c r="X813" s="520"/>
      <c r="Y813" s="520"/>
      <c r="Z813" s="1122"/>
      <c r="AA813" s="520"/>
      <c r="AB813" s="520"/>
      <c r="AC813" s="520"/>
      <c r="AD813" s="520"/>
      <c r="AE813" s="1122"/>
      <c r="AF813" s="520"/>
      <c r="AG813" s="520"/>
      <c r="AH813" s="520"/>
      <c r="AI813" s="520"/>
      <c r="AJ813" s="1122"/>
      <c r="AK813" s="520"/>
      <c r="AL813" s="520"/>
      <c r="AM813" s="520"/>
      <c r="AN813" s="520"/>
      <c r="AO813" s="1122"/>
      <c r="AP813" s="520"/>
      <c r="AQ813" s="520"/>
      <c r="AR813" s="520"/>
      <c r="AS813" s="520"/>
      <c r="AT813" s="1123">
        <v>398.18</v>
      </c>
      <c r="AU813" s="520"/>
      <c r="AV813" s="520"/>
      <c r="AW813" s="520"/>
      <c r="AX813" s="520"/>
      <c r="AY813" s="1123">
        <v>398.18</v>
      </c>
      <c r="AZ813" s="520"/>
      <c r="BA813" s="520"/>
      <c r="BB813" s="520"/>
      <c r="BC813" s="520"/>
      <c r="BD813" s="1123">
        <v>398.18</v>
      </c>
      <c r="BE813" s="520"/>
      <c r="BF813" s="520"/>
      <c r="BG813" s="520"/>
      <c r="BH813" s="520"/>
      <c r="BI813" s="1122"/>
      <c r="BJ813" s="520"/>
      <c r="BK813" s="520"/>
      <c r="BL813" s="520"/>
      <c r="BM813" s="520"/>
      <c r="BN813" s="1122"/>
      <c r="BO813" s="520"/>
      <c r="BP813" s="520"/>
      <c r="BQ813" s="520"/>
      <c r="BR813" s="520"/>
      <c r="BS813" s="1122"/>
      <c r="BT813" s="728"/>
      <c r="BU813" s="520"/>
      <c r="BV813" s="520"/>
      <c r="BW813" s="520"/>
      <c r="BX813" s="1122"/>
      <c r="BY813" s="520"/>
      <c r="BZ813" s="520"/>
      <c r="CA813" s="520"/>
      <c r="CB813" s="520"/>
      <c r="CC813" s="1122"/>
      <c r="CD813" s="1122"/>
      <c r="CE813" s="1122"/>
      <c r="CF813" s="1122"/>
      <c r="CG813" s="519"/>
    </row>
    <row r="814" spans="1:85" s="614" customFormat="1" x14ac:dyDescent="0.3">
      <c r="A814" s="522"/>
      <c r="B814" s="352"/>
      <c r="C814" s="1094"/>
      <c r="D814" s="1094"/>
      <c r="E814" s="1094"/>
      <c r="F814" s="1094"/>
      <c r="G814" s="197"/>
      <c r="H814" s="197"/>
      <c r="I814" s="197"/>
      <c r="J814" s="197"/>
      <c r="K814" s="1094"/>
      <c r="L814" s="197"/>
      <c r="M814" s="197"/>
      <c r="N814" s="197"/>
      <c r="O814" s="197"/>
      <c r="P814" s="1094"/>
      <c r="Q814" s="197"/>
      <c r="R814" s="197"/>
      <c r="S814" s="197"/>
      <c r="T814" s="197"/>
      <c r="U814" s="1094"/>
      <c r="V814" s="197"/>
      <c r="W814" s="197"/>
      <c r="X814" s="197"/>
      <c r="Y814" s="197"/>
      <c r="Z814" s="1094"/>
      <c r="AA814" s="197"/>
      <c r="AB814" s="197"/>
      <c r="AC814" s="197"/>
      <c r="AD814" s="197"/>
      <c r="AE814" s="1094"/>
      <c r="AF814" s="197"/>
      <c r="AG814" s="197"/>
      <c r="AH814" s="197"/>
      <c r="AI814" s="197"/>
      <c r="AJ814" s="1094"/>
      <c r="AK814" s="197"/>
      <c r="AL814" s="197"/>
      <c r="AM814" s="197"/>
      <c r="AN814" s="197"/>
      <c r="AO814" s="1094"/>
      <c r="AP814" s="197"/>
      <c r="AQ814" s="197"/>
      <c r="AR814" s="197"/>
      <c r="AS814" s="197"/>
      <c r="AT814" s="198"/>
      <c r="AU814" s="197"/>
      <c r="AV814" s="197"/>
      <c r="AW814" s="197"/>
      <c r="AX814" s="197"/>
      <c r="AY814" s="198"/>
      <c r="AZ814" s="197"/>
      <c r="BA814" s="197"/>
      <c r="BB814" s="197"/>
      <c r="BC814" s="197"/>
      <c r="BD814" s="198"/>
      <c r="BE814" s="197"/>
      <c r="BF814" s="197"/>
      <c r="BG814" s="197"/>
      <c r="BH814" s="197"/>
      <c r="BI814" s="1094"/>
      <c r="BJ814" s="197"/>
      <c r="BK814" s="197"/>
      <c r="BL814" s="197"/>
      <c r="BM814" s="197"/>
      <c r="BN814" s="1094"/>
      <c r="BO814" s="197"/>
      <c r="BP814" s="197"/>
      <c r="BQ814" s="197"/>
      <c r="BR814" s="197"/>
      <c r="BS814" s="1094"/>
      <c r="BT814" s="727"/>
      <c r="BU814" s="197"/>
      <c r="BV814" s="197"/>
      <c r="BW814" s="197"/>
      <c r="BX814" s="1094"/>
      <c r="BY814" s="197"/>
      <c r="BZ814" s="197"/>
      <c r="CA814" s="197"/>
      <c r="CB814" s="197"/>
      <c r="CC814" s="1094"/>
      <c r="CD814" s="1094"/>
      <c r="CE814" s="1094"/>
      <c r="CF814" s="1094"/>
      <c r="CG814" s="349"/>
    </row>
    <row r="815" spans="1:85" s="613" customFormat="1" x14ac:dyDescent="0.3">
      <c r="A815" s="478" t="s">
        <v>1552</v>
      </c>
      <c r="B815" s="523"/>
      <c r="C815" s="78"/>
      <c r="D815" s="78"/>
      <c r="E815" s="78"/>
      <c r="F815" s="78"/>
      <c r="G815" s="774"/>
      <c r="H815" s="774"/>
      <c r="I815" s="774"/>
      <c r="J815" s="774"/>
      <c r="K815" s="78"/>
      <c r="L815" s="774"/>
      <c r="M815" s="774"/>
      <c r="N815" s="774"/>
      <c r="O815" s="774"/>
      <c r="P815" s="78"/>
      <c r="Q815" s="774"/>
      <c r="R815" s="774"/>
      <c r="S815" s="774"/>
      <c r="T815" s="774"/>
      <c r="U815" s="78"/>
      <c r="V815" s="774"/>
      <c r="W815" s="774"/>
      <c r="X815" s="774"/>
      <c r="Y815" s="774"/>
      <c r="Z815" s="78"/>
      <c r="AA815" s="774"/>
      <c r="AB815" s="774"/>
      <c r="AC815" s="774"/>
      <c r="AD815" s="774"/>
      <c r="AE815" s="78"/>
      <c r="AF815" s="774"/>
      <c r="AG815" s="774"/>
      <c r="AH815" s="774"/>
      <c r="AI815" s="774"/>
      <c r="AJ815" s="78"/>
      <c r="AK815" s="774"/>
      <c r="AL815" s="774"/>
      <c r="AM815" s="774"/>
      <c r="AN815" s="774"/>
      <c r="AO815" s="78"/>
      <c r="AP815" s="774"/>
      <c r="AQ815" s="774"/>
      <c r="AR815" s="774"/>
      <c r="AS815" s="774"/>
      <c r="AT815" s="1119">
        <v>4.0629999999999997</v>
      </c>
      <c r="AU815" s="774"/>
      <c r="AV815" s="774"/>
      <c r="AW815" s="774"/>
      <c r="AX815" s="774"/>
      <c r="AY815" s="1119">
        <v>4.0629999999999997</v>
      </c>
      <c r="AZ815" s="774"/>
      <c r="BA815" s="774"/>
      <c r="BB815" s="774"/>
      <c r="BC815" s="774"/>
      <c r="BD815" s="1119">
        <v>4.0629999999999997</v>
      </c>
      <c r="BE815" s="774"/>
      <c r="BF815" s="774"/>
      <c r="BG815" s="774"/>
      <c r="BH815" s="774"/>
      <c r="BI815" s="78"/>
      <c r="BJ815" s="774"/>
      <c r="BK815" s="774"/>
      <c r="BL815" s="774"/>
      <c r="BM815" s="774"/>
      <c r="BN815" s="78"/>
      <c r="BO815" s="774"/>
      <c r="BP815" s="774"/>
      <c r="BQ815" s="774"/>
      <c r="BR815" s="774"/>
      <c r="BS815" s="78"/>
      <c r="BT815" s="775"/>
      <c r="BU815" s="774"/>
      <c r="BV815" s="774"/>
      <c r="BW815" s="774"/>
      <c r="BX815" s="78"/>
      <c r="BY815" s="774"/>
      <c r="BZ815" s="774"/>
      <c r="CA815" s="774"/>
      <c r="CB815" s="774"/>
      <c r="CC815" s="78"/>
      <c r="CD815" s="78"/>
      <c r="CE815" s="78"/>
      <c r="CF815" s="78"/>
      <c r="CG815" s="532"/>
    </row>
    <row r="816" spans="1:85" s="615" customFormat="1" x14ac:dyDescent="0.3">
      <c r="A816" s="522" t="s">
        <v>1551</v>
      </c>
      <c r="B816" s="521"/>
      <c r="C816" s="1122"/>
      <c r="D816" s="1122"/>
      <c r="E816" s="1122"/>
      <c r="F816" s="1122"/>
      <c r="G816" s="520"/>
      <c r="H816" s="520"/>
      <c r="I816" s="520"/>
      <c r="J816" s="520"/>
      <c r="K816" s="1122"/>
      <c r="L816" s="520"/>
      <c r="M816" s="520"/>
      <c r="N816" s="520"/>
      <c r="O816" s="520"/>
      <c r="P816" s="1122"/>
      <c r="Q816" s="520"/>
      <c r="R816" s="520"/>
      <c r="S816" s="520"/>
      <c r="T816" s="520"/>
      <c r="U816" s="1122"/>
      <c r="V816" s="520"/>
      <c r="W816" s="520"/>
      <c r="X816" s="520"/>
      <c r="Y816" s="520"/>
      <c r="Z816" s="1122"/>
      <c r="AA816" s="520"/>
      <c r="AB816" s="520"/>
      <c r="AC816" s="520"/>
      <c r="AD816" s="520"/>
      <c r="AE816" s="1122"/>
      <c r="AF816" s="520"/>
      <c r="AG816" s="520"/>
      <c r="AH816" s="520"/>
      <c r="AI816" s="520"/>
      <c r="AJ816" s="1122"/>
      <c r="AK816" s="520"/>
      <c r="AL816" s="520"/>
      <c r="AM816" s="520"/>
      <c r="AN816" s="520"/>
      <c r="AO816" s="1122"/>
      <c r="AP816" s="520"/>
      <c r="AQ816" s="520"/>
      <c r="AR816" s="520"/>
      <c r="AS816" s="520"/>
      <c r="AT816" s="1123">
        <v>338.38</v>
      </c>
      <c r="AU816" s="520"/>
      <c r="AV816" s="520"/>
      <c r="AW816" s="520"/>
      <c r="AX816" s="520"/>
      <c r="AY816" s="1123">
        <v>338.38</v>
      </c>
      <c r="AZ816" s="520"/>
      <c r="BA816" s="520"/>
      <c r="BB816" s="520"/>
      <c r="BC816" s="520"/>
      <c r="BD816" s="1123">
        <v>338.38</v>
      </c>
      <c r="BE816" s="520"/>
      <c r="BF816" s="520"/>
      <c r="BG816" s="520"/>
      <c r="BH816" s="520"/>
      <c r="BI816" s="1122"/>
      <c r="BJ816" s="520"/>
      <c r="BK816" s="520"/>
      <c r="BL816" s="520"/>
      <c r="BM816" s="520"/>
      <c r="BN816" s="1122"/>
      <c r="BO816" s="520"/>
      <c r="BP816" s="520"/>
      <c r="BQ816" s="520"/>
      <c r="BR816" s="520"/>
      <c r="BS816" s="1122"/>
      <c r="BT816" s="728"/>
      <c r="BU816" s="520"/>
      <c r="BV816" s="520"/>
      <c r="BW816" s="520"/>
      <c r="BX816" s="1122"/>
      <c r="BY816" s="520"/>
      <c r="BZ816" s="520"/>
      <c r="CA816" s="520"/>
      <c r="CB816" s="520"/>
      <c r="CC816" s="1122"/>
      <c r="CD816" s="1122"/>
      <c r="CE816" s="1122"/>
      <c r="CF816" s="1122"/>
      <c r="CG816" s="519"/>
    </row>
    <row r="817" spans="1:85" s="614" customFormat="1" x14ac:dyDescent="0.3">
      <c r="A817" s="522"/>
      <c r="B817" s="352"/>
      <c r="C817" s="1094"/>
      <c r="D817" s="1094"/>
      <c r="E817" s="1094"/>
      <c r="F817" s="1094"/>
      <c r="G817" s="197"/>
      <c r="H817" s="197"/>
      <c r="I817" s="197"/>
      <c r="J817" s="197"/>
      <c r="K817" s="1094"/>
      <c r="L817" s="197"/>
      <c r="M817" s="197"/>
      <c r="N817" s="197"/>
      <c r="O817" s="197"/>
      <c r="P817" s="1094"/>
      <c r="Q817" s="197"/>
      <c r="R817" s="197"/>
      <c r="S817" s="197"/>
      <c r="T817" s="197"/>
      <c r="U817" s="1094"/>
      <c r="V817" s="197"/>
      <c r="W817" s="197"/>
      <c r="X817" s="197"/>
      <c r="Y817" s="197"/>
      <c r="Z817" s="1094"/>
      <c r="AA817" s="197"/>
      <c r="AB817" s="197"/>
      <c r="AC817" s="197"/>
      <c r="AD817" s="197"/>
      <c r="AE817" s="1094"/>
      <c r="AF817" s="197"/>
      <c r="AG817" s="197"/>
      <c r="AH817" s="197"/>
      <c r="AI817" s="197"/>
      <c r="AJ817" s="1094"/>
      <c r="AK817" s="197"/>
      <c r="AL817" s="197"/>
      <c r="AM817" s="197"/>
      <c r="AN817" s="197"/>
      <c r="AO817" s="1094"/>
      <c r="AP817" s="197"/>
      <c r="AQ817" s="197"/>
      <c r="AR817" s="197"/>
      <c r="AS817" s="197"/>
      <c r="AT817" s="198"/>
      <c r="AU817" s="197"/>
      <c r="AV817" s="197"/>
      <c r="AW817" s="197"/>
      <c r="AX817" s="197"/>
      <c r="AY817" s="198"/>
      <c r="AZ817" s="197"/>
      <c r="BA817" s="197"/>
      <c r="BB817" s="197"/>
      <c r="BC817" s="197"/>
      <c r="BD817" s="198"/>
      <c r="BE817" s="197"/>
      <c r="BF817" s="197"/>
      <c r="BG817" s="197"/>
      <c r="BH817" s="197"/>
      <c r="BI817" s="1094"/>
      <c r="BJ817" s="197"/>
      <c r="BK817" s="197"/>
      <c r="BL817" s="197"/>
      <c r="BM817" s="197"/>
      <c r="BN817" s="1094"/>
      <c r="BO817" s="197"/>
      <c r="BP817" s="197"/>
      <c r="BQ817" s="197"/>
      <c r="BR817" s="197"/>
      <c r="BS817" s="1094"/>
      <c r="BT817" s="727"/>
      <c r="BU817" s="197"/>
      <c r="BV817" s="197"/>
      <c r="BW817" s="197"/>
      <c r="BX817" s="1094"/>
      <c r="BY817" s="197"/>
      <c r="BZ817" s="197"/>
      <c r="CA817" s="197"/>
      <c r="CB817" s="197"/>
      <c r="CC817" s="1094"/>
      <c r="CD817" s="1094"/>
      <c r="CE817" s="1094"/>
      <c r="CF817" s="1094"/>
      <c r="CG817" s="349"/>
    </row>
    <row r="818" spans="1:85" s="613" customFormat="1" x14ac:dyDescent="0.3">
      <c r="A818" s="478" t="s">
        <v>1550</v>
      </c>
      <c r="B818" s="523"/>
      <c r="C818" s="78"/>
      <c r="D818" s="78"/>
      <c r="E818" s="78"/>
      <c r="F818" s="78"/>
      <c r="G818" s="774"/>
      <c r="H818" s="774"/>
      <c r="I818" s="774"/>
      <c r="J818" s="774"/>
      <c r="K818" s="78"/>
      <c r="L818" s="774"/>
      <c r="M818" s="774"/>
      <c r="N818" s="774"/>
      <c r="O818" s="774"/>
      <c r="P818" s="78"/>
      <c r="Q818" s="774"/>
      <c r="R818" s="774"/>
      <c r="S818" s="774"/>
      <c r="T818" s="774"/>
      <c r="U818" s="78"/>
      <c r="V818" s="774"/>
      <c r="W818" s="774"/>
      <c r="X818" s="774"/>
      <c r="Y818" s="774"/>
      <c r="Z818" s="78"/>
      <c r="AA818" s="774"/>
      <c r="AB818" s="774"/>
      <c r="AC818" s="774"/>
      <c r="AD818" s="774"/>
      <c r="AE818" s="78"/>
      <c r="AF818" s="774"/>
      <c r="AG818" s="774"/>
      <c r="AH818" s="774"/>
      <c r="AI818" s="774"/>
      <c r="AJ818" s="78"/>
      <c r="AK818" s="774"/>
      <c r="AL818" s="774"/>
      <c r="AM818" s="774"/>
      <c r="AN818" s="774"/>
      <c r="AO818" s="78"/>
      <c r="AP818" s="774"/>
      <c r="AQ818" s="774"/>
      <c r="AR818" s="774"/>
      <c r="AS818" s="774"/>
      <c r="AT818" s="1119">
        <v>3.782</v>
      </c>
      <c r="AU818" s="774"/>
      <c r="AV818" s="774"/>
      <c r="AW818" s="774"/>
      <c r="AX818" s="774"/>
      <c r="AY818" s="1119">
        <v>3.782</v>
      </c>
      <c r="AZ818" s="774"/>
      <c r="BA818" s="774"/>
      <c r="BB818" s="774"/>
      <c r="BC818" s="774"/>
      <c r="BD818" s="1119">
        <v>3.782</v>
      </c>
      <c r="BE818" s="774"/>
      <c r="BF818" s="774"/>
      <c r="BG818" s="774"/>
      <c r="BH818" s="774"/>
      <c r="BI818" s="78"/>
      <c r="BJ818" s="774"/>
      <c r="BK818" s="774"/>
      <c r="BL818" s="774"/>
      <c r="BM818" s="774"/>
      <c r="BN818" s="78"/>
      <c r="BO818" s="774"/>
      <c r="BP818" s="774"/>
      <c r="BQ818" s="774"/>
      <c r="BR818" s="774"/>
      <c r="BS818" s="78"/>
      <c r="BT818" s="775"/>
      <c r="BU818" s="774"/>
      <c r="BV818" s="774"/>
      <c r="BW818" s="774"/>
      <c r="BX818" s="78"/>
      <c r="BY818" s="774"/>
      <c r="BZ818" s="774"/>
      <c r="CA818" s="774"/>
      <c r="CB818" s="774"/>
      <c r="CC818" s="78"/>
      <c r="CD818" s="78"/>
      <c r="CE818" s="78"/>
      <c r="CF818" s="78"/>
      <c r="CG818" s="532"/>
    </row>
    <row r="819" spans="1:85" s="615" customFormat="1" x14ac:dyDescent="0.3">
      <c r="A819" s="522" t="s">
        <v>1549</v>
      </c>
      <c r="B819" s="521"/>
      <c r="C819" s="1122"/>
      <c r="D819" s="1122"/>
      <c r="E819" s="1122"/>
      <c r="F819" s="1122"/>
      <c r="G819" s="520"/>
      <c r="H819" s="520"/>
      <c r="I819" s="520"/>
      <c r="J819" s="520"/>
      <c r="K819" s="1122"/>
      <c r="L819" s="520"/>
      <c r="M819" s="520"/>
      <c r="N819" s="520"/>
      <c r="O819" s="520"/>
      <c r="P819" s="1122"/>
      <c r="Q819" s="520"/>
      <c r="R819" s="520"/>
      <c r="S819" s="520"/>
      <c r="T819" s="520"/>
      <c r="U819" s="1122"/>
      <c r="V819" s="520"/>
      <c r="W819" s="520"/>
      <c r="X819" s="520"/>
      <c r="Y819" s="520"/>
      <c r="Z819" s="1122"/>
      <c r="AA819" s="520"/>
      <c r="AB819" s="520"/>
      <c r="AC819" s="520"/>
      <c r="AD819" s="520"/>
      <c r="AE819" s="1122"/>
      <c r="AF819" s="520"/>
      <c r="AG819" s="520"/>
      <c r="AH819" s="520"/>
      <c r="AI819" s="520"/>
      <c r="AJ819" s="1122"/>
      <c r="AK819" s="520"/>
      <c r="AL819" s="520"/>
      <c r="AM819" s="520"/>
      <c r="AN819" s="520"/>
      <c r="AO819" s="1122"/>
      <c r="AP819" s="520"/>
      <c r="AQ819" s="520"/>
      <c r="AR819" s="520"/>
      <c r="AS819" s="520"/>
      <c r="AT819" s="1123">
        <v>363.6</v>
      </c>
      <c r="AU819" s="520"/>
      <c r="AV819" s="520"/>
      <c r="AW819" s="520"/>
      <c r="AX819" s="520"/>
      <c r="AY819" s="1123">
        <v>363.6</v>
      </c>
      <c r="AZ819" s="520"/>
      <c r="BA819" s="520"/>
      <c r="BB819" s="520"/>
      <c r="BC819" s="520"/>
      <c r="BD819" s="1123">
        <v>363.6</v>
      </c>
      <c r="BE819" s="520"/>
      <c r="BF819" s="520"/>
      <c r="BG819" s="520"/>
      <c r="BH819" s="520"/>
      <c r="BI819" s="1122"/>
      <c r="BJ819" s="520"/>
      <c r="BK819" s="520"/>
      <c r="BL819" s="520"/>
      <c r="BM819" s="520"/>
      <c r="BN819" s="1122"/>
      <c r="BO819" s="520"/>
      <c r="BP819" s="520"/>
      <c r="BQ819" s="520"/>
      <c r="BR819" s="520"/>
      <c r="BS819" s="1122"/>
      <c r="BT819" s="728"/>
      <c r="BU819" s="520"/>
      <c r="BV819" s="520"/>
      <c r="BW819" s="520"/>
      <c r="BX819" s="1122"/>
      <c r="BY819" s="520"/>
      <c r="BZ819" s="520"/>
      <c r="CA819" s="520"/>
      <c r="CB819" s="520"/>
      <c r="CC819" s="1122"/>
      <c r="CD819" s="1122"/>
      <c r="CE819" s="1122"/>
      <c r="CF819" s="1122"/>
      <c r="CG819" s="519"/>
    </row>
    <row r="820" spans="1:85" s="614" customFormat="1" x14ac:dyDescent="0.3">
      <c r="A820" s="522"/>
      <c r="B820" s="352"/>
      <c r="C820" s="1094"/>
      <c r="D820" s="1094"/>
      <c r="E820" s="1094"/>
      <c r="F820" s="1094"/>
      <c r="G820" s="197"/>
      <c r="H820" s="197"/>
      <c r="I820" s="197"/>
      <c r="J820" s="197"/>
      <c r="K820" s="1094"/>
      <c r="L820" s="197"/>
      <c r="M820" s="197"/>
      <c r="N820" s="197"/>
      <c r="O820" s="197"/>
      <c r="P820" s="1094"/>
      <c r="Q820" s="197"/>
      <c r="R820" s="197"/>
      <c r="S820" s="197"/>
      <c r="T820" s="197"/>
      <c r="U820" s="1094"/>
      <c r="V820" s="197"/>
      <c r="W820" s="197"/>
      <c r="X820" s="197"/>
      <c r="Y820" s="197"/>
      <c r="Z820" s="1094"/>
      <c r="AA820" s="197"/>
      <c r="AB820" s="197"/>
      <c r="AC820" s="197"/>
      <c r="AD820" s="197"/>
      <c r="AE820" s="1094"/>
      <c r="AF820" s="197"/>
      <c r="AG820" s="197"/>
      <c r="AH820" s="197"/>
      <c r="AI820" s="197"/>
      <c r="AJ820" s="1094"/>
      <c r="AK820" s="197"/>
      <c r="AL820" s="197"/>
      <c r="AM820" s="197"/>
      <c r="AN820" s="197"/>
      <c r="AO820" s="1094"/>
      <c r="AP820" s="197"/>
      <c r="AQ820" s="197"/>
      <c r="AR820" s="197"/>
      <c r="AS820" s="197"/>
      <c r="AT820" s="198"/>
      <c r="AU820" s="197"/>
      <c r="AV820" s="197"/>
      <c r="AW820" s="197"/>
      <c r="AX820" s="197"/>
      <c r="AY820" s="198"/>
      <c r="AZ820" s="197"/>
      <c r="BA820" s="197"/>
      <c r="BB820" s="197"/>
      <c r="BC820" s="197"/>
      <c r="BD820" s="198"/>
      <c r="BE820" s="197"/>
      <c r="BF820" s="197"/>
      <c r="BG820" s="197"/>
      <c r="BH820" s="197"/>
      <c r="BI820" s="1094"/>
      <c r="BJ820" s="197"/>
      <c r="BK820" s="197"/>
      <c r="BL820" s="197"/>
      <c r="BM820" s="197"/>
      <c r="BN820" s="1094"/>
      <c r="BO820" s="197"/>
      <c r="BP820" s="197"/>
      <c r="BQ820" s="197"/>
      <c r="BR820" s="197"/>
      <c r="BS820" s="1094"/>
      <c r="BT820" s="727"/>
      <c r="BU820" s="197"/>
      <c r="BV820" s="197"/>
      <c r="BW820" s="197"/>
      <c r="BX820" s="1094"/>
      <c r="BY820" s="197"/>
      <c r="BZ820" s="197"/>
      <c r="CA820" s="197"/>
      <c r="CB820" s="197"/>
      <c r="CC820" s="1094"/>
      <c r="CD820" s="1094"/>
      <c r="CE820" s="1094"/>
      <c r="CF820" s="1094"/>
      <c r="CG820" s="349"/>
    </row>
    <row r="821" spans="1:85" s="613" customFormat="1" x14ac:dyDescent="0.3">
      <c r="A821" s="478" t="s">
        <v>1548</v>
      </c>
      <c r="B821" s="523"/>
      <c r="C821" s="78"/>
      <c r="D821" s="78"/>
      <c r="E821" s="78"/>
      <c r="F821" s="78"/>
      <c r="G821" s="774"/>
      <c r="H821" s="774"/>
      <c r="I821" s="774"/>
      <c r="J821" s="774"/>
      <c r="K821" s="78"/>
      <c r="L821" s="774"/>
      <c r="M821" s="774"/>
      <c r="N821" s="774"/>
      <c r="O821" s="774"/>
      <c r="P821" s="78"/>
      <c r="Q821" s="774"/>
      <c r="R821" s="774"/>
      <c r="S821" s="774"/>
      <c r="T821" s="774"/>
      <c r="U821" s="78"/>
      <c r="V821" s="774"/>
      <c r="W821" s="774"/>
      <c r="X821" s="774"/>
      <c r="Y821" s="774"/>
      <c r="Z821" s="78"/>
      <c r="AA821" s="774"/>
      <c r="AB821" s="774"/>
      <c r="AC821" s="774"/>
      <c r="AD821" s="774"/>
      <c r="AE821" s="78"/>
      <c r="AF821" s="774"/>
      <c r="AG821" s="774"/>
      <c r="AH821" s="774"/>
      <c r="AI821" s="774"/>
      <c r="AJ821" s="78"/>
      <c r="AK821" s="774"/>
      <c r="AL821" s="774"/>
      <c r="AM821" s="774"/>
      <c r="AN821" s="774"/>
      <c r="AO821" s="78"/>
      <c r="AP821" s="774"/>
      <c r="AQ821" s="774"/>
      <c r="AR821" s="774"/>
      <c r="AS821" s="774"/>
      <c r="AT821" s="1119">
        <v>3.605</v>
      </c>
      <c r="AU821" s="774"/>
      <c r="AV821" s="774"/>
      <c r="AW821" s="774"/>
      <c r="AX821" s="774"/>
      <c r="AY821" s="1119">
        <v>3.605</v>
      </c>
      <c r="AZ821" s="774"/>
      <c r="BA821" s="774"/>
      <c r="BB821" s="774"/>
      <c r="BC821" s="774"/>
      <c r="BD821" s="1119">
        <v>3.605</v>
      </c>
      <c r="BE821" s="774"/>
      <c r="BF821" s="774"/>
      <c r="BG821" s="774"/>
      <c r="BH821" s="774"/>
      <c r="BI821" s="78"/>
      <c r="BJ821" s="774"/>
      <c r="BK821" s="774"/>
      <c r="BL821" s="774"/>
      <c r="BM821" s="774"/>
      <c r="BN821" s="78"/>
      <c r="BO821" s="774"/>
      <c r="BP821" s="774"/>
      <c r="BQ821" s="774"/>
      <c r="BR821" s="774"/>
      <c r="BS821" s="78"/>
      <c r="BT821" s="775"/>
      <c r="BU821" s="774"/>
      <c r="BV821" s="774"/>
      <c r="BW821" s="774"/>
      <c r="BX821" s="78"/>
      <c r="BY821" s="774"/>
      <c r="BZ821" s="774"/>
      <c r="CA821" s="774"/>
      <c r="CB821" s="774"/>
      <c r="CC821" s="78"/>
      <c r="CD821" s="78"/>
      <c r="CE821" s="78"/>
      <c r="CF821" s="78"/>
      <c r="CG821" s="532"/>
    </row>
    <row r="822" spans="1:85" s="615" customFormat="1" x14ac:dyDescent="0.3">
      <c r="A822" s="522" t="s">
        <v>1547</v>
      </c>
      <c r="B822" s="521"/>
      <c r="C822" s="1122"/>
      <c r="D822" s="1122"/>
      <c r="E822" s="1122"/>
      <c r="F822" s="1122"/>
      <c r="G822" s="520"/>
      <c r="H822" s="520"/>
      <c r="I822" s="520"/>
      <c r="J822" s="520"/>
      <c r="K822" s="1122"/>
      <c r="L822" s="520"/>
      <c r="M822" s="520"/>
      <c r="N822" s="520"/>
      <c r="O822" s="520"/>
      <c r="P822" s="1122"/>
      <c r="Q822" s="520"/>
      <c r="R822" s="520"/>
      <c r="S822" s="520"/>
      <c r="T822" s="520"/>
      <c r="U822" s="1122"/>
      <c r="V822" s="520"/>
      <c r="W822" s="520"/>
      <c r="X822" s="520"/>
      <c r="Y822" s="520"/>
      <c r="Z822" s="1122"/>
      <c r="AA822" s="520"/>
      <c r="AB822" s="520"/>
      <c r="AC822" s="520"/>
      <c r="AD822" s="520"/>
      <c r="AE822" s="1122"/>
      <c r="AF822" s="520"/>
      <c r="AG822" s="520"/>
      <c r="AH822" s="520"/>
      <c r="AI822" s="520"/>
      <c r="AJ822" s="1122"/>
      <c r="AK822" s="520"/>
      <c r="AL822" s="520"/>
      <c r="AM822" s="520"/>
      <c r="AN822" s="520"/>
      <c r="AO822" s="1122"/>
      <c r="AP822" s="520"/>
      <c r="AQ822" s="520"/>
      <c r="AR822" s="520"/>
      <c r="AS822" s="520"/>
      <c r="AT822" s="1123">
        <v>381.43</v>
      </c>
      <c r="AU822" s="520"/>
      <c r="AV822" s="520"/>
      <c r="AW822" s="520"/>
      <c r="AX822" s="520"/>
      <c r="AY822" s="1123">
        <v>381.43</v>
      </c>
      <c r="AZ822" s="520"/>
      <c r="BA822" s="520"/>
      <c r="BB822" s="520"/>
      <c r="BC822" s="520"/>
      <c r="BD822" s="1123">
        <v>381.43</v>
      </c>
      <c r="BE822" s="520"/>
      <c r="BF822" s="520"/>
      <c r="BG822" s="520"/>
      <c r="BH822" s="520"/>
      <c r="BI822" s="1122"/>
      <c r="BJ822" s="520"/>
      <c r="BK822" s="520"/>
      <c r="BL822" s="520"/>
      <c r="BM822" s="520"/>
      <c r="BN822" s="1122"/>
      <c r="BO822" s="520"/>
      <c r="BP822" s="520"/>
      <c r="BQ822" s="520"/>
      <c r="BR822" s="520"/>
      <c r="BS822" s="1122"/>
      <c r="BT822" s="728"/>
      <c r="BU822" s="520"/>
      <c r="BV822" s="520"/>
      <c r="BW822" s="520"/>
      <c r="BX822" s="1122"/>
      <c r="BY822" s="520"/>
      <c r="BZ822" s="520"/>
      <c r="CA822" s="520"/>
      <c r="CB822" s="520"/>
      <c r="CC822" s="1122"/>
      <c r="CD822" s="1122"/>
      <c r="CE822" s="1122"/>
      <c r="CF822" s="1122"/>
      <c r="CG822" s="519"/>
    </row>
    <row r="823" spans="1:85" s="614" customFormat="1" x14ac:dyDescent="0.3">
      <c r="A823" s="522"/>
      <c r="B823" s="352"/>
      <c r="C823" s="1094"/>
      <c r="D823" s="1094"/>
      <c r="E823" s="1094"/>
      <c r="F823" s="1094"/>
      <c r="G823" s="197"/>
      <c r="H823" s="197"/>
      <c r="I823" s="197"/>
      <c r="J823" s="197"/>
      <c r="K823" s="1094"/>
      <c r="L823" s="197"/>
      <c r="M823" s="197"/>
      <c r="N823" s="197"/>
      <c r="O823" s="197"/>
      <c r="P823" s="1094"/>
      <c r="Q823" s="197"/>
      <c r="R823" s="197"/>
      <c r="S823" s="197"/>
      <c r="T823" s="197"/>
      <c r="U823" s="1094"/>
      <c r="V823" s="197"/>
      <c r="W823" s="197"/>
      <c r="X823" s="197"/>
      <c r="Y823" s="197"/>
      <c r="Z823" s="1094"/>
      <c r="AA823" s="197"/>
      <c r="AB823" s="197"/>
      <c r="AC823" s="197"/>
      <c r="AD823" s="197"/>
      <c r="AE823" s="1094"/>
      <c r="AF823" s="197"/>
      <c r="AG823" s="197"/>
      <c r="AH823" s="197"/>
      <c r="AI823" s="197"/>
      <c r="AJ823" s="1094"/>
      <c r="AK823" s="197"/>
      <c r="AL823" s="197"/>
      <c r="AM823" s="197"/>
      <c r="AN823" s="197"/>
      <c r="AO823" s="1094"/>
      <c r="AP823" s="197"/>
      <c r="AQ823" s="197"/>
      <c r="AR823" s="197"/>
      <c r="AS823" s="197"/>
      <c r="AT823" s="198"/>
      <c r="AU823" s="197"/>
      <c r="AV823" s="197"/>
      <c r="AW823" s="197"/>
      <c r="AX823" s="197"/>
      <c r="AY823" s="198"/>
      <c r="AZ823" s="197"/>
      <c r="BA823" s="197"/>
      <c r="BB823" s="197"/>
      <c r="BC823" s="197"/>
      <c r="BD823" s="198"/>
      <c r="BE823" s="197"/>
      <c r="BF823" s="197"/>
      <c r="BG823" s="197"/>
      <c r="BH823" s="197"/>
      <c r="BI823" s="1094"/>
      <c r="BJ823" s="197"/>
      <c r="BK823" s="197"/>
      <c r="BL823" s="197"/>
      <c r="BM823" s="197"/>
      <c r="BN823" s="1094"/>
      <c r="BO823" s="197"/>
      <c r="BP823" s="197"/>
      <c r="BQ823" s="197"/>
      <c r="BR823" s="197"/>
      <c r="BS823" s="1094"/>
      <c r="BT823" s="727"/>
      <c r="BU823" s="197"/>
      <c r="BV823" s="197"/>
      <c r="BW823" s="197"/>
      <c r="BX823" s="1094"/>
      <c r="BY823" s="197"/>
      <c r="BZ823" s="197"/>
      <c r="CA823" s="197"/>
      <c r="CB823" s="197"/>
      <c r="CC823" s="1094"/>
      <c r="CD823" s="1094"/>
      <c r="CE823" s="1094"/>
      <c r="CF823" s="1094"/>
      <c r="CG823" s="349"/>
    </row>
    <row r="824" spans="1:85" s="613" customFormat="1" x14ac:dyDescent="0.3">
      <c r="A824" s="478" t="s">
        <v>1546</v>
      </c>
      <c r="B824" s="523"/>
      <c r="C824" s="78"/>
      <c r="D824" s="78"/>
      <c r="E824" s="78"/>
      <c r="F824" s="78"/>
      <c r="G824" s="774"/>
      <c r="H824" s="774"/>
      <c r="I824" s="774"/>
      <c r="J824" s="774"/>
      <c r="K824" s="78"/>
      <c r="L824" s="774"/>
      <c r="M824" s="774"/>
      <c r="N824" s="774"/>
      <c r="O824" s="774"/>
      <c r="P824" s="78"/>
      <c r="Q824" s="774"/>
      <c r="R824" s="774"/>
      <c r="S824" s="774"/>
      <c r="T824" s="774"/>
      <c r="U824" s="78"/>
      <c r="V824" s="774"/>
      <c r="W824" s="774"/>
      <c r="X824" s="774"/>
      <c r="Y824" s="774"/>
      <c r="Z824" s="78"/>
      <c r="AA824" s="774"/>
      <c r="AB824" s="774"/>
      <c r="AC824" s="774"/>
      <c r="AD824" s="774"/>
      <c r="AE824" s="78"/>
      <c r="AF824" s="774"/>
      <c r="AG824" s="774"/>
      <c r="AH824" s="774"/>
      <c r="AI824" s="774"/>
      <c r="AJ824" s="78"/>
      <c r="AK824" s="774"/>
      <c r="AL824" s="774"/>
      <c r="AM824" s="774"/>
      <c r="AN824" s="774"/>
      <c r="AO824" s="78"/>
      <c r="AP824" s="774"/>
      <c r="AQ824" s="774"/>
      <c r="AR824" s="774"/>
      <c r="AS824" s="774"/>
      <c r="AT824" s="1119">
        <v>4.3319999999999999</v>
      </c>
      <c r="AU824" s="774"/>
      <c r="AV824" s="774"/>
      <c r="AW824" s="774"/>
      <c r="AX824" s="774"/>
      <c r="AY824" s="1119">
        <v>4.3319999999999999</v>
      </c>
      <c r="AZ824" s="774"/>
      <c r="BA824" s="774"/>
      <c r="BB824" s="774"/>
      <c r="BC824" s="774"/>
      <c r="BD824" s="1119">
        <v>4.3319999999999999</v>
      </c>
      <c r="BE824" s="774"/>
      <c r="BF824" s="774"/>
      <c r="BG824" s="774"/>
      <c r="BH824" s="774"/>
      <c r="BI824" s="78"/>
      <c r="BJ824" s="774"/>
      <c r="BK824" s="774"/>
      <c r="BL824" s="774"/>
      <c r="BM824" s="774"/>
      <c r="BN824" s="78"/>
      <c r="BO824" s="774"/>
      <c r="BP824" s="774"/>
      <c r="BQ824" s="774"/>
      <c r="BR824" s="774"/>
      <c r="BS824" s="78"/>
      <c r="BT824" s="775"/>
      <c r="BU824" s="774"/>
      <c r="BV824" s="774"/>
      <c r="BW824" s="774"/>
      <c r="BX824" s="78"/>
      <c r="BY824" s="774"/>
      <c r="BZ824" s="774"/>
      <c r="CA824" s="774"/>
      <c r="CB824" s="774"/>
      <c r="CC824" s="78"/>
      <c r="CD824" s="78"/>
      <c r="CE824" s="78"/>
      <c r="CF824" s="78"/>
      <c r="CG824" s="532"/>
    </row>
    <row r="825" spans="1:85" s="615" customFormat="1" x14ac:dyDescent="0.3">
      <c r="A825" s="522" t="s">
        <v>1545</v>
      </c>
      <c r="B825" s="521"/>
      <c r="C825" s="1122"/>
      <c r="D825" s="1122"/>
      <c r="E825" s="1122"/>
      <c r="F825" s="1122"/>
      <c r="G825" s="520"/>
      <c r="H825" s="520"/>
      <c r="I825" s="520"/>
      <c r="J825" s="520"/>
      <c r="K825" s="1122"/>
      <c r="L825" s="520"/>
      <c r="M825" s="520"/>
      <c r="N825" s="520"/>
      <c r="O825" s="520"/>
      <c r="P825" s="1122"/>
      <c r="Q825" s="520"/>
      <c r="R825" s="520"/>
      <c r="S825" s="520"/>
      <c r="T825" s="520"/>
      <c r="U825" s="1122"/>
      <c r="V825" s="520"/>
      <c r="W825" s="520"/>
      <c r="X825" s="520"/>
      <c r="Y825" s="520"/>
      <c r="Z825" s="1122"/>
      <c r="AA825" s="520"/>
      <c r="AB825" s="520"/>
      <c r="AC825" s="520"/>
      <c r="AD825" s="520"/>
      <c r="AE825" s="1122"/>
      <c r="AF825" s="520"/>
      <c r="AG825" s="520"/>
      <c r="AH825" s="520"/>
      <c r="AI825" s="520"/>
      <c r="AJ825" s="1122"/>
      <c r="AK825" s="520"/>
      <c r="AL825" s="520"/>
      <c r="AM825" s="520"/>
      <c r="AN825" s="520"/>
      <c r="AO825" s="1122"/>
      <c r="AP825" s="520"/>
      <c r="AQ825" s="520"/>
      <c r="AR825" s="520"/>
      <c r="AS825" s="520"/>
      <c r="AT825" s="1123">
        <v>317.38</v>
      </c>
      <c r="AU825" s="520"/>
      <c r="AV825" s="520"/>
      <c r="AW825" s="520"/>
      <c r="AX825" s="520"/>
      <c r="AY825" s="1123">
        <v>317.38</v>
      </c>
      <c r="AZ825" s="520"/>
      <c r="BA825" s="520"/>
      <c r="BB825" s="520"/>
      <c r="BC825" s="520"/>
      <c r="BD825" s="1123">
        <v>317.38</v>
      </c>
      <c r="BE825" s="520"/>
      <c r="BF825" s="520"/>
      <c r="BG825" s="520"/>
      <c r="BH825" s="520"/>
      <c r="BI825" s="1122"/>
      <c r="BJ825" s="520"/>
      <c r="BK825" s="520"/>
      <c r="BL825" s="520"/>
      <c r="BM825" s="520"/>
      <c r="BN825" s="1122"/>
      <c r="BO825" s="520"/>
      <c r="BP825" s="520"/>
      <c r="BQ825" s="520"/>
      <c r="BR825" s="520"/>
      <c r="BS825" s="1122"/>
      <c r="BT825" s="728"/>
      <c r="BU825" s="520"/>
      <c r="BV825" s="520"/>
      <c r="BW825" s="520"/>
      <c r="BX825" s="1122"/>
      <c r="BY825" s="520"/>
      <c r="BZ825" s="520"/>
      <c r="CA825" s="520"/>
      <c r="CB825" s="520"/>
      <c r="CC825" s="1122"/>
      <c r="CD825" s="1122"/>
      <c r="CE825" s="1122"/>
      <c r="CF825" s="1122"/>
      <c r="CG825" s="519"/>
    </row>
    <row r="826" spans="1:85" s="614" customFormat="1" x14ac:dyDescent="0.3">
      <c r="A826" s="522"/>
      <c r="B826" s="352"/>
      <c r="C826" s="1094"/>
      <c r="D826" s="1094"/>
      <c r="E826" s="1094"/>
      <c r="F826" s="1094"/>
      <c r="G826" s="197"/>
      <c r="H826" s="197"/>
      <c r="I826" s="197"/>
      <c r="J826" s="197"/>
      <c r="K826" s="1094"/>
      <c r="L826" s="197"/>
      <c r="M826" s="197"/>
      <c r="N826" s="197"/>
      <c r="O826" s="197"/>
      <c r="P826" s="1094"/>
      <c r="Q826" s="197"/>
      <c r="R826" s="197"/>
      <c r="S826" s="197"/>
      <c r="T826" s="197"/>
      <c r="U826" s="1094"/>
      <c r="V826" s="197"/>
      <c r="W826" s="197"/>
      <c r="X826" s="197"/>
      <c r="Y826" s="197"/>
      <c r="Z826" s="1094"/>
      <c r="AA826" s="197"/>
      <c r="AB826" s="197"/>
      <c r="AC826" s="197"/>
      <c r="AD826" s="197"/>
      <c r="AE826" s="1094"/>
      <c r="AF826" s="197"/>
      <c r="AG826" s="197"/>
      <c r="AH826" s="197"/>
      <c r="AI826" s="197"/>
      <c r="AJ826" s="1094"/>
      <c r="AK826" s="197"/>
      <c r="AL826" s="197"/>
      <c r="AM826" s="197"/>
      <c r="AN826" s="197"/>
      <c r="AO826" s="1094"/>
      <c r="AP826" s="197"/>
      <c r="AQ826" s="197"/>
      <c r="AR826" s="197"/>
      <c r="AS826" s="197"/>
      <c r="AT826" s="198"/>
      <c r="AU826" s="197"/>
      <c r="AV826" s="197"/>
      <c r="AW826" s="197"/>
      <c r="AX826" s="197"/>
      <c r="AY826" s="198"/>
      <c r="AZ826" s="197"/>
      <c r="BA826" s="197"/>
      <c r="BB826" s="197"/>
      <c r="BC826" s="197"/>
      <c r="BD826" s="198"/>
      <c r="BE826" s="197"/>
      <c r="BF826" s="197"/>
      <c r="BG826" s="197"/>
      <c r="BH826" s="197"/>
      <c r="BI826" s="1094"/>
      <c r="BJ826" s="197"/>
      <c r="BK826" s="197"/>
      <c r="BL826" s="197"/>
      <c r="BM826" s="197"/>
      <c r="BN826" s="1094"/>
      <c r="BO826" s="197"/>
      <c r="BP826" s="197"/>
      <c r="BQ826" s="197"/>
      <c r="BR826" s="197"/>
      <c r="BS826" s="1094"/>
      <c r="BT826" s="727"/>
      <c r="BU826" s="197"/>
      <c r="BV826" s="197"/>
      <c r="BW826" s="197"/>
      <c r="BX826" s="1094"/>
      <c r="BY826" s="197"/>
      <c r="BZ826" s="197"/>
      <c r="CA826" s="197"/>
      <c r="CB826" s="197"/>
      <c r="CC826" s="1094"/>
      <c r="CD826" s="1094"/>
      <c r="CE826" s="1094"/>
      <c r="CF826" s="1094"/>
      <c r="CG826" s="349"/>
    </row>
    <row r="827" spans="1:85" s="613" customFormat="1" x14ac:dyDescent="0.3">
      <c r="A827" s="478" t="s">
        <v>1544</v>
      </c>
      <c r="B827" s="523"/>
      <c r="C827" s="78"/>
      <c r="D827" s="78"/>
      <c r="E827" s="78"/>
      <c r="F827" s="78"/>
      <c r="G827" s="774"/>
      <c r="H827" s="774"/>
      <c r="I827" s="774"/>
      <c r="J827" s="774"/>
      <c r="K827" s="78"/>
      <c r="L827" s="774"/>
      <c r="M827" s="774"/>
      <c r="N827" s="774"/>
      <c r="O827" s="774"/>
      <c r="P827" s="78"/>
      <c r="Q827" s="774"/>
      <c r="R827" s="774"/>
      <c r="S827" s="774"/>
      <c r="T827" s="774"/>
      <c r="U827" s="78"/>
      <c r="V827" s="774"/>
      <c r="W827" s="774"/>
      <c r="X827" s="774"/>
      <c r="Y827" s="774"/>
      <c r="Z827" s="78"/>
      <c r="AA827" s="774"/>
      <c r="AB827" s="774"/>
      <c r="AC827" s="774"/>
      <c r="AD827" s="774"/>
      <c r="AE827" s="78"/>
      <c r="AF827" s="774"/>
      <c r="AG827" s="774"/>
      <c r="AH827" s="774"/>
      <c r="AI827" s="774"/>
      <c r="AJ827" s="78"/>
      <c r="AK827" s="774"/>
      <c r="AL827" s="774"/>
      <c r="AM827" s="774"/>
      <c r="AN827" s="774"/>
      <c r="AO827" s="78"/>
      <c r="AP827" s="774"/>
      <c r="AQ827" s="774"/>
      <c r="AR827" s="774"/>
      <c r="AS827" s="774"/>
      <c r="AT827" s="1119">
        <v>4.7370000000000001</v>
      </c>
      <c r="AU827" s="774"/>
      <c r="AV827" s="774"/>
      <c r="AW827" s="774"/>
      <c r="AX827" s="774"/>
      <c r="AY827" s="1119">
        <v>4.7370000000000001</v>
      </c>
      <c r="AZ827" s="774"/>
      <c r="BA827" s="774"/>
      <c r="BB827" s="774"/>
      <c r="BC827" s="774"/>
      <c r="BD827" s="1119">
        <v>4.7370000000000001</v>
      </c>
      <c r="BE827" s="774"/>
      <c r="BF827" s="774"/>
      <c r="BG827" s="774"/>
      <c r="BH827" s="774"/>
      <c r="BI827" s="78"/>
      <c r="BJ827" s="774"/>
      <c r="BK827" s="774"/>
      <c r="BL827" s="774"/>
      <c r="BM827" s="774"/>
      <c r="BN827" s="78"/>
      <c r="BO827" s="774"/>
      <c r="BP827" s="774"/>
      <c r="BQ827" s="774"/>
      <c r="BR827" s="774"/>
      <c r="BS827" s="78"/>
      <c r="BT827" s="775"/>
      <c r="BU827" s="774"/>
      <c r="BV827" s="774"/>
      <c r="BW827" s="774"/>
      <c r="BX827" s="78"/>
      <c r="BY827" s="774"/>
      <c r="BZ827" s="774"/>
      <c r="CA827" s="774"/>
      <c r="CB827" s="774"/>
      <c r="CC827" s="78"/>
      <c r="CD827" s="78"/>
      <c r="CE827" s="78"/>
      <c r="CF827" s="78"/>
      <c r="CG827" s="532"/>
    </row>
    <row r="828" spans="1:85" s="615" customFormat="1" x14ac:dyDescent="0.3">
      <c r="A828" s="522" t="s">
        <v>1543</v>
      </c>
      <c r="B828" s="521"/>
      <c r="C828" s="1122"/>
      <c r="D828" s="1122"/>
      <c r="E828" s="1122"/>
      <c r="F828" s="1122"/>
      <c r="G828" s="520"/>
      <c r="H828" s="520"/>
      <c r="I828" s="520"/>
      <c r="J828" s="520"/>
      <c r="K828" s="1122"/>
      <c r="L828" s="520"/>
      <c r="M828" s="520"/>
      <c r="N828" s="520"/>
      <c r="O828" s="520"/>
      <c r="P828" s="1122"/>
      <c r="Q828" s="520"/>
      <c r="R828" s="520"/>
      <c r="S828" s="520"/>
      <c r="T828" s="520"/>
      <c r="U828" s="1122"/>
      <c r="V828" s="520"/>
      <c r="W828" s="520"/>
      <c r="X828" s="520"/>
      <c r="Y828" s="520"/>
      <c r="Z828" s="1122"/>
      <c r="AA828" s="520"/>
      <c r="AB828" s="520"/>
      <c r="AC828" s="520"/>
      <c r="AD828" s="520"/>
      <c r="AE828" s="1122"/>
      <c r="AF828" s="520"/>
      <c r="AG828" s="520"/>
      <c r="AH828" s="520"/>
      <c r="AI828" s="520"/>
      <c r="AJ828" s="1122"/>
      <c r="AK828" s="520"/>
      <c r="AL828" s="520"/>
      <c r="AM828" s="520"/>
      <c r="AN828" s="520"/>
      <c r="AO828" s="1122"/>
      <c r="AP828" s="520"/>
      <c r="AQ828" s="520"/>
      <c r="AR828" s="520"/>
      <c r="AS828" s="520"/>
      <c r="AT828" s="1123">
        <v>290.3</v>
      </c>
      <c r="AU828" s="520"/>
      <c r="AV828" s="520"/>
      <c r="AW828" s="520"/>
      <c r="AX828" s="520"/>
      <c r="AY828" s="1123">
        <v>290.3</v>
      </c>
      <c r="AZ828" s="520"/>
      <c r="BA828" s="520"/>
      <c r="BB828" s="520"/>
      <c r="BC828" s="520"/>
      <c r="BD828" s="1123">
        <v>290.3</v>
      </c>
      <c r="BE828" s="520"/>
      <c r="BF828" s="520"/>
      <c r="BG828" s="520"/>
      <c r="BH828" s="520"/>
      <c r="BI828" s="1122"/>
      <c r="BJ828" s="520"/>
      <c r="BK828" s="520"/>
      <c r="BL828" s="520"/>
      <c r="BM828" s="520"/>
      <c r="BN828" s="1122"/>
      <c r="BO828" s="520"/>
      <c r="BP828" s="520"/>
      <c r="BQ828" s="520"/>
      <c r="BR828" s="520"/>
      <c r="BS828" s="1122"/>
      <c r="BT828" s="728"/>
      <c r="BU828" s="520"/>
      <c r="BV828" s="520"/>
      <c r="BW828" s="520"/>
      <c r="BX828" s="1122"/>
      <c r="BY828" s="520"/>
      <c r="BZ828" s="520"/>
      <c r="CA828" s="520"/>
      <c r="CB828" s="520"/>
      <c r="CC828" s="1122"/>
      <c r="CD828" s="1122"/>
      <c r="CE828" s="1122"/>
      <c r="CF828" s="1122"/>
      <c r="CG828" s="519"/>
    </row>
    <row r="829" spans="1:85" s="614" customFormat="1" x14ac:dyDescent="0.3">
      <c r="A829" s="116"/>
      <c r="B829" s="352"/>
      <c r="C829" s="1094"/>
      <c r="D829" s="1094"/>
      <c r="E829" s="1094"/>
      <c r="F829" s="1094"/>
      <c r="G829" s="197"/>
      <c r="H829" s="197"/>
      <c r="I829" s="197"/>
      <c r="J829" s="197"/>
      <c r="K829" s="1094"/>
      <c r="L829" s="197"/>
      <c r="M829" s="197"/>
      <c r="N829" s="197"/>
      <c r="O829" s="197"/>
      <c r="P829" s="1094"/>
      <c r="Q829" s="197"/>
      <c r="R829" s="197"/>
      <c r="S829" s="197"/>
      <c r="T829" s="197"/>
      <c r="U829" s="1094"/>
      <c r="V829" s="197"/>
      <c r="W829" s="197"/>
      <c r="X829" s="197"/>
      <c r="Y829" s="197"/>
      <c r="Z829" s="1094"/>
      <c r="AA829" s="197"/>
      <c r="AB829" s="197"/>
      <c r="AC829" s="197"/>
      <c r="AD829" s="197"/>
      <c r="AE829" s="1094"/>
      <c r="AF829" s="197"/>
      <c r="AG829" s="197"/>
      <c r="AH829" s="197"/>
      <c r="AI829" s="197"/>
      <c r="AJ829" s="1094"/>
      <c r="AK829" s="197"/>
      <c r="AL829" s="197"/>
      <c r="AM829" s="197"/>
      <c r="AN829" s="197"/>
      <c r="AO829" s="1094"/>
      <c r="AP829" s="197"/>
      <c r="AQ829" s="197"/>
      <c r="AR829" s="197"/>
      <c r="AS829" s="197"/>
      <c r="AT829" s="198"/>
      <c r="AU829" s="197"/>
      <c r="AV829" s="197"/>
      <c r="AW829" s="197"/>
      <c r="AX829" s="197"/>
      <c r="AY829" s="198"/>
      <c r="AZ829" s="197"/>
      <c r="BA829" s="197"/>
      <c r="BB829" s="197"/>
      <c r="BC829" s="197"/>
      <c r="BD829" s="198"/>
      <c r="BE829" s="197"/>
      <c r="BF829" s="197"/>
      <c r="BG829" s="197"/>
      <c r="BH829" s="197"/>
      <c r="BI829" s="1094"/>
      <c r="BJ829" s="197"/>
      <c r="BK829" s="197"/>
      <c r="BL829" s="197"/>
      <c r="BM829" s="197"/>
      <c r="BN829" s="1094"/>
      <c r="BO829" s="197"/>
      <c r="BP829" s="197"/>
      <c r="BQ829" s="197"/>
      <c r="BR829" s="197"/>
      <c r="BS829" s="1094"/>
      <c r="BT829" s="727"/>
      <c r="BU829" s="197"/>
      <c r="BV829" s="197"/>
      <c r="BW829" s="197"/>
      <c r="BX829" s="1094"/>
      <c r="BY829" s="197"/>
      <c r="BZ829" s="197"/>
      <c r="CA829" s="197"/>
      <c r="CB829" s="197"/>
      <c r="CC829" s="1094"/>
      <c r="CD829" s="1094"/>
      <c r="CE829" s="1094"/>
      <c r="CF829" s="1094"/>
      <c r="CG829" s="349"/>
    </row>
    <row r="830" spans="1:85" s="613" customFormat="1" x14ac:dyDescent="0.3">
      <c r="A830" s="478" t="s">
        <v>1542</v>
      </c>
      <c r="B830" s="523"/>
      <c r="C830" s="78"/>
      <c r="D830" s="78"/>
      <c r="E830" s="78"/>
      <c r="F830" s="78"/>
      <c r="G830" s="774"/>
      <c r="H830" s="774"/>
      <c r="I830" s="774"/>
      <c r="J830" s="774"/>
      <c r="K830" s="78"/>
      <c r="L830" s="774"/>
      <c r="M830" s="774"/>
      <c r="N830" s="774"/>
      <c r="O830" s="774"/>
      <c r="P830" s="78"/>
      <c r="Q830" s="774"/>
      <c r="R830" s="774"/>
      <c r="S830" s="774"/>
      <c r="T830" s="774"/>
      <c r="U830" s="78"/>
      <c r="V830" s="774"/>
      <c r="W830" s="774"/>
      <c r="X830" s="774"/>
      <c r="Y830" s="774"/>
      <c r="Z830" s="78"/>
      <c r="AA830" s="774"/>
      <c r="AB830" s="774"/>
      <c r="AC830" s="774"/>
      <c r="AD830" s="774"/>
      <c r="AE830" s="78"/>
      <c r="AF830" s="774"/>
      <c r="AG830" s="774"/>
      <c r="AH830" s="774"/>
      <c r="AI830" s="774"/>
      <c r="AJ830" s="78"/>
      <c r="AK830" s="774"/>
      <c r="AL830" s="774"/>
      <c r="AM830" s="774"/>
      <c r="AN830" s="774"/>
      <c r="AO830" s="78"/>
      <c r="AP830" s="774"/>
      <c r="AQ830" s="774"/>
      <c r="AR830" s="774"/>
      <c r="AS830" s="774"/>
      <c r="AT830" s="1119">
        <v>5.1369999999999996</v>
      </c>
      <c r="AU830" s="774"/>
      <c r="AV830" s="774"/>
      <c r="AW830" s="774"/>
      <c r="AX830" s="774"/>
      <c r="AY830" s="1119">
        <v>5.1369999999999996</v>
      </c>
      <c r="AZ830" s="774"/>
      <c r="BA830" s="774"/>
      <c r="BB830" s="774"/>
      <c r="BC830" s="774"/>
      <c r="BD830" s="1119">
        <v>5.1369999999999996</v>
      </c>
      <c r="BE830" s="774"/>
      <c r="BF830" s="774"/>
      <c r="BG830" s="774"/>
      <c r="BH830" s="774"/>
      <c r="BI830" s="78"/>
      <c r="BJ830" s="774"/>
      <c r="BK830" s="774"/>
      <c r="BL830" s="774"/>
      <c r="BM830" s="774"/>
      <c r="BN830" s="78"/>
      <c r="BO830" s="774"/>
      <c r="BP830" s="774"/>
      <c r="BQ830" s="774"/>
      <c r="BR830" s="774"/>
      <c r="BS830" s="78"/>
      <c r="BT830" s="775"/>
      <c r="BU830" s="774"/>
      <c r="BV830" s="774"/>
      <c r="BW830" s="774"/>
      <c r="BX830" s="78"/>
      <c r="BY830" s="774"/>
      <c r="BZ830" s="774"/>
      <c r="CA830" s="774"/>
      <c r="CB830" s="774"/>
      <c r="CC830" s="78"/>
      <c r="CD830" s="78"/>
      <c r="CE830" s="78"/>
      <c r="CF830" s="78"/>
      <c r="CG830" s="532"/>
    </row>
    <row r="831" spans="1:85" s="615" customFormat="1" x14ac:dyDescent="0.3">
      <c r="A831" s="522" t="s">
        <v>1541</v>
      </c>
      <c r="B831" s="521"/>
      <c r="C831" s="1122"/>
      <c r="D831" s="1122"/>
      <c r="E831" s="1122"/>
      <c r="F831" s="1122"/>
      <c r="G831" s="520"/>
      <c r="H831" s="520"/>
      <c r="I831" s="520"/>
      <c r="J831" s="520"/>
      <c r="K831" s="1122"/>
      <c r="L831" s="520"/>
      <c r="M831" s="520"/>
      <c r="N831" s="520"/>
      <c r="O831" s="520"/>
      <c r="P831" s="1122"/>
      <c r="Q831" s="520"/>
      <c r="R831" s="520"/>
      <c r="S831" s="520"/>
      <c r="T831" s="520"/>
      <c r="U831" s="1122"/>
      <c r="V831" s="520"/>
      <c r="W831" s="520"/>
      <c r="X831" s="520"/>
      <c r="Y831" s="520"/>
      <c r="Z831" s="1122"/>
      <c r="AA831" s="520"/>
      <c r="AB831" s="520"/>
      <c r="AC831" s="520"/>
      <c r="AD831" s="520"/>
      <c r="AE831" s="1122"/>
      <c r="AF831" s="520"/>
      <c r="AG831" s="520"/>
      <c r="AH831" s="520"/>
      <c r="AI831" s="520"/>
      <c r="AJ831" s="1122"/>
      <c r="AK831" s="520"/>
      <c r="AL831" s="520"/>
      <c r="AM831" s="520"/>
      <c r="AN831" s="520"/>
      <c r="AO831" s="1122"/>
      <c r="AP831" s="520"/>
      <c r="AQ831" s="520"/>
      <c r="AR831" s="520"/>
      <c r="AS831" s="520"/>
      <c r="AT831" s="1123">
        <v>267.66000000000003</v>
      </c>
      <c r="AU831" s="520"/>
      <c r="AV831" s="520"/>
      <c r="AW831" s="520"/>
      <c r="AX831" s="520"/>
      <c r="AY831" s="1123">
        <v>267.66000000000003</v>
      </c>
      <c r="AZ831" s="520"/>
      <c r="BA831" s="520"/>
      <c r="BB831" s="520"/>
      <c r="BC831" s="520"/>
      <c r="BD831" s="1123">
        <v>267.66000000000003</v>
      </c>
      <c r="BE831" s="520"/>
      <c r="BF831" s="520"/>
      <c r="BG831" s="520"/>
      <c r="BH831" s="520"/>
      <c r="BI831" s="1122"/>
      <c r="BJ831" s="520"/>
      <c r="BK831" s="520"/>
      <c r="BL831" s="520"/>
      <c r="BM831" s="520"/>
      <c r="BN831" s="1122"/>
      <c r="BO831" s="520"/>
      <c r="BP831" s="520"/>
      <c r="BQ831" s="520"/>
      <c r="BR831" s="520"/>
      <c r="BS831" s="1122"/>
      <c r="BT831" s="728"/>
      <c r="BU831" s="520"/>
      <c r="BV831" s="520"/>
      <c r="BW831" s="520"/>
      <c r="BX831" s="1122"/>
      <c r="BY831" s="520"/>
      <c r="BZ831" s="520"/>
      <c r="CA831" s="520"/>
      <c r="CB831" s="520"/>
      <c r="CC831" s="1122"/>
      <c r="CD831" s="1122"/>
      <c r="CE831" s="1122"/>
      <c r="CF831" s="1122"/>
      <c r="CG831" s="519"/>
    </row>
    <row r="832" spans="1:85" s="614" customFormat="1" x14ac:dyDescent="0.3">
      <c r="A832" s="116"/>
      <c r="B832" s="352"/>
      <c r="C832" s="1094"/>
      <c r="D832" s="1094"/>
      <c r="E832" s="1094"/>
      <c r="F832" s="1094"/>
      <c r="G832" s="197"/>
      <c r="H832" s="197"/>
      <c r="I832" s="197"/>
      <c r="J832" s="197"/>
      <c r="K832" s="1094"/>
      <c r="L832" s="197"/>
      <c r="M832" s="197"/>
      <c r="N832" s="197"/>
      <c r="O832" s="197"/>
      <c r="P832" s="1094"/>
      <c r="Q832" s="197"/>
      <c r="R832" s="197"/>
      <c r="S832" s="197"/>
      <c r="T832" s="197"/>
      <c r="U832" s="1094"/>
      <c r="V832" s="197"/>
      <c r="W832" s="197"/>
      <c r="X832" s="197"/>
      <c r="Y832" s="197"/>
      <c r="Z832" s="1094"/>
      <c r="AA832" s="197"/>
      <c r="AB832" s="197"/>
      <c r="AC832" s="197"/>
      <c r="AD832" s="197"/>
      <c r="AE832" s="1094"/>
      <c r="AF832" s="197"/>
      <c r="AG832" s="197"/>
      <c r="AH832" s="197"/>
      <c r="AI832" s="197"/>
      <c r="AJ832" s="1094"/>
      <c r="AK832" s="197"/>
      <c r="AL832" s="197"/>
      <c r="AM832" s="197"/>
      <c r="AN832" s="197"/>
      <c r="AO832" s="1094"/>
      <c r="AP832" s="197"/>
      <c r="AQ832" s="197"/>
      <c r="AR832" s="197"/>
      <c r="AS832" s="197"/>
      <c r="AT832" s="198"/>
      <c r="AU832" s="197"/>
      <c r="AV832" s="197"/>
      <c r="AW832" s="197"/>
      <c r="AX832" s="197"/>
      <c r="AY832" s="198"/>
      <c r="AZ832" s="197"/>
      <c r="BA832" s="197"/>
      <c r="BB832" s="197"/>
      <c r="BC832" s="197"/>
      <c r="BD832" s="198"/>
      <c r="BE832" s="197"/>
      <c r="BF832" s="197"/>
      <c r="BG832" s="197"/>
      <c r="BH832" s="197"/>
      <c r="BI832" s="1094"/>
      <c r="BJ832" s="197"/>
      <c r="BK832" s="197"/>
      <c r="BL832" s="197"/>
      <c r="BM832" s="197"/>
      <c r="BN832" s="1094"/>
      <c r="BO832" s="197"/>
      <c r="BP832" s="197"/>
      <c r="BQ832" s="197"/>
      <c r="BR832" s="197"/>
      <c r="BS832" s="1094"/>
      <c r="BT832" s="727"/>
      <c r="BU832" s="197"/>
      <c r="BV832" s="197"/>
      <c r="BW832" s="197"/>
      <c r="BX832" s="1094"/>
      <c r="BY832" s="197"/>
      <c r="BZ832" s="197"/>
      <c r="CA832" s="197"/>
      <c r="CB832" s="197"/>
      <c r="CC832" s="1094"/>
      <c r="CD832" s="1094"/>
      <c r="CE832" s="1094"/>
      <c r="CF832" s="1094"/>
      <c r="CG832" s="349"/>
    </row>
    <row r="833" spans="1:85" s="613" customFormat="1" x14ac:dyDescent="0.3">
      <c r="A833" s="478" t="s">
        <v>1540</v>
      </c>
      <c r="B833" s="523"/>
      <c r="C833" s="78"/>
      <c r="D833" s="78"/>
      <c r="E833" s="78"/>
      <c r="F833" s="78"/>
      <c r="G833" s="774"/>
      <c r="H833" s="774"/>
      <c r="I833" s="774"/>
      <c r="J833" s="774"/>
      <c r="K833" s="78"/>
      <c r="L833" s="774"/>
      <c r="M833" s="774"/>
      <c r="N833" s="774"/>
      <c r="O833" s="774"/>
      <c r="P833" s="78"/>
      <c r="Q833" s="774"/>
      <c r="R833" s="774"/>
      <c r="S833" s="774"/>
      <c r="T833" s="774"/>
      <c r="U833" s="78"/>
      <c r="V833" s="774"/>
      <c r="W833" s="774"/>
      <c r="X833" s="774"/>
      <c r="Y833" s="774"/>
      <c r="Z833" s="78"/>
      <c r="AA833" s="774"/>
      <c r="AB833" s="774"/>
      <c r="AC833" s="774"/>
      <c r="AD833" s="774"/>
      <c r="AE833" s="78"/>
      <c r="AF833" s="774"/>
      <c r="AG833" s="774"/>
      <c r="AH833" s="774"/>
      <c r="AI833" s="774"/>
      <c r="AJ833" s="78"/>
      <c r="AK833" s="774"/>
      <c r="AL833" s="774"/>
      <c r="AM833" s="774"/>
      <c r="AN833" s="774"/>
      <c r="AO833" s="78"/>
      <c r="AP833" s="774"/>
      <c r="AQ833" s="774"/>
      <c r="AR833" s="774"/>
      <c r="AS833" s="774"/>
      <c r="AT833" s="1119">
        <v>4.1680000000000001</v>
      </c>
      <c r="AU833" s="774"/>
      <c r="AV833" s="774"/>
      <c r="AW833" s="774"/>
      <c r="AX833" s="774"/>
      <c r="AY833" s="1119">
        <v>4.1680000000000001</v>
      </c>
      <c r="AZ833" s="774"/>
      <c r="BA833" s="774"/>
      <c r="BB833" s="774"/>
      <c r="BC833" s="774"/>
      <c r="BD833" s="1119">
        <v>4.1680000000000001</v>
      </c>
      <c r="BE833" s="774"/>
      <c r="BF833" s="774"/>
      <c r="BG833" s="774"/>
      <c r="BH833" s="774"/>
      <c r="BI833" s="78"/>
      <c r="BJ833" s="774"/>
      <c r="BK833" s="774"/>
      <c r="BL833" s="774"/>
      <c r="BM833" s="774"/>
      <c r="BN833" s="78"/>
      <c r="BO833" s="774"/>
      <c r="BP833" s="774"/>
      <c r="BQ833" s="774"/>
      <c r="BR833" s="774"/>
      <c r="BS833" s="78"/>
      <c r="BT833" s="775"/>
      <c r="BU833" s="774"/>
      <c r="BV833" s="774"/>
      <c r="BW833" s="774"/>
      <c r="BX833" s="78"/>
      <c r="BY833" s="774"/>
      <c r="BZ833" s="774"/>
      <c r="CA833" s="774"/>
      <c r="CB833" s="774"/>
      <c r="CC833" s="78"/>
      <c r="CD833" s="78"/>
      <c r="CE833" s="78"/>
      <c r="CF833" s="78"/>
      <c r="CG833" s="532"/>
    </row>
    <row r="834" spans="1:85" s="615" customFormat="1" x14ac:dyDescent="0.3">
      <c r="A834" s="522" t="s">
        <v>1539</v>
      </c>
      <c r="B834" s="521"/>
      <c r="C834" s="1122"/>
      <c r="D834" s="1122"/>
      <c r="E834" s="1122"/>
      <c r="F834" s="1122"/>
      <c r="G834" s="520"/>
      <c r="H834" s="520"/>
      <c r="I834" s="520"/>
      <c r="J834" s="520"/>
      <c r="K834" s="1122"/>
      <c r="L834" s="520"/>
      <c r="M834" s="520"/>
      <c r="N834" s="520"/>
      <c r="O834" s="520"/>
      <c r="P834" s="1122"/>
      <c r="Q834" s="520"/>
      <c r="R834" s="520"/>
      <c r="S834" s="520"/>
      <c r="T834" s="520"/>
      <c r="U834" s="1122"/>
      <c r="V834" s="520"/>
      <c r="W834" s="520"/>
      <c r="X834" s="520"/>
      <c r="Y834" s="520"/>
      <c r="Z834" s="1122"/>
      <c r="AA834" s="520"/>
      <c r="AB834" s="520"/>
      <c r="AC834" s="520"/>
      <c r="AD834" s="520"/>
      <c r="AE834" s="1122"/>
      <c r="AF834" s="520"/>
      <c r="AG834" s="520"/>
      <c r="AH834" s="520"/>
      <c r="AI834" s="520"/>
      <c r="AJ834" s="1122"/>
      <c r="AK834" s="520"/>
      <c r="AL834" s="520"/>
      <c r="AM834" s="520"/>
      <c r="AN834" s="520"/>
      <c r="AO834" s="1122"/>
      <c r="AP834" s="520"/>
      <c r="AQ834" s="520"/>
      <c r="AR834" s="520"/>
      <c r="AS834" s="520"/>
      <c r="AT834" s="1123">
        <v>339.85</v>
      </c>
      <c r="AU834" s="520"/>
      <c r="AV834" s="520"/>
      <c r="AW834" s="520"/>
      <c r="AX834" s="520"/>
      <c r="AY834" s="1123">
        <v>339.85</v>
      </c>
      <c r="AZ834" s="520"/>
      <c r="BA834" s="520"/>
      <c r="BB834" s="520"/>
      <c r="BC834" s="520"/>
      <c r="BD834" s="1123">
        <v>339.85</v>
      </c>
      <c r="BE834" s="520"/>
      <c r="BF834" s="520"/>
      <c r="BG834" s="520"/>
      <c r="BH834" s="520"/>
      <c r="BI834" s="1122"/>
      <c r="BJ834" s="520"/>
      <c r="BK834" s="520"/>
      <c r="BL834" s="520"/>
      <c r="BM834" s="520"/>
      <c r="BN834" s="1122"/>
      <c r="BO834" s="520"/>
      <c r="BP834" s="520"/>
      <c r="BQ834" s="520"/>
      <c r="BR834" s="520"/>
      <c r="BS834" s="1122"/>
      <c r="BT834" s="728"/>
      <c r="BU834" s="520"/>
      <c r="BV834" s="520"/>
      <c r="BW834" s="520"/>
      <c r="BX834" s="1122"/>
      <c r="BY834" s="520"/>
      <c r="BZ834" s="520"/>
      <c r="CA834" s="520"/>
      <c r="CB834" s="520"/>
      <c r="CC834" s="1122"/>
      <c r="CD834" s="1122"/>
      <c r="CE834" s="1122"/>
      <c r="CF834" s="1122"/>
      <c r="CG834" s="519"/>
    </row>
    <row r="835" spans="1:85" s="614" customFormat="1" x14ac:dyDescent="0.3">
      <c r="A835" s="522"/>
      <c r="B835" s="352"/>
      <c r="C835" s="1094"/>
      <c r="D835" s="1094"/>
      <c r="E835" s="1094"/>
      <c r="F835" s="1094"/>
      <c r="G835" s="197"/>
      <c r="H835" s="197"/>
      <c r="I835" s="197"/>
      <c r="J835" s="197"/>
      <c r="K835" s="1094"/>
      <c r="L835" s="197"/>
      <c r="M835" s="197"/>
      <c r="N835" s="197"/>
      <c r="O835" s="197"/>
      <c r="P835" s="1094"/>
      <c r="Q835" s="197"/>
      <c r="R835" s="197"/>
      <c r="S835" s="197"/>
      <c r="T835" s="197"/>
      <c r="U835" s="1094"/>
      <c r="V835" s="197"/>
      <c r="W835" s="197"/>
      <c r="X835" s="197"/>
      <c r="Y835" s="197"/>
      <c r="Z835" s="1094"/>
      <c r="AA835" s="197"/>
      <c r="AB835" s="197"/>
      <c r="AC835" s="197"/>
      <c r="AD835" s="197"/>
      <c r="AE835" s="1094"/>
      <c r="AF835" s="197"/>
      <c r="AG835" s="197"/>
      <c r="AH835" s="197"/>
      <c r="AI835" s="197"/>
      <c r="AJ835" s="1094"/>
      <c r="AK835" s="197"/>
      <c r="AL835" s="197"/>
      <c r="AM835" s="197"/>
      <c r="AN835" s="197"/>
      <c r="AO835" s="1094"/>
      <c r="AP835" s="197"/>
      <c r="AQ835" s="197"/>
      <c r="AR835" s="197"/>
      <c r="AS835" s="197"/>
      <c r="AT835" s="198"/>
      <c r="AU835" s="197"/>
      <c r="AV835" s="197"/>
      <c r="AW835" s="197"/>
      <c r="AX835" s="197"/>
      <c r="AY835" s="198"/>
      <c r="AZ835" s="197"/>
      <c r="BA835" s="197"/>
      <c r="BB835" s="197"/>
      <c r="BC835" s="197"/>
      <c r="BD835" s="198"/>
      <c r="BE835" s="197"/>
      <c r="BF835" s="197"/>
      <c r="BG835" s="197"/>
      <c r="BH835" s="197"/>
      <c r="BI835" s="1094"/>
      <c r="BJ835" s="197"/>
      <c r="BK835" s="197"/>
      <c r="BL835" s="197"/>
      <c r="BM835" s="197"/>
      <c r="BN835" s="1094"/>
      <c r="BO835" s="197"/>
      <c r="BP835" s="197"/>
      <c r="BQ835" s="197"/>
      <c r="BR835" s="197"/>
      <c r="BS835" s="1094"/>
      <c r="BT835" s="727"/>
      <c r="BU835" s="197"/>
      <c r="BV835" s="197"/>
      <c r="BW835" s="197"/>
      <c r="BX835" s="1094"/>
      <c r="BY835" s="197"/>
      <c r="BZ835" s="197"/>
      <c r="CA835" s="197"/>
      <c r="CB835" s="197"/>
      <c r="CC835" s="1094"/>
      <c r="CD835" s="1094"/>
      <c r="CE835" s="1094"/>
      <c r="CF835" s="1094"/>
      <c r="CG835" s="349"/>
    </row>
    <row r="836" spans="1:85" s="613" customFormat="1" x14ac:dyDescent="0.3">
      <c r="A836" s="478" t="s">
        <v>1538</v>
      </c>
      <c r="B836" s="523"/>
      <c r="C836" s="78"/>
      <c r="D836" s="78"/>
      <c r="E836" s="78"/>
      <c r="F836" s="78"/>
      <c r="G836" s="774"/>
      <c r="H836" s="774"/>
      <c r="I836" s="774"/>
      <c r="J836" s="774"/>
      <c r="K836" s="78"/>
      <c r="L836" s="774"/>
      <c r="M836" s="774"/>
      <c r="N836" s="774"/>
      <c r="O836" s="774"/>
      <c r="P836" s="78"/>
      <c r="Q836" s="774"/>
      <c r="R836" s="774"/>
      <c r="S836" s="774"/>
      <c r="T836" s="774"/>
      <c r="U836" s="78"/>
      <c r="V836" s="774"/>
      <c r="W836" s="774"/>
      <c r="X836" s="774"/>
      <c r="Y836" s="774"/>
      <c r="Z836" s="78"/>
      <c r="AA836" s="774"/>
      <c r="AB836" s="774"/>
      <c r="AC836" s="774"/>
      <c r="AD836" s="774"/>
      <c r="AE836" s="78"/>
      <c r="AF836" s="774"/>
      <c r="AG836" s="774"/>
      <c r="AH836" s="774"/>
      <c r="AI836" s="774"/>
      <c r="AJ836" s="78"/>
      <c r="AK836" s="774"/>
      <c r="AL836" s="774"/>
      <c r="AM836" s="774"/>
      <c r="AN836" s="774"/>
      <c r="AO836" s="78"/>
      <c r="AP836" s="774"/>
      <c r="AQ836" s="774"/>
      <c r="AR836" s="774"/>
      <c r="AS836" s="774"/>
      <c r="AT836" s="1119">
        <v>3.9649999999999999</v>
      </c>
      <c r="AU836" s="774"/>
      <c r="AV836" s="774"/>
      <c r="AW836" s="774"/>
      <c r="AX836" s="774"/>
      <c r="AY836" s="1119">
        <v>3.9649999999999999</v>
      </c>
      <c r="AZ836" s="774"/>
      <c r="BA836" s="774"/>
      <c r="BB836" s="774"/>
      <c r="BC836" s="774"/>
      <c r="BD836" s="1119">
        <v>3.9649999999999999</v>
      </c>
      <c r="BE836" s="774"/>
      <c r="BF836" s="774"/>
      <c r="BG836" s="774"/>
      <c r="BH836" s="774"/>
      <c r="BI836" s="78"/>
      <c r="BJ836" s="774"/>
      <c r="BK836" s="774"/>
      <c r="BL836" s="774"/>
      <c r="BM836" s="774"/>
      <c r="BN836" s="78"/>
      <c r="BO836" s="774"/>
      <c r="BP836" s="774"/>
      <c r="BQ836" s="774"/>
      <c r="BR836" s="774"/>
      <c r="BS836" s="78"/>
      <c r="BT836" s="775"/>
      <c r="BU836" s="774"/>
      <c r="BV836" s="774"/>
      <c r="BW836" s="774"/>
      <c r="BX836" s="78"/>
      <c r="BY836" s="774"/>
      <c r="BZ836" s="774"/>
      <c r="CA836" s="774"/>
      <c r="CB836" s="774"/>
      <c r="CC836" s="78"/>
      <c r="CD836" s="78"/>
      <c r="CE836" s="78"/>
      <c r="CF836" s="78"/>
      <c r="CG836" s="532"/>
    </row>
    <row r="837" spans="1:85" s="615" customFormat="1" x14ac:dyDescent="0.3">
      <c r="A837" s="522" t="s">
        <v>1537</v>
      </c>
      <c r="B837" s="521"/>
      <c r="C837" s="1122"/>
      <c r="D837" s="1122"/>
      <c r="E837" s="1122"/>
      <c r="F837" s="1122"/>
      <c r="G837" s="520"/>
      <c r="H837" s="520"/>
      <c r="I837" s="520"/>
      <c r="J837" s="520"/>
      <c r="K837" s="1122"/>
      <c r="L837" s="520"/>
      <c r="M837" s="520"/>
      <c r="N837" s="520"/>
      <c r="O837" s="520"/>
      <c r="P837" s="1122"/>
      <c r="Q837" s="520"/>
      <c r="R837" s="520"/>
      <c r="S837" s="520"/>
      <c r="T837" s="520"/>
      <c r="U837" s="1122"/>
      <c r="V837" s="520"/>
      <c r="W837" s="520"/>
      <c r="X837" s="520"/>
      <c r="Y837" s="520"/>
      <c r="Z837" s="1122"/>
      <c r="AA837" s="520"/>
      <c r="AB837" s="520"/>
      <c r="AC837" s="520"/>
      <c r="AD837" s="520"/>
      <c r="AE837" s="1122"/>
      <c r="AF837" s="520"/>
      <c r="AG837" s="520"/>
      <c r="AH837" s="520"/>
      <c r="AI837" s="520"/>
      <c r="AJ837" s="1122"/>
      <c r="AK837" s="520"/>
      <c r="AL837" s="520"/>
      <c r="AM837" s="520"/>
      <c r="AN837" s="520"/>
      <c r="AO837" s="1122"/>
      <c r="AP837" s="520"/>
      <c r="AQ837" s="520"/>
      <c r="AR837" s="520"/>
      <c r="AS837" s="520"/>
      <c r="AT837" s="1123">
        <v>357.32</v>
      </c>
      <c r="AU837" s="520"/>
      <c r="AV837" s="520"/>
      <c r="AW837" s="520"/>
      <c r="AX837" s="520"/>
      <c r="AY837" s="1123">
        <v>357.32</v>
      </c>
      <c r="AZ837" s="520"/>
      <c r="BA837" s="520"/>
      <c r="BB837" s="520"/>
      <c r="BC837" s="520"/>
      <c r="BD837" s="1123">
        <v>357.32</v>
      </c>
      <c r="BE837" s="520"/>
      <c r="BF837" s="520"/>
      <c r="BG837" s="520"/>
      <c r="BH837" s="520"/>
      <c r="BI837" s="1122"/>
      <c r="BJ837" s="520"/>
      <c r="BK837" s="520"/>
      <c r="BL837" s="520"/>
      <c r="BM837" s="520"/>
      <c r="BN837" s="1122"/>
      <c r="BO837" s="520"/>
      <c r="BP837" s="520"/>
      <c r="BQ837" s="520"/>
      <c r="BR837" s="520"/>
      <c r="BS837" s="1122"/>
      <c r="BT837" s="728"/>
      <c r="BU837" s="520"/>
      <c r="BV837" s="520"/>
      <c r="BW837" s="520"/>
      <c r="BX837" s="1122"/>
      <c r="BY837" s="520"/>
      <c r="BZ837" s="520"/>
      <c r="CA837" s="520"/>
      <c r="CB837" s="520"/>
      <c r="CC837" s="1122"/>
      <c r="CD837" s="1122"/>
      <c r="CE837" s="1122"/>
      <c r="CF837" s="1122"/>
      <c r="CG837" s="519"/>
    </row>
    <row r="838" spans="1:85" s="614" customFormat="1" x14ac:dyDescent="0.3">
      <c r="A838" s="522"/>
      <c r="B838" s="352"/>
      <c r="C838" s="1094"/>
      <c r="D838" s="1094"/>
      <c r="E838" s="1094"/>
      <c r="F838" s="1094"/>
      <c r="G838" s="197"/>
      <c r="H838" s="197"/>
      <c r="I838" s="197"/>
      <c r="J838" s="197"/>
      <c r="K838" s="1094"/>
      <c r="L838" s="197"/>
      <c r="M838" s="197"/>
      <c r="N838" s="197"/>
      <c r="O838" s="197"/>
      <c r="P838" s="1094"/>
      <c r="Q838" s="197"/>
      <c r="R838" s="197"/>
      <c r="S838" s="197"/>
      <c r="T838" s="197"/>
      <c r="U838" s="1094"/>
      <c r="V838" s="197"/>
      <c r="W838" s="197"/>
      <c r="X838" s="197"/>
      <c r="Y838" s="197"/>
      <c r="Z838" s="1094"/>
      <c r="AA838" s="197"/>
      <c r="AB838" s="197"/>
      <c r="AC838" s="197"/>
      <c r="AD838" s="197"/>
      <c r="AE838" s="1094"/>
      <c r="AF838" s="197"/>
      <c r="AG838" s="197"/>
      <c r="AH838" s="197"/>
      <c r="AI838" s="197"/>
      <c r="AJ838" s="1094"/>
      <c r="AK838" s="197"/>
      <c r="AL838" s="197"/>
      <c r="AM838" s="197"/>
      <c r="AN838" s="197"/>
      <c r="AO838" s="1094"/>
      <c r="AP838" s="197"/>
      <c r="AQ838" s="197"/>
      <c r="AR838" s="197"/>
      <c r="AS838" s="197"/>
      <c r="AT838" s="198"/>
      <c r="AU838" s="197"/>
      <c r="AV838" s="197"/>
      <c r="AW838" s="197"/>
      <c r="AX838" s="197"/>
      <c r="AY838" s="198"/>
      <c r="AZ838" s="197"/>
      <c r="BA838" s="197"/>
      <c r="BB838" s="197"/>
      <c r="BC838" s="197"/>
      <c r="BD838" s="198"/>
      <c r="BE838" s="197"/>
      <c r="BF838" s="197"/>
      <c r="BG838" s="197"/>
      <c r="BH838" s="197"/>
      <c r="BI838" s="1094"/>
      <c r="BJ838" s="197"/>
      <c r="BK838" s="197"/>
      <c r="BL838" s="197"/>
      <c r="BM838" s="197"/>
      <c r="BN838" s="1094"/>
      <c r="BO838" s="197"/>
      <c r="BP838" s="197"/>
      <c r="BQ838" s="197"/>
      <c r="BR838" s="197"/>
      <c r="BS838" s="1094"/>
      <c r="BT838" s="727"/>
      <c r="BU838" s="197"/>
      <c r="BV838" s="197"/>
      <c r="BW838" s="197"/>
      <c r="BX838" s="1094"/>
      <c r="BY838" s="197"/>
      <c r="BZ838" s="197"/>
      <c r="CA838" s="197"/>
      <c r="CB838" s="197"/>
      <c r="CC838" s="1094"/>
      <c r="CD838" s="1094"/>
      <c r="CE838" s="1094"/>
      <c r="CF838" s="1094"/>
      <c r="CG838" s="349"/>
    </row>
    <row r="839" spans="1:85" s="613" customFormat="1" x14ac:dyDescent="0.3">
      <c r="A839" s="478" t="s">
        <v>1536</v>
      </c>
      <c r="B839" s="523"/>
      <c r="C839" s="78"/>
      <c r="D839" s="78"/>
      <c r="E839" s="78"/>
      <c r="F839" s="78"/>
      <c r="G839" s="774"/>
      <c r="H839" s="774"/>
      <c r="I839" s="774"/>
      <c r="J839" s="774"/>
      <c r="K839" s="78"/>
      <c r="L839" s="774"/>
      <c r="M839" s="774"/>
      <c r="N839" s="774"/>
      <c r="O839" s="774"/>
      <c r="P839" s="78"/>
      <c r="Q839" s="774"/>
      <c r="R839" s="774"/>
      <c r="S839" s="774"/>
      <c r="T839" s="774"/>
      <c r="U839" s="78"/>
      <c r="V839" s="774"/>
      <c r="W839" s="774"/>
      <c r="X839" s="774"/>
      <c r="Y839" s="774"/>
      <c r="Z839" s="78"/>
      <c r="AA839" s="774"/>
      <c r="AB839" s="774"/>
      <c r="AC839" s="774"/>
      <c r="AD839" s="774"/>
      <c r="AE839" s="78"/>
      <c r="AF839" s="774"/>
      <c r="AG839" s="774"/>
      <c r="AH839" s="774"/>
      <c r="AI839" s="774"/>
      <c r="AJ839" s="78"/>
      <c r="AK839" s="774"/>
      <c r="AL839" s="774"/>
      <c r="AM839" s="774"/>
      <c r="AN839" s="774"/>
      <c r="AO839" s="78"/>
      <c r="AP839" s="774"/>
      <c r="AQ839" s="774"/>
      <c r="AR839" s="774"/>
      <c r="AS839" s="774"/>
      <c r="AT839" s="1119">
        <v>3.8610000000000002</v>
      </c>
      <c r="AU839" s="774"/>
      <c r="AV839" s="774"/>
      <c r="AW839" s="774"/>
      <c r="AX839" s="774"/>
      <c r="AY839" s="1119">
        <v>3.8610000000000002</v>
      </c>
      <c r="AZ839" s="774"/>
      <c r="BA839" s="774"/>
      <c r="BB839" s="774"/>
      <c r="BC839" s="774"/>
      <c r="BD839" s="1119">
        <v>3.8610000000000002</v>
      </c>
      <c r="BE839" s="774"/>
      <c r="BF839" s="774"/>
      <c r="BG839" s="774"/>
      <c r="BH839" s="774"/>
      <c r="BI839" s="78"/>
      <c r="BJ839" s="774"/>
      <c r="BK839" s="774"/>
      <c r="BL839" s="774"/>
      <c r="BM839" s="774"/>
      <c r="BN839" s="78"/>
      <c r="BO839" s="774"/>
      <c r="BP839" s="774"/>
      <c r="BQ839" s="774"/>
      <c r="BR839" s="774"/>
      <c r="BS839" s="78"/>
      <c r="BT839" s="775"/>
      <c r="BU839" s="774"/>
      <c r="BV839" s="774"/>
      <c r="BW839" s="774"/>
      <c r="BX839" s="78"/>
      <c r="BY839" s="774"/>
      <c r="BZ839" s="774"/>
      <c r="CA839" s="774"/>
      <c r="CB839" s="774"/>
      <c r="CC839" s="78"/>
      <c r="CD839" s="78"/>
      <c r="CE839" s="78"/>
      <c r="CF839" s="78"/>
      <c r="CG839" s="532"/>
    </row>
    <row r="840" spans="1:85" s="615" customFormat="1" x14ac:dyDescent="0.3">
      <c r="A840" s="522" t="s">
        <v>1535</v>
      </c>
      <c r="B840" s="521"/>
      <c r="C840" s="1122"/>
      <c r="D840" s="1122"/>
      <c r="E840" s="1122"/>
      <c r="F840" s="1122"/>
      <c r="G840" s="520"/>
      <c r="H840" s="520"/>
      <c r="I840" s="520"/>
      <c r="J840" s="520"/>
      <c r="K840" s="1122"/>
      <c r="L840" s="520"/>
      <c r="M840" s="520"/>
      <c r="N840" s="520"/>
      <c r="O840" s="520"/>
      <c r="P840" s="1122"/>
      <c r="Q840" s="520"/>
      <c r="R840" s="520"/>
      <c r="S840" s="520"/>
      <c r="T840" s="520"/>
      <c r="U840" s="1122"/>
      <c r="V840" s="520"/>
      <c r="W840" s="520"/>
      <c r="X840" s="520"/>
      <c r="Y840" s="520"/>
      <c r="Z840" s="1122"/>
      <c r="AA840" s="520"/>
      <c r="AB840" s="520"/>
      <c r="AC840" s="520"/>
      <c r="AD840" s="520"/>
      <c r="AE840" s="1122"/>
      <c r="AF840" s="520"/>
      <c r="AG840" s="520"/>
      <c r="AH840" s="520"/>
      <c r="AI840" s="520"/>
      <c r="AJ840" s="1122"/>
      <c r="AK840" s="520"/>
      <c r="AL840" s="520"/>
      <c r="AM840" s="520"/>
      <c r="AN840" s="520"/>
      <c r="AO840" s="1122"/>
      <c r="AP840" s="520"/>
      <c r="AQ840" s="520"/>
      <c r="AR840" s="520"/>
      <c r="AS840" s="520"/>
      <c r="AT840" s="1123">
        <v>366.96</v>
      </c>
      <c r="AU840" s="520"/>
      <c r="AV840" s="520"/>
      <c r="AW840" s="520"/>
      <c r="AX840" s="520"/>
      <c r="AY840" s="1123">
        <v>366.96</v>
      </c>
      <c r="AZ840" s="520"/>
      <c r="BA840" s="520"/>
      <c r="BB840" s="520"/>
      <c r="BC840" s="520"/>
      <c r="BD840" s="1123">
        <v>366.96</v>
      </c>
      <c r="BE840" s="520"/>
      <c r="BF840" s="520"/>
      <c r="BG840" s="520"/>
      <c r="BH840" s="520"/>
      <c r="BI840" s="1122"/>
      <c r="BJ840" s="520"/>
      <c r="BK840" s="520"/>
      <c r="BL840" s="520"/>
      <c r="BM840" s="520"/>
      <c r="BN840" s="1122"/>
      <c r="BO840" s="520"/>
      <c r="BP840" s="520"/>
      <c r="BQ840" s="520"/>
      <c r="BR840" s="520"/>
      <c r="BS840" s="1122"/>
      <c r="BT840" s="728"/>
      <c r="BU840" s="520"/>
      <c r="BV840" s="520"/>
      <c r="BW840" s="520"/>
      <c r="BX840" s="1122"/>
      <c r="BY840" s="520"/>
      <c r="BZ840" s="520"/>
      <c r="CA840" s="520"/>
      <c r="CB840" s="520"/>
      <c r="CC840" s="1122"/>
      <c r="CD840" s="1122"/>
      <c r="CE840" s="1122"/>
      <c r="CF840" s="1122"/>
      <c r="CG840" s="519"/>
    </row>
    <row r="841" spans="1:85" s="614" customFormat="1" x14ac:dyDescent="0.3">
      <c r="A841" s="522"/>
      <c r="B841" s="352"/>
      <c r="C841" s="1094"/>
      <c r="D841" s="1094"/>
      <c r="E841" s="1094"/>
      <c r="F841" s="1094"/>
      <c r="G841" s="197"/>
      <c r="H841" s="197"/>
      <c r="I841" s="197"/>
      <c r="J841" s="197"/>
      <c r="K841" s="1094"/>
      <c r="L841" s="197"/>
      <c r="M841" s="197"/>
      <c r="N841" s="197"/>
      <c r="O841" s="197"/>
      <c r="P841" s="1094"/>
      <c r="Q841" s="197"/>
      <c r="R841" s="197"/>
      <c r="S841" s="197"/>
      <c r="T841" s="197"/>
      <c r="U841" s="1094"/>
      <c r="V841" s="197"/>
      <c r="W841" s="197"/>
      <c r="X841" s="197"/>
      <c r="Y841" s="197"/>
      <c r="Z841" s="1094"/>
      <c r="AA841" s="197"/>
      <c r="AB841" s="197"/>
      <c r="AC841" s="197"/>
      <c r="AD841" s="197"/>
      <c r="AE841" s="1094"/>
      <c r="AF841" s="197"/>
      <c r="AG841" s="197"/>
      <c r="AH841" s="197"/>
      <c r="AI841" s="197"/>
      <c r="AJ841" s="1094"/>
      <c r="AK841" s="197"/>
      <c r="AL841" s="197"/>
      <c r="AM841" s="197"/>
      <c r="AN841" s="197"/>
      <c r="AO841" s="1094"/>
      <c r="AP841" s="197"/>
      <c r="AQ841" s="197"/>
      <c r="AR841" s="197"/>
      <c r="AS841" s="197"/>
      <c r="AT841" s="198"/>
      <c r="AU841" s="197"/>
      <c r="AV841" s="197"/>
      <c r="AW841" s="197"/>
      <c r="AX841" s="197"/>
      <c r="AY841" s="198"/>
      <c r="AZ841" s="197"/>
      <c r="BA841" s="197"/>
      <c r="BB841" s="197"/>
      <c r="BC841" s="197"/>
      <c r="BD841" s="198"/>
      <c r="BE841" s="197"/>
      <c r="BF841" s="197"/>
      <c r="BG841" s="197"/>
      <c r="BH841" s="197"/>
      <c r="BI841" s="1094"/>
      <c r="BJ841" s="197"/>
      <c r="BK841" s="197"/>
      <c r="BL841" s="197"/>
      <c r="BM841" s="197"/>
      <c r="BN841" s="1094"/>
      <c r="BO841" s="197"/>
      <c r="BP841" s="197"/>
      <c r="BQ841" s="197"/>
      <c r="BR841" s="197"/>
      <c r="BS841" s="1094"/>
      <c r="BT841" s="727"/>
      <c r="BU841" s="197"/>
      <c r="BV841" s="197"/>
      <c r="BW841" s="197"/>
      <c r="BX841" s="1094"/>
      <c r="BY841" s="197"/>
      <c r="BZ841" s="197"/>
      <c r="CA841" s="197"/>
      <c r="CB841" s="197"/>
      <c r="CC841" s="1094"/>
      <c r="CD841" s="1094"/>
      <c r="CE841" s="1094"/>
      <c r="CF841" s="1094"/>
      <c r="CG841" s="349"/>
    </row>
    <row r="842" spans="1:85" s="613" customFormat="1" x14ac:dyDescent="0.3">
      <c r="A842" s="478" t="s">
        <v>1534</v>
      </c>
      <c r="B842" s="523"/>
      <c r="C842" s="78"/>
      <c r="D842" s="78"/>
      <c r="E842" s="78"/>
      <c r="F842" s="78"/>
      <c r="G842" s="774"/>
      <c r="H842" s="774"/>
      <c r="I842" s="774"/>
      <c r="J842" s="774"/>
      <c r="K842" s="78"/>
      <c r="L842" s="774"/>
      <c r="M842" s="774"/>
      <c r="N842" s="774"/>
      <c r="O842" s="774"/>
      <c r="P842" s="78"/>
      <c r="Q842" s="774"/>
      <c r="R842" s="774"/>
      <c r="S842" s="774"/>
      <c r="T842" s="774"/>
      <c r="U842" s="78"/>
      <c r="V842" s="774"/>
      <c r="W842" s="774"/>
      <c r="X842" s="774"/>
      <c r="Y842" s="774"/>
      <c r="Z842" s="78"/>
      <c r="AA842" s="774"/>
      <c r="AB842" s="774"/>
      <c r="AC842" s="774"/>
      <c r="AD842" s="774"/>
      <c r="AE842" s="78"/>
      <c r="AF842" s="774"/>
      <c r="AG842" s="774"/>
      <c r="AH842" s="774"/>
      <c r="AI842" s="774"/>
      <c r="AJ842" s="78"/>
      <c r="AK842" s="774"/>
      <c r="AL842" s="774"/>
      <c r="AM842" s="774"/>
      <c r="AN842" s="774"/>
      <c r="AO842" s="78"/>
      <c r="AP842" s="774"/>
      <c r="AQ842" s="774"/>
      <c r="AR842" s="774"/>
      <c r="AS842" s="774"/>
      <c r="AT842" s="1119">
        <v>3.7389999999999999</v>
      </c>
      <c r="AU842" s="774"/>
      <c r="AV842" s="774"/>
      <c r="AW842" s="774"/>
      <c r="AX842" s="774"/>
      <c r="AY842" s="1119">
        <v>3.7389999999999999</v>
      </c>
      <c r="AZ842" s="774"/>
      <c r="BA842" s="774"/>
      <c r="BB842" s="774"/>
      <c r="BC842" s="774"/>
      <c r="BD842" s="1119">
        <v>3.7389999999999999</v>
      </c>
      <c r="BE842" s="774"/>
      <c r="BF842" s="774"/>
      <c r="BG842" s="774"/>
      <c r="BH842" s="774"/>
      <c r="BI842" s="78"/>
      <c r="BJ842" s="774"/>
      <c r="BK842" s="774"/>
      <c r="BL842" s="774"/>
      <c r="BM842" s="774"/>
      <c r="BN842" s="78"/>
      <c r="BO842" s="774"/>
      <c r="BP842" s="774"/>
      <c r="BQ842" s="774"/>
      <c r="BR842" s="774"/>
      <c r="BS842" s="78"/>
      <c r="BT842" s="775"/>
      <c r="BU842" s="774"/>
      <c r="BV842" s="774"/>
      <c r="BW842" s="774"/>
      <c r="BX842" s="78"/>
      <c r="BY842" s="774"/>
      <c r="BZ842" s="774"/>
      <c r="CA842" s="774"/>
      <c r="CB842" s="774"/>
      <c r="CC842" s="78"/>
      <c r="CD842" s="78"/>
      <c r="CE842" s="78"/>
      <c r="CF842" s="78"/>
      <c r="CG842" s="532"/>
    </row>
    <row r="843" spans="1:85" s="615" customFormat="1" x14ac:dyDescent="0.3">
      <c r="A843" s="522" t="s">
        <v>1533</v>
      </c>
      <c r="B843" s="521"/>
      <c r="C843" s="1122"/>
      <c r="D843" s="1122"/>
      <c r="E843" s="1122"/>
      <c r="F843" s="1122"/>
      <c r="G843" s="520"/>
      <c r="H843" s="520"/>
      <c r="I843" s="520"/>
      <c r="J843" s="520"/>
      <c r="K843" s="1122"/>
      <c r="L843" s="520"/>
      <c r="M843" s="520"/>
      <c r="N843" s="520"/>
      <c r="O843" s="520"/>
      <c r="P843" s="1122"/>
      <c r="Q843" s="520"/>
      <c r="R843" s="520"/>
      <c r="S843" s="520"/>
      <c r="T843" s="520"/>
      <c r="U843" s="1122"/>
      <c r="V843" s="520"/>
      <c r="W843" s="520"/>
      <c r="X843" s="520"/>
      <c r="Y843" s="520"/>
      <c r="Z843" s="1122"/>
      <c r="AA843" s="520"/>
      <c r="AB843" s="520"/>
      <c r="AC843" s="520"/>
      <c r="AD843" s="520"/>
      <c r="AE843" s="1122"/>
      <c r="AF843" s="520"/>
      <c r="AG843" s="520"/>
      <c r="AH843" s="520"/>
      <c r="AI843" s="520"/>
      <c r="AJ843" s="1122"/>
      <c r="AK843" s="520"/>
      <c r="AL843" s="520"/>
      <c r="AM843" s="520"/>
      <c r="AN843" s="520"/>
      <c r="AO843" s="1122"/>
      <c r="AP843" s="520"/>
      <c r="AQ843" s="520"/>
      <c r="AR843" s="520"/>
      <c r="AS843" s="520"/>
      <c r="AT843" s="1123">
        <v>378.81</v>
      </c>
      <c r="AU843" s="520"/>
      <c r="AV843" s="520"/>
      <c r="AW843" s="520"/>
      <c r="AX843" s="520"/>
      <c r="AY843" s="1123">
        <v>378.81</v>
      </c>
      <c r="AZ843" s="520"/>
      <c r="BA843" s="520"/>
      <c r="BB843" s="520"/>
      <c r="BC843" s="520"/>
      <c r="BD843" s="1123">
        <v>378.81</v>
      </c>
      <c r="BE843" s="520"/>
      <c r="BF843" s="520"/>
      <c r="BG843" s="520"/>
      <c r="BH843" s="520"/>
      <c r="BI843" s="1122"/>
      <c r="BJ843" s="520"/>
      <c r="BK843" s="520"/>
      <c r="BL843" s="520"/>
      <c r="BM843" s="520"/>
      <c r="BN843" s="1122"/>
      <c r="BO843" s="520"/>
      <c r="BP843" s="520"/>
      <c r="BQ843" s="520"/>
      <c r="BR843" s="520"/>
      <c r="BS843" s="1122"/>
      <c r="BT843" s="728"/>
      <c r="BU843" s="520"/>
      <c r="BV843" s="520"/>
      <c r="BW843" s="520"/>
      <c r="BX843" s="1122"/>
      <c r="BY843" s="520"/>
      <c r="BZ843" s="520"/>
      <c r="CA843" s="520"/>
      <c r="CB843" s="520"/>
      <c r="CC843" s="1122"/>
      <c r="CD843" s="1122"/>
      <c r="CE843" s="1122"/>
      <c r="CF843" s="1122"/>
      <c r="CG843" s="519"/>
    </row>
    <row r="844" spans="1:85" s="614" customFormat="1" x14ac:dyDescent="0.3">
      <c r="A844" s="522"/>
      <c r="B844" s="352"/>
      <c r="C844" s="1094"/>
      <c r="D844" s="1094"/>
      <c r="E844" s="1094"/>
      <c r="F844" s="1094"/>
      <c r="G844" s="197"/>
      <c r="H844" s="197"/>
      <c r="I844" s="197"/>
      <c r="J844" s="197"/>
      <c r="K844" s="1094"/>
      <c r="L844" s="197"/>
      <c r="M844" s="197"/>
      <c r="N844" s="197"/>
      <c r="O844" s="197"/>
      <c r="P844" s="1094"/>
      <c r="Q844" s="197"/>
      <c r="R844" s="197"/>
      <c r="S844" s="197"/>
      <c r="T844" s="197"/>
      <c r="U844" s="1094"/>
      <c r="V844" s="197"/>
      <c r="W844" s="197"/>
      <c r="X844" s="197"/>
      <c r="Y844" s="197"/>
      <c r="Z844" s="1094"/>
      <c r="AA844" s="197"/>
      <c r="AB844" s="197"/>
      <c r="AC844" s="197"/>
      <c r="AD844" s="197"/>
      <c r="AE844" s="1094"/>
      <c r="AF844" s="197"/>
      <c r="AG844" s="197"/>
      <c r="AH844" s="197"/>
      <c r="AI844" s="197"/>
      <c r="AJ844" s="1094"/>
      <c r="AK844" s="197"/>
      <c r="AL844" s="197"/>
      <c r="AM844" s="197"/>
      <c r="AN844" s="197"/>
      <c r="AO844" s="1094"/>
      <c r="AP844" s="197"/>
      <c r="AQ844" s="197"/>
      <c r="AR844" s="197"/>
      <c r="AS844" s="197"/>
      <c r="AT844" s="198"/>
      <c r="AU844" s="197"/>
      <c r="AV844" s="197"/>
      <c r="AW844" s="197"/>
      <c r="AX844" s="197"/>
      <c r="AY844" s="198"/>
      <c r="AZ844" s="197"/>
      <c r="BA844" s="197"/>
      <c r="BB844" s="197"/>
      <c r="BC844" s="197"/>
      <c r="BD844" s="198"/>
      <c r="BE844" s="197"/>
      <c r="BF844" s="197"/>
      <c r="BG844" s="197"/>
      <c r="BH844" s="197"/>
      <c r="BI844" s="1094"/>
      <c r="BJ844" s="197"/>
      <c r="BK844" s="197"/>
      <c r="BL844" s="197"/>
      <c r="BM844" s="197"/>
      <c r="BN844" s="1094"/>
      <c r="BO844" s="197"/>
      <c r="BP844" s="197"/>
      <c r="BQ844" s="197"/>
      <c r="BR844" s="197"/>
      <c r="BS844" s="1094"/>
      <c r="BT844" s="727"/>
      <c r="BU844" s="197"/>
      <c r="BV844" s="197"/>
      <c r="BW844" s="197"/>
      <c r="BX844" s="1094"/>
      <c r="BY844" s="197"/>
      <c r="BZ844" s="197"/>
      <c r="CA844" s="197"/>
      <c r="CB844" s="197"/>
      <c r="CC844" s="1094"/>
      <c r="CD844" s="1094"/>
      <c r="CE844" s="1094"/>
      <c r="CF844" s="1094"/>
      <c r="CG844" s="349"/>
    </row>
    <row r="845" spans="1:85" s="613" customFormat="1" x14ac:dyDescent="0.3">
      <c r="A845" s="478" t="s">
        <v>1532</v>
      </c>
      <c r="B845" s="523"/>
      <c r="C845" s="78"/>
      <c r="D845" s="78"/>
      <c r="E845" s="78"/>
      <c r="F845" s="78"/>
      <c r="G845" s="774"/>
      <c r="H845" s="774"/>
      <c r="I845" s="774"/>
      <c r="J845" s="774"/>
      <c r="K845" s="78"/>
      <c r="L845" s="774"/>
      <c r="M845" s="774"/>
      <c r="N845" s="774"/>
      <c r="O845" s="774"/>
      <c r="P845" s="78"/>
      <c r="Q845" s="774"/>
      <c r="R845" s="774"/>
      <c r="S845" s="774"/>
      <c r="T845" s="774"/>
      <c r="U845" s="78"/>
      <c r="V845" s="774"/>
      <c r="W845" s="774"/>
      <c r="X845" s="774"/>
      <c r="Y845" s="774"/>
      <c r="Z845" s="78"/>
      <c r="AA845" s="774"/>
      <c r="AB845" s="774"/>
      <c r="AC845" s="774"/>
      <c r="AD845" s="774"/>
      <c r="AE845" s="78"/>
      <c r="AF845" s="774"/>
      <c r="AG845" s="774"/>
      <c r="AH845" s="774"/>
      <c r="AI845" s="774"/>
      <c r="AJ845" s="78"/>
      <c r="AK845" s="774"/>
      <c r="AL845" s="774"/>
      <c r="AM845" s="774"/>
      <c r="AN845" s="774"/>
      <c r="AO845" s="78"/>
      <c r="AP845" s="774"/>
      <c r="AQ845" s="774"/>
      <c r="AR845" s="774"/>
      <c r="AS845" s="774"/>
      <c r="AT845" s="1119">
        <v>4.2089999999999996</v>
      </c>
      <c r="AU845" s="774"/>
      <c r="AV845" s="774"/>
      <c r="AW845" s="774"/>
      <c r="AX845" s="774"/>
      <c r="AY845" s="1119">
        <v>4.2089999999999996</v>
      </c>
      <c r="AZ845" s="774"/>
      <c r="BA845" s="774"/>
      <c r="BB845" s="774"/>
      <c r="BC845" s="774"/>
      <c r="BD845" s="1119">
        <v>4.2089999999999996</v>
      </c>
      <c r="BE845" s="774"/>
      <c r="BF845" s="774"/>
      <c r="BG845" s="774"/>
      <c r="BH845" s="774"/>
      <c r="BI845" s="78"/>
      <c r="BJ845" s="774"/>
      <c r="BK845" s="774"/>
      <c r="BL845" s="774"/>
      <c r="BM845" s="774"/>
      <c r="BN845" s="78"/>
      <c r="BO845" s="774"/>
      <c r="BP845" s="774"/>
      <c r="BQ845" s="774"/>
      <c r="BR845" s="774"/>
      <c r="BS845" s="78"/>
      <c r="BT845" s="775"/>
      <c r="BU845" s="774"/>
      <c r="BV845" s="774"/>
      <c r="BW845" s="774"/>
      <c r="BX845" s="78"/>
      <c r="BY845" s="774"/>
      <c r="BZ845" s="774"/>
      <c r="CA845" s="774"/>
      <c r="CB845" s="774"/>
      <c r="CC845" s="78"/>
      <c r="CD845" s="78"/>
      <c r="CE845" s="78"/>
      <c r="CF845" s="78"/>
      <c r="CG845" s="532"/>
    </row>
    <row r="846" spans="1:85" s="615" customFormat="1" x14ac:dyDescent="0.3">
      <c r="A846" s="522" t="s">
        <v>1531</v>
      </c>
      <c r="B846" s="521"/>
      <c r="C846" s="1122"/>
      <c r="D846" s="1122"/>
      <c r="E846" s="1122"/>
      <c r="F846" s="1122"/>
      <c r="G846" s="520"/>
      <c r="H846" s="520"/>
      <c r="I846" s="520"/>
      <c r="J846" s="520"/>
      <c r="K846" s="1122"/>
      <c r="L846" s="520"/>
      <c r="M846" s="520"/>
      <c r="N846" s="520"/>
      <c r="O846" s="520"/>
      <c r="P846" s="1122"/>
      <c r="Q846" s="520"/>
      <c r="R846" s="520"/>
      <c r="S846" s="520"/>
      <c r="T846" s="520"/>
      <c r="U846" s="1122"/>
      <c r="V846" s="520"/>
      <c r="W846" s="520"/>
      <c r="X846" s="520"/>
      <c r="Y846" s="520"/>
      <c r="Z846" s="1122"/>
      <c r="AA846" s="520"/>
      <c r="AB846" s="520"/>
      <c r="AC846" s="520"/>
      <c r="AD846" s="520"/>
      <c r="AE846" s="1122"/>
      <c r="AF846" s="520"/>
      <c r="AG846" s="520"/>
      <c r="AH846" s="520"/>
      <c r="AI846" s="520"/>
      <c r="AJ846" s="1122"/>
      <c r="AK846" s="520"/>
      <c r="AL846" s="520"/>
      <c r="AM846" s="520"/>
      <c r="AN846" s="520"/>
      <c r="AO846" s="1122"/>
      <c r="AP846" s="520"/>
      <c r="AQ846" s="520"/>
      <c r="AR846" s="520"/>
      <c r="AS846" s="520"/>
      <c r="AT846" s="1123">
        <v>336.63</v>
      </c>
      <c r="AU846" s="520"/>
      <c r="AV846" s="520"/>
      <c r="AW846" s="520"/>
      <c r="AX846" s="520"/>
      <c r="AY846" s="1123">
        <v>336.63</v>
      </c>
      <c r="AZ846" s="520"/>
      <c r="BA846" s="520"/>
      <c r="BB846" s="520"/>
      <c r="BC846" s="520"/>
      <c r="BD846" s="1123">
        <v>336.63</v>
      </c>
      <c r="BE846" s="520"/>
      <c r="BF846" s="520"/>
      <c r="BG846" s="520"/>
      <c r="BH846" s="520"/>
      <c r="BI846" s="1122"/>
      <c r="BJ846" s="520"/>
      <c r="BK846" s="520"/>
      <c r="BL846" s="520"/>
      <c r="BM846" s="520"/>
      <c r="BN846" s="1122"/>
      <c r="BO846" s="520"/>
      <c r="BP846" s="520"/>
      <c r="BQ846" s="520"/>
      <c r="BR846" s="520"/>
      <c r="BS846" s="1122"/>
      <c r="BT846" s="728"/>
      <c r="BU846" s="520"/>
      <c r="BV846" s="520"/>
      <c r="BW846" s="520"/>
      <c r="BX846" s="1122"/>
      <c r="BY846" s="520"/>
      <c r="BZ846" s="520"/>
      <c r="CA846" s="520"/>
      <c r="CB846" s="520"/>
      <c r="CC846" s="1122"/>
      <c r="CD846" s="1122"/>
      <c r="CE846" s="1122"/>
      <c r="CF846" s="1122"/>
      <c r="CG846" s="519"/>
    </row>
    <row r="847" spans="1:85" s="614" customFormat="1" x14ac:dyDescent="0.3">
      <c r="A847" s="522"/>
      <c r="B847" s="352"/>
      <c r="C847" s="1094"/>
      <c r="D847" s="1094"/>
      <c r="E847" s="1094"/>
      <c r="F847" s="1094"/>
      <c r="G847" s="197"/>
      <c r="H847" s="197"/>
      <c r="I847" s="197"/>
      <c r="J847" s="197"/>
      <c r="K847" s="1094"/>
      <c r="L847" s="197"/>
      <c r="M847" s="197"/>
      <c r="N847" s="197"/>
      <c r="O847" s="197"/>
      <c r="P847" s="1094"/>
      <c r="Q847" s="197"/>
      <c r="R847" s="197"/>
      <c r="S847" s="197"/>
      <c r="T847" s="197"/>
      <c r="U847" s="1094"/>
      <c r="V847" s="197"/>
      <c r="W847" s="197"/>
      <c r="X847" s="197"/>
      <c r="Y847" s="197"/>
      <c r="Z847" s="1094"/>
      <c r="AA847" s="197"/>
      <c r="AB847" s="197"/>
      <c r="AC847" s="197"/>
      <c r="AD847" s="197"/>
      <c r="AE847" s="1094"/>
      <c r="AF847" s="197"/>
      <c r="AG847" s="197"/>
      <c r="AH847" s="197"/>
      <c r="AI847" s="197"/>
      <c r="AJ847" s="1094"/>
      <c r="AK847" s="197"/>
      <c r="AL847" s="197"/>
      <c r="AM847" s="197"/>
      <c r="AN847" s="197"/>
      <c r="AO847" s="1094"/>
      <c r="AP847" s="197"/>
      <c r="AQ847" s="197"/>
      <c r="AR847" s="197"/>
      <c r="AS847" s="197"/>
      <c r="AT847" s="198"/>
      <c r="AU847" s="197"/>
      <c r="AV847" s="197"/>
      <c r="AW847" s="197"/>
      <c r="AX847" s="197"/>
      <c r="AY847" s="198"/>
      <c r="AZ847" s="197"/>
      <c r="BA847" s="197"/>
      <c r="BB847" s="197"/>
      <c r="BC847" s="197"/>
      <c r="BD847" s="198"/>
      <c r="BE847" s="197"/>
      <c r="BF847" s="197"/>
      <c r="BG847" s="197"/>
      <c r="BH847" s="197"/>
      <c r="BI847" s="1094"/>
      <c r="BJ847" s="197"/>
      <c r="BK847" s="197"/>
      <c r="BL847" s="197"/>
      <c r="BM847" s="197"/>
      <c r="BN847" s="1094"/>
      <c r="BO847" s="197"/>
      <c r="BP847" s="197"/>
      <c r="BQ847" s="197"/>
      <c r="BR847" s="197"/>
      <c r="BS847" s="1094"/>
      <c r="BT847" s="727"/>
      <c r="BU847" s="197"/>
      <c r="BV847" s="197"/>
      <c r="BW847" s="197"/>
      <c r="BX847" s="1094"/>
      <c r="BY847" s="197"/>
      <c r="BZ847" s="197"/>
      <c r="CA847" s="197"/>
      <c r="CB847" s="197"/>
      <c r="CC847" s="1094"/>
      <c r="CD847" s="1094"/>
      <c r="CE847" s="1094"/>
      <c r="CF847" s="1094"/>
      <c r="CG847" s="349"/>
    </row>
    <row r="848" spans="1:85" s="613" customFormat="1" x14ac:dyDescent="0.3">
      <c r="A848" s="478" t="s">
        <v>1530</v>
      </c>
      <c r="B848" s="523"/>
      <c r="C848" s="78"/>
      <c r="D848" s="78"/>
      <c r="E848" s="78"/>
      <c r="F848" s="78"/>
      <c r="G848" s="774"/>
      <c r="H848" s="774"/>
      <c r="I848" s="774"/>
      <c r="J848" s="774"/>
      <c r="K848" s="78"/>
      <c r="L848" s="774"/>
      <c r="M848" s="774"/>
      <c r="N848" s="774"/>
      <c r="O848" s="774"/>
      <c r="P848" s="78"/>
      <c r="Q848" s="774"/>
      <c r="R848" s="774"/>
      <c r="S848" s="774"/>
      <c r="T848" s="774"/>
      <c r="U848" s="78"/>
      <c r="V848" s="774"/>
      <c r="W848" s="774"/>
      <c r="X848" s="774"/>
      <c r="Y848" s="774"/>
      <c r="Z848" s="78"/>
      <c r="AA848" s="774"/>
      <c r="AB848" s="774"/>
      <c r="AC848" s="774"/>
      <c r="AD848" s="774"/>
      <c r="AE848" s="78"/>
      <c r="AF848" s="774"/>
      <c r="AG848" s="774"/>
      <c r="AH848" s="774"/>
      <c r="AI848" s="774"/>
      <c r="AJ848" s="78"/>
      <c r="AK848" s="774"/>
      <c r="AL848" s="774"/>
      <c r="AM848" s="774"/>
      <c r="AN848" s="774"/>
      <c r="AO848" s="78"/>
      <c r="AP848" s="774"/>
      <c r="AQ848" s="774"/>
      <c r="AR848" s="774"/>
      <c r="AS848" s="774"/>
      <c r="AT848" s="1119">
        <v>3.782</v>
      </c>
      <c r="AU848" s="774"/>
      <c r="AV848" s="774"/>
      <c r="AW848" s="774"/>
      <c r="AX848" s="774"/>
      <c r="AY848" s="1119">
        <v>3.782</v>
      </c>
      <c r="AZ848" s="774"/>
      <c r="BA848" s="774"/>
      <c r="BB848" s="774"/>
      <c r="BC848" s="774"/>
      <c r="BD848" s="1119">
        <v>3.782</v>
      </c>
      <c r="BE848" s="774"/>
      <c r="BF848" s="774"/>
      <c r="BG848" s="774"/>
      <c r="BH848" s="774"/>
      <c r="BI848" s="78"/>
      <c r="BJ848" s="774"/>
      <c r="BK848" s="774"/>
      <c r="BL848" s="774"/>
      <c r="BM848" s="774"/>
      <c r="BN848" s="78"/>
      <c r="BO848" s="774"/>
      <c r="BP848" s="774"/>
      <c r="BQ848" s="774"/>
      <c r="BR848" s="774"/>
      <c r="BS848" s="78"/>
      <c r="BT848" s="775"/>
      <c r="BU848" s="774"/>
      <c r="BV848" s="774"/>
      <c r="BW848" s="774"/>
      <c r="BX848" s="78"/>
      <c r="BY848" s="774"/>
      <c r="BZ848" s="774"/>
      <c r="CA848" s="774"/>
      <c r="CB848" s="774"/>
      <c r="CC848" s="78"/>
      <c r="CD848" s="78"/>
      <c r="CE848" s="78"/>
      <c r="CF848" s="78"/>
      <c r="CG848" s="532"/>
    </row>
    <row r="849" spans="1:85" s="615" customFormat="1" x14ac:dyDescent="0.3">
      <c r="A849" s="522" t="s">
        <v>1529</v>
      </c>
      <c r="B849" s="521"/>
      <c r="C849" s="1122"/>
      <c r="D849" s="1122"/>
      <c r="E849" s="1122"/>
      <c r="F849" s="1122"/>
      <c r="G849" s="520"/>
      <c r="H849" s="520"/>
      <c r="I849" s="520"/>
      <c r="J849" s="520"/>
      <c r="K849" s="1122"/>
      <c r="L849" s="520"/>
      <c r="M849" s="520"/>
      <c r="N849" s="520"/>
      <c r="O849" s="520"/>
      <c r="P849" s="1122"/>
      <c r="Q849" s="520"/>
      <c r="R849" s="520"/>
      <c r="S849" s="520"/>
      <c r="T849" s="520"/>
      <c r="U849" s="1122"/>
      <c r="V849" s="520"/>
      <c r="W849" s="520"/>
      <c r="X849" s="520"/>
      <c r="Y849" s="520"/>
      <c r="Z849" s="1122"/>
      <c r="AA849" s="520"/>
      <c r="AB849" s="520"/>
      <c r="AC849" s="520"/>
      <c r="AD849" s="520"/>
      <c r="AE849" s="1122"/>
      <c r="AF849" s="520"/>
      <c r="AG849" s="520"/>
      <c r="AH849" s="520"/>
      <c r="AI849" s="520"/>
      <c r="AJ849" s="1122"/>
      <c r="AK849" s="520"/>
      <c r="AL849" s="520"/>
      <c r="AM849" s="520"/>
      <c r="AN849" s="520"/>
      <c r="AO849" s="1122"/>
      <c r="AP849" s="520"/>
      <c r="AQ849" s="520"/>
      <c r="AR849" s="520"/>
      <c r="AS849" s="520"/>
      <c r="AT849" s="1123">
        <v>374.6</v>
      </c>
      <c r="AU849" s="520"/>
      <c r="AV849" s="520"/>
      <c r="AW849" s="520"/>
      <c r="AX849" s="520"/>
      <c r="AY849" s="1123">
        <v>374.6</v>
      </c>
      <c r="AZ849" s="520"/>
      <c r="BA849" s="520"/>
      <c r="BB849" s="520"/>
      <c r="BC849" s="520"/>
      <c r="BD849" s="1123">
        <v>374.6</v>
      </c>
      <c r="BE849" s="520"/>
      <c r="BF849" s="520"/>
      <c r="BG849" s="520"/>
      <c r="BH849" s="520"/>
      <c r="BI849" s="1122"/>
      <c r="BJ849" s="520"/>
      <c r="BK849" s="520"/>
      <c r="BL849" s="520"/>
      <c r="BM849" s="520"/>
      <c r="BN849" s="1122"/>
      <c r="BO849" s="520"/>
      <c r="BP849" s="520"/>
      <c r="BQ849" s="520"/>
      <c r="BR849" s="520"/>
      <c r="BS849" s="1122"/>
      <c r="BT849" s="728"/>
      <c r="BU849" s="520"/>
      <c r="BV849" s="520"/>
      <c r="BW849" s="520"/>
      <c r="BX849" s="1122"/>
      <c r="BY849" s="520"/>
      <c r="BZ849" s="520"/>
      <c r="CA849" s="520"/>
      <c r="CB849" s="520"/>
      <c r="CC849" s="1122"/>
      <c r="CD849" s="1122"/>
      <c r="CE849" s="1122"/>
      <c r="CF849" s="1122"/>
      <c r="CG849" s="519"/>
    </row>
    <row r="850" spans="1:85" s="614" customFormat="1" x14ac:dyDescent="0.3">
      <c r="A850" s="522"/>
      <c r="B850" s="352"/>
      <c r="C850" s="1094"/>
      <c r="D850" s="1094"/>
      <c r="E850" s="1094"/>
      <c r="F850" s="1094"/>
      <c r="G850" s="197"/>
      <c r="H850" s="197"/>
      <c r="I850" s="197"/>
      <c r="J850" s="197"/>
      <c r="K850" s="1094"/>
      <c r="L850" s="197"/>
      <c r="M850" s="197"/>
      <c r="N850" s="197"/>
      <c r="O850" s="197"/>
      <c r="P850" s="1094"/>
      <c r="Q850" s="197"/>
      <c r="R850" s="197"/>
      <c r="S850" s="197"/>
      <c r="T850" s="197"/>
      <c r="U850" s="1094"/>
      <c r="V850" s="197"/>
      <c r="W850" s="197"/>
      <c r="X850" s="197"/>
      <c r="Y850" s="197"/>
      <c r="Z850" s="1094"/>
      <c r="AA850" s="197"/>
      <c r="AB850" s="197"/>
      <c r="AC850" s="197"/>
      <c r="AD850" s="197"/>
      <c r="AE850" s="1094"/>
      <c r="AF850" s="197"/>
      <c r="AG850" s="197"/>
      <c r="AH850" s="197"/>
      <c r="AI850" s="197"/>
      <c r="AJ850" s="1094"/>
      <c r="AK850" s="197"/>
      <c r="AL850" s="197"/>
      <c r="AM850" s="197"/>
      <c r="AN850" s="197"/>
      <c r="AO850" s="1094"/>
      <c r="AP850" s="197"/>
      <c r="AQ850" s="197"/>
      <c r="AR850" s="197"/>
      <c r="AS850" s="197"/>
      <c r="AT850" s="198"/>
      <c r="AU850" s="197"/>
      <c r="AV850" s="197"/>
      <c r="AW850" s="197"/>
      <c r="AX850" s="197"/>
      <c r="AY850" s="198"/>
      <c r="AZ850" s="197"/>
      <c r="BA850" s="197"/>
      <c r="BB850" s="197"/>
      <c r="BC850" s="197"/>
      <c r="BD850" s="198"/>
      <c r="BE850" s="197"/>
      <c r="BF850" s="197"/>
      <c r="BG850" s="197"/>
      <c r="BH850" s="197"/>
      <c r="BI850" s="1094"/>
      <c r="BJ850" s="197"/>
      <c r="BK850" s="197"/>
      <c r="BL850" s="197"/>
      <c r="BM850" s="197"/>
      <c r="BN850" s="1094"/>
      <c r="BO850" s="197"/>
      <c r="BP850" s="197"/>
      <c r="BQ850" s="197"/>
      <c r="BR850" s="197"/>
      <c r="BS850" s="1094"/>
      <c r="BT850" s="727"/>
      <c r="BU850" s="197"/>
      <c r="BV850" s="197"/>
      <c r="BW850" s="197"/>
      <c r="BX850" s="1094"/>
      <c r="BY850" s="197"/>
      <c r="BZ850" s="197"/>
      <c r="CA850" s="197"/>
      <c r="CB850" s="197"/>
      <c r="CC850" s="1094"/>
      <c r="CD850" s="1094"/>
      <c r="CE850" s="1094"/>
      <c r="CF850" s="1094"/>
      <c r="CG850" s="349"/>
    </row>
    <row r="851" spans="1:85" s="613" customFormat="1" x14ac:dyDescent="0.3">
      <c r="A851" s="478" t="s">
        <v>1528</v>
      </c>
      <c r="B851" s="523"/>
      <c r="C851" s="78"/>
      <c r="D851" s="78"/>
      <c r="E851" s="78"/>
      <c r="F851" s="78"/>
      <c r="G851" s="774"/>
      <c r="H851" s="774"/>
      <c r="I851" s="774"/>
      <c r="J851" s="774"/>
      <c r="K851" s="78"/>
      <c r="L851" s="774"/>
      <c r="M851" s="774"/>
      <c r="N851" s="774"/>
      <c r="O851" s="774"/>
      <c r="P851" s="78"/>
      <c r="Q851" s="774"/>
      <c r="R851" s="774"/>
      <c r="S851" s="774"/>
      <c r="T851" s="774"/>
      <c r="U851" s="78"/>
      <c r="V851" s="774"/>
      <c r="W851" s="774"/>
      <c r="X851" s="774"/>
      <c r="Y851" s="774"/>
      <c r="Z851" s="78"/>
      <c r="AA851" s="774"/>
      <c r="AB851" s="774"/>
      <c r="AC851" s="774"/>
      <c r="AD851" s="774"/>
      <c r="AE851" s="78"/>
      <c r="AF851" s="774"/>
      <c r="AG851" s="774"/>
      <c r="AH851" s="774"/>
      <c r="AI851" s="774"/>
      <c r="AJ851" s="78"/>
      <c r="AK851" s="774"/>
      <c r="AL851" s="774"/>
      <c r="AM851" s="774"/>
      <c r="AN851" s="774"/>
      <c r="AO851" s="78"/>
      <c r="AP851" s="774"/>
      <c r="AQ851" s="774"/>
      <c r="AR851" s="774"/>
      <c r="AS851" s="774"/>
      <c r="AT851" s="1119">
        <v>4.4340000000000002</v>
      </c>
      <c r="AU851" s="774"/>
      <c r="AV851" s="774"/>
      <c r="AW851" s="774"/>
      <c r="AX851" s="774"/>
      <c r="AY851" s="1119">
        <v>4.4340000000000002</v>
      </c>
      <c r="AZ851" s="774"/>
      <c r="BA851" s="774"/>
      <c r="BB851" s="774"/>
      <c r="BC851" s="774"/>
      <c r="BD851" s="1119">
        <v>4.4340000000000002</v>
      </c>
      <c r="BE851" s="774"/>
      <c r="BF851" s="774"/>
      <c r="BG851" s="774"/>
      <c r="BH851" s="774"/>
      <c r="BI851" s="78"/>
      <c r="BJ851" s="774"/>
      <c r="BK851" s="774"/>
      <c r="BL851" s="774"/>
      <c r="BM851" s="774"/>
      <c r="BN851" s="78"/>
      <c r="BO851" s="774"/>
      <c r="BP851" s="774"/>
      <c r="BQ851" s="774"/>
      <c r="BR851" s="774"/>
      <c r="BS851" s="78"/>
      <c r="BT851" s="775"/>
      <c r="BU851" s="774"/>
      <c r="BV851" s="774"/>
      <c r="BW851" s="774"/>
      <c r="BX851" s="78"/>
      <c r="BY851" s="774"/>
      <c r="BZ851" s="774"/>
      <c r="CA851" s="774"/>
      <c r="CB851" s="774"/>
      <c r="CC851" s="78"/>
      <c r="CD851" s="78"/>
      <c r="CE851" s="78"/>
      <c r="CF851" s="78"/>
      <c r="CG851" s="532"/>
    </row>
    <row r="852" spans="1:85" s="615" customFormat="1" x14ac:dyDescent="0.3">
      <c r="A852" s="522" t="s">
        <v>1527</v>
      </c>
      <c r="B852" s="521"/>
      <c r="C852" s="1122"/>
      <c r="D852" s="1122"/>
      <c r="E852" s="1122"/>
      <c r="F852" s="1122"/>
      <c r="G852" s="520"/>
      <c r="H852" s="520"/>
      <c r="I852" s="520"/>
      <c r="J852" s="520"/>
      <c r="K852" s="1122"/>
      <c r="L852" s="520"/>
      <c r="M852" s="520"/>
      <c r="N852" s="520"/>
      <c r="O852" s="520"/>
      <c r="P852" s="1122"/>
      <c r="Q852" s="520"/>
      <c r="R852" s="520"/>
      <c r="S852" s="520"/>
      <c r="T852" s="520"/>
      <c r="U852" s="1122"/>
      <c r="V852" s="520"/>
      <c r="W852" s="520"/>
      <c r="X852" s="520"/>
      <c r="Y852" s="520"/>
      <c r="Z852" s="1122"/>
      <c r="AA852" s="520"/>
      <c r="AB852" s="520"/>
      <c r="AC852" s="520"/>
      <c r="AD852" s="520"/>
      <c r="AE852" s="1122"/>
      <c r="AF852" s="520"/>
      <c r="AG852" s="520"/>
      <c r="AH852" s="520"/>
      <c r="AI852" s="520"/>
      <c r="AJ852" s="1122"/>
      <c r="AK852" s="520"/>
      <c r="AL852" s="520"/>
      <c r="AM852" s="520"/>
      <c r="AN852" s="520"/>
      <c r="AO852" s="1122"/>
      <c r="AP852" s="520"/>
      <c r="AQ852" s="520"/>
      <c r="AR852" s="520"/>
      <c r="AS852" s="520"/>
      <c r="AT852" s="1123">
        <v>319.5</v>
      </c>
      <c r="AU852" s="520"/>
      <c r="AV852" s="520"/>
      <c r="AW852" s="520"/>
      <c r="AX852" s="520"/>
      <c r="AY852" s="1123">
        <v>319.5</v>
      </c>
      <c r="AZ852" s="520"/>
      <c r="BA852" s="520"/>
      <c r="BB852" s="520"/>
      <c r="BC852" s="520"/>
      <c r="BD852" s="1123">
        <v>319.5</v>
      </c>
      <c r="BE852" s="520"/>
      <c r="BF852" s="520"/>
      <c r="BG852" s="520"/>
      <c r="BH852" s="520"/>
      <c r="BI852" s="1122"/>
      <c r="BJ852" s="520"/>
      <c r="BK852" s="520"/>
      <c r="BL852" s="520"/>
      <c r="BM852" s="520"/>
      <c r="BN852" s="1122"/>
      <c r="BO852" s="520"/>
      <c r="BP852" s="520"/>
      <c r="BQ852" s="520"/>
      <c r="BR852" s="520"/>
      <c r="BS852" s="1122"/>
      <c r="BT852" s="728"/>
      <c r="BU852" s="520"/>
      <c r="BV852" s="520"/>
      <c r="BW852" s="520"/>
      <c r="BX852" s="1122"/>
      <c r="BY852" s="520"/>
      <c r="BZ852" s="520"/>
      <c r="CA852" s="520"/>
      <c r="CB852" s="520"/>
      <c r="CC852" s="1122"/>
      <c r="CD852" s="1122"/>
      <c r="CE852" s="1122"/>
      <c r="CF852" s="1122"/>
      <c r="CG852" s="519"/>
    </row>
    <row r="853" spans="1:85" s="614" customFormat="1" x14ac:dyDescent="0.3">
      <c r="A853" s="522"/>
      <c r="B853" s="352"/>
      <c r="C853" s="1094"/>
      <c r="D853" s="1094"/>
      <c r="E853" s="1094"/>
      <c r="F853" s="1094"/>
      <c r="G853" s="197"/>
      <c r="H853" s="197"/>
      <c r="I853" s="197"/>
      <c r="J853" s="197"/>
      <c r="K853" s="1094"/>
      <c r="L853" s="197"/>
      <c r="M853" s="197"/>
      <c r="N853" s="197"/>
      <c r="O853" s="197"/>
      <c r="P853" s="1094"/>
      <c r="Q853" s="197"/>
      <c r="R853" s="197"/>
      <c r="S853" s="197"/>
      <c r="T853" s="197"/>
      <c r="U853" s="1094"/>
      <c r="V853" s="197"/>
      <c r="W853" s="197"/>
      <c r="X853" s="197"/>
      <c r="Y853" s="197"/>
      <c r="Z853" s="1094"/>
      <c r="AA853" s="197"/>
      <c r="AB853" s="197"/>
      <c r="AC853" s="197"/>
      <c r="AD853" s="197"/>
      <c r="AE853" s="1094"/>
      <c r="AF853" s="197"/>
      <c r="AG853" s="197"/>
      <c r="AH853" s="197"/>
      <c r="AI853" s="197"/>
      <c r="AJ853" s="1094"/>
      <c r="AK853" s="197"/>
      <c r="AL853" s="197"/>
      <c r="AM853" s="197"/>
      <c r="AN853" s="197"/>
      <c r="AO853" s="1094"/>
      <c r="AP853" s="197"/>
      <c r="AQ853" s="197"/>
      <c r="AR853" s="197"/>
      <c r="AS853" s="197"/>
      <c r="AT853" s="198"/>
      <c r="AU853" s="197"/>
      <c r="AV853" s="197"/>
      <c r="AW853" s="197"/>
      <c r="AX853" s="197"/>
      <c r="AY853" s="198"/>
      <c r="AZ853" s="197"/>
      <c r="BA853" s="197"/>
      <c r="BB853" s="197"/>
      <c r="BC853" s="197"/>
      <c r="BD853" s="198"/>
      <c r="BE853" s="197"/>
      <c r="BF853" s="197"/>
      <c r="BG853" s="197"/>
      <c r="BH853" s="197"/>
      <c r="BI853" s="1094"/>
      <c r="BJ853" s="197"/>
      <c r="BK853" s="197"/>
      <c r="BL853" s="197"/>
      <c r="BM853" s="197"/>
      <c r="BN853" s="1094"/>
      <c r="BO853" s="197"/>
      <c r="BP853" s="197"/>
      <c r="BQ853" s="197"/>
      <c r="BR853" s="197"/>
      <c r="BS853" s="1094"/>
      <c r="BT853" s="727"/>
      <c r="BU853" s="197"/>
      <c r="BV853" s="197"/>
      <c r="BW853" s="197"/>
      <c r="BX853" s="1094"/>
      <c r="BY853" s="197"/>
      <c r="BZ853" s="197"/>
      <c r="CA853" s="197"/>
      <c r="CB853" s="197"/>
      <c r="CC853" s="1094"/>
      <c r="CD853" s="1094"/>
      <c r="CE853" s="1094"/>
      <c r="CF853" s="1094"/>
      <c r="CG853" s="349"/>
    </row>
    <row r="854" spans="1:85" s="613" customFormat="1" x14ac:dyDescent="0.3">
      <c r="A854" s="478" t="s">
        <v>1526</v>
      </c>
      <c r="B854" s="523"/>
      <c r="C854" s="78"/>
      <c r="D854" s="78"/>
      <c r="E854" s="78"/>
      <c r="F854" s="78"/>
      <c r="G854" s="774"/>
      <c r="H854" s="774"/>
      <c r="I854" s="774"/>
      <c r="J854" s="774"/>
      <c r="K854" s="78"/>
      <c r="L854" s="774"/>
      <c r="M854" s="774"/>
      <c r="N854" s="774"/>
      <c r="O854" s="774"/>
      <c r="P854" s="78"/>
      <c r="Q854" s="774"/>
      <c r="R854" s="774"/>
      <c r="S854" s="774"/>
      <c r="T854" s="774"/>
      <c r="U854" s="78"/>
      <c r="V854" s="774"/>
      <c r="W854" s="774"/>
      <c r="X854" s="774"/>
      <c r="Y854" s="774"/>
      <c r="Z854" s="78"/>
      <c r="AA854" s="774"/>
      <c r="AB854" s="774"/>
      <c r="AC854" s="774"/>
      <c r="AD854" s="774"/>
      <c r="AE854" s="78"/>
      <c r="AF854" s="774"/>
      <c r="AG854" s="774"/>
      <c r="AH854" s="774"/>
      <c r="AI854" s="774"/>
      <c r="AJ854" s="78"/>
      <c r="AK854" s="774"/>
      <c r="AL854" s="774"/>
      <c r="AM854" s="774"/>
      <c r="AN854" s="774"/>
      <c r="AO854" s="78"/>
      <c r="AP854" s="774"/>
      <c r="AQ854" s="774"/>
      <c r="AR854" s="774"/>
      <c r="AS854" s="774"/>
      <c r="AT854" s="1119">
        <v>4.8970000000000002</v>
      </c>
      <c r="AU854" s="774"/>
      <c r="AV854" s="774"/>
      <c r="AW854" s="774"/>
      <c r="AX854" s="774"/>
      <c r="AY854" s="1119">
        <v>4.8970000000000002</v>
      </c>
      <c r="AZ854" s="774"/>
      <c r="BA854" s="774"/>
      <c r="BB854" s="774"/>
      <c r="BC854" s="774"/>
      <c r="BD854" s="1119">
        <v>4.8970000000000002</v>
      </c>
      <c r="BE854" s="774"/>
      <c r="BF854" s="774"/>
      <c r="BG854" s="774"/>
      <c r="BH854" s="774"/>
      <c r="BI854" s="78"/>
      <c r="BJ854" s="774"/>
      <c r="BK854" s="774"/>
      <c r="BL854" s="774"/>
      <c r="BM854" s="774"/>
      <c r="BN854" s="78"/>
      <c r="BO854" s="774"/>
      <c r="BP854" s="774"/>
      <c r="BQ854" s="774"/>
      <c r="BR854" s="774"/>
      <c r="BS854" s="78"/>
      <c r="BT854" s="775"/>
      <c r="BU854" s="774"/>
      <c r="BV854" s="774"/>
      <c r="BW854" s="774"/>
      <c r="BX854" s="78"/>
      <c r="BY854" s="774"/>
      <c r="BZ854" s="774"/>
      <c r="CA854" s="774"/>
      <c r="CB854" s="774"/>
      <c r="CC854" s="78"/>
      <c r="CD854" s="78"/>
      <c r="CE854" s="78"/>
      <c r="CF854" s="78"/>
      <c r="CG854" s="532"/>
    </row>
    <row r="855" spans="1:85" s="615" customFormat="1" x14ac:dyDescent="0.3">
      <c r="A855" s="522" t="s">
        <v>1525</v>
      </c>
      <c r="B855" s="521"/>
      <c r="C855" s="1122"/>
      <c r="D855" s="1122"/>
      <c r="E855" s="1122"/>
      <c r="F855" s="1122"/>
      <c r="G855" s="520"/>
      <c r="H855" s="520"/>
      <c r="I855" s="520"/>
      <c r="J855" s="520"/>
      <c r="K855" s="1122"/>
      <c r="L855" s="520"/>
      <c r="M855" s="520"/>
      <c r="N855" s="520"/>
      <c r="O855" s="520"/>
      <c r="P855" s="1122"/>
      <c r="Q855" s="520"/>
      <c r="R855" s="520"/>
      <c r="S855" s="520"/>
      <c r="T855" s="520"/>
      <c r="U855" s="1122"/>
      <c r="V855" s="520"/>
      <c r="W855" s="520"/>
      <c r="X855" s="520"/>
      <c r="Y855" s="520"/>
      <c r="Z855" s="1122"/>
      <c r="AA855" s="520"/>
      <c r="AB855" s="520"/>
      <c r="AC855" s="520"/>
      <c r="AD855" s="520"/>
      <c r="AE855" s="1122"/>
      <c r="AF855" s="520"/>
      <c r="AG855" s="520"/>
      <c r="AH855" s="520"/>
      <c r="AI855" s="520"/>
      <c r="AJ855" s="1122"/>
      <c r="AK855" s="520"/>
      <c r="AL855" s="520"/>
      <c r="AM855" s="520"/>
      <c r="AN855" s="520"/>
      <c r="AO855" s="1122"/>
      <c r="AP855" s="520"/>
      <c r="AQ855" s="520"/>
      <c r="AR855" s="520"/>
      <c r="AS855" s="520"/>
      <c r="AT855" s="1123">
        <v>289.29000000000002</v>
      </c>
      <c r="AU855" s="520"/>
      <c r="AV855" s="520"/>
      <c r="AW855" s="520"/>
      <c r="AX855" s="520"/>
      <c r="AY855" s="1123">
        <v>289.29000000000002</v>
      </c>
      <c r="AZ855" s="520"/>
      <c r="BA855" s="520"/>
      <c r="BB855" s="520"/>
      <c r="BC855" s="520"/>
      <c r="BD855" s="1123">
        <v>289.29000000000002</v>
      </c>
      <c r="BE855" s="520"/>
      <c r="BF855" s="520"/>
      <c r="BG855" s="520"/>
      <c r="BH855" s="520"/>
      <c r="BI855" s="1122"/>
      <c r="BJ855" s="520"/>
      <c r="BK855" s="520"/>
      <c r="BL855" s="520"/>
      <c r="BM855" s="520"/>
      <c r="BN855" s="1122"/>
      <c r="BO855" s="520"/>
      <c r="BP855" s="520"/>
      <c r="BQ855" s="520"/>
      <c r="BR855" s="520"/>
      <c r="BS855" s="1122"/>
      <c r="BT855" s="728"/>
      <c r="BU855" s="520"/>
      <c r="BV855" s="520"/>
      <c r="BW855" s="520"/>
      <c r="BX855" s="1122"/>
      <c r="BY855" s="520"/>
      <c r="BZ855" s="520"/>
      <c r="CA855" s="520"/>
      <c r="CB855" s="520"/>
      <c r="CC855" s="1122"/>
      <c r="CD855" s="1122"/>
      <c r="CE855" s="1122"/>
      <c r="CF855" s="1122"/>
      <c r="CG855" s="519"/>
    </row>
    <row r="856" spans="1:85" s="614" customFormat="1" x14ac:dyDescent="0.3">
      <c r="A856" s="522"/>
      <c r="B856" s="352"/>
      <c r="C856" s="1094"/>
      <c r="D856" s="1094"/>
      <c r="E856" s="1094"/>
      <c r="F856" s="1094"/>
      <c r="G856" s="197"/>
      <c r="H856" s="197"/>
      <c r="I856" s="197"/>
      <c r="J856" s="197"/>
      <c r="K856" s="1094"/>
      <c r="L856" s="197"/>
      <c r="M856" s="197"/>
      <c r="N856" s="197"/>
      <c r="O856" s="197"/>
      <c r="P856" s="1094"/>
      <c r="Q856" s="197"/>
      <c r="R856" s="197"/>
      <c r="S856" s="197"/>
      <c r="T856" s="197"/>
      <c r="U856" s="1094"/>
      <c r="V856" s="197"/>
      <c r="W856" s="197"/>
      <c r="X856" s="197"/>
      <c r="Y856" s="197"/>
      <c r="Z856" s="1094"/>
      <c r="AA856" s="197"/>
      <c r="AB856" s="197"/>
      <c r="AC856" s="197"/>
      <c r="AD856" s="197"/>
      <c r="AE856" s="1094"/>
      <c r="AF856" s="197"/>
      <c r="AG856" s="197"/>
      <c r="AH856" s="197"/>
      <c r="AI856" s="197"/>
      <c r="AJ856" s="1094"/>
      <c r="AK856" s="197"/>
      <c r="AL856" s="197"/>
      <c r="AM856" s="197"/>
      <c r="AN856" s="197"/>
      <c r="AO856" s="1094"/>
      <c r="AP856" s="197"/>
      <c r="AQ856" s="197"/>
      <c r="AR856" s="197"/>
      <c r="AS856" s="197"/>
      <c r="AT856" s="198"/>
      <c r="AU856" s="197"/>
      <c r="AV856" s="197"/>
      <c r="AW856" s="197"/>
      <c r="AX856" s="197"/>
      <c r="AY856" s="198"/>
      <c r="AZ856" s="197"/>
      <c r="BA856" s="197"/>
      <c r="BB856" s="197"/>
      <c r="BC856" s="197"/>
      <c r="BD856" s="198"/>
      <c r="BE856" s="197"/>
      <c r="BF856" s="197"/>
      <c r="BG856" s="197"/>
      <c r="BH856" s="197"/>
      <c r="BI856" s="1094"/>
      <c r="BJ856" s="197"/>
      <c r="BK856" s="197"/>
      <c r="BL856" s="197"/>
      <c r="BM856" s="197"/>
      <c r="BN856" s="1094"/>
      <c r="BO856" s="197"/>
      <c r="BP856" s="197"/>
      <c r="BQ856" s="197"/>
      <c r="BR856" s="197"/>
      <c r="BS856" s="1094"/>
      <c r="BT856" s="727"/>
      <c r="BU856" s="197"/>
      <c r="BV856" s="197"/>
      <c r="BW856" s="197"/>
      <c r="BX856" s="1094"/>
      <c r="BY856" s="197"/>
      <c r="BZ856" s="197"/>
      <c r="CA856" s="197"/>
      <c r="CB856" s="197"/>
      <c r="CC856" s="1094"/>
      <c r="CD856" s="1094"/>
      <c r="CE856" s="1094"/>
      <c r="CF856" s="1094"/>
      <c r="CG856" s="349"/>
    </row>
    <row r="857" spans="1:85" s="613" customFormat="1" x14ac:dyDescent="0.3">
      <c r="A857" s="478" t="s">
        <v>1524</v>
      </c>
      <c r="B857" s="523"/>
      <c r="C857" s="78"/>
      <c r="D857" s="78"/>
      <c r="E857" s="78"/>
      <c r="F857" s="78"/>
      <c r="G857" s="774"/>
      <c r="H857" s="774"/>
      <c r="I857" s="774"/>
      <c r="J857" s="774"/>
      <c r="K857" s="78"/>
      <c r="L857" s="774"/>
      <c r="M857" s="774"/>
      <c r="N857" s="774"/>
      <c r="O857" s="774"/>
      <c r="P857" s="78"/>
      <c r="Q857" s="774"/>
      <c r="R857" s="774"/>
      <c r="S857" s="774"/>
      <c r="T857" s="774"/>
      <c r="U857" s="78"/>
      <c r="V857" s="774"/>
      <c r="W857" s="774"/>
      <c r="X857" s="774"/>
      <c r="Y857" s="774"/>
      <c r="Z857" s="78"/>
      <c r="AA857" s="774"/>
      <c r="AB857" s="774"/>
      <c r="AC857" s="774"/>
      <c r="AD857" s="774"/>
      <c r="AE857" s="78"/>
      <c r="AF857" s="774"/>
      <c r="AG857" s="774"/>
      <c r="AH857" s="774"/>
      <c r="AI857" s="774"/>
      <c r="AJ857" s="78"/>
      <c r="AK857" s="774"/>
      <c r="AL857" s="774"/>
      <c r="AM857" s="774"/>
      <c r="AN857" s="774"/>
      <c r="AO857" s="78"/>
      <c r="AP857" s="774"/>
      <c r="AQ857" s="774"/>
      <c r="AR857" s="774"/>
      <c r="AS857" s="774"/>
      <c r="AT857" s="1119">
        <v>5.2549999999999999</v>
      </c>
      <c r="AU857" s="774"/>
      <c r="AV857" s="774"/>
      <c r="AW857" s="774"/>
      <c r="AX857" s="774"/>
      <c r="AY857" s="1119">
        <v>5.2549999999999999</v>
      </c>
      <c r="AZ857" s="774"/>
      <c r="BA857" s="774"/>
      <c r="BB857" s="774"/>
      <c r="BC857" s="774"/>
      <c r="BD857" s="1119">
        <v>5.2549999999999999</v>
      </c>
      <c r="BE857" s="774"/>
      <c r="BF857" s="774"/>
      <c r="BG857" s="774"/>
      <c r="BH857" s="774"/>
      <c r="BI857" s="78"/>
      <c r="BJ857" s="774"/>
      <c r="BK857" s="774"/>
      <c r="BL857" s="774"/>
      <c r="BM857" s="774"/>
      <c r="BN857" s="78"/>
      <c r="BO857" s="774"/>
      <c r="BP857" s="774"/>
      <c r="BQ857" s="774"/>
      <c r="BR857" s="774"/>
      <c r="BS857" s="78"/>
      <c r="BT857" s="775"/>
      <c r="BU857" s="774"/>
      <c r="BV857" s="774"/>
      <c r="BW857" s="774"/>
      <c r="BX857" s="78"/>
      <c r="BY857" s="774"/>
      <c r="BZ857" s="774"/>
      <c r="CA857" s="774"/>
      <c r="CB857" s="774"/>
      <c r="CC857" s="78"/>
      <c r="CD857" s="78"/>
      <c r="CE857" s="78"/>
      <c r="CF857" s="78"/>
      <c r="CG857" s="532"/>
    </row>
    <row r="858" spans="1:85" s="615" customFormat="1" x14ac:dyDescent="0.3">
      <c r="A858" s="522" t="s">
        <v>1523</v>
      </c>
      <c r="B858" s="521"/>
      <c r="C858" s="1122"/>
      <c r="D858" s="1122"/>
      <c r="E858" s="1122"/>
      <c r="F858" s="1122"/>
      <c r="G858" s="520"/>
      <c r="H858" s="520"/>
      <c r="I858" s="520"/>
      <c r="J858" s="520"/>
      <c r="K858" s="1122"/>
      <c r="L858" s="520"/>
      <c r="M858" s="520"/>
      <c r="N858" s="520"/>
      <c r="O858" s="520"/>
      <c r="P858" s="1122"/>
      <c r="Q858" s="520"/>
      <c r="R858" s="520"/>
      <c r="S858" s="520"/>
      <c r="T858" s="520"/>
      <c r="U858" s="1122"/>
      <c r="V858" s="520"/>
      <c r="W858" s="520"/>
      <c r="X858" s="520"/>
      <c r="Y858" s="520"/>
      <c r="Z858" s="1122"/>
      <c r="AA858" s="520"/>
      <c r="AB858" s="520"/>
      <c r="AC858" s="520"/>
      <c r="AD858" s="520"/>
      <c r="AE858" s="1122"/>
      <c r="AF858" s="520"/>
      <c r="AG858" s="520"/>
      <c r="AH858" s="520"/>
      <c r="AI858" s="520"/>
      <c r="AJ858" s="1122"/>
      <c r="AK858" s="520"/>
      <c r="AL858" s="520"/>
      <c r="AM858" s="520"/>
      <c r="AN858" s="520"/>
      <c r="AO858" s="1122"/>
      <c r="AP858" s="520"/>
      <c r="AQ858" s="520"/>
      <c r="AR858" s="520"/>
      <c r="AS858" s="520"/>
      <c r="AT858" s="1123">
        <v>269.58</v>
      </c>
      <c r="AU858" s="520"/>
      <c r="AV858" s="520"/>
      <c r="AW858" s="520"/>
      <c r="AX858" s="520"/>
      <c r="AY858" s="1123">
        <v>269.58</v>
      </c>
      <c r="AZ858" s="520"/>
      <c r="BA858" s="520"/>
      <c r="BB858" s="520"/>
      <c r="BC858" s="520"/>
      <c r="BD858" s="1123">
        <v>269.58</v>
      </c>
      <c r="BE858" s="520"/>
      <c r="BF858" s="520"/>
      <c r="BG858" s="520"/>
      <c r="BH858" s="520"/>
      <c r="BI858" s="1122"/>
      <c r="BJ858" s="520"/>
      <c r="BK858" s="520"/>
      <c r="BL858" s="520"/>
      <c r="BM858" s="520"/>
      <c r="BN858" s="1122"/>
      <c r="BO858" s="520"/>
      <c r="BP858" s="520"/>
      <c r="BQ858" s="520"/>
      <c r="BR858" s="520"/>
      <c r="BS858" s="1122"/>
      <c r="BT858" s="728"/>
      <c r="BU858" s="520"/>
      <c r="BV858" s="520"/>
      <c r="BW858" s="520"/>
      <c r="BX858" s="1122"/>
      <c r="BY858" s="520"/>
      <c r="BZ858" s="520"/>
      <c r="CA858" s="520"/>
      <c r="CB858" s="520"/>
      <c r="CC858" s="1122"/>
      <c r="CD858" s="1122"/>
      <c r="CE858" s="1122"/>
      <c r="CF858" s="1122"/>
      <c r="CG858" s="519"/>
    </row>
    <row r="859" spans="1:85" s="614" customFormat="1" x14ac:dyDescent="0.3">
      <c r="A859" s="522"/>
      <c r="B859" s="352"/>
      <c r="C859" s="1094"/>
      <c r="D859" s="1094"/>
      <c r="E859" s="1094"/>
      <c r="F859" s="1094"/>
      <c r="G859" s="197"/>
      <c r="H859" s="197"/>
      <c r="I859" s="197"/>
      <c r="J859" s="197"/>
      <c r="K859" s="1094"/>
      <c r="L859" s="197"/>
      <c r="M859" s="197"/>
      <c r="N859" s="197"/>
      <c r="O859" s="197"/>
      <c r="P859" s="1094"/>
      <c r="Q859" s="197"/>
      <c r="R859" s="197"/>
      <c r="S859" s="197"/>
      <c r="T859" s="197"/>
      <c r="U859" s="1094"/>
      <c r="V859" s="197"/>
      <c r="W859" s="197"/>
      <c r="X859" s="197"/>
      <c r="Y859" s="197"/>
      <c r="Z859" s="1094"/>
      <c r="AA859" s="197"/>
      <c r="AB859" s="197"/>
      <c r="AC859" s="197"/>
      <c r="AD859" s="197"/>
      <c r="AE859" s="1094"/>
      <c r="AF859" s="197"/>
      <c r="AG859" s="197"/>
      <c r="AH859" s="197"/>
      <c r="AI859" s="197"/>
      <c r="AJ859" s="1094"/>
      <c r="AK859" s="197"/>
      <c r="AL859" s="197"/>
      <c r="AM859" s="197"/>
      <c r="AN859" s="197"/>
      <c r="AO859" s="1094"/>
      <c r="AP859" s="197"/>
      <c r="AQ859" s="197"/>
      <c r="AR859" s="197"/>
      <c r="AS859" s="197"/>
      <c r="AT859" s="198"/>
      <c r="AU859" s="197"/>
      <c r="AV859" s="197"/>
      <c r="AW859" s="197"/>
      <c r="AX859" s="197"/>
      <c r="AY859" s="198"/>
      <c r="AZ859" s="197"/>
      <c r="BA859" s="197"/>
      <c r="BB859" s="197"/>
      <c r="BC859" s="197"/>
      <c r="BD859" s="198"/>
      <c r="BE859" s="197"/>
      <c r="BF859" s="197"/>
      <c r="BG859" s="197"/>
      <c r="BH859" s="197"/>
      <c r="BI859" s="1094"/>
      <c r="BJ859" s="197"/>
      <c r="BK859" s="197"/>
      <c r="BL859" s="197"/>
      <c r="BM859" s="197"/>
      <c r="BN859" s="1094"/>
      <c r="BO859" s="197"/>
      <c r="BP859" s="197"/>
      <c r="BQ859" s="197"/>
      <c r="BR859" s="197"/>
      <c r="BS859" s="1094"/>
      <c r="BT859" s="727"/>
      <c r="BU859" s="197"/>
      <c r="BV859" s="197"/>
      <c r="BW859" s="197"/>
      <c r="BX859" s="1094"/>
      <c r="BY859" s="197"/>
      <c r="BZ859" s="197"/>
      <c r="CA859" s="197"/>
      <c r="CB859" s="197"/>
      <c r="CC859" s="1094"/>
      <c r="CD859" s="1094"/>
      <c r="CE859" s="1094"/>
      <c r="CF859" s="1094"/>
      <c r="CG859" s="349"/>
    </row>
    <row r="860" spans="1:85" s="613" customFormat="1" x14ac:dyDescent="0.3">
      <c r="A860" s="478" t="s">
        <v>1522</v>
      </c>
      <c r="B860" s="523"/>
      <c r="C860" s="78"/>
      <c r="D860" s="78"/>
      <c r="E860" s="78"/>
      <c r="F860" s="78"/>
      <c r="G860" s="774"/>
      <c r="H860" s="774"/>
      <c r="I860" s="774"/>
      <c r="J860" s="774"/>
      <c r="K860" s="78"/>
      <c r="L860" s="774"/>
      <c r="M860" s="774"/>
      <c r="N860" s="774"/>
      <c r="O860" s="774"/>
      <c r="P860" s="78"/>
      <c r="Q860" s="774"/>
      <c r="R860" s="774"/>
      <c r="S860" s="774"/>
      <c r="T860" s="774"/>
      <c r="U860" s="78"/>
      <c r="V860" s="774"/>
      <c r="W860" s="774"/>
      <c r="X860" s="774"/>
      <c r="Y860" s="774"/>
      <c r="Z860" s="78"/>
      <c r="AA860" s="774"/>
      <c r="AB860" s="774"/>
      <c r="AC860" s="774"/>
      <c r="AD860" s="774"/>
      <c r="AE860" s="78"/>
      <c r="AF860" s="774"/>
      <c r="AG860" s="774"/>
      <c r="AH860" s="774"/>
      <c r="AI860" s="774"/>
      <c r="AJ860" s="78"/>
      <c r="AK860" s="774"/>
      <c r="AL860" s="774"/>
      <c r="AM860" s="774"/>
      <c r="AN860" s="774"/>
      <c r="AO860" s="78"/>
      <c r="AP860" s="774"/>
      <c r="AQ860" s="774"/>
      <c r="AR860" s="774"/>
      <c r="AS860" s="774"/>
      <c r="AT860" s="1119">
        <v>4.9390000000000001</v>
      </c>
      <c r="AU860" s="774"/>
      <c r="AV860" s="774"/>
      <c r="AW860" s="774"/>
      <c r="AX860" s="774"/>
      <c r="AY860" s="1119">
        <v>4.9390000000000001</v>
      </c>
      <c r="AZ860" s="774"/>
      <c r="BA860" s="774"/>
      <c r="BB860" s="774"/>
      <c r="BC860" s="774"/>
      <c r="BD860" s="1119">
        <v>4.9390000000000001</v>
      </c>
      <c r="BE860" s="774"/>
      <c r="BF860" s="774"/>
      <c r="BG860" s="774"/>
      <c r="BH860" s="774"/>
      <c r="BI860" s="78"/>
      <c r="BJ860" s="774"/>
      <c r="BK860" s="774"/>
      <c r="BL860" s="774"/>
      <c r="BM860" s="774"/>
      <c r="BN860" s="78"/>
      <c r="BO860" s="774"/>
      <c r="BP860" s="774"/>
      <c r="BQ860" s="774"/>
      <c r="BR860" s="774"/>
      <c r="BS860" s="78"/>
      <c r="BT860" s="775"/>
      <c r="BU860" s="774"/>
      <c r="BV860" s="774"/>
      <c r="BW860" s="774"/>
      <c r="BX860" s="78"/>
      <c r="BY860" s="774"/>
      <c r="BZ860" s="774"/>
      <c r="CA860" s="774"/>
      <c r="CB860" s="774"/>
      <c r="CC860" s="78"/>
      <c r="CD860" s="78"/>
      <c r="CE860" s="78"/>
      <c r="CF860" s="78"/>
      <c r="CG860" s="532"/>
    </row>
    <row r="861" spans="1:85" s="615" customFormat="1" x14ac:dyDescent="0.3">
      <c r="A861" s="522" t="s">
        <v>1521</v>
      </c>
      <c r="B861" s="521"/>
      <c r="C861" s="1122"/>
      <c r="D861" s="1122"/>
      <c r="E861" s="1122"/>
      <c r="F861" s="1122"/>
      <c r="G861" s="520"/>
      <c r="H861" s="520"/>
      <c r="I861" s="520"/>
      <c r="J861" s="520"/>
      <c r="K861" s="1122"/>
      <c r="L861" s="520"/>
      <c r="M861" s="520"/>
      <c r="N861" s="520"/>
      <c r="O861" s="520"/>
      <c r="P861" s="1122"/>
      <c r="Q861" s="520"/>
      <c r="R861" s="520"/>
      <c r="S861" s="520"/>
      <c r="T861" s="520"/>
      <c r="U861" s="1122"/>
      <c r="V861" s="520"/>
      <c r="W861" s="520"/>
      <c r="X861" s="520"/>
      <c r="Y861" s="520"/>
      <c r="Z861" s="1122"/>
      <c r="AA861" s="520"/>
      <c r="AB861" s="520"/>
      <c r="AC861" s="520"/>
      <c r="AD861" s="520"/>
      <c r="AE861" s="1122"/>
      <c r="AF861" s="520"/>
      <c r="AG861" s="520"/>
      <c r="AH861" s="520"/>
      <c r="AI861" s="520"/>
      <c r="AJ861" s="1122"/>
      <c r="AK861" s="520"/>
      <c r="AL861" s="520"/>
      <c r="AM861" s="520"/>
      <c r="AN861" s="520"/>
      <c r="AO861" s="1122"/>
      <c r="AP861" s="520"/>
      <c r="AQ861" s="520"/>
      <c r="AR861" s="520"/>
      <c r="AS861" s="520"/>
      <c r="AT861" s="1123">
        <v>286.81</v>
      </c>
      <c r="AU861" s="520"/>
      <c r="AV861" s="520"/>
      <c r="AW861" s="520"/>
      <c r="AX861" s="520"/>
      <c r="AY861" s="1123">
        <v>286.81</v>
      </c>
      <c r="AZ861" s="520"/>
      <c r="BA861" s="520"/>
      <c r="BB861" s="520"/>
      <c r="BC861" s="520"/>
      <c r="BD861" s="1123">
        <v>286.81</v>
      </c>
      <c r="BE861" s="520"/>
      <c r="BF861" s="520"/>
      <c r="BG861" s="520"/>
      <c r="BH861" s="520"/>
      <c r="BI861" s="1122"/>
      <c r="BJ861" s="520"/>
      <c r="BK861" s="520"/>
      <c r="BL861" s="520"/>
      <c r="BM861" s="520"/>
      <c r="BN861" s="1122"/>
      <c r="BO861" s="520"/>
      <c r="BP861" s="520"/>
      <c r="BQ861" s="520"/>
      <c r="BR861" s="520"/>
      <c r="BS861" s="1122"/>
      <c r="BT861" s="728"/>
      <c r="BU861" s="520"/>
      <c r="BV861" s="520"/>
      <c r="BW861" s="520"/>
      <c r="BX861" s="1122"/>
      <c r="BY861" s="520"/>
      <c r="BZ861" s="520"/>
      <c r="CA861" s="520"/>
      <c r="CB861" s="520"/>
      <c r="CC861" s="1122"/>
      <c r="CD861" s="1122"/>
      <c r="CE861" s="1122"/>
      <c r="CF861" s="1122"/>
      <c r="CG861" s="519"/>
    </row>
    <row r="862" spans="1:85" s="614" customFormat="1" x14ac:dyDescent="0.3">
      <c r="A862" s="522"/>
      <c r="B862" s="352"/>
      <c r="C862" s="1094"/>
      <c r="D862" s="1094"/>
      <c r="E862" s="1094"/>
      <c r="F862" s="1094"/>
      <c r="G862" s="197"/>
      <c r="H862" s="197"/>
      <c r="I862" s="197"/>
      <c r="J862" s="197"/>
      <c r="K862" s="1094"/>
      <c r="L862" s="197"/>
      <c r="M862" s="197"/>
      <c r="N862" s="197"/>
      <c r="O862" s="197"/>
      <c r="P862" s="1094"/>
      <c r="Q862" s="197"/>
      <c r="R862" s="197"/>
      <c r="S862" s="197"/>
      <c r="T862" s="197"/>
      <c r="U862" s="1094"/>
      <c r="V862" s="197"/>
      <c r="W862" s="197"/>
      <c r="X862" s="197"/>
      <c r="Y862" s="197"/>
      <c r="Z862" s="1094"/>
      <c r="AA862" s="197"/>
      <c r="AB862" s="197"/>
      <c r="AC862" s="197"/>
      <c r="AD862" s="197"/>
      <c r="AE862" s="1094"/>
      <c r="AF862" s="197"/>
      <c r="AG862" s="197"/>
      <c r="AH862" s="197"/>
      <c r="AI862" s="197"/>
      <c r="AJ862" s="1094"/>
      <c r="AK862" s="197"/>
      <c r="AL862" s="197"/>
      <c r="AM862" s="197"/>
      <c r="AN862" s="197"/>
      <c r="AO862" s="1094"/>
      <c r="AP862" s="197"/>
      <c r="AQ862" s="197"/>
      <c r="AR862" s="197"/>
      <c r="AS862" s="197"/>
      <c r="AT862" s="198"/>
      <c r="AU862" s="197"/>
      <c r="AV862" s="197"/>
      <c r="AW862" s="197"/>
      <c r="AX862" s="197"/>
      <c r="AY862" s="198"/>
      <c r="AZ862" s="197"/>
      <c r="BA862" s="197"/>
      <c r="BB862" s="197"/>
      <c r="BC862" s="197"/>
      <c r="BD862" s="198"/>
      <c r="BE862" s="197"/>
      <c r="BF862" s="197"/>
      <c r="BG862" s="197"/>
      <c r="BH862" s="197"/>
      <c r="BI862" s="1094"/>
      <c r="BJ862" s="197"/>
      <c r="BK862" s="197"/>
      <c r="BL862" s="197"/>
      <c r="BM862" s="197"/>
      <c r="BN862" s="1094"/>
      <c r="BO862" s="197"/>
      <c r="BP862" s="197"/>
      <c r="BQ862" s="197"/>
      <c r="BR862" s="197"/>
      <c r="BS862" s="1094"/>
      <c r="BT862" s="727"/>
      <c r="BU862" s="197"/>
      <c r="BV862" s="197"/>
      <c r="BW862" s="197"/>
      <c r="BX862" s="1094"/>
      <c r="BY862" s="197"/>
      <c r="BZ862" s="197"/>
      <c r="CA862" s="197"/>
      <c r="CB862" s="197"/>
      <c r="CC862" s="1094"/>
      <c r="CD862" s="1094"/>
      <c r="CE862" s="1094"/>
      <c r="CF862" s="1094"/>
      <c r="CG862" s="349"/>
    </row>
    <row r="863" spans="1:85" s="613" customFormat="1" x14ac:dyDescent="0.3">
      <c r="A863" s="478" t="s">
        <v>1520</v>
      </c>
      <c r="B863" s="523"/>
      <c r="C863" s="78"/>
      <c r="D863" s="78"/>
      <c r="E863" s="78"/>
      <c r="F863" s="78"/>
      <c r="G863" s="774"/>
      <c r="H863" s="774"/>
      <c r="I863" s="774"/>
      <c r="J863" s="774"/>
      <c r="K863" s="78"/>
      <c r="L863" s="774"/>
      <c r="M863" s="774"/>
      <c r="N863" s="774"/>
      <c r="O863" s="774"/>
      <c r="P863" s="78"/>
      <c r="Q863" s="774"/>
      <c r="R863" s="774"/>
      <c r="S863" s="774"/>
      <c r="T863" s="774"/>
      <c r="U863" s="78"/>
      <c r="V863" s="774"/>
      <c r="W863" s="774"/>
      <c r="X863" s="774"/>
      <c r="Y863" s="774"/>
      <c r="Z863" s="78"/>
      <c r="AA863" s="774"/>
      <c r="AB863" s="774"/>
      <c r="AC863" s="774"/>
      <c r="AD863" s="774"/>
      <c r="AE863" s="78"/>
      <c r="AF863" s="774"/>
      <c r="AG863" s="774"/>
      <c r="AH863" s="774"/>
      <c r="AI863" s="774"/>
      <c r="AJ863" s="78"/>
      <c r="AK863" s="774"/>
      <c r="AL863" s="774"/>
      <c r="AM863" s="774"/>
      <c r="AN863" s="774"/>
      <c r="AO863" s="78"/>
      <c r="AP863" s="774"/>
      <c r="AQ863" s="774"/>
      <c r="AR863" s="774"/>
      <c r="AS863" s="774"/>
      <c r="AT863" s="1119">
        <v>4.57</v>
      </c>
      <c r="AU863" s="774"/>
      <c r="AV863" s="774"/>
      <c r="AW863" s="774"/>
      <c r="AX863" s="774"/>
      <c r="AY863" s="1119">
        <v>4.57</v>
      </c>
      <c r="AZ863" s="774"/>
      <c r="BA863" s="774"/>
      <c r="BB863" s="774"/>
      <c r="BC863" s="774"/>
      <c r="BD863" s="1119">
        <v>4.57</v>
      </c>
      <c r="BE863" s="774"/>
      <c r="BF863" s="774"/>
      <c r="BG863" s="774"/>
      <c r="BH863" s="774"/>
      <c r="BI863" s="78"/>
      <c r="BJ863" s="774"/>
      <c r="BK863" s="774"/>
      <c r="BL863" s="774"/>
      <c r="BM863" s="774"/>
      <c r="BN863" s="78"/>
      <c r="BO863" s="774"/>
      <c r="BP863" s="774"/>
      <c r="BQ863" s="774"/>
      <c r="BR863" s="774"/>
      <c r="BS863" s="78"/>
      <c r="BT863" s="775"/>
      <c r="BU863" s="774"/>
      <c r="BV863" s="774"/>
      <c r="BW863" s="774"/>
      <c r="BX863" s="78"/>
      <c r="BY863" s="774"/>
      <c r="BZ863" s="774"/>
      <c r="CA863" s="774"/>
      <c r="CB863" s="774"/>
      <c r="CC863" s="78"/>
      <c r="CD863" s="78"/>
      <c r="CE863" s="78"/>
      <c r="CF863" s="78"/>
      <c r="CG863" s="532"/>
    </row>
    <row r="864" spans="1:85" s="615" customFormat="1" x14ac:dyDescent="0.3">
      <c r="A864" s="522" t="s">
        <v>1519</v>
      </c>
      <c r="B864" s="521"/>
      <c r="C864" s="1122"/>
      <c r="D864" s="1122"/>
      <c r="E864" s="1122"/>
      <c r="F864" s="1122"/>
      <c r="G864" s="520"/>
      <c r="H864" s="520"/>
      <c r="I864" s="520"/>
      <c r="J864" s="520"/>
      <c r="K864" s="1122"/>
      <c r="L864" s="520"/>
      <c r="M864" s="520"/>
      <c r="N864" s="520"/>
      <c r="O864" s="520"/>
      <c r="P864" s="1122"/>
      <c r="Q864" s="520"/>
      <c r="R864" s="520"/>
      <c r="S864" s="520"/>
      <c r="T864" s="520"/>
      <c r="U864" s="1122"/>
      <c r="V864" s="520"/>
      <c r="W864" s="520"/>
      <c r="X864" s="520"/>
      <c r="Y864" s="520"/>
      <c r="Z864" s="1122"/>
      <c r="AA864" s="520"/>
      <c r="AB864" s="520"/>
      <c r="AC864" s="520"/>
      <c r="AD864" s="520"/>
      <c r="AE864" s="1122"/>
      <c r="AF864" s="520"/>
      <c r="AG864" s="520"/>
      <c r="AH864" s="520"/>
      <c r="AI864" s="520"/>
      <c r="AJ864" s="1122"/>
      <c r="AK864" s="520"/>
      <c r="AL864" s="520"/>
      <c r="AM864" s="520"/>
      <c r="AN864" s="520"/>
      <c r="AO864" s="1122"/>
      <c r="AP864" s="520"/>
      <c r="AQ864" s="520"/>
      <c r="AR864" s="520"/>
      <c r="AS864" s="520"/>
      <c r="AT864" s="1123">
        <v>309.99</v>
      </c>
      <c r="AU864" s="520"/>
      <c r="AV864" s="520"/>
      <c r="AW864" s="520"/>
      <c r="AX864" s="520"/>
      <c r="AY864" s="1123">
        <v>309.99</v>
      </c>
      <c r="AZ864" s="520"/>
      <c r="BA864" s="520"/>
      <c r="BB864" s="520"/>
      <c r="BC864" s="520"/>
      <c r="BD864" s="1123">
        <v>309.99</v>
      </c>
      <c r="BE864" s="520"/>
      <c r="BF864" s="520"/>
      <c r="BG864" s="520"/>
      <c r="BH864" s="520"/>
      <c r="BI864" s="1122"/>
      <c r="BJ864" s="520"/>
      <c r="BK864" s="520"/>
      <c r="BL864" s="520"/>
      <c r="BM864" s="520"/>
      <c r="BN864" s="1122"/>
      <c r="BO864" s="520"/>
      <c r="BP864" s="520"/>
      <c r="BQ864" s="520"/>
      <c r="BR864" s="520"/>
      <c r="BS864" s="1122"/>
      <c r="BT864" s="728"/>
      <c r="BU864" s="520"/>
      <c r="BV864" s="520"/>
      <c r="BW864" s="520"/>
      <c r="BX864" s="1122"/>
      <c r="BY864" s="520"/>
      <c r="BZ864" s="520"/>
      <c r="CA864" s="520"/>
      <c r="CB864" s="520"/>
      <c r="CC864" s="1122"/>
      <c r="CD864" s="1122"/>
      <c r="CE864" s="1122"/>
      <c r="CF864" s="1122"/>
      <c r="CG864" s="519"/>
    </row>
    <row r="865" spans="1:85" s="614" customFormat="1" x14ac:dyDescent="0.3">
      <c r="A865" s="116"/>
      <c r="B865" s="352"/>
      <c r="C865" s="1094"/>
      <c r="D865" s="1094"/>
      <c r="E865" s="1094"/>
      <c r="F865" s="1094"/>
      <c r="G865" s="197"/>
      <c r="H865" s="197"/>
      <c r="I865" s="197"/>
      <c r="J865" s="197"/>
      <c r="K865" s="1094"/>
      <c r="L865" s="197"/>
      <c r="M865" s="197"/>
      <c r="N865" s="197"/>
      <c r="O865" s="197"/>
      <c r="P865" s="1094"/>
      <c r="Q865" s="197"/>
      <c r="R865" s="197"/>
      <c r="S865" s="197"/>
      <c r="T865" s="197"/>
      <c r="U865" s="1094"/>
      <c r="V865" s="197"/>
      <c r="W865" s="197"/>
      <c r="X865" s="197"/>
      <c r="Y865" s="197"/>
      <c r="Z865" s="1094"/>
      <c r="AA865" s="197"/>
      <c r="AB865" s="197"/>
      <c r="AC865" s="197"/>
      <c r="AD865" s="197"/>
      <c r="AE865" s="1094"/>
      <c r="AF865" s="197"/>
      <c r="AG865" s="197"/>
      <c r="AH865" s="197"/>
      <c r="AI865" s="197"/>
      <c r="AJ865" s="1094"/>
      <c r="AK865" s="197"/>
      <c r="AL865" s="197"/>
      <c r="AM865" s="197"/>
      <c r="AN865" s="197"/>
      <c r="AO865" s="1094"/>
      <c r="AP865" s="197"/>
      <c r="AQ865" s="197"/>
      <c r="AR865" s="197"/>
      <c r="AS865" s="197"/>
      <c r="AT865" s="198"/>
      <c r="AU865" s="197"/>
      <c r="AV865" s="197"/>
      <c r="AW865" s="197"/>
      <c r="AX865" s="197"/>
      <c r="AY865" s="198"/>
      <c r="AZ865" s="197"/>
      <c r="BA865" s="197"/>
      <c r="BB865" s="197"/>
      <c r="BC865" s="197"/>
      <c r="BD865" s="198"/>
      <c r="BE865" s="197"/>
      <c r="BF865" s="197"/>
      <c r="BG865" s="197"/>
      <c r="BH865" s="197"/>
      <c r="BI865" s="1094"/>
      <c r="BJ865" s="197"/>
      <c r="BK865" s="197"/>
      <c r="BL865" s="197"/>
      <c r="BM865" s="197"/>
      <c r="BN865" s="1094"/>
      <c r="BO865" s="197"/>
      <c r="BP865" s="197"/>
      <c r="BQ865" s="197"/>
      <c r="BR865" s="197"/>
      <c r="BS865" s="1094"/>
      <c r="BT865" s="727"/>
      <c r="BU865" s="197"/>
      <c r="BV865" s="197"/>
      <c r="BW865" s="197"/>
      <c r="BX865" s="1094"/>
      <c r="BY865" s="197"/>
      <c r="BZ865" s="197"/>
      <c r="CA865" s="197"/>
      <c r="CB865" s="197"/>
      <c r="CC865" s="1094"/>
      <c r="CD865" s="1094"/>
      <c r="CE865" s="1094"/>
      <c r="CF865" s="1094"/>
      <c r="CG865" s="349"/>
    </row>
    <row r="866" spans="1:85" s="613" customFormat="1" x14ac:dyDescent="0.3">
      <c r="A866" s="478" t="s">
        <v>1518</v>
      </c>
      <c r="B866" s="523"/>
      <c r="C866" s="78"/>
      <c r="D866" s="78"/>
      <c r="E866" s="78"/>
      <c r="F866" s="78"/>
      <c r="G866" s="774"/>
      <c r="H866" s="774"/>
      <c r="I866" s="774"/>
      <c r="J866" s="774"/>
      <c r="K866" s="78"/>
      <c r="L866" s="774"/>
      <c r="M866" s="774"/>
      <c r="N866" s="774"/>
      <c r="O866" s="774"/>
      <c r="P866" s="78"/>
      <c r="Q866" s="774"/>
      <c r="R866" s="774"/>
      <c r="S866" s="774"/>
      <c r="T866" s="774"/>
      <c r="U866" s="78"/>
      <c r="V866" s="774"/>
      <c r="W866" s="774"/>
      <c r="X866" s="774"/>
      <c r="Y866" s="774"/>
      <c r="Z866" s="78"/>
      <c r="AA866" s="774"/>
      <c r="AB866" s="774"/>
      <c r="AC866" s="774"/>
      <c r="AD866" s="774"/>
      <c r="AE866" s="78"/>
      <c r="AF866" s="774"/>
      <c r="AG866" s="774"/>
      <c r="AH866" s="774"/>
      <c r="AI866" s="774"/>
      <c r="AJ866" s="78"/>
      <c r="AK866" s="774"/>
      <c r="AL866" s="774"/>
      <c r="AM866" s="774"/>
      <c r="AN866" s="774"/>
      <c r="AO866" s="78"/>
      <c r="AP866" s="774"/>
      <c r="AQ866" s="774"/>
      <c r="AR866" s="774"/>
      <c r="AS866" s="774"/>
      <c r="AT866" s="1119">
        <v>4.2960000000000003</v>
      </c>
      <c r="AU866" s="774"/>
      <c r="AV866" s="774"/>
      <c r="AW866" s="774"/>
      <c r="AX866" s="774"/>
      <c r="AY866" s="1119">
        <v>4.2960000000000003</v>
      </c>
      <c r="AZ866" s="774"/>
      <c r="BA866" s="774"/>
      <c r="BB866" s="774"/>
      <c r="BC866" s="774"/>
      <c r="BD866" s="1119">
        <v>4.2960000000000003</v>
      </c>
      <c r="BE866" s="774"/>
      <c r="BF866" s="774"/>
      <c r="BG866" s="774"/>
      <c r="BH866" s="774"/>
      <c r="BI866" s="78"/>
      <c r="BJ866" s="774"/>
      <c r="BK866" s="774"/>
      <c r="BL866" s="774"/>
      <c r="BM866" s="774"/>
      <c r="BN866" s="78"/>
      <c r="BO866" s="774"/>
      <c r="BP866" s="774"/>
      <c r="BQ866" s="774"/>
      <c r="BR866" s="774"/>
      <c r="BS866" s="78"/>
      <c r="BT866" s="775"/>
      <c r="BU866" s="774"/>
      <c r="BV866" s="774"/>
      <c r="BW866" s="774"/>
      <c r="BX866" s="78"/>
      <c r="BY866" s="774"/>
      <c r="BZ866" s="774"/>
      <c r="CA866" s="774"/>
      <c r="CB866" s="774"/>
      <c r="CC866" s="78"/>
      <c r="CD866" s="78"/>
      <c r="CE866" s="78"/>
      <c r="CF866" s="78"/>
      <c r="CG866" s="532"/>
    </row>
    <row r="867" spans="1:85" s="615" customFormat="1" x14ac:dyDescent="0.3">
      <c r="A867" s="522" t="s">
        <v>1517</v>
      </c>
      <c r="B867" s="521"/>
      <c r="C867" s="1122"/>
      <c r="D867" s="1122"/>
      <c r="E867" s="1122"/>
      <c r="F867" s="1122"/>
      <c r="G867" s="520"/>
      <c r="H867" s="520"/>
      <c r="I867" s="520"/>
      <c r="J867" s="520"/>
      <c r="K867" s="1122"/>
      <c r="L867" s="520"/>
      <c r="M867" s="520"/>
      <c r="N867" s="520"/>
      <c r="O867" s="520"/>
      <c r="P867" s="1122"/>
      <c r="Q867" s="520"/>
      <c r="R867" s="520"/>
      <c r="S867" s="520"/>
      <c r="T867" s="520"/>
      <c r="U867" s="1122"/>
      <c r="V867" s="520"/>
      <c r="W867" s="520"/>
      <c r="X867" s="520"/>
      <c r="Y867" s="520"/>
      <c r="Z867" s="1122"/>
      <c r="AA867" s="520"/>
      <c r="AB867" s="520"/>
      <c r="AC867" s="520"/>
      <c r="AD867" s="520"/>
      <c r="AE867" s="1122"/>
      <c r="AF867" s="520"/>
      <c r="AG867" s="520"/>
      <c r="AH867" s="520"/>
      <c r="AI867" s="520"/>
      <c r="AJ867" s="1122"/>
      <c r="AK867" s="520"/>
      <c r="AL867" s="520"/>
      <c r="AM867" s="520"/>
      <c r="AN867" s="520"/>
      <c r="AO867" s="1122"/>
      <c r="AP867" s="520"/>
      <c r="AQ867" s="520"/>
      <c r="AR867" s="520"/>
      <c r="AS867" s="520"/>
      <c r="AT867" s="1123">
        <v>329.81</v>
      </c>
      <c r="AU867" s="520"/>
      <c r="AV867" s="520"/>
      <c r="AW867" s="520"/>
      <c r="AX867" s="520"/>
      <c r="AY867" s="1123">
        <v>329.81</v>
      </c>
      <c r="AZ867" s="520"/>
      <c r="BA867" s="520"/>
      <c r="BB867" s="520"/>
      <c r="BC867" s="520"/>
      <c r="BD867" s="1123">
        <v>329.81</v>
      </c>
      <c r="BE867" s="520"/>
      <c r="BF867" s="520"/>
      <c r="BG867" s="520"/>
      <c r="BH867" s="520"/>
      <c r="BI867" s="1122"/>
      <c r="BJ867" s="520"/>
      <c r="BK867" s="520"/>
      <c r="BL867" s="520"/>
      <c r="BM867" s="520"/>
      <c r="BN867" s="1122"/>
      <c r="BO867" s="520"/>
      <c r="BP867" s="520"/>
      <c r="BQ867" s="520"/>
      <c r="BR867" s="520"/>
      <c r="BS867" s="1122"/>
      <c r="BT867" s="728"/>
      <c r="BU867" s="520"/>
      <c r="BV867" s="520"/>
      <c r="BW867" s="520"/>
      <c r="BX867" s="1122"/>
      <c r="BY867" s="520"/>
      <c r="BZ867" s="520"/>
      <c r="CA867" s="520"/>
      <c r="CB867" s="520"/>
      <c r="CC867" s="1122"/>
      <c r="CD867" s="1122"/>
      <c r="CE867" s="1122"/>
      <c r="CF867" s="1122"/>
      <c r="CG867" s="519"/>
    </row>
    <row r="868" spans="1:85" s="614" customFormat="1" x14ac:dyDescent="0.3">
      <c r="A868" s="522"/>
      <c r="B868" s="352"/>
      <c r="C868" s="1094"/>
      <c r="D868" s="1094"/>
      <c r="E868" s="1094"/>
      <c r="F868" s="1094"/>
      <c r="G868" s="197"/>
      <c r="H868" s="197"/>
      <c r="I868" s="197"/>
      <c r="J868" s="197"/>
      <c r="K868" s="1094"/>
      <c r="L868" s="197"/>
      <c r="M868" s="197"/>
      <c r="N868" s="197"/>
      <c r="O868" s="197"/>
      <c r="P868" s="1094"/>
      <c r="Q868" s="197"/>
      <c r="R868" s="197"/>
      <c r="S868" s="197"/>
      <c r="T868" s="197"/>
      <c r="U868" s="1094"/>
      <c r="V868" s="197"/>
      <c r="W868" s="197"/>
      <c r="X868" s="197"/>
      <c r="Y868" s="197"/>
      <c r="Z868" s="1094"/>
      <c r="AA868" s="197"/>
      <c r="AB868" s="197"/>
      <c r="AC868" s="197"/>
      <c r="AD868" s="197"/>
      <c r="AE868" s="1094"/>
      <c r="AF868" s="197"/>
      <c r="AG868" s="197"/>
      <c r="AH868" s="197"/>
      <c r="AI868" s="197"/>
      <c r="AJ868" s="1094"/>
      <c r="AK868" s="197"/>
      <c r="AL868" s="197"/>
      <c r="AM868" s="197"/>
      <c r="AN868" s="197"/>
      <c r="AO868" s="1094"/>
      <c r="AP868" s="197"/>
      <c r="AQ868" s="197"/>
      <c r="AR868" s="197"/>
      <c r="AS868" s="197"/>
      <c r="AT868" s="198"/>
      <c r="AU868" s="197"/>
      <c r="AV868" s="197"/>
      <c r="AW868" s="197"/>
      <c r="AX868" s="197"/>
      <c r="AY868" s="198"/>
      <c r="AZ868" s="197"/>
      <c r="BA868" s="197"/>
      <c r="BB868" s="197"/>
      <c r="BC868" s="197"/>
      <c r="BD868" s="198"/>
      <c r="BE868" s="197"/>
      <c r="BF868" s="197"/>
      <c r="BG868" s="197"/>
      <c r="BH868" s="197"/>
      <c r="BI868" s="1094"/>
      <c r="BJ868" s="197"/>
      <c r="BK868" s="197"/>
      <c r="BL868" s="197"/>
      <c r="BM868" s="197"/>
      <c r="BN868" s="1094"/>
      <c r="BO868" s="197"/>
      <c r="BP868" s="197"/>
      <c r="BQ868" s="197"/>
      <c r="BR868" s="197"/>
      <c r="BS868" s="1094"/>
      <c r="BT868" s="727"/>
      <c r="BU868" s="197"/>
      <c r="BV868" s="197"/>
      <c r="BW868" s="197"/>
      <c r="BX868" s="1094"/>
      <c r="BY868" s="197"/>
      <c r="BZ868" s="197"/>
      <c r="CA868" s="197"/>
      <c r="CB868" s="197"/>
      <c r="CC868" s="1094"/>
      <c r="CD868" s="1094"/>
      <c r="CE868" s="1094"/>
      <c r="CF868" s="1094"/>
      <c r="CG868" s="349"/>
    </row>
    <row r="869" spans="1:85" s="613" customFormat="1" x14ac:dyDescent="0.3">
      <c r="A869" s="478" t="s">
        <v>1516</v>
      </c>
      <c r="B869" s="523"/>
      <c r="C869" s="78"/>
      <c r="D869" s="78"/>
      <c r="E869" s="78"/>
      <c r="F869" s="78"/>
      <c r="G869" s="774"/>
      <c r="H869" s="774"/>
      <c r="I869" s="774"/>
      <c r="J869" s="774"/>
      <c r="K869" s="78"/>
      <c r="L869" s="774"/>
      <c r="M869" s="774"/>
      <c r="N869" s="774"/>
      <c r="O869" s="774"/>
      <c r="P869" s="78"/>
      <c r="Q869" s="774"/>
      <c r="R869" s="774"/>
      <c r="S869" s="774"/>
      <c r="T869" s="774"/>
      <c r="U869" s="78"/>
      <c r="V869" s="774"/>
      <c r="W869" s="774"/>
      <c r="X869" s="774"/>
      <c r="Y869" s="774"/>
      <c r="Z869" s="78"/>
      <c r="AA869" s="774"/>
      <c r="AB869" s="774"/>
      <c r="AC869" s="774"/>
      <c r="AD869" s="774"/>
      <c r="AE869" s="78"/>
      <c r="AF869" s="774"/>
      <c r="AG869" s="774"/>
      <c r="AH869" s="774"/>
      <c r="AI869" s="774"/>
      <c r="AJ869" s="78"/>
      <c r="AK869" s="774"/>
      <c r="AL869" s="774"/>
      <c r="AM869" s="774"/>
      <c r="AN869" s="774"/>
      <c r="AO869" s="78"/>
      <c r="AP869" s="774"/>
      <c r="AQ869" s="774"/>
      <c r="AR869" s="774"/>
      <c r="AS869" s="774"/>
      <c r="AT869" s="1119">
        <v>4.0149999999999997</v>
      </c>
      <c r="AU869" s="774"/>
      <c r="AV869" s="774"/>
      <c r="AW869" s="774"/>
      <c r="AX869" s="774"/>
      <c r="AY869" s="1119">
        <v>4.0149999999999997</v>
      </c>
      <c r="AZ869" s="774"/>
      <c r="BA869" s="774"/>
      <c r="BB869" s="774"/>
      <c r="BC869" s="774"/>
      <c r="BD869" s="1119">
        <v>4.0149999999999997</v>
      </c>
      <c r="BE869" s="774"/>
      <c r="BF869" s="774"/>
      <c r="BG869" s="774"/>
      <c r="BH869" s="774"/>
      <c r="BI869" s="78"/>
      <c r="BJ869" s="774"/>
      <c r="BK869" s="774"/>
      <c r="BL869" s="774"/>
      <c r="BM869" s="774"/>
      <c r="BN869" s="78"/>
      <c r="BO869" s="774"/>
      <c r="BP869" s="774"/>
      <c r="BQ869" s="774"/>
      <c r="BR869" s="774"/>
      <c r="BS869" s="78"/>
      <c r="BT869" s="775"/>
      <c r="BU869" s="774"/>
      <c r="BV869" s="774"/>
      <c r="BW869" s="774"/>
      <c r="BX869" s="78"/>
      <c r="BY869" s="774"/>
      <c r="BZ869" s="774"/>
      <c r="CA869" s="774"/>
      <c r="CB869" s="774"/>
      <c r="CC869" s="78"/>
      <c r="CD869" s="78"/>
      <c r="CE869" s="78"/>
      <c r="CF869" s="78"/>
      <c r="CG869" s="532"/>
    </row>
    <row r="870" spans="1:85" s="615" customFormat="1" x14ac:dyDescent="0.3">
      <c r="A870" s="522" t="s">
        <v>1515</v>
      </c>
      <c r="B870" s="521"/>
      <c r="C870" s="1122"/>
      <c r="D870" s="1122"/>
      <c r="E870" s="1122"/>
      <c r="F870" s="1122"/>
      <c r="G870" s="520"/>
      <c r="H870" s="520"/>
      <c r="I870" s="520"/>
      <c r="J870" s="520"/>
      <c r="K870" s="1122"/>
      <c r="L870" s="520"/>
      <c r="M870" s="520"/>
      <c r="N870" s="520"/>
      <c r="O870" s="520"/>
      <c r="P870" s="1122"/>
      <c r="Q870" s="520"/>
      <c r="R870" s="520"/>
      <c r="S870" s="520"/>
      <c r="T870" s="520"/>
      <c r="U870" s="1122"/>
      <c r="V870" s="520"/>
      <c r="W870" s="520"/>
      <c r="X870" s="520"/>
      <c r="Y870" s="520"/>
      <c r="Z870" s="1122"/>
      <c r="AA870" s="520"/>
      <c r="AB870" s="520"/>
      <c r="AC870" s="520"/>
      <c r="AD870" s="520"/>
      <c r="AE870" s="1122"/>
      <c r="AF870" s="520"/>
      <c r="AG870" s="520"/>
      <c r="AH870" s="520"/>
      <c r="AI870" s="520"/>
      <c r="AJ870" s="1122"/>
      <c r="AK870" s="520"/>
      <c r="AL870" s="520"/>
      <c r="AM870" s="520"/>
      <c r="AN870" s="520"/>
      <c r="AO870" s="1122"/>
      <c r="AP870" s="520"/>
      <c r="AQ870" s="520"/>
      <c r="AR870" s="520"/>
      <c r="AS870" s="520"/>
      <c r="AT870" s="1123">
        <v>358</v>
      </c>
      <c r="AU870" s="520"/>
      <c r="AV870" s="520"/>
      <c r="AW870" s="520"/>
      <c r="AX870" s="520"/>
      <c r="AY870" s="1123">
        <v>358</v>
      </c>
      <c r="AZ870" s="520"/>
      <c r="BA870" s="520"/>
      <c r="BB870" s="520"/>
      <c r="BC870" s="520"/>
      <c r="BD870" s="1123">
        <v>358</v>
      </c>
      <c r="BE870" s="520"/>
      <c r="BF870" s="520"/>
      <c r="BG870" s="520"/>
      <c r="BH870" s="520"/>
      <c r="BI870" s="1122"/>
      <c r="BJ870" s="520"/>
      <c r="BK870" s="520"/>
      <c r="BL870" s="520"/>
      <c r="BM870" s="520"/>
      <c r="BN870" s="1122"/>
      <c r="BO870" s="520"/>
      <c r="BP870" s="520"/>
      <c r="BQ870" s="520"/>
      <c r="BR870" s="520"/>
      <c r="BS870" s="1122"/>
      <c r="BT870" s="728"/>
      <c r="BU870" s="520"/>
      <c r="BV870" s="520"/>
      <c r="BW870" s="520"/>
      <c r="BX870" s="1122"/>
      <c r="BY870" s="520"/>
      <c r="BZ870" s="520"/>
      <c r="CA870" s="520"/>
      <c r="CB870" s="520"/>
      <c r="CC870" s="1122"/>
      <c r="CD870" s="1122"/>
      <c r="CE870" s="1122"/>
      <c r="CF870" s="1122"/>
      <c r="CG870" s="519"/>
    </row>
    <row r="871" spans="1:85" s="614" customFormat="1" x14ac:dyDescent="0.3">
      <c r="A871" s="522"/>
      <c r="B871" s="352"/>
      <c r="C871" s="1094"/>
      <c r="D871" s="1094"/>
      <c r="E871" s="1094"/>
      <c r="F871" s="1094"/>
      <c r="G871" s="197"/>
      <c r="H871" s="197"/>
      <c r="I871" s="197"/>
      <c r="J871" s="197"/>
      <c r="K871" s="1094"/>
      <c r="L871" s="197"/>
      <c r="M871" s="197"/>
      <c r="N871" s="197"/>
      <c r="O871" s="197"/>
      <c r="P871" s="1094"/>
      <c r="Q871" s="197"/>
      <c r="R871" s="197"/>
      <c r="S871" s="197"/>
      <c r="T871" s="197"/>
      <c r="U871" s="1094"/>
      <c r="V871" s="197"/>
      <c r="W871" s="197"/>
      <c r="X871" s="197"/>
      <c r="Y871" s="197"/>
      <c r="Z871" s="1094"/>
      <c r="AA871" s="197"/>
      <c r="AB871" s="197"/>
      <c r="AC871" s="197"/>
      <c r="AD871" s="197"/>
      <c r="AE871" s="1094"/>
      <c r="AF871" s="197"/>
      <c r="AG871" s="197"/>
      <c r="AH871" s="197"/>
      <c r="AI871" s="197"/>
      <c r="AJ871" s="1094"/>
      <c r="AK871" s="197"/>
      <c r="AL871" s="197"/>
      <c r="AM871" s="197"/>
      <c r="AN871" s="197"/>
      <c r="AO871" s="1094"/>
      <c r="AP871" s="197"/>
      <c r="AQ871" s="197"/>
      <c r="AR871" s="197"/>
      <c r="AS871" s="197"/>
      <c r="AT871" s="198"/>
      <c r="AU871" s="197"/>
      <c r="AV871" s="197"/>
      <c r="AW871" s="197"/>
      <c r="AX871" s="197"/>
      <c r="AY871" s="198"/>
      <c r="AZ871" s="197"/>
      <c r="BA871" s="197"/>
      <c r="BB871" s="197"/>
      <c r="BC871" s="197"/>
      <c r="BD871" s="198"/>
      <c r="BE871" s="197"/>
      <c r="BF871" s="197"/>
      <c r="BG871" s="197"/>
      <c r="BH871" s="197"/>
      <c r="BI871" s="1094"/>
      <c r="BJ871" s="197"/>
      <c r="BK871" s="197"/>
      <c r="BL871" s="197"/>
      <c r="BM871" s="197"/>
      <c r="BN871" s="1094"/>
      <c r="BO871" s="197"/>
      <c r="BP871" s="197"/>
      <c r="BQ871" s="197"/>
      <c r="BR871" s="197"/>
      <c r="BS871" s="1094"/>
      <c r="BT871" s="727"/>
      <c r="BU871" s="197"/>
      <c r="BV871" s="197"/>
      <c r="BW871" s="197"/>
      <c r="BX871" s="1094"/>
      <c r="BY871" s="197"/>
      <c r="BZ871" s="197"/>
      <c r="CA871" s="197"/>
      <c r="CB871" s="197"/>
      <c r="CC871" s="1094"/>
      <c r="CD871" s="1094"/>
      <c r="CE871" s="1094"/>
      <c r="CF871" s="1094"/>
      <c r="CG871" s="349"/>
    </row>
    <row r="872" spans="1:85" s="613" customFormat="1" x14ac:dyDescent="0.3">
      <c r="A872" s="478" t="s">
        <v>1514</v>
      </c>
      <c r="B872" s="523"/>
      <c r="C872" s="78"/>
      <c r="D872" s="78"/>
      <c r="E872" s="78"/>
      <c r="F872" s="78"/>
      <c r="G872" s="774"/>
      <c r="H872" s="774"/>
      <c r="I872" s="774"/>
      <c r="J872" s="774"/>
      <c r="K872" s="78"/>
      <c r="L872" s="774"/>
      <c r="M872" s="774"/>
      <c r="N872" s="774"/>
      <c r="O872" s="774"/>
      <c r="P872" s="78"/>
      <c r="Q872" s="774"/>
      <c r="R872" s="774"/>
      <c r="S872" s="774"/>
      <c r="T872" s="774"/>
      <c r="U872" s="78"/>
      <c r="V872" s="774"/>
      <c r="W872" s="774"/>
      <c r="X872" s="774"/>
      <c r="Y872" s="774"/>
      <c r="Z872" s="78"/>
      <c r="AA872" s="774"/>
      <c r="AB872" s="774"/>
      <c r="AC872" s="774"/>
      <c r="AD872" s="774"/>
      <c r="AE872" s="78"/>
      <c r="AF872" s="774"/>
      <c r="AG872" s="774"/>
      <c r="AH872" s="774"/>
      <c r="AI872" s="774"/>
      <c r="AJ872" s="78"/>
      <c r="AK872" s="774"/>
      <c r="AL872" s="774"/>
      <c r="AM872" s="774"/>
      <c r="AN872" s="774"/>
      <c r="AO872" s="78"/>
      <c r="AP872" s="774"/>
      <c r="AQ872" s="774"/>
      <c r="AR872" s="774"/>
      <c r="AS872" s="774"/>
      <c r="AT872" s="1119">
        <v>3.7719999999999998</v>
      </c>
      <c r="AU872" s="774"/>
      <c r="AV872" s="774"/>
      <c r="AW872" s="774"/>
      <c r="AX872" s="774"/>
      <c r="AY872" s="1119">
        <v>3.7719999999999998</v>
      </c>
      <c r="AZ872" s="774"/>
      <c r="BA872" s="774"/>
      <c r="BB872" s="774"/>
      <c r="BC872" s="774"/>
      <c r="BD872" s="1119">
        <v>3.7719999999999998</v>
      </c>
      <c r="BE872" s="774"/>
      <c r="BF872" s="774"/>
      <c r="BG872" s="774"/>
      <c r="BH872" s="774"/>
      <c r="BI872" s="78"/>
      <c r="BJ872" s="774"/>
      <c r="BK872" s="774"/>
      <c r="BL872" s="774"/>
      <c r="BM872" s="774"/>
      <c r="BN872" s="78"/>
      <c r="BO872" s="774"/>
      <c r="BP872" s="774"/>
      <c r="BQ872" s="774"/>
      <c r="BR872" s="774"/>
      <c r="BS872" s="78"/>
      <c r="BT872" s="775"/>
      <c r="BU872" s="774"/>
      <c r="BV872" s="774"/>
      <c r="BW872" s="774"/>
      <c r="BX872" s="78"/>
      <c r="BY872" s="774"/>
      <c r="BZ872" s="774"/>
      <c r="CA872" s="774"/>
      <c r="CB872" s="774"/>
      <c r="CC872" s="78"/>
      <c r="CD872" s="78"/>
      <c r="CE872" s="78"/>
      <c r="CF872" s="78"/>
      <c r="CG872" s="532"/>
    </row>
    <row r="873" spans="1:85" s="615" customFormat="1" x14ac:dyDescent="0.3">
      <c r="A873" s="522" t="s">
        <v>1513</v>
      </c>
      <c r="B873" s="521"/>
      <c r="C873" s="1122"/>
      <c r="D873" s="1122"/>
      <c r="E873" s="1122"/>
      <c r="F873" s="1122"/>
      <c r="G873" s="520"/>
      <c r="H873" s="520"/>
      <c r="I873" s="520"/>
      <c r="J873" s="520"/>
      <c r="K873" s="1122"/>
      <c r="L873" s="520"/>
      <c r="M873" s="520"/>
      <c r="N873" s="520"/>
      <c r="O873" s="520"/>
      <c r="P873" s="1122"/>
      <c r="Q873" s="520"/>
      <c r="R873" s="520"/>
      <c r="S873" s="520"/>
      <c r="T873" s="520"/>
      <c r="U873" s="1122"/>
      <c r="V873" s="520"/>
      <c r="W873" s="520"/>
      <c r="X873" s="520"/>
      <c r="Y873" s="520"/>
      <c r="Z873" s="1122"/>
      <c r="AA873" s="520"/>
      <c r="AB873" s="520"/>
      <c r="AC873" s="520"/>
      <c r="AD873" s="520"/>
      <c r="AE873" s="1122"/>
      <c r="AF873" s="520"/>
      <c r="AG873" s="520"/>
      <c r="AH873" s="520"/>
      <c r="AI873" s="520"/>
      <c r="AJ873" s="1122"/>
      <c r="AK873" s="520"/>
      <c r="AL873" s="520"/>
      <c r="AM873" s="520"/>
      <c r="AN873" s="520"/>
      <c r="AO873" s="1122"/>
      <c r="AP873" s="520"/>
      <c r="AQ873" s="520"/>
      <c r="AR873" s="520"/>
      <c r="AS873" s="520"/>
      <c r="AT873" s="1123">
        <v>381.05</v>
      </c>
      <c r="AU873" s="520"/>
      <c r="AV873" s="520"/>
      <c r="AW873" s="520"/>
      <c r="AX873" s="520"/>
      <c r="AY873" s="1123">
        <v>381.05</v>
      </c>
      <c r="AZ873" s="520"/>
      <c r="BA873" s="520"/>
      <c r="BB873" s="520"/>
      <c r="BC873" s="520"/>
      <c r="BD873" s="1123">
        <v>381.05</v>
      </c>
      <c r="BE873" s="520"/>
      <c r="BF873" s="520"/>
      <c r="BG873" s="520"/>
      <c r="BH873" s="520"/>
      <c r="BI873" s="1122"/>
      <c r="BJ873" s="520"/>
      <c r="BK873" s="520"/>
      <c r="BL873" s="520"/>
      <c r="BM873" s="520"/>
      <c r="BN873" s="1122"/>
      <c r="BO873" s="520"/>
      <c r="BP873" s="520"/>
      <c r="BQ873" s="520"/>
      <c r="BR873" s="520"/>
      <c r="BS873" s="1122"/>
      <c r="BT873" s="728"/>
      <c r="BU873" s="520"/>
      <c r="BV873" s="520"/>
      <c r="BW873" s="520"/>
      <c r="BX873" s="1122"/>
      <c r="BY873" s="520"/>
      <c r="BZ873" s="520"/>
      <c r="CA873" s="520"/>
      <c r="CB873" s="520"/>
      <c r="CC873" s="1122"/>
      <c r="CD873" s="1122"/>
      <c r="CE873" s="1122"/>
      <c r="CF873" s="1122"/>
      <c r="CG873" s="519"/>
    </row>
    <row r="874" spans="1:85" s="614" customFormat="1" x14ac:dyDescent="0.3">
      <c r="A874" s="522"/>
      <c r="B874" s="352"/>
      <c r="C874" s="1094"/>
      <c r="D874" s="1094"/>
      <c r="E874" s="1094"/>
      <c r="F874" s="1094"/>
      <c r="G874" s="197"/>
      <c r="H874" s="197"/>
      <c r="I874" s="197"/>
      <c r="J874" s="197"/>
      <c r="K874" s="1094"/>
      <c r="L874" s="197"/>
      <c r="M874" s="197"/>
      <c r="N874" s="197"/>
      <c r="O874" s="197"/>
      <c r="P874" s="1094"/>
      <c r="Q874" s="197"/>
      <c r="R874" s="197"/>
      <c r="S874" s="197"/>
      <c r="T874" s="197"/>
      <c r="U874" s="1094"/>
      <c r="V874" s="197"/>
      <c r="W874" s="197"/>
      <c r="X874" s="197"/>
      <c r="Y874" s="197"/>
      <c r="Z874" s="1094"/>
      <c r="AA874" s="197"/>
      <c r="AB874" s="197"/>
      <c r="AC874" s="197"/>
      <c r="AD874" s="197"/>
      <c r="AE874" s="1094"/>
      <c r="AF874" s="197"/>
      <c r="AG874" s="197"/>
      <c r="AH874" s="197"/>
      <c r="AI874" s="197"/>
      <c r="AJ874" s="1094"/>
      <c r="AK874" s="197"/>
      <c r="AL874" s="197"/>
      <c r="AM874" s="197"/>
      <c r="AN874" s="197"/>
      <c r="AO874" s="1094"/>
      <c r="AP874" s="197"/>
      <c r="AQ874" s="197"/>
      <c r="AR874" s="197"/>
      <c r="AS874" s="197"/>
      <c r="AT874" s="198"/>
      <c r="AU874" s="197"/>
      <c r="AV874" s="197"/>
      <c r="AW874" s="197"/>
      <c r="AX874" s="197"/>
      <c r="AY874" s="198"/>
      <c r="AZ874" s="197"/>
      <c r="BA874" s="197"/>
      <c r="BB874" s="197"/>
      <c r="BC874" s="197"/>
      <c r="BD874" s="198"/>
      <c r="BE874" s="197"/>
      <c r="BF874" s="197"/>
      <c r="BG874" s="197"/>
      <c r="BH874" s="197"/>
      <c r="BI874" s="1094"/>
      <c r="BJ874" s="197"/>
      <c r="BK874" s="197"/>
      <c r="BL874" s="197"/>
      <c r="BM874" s="197"/>
      <c r="BN874" s="1094"/>
      <c r="BO874" s="197"/>
      <c r="BP874" s="197"/>
      <c r="BQ874" s="197"/>
      <c r="BR874" s="197"/>
      <c r="BS874" s="1094"/>
      <c r="BT874" s="727"/>
      <c r="BU874" s="197"/>
      <c r="BV874" s="197"/>
      <c r="BW874" s="197"/>
      <c r="BX874" s="1094"/>
      <c r="BY874" s="197"/>
      <c r="BZ874" s="197"/>
      <c r="CA874" s="197"/>
      <c r="CB874" s="197"/>
      <c r="CC874" s="1094"/>
      <c r="CD874" s="1094"/>
      <c r="CE874" s="1094"/>
      <c r="CF874" s="1094"/>
      <c r="CG874" s="349"/>
    </row>
    <row r="875" spans="1:85" s="613" customFormat="1" x14ac:dyDescent="0.3">
      <c r="A875" s="478" t="s">
        <v>1512</v>
      </c>
      <c r="B875" s="523"/>
      <c r="C875" s="78"/>
      <c r="D875" s="78"/>
      <c r="E875" s="78"/>
      <c r="F875" s="78"/>
      <c r="G875" s="774"/>
      <c r="H875" s="774"/>
      <c r="I875" s="774"/>
      <c r="J875" s="774"/>
      <c r="K875" s="78"/>
      <c r="L875" s="774"/>
      <c r="M875" s="774"/>
      <c r="N875" s="774"/>
      <c r="O875" s="774"/>
      <c r="P875" s="78"/>
      <c r="Q875" s="774"/>
      <c r="R875" s="774"/>
      <c r="S875" s="774"/>
      <c r="T875" s="774"/>
      <c r="U875" s="78"/>
      <c r="V875" s="774"/>
      <c r="W875" s="774"/>
      <c r="X875" s="774"/>
      <c r="Y875" s="774"/>
      <c r="Z875" s="78"/>
      <c r="AA875" s="774"/>
      <c r="AB875" s="774"/>
      <c r="AC875" s="774"/>
      <c r="AD875" s="774"/>
      <c r="AE875" s="78"/>
      <c r="AF875" s="774"/>
      <c r="AG875" s="774"/>
      <c r="AH875" s="774"/>
      <c r="AI875" s="774"/>
      <c r="AJ875" s="78"/>
      <c r="AK875" s="774"/>
      <c r="AL875" s="774"/>
      <c r="AM875" s="774"/>
      <c r="AN875" s="774"/>
      <c r="AO875" s="78"/>
      <c r="AP875" s="774"/>
      <c r="AQ875" s="774"/>
      <c r="AR875" s="774"/>
      <c r="AS875" s="774"/>
      <c r="AT875" s="1119">
        <v>3.9489999999999998</v>
      </c>
      <c r="AU875" s="774"/>
      <c r="AV875" s="774"/>
      <c r="AW875" s="774"/>
      <c r="AX875" s="774"/>
      <c r="AY875" s="1119">
        <v>3.9489999999999998</v>
      </c>
      <c r="AZ875" s="774"/>
      <c r="BA875" s="774"/>
      <c r="BB875" s="774"/>
      <c r="BC875" s="774"/>
      <c r="BD875" s="1119">
        <v>3.9489999999999998</v>
      </c>
      <c r="BE875" s="774"/>
      <c r="BF875" s="774"/>
      <c r="BG875" s="774"/>
      <c r="BH875" s="774"/>
      <c r="BI875" s="78"/>
      <c r="BJ875" s="774"/>
      <c r="BK875" s="774"/>
      <c r="BL875" s="774"/>
      <c r="BM875" s="774"/>
      <c r="BN875" s="78"/>
      <c r="BO875" s="774"/>
      <c r="BP875" s="774"/>
      <c r="BQ875" s="774"/>
      <c r="BR875" s="774"/>
      <c r="BS875" s="78"/>
      <c r="BT875" s="775"/>
      <c r="BU875" s="774"/>
      <c r="BV875" s="774"/>
      <c r="BW875" s="774"/>
      <c r="BX875" s="78"/>
      <c r="BY875" s="774"/>
      <c r="BZ875" s="774"/>
      <c r="CA875" s="774"/>
      <c r="CB875" s="774"/>
      <c r="CC875" s="78"/>
      <c r="CD875" s="78"/>
      <c r="CE875" s="78"/>
      <c r="CF875" s="78"/>
      <c r="CG875" s="532"/>
    </row>
    <row r="876" spans="1:85" s="615" customFormat="1" x14ac:dyDescent="0.3">
      <c r="A876" s="522" t="s">
        <v>1511</v>
      </c>
      <c r="B876" s="521"/>
      <c r="C876" s="1122"/>
      <c r="D876" s="1122"/>
      <c r="E876" s="1122"/>
      <c r="F876" s="1122"/>
      <c r="G876" s="520"/>
      <c r="H876" s="520"/>
      <c r="I876" s="520"/>
      <c r="J876" s="520"/>
      <c r="K876" s="1122"/>
      <c r="L876" s="520"/>
      <c r="M876" s="520"/>
      <c r="N876" s="520"/>
      <c r="O876" s="520"/>
      <c r="P876" s="1122"/>
      <c r="Q876" s="520"/>
      <c r="R876" s="520"/>
      <c r="S876" s="520"/>
      <c r="T876" s="520"/>
      <c r="U876" s="1122"/>
      <c r="V876" s="520"/>
      <c r="W876" s="520"/>
      <c r="X876" s="520"/>
      <c r="Y876" s="520"/>
      <c r="Z876" s="1122"/>
      <c r="AA876" s="520"/>
      <c r="AB876" s="520"/>
      <c r="AC876" s="520"/>
      <c r="AD876" s="520"/>
      <c r="AE876" s="1122"/>
      <c r="AF876" s="520"/>
      <c r="AG876" s="520"/>
      <c r="AH876" s="520"/>
      <c r="AI876" s="520"/>
      <c r="AJ876" s="1122"/>
      <c r="AK876" s="520"/>
      <c r="AL876" s="520"/>
      <c r="AM876" s="520"/>
      <c r="AN876" s="520"/>
      <c r="AO876" s="1122"/>
      <c r="AP876" s="520"/>
      <c r="AQ876" s="520"/>
      <c r="AR876" s="520"/>
      <c r="AS876" s="520"/>
      <c r="AT876" s="1123">
        <v>364.08</v>
      </c>
      <c r="AU876" s="520"/>
      <c r="AV876" s="520"/>
      <c r="AW876" s="520"/>
      <c r="AX876" s="520"/>
      <c r="AY876" s="1123">
        <v>364.08</v>
      </c>
      <c r="AZ876" s="520"/>
      <c r="BA876" s="520"/>
      <c r="BB876" s="520"/>
      <c r="BC876" s="520"/>
      <c r="BD876" s="1123">
        <v>364.08</v>
      </c>
      <c r="BE876" s="520"/>
      <c r="BF876" s="520"/>
      <c r="BG876" s="520"/>
      <c r="BH876" s="520"/>
      <c r="BI876" s="1122"/>
      <c r="BJ876" s="520"/>
      <c r="BK876" s="520"/>
      <c r="BL876" s="520"/>
      <c r="BM876" s="520"/>
      <c r="BN876" s="1122"/>
      <c r="BO876" s="520"/>
      <c r="BP876" s="520"/>
      <c r="BQ876" s="520"/>
      <c r="BR876" s="520"/>
      <c r="BS876" s="1122"/>
      <c r="BT876" s="728"/>
      <c r="BU876" s="520"/>
      <c r="BV876" s="520"/>
      <c r="BW876" s="520"/>
      <c r="BX876" s="1122"/>
      <c r="BY876" s="520"/>
      <c r="BZ876" s="520"/>
      <c r="CA876" s="520"/>
      <c r="CB876" s="520"/>
      <c r="CC876" s="1122"/>
      <c r="CD876" s="1122"/>
      <c r="CE876" s="1122"/>
      <c r="CF876" s="1122"/>
      <c r="CG876" s="519"/>
    </row>
    <row r="877" spans="1:85" s="614" customFormat="1" x14ac:dyDescent="0.3">
      <c r="A877" s="522"/>
      <c r="B877" s="352"/>
      <c r="C877" s="1094"/>
      <c r="D877" s="1094"/>
      <c r="E877" s="1094"/>
      <c r="F877" s="1094"/>
      <c r="G877" s="197"/>
      <c r="H877" s="197"/>
      <c r="I877" s="197"/>
      <c r="J877" s="197"/>
      <c r="K877" s="1094"/>
      <c r="L877" s="197"/>
      <c r="M877" s="197"/>
      <c r="N877" s="197"/>
      <c r="O877" s="197"/>
      <c r="P877" s="1094"/>
      <c r="Q877" s="197"/>
      <c r="R877" s="197"/>
      <c r="S877" s="197"/>
      <c r="T877" s="197"/>
      <c r="U877" s="1094"/>
      <c r="V877" s="197"/>
      <c r="W877" s="197"/>
      <c r="X877" s="197"/>
      <c r="Y877" s="197"/>
      <c r="Z877" s="1094"/>
      <c r="AA877" s="197"/>
      <c r="AB877" s="197"/>
      <c r="AC877" s="197"/>
      <c r="AD877" s="197"/>
      <c r="AE877" s="1094"/>
      <c r="AF877" s="197"/>
      <c r="AG877" s="197"/>
      <c r="AH877" s="197"/>
      <c r="AI877" s="197"/>
      <c r="AJ877" s="1094"/>
      <c r="AK877" s="197"/>
      <c r="AL877" s="197"/>
      <c r="AM877" s="197"/>
      <c r="AN877" s="197"/>
      <c r="AO877" s="1094"/>
      <c r="AP877" s="197"/>
      <c r="AQ877" s="197"/>
      <c r="AR877" s="197"/>
      <c r="AS877" s="197"/>
      <c r="AT877" s="198"/>
      <c r="AU877" s="197"/>
      <c r="AV877" s="197"/>
      <c r="AW877" s="197"/>
      <c r="AX877" s="197"/>
      <c r="AY877" s="198"/>
      <c r="AZ877" s="197"/>
      <c r="BA877" s="197"/>
      <c r="BB877" s="197"/>
      <c r="BC877" s="197"/>
      <c r="BD877" s="198"/>
      <c r="BE877" s="197"/>
      <c r="BF877" s="197"/>
      <c r="BG877" s="197"/>
      <c r="BH877" s="197"/>
      <c r="BI877" s="1094"/>
      <c r="BJ877" s="197"/>
      <c r="BK877" s="197"/>
      <c r="BL877" s="197"/>
      <c r="BM877" s="197"/>
      <c r="BN877" s="1094"/>
      <c r="BO877" s="197"/>
      <c r="BP877" s="197"/>
      <c r="BQ877" s="197"/>
      <c r="BR877" s="197"/>
      <c r="BS877" s="1094"/>
      <c r="BT877" s="727"/>
      <c r="BU877" s="197"/>
      <c r="BV877" s="197"/>
      <c r="BW877" s="197"/>
      <c r="BX877" s="1094"/>
      <c r="BY877" s="197"/>
      <c r="BZ877" s="197"/>
      <c r="CA877" s="197"/>
      <c r="CB877" s="197"/>
      <c r="CC877" s="1094"/>
      <c r="CD877" s="1094"/>
      <c r="CE877" s="1094"/>
      <c r="CF877" s="1094"/>
      <c r="CG877" s="349"/>
    </row>
    <row r="878" spans="1:85" s="613" customFormat="1" x14ac:dyDescent="0.3">
      <c r="A878" s="478" t="s">
        <v>1510</v>
      </c>
      <c r="B878" s="523"/>
      <c r="C878" s="78"/>
      <c r="D878" s="78"/>
      <c r="E878" s="78"/>
      <c r="F878" s="78"/>
      <c r="G878" s="774"/>
      <c r="H878" s="774"/>
      <c r="I878" s="774"/>
      <c r="J878" s="774"/>
      <c r="K878" s="78"/>
      <c r="L878" s="774"/>
      <c r="M878" s="774"/>
      <c r="N878" s="774"/>
      <c r="O878" s="774"/>
      <c r="P878" s="78"/>
      <c r="Q878" s="774"/>
      <c r="R878" s="774"/>
      <c r="S878" s="774"/>
      <c r="T878" s="774"/>
      <c r="U878" s="78"/>
      <c r="V878" s="774"/>
      <c r="W878" s="774"/>
      <c r="X878" s="774"/>
      <c r="Y878" s="774"/>
      <c r="Z878" s="78"/>
      <c r="AA878" s="774"/>
      <c r="AB878" s="774"/>
      <c r="AC878" s="774"/>
      <c r="AD878" s="774"/>
      <c r="AE878" s="78"/>
      <c r="AF878" s="774"/>
      <c r="AG878" s="774"/>
      <c r="AH878" s="774"/>
      <c r="AI878" s="774"/>
      <c r="AJ878" s="78"/>
      <c r="AK878" s="774"/>
      <c r="AL878" s="774"/>
      <c r="AM878" s="774"/>
      <c r="AN878" s="774"/>
      <c r="AO878" s="78"/>
      <c r="AP878" s="774"/>
      <c r="AQ878" s="774"/>
      <c r="AR878" s="774"/>
      <c r="AS878" s="774"/>
      <c r="AT878" s="1119">
        <v>3.4609999999999999</v>
      </c>
      <c r="AU878" s="774"/>
      <c r="AV878" s="774"/>
      <c r="AW878" s="774"/>
      <c r="AX878" s="774"/>
      <c r="AY878" s="1119">
        <v>3.4609999999999999</v>
      </c>
      <c r="AZ878" s="774"/>
      <c r="BA878" s="774"/>
      <c r="BB878" s="774"/>
      <c r="BC878" s="774"/>
      <c r="BD878" s="1119">
        <v>3.4609999999999999</v>
      </c>
      <c r="BE878" s="774"/>
      <c r="BF878" s="774"/>
      <c r="BG878" s="774"/>
      <c r="BH878" s="774"/>
      <c r="BI878" s="78"/>
      <c r="BJ878" s="774"/>
      <c r="BK878" s="774"/>
      <c r="BL878" s="774"/>
      <c r="BM878" s="774"/>
      <c r="BN878" s="78"/>
      <c r="BO878" s="774"/>
      <c r="BP878" s="774"/>
      <c r="BQ878" s="774"/>
      <c r="BR878" s="774"/>
      <c r="BS878" s="78"/>
      <c r="BT878" s="775"/>
      <c r="BU878" s="774"/>
      <c r="BV878" s="774"/>
      <c r="BW878" s="774"/>
      <c r="BX878" s="78"/>
      <c r="BY878" s="774"/>
      <c r="BZ878" s="774"/>
      <c r="CA878" s="774"/>
      <c r="CB878" s="774"/>
      <c r="CC878" s="78"/>
      <c r="CD878" s="78"/>
      <c r="CE878" s="78"/>
      <c r="CF878" s="78"/>
      <c r="CG878" s="532"/>
    </row>
    <row r="879" spans="1:85" s="615" customFormat="1" x14ac:dyDescent="0.3">
      <c r="A879" s="522" t="s">
        <v>1509</v>
      </c>
      <c r="B879" s="521"/>
      <c r="C879" s="1122"/>
      <c r="D879" s="1122"/>
      <c r="E879" s="1122"/>
      <c r="F879" s="1122"/>
      <c r="G879" s="520"/>
      <c r="H879" s="520"/>
      <c r="I879" s="520"/>
      <c r="J879" s="520"/>
      <c r="K879" s="1122"/>
      <c r="L879" s="520"/>
      <c r="M879" s="520"/>
      <c r="N879" s="520"/>
      <c r="O879" s="520"/>
      <c r="P879" s="1122"/>
      <c r="Q879" s="520"/>
      <c r="R879" s="520"/>
      <c r="S879" s="520"/>
      <c r="T879" s="520"/>
      <c r="U879" s="1122"/>
      <c r="V879" s="520"/>
      <c r="W879" s="520"/>
      <c r="X879" s="520"/>
      <c r="Y879" s="520"/>
      <c r="Z879" s="1122"/>
      <c r="AA879" s="520"/>
      <c r="AB879" s="520"/>
      <c r="AC879" s="520"/>
      <c r="AD879" s="520"/>
      <c r="AE879" s="1122"/>
      <c r="AF879" s="520"/>
      <c r="AG879" s="520"/>
      <c r="AH879" s="520"/>
      <c r="AI879" s="520"/>
      <c r="AJ879" s="1122"/>
      <c r="AK879" s="520"/>
      <c r="AL879" s="520"/>
      <c r="AM879" s="520"/>
      <c r="AN879" s="520"/>
      <c r="AO879" s="1122"/>
      <c r="AP879" s="520"/>
      <c r="AQ879" s="520"/>
      <c r="AR879" s="520"/>
      <c r="AS879" s="520"/>
      <c r="AT879" s="1123">
        <v>415.27</v>
      </c>
      <c r="AU879" s="520"/>
      <c r="AV879" s="520"/>
      <c r="AW879" s="520"/>
      <c r="AX879" s="520"/>
      <c r="AY879" s="1123">
        <v>415.27</v>
      </c>
      <c r="AZ879" s="520"/>
      <c r="BA879" s="520"/>
      <c r="BB879" s="520"/>
      <c r="BC879" s="520"/>
      <c r="BD879" s="1123">
        <v>415.27</v>
      </c>
      <c r="BE879" s="520"/>
      <c r="BF879" s="520"/>
      <c r="BG879" s="520"/>
      <c r="BH879" s="520"/>
      <c r="BI879" s="1122"/>
      <c r="BJ879" s="520"/>
      <c r="BK879" s="520"/>
      <c r="BL879" s="520"/>
      <c r="BM879" s="520"/>
      <c r="BN879" s="1122"/>
      <c r="BO879" s="520"/>
      <c r="BP879" s="520"/>
      <c r="BQ879" s="520"/>
      <c r="BR879" s="520"/>
      <c r="BS879" s="1122"/>
      <c r="BT879" s="728"/>
      <c r="BU879" s="520"/>
      <c r="BV879" s="520"/>
      <c r="BW879" s="520"/>
      <c r="BX879" s="1122"/>
      <c r="BY879" s="520"/>
      <c r="BZ879" s="520"/>
      <c r="CA879" s="520"/>
      <c r="CB879" s="520"/>
      <c r="CC879" s="1122"/>
      <c r="CD879" s="1122"/>
      <c r="CE879" s="1122"/>
      <c r="CF879" s="1122"/>
      <c r="CG879" s="519"/>
    </row>
    <row r="880" spans="1:85" s="614" customFormat="1" x14ac:dyDescent="0.3">
      <c r="A880" s="522"/>
      <c r="B880" s="352"/>
      <c r="C880" s="1094"/>
      <c r="D880" s="1094"/>
      <c r="E880" s="1094"/>
      <c r="F880" s="1094"/>
      <c r="G880" s="197"/>
      <c r="H880" s="197"/>
      <c r="I880" s="197"/>
      <c r="J880" s="197"/>
      <c r="K880" s="1094"/>
      <c r="L880" s="197"/>
      <c r="M880" s="197"/>
      <c r="N880" s="197"/>
      <c r="O880" s="197"/>
      <c r="P880" s="1094"/>
      <c r="Q880" s="197"/>
      <c r="R880" s="197"/>
      <c r="S880" s="197"/>
      <c r="T880" s="197"/>
      <c r="U880" s="1094"/>
      <c r="V880" s="197"/>
      <c r="W880" s="197"/>
      <c r="X880" s="197"/>
      <c r="Y880" s="197"/>
      <c r="Z880" s="1094"/>
      <c r="AA880" s="197"/>
      <c r="AB880" s="197"/>
      <c r="AC880" s="197"/>
      <c r="AD880" s="197"/>
      <c r="AE880" s="1094"/>
      <c r="AF880" s="197"/>
      <c r="AG880" s="197"/>
      <c r="AH880" s="197"/>
      <c r="AI880" s="197"/>
      <c r="AJ880" s="1094"/>
      <c r="AK880" s="197"/>
      <c r="AL880" s="197"/>
      <c r="AM880" s="197"/>
      <c r="AN880" s="197"/>
      <c r="AO880" s="1094"/>
      <c r="AP880" s="197"/>
      <c r="AQ880" s="197"/>
      <c r="AR880" s="197"/>
      <c r="AS880" s="197"/>
      <c r="AT880" s="198"/>
      <c r="AU880" s="197"/>
      <c r="AV880" s="197"/>
      <c r="AW880" s="197"/>
      <c r="AX880" s="197"/>
      <c r="AY880" s="198"/>
      <c r="AZ880" s="197"/>
      <c r="BA880" s="197"/>
      <c r="BB880" s="197"/>
      <c r="BC880" s="197"/>
      <c r="BD880" s="198"/>
      <c r="BE880" s="197"/>
      <c r="BF880" s="197"/>
      <c r="BG880" s="197"/>
      <c r="BH880" s="197"/>
      <c r="BI880" s="1094"/>
      <c r="BJ880" s="197"/>
      <c r="BK880" s="197"/>
      <c r="BL880" s="197"/>
      <c r="BM880" s="197"/>
      <c r="BN880" s="1094"/>
      <c r="BO880" s="197"/>
      <c r="BP880" s="197"/>
      <c r="BQ880" s="197"/>
      <c r="BR880" s="197"/>
      <c r="BS880" s="1094"/>
      <c r="BT880" s="727"/>
      <c r="BU880" s="197"/>
      <c r="BV880" s="197"/>
      <c r="BW880" s="197"/>
      <c r="BX880" s="1094"/>
      <c r="BY880" s="197"/>
      <c r="BZ880" s="197"/>
      <c r="CA880" s="197"/>
      <c r="CB880" s="197"/>
      <c r="CC880" s="1094"/>
      <c r="CD880" s="1094"/>
      <c r="CE880" s="1094"/>
      <c r="CF880" s="1094"/>
      <c r="CG880" s="349"/>
    </row>
    <row r="881" spans="1:85" s="613" customFormat="1" x14ac:dyDescent="0.3">
      <c r="A881" s="478" t="s">
        <v>1508</v>
      </c>
      <c r="B881" s="523"/>
      <c r="C881" s="78"/>
      <c r="D881" s="78"/>
      <c r="E881" s="78"/>
      <c r="F881" s="78"/>
      <c r="G881" s="774"/>
      <c r="H881" s="774"/>
      <c r="I881" s="774"/>
      <c r="J881" s="774"/>
      <c r="K881" s="78"/>
      <c r="L881" s="774"/>
      <c r="M881" s="774"/>
      <c r="N881" s="774"/>
      <c r="O881" s="774"/>
      <c r="P881" s="78"/>
      <c r="Q881" s="774"/>
      <c r="R881" s="774"/>
      <c r="S881" s="774"/>
      <c r="T881" s="774"/>
      <c r="U881" s="78"/>
      <c r="V881" s="774"/>
      <c r="W881" s="774"/>
      <c r="X881" s="774"/>
      <c r="Y881" s="774"/>
      <c r="Z881" s="78"/>
      <c r="AA881" s="774"/>
      <c r="AB881" s="774"/>
      <c r="AC881" s="774"/>
      <c r="AD881" s="774"/>
      <c r="AE881" s="78"/>
      <c r="AF881" s="774"/>
      <c r="AG881" s="774"/>
      <c r="AH881" s="774"/>
      <c r="AI881" s="774"/>
      <c r="AJ881" s="78"/>
      <c r="AK881" s="774"/>
      <c r="AL881" s="774"/>
      <c r="AM881" s="774"/>
      <c r="AN881" s="774"/>
      <c r="AO881" s="78"/>
      <c r="AP881" s="774"/>
      <c r="AQ881" s="774"/>
      <c r="AR881" s="774"/>
      <c r="AS881" s="774"/>
      <c r="AT881" s="1119">
        <v>3.375</v>
      </c>
      <c r="AU881" s="774"/>
      <c r="AV881" s="774"/>
      <c r="AW881" s="774"/>
      <c r="AX881" s="774"/>
      <c r="AY881" s="1119">
        <v>3.375</v>
      </c>
      <c r="AZ881" s="774"/>
      <c r="BA881" s="774"/>
      <c r="BB881" s="774"/>
      <c r="BC881" s="774"/>
      <c r="BD881" s="1119">
        <v>3.375</v>
      </c>
      <c r="BE881" s="774"/>
      <c r="BF881" s="774"/>
      <c r="BG881" s="774"/>
      <c r="BH881" s="774"/>
      <c r="BI881" s="78"/>
      <c r="BJ881" s="774"/>
      <c r="BK881" s="774"/>
      <c r="BL881" s="774"/>
      <c r="BM881" s="774"/>
      <c r="BN881" s="78"/>
      <c r="BO881" s="774"/>
      <c r="BP881" s="774"/>
      <c r="BQ881" s="774"/>
      <c r="BR881" s="774"/>
      <c r="BS881" s="78"/>
      <c r="BT881" s="775"/>
      <c r="BU881" s="774"/>
      <c r="BV881" s="774"/>
      <c r="BW881" s="774"/>
      <c r="BX881" s="78"/>
      <c r="BY881" s="774"/>
      <c r="BZ881" s="774"/>
      <c r="CA881" s="774"/>
      <c r="CB881" s="774"/>
      <c r="CC881" s="78"/>
      <c r="CD881" s="78"/>
      <c r="CE881" s="78"/>
      <c r="CF881" s="78"/>
      <c r="CG881" s="532"/>
    </row>
    <row r="882" spans="1:85" s="615" customFormat="1" x14ac:dyDescent="0.3">
      <c r="A882" s="522" t="s">
        <v>1507</v>
      </c>
      <c r="B882" s="521"/>
      <c r="C882" s="1122"/>
      <c r="D882" s="1122"/>
      <c r="E882" s="1122"/>
      <c r="F882" s="1122"/>
      <c r="G882" s="520"/>
      <c r="H882" s="520"/>
      <c r="I882" s="520"/>
      <c r="J882" s="520"/>
      <c r="K882" s="1122"/>
      <c r="L882" s="520"/>
      <c r="M882" s="520"/>
      <c r="N882" s="520"/>
      <c r="O882" s="520"/>
      <c r="P882" s="1122"/>
      <c r="Q882" s="520"/>
      <c r="R882" s="520"/>
      <c r="S882" s="520"/>
      <c r="T882" s="520"/>
      <c r="U882" s="1122"/>
      <c r="V882" s="520"/>
      <c r="W882" s="520"/>
      <c r="X882" s="520"/>
      <c r="Y882" s="520"/>
      <c r="Z882" s="1122"/>
      <c r="AA882" s="520"/>
      <c r="AB882" s="520"/>
      <c r="AC882" s="520"/>
      <c r="AD882" s="520"/>
      <c r="AE882" s="1122"/>
      <c r="AF882" s="520"/>
      <c r="AG882" s="520"/>
      <c r="AH882" s="520"/>
      <c r="AI882" s="520"/>
      <c r="AJ882" s="1122"/>
      <c r="AK882" s="520"/>
      <c r="AL882" s="520"/>
      <c r="AM882" s="520"/>
      <c r="AN882" s="520"/>
      <c r="AO882" s="1122"/>
      <c r="AP882" s="520"/>
      <c r="AQ882" s="520"/>
      <c r="AR882" s="520"/>
      <c r="AS882" s="520"/>
      <c r="AT882" s="1123">
        <v>425.92</v>
      </c>
      <c r="AU882" s="520"/>
      <c r="AV882" s="520"/>
      <c r="AW882" s="520"/>
      <c r="AX882" s="520"/>
      <c r="AY882" s="1123">
        <v>425.92</v>
      </c>
      <c r="AZ882" s="520"/>
      <c r="BA882" s="520"/>
      <c r="BB882" s="520"/>
      <c r="BC882" s="520"/>
      <c r="BD882" s="1123">
        <v>425.92</v>
      </c>
      <c r="BE882" s="520"/>
      <c r="BF882" s="520"/>
      <c r="BG882" s="520"/>
      <c r="BH882" s="520"/>
      <c r="BI882" s="1122"/>
      <c r="BJ882" s="520"/>
      <c r="BK882" s="520"/>
      <c r="BL882" s="520"/>
      <c r="BM882" s="520"/>
      <c r="BN882" s="1122"/>
      <c r="BO882" s="520"/>
      <c r="BP882" s="520"/>
      <c r="BQ882" s="520"/>
      <c r="BR882" s="520"/>
      <c r="BS882" s="1122"/>
      <c r="BT882" s="728"/>
      <c r="BU882" s="520"/>
      <c r="BV882" s="520"/>
      <c r="BW882" s="520"/>
      <c r="BX882" s="1122"/>
      <c r="BY882" s="520"/>
      <c r="BZ882" s="520"/>
      <c r="CA882" s="520"/>
      <c r="CB882" s="520"/>
      <c r="CC882" s="1122"/>
      <c r="CD882" s="1122"/>
      <c r="CE882" s="1122"/>
      <c r="CF882" s="1122"/>
      <c r="CG882" s="519"/>
    </row>
    <row r="883" spans="1:85" s="614" customFormat="1" x14ac:dyDescent="0.3">
      <c r="A883" s="522"/>
      <c r="B883" s="352"/>
      <c r="C883" s="1094"/>
      <c r="D883" s="1094"/>
      <c r="E883" s="1094"/>
      <c r="F883" s="1094"/>
      <c r="G883" s="197"/>
      <c r="H883" s="197"/>
      <c r="I883" s="197"/>
      <c r="J883" s="197"/>
      <c r="K883" s="1094"/>
      <c r="L883" s="197"/>
      <c r="M883" s="197"/>
      <c r="N883" s="197"/>
      <c r="O883" s="197"/>
      <c r="P883" s="1094"/>
      <c r="Q883" s="197"/>
      <c r="R883" s="197"/>
      <c r="S883" s="197"/>
      <c r="T883" s="197"/>
      <c r="U883" s="1094"/>
      <c r="V883" s="197"/>
      <c r="W883" s="197"/>
      <c r="X883" s="197"/>
      <c r="Y883" s="197"/>
      <c r="Z883" s="1094"/>
      <c r="AA883" s="197"/>
      <c r="AB883" s="197"/>
      <c r="AC883" s="197"/>
      <c r="AD883" s="197"/>
      <c r="AE883" s="1094"/>
      <c r="AF883" s="197"/>
      <c r="AG883" s="197"/>
      <c r="AH883" s="197"/>
      <c r="AI883" s="197"/>
      <c r="AJ883" s="1094"/>
      <c r="AK883" s="197"/>
      <c r="AL883" s="197"/>
      <c r="AM883" s="197"/>
      <c r="AN883" s="197"/>
      <c r="AO883" s="1094"/>
      <c r="AP883" s="197"/>
      <c r="AQ883" s="197"/>
      <c r="AR883" s="197"/>
      <c r="AS883" s="197"/>
      <c r="AT883" s="198"/>
      <c r="AU883" s="197"/>
      <c r="AV883" s="197"/>
      <c r="AW883" s="197"/>
      <c r="AX883" s="197"/>
      <c r="AY883" s="198"/>
      <c r="AZ883" s="197"/>
      <c r="BA883" s="197"/>
      <c r="BB883" s="197"/>
      <c r="BC883" s="197"/>
      <c r="BD883" s="198"/>
      <c r="BE883" s="197"/>
      <c r="BF883" s="197"/>
      <c r="BG883" s="197"/>
      <c r="BH883" s="197"/>
      <c r="BI883" s="1094"/>
      <c r="BJ883" s="197"/>
      <c r="BK883" s="197"/>
      <c r="BL883" s="197"/>
      <c r="BM883" s="197"/>
      <c r="BN883" s="1094"/>
      <c r="BO883" s="197"/>
      <c r="BP883" s="197"/>
      <c r="BQ883" s="197"/>
      <c r="BR883" s="197"/>
      <c r="BS883" s="1094"/>
      <c r="BT883" s="727"/>
      <c r="BU883" s="197"/>
      <c r="BV883" s="197"/>
      <c r="BW883" s="197"/>
      <c r="BX883" s="1094"/>
      <c r="BY883" s="197"/>
      <c r="BZ883" s="197"/>
      <c r="CA883" s="197"/>
      <c r="CB883" s="197"/>
      <c r="CC883" s="1094"/>
      <c r="CD883" s="1094"/>
      <c r="CE883" s="1094"/>
      <c r="CF883" s="1094"/>
      <c r="CG883" s="349"/>
    </row>
    <row r="884" spans="1:85" s="613" customFormat="1" x14ac:dyDescent="0.3">
      <c r="A884" s="478" t="s">
        <v>1506</v>
      </c>
      <c r="B884" s="523"/>
      <c r="C884" s="78"/>
      <c r="D884" s="78"/>
      <c r="E884" s="78"/>
      <c r="F884" s="78"/>
      <c r="G884" s="774"/>
      <c r="H884" s="774"/>
      <c r="I884" s="774"/>
      <c r="J884" s="774"/>
      <c r="K884" s="78"/>
      <c r="L884" s="774"/>
      <c r="M884" s="774"/>
      <c r="N884" s="774"/>
      <c r="O884" s="774"/>
      <c r="P884" s="78"/>
      <c r="Q884" s="774"/>
      <c r="R884" s="774"/>
      <c r="S884" s="774"/>
      <c r="T884" s="774"/>
      <c r="U884" s="78"/>
      <c r="V884" s="774"/>
      <c r="W884" s="774"/>
      <c r="X884" s="774"/>
      <c r="Y884" s="774"/>
      <c r="Z884" s="78"/>
      <c r="AA884" s="774"/>
      <c r="AB884" s="774"/>
      <c r="AC884" s="774"/>
      <c r="AD884" s="774"/>
      <c r="AE884" s="78"/>
      <c r="AF884" s="774"/>
      <c r="AG884" s="774"/>
      <c r="AH884" s="774"/>
      <c r="AI884" s="774"/>
      <c r="AJ884" s="78"/>
      <c r="AK884" s="774"/>
      <c r="AL884" s="774"/>
      <c r="AM884" s="774"/>
      <c r="AN884" s="774"/>
      <c r="AO884" s="78"/>
      <c r="AP884" s="774"/>
      <c r="AQ884" s="774"/>
      <c r="AR884" s="774"/>
      <c r="AS884" s="774"/>
      <c r="AT884" s="1119">
        <v>2.96</v>
      </c>
      <c r="AU884" s="774"/>
      <c r="AV884" s="774"/>
      <c r="AW884" s="774"/>
      <c r="AX884" s="774"/>
      <c r="AY884" s="1119">
        <v>2.96</v>
      </c>
      <c r="AZ884" s="774"/>
      <c r="BA884" s="774"/>
      <c r="BB884" s="774"/>
      <c r="BC884" s="774"/>
      <c r="BD884" s="1119">
        <v>2.96</v>
      </c>
      <c r="BE884" s="774"/>
      <c r="BF884" s="774"/>
      <c r="BG884" s="774"/>
      <c r="BH884" s="774"/>
      <c r="BI884" s="78"/>
      <c r="BJ884" s="774"/>
      <c r="BK884" s="774"/>
      <c r="BL884" s="774"/>
      <c r="BM884" s="774"/>
      <c r="BN884" s="78"/>
      <c r="BO884" s="774"/>
      <c r="BP884" s="774"/>
      <c r="BQ884" s="774"/>
      <c r="BR884" s="774"/>
      <c r="BS884" s="78"/>
      <c r="BT884" s="775"/>
      <c r="BU884" s="774"/>
      <c r="BV884" s="774"/>
      <c r="BW884" s="774"/>
      <c r="BX884" s="78"/>
      <c r="BY884" s="774"/>
      <c r="BZ884" s="774"/>
      <c r="CA884" s="774"/>
      <c r="CB884" s="774"/>
      <c r="CC884" s="78"/>
      <c r="CD884" s="78"/>
      <c r="CE884" s="78"/>
      <c r="CF884" s="78"/>
      <c r="CG884" s="532"/>
    </row>
    <row r="885" spans="1:85" s="615" customFormat="1" x14ac:dyDescent="0.3">
      <c r="A885" s="522" t="s">
        <v>1505</v>
      </c>
      <c r="B885" s="521"/>
      <c r="C885" s="1122"/>
      <c r="D885" s="1122"/>
      <c r="E885" s="1122"/>
      <c r="F885" s="1122"/>
      <c r="G885" s="520"/>
      <c r="H885" s="520"/>
      <c r="I885" s="520"/>
      <c r="J885" s="520"/>
      <c r="K885" s="1122"/>
      <c r="L885" s="520"/>
      <c r="M885" s="520"/>
      <c r="N885" s="520"/>
      <c r="O885" s="520"/>
      <c r="P885" s="1122"/>
      <c r="Q885" s="520"/>
      <c r="R885" s="520"/>
      <c r="S885" s="520"/>
      <c r="T885" s="520"/>
      <c r="U885" s="1122"/>
      <c r="V885" s="520"/>
      <c r="W885" s="520"/>
      <c r="X885" s="520"/>
      <c r="Y885" s="520"/>
      <c r="Z885" s="1122"/>
      <c r="AA885" s="520"/>
      <c r="AB885" s="520"/>
      <c r="AC885" s="520"/>
      <c r="AD885" s="520"/>
      <c r="AE885" s="1122"/>
      <c r="AF885" s="520"/>
      <c r="AG885" s="520"/>
      <c r="AH885" s="520"/>
      <c r="AI885" s="520"/>
      <c r="AJ885" s="1122"/>
      <c r="AK885" s="520"/>
      <c r="AL885" s="520"/>
      <c r="AM885" s="520"/>
      <c r="AN885" s="520"/>
      <c r="AO885" s="1122"/>
      <c r="AP885" s="520"/>
      <c r="AQ885" s="520"/>
      <c r="AR885" s="520"/>
      <c r="AS885" s="520"/>
      <c r="AT885" s="1123">
        <v>485.64</v>
      </c>
      <c r="AU885" s="520"/>
      <c r="AV885" s="520"/>
      <c r="AW885" s="520"/>
      <c r="AX885" s="520"/>
      <c r="AY885" s="1123">
        <v>485.64</v>
      </c>
      <c r="AZ885" s="520"/>
      <c r="BA885" s="520"/>
      <c r="BB885" s="520"/>
      <c r="BC885" s="520"/>
      <c r="BD885" s="1123">
        <v>485.64</v>
      </c>
      <c r="BE885" s="520"/>
      <c r="BF885" s="520"/>
      <c r="BG885" s="520"/>
      <c r="BH885" s="520"/>
      <c r="BI885" s="1122"/>
      <c r="BJ885" s="520"/>
      <c r="BK885" s="520"/>
      <c r="BL885" s="520"/>
      <c r="BM885" s="520"/>
      <c r="BN885" s="1122"/>
      <c r="BO885" s="520"/>
      <c r="BP885" s="520"/>
      <c r="BQ885" s="520"/>
      <c r="BR885" s="520"/>
      <c r="BS885" s="1122"/>
      <c r="BT885" s="728"/>
      <c r="BU885" s="520"/>
      <c r="BV885" s="520"/>
      <c r="BW885" s="520"/>
      <c r="BX885" s="1122"/>
      <c r="BY885" s="520"/>
      <c r="BZ885" s="520"/>
      <c r="CA885" s="520"/>
      <c r="CB885" s="520"/>
      <c r="CC885" s="1122"/>
      <c r="CD885" s="1122"/>
      <c r="CE885" s="1122"/>
      <c r="CF885" s="1122"/>
      <c r="CG885" s="519"/>
    </row>
    <row r="886" spans="1:85" s="614" customFormat="1" x14ac:dyDescent="0.3">
      <c r="A886" s="522"/>
      <c r="B886" s="352"/>
      <c r="C886" s="1094"/>
      <c r="D886" s="1094"/>
      <c r="E886" s="1094"/>
      <c r="F886" s="1094"/>
      <c r="G886" s="197"/>
      <c r="H886" s="197"/>
      <c r="I886" s="197"/>
      <c r="J886" s="197"/>
      <c r="K886" s="1094"/>
      <c r="L886" s="197"/>
      <c r="M886" s="197"/>
      <c r="N886" s="197"/>
      <c r="O886" s="197"/>
      <c r="P886" s="1094"/>
      <c r="Q886" s="197"/>
      <c r="R886" s="197"/>
      <c r="S886" s="197"/>
      <c r="T886" s="197"/>
      <c r="U886" s="1094"/>
      <c r="V886" s="197"/>
      <c r="W886" s="197"/>
      <c r="X886" s="197"/>
      <c r="Y886" s="197"/>
      <c r="Z886" s="1094"/>
      <c r="AA886" s="197"/>
      <c r="AB886" s="197"/>
      <c r="AC886" s="197"/>
      <c r="AD886" s="197"/>
      <c r="AE886" s="1094"/>
      <c r="AF886" s="197"/>
      <c r="AG886" s="197"/>
      <c r="AH886" s="197"/>
      <c r="AI886" s="197"/>
      <c r="AJ886" s="1094"/>
      <c r="AK886" s="197"/>
      <c r="AL886" s="197"/>
      <c r="AM886" s="197"/>
      <c r="AN886" s="197"/>
      <c r="AO886" s="1094"/>
      <c r="AP886" s="197"/>
      <c r="AQ886" s="197"/>
      <c r="AR886" s="197"/>
      <c r="AS886" s="197"/>
      <c r="AT886" s="198"/>
      <c r="AU886" s="197"/>
      <c r="AV886" s="197"/>
      <c r="AW886" s="197"/>
      <c r="AX886" s="197"/>
      <c r="AY886" s="198"/>
      <c r="AZ886" s="197"/>
      <c r="BA886" s="197"/>
      <c r="BB886" s="197"/>
      <c r="BC886" s="197"/>
      <c r="BD886" s="198"/>
      <c r="BE886" s="197"/>
      <c r="BF886" s="197"/>
      <c r="BG886" s="197"/>
      <c r="BH886" s="197"/>
      <c r="BI886" s="1094"/>
      <c r="BJ886" s="197"/>
      <c r="BK886" s="197"/>
      <c r="BL886" s="197"/>
      <c r="BM886" s="197"/>
      <c r="BN886" s="1094"/>
      <c r="BO886" s="197"/>
      <c r="BP886" s="197"/>
      <c r="BQ886" s="197"/>
      <c r="BR886" s="197"/>
      <c r="BS886" s="1094"/>
      <c r="BT886" s="727"/>
      <c r="BU886" s="197"/>
      <c r="BV886" s="197"/>
      <c r="BW886" s="197"/>
      <c r="BX886" s="1094"/>
      <c r="BY886" s="197"/>
      <c r="BZ886" s="197"/>
      <c r="CA886" s="197"/>
      <c r="CB886" s="197"/>
      <c r="CC886" s="1094"/>
      <c r="CD886" s="1094"/>
      <c r="CE886" s="1094"/>
      <c r="CF886" s="1094"/>
      <c r="CG886" s="349"/>
    </row>
    <row r="887" spans="1:85" s="613" customFormat="1" x14ac:dyDescent="0.3">
      <c r="A887" s="478" t="s">
        <v>1504</v>
      </c>
      <c r="B887" s="523"/>
      <c r="C887" s="78"/>
      <c r="D887" s="78"/>
      <c r="E887" s="78"/>
      <c r="F887" s="78"/>
      <c r="G887" s="774"/>
      <c r="H887" s="774"/>
      <c r="I887" s="774"/>
      <c r="J887" s="774"/>
      <c r="K887" s="78"/>
      <c r="L887" s="774"/>
      <c r="M887" s="774"/>
      <c r="N887" s="774"/>
      <c r="O887" s="774"/>
      <c r="P887" s="78"/>
      <c r="Q887" s="774"/>
      <c r="R887" s="774"/>
      <c r="S887" s="774"/>
      <c r="T887" s="774"/>
      <c r="U887" s="78"/>
      <c r="V887" s="774"/>
      <c r="W887" s="774"/>
      <c r="X887" s="774"/>
      <c r="Y887" s="774"/>
      <c r="Z887" s="78"/>
      <c r="AA887" s="774"/>
      <c r="AB887" s="774"/>
      <c r="AC887" s="774"/>
      <c r="AD887" s="774"/>
      <c r="AE887" s="78"/>
      <c r="AF887" s="774"/>
      <c r="AG887" s="774"/>
      <c r="AH887" s="774"/>
      <c r="AI887" s="774"/>
      <c r="AJ887" s="78"/>
      <c r="AK887" s="774"/>
      <c r="AL887" s="774"/>
      <c r="AM887" s="774"/>
      <c r="AN887" s="774"/>
      <c r="AO887" s="78"/>
      <c r="AP887" s="774"/>
      <c r="AQ887" s="774"/>
      <c r="AR887" s="774"/>
      <c r="AS887" s="774"/>
      <c r="AT887" s="1119">
        <v>2.883</v>
      </c>
      <c r="AU887" s="774"/>
      <c r="AV887" s="774"/>
      <c r="AW887" s="774"/>
      <c r="AX887" s="774"/>
      <c r="AY887" s="1119">
        <v>2.883</v>
      </c>
      <c r="AZ887" s="774"/>
      <c r="BA887" s="774"/>
      <c r="BB887" s="774"/>
      <c r="BC887" s="774"/>
      <c r="BD887" s="1119">
        <v>2.883</v>
      </c>
      <c r="BE887" s="774"/>
      <c r="BF887" s="774"/>
      <c r="BG887" s="774"/>
      <c r="BH887" s="774"/>
      <c r="BI887" s="78"/>
      <c r="BJ887" s="774"/>
      <c r="BK887" s="774"/>
      <c r="BL887" s="774"/>
      <c r="BM887" s="774"/>
      <c r="BN887" s="78"/>
      <c r="BO887" s="774"/>
      <c r="BP887" s="774"/>
      <c r="BQ887" s="774"/>
      <c r="BR887" s="774"/>
      <c r="BS887" s="78"/>
      <c r="BT887" s="775"/>
      <c r="BU887" s="774"/>
      <c r="BV887" s="774"/>
      <c r="BW887" s="774"/>
      <c r="BX887" s="78"/>
      <c r="BY887" s="774"/>
      <c r="BZ887" s="774"/>
      <c r="CA887" s="774"/>
      <c r="CB887" s="774"/>
      <c r="CC887" s="78"/>
      <c r="CD887" s="78"/>
      <c r="CE887" s="78"/>
      <c r="CF887" s="78"/>
      <c r="CG887" s="532"/>
    </row>
    <row r="888" spans="1:85" s="615" customFormat="1" x14ac:dyDescent="0.3">
      <c r="A888" s="522" t="s">
        <v>1503</v>
      </c>
      <c r="B888" s="521"/>
      <c r="C888" s="1122"/>
      <c r="D888" s="1122"/>
      <c r="E888" s="1122"/>
      <c r="F888" s="1122"/>
      <c r="G888" s="520"/>
      <c r="H888" s="520"/>
      <c r="I888" s="520"/>
      <c r="J888" s="520"/>
      <c r="K888" s="1122"/>
      <c r="L888" s="520"/>
      <c r="M888" s="520"/>
      <c r="N888" s="520"/>
      <c r="O888" s="520"/>
      <c r="P888" s="1122"/>
      <c r="Q888" s="520"/>
      <c r="R888" s="520"/>
      <c r="S888" s="520"/>
      <c r="T888" s="520"/>
      <c r="U888" s="1122"/>
      <c r="V888" s="520"/>
      <c r="W888" s="520"/>
      <c r="X888" s="520"/>
      <c r="Y888" s="520"/>
      <c r="Z888" s="1122"/>
      <c r="AA888" s="520"/>
      <c r="AB888" s="520"/>
      <c r="AC888" s="520"/>
      <c r="AD888" s="520"/>
      <c r="AE888" s="1122"/>
      <c r="AF888" s="520"/>
      <c r="AG888" s="520"/>
      <c r="AH888" s="520"/>
      <c r="AI888" s="520"/>
      <c r="AJ888" s="1122"/>
      <c r="AK888" s="520"/>
      <c r="AL888" s="520"/>
      <c r="AM888" s="520"/>
      <c r="AN888" s="520"/>
      <c r="AO888" s="1122"/>
      <c r="AP888" s="520"/>
      <c r="AQ888" s="520"/>
      <c r="AR888" s="520"/>
      <c r="AS888" s="520"/>
      <c r="AT888" s="1123">
        <v>498.62</v>
      </c>
      <c r="AU888" s="520"/>
      <c r="AV888" s="520"/>
      <c r="AW888" s="520"/>
      <c r="AX888" s="520"/>
      <c r="AY888" s="1123">
        <v>498.62</v>
      </c>
      <c r="AZ888" s="520"/>
      <c r="BA888" s="520"/>
      <c r="BB888" s="520"/>
      <c r="BC888" s="520"/>
      <c r="BD888" s="1123">
        <v>498.62</v>
      </c>
      <c r="BE888" s="520"/>
      <c r="BF888" s="520"/>
      <c r="BG888" s="520"/>
      <c r="BH888" s="520"/>
      <c r="BI888" s="1122"/>
      <c r="BJ888" s="520"/>
      <c r="BK888" s="520"/>
      <c r="BL888" s="520"/>
      <c r="BM888" s="520"/>
      <c r="BN888" s="1122"/>
      <c r="BO888" s="520"/>
      <c r="BP888" s="520"/>
      <c r="BQ888" s="520"/>
      <c r="BR888" s="520"/>
      <c r="BS888" s="1122"/>
      <c r="BT888" s="728"/>
      <c r="BU888" s="520"/>
      <c r="BV888" s="520"/>
      <c r="BW888" s="520"/>
      <c r="BX888" s="1122"/>
      <c r="BY888" s="520"/>
      <c r="BZ888" s="520"/>
      <c r="CA888" s="520"/>
      <c r="CB888" s="520"/>
      <c r="CC888" s="1122"/>
      <c r="CD888" s="1122"/>
      <c r="CE888" s="1122"/>
      <c r="CF888" s="1122"/>
      <c r="CG888" s="519"/>
    </row>
    <row r="889" spans="1:85" s="614" customFormat="1" x14ac:dyDescent="0.3">
      <c r="A889" s="522"/>
      <c r="B889" s="352"/>
      <c r="C889" s="1094"/>
      <c r="D889" s="1094"/>
      <c r="E889" s="1094"/>
      <c r="F889" s="1094"/>
      <c r="G889" s="197"/>
      <c r="H889" s="197"/>
      <c r="I889" s="197"/>
      <c r="J889" s="197"/>
      <c r="K889" s="1094"/>
      <c r="L889" s="197"/>
      <c r="M889" s="197"/>
      <c r="N889" s="197"/>
      <c r="O889" s="197"/>
      <c r="P889" s="1094"/>
      <c r="Q889" s="197"/>
      <c r="R889" s="197"/>
      <c r="S889" s="197"/>
      <c r="T889" s="197"/>
      <c r="U889" s="1094"/>
      <c r="V889" s="197"/>
      <c r="W889" s="197"/>
      <c r="X889" s="197"/>
      <c r="Y889" s="197"/>
      <c r="Z889" s="1094"/>
      <c r="AA889" s="197"/>
      <c r="AB889" s="197"/>
      <c r="AC889" s="197"/>
      <c r="AD889" s="197"/>
      <c r="AE889" s="1094"/>
      <c r="AF889" s="197"/>
      <c r="AG889" s="197"/>
      <c r="AH889" s="197"/>
      <c r="AI889" s="197"/>
      <c r="AJ889" s="1094"/>
      <c r="AK889" s="197"/>
      <c r="AL889" s="197"/>
      <c r="AM889" s="197"/>
      <c r="AN889" s="197"/>
      <c r="AO889" s="1094"/>
      <c r="AP889" s="197"/>
      <c r="AQ889" s="197"/>
      <c r="AR889" s="197"/>
      <c r="AS889" s="197"/>
      <c r="AT889" s="198"/>
      <c r="AU889" s="197"/>
      <c r="AV889" s="197"/>
      <c r="AW889" s="197"/>
      <c r="AX889" s="197"/>
      <c r="AY889" s="198"/>
      <c r="AZ889" s="197"/>
      <c r="BA889" s="197"/>
      <c r="BB889" s="197"/>
      <c r="BC889" s="197"/>
      <c r="BD889" s="198"/>
      <c r="BE889" s="197"/>
      <c r="BF889" s="197"/>
      <c r="BG889" s="197"/>
      <c r="BH889" s="197"/>
      <c r="BI889" s="1094"/>
      <c r="BJ889" s="197"/>
      <c r="BK889" s="197"/>
      <c r="BL889" s="197"/>
      <c r="BM889" s="197"/>
      <c r="BN889" s="1094"/>
      <c r="BO889" s="197"/>
      <c r="BP889" s="197"/>
      <c r="BQ889" s="197"/>
      <c r="BR889" s="197"/>
      <c r="BS889" s="1094"/>
      <c r="BT889" s="727"/>
      <c r="BU889" s="197"/>
      <c r="BV889" s="197"/>
      <c r="BW889" s="197"/>
      <c r="BX889" s="1094"/>
      <c r="BY889" s="197"/>
      <c r="BZ889" s="197"/>
      <c r="CA889" s="197"/>
      <c r="CB889" s="197"/>
      <c r="CC889" s="1094"/>
      <c r="CD889" s="1094"/>
      <c r="CE889" s="1094"/>
      <c r="CF889" s="1094"/>
      <c r="CG889" s="349"/>
    </row>
    <row r="890" spans="1:85" s="613" customFormat="1" x14ac:dyDescent="0.3">
      <c r="A890" s="478" t="s">
        <v>1502</v>
      </c>
      <c r="B890" s="523"/>
      <c r="C890" s="78"/>
      <c r="D890" s="78"/>
      <c r="E890" s="78"/>
      <c r="F890" s="78"/>
      <c r="G890" s="774"/>
      <c r="H890" s="774"/>
      <c r="I890" s="774"/>
      <c r="J890" s="774"/>
      <c r="K890" s="78"/>
      <c r="L890" s="774"/>
      <c r="M890" s="774"/>
      <c r="N890" s="774"/>
      <c r="O890" s="774"/>
      <c r="P890" s="78"/>
      <c r="Q890" s="774"/>
      <c r="R890" s="774"/>
      <c r="S890" s="774"/>
      <c r="T890" s="774"/>
      <c r="U890" s="78"/>
      <c r="V890" s="774"/>
      <c r="W890" s="774"/>
      <c r="X890" s="774"/>
      <c r="Y890" s="774"/>
      <c r="Z890" s="78"/>
      <c r="AA890" s="774"/>
      <c r="AB890" s="774"/>
      <c r="AC890" s="774"/>
      <c r="AD890" s="774"/>
      <c r="AE890" s="78"/>
      <c r="AF890" s="774"/>
      <c r="AG890" s="774"/>
      <c r="AH890" s="774"/>
      <c r="AI890" s="774"/>
      <c r="AJ890" s="78"/>
      <c r="AK890" s="774"/>
      <c r="AL890" s="774"/>
      <c r="AM890" s="774"/>
      <c r="AN890" s="774"/>
      <c r="AO890" s="78"/>
      <c r="AP890" s="774"/>
      <c r="AQ890" s="774"/>
      <c r="AR890" s="774"/>
      <c r="AS890" s="774"/>
      <c r="AT890" s="1119">
        <v>2.5830000000000002</v>
      </c>
      <c r="AU890" s="774"/>
      <c r="AV890" s="774"/>
      <c r="AW890" s="774"/>
      <c r="AX890" s="774"/>
      <c r="AY890" s="1119">
        <v>2.5830000000000002</v>
      </c>
      <c r="AZ890" s="774"/>
      <c r="BA890" s="774"/>
      <c r="BB890" s="774"/>
      <c r="BC890" s="774"/>
      <c r="BD890" s="1119">
        <v>2.5830000000000002</v>
      </c>
      <c r="BE890" s="774"/>
      <c r="BF890" s="774"/>
      <c r="BG890" s="774"/>
      <c r="BH890" s="774"/>
      <c r="BI890" s="78"/>
      <c r="BJ890" s="774"/>
      <c r="BK890" s="774"/>
      <c r="BL890" s="774"/>
      <c r="BM890" s="774"/>
      <c r="BN890" s="78"/>
      <c r="BO890" s="774"/>
      <c r="BP890" s="774"/>
      <c r="BQ890" s="774"/>
      <c r="BR890" s="774"/>
      <c r="BS890" s="78"/>
      <c r="BT890" s="775"/>
      <c r="BU890" s="774"/>
      <c r="BV890" s="774"/>
      <c r="BW890" s="774"/>
      <c r="BX890" s="78"/>
      <c r="BY890" s="774"/>
      <c r="BZ890" s="774"/>
      <c r="CA890" s="774"/>
      <c r="CB890" s="774"/>
      <c r="CC890" s="78"/>
      <c r="CD890" s="78"/>
      <c r="CE890" s="78"/>
      <c r="CF890" s="78"/>
      <c r="CG890" s="532"/>
    </row>
    <row r="891" spans="1:85" s="615" customFormat="1" x14ac:dyDescent="0.3">
      <c r="A891" s="522" t="s">
        <v>1501</v>
      </c>
      <c r="B891" s="521"/>
      <c r="C891" s="1122"/>
      <c r="D891" s="1122"/>
      <c r="E891" s="1122"/>
      <c r="F891" s="1122"/>
      <c r="G891" s="520"/>
      <c r="H891" s="520"/>
      <c r="I891" s="520"/>
      <c r="J891" s="520"/>
      <c r="K891" s="1122"/>
      <c r="L891" s="520"/>
      <c r="M891" s="520"/>
      <c r="N891" s="520"/>
      <c r="O891" s="520"/>
      <c r="P891" s="1122"/>
      <c r="Q891" s="520"/>
      <c r="R891" s="520"/>
      <c r="S891" s="520"/>
      <c r="T891" s="520"/>
      <c r="U891" s="1122"/>
      <c r="V891" s="520"/>
      <c r="W891" s="520"/>
      <c r="X891" s="520"/>
      <c r="Y891" s="520"/>
      <c r="Z891" s="1122"/>
      <c r="AA891" s="520"/>
      <c r="AB891" s="520"/>
      <c r="AC891" s="520"/>
      <c r="AD891" s="520"/>
      <c r="AE891" s="1122"/>
      <c r="AF891" s="520"/>
      <c r="AG891" s="520"/>
      <c r="AH891" s="520"/>
      <c r="AI891" s="520"/>
      <c r="AJ891" s="1122"/>
      <c r="AK891" s="520"/>
      <c r="AL891" s="520"/>
      <c r="AM891" s="520"/>
      <c r="AN891" s="520"/>
      <c r="AO891" s="1122"/>
      <c r="AP891" s="520"/>
      <c r="AQ891" s="520"/>
      <c r="AR891" s="520"/>
      <c r="AS891" s="520"/>
      <c r="AT891" s="1123">
        <v>556.54999999999995</v>
      </c>
      <c r="AU891" s="520"/>
      <c r="AV891" s="520"/>
      <c r="AW891" s="520"/>
      <c r="AX891" s="520"/>
      <c r="AY891" s="1123">
        <v>556.54999999999995</v>
      </c>
      <c r="AZ891" s="520"/>
      <c r="BA891" s="520"/>
      <c r="BB891" s="520"/>
      <c r="BC891" s="520"/>
      <c r="BD891" s="1123">
        <v>556.54999999999995</v>
      </c>
      <c r="BE891" s="520"/>
      <c r="BF891" s="520"/>
      <c r="BG891" s="520"/>
      <c r="BH891" s="520"/>
      <c r="BI891" s="1122"/>
      <c r="BJ891" s="520"/>
      <c r="BK891" s="520"/>
      <c r="BL891" s="520"/>
      <c r="BM891" s="520"/>
      <c r="BN891" s="1122"/>
      <c r="BO891" s="520"/>
      <c r="BP891" s="520"/>
      <c r="BQ891" s="520"/>
      <c r="BR891" s="520"/>
      <c r="BS891" s="1122"/>
      <c r="BT891" s="728"/>
      <c r="BU891" s="520"/>
      <c r="BV891" s="520"/>
      <c r="BW891" s="520"/>
      <c r="BX891" s="1122"/>
      <c r="BY891" s="520"/>
      <c r="BZ891" s="520"/>
      <c r="CA891" s="520"/>
      <c r="CB891" s="520"/>
      <c r="CC891" s="1122"/>
      <c r="CD891" s="1122"/>
      <c r="CE891" s="1122"/>
      <c r="CF891" s="1122"/>
      <c r="CG891" s="519"/>
    </row>
    <row r="892" spans="1:85" s="614" customFormat="1" x14ac:dyDescent="0.3">
      <c r="A892" s="522"/>
      <c r="B892" s="352"/>
      <c r="C892" s="1094"/>
      <c r="D892" s="1094"/>
      <c r="E892" s="1094"/>
      <c r="F892" s="1094"/>
      <c r="G892" s="197"/>
      <c r="H892" s="197"/>
      <c r="I892" s="197"/>
      <c r="J892" s="197"/>
      <c r="K892" s="1094"/>
      <c r="L892" s="197"/>
      <c r="M892" s="197"/>
      <c r="N892" s="197"/>
      <c r="O892" s="197"/>
      <c r="P892" s="1094"/>
      <c r="Q892" s="197"/>
      <c r="R892" s="197"/>
      <c r="S892" s="197"/>
      <c r="T892" s="197"/>
      <c r="U892" s="1094"/>
      <c r="V892" s="197"/>
      <c r="W892" s="197"/>
      <c r="X892" s="197"/>
      <c r="Y892" s="197"/>
      <c r="Z892" s="1094"/>
      <c r="AA892" s="197"/>
      <c r="AB892" s="197"/>
      <c r="AC892" s="197"/>
      <c r="AD892" s="197"/>
      <c r="AE892" s="1094"/>
      <c r="AF892" s="197"/>
      <c r="AG892" s="197"/>
      <c r="AH892" s="197"/>
      <c r="AI892" s="197"/>
      <c r="AJ892" s="1094"/>
      <c r="AK892" s="197"/>
      <c r="AL892" s="197"/>
      <c r="AM892" s="197"/>
      <c r="AN892" s="197"/>
      <c r="AO892" s="1094"/>
      <c r="AP892" s="197"/>
      <c r="AQ892" s="197"/>
      <c r="AR892" s="197"/>
      <c r="AS892" s="197"/>
      <c r="AT892" s="198"/>
      <c r="AU892" s="197"/>
      <c r="AV892" s="197"/>
      <c r="AW892" s="197"/>
      <c r="AX892" s="197"/>
      <c r="AY892" s="198"/>
      <c r="AZ892" s="197"/>
      <c r="BA892" s="197"/>
      <c r="BB892" s="197"/>
      <c r="BC892" s="197"/>
      <c r="BD892" s="198"/>
      <c r="BE892" s="197"/>
      <c r="BF892" s="197"/>
      <c r="BG892" s="197"/>
      <c r="BH892" s="197"/>
      <c r="BI892" s="1094"/>
      <c r="BJ892" s="197"/>
      <c r="BK892" s="197"/>
      <c r="BL892" s="197"/>
      <c r="BM892" s="197"/>
      <c r="BN892" s="1094"/>
      <c r="BO892" s="197"/>
      <c r="BP892" s="197"/>
      <c r="BQ892" s="197"/>
      <c r="BR892" s="197"/>
      <c r="BS892" s="1094"/>
      <c r="BT892" s="727"/>
      <c r="BU892" s="197"/>
      <c r="BV892" s="197"/>
      <c r="BW892" s="197"/>
      <c r="BX892" s="1094"/>
      <c r="BY892" s="197"/>
      <c r="BZ892" s="197"/>
      <c r="CA892" s="197"/>
      <c r="CB892" s="197"/>
      <c r="CC892" s="1094"/>
      <c r="CD892" s="1094"/>
      <c r="CE892" s="1094"/>
      <c r="CF892" s="1094"/>
      <c r="CG892" s="349"/>
    </row>
    <row r="893" spans="1:85" s="613" customFormat="1" x14ac:dyDescent="0.3">
      <c r="A893" s="478" t="s">
        <v>1500</v>
      </c>
      <c r="B893" s="523"/>
      <c r="C893" s="78"/>
      <c r="D893" s="78"/>
      <c r="E893" s="78"/>
      <c r="F893" s="78"/>
      <c r="G893" s="774"/>
      <c r="H893" s="774"/>
      <c r="I893" s="774"/>
      <c r="J893" s="774"/>
      <c r="K893" s="78"/>
      <c r="L893" s="774"/>
      <c r="M893" s="774"/>
      <c r="N893" s="774"/>
      <c r="O893" s="774"/>
      <c r="P893" s="78"/>
      <c r="Q893" s="774"/>
      <c r="R893" s="774"/>
      <c r="S893" s="774"/>
      <c r="T893" s="774"/>
      <c r="U893" s="78"/>
      <c r="V893" s="774"/>
      <c r="W893" s="774"/>
      <c r="X893" s="774"/>
      <c r="Y893" s="774"/>
      <c r="Z893" s="78"/>
      <c r="AA893" s="774"/>
      <c r="AB893" s="774"/>
      <c r="AC893" s="774"/>
      <c r="AD893" s="774"/>
      <c r="AE893" s="78"/>
      <c r="AF893" s="774"/>
      <c r="AG893" s="774"/>
      <c r="AH893" s="774"/>
      <c r="AI893" s="774"/>
      <c r="AJ893" s="78"/>
      <c r="AK893" s="774"/>
      <c r="AL893" s="774"/>
      <c r="AM893" s="774"/>
      <c r="AN893" s="774"/>
      <c r="AO893" s="78"/>
      <c r="AP893" s="774"/>
      <c r="AQ893" s="774"/>
      <c r="AR893" s="774"/>
      <c r="AS893" s="774"/>
      <c r="AT893" s="1119">
        <v>2.7250000000000001</v>
      </c>
      <c r="AU893" s="774"/>
      <c r="AV893" s="774"/>
      <c r="AW893" s="774"/>
      <c r="AX893" s="774"/>
      <c r="AY893" s="1119">
        <v>2.7250000000000001</v>
      </c>
      <c r="AZ893" s="774"/>
      <c r="BA893" s="774"/>
      <c r="BB893" s="774"/>
      <c r="BC893" s="774"/>
      <c r="BD893" s="1119">
        <v>2.7250000000000001</v>
      </c>
      <c r="BE893" s="774"/>
      <c r="BF893" s="774"/>
      <c r="BG893" s="774"/>
      <c r="BH893" s="774"/>
      <c r="BI893" s="78"/>
      <c r="BJ893" s="774"/>
      <c r="BK893" s="774"/>
      <c r="BL893" s="774"/>
      <c r="BM893" s="774"/>
      <c r="BN893" s="78"/>
      <c r="BO893" s="774"/>
      <c r="BP893" s="774"/>
      <c r="BQ893" s="774"/>
      <c r="BR893" s="774"/>
      <c r="BS893" s="78"/>
      <c r="BT893" s="775"/>
      <c r="BU893" s="774"/>
      <c r="BV893" s="774"/>
      <c r="BW893" s="774"/>
      <c r="BX893" s="78"/>
      <c r="BY893" s="774"/>
      <c r="BZ893" s="774"/>
      <c r="CA893" s="774"/>
      <c r="CB893" s="774"/>
      <c r="CC893" s="78"/>
      <c r="CD893" s="78"/>
      <c r="CE893" s="78"/>
      <c r="CF893" s="78"/>
      <c r="CG893" s="532"/>
    </row>
    <row r="894" spans="1:85" s="615" customFormat="1" x14ac:dyDescent="0.3">
      <c r="A894" s="522" t="s">
        <v>1499</v>
      </c>
      <c r="B894" s="521"/>
      <c r="C894" s="1122"/>
      <c r="D894" s="1122"/>
      <c r="E894" s="1122"/>
      <c r="F894" s="1122"/>
      <c r="G894" s="520"/>
      <c r="H894" s="520"/>
      <c r="I894" s="520"/>
      <c r="J894" s="520"/>
      <c r="K894" s="1122"/>
      <c r="L894" s="520"/>
      <c r="M894" s="520"/>
      <c r="N894" s="520"/>
      <c r="O894" s="520"/>
      <c r="P894" s="1122"/>
      <c r="Q894" s="520"/>
      <c r="R894" s="520"/>
      <c r="S894" s="520"/>
      <c r="T894" s="520"/>
      <c r="U894" s="1122"/>
      <c r="V894" s="520"/>
      <c r="W894" s="520"/>
      <c r="X894" s="520"/>
      <c r="Y894" s="520"/>
      <c r="Z894" s="1122"/>
      <c r="AA894" s="520"/>
      <c r="AB894" s="520"/>
      <c r="AC894" s="520"/>
      <c r="AD894" s="520"/>
      <c r="AE894" s="1122"/>
      <c r="AF894" s="520"/>
      <c r="AG894" s="520"/>
      <c r="AH894" s="520"/>
      <c r="AI894" s="520"/>
      <c r="AJ894" s="1122"/>
      <c r="AK894" s="520"/>
      <c r="AL894" s="520"/>
      <c r="AM894" s="520"/>
      <c r="AN894" s="520"/>
      <c r="AO894" s="1122"/>
      <c r="AP894" s="520"/>
      <c r="AQ894" s="520"/>
      <c r="AR894" s="520"/>
      <c r="AS894" s="520"/>
      <c r="AT894" s="1123">
        <v>527.51</v>
      </c>
      <c r="AU894" s="520"/>
      <c r="AV894" s="520"/>
      <c r="AW894" s="520"/>
      <c r="AX894" s="520"/>
      <c r="AY894" s="1123">
        <v>527.51</v>
      </c>
      <c r="AZ894" s="520"/>
      <c r="BA894" s="520"/>
      <c r="BB894" s="520"/>
      <c r="BC894" s="520"/>
      <c r="BD894" s="1123">
        <v>527.51</v>
      </c>
      <c r="BE894" s="520"/>
      <c r="BF894" s="520"/>
      <c r="BG894" s="520"/>
      <c r="BH894" s="520"/>
      <c r="BI894" s="1122"/>
      <c r="BJ894" s="520"/>
      <c r="BK894" s="520"/>
      <c r="BL894" s="520"/>
      <c r="BM894" s="520"/>
      <c r="BN894" s="1122"/>
      <c r="BO894" s="520"/>
      <c r="BP894" s="520"/>
      <c r="BQ894" s="520"/>
      <c r="BR894" s="520"/>
      <c r="BS894" s="1122"/>
      <c r="BT894" s="728"/>
      <c r="BU894" s="520"/>
      <c r="BV894" s="520"/>
      <c r="BW894" s="520"/>
      <c r="BX894" s="1122"/>
      <c r="BY894" s="520"/>
      <c r="BZ894" s="520"/>
      <c r="CA894" s="520"/>
      <c r="CB894" s="520"/>
      <c r="CC894" s="1122"/>
      <c r="CD894" s="1122"/>
      <c r="CE894" s="1122"/>
      <c r="CF894" s="1122"/>
      <c r="CG894" s="519"/>
    </row>
    <row r="895" spans="1:85" s="614" customFormat="1" x14ac:dyDescent="0.3">
      <c r="A895" s="522"/>
      <c r="B895" s="352"/>
      <c r="C895" s="1094"/>
      <c r="D895" s="1094"/>
      <c r="E895" s="1094"/>
      <c r="F895" s="1094"/>
      <c r="G895" s="197"/>
      <c r="H895" s="197"/>
      <c r="I895" s="197"/>
      <c r="J895" s="197"/>
      <c r="K895" s="1094"/>
      <c r="L895" s="197"/>
      <c r="M895" s="197"/>
      <c r="N895" s="197"/>
      <c r="O895" s="197"/>
      <c r="P895" s="1094"/>
      <c r="Q895" s="197"/>
      <c r="R895" s="197"/>
      <c r="S895" s="197"/>
      <c r="T895" s="197"/>
      <c r="U895" s="1094"/>
      <c r="V895" s="197"/>
      <c r="W895" s="197"/>
      <c r="X895" s="197"/>
      <c r="Y895" s="197"/>
      <c r="Z895" s="1094"/>
      <c r="AA895" s="197"/>
      <c r="AB895" s="197"/>
      <c r="AC895" s="197"/>
      <c r="AD895" s="197"/>
      <c r="AE895" s="1094"/>
      <c r="AF895" s="197"/>
      <c r="AG895" s="197"/>
      <c r="AH895" s="197"/>
      <c r="AI895" s="197"/>
      <c r="AJ895" s="1094"/>
      <c r="AK895" s="197"/>
      <c r="AL895" s="197"/>
      <c r="AM895" s="197"/>
      <c r="AN895" s="197"/>
      <c r="AO895" s="1094"/>
      <c r="AP895" s="197"/>
      <c r="AQ895" s="197"/>
      <c r="AR895" s="197"/>
      <c r="AS895" s="197"/>
      <c r="AT895" s="198"/>
      <c r="AU895" s="197"/>
      <c r="AV895" s="197"/>
      <c r="AW895" s="197"/>
      <c r="AX895" s="197"/>
      <c r="AY895" s="198"/>
      <c r="AZ895" s="197"/>
      <c r="BA895" s="197"/>
      <c r="BB895" s="197"/>
      <c r="BC895" s="197"/>
      <c r="BD895" s="198"/>
      <c r="BE895" s="197"/>
      <c r="BF895" s="197"/>
      <c r="BG895" s="197"/>
      <c r="BH895" s="197"/>
      <c r="BI895" s="1094"/>
      <c r="BJ895" s="197"/>
      <c r="BK895" s="197"/>
      <c r="BL895" s="197"/>
      <c r="BM895" s="197"/>
      <c r="BN895" s="1094"/>
      <c r="BO895" s="197"/>
      <c r="BP895" s="197"/>
      <c r="BQ895" s="197"/>
      <c r="BR895" s="197"/>
      <c r="BS895" s="1094"/>
      <c r="BT895" s="727"/>
      <c r="BU895" s="197"/>
      <c r="BV895" s="197"/>
      <c r="BW895" s="197"/>
      <c r="BX895" s="1094"/>
      <c r="BY895" s="197"/>
      <c r="BZ895" s="197"/>
      <c r="CA895" s="197"/>
      <c r="CB895" s="197"/>
      <c r="CC895" s="1094"/>
      <c r="CD895" s="1094"/>
      <c r="CE895" s="1094"/>
      <c r="CF895" s="1094"/>
      <c r="CG895" s="349"/>
    </row>
    <row r="896" spans="1:85" s="613" customFormat="1" x14ac:dyDescent="0.3">
      <c r="A896" s="478" t="s">
        <v>1498</v>
      </c>
      <c r="B896" s="523"/>
      <c r="C896" s="78"/>
      <c r="D896" s="78"/>
      <c r="E896" s="78"/>
      <c r="F896" s="78"/>
      <c r="G896" s="774"/>
      <c r="H896" s="774"/>
      <c r="I896" s="774"/>
      <c r="J896" s="774"/>
      <c r="K896" s="78"/>
      <c r="L896" s="774"/>
      <c r="M896" s="774"/>
      <c r="N896" s="774"/>
      <c r="O896" s="774"/>
      <c r="P896" s="78"/>
      <c r="Q896" s="774"/>
      <c r="R896" s="774"/>
      <c r="S896" s="774"/>
      <c r="T896" s="774"/>
      <c r="U896" s="78"/>
      <c r="V896" s="774"/>
      <c r="W896" s="774"/>
      <c r="X896" s="774"/>
      <c r="Y896" s="774"/>
      <c r="Z896" s="78"/>
      <c r="AA896" s="774"/>
      <c r="AB896" s="774"/>
      <c r="AC896" s="774"/>
      <c r="AD896" s="774"/>
      <c r="AE896" s="78"/>
      <c r="AF896" s="774"/>
      <c r="AG896" s="774"/>
      <c r="AH896" s="774"/>
      <c r="AI896" s="774"/>
      <c r="AJ896" s="78"/>
      <c r="AK896" s="774"/>
      <c r="AL896" s="774"/>
      <c r="AM896" s="774"/>
      <c r="AN896" s="774"/>
      <c r="AO896" s="78"/>
      <c r="AP896" s="774"/>
      <c r="AQ896" s="774"/>
      <c r="AR896" s="774"/>
      <c r="AS896" s="774"/>
      <c r="AT896" s="1119">
        <v>2.9689999999999999</v>
      </c>
      <c r="AU896" s="774"/>
      <c r="AV896" s="774"/>
      <c r="AW896" s="774"/>
      <c r="AX896" s="774"/>
      <c r="AY896" s="1119">
        <v>2.9689999999999999</v>
      </c>
      <c r="AZ896" s="774"/>
      <c r="BA896" s="774"/>
      <c r="BB896" s="774"/>
      <c r="BC896" s="774"/>
      <c r="BD896" s="1119">
        <v>2.9689999999999999</v>
      </c>
      <c r="BE896" s="774"/>
      <c r="BF896" s="774"/>
      <c r="BG896" s="774"/>
      <c r="BH896" s="774"/>
      <c r="BI896" s="78"/>
      <c r="BJ896" s="774"/>
      <c r="BK896" s="774"/>
      <c r="BL896" s="774"/>
      <c r="BM896" s="774"/>
      <c r="BN896" s="78"/>
      <c r="BO896" s="774"/>
      <c r="BP896" s="774"/>
      <c r="BQ896" s="774"/>
      <c r="BR896" s="774"/>
      <c r="BS896" s="78"/>
      <c r="BT896" s="775"/>
      <c r="BU896" s="774"/>
      <c r="BV896" s="774"/>
      <c r="BW896" s="774"/>
      <c r="BX896" s="78"/>
      <c r="BY896" s="774"/>
      <c r="BZ896" s="774"/>
      <c r="CA896" s="774"/>
      <c r="CB896" s="774"/>
      <c r="CC896" s="78"/>
      <c r="CD896" s="78"/>
      <c r="CE896" s="78"/>
      <c r="CF896" s="78"/>
      <c r="CG896" s="532"/>
    </row>
    <row r="897" spans="1:85" s="615" customFormat="1" x14ac:dyDescent="0.3">
      <c r="A897" s="522" t="s">
        <v>1497</v>
      </c>
      <c r="B897" s="521"/>
      <c r="C897" s="1122"/>
      <c r="D897" s="1122"/>
      <c r="E897" s="1122"/>
      <c r="F897" s="1122"/>
      <c r="G897" s="520"/>
      <c r="H897" s="520"/>
      <c r="I897" s="520"/>
      <c r="J897" s="520"/>
      <c r="K897" s="1122"/>
      <c r="L897" s="520"/>
      <c r="M897" s="520"/>
      <c r="N897" s="520"/>
      <c r="O897" s="520"/>
      <c r="P897" s="1122"/>
      <c r="Q897" s="520"/>
      <c r="R897" s="520"/>
      <c r="S897" s="520"/>
      <c r="T897" s="520"/>
      <c r="U897" s="1122"/>
      <c r="V897" s="520"/>
      <c r="W897" s="520"/>
      <c r="X897" s="520"/>
      <c r="Y897" s="520"/>
      <c r="Z897" s="1122"/>
      <c r="AA897" s="520"/>
      <c r="AB897" s="520"/>
      <c r="AC897" s="520"/>
      <c r="AD897" s="520"/>
      <c r="AE897" s="1122"/>
      <c r="AF897" s="520"/>
      <c r="AG897" s="520"/>
      <c r="AH897" s="520"/>
      <c r="AI897" s="520"/>
      <c r="AJ897" s="1122"/>
      <c r="AK897" s="520"/>
      <c r="AL897" s="520"/>
      <c r="AM897" s="520"/>
      <c r="AN897" s="520"/>
      <c r="AO897" s="1122"/>
      <c r="AP897" s="520"/>
      <c r="AQ897" s="520"/>
      <c r="AR897" s="520"/>
      <c r="AS897" s="520"/>
      <c r="AT897" s="1123">
        <v>484.12</v>
      </c>
      <c r="AU897" s="520"/>
      <c r="AV897" s="520"/>
      <c r="AW897" s="520"/>
      <c r="AX897" s="520"/>
      <c r="AY897" s="1123">
        <v>484.12</v>
      </c>
      <c r="AZ897" s="520"/>
      <c r="BA897" s="520"/>
      <c r="BB897" s="520"/>
      <c r="BC897" s="520"/>
      <c r="BD897" s="1123">
        <v>484.12</v>
      </c>
      <c r="BE897" s="520"/>
      <c r="BF897" s="520"/>
      <c r="BG897" s="520"/>
      <c r="BH897" s="520"/>
      <c r="BI897" s="1122"/>
      <c r="BJ897" s="520"/>
      <c r="BK897" s="520"/>
      <c r="BL897" s="520"/>
      <c r="BM897" s="520"/>
      <c r="BN897" s="1122"/>
      <c r="BO897" s="520"/>
      <c r="BP897" s="520"/>
      <c r="BQ897" s="520"/>
      <c r="BR897" s="520"/>
      <c r="BS897" s="1122"/>
      <c r="BT897" s="728"/>
      <c r="BU897" s="520"/>
      <c r="BV897" s="520"/>
      <c r="BW897" s="520"/>
      <c r="BX897" s="1122"/>
      <c r="BY897" s="520"/>
      <c r="BZ897" s="520"/>
      <c r="CA897" s="520"/>
      <c r="CB897" s="520"/>
      <c r="CC897" s="1122"/>
      <c r="CD897" s="1122"/>
      <c r="CE897" s="1122"/>
      <c r="CF897" s="1122"/>
      <c r="CG897" s="519"/>
    </row>
    <row r="898" spans="1:85" s="614" customFormat="1" x14ac:dyDescent="0.3">
      <c r="A898" s="522"/>
      <c r="B898" s="352"/>
      <c r="C898" s="1094"/>
      <c r="D898" s="1094"/>
      <c r="E898" s="1094"/>
      <c r="F898" s="1094"/>
      <c r="G898" s="197"/>
      <c r="H898" s="197"/>
      <c r="I898" s="197"/>
      <c r="J898" s="197"/>
      <c r="K898" s="1094"/>
      <c r="L898" s="197"/>
      <c r="M898" s="197"/>
      <c r="N898" s="197"/>
      <c r="O898" s="197"/>
      <c r="P898" s="1094"/>
      <c r="Q898" s="197"/>
      <c r="R898" s="197"/>
      <c r="S898" s="197"/>
      <c r="T898" s="197"/>
      <c r="U898" s="1094"/>
      <c r="V898" s="197"/>
      <c r="W898" s="197"/>
      <c r="X898" s="197"/>
      <c r="Y898" s="197"/>
      <c r="Z898" s="1094"/>
      <c r="AA898" s="197"/>
      <c r="AB898" s="197"/>
      <c r="AC898" s="197"/>
      <c r="AD898" s="197"/>
      <c r="AE898" s="1094"/>
      <c r="AF898" s="197"/>
      <c r="AG898" s="197"/>
      <c r="AH898" s="197"/>
      <c r="AI898" s="197"/>
      <c r="AJ898" s="1094"/>
      <c r="AK898" s="197"/>
      <c r="AL898" s="197"/>
      <c r="AM898" s="197"/>
      <c r="AN898" s="197"/>
      <c r="AO898" s="1094"/>
      <c r="AP898" s="197"/>
      <c r="AQ898" s="197"/>
      <c r="AR898" s="197"/>
      <c r="AS898" s="197"/>
      <c r="AT898" s="198"/>
      <c r="AU898" s="197"/>
      <c r="AV898" s="197"/>
      <c r="AW898" s="197"/>
      <c r="AX898" s="197"/>
      <c r="AY898" s="198"/>
      <c r="AZ898" s="197"/>
      <c r="BA898" s="197"/>
      <c r="BB898" s="197"/>
      <c r="BC898" s="197"/>
      <c r="BD898" s="198"/>
      <c r="BE898" s="197"/>
      <c r="BF898" s="197"/>
      <c r="BG898" s="197"/>
      <c r="BH898" s="197"/>
      <c r="BI898" s="1094"/>
      <c r="BJ898" s="197"/>
      <c r="BK898" s="197"/>
      <c r="BL898" s="197"/>
      <c r="BM898" s="197"/>
      <c r="BN898" s="1094"/>
      <c r="BO898" s="197"/>
      <c r="BP898" s="197"/>
      <c r="BQ898" s="197"/>
      <c r="BR898" s="197"/>
      <c r="BS898" s="1094"/>
      <c r="BT898" s="727"/>
      <c r="BU898" s="197"/>
      <c r="BV898" s="197"/>
      <c r="BW898" s="197"/>
      <c r="BX898" s="1094"/>
      <c r="BY898" s="197"/>
      <c r="BZ898" s="197"/>
      <c r="CA898" s="197"/>
      <c r="CB898" s="197"/>
      <c r="CC898" s="1094"/>
      <c r="CD898" s="1094"/>
      <c r="CE898" s="1094"/>
      <c r="CF898" s="1094"/>
      <c r="CG898" s="349"/>
    </row>
    <row r="899" spans="1:85" s="613" customFormat="1" x14ac:dyDescent="0.3">
      <c r="A899" s="478" t="s">
        <v>1496</v>
      </c>
      <c r="B899" s="523"/>
      <c r="C899" s="78"/>
      <c r="D899" s="78"/>
      <c r="E899" s="78"/>
      <c r="F899" s="78"/>
      <c r="G899" s="774"/>
      <c r="H899" s="774"/>
      <c r="I899" s="774"/>
      <c r="J899" s="774"/>
      <c r="K899" s="78"/>
      <c r="L899" s="774"/>
      <c r="M899" s="774"/>
      <c r="N899" s="774"/>
      <c r="O899" s="774"/>
      <c r="P899" s="78"/>
      <c r="Q899" s="774"/>
      <c r="R899" s="774"/>
      <c r="S899" s="774"/>
      <c r="T899" s="774"/>
      <c r="U899" s="78"/>
      <c r="V899" s="774"/>
      <c r="W899" s="774"/>
      <c r="X899" s="774"/>
      <c r="Y899" s="774"/>
      <c r="Z899" s="78"/>
      <c r="AA899" s="774"/>
      <c r="AB899" s="774"/>
      <c r="AC899" s="774"/>
      <c r="AD899" s="774"/>
      <c r="AE899" s="78"/>
      <c r="AF899" s="774"/>
      <c r="AG899" s="774"/>
      <c r="AH899" s="774"/>
      <c r="AI899" s="774"/>
      <c r="AJ899" s="78"/>
      <c r="AK899" s="774"/>
      <c r="AL899" s="774"/>
      <c r="AM899" s="774"/>
      <c r="AN899" s="774"/>
      <c r="AO899" s="78"/>
      <c r="AP899" s="774"/>
      <c r="AQ899" s="774"/>
      <c r="AR899" s="774"/>
      <c r="AS899" s="774"/>
      <c r="AT899" s="1119">
        <v>2.8490000000000002</v>
      </c>
      <c r="AU899" s="774"/>
      <c r="AV899" s="774"/>
      <c r="AW899" s="774"/>
      <c r="AX899" s="774"/>
      <c r="AY899" s="1119">
        <v>2.8490000000000002</v>
      </c>
      <c r="AZ899" s="774"/>
      <c r="BA899" s="774"/>
      <c r="BB899" s="774"/>
      <c r="BC899" s="774"/>
      <c r="BD899" s="1119">
        <v>2.8490000000000002</v>
      </c>
      <c r="BE899" s="774"/>
      <c r="BF899" s="774"/>
      <c r="BG899" s="774"/>
      <c r="BH899" s="774"/>
      <c r="BI899" s="78"/>
      <c r="BJ899" s="774"/>
      <c r="BK899" s="774"/>
      <c r="BL899" s="774"/>
      <c r="BM899" s="774"/>
      <c r="BN899" s="78"/>
      <c r="BO899" s="774"/>
      <c r="BP899" s="774"/>
      <c r="BQ899" s="774"/>
      <c r="BR899" s="774"/>
      <c r="BS899" s="78"/>
      <c r="BT899" s="775"/>
      <c r="BU899" s="774"/>
      <c r="BV899" s="774"/>
      <c r="BW899" s="774"/>
      <c r="BX899" s="78"/>
      <c r="BY899" s="774"/>
      <c r="BZ899" s="774"/>
      <c r="CA899" s="774"/>
      <c r="CB899" s="774"/>
      <c r="CC899" s="78"/>
      <c r="CD899" s="78"/>
      <c r="CE899" s="78"/>
      <c r="CF899" s="78"/>
      <c r="CG899" s="532"/>
    </row>
    <row r="900" spans="1:85" s="615" customFormat="1" x14ac:dyDescent="0.3">
      <c r="A900" s="522" t="s">
        <v>1495</v>
      </c>
      <c r="B900" s="521"/>
      <c r="C900" s="1122"/>
      <c r="D900" s="1122"/>
      <c r="E900" s="1122"/>
      <c r="F900" s="1122"/>
      <c r="G900" s="520"/>
      <c r="H900" s="520"/>
      <c r="I900" s="520"/>
      <c r="J900" s="520"/>
      <c r="K900" s="1122"/>
      <c r="L900" s="520"/>
      <c r="M900" s="520"/>
      <c r="N900" s="520"/>
      <c r="O900" s="520"/>
      <c r="P900" s="1122"/>
      <c r="Q900" s="520"/>
      <c r="R900" s="520"/>
      <c r="S900" s="520"/>
      <c r="T900" s="520"/>
      <c r="U900" s="1122"/>
      <c r="V900" s="520"/>
      <c r="W900" s="520"/>
      <c r="X900" s="520"/>
      <c r="Y900" s="520"/>
      <c r="Z900" s="1122"/>
      <c r="AA900" s="520"/>
      <c r="AB900" s="520"/>
      <c r="AC900" s="520"/>
      <c r="AD900" s="520"/>
      <c r="AE900" s="1122"/>
      <c r="AF900" s="520"/>
      <c r="AG900" s="520"/>
      <c r="AH900" s="520"/>
      <c r="AI900" s="520"/>
      <c r="AJ900" s="1122"/>
      <c r="AK900" s="520"/>
      <c r="AL900" s="520"/>
      <c r="AM900" s="520"/>
      <c r="AN900" s="520"/>
      <c r="AO900" s="1122"/>
      <c r="AP900" s="520"/>
      <c r="AQ900" s="520"/>
      <c r="AR900" s="520"/>
      <c r="AS900" s="520"/>
      <c r="AT900" s="1123">
        <v>504.58</v>
      </c>
      <c r="AU900" s="520"/>
      <c r="AV900" s="520"/>
      <c r="AW900" s="520"/>
      <c r="AX900" s="520"/>
      <c r="AY900" s="1123">
        <v>504.58</v>
      </c>
      <c r="AZ900" s="520"/>
      <c r="BA900" s="520"/>
      <c r="BB900" s="520"/>
      <c r="BC900" s="520"/>
      <c r="BD900" s="1123">
        <v>504.58</v>
      </c>
      <c r="BE900" s="520"/>
      <c r="BF900" s="520"/>
      <c r="BG900" s="520"/>
      <c r="BH900" s="520"/>
      <c r="BI900" s="1122"/>
      <c r="BJ900" s="520"/>
      <c r="BK900" s="520"/>
      <c r="BL900" s="520"/>
      <c r="BM900" s="520"/>
      <c r="BN900" s="1122"/>
      <c r="BO900" s="520"/>
      <c r="BP900" s="520"/>
      <c r="BQ900" s="520"/>
      <c r="BR900" s="520"/>
      <c r="BS900" s="1122"/>
      <c r="BT900" s="728"/>
      <c r="BU900" s="520"/>
      <c r="BV900" s="520"/>
      <c r="BW900" s="520"/>
      <c r="BX900" s="1122"/>
      <c r="BY900" s="520"/>
      <c r="BZ900" s="520"/>
      <c r="CA900" s="520"/>
      <c r="CB900" s="520"/>
      <c r="CC900" s="1122"/>
      <c r="CD900" s="1122"/>
      <c r="CE900" s="1122"/>
      <c r="CF900" s="1122"/>
      <c r="CG900" s="519"/>
    </row>
    <row r="901" spans="1:85" s="614" customFormat="1" x14ac:dyDescent="0.3">
      <c r="A901" s="351"/>
      <c r="B901" s="352"/>
      <c r="C901" s="1094"/>
      <c r="D901" s="1094"/>
      <c r="E901" s="1094"/>
      <c r="F901" s="1094"/>
      <c r="G901" s="197"/>
      <c r="H901" s="197"/>
      <c r="I901" s="197"/>
      <c r="J901" s="197"/>
      <c r="K901" s="1094"/>
      <c r="L901" s="197"/>
      <c r="M901" s="197"/>
      <c r="N901" s="197"/>
      <c r="O901" s="197"/>
      <c r="P901" s="1094"/>
      <c r="Q901" s="197"/>
      <c r="R901" s="197"/>
      <c r="S901" s="197"/>
      <c r="T901" s="197"/>
      <c r="U901" s="1094"/>
      <c r="V901" s="197"/>
      <c r="W901" s="197"/>
      <c r="X901" s="197"/>
      <c r="Y901" s="197"/>
      <c r="Z901" s="1094"/>
      <c r="AA901" s="197"/>
      <c r="AB901" s="197"/>
      <c r="AC901" s="197"/>
      <c r="AD901" s="197"/>
      <c r="AE901" s="1094"/>
      <c r="AF901" s="197"/>
      <c r="AG901" s="197"/>
      <c r="AH901" s="197"/>
      <c r="AI901" s="197"/>
      <c r="AJ901" s="1094"/>
      <c r="AK901" s="197"/>
      <c r="AL901" s="197"/>
      <c r="AM901" s="197"/>
      <c r="AN901" s="197"/>
      <c r="AO901" s="1094"/>
      <c r="AP901" s="197"/>
      <c r="AQ901" s="197"/>
      <c r="AR901" s="197"/>
      <c r="AS901" s="197"/>
      <c r="AT901" s="198"/>
      <c r="AU901" s="197"/>
      <c r="AV901" s="197"/>
      <c r="AW901" s="197"/>
      <c r="AX901" s="197"/>
      <c r="AY901" s="198"/>
      <c r="AZ901" s="197"/>
      <c r="BA901" s="197"/>
      <c r="BB901" s="197"/>
      <c r="BC901" s="197"/>
      <c r="BD901" s="198"/>
      <c r="BE901" s="197"/>
      <c r="BF901" s="197"/>
      <c r="BG901" s="197"/>
      <c r="BH901" s="197"/>
      <c r="BI901" s="1094"/>
      <c r="BJ901" s="197"/>
      <c r="BK901" s="197"/>
      <c r="BL901" s="197"/>
      <c r="BM901" s="197"/>
      <c r="BN901" s="1094"/>
      <c r="BO901" s="197"/>
      <c r="BP901" s="197"/>
      <c r="BQ901" s="197"/>
      <c r="BR901" s="197"/>
      <c r="BS901" s="1094"/>
      <c r="BT901" s="727"/>
      <c r="BU901" s="197"/>
      <c r="BV901" s="197"/>
      <c r="BW901" s="197"/>
      <c r="BX901" s="1094"/>
      <c r="BY901" s="197"/>
      <c r="BZ901" s="197"/>
      <c r="CA901" s="197"/>
      <c r="CB901" s="197"/>
      <c r="CC901" s="1094"/>
      <c r="CD901" s="1094"/>
      <c r="CE901" s="1094"/>
      <c r="CF901" s="1094"/>
      <c r="CG901" s="349"/>
    </row>
    <row r="902" spans="1:85" s="613" customFormat="1" x14ac:dyDescent="0.3">
      <c r="A902" s="478" t="s">
        <v>1494</v>
      </c>
      <c r="B902" s="523"/>
      <c r="C902" s="78"/>
      <c r="D902" s="78"/>
      <c r="E902" s="78"/>
      <c r="F902" s="78"/>
      <c r="G902" s="774"/>
      <c r="H902" s="774"/>
      <c r="I902" s="774"/>
      <c r="J902" s="774"/>
      <c r="K902" s="78"/>
      <c r="L902" s="774"/>
      <c r="M902" s="774"/>
      <c r="N902" s="774"/>
      <c r="O902" s="774"/>
      <c r="P902" s="78"/>
      <c r="Q902" s="774"/>
      <c r="R902" s="774"/>
      <c r="S902" s="774"/>
      <c r="T902" s="774"/>
      <c r="U902" s="78"/>
      <c r="V902" s="774"/>
      <c r="W902" s="774"/>
      <c r="X902" s="774"/>
      <c r="Y902" s="774"/>
      <c r="Z902" s="78"/>
      <c r="AA902" s="774"/>
      <c r="AB902" s="774"/>
      <c r="AC902" s="774"/>
      <c r="AD902" s="774"/>
      <c r="AE902" s="78"/>
      <c r="AF902" s="774"/>
      <c r="AG902" s="774"/>
      <c r="AH902" s="774"/>
      <c r="AI902" s="774"/>
      <c r="AJ902" s="78"/>
      <c r="AK902" s="774"/>
      <c r="AL902" s="774"/>
      <c r="AM902" s="774"/>
      <c r="AN902" s="774"/>
      <c r="AO902" s="78"/>
      <c r="AP902" s="774"/>
      <c r="AQ902" s="774"/>
      <c r="AR902" s="774"/>
      <c r="AS902" s="774"/>
      <c r="AT902" s="78"/>
      <c r="AU902" s="774"/>
      <c r="AV902" s="774"/>
      <c r="AW902" s="774"/>
      <c r="AX902" s="774"/>
      <c r="AY902" s="1119">
        <v>2.75</v>
      </c>
      <c r="AZ902" s="774"/>
      <c r="BA902" s="774"/>
      <c r="BB902" s="774"/>
      <c r="BC902" s="774"/>
      <c r="BD902" s="1119">
        <v>2.75</v>
      </c>
      <c r="BE902" s="774"/>
      <c r="BF902" s="774"/>
      <c r="BG902" s="774"/>
      <c r="BH902" s="774"/>
      <c r="BI902" s="78"/>
      <c r="BJ902" s="774"/>
      <c r="BK902" s="774"/>
      <c r="BL902" s="774"/>
      <c r="BM902" s="774"/>
      <c r="BN902" s="78"/>
      <c r="BO902" s="774"/>
      <c r="BP902" s="774"/>
      <c r="BQ902" s="774"/>
      <c r="BR902" s="774"/>
      <c r="BS902" s="78"/>
      <c r="BT902" s="775"/>
      <c r="BU902" s="774"/>
      <c r="BV902" s="774"/>
      <c r="BW902" s="774"/>
      <c r="BX902" s="78"/>
      <c r="BY902" s="774"/>
      <c r="BZ902" s="774"/>
      <c r="CA902" s="774"/>
      <c r="CB902" s="774"/>
      <c r="CC902" s="78"/>
      <c r="CD902" s="78"/>
      <c r="CE902" s="78"/>
      <c r="CF902" s="78"/>
      <c r="CG902" s="532"/>
    </row>
    <row r="903" spans="1:85" s="615" customFormat="1" x14ac:dyDescent="0.3">
      <c r="A903" s="522" t="s">
        <v>1493</v>
      </c>
      <c r="B903" s="521"/>
      <c r="C903" s="1122"/>
      <c r="D903" s="1122"/>
      <c r="E903" s="1122"/>
      <c r="F903" s="1122"/>
      <c r="G903" s="520"/>
      <c r="H903" s="520"/>
      <c r="I903" s="520"/>
      <c r="J903" s="520"/>
      <c r="K903" s="1122"/>
      <c r="L903" s="520"/>
      <c r="M903" s="520"/>
      <c r="N903" s="520"/>
      <c r="O903" s="520"/>
      <c r="P903" s="1122"/>
      <c r="Q903" s="520"/>
      <c r="R903" s="520"/>
      <c r="S903" s="520"/>
      <c r="T903" s="520"/>
      <c r="U903" s="1122"/>
      <c r="V903" s="520"/>
      <c r="W903" s="520"/>
      <c r="X903" s="520"/>
      <c r="Y903" s="520"/>
      <c r="Z903" s="1122"/>
      <c r="AA903" s="520"/>
      <c r="AB903" s="520"/>
      <c r="AC903" s="520"/>
      <c r="AD903" s="520"/>
      <c r="AE903" s="1122"/>
      <c r="AF903" s="520"/>
      <c r="AG903" s="520"/>
      <c r="AH903" s="520"/>
      <c r="AI903" s="520"/>
      <c r="AJ903" s="1122"/>
      <c r="AK903" s="520"/>
      <c r="AL903" s="520"/>
      <c r="AM903" s="520"/>
      <c r="AN903" s="520"/>
      <c r="AO903" s="1122"/>
      <c r="AP903" s="520"/>
      <c r="AQ903" s="520"/>
      <c r="AR903" s="520"/>
      <c r="AS903" s="520"/>
      <c r="AT903" s="1124"/>
      <c r="AU903" s="520"/>
      <c r="AV903" s="520"/>
      <c r="AW903" s="520"/>
      <c r="AX903" s="520"/>
      <c r="AY903" s="1123">
        <v>522.86</v>
      </c>
      <c r="AZ903" s="520"/>
      <c r="BA903" s="520"/>
      <c r="BB903" s="520"/>
      <c r="BC903" s="520"/>
      <c r="BD903" s="1123">
        <v>522.86</v>
      </c>
      <c r="BE903" s="520"/>
      <c r="BF903" s="520"/>
      <c r="BG903" s="520"/>
      <c r="BH903" s="520"/>
      <c r="BI903" s="1122"/>
      <c r="BJ903" s="520"/>
      <c r="BK903" s="520"/>
      <c r="BL903" s="520"/>
      <c r="BM903" s="520"/>
      <c r="BN903" s="1122"/>
      <c r="BO903" s="520"/>
      <c r="BP903" s="520"/>
      <c r="BQ903" s="520"/>
      <c r="BR903" s="520"/>
      <c r="BS903" s="1122"/>
      <c r="BT903" s="728"/>
      <c r="BU903" s="520"/>
      <c r="BV903" s="520"/>
      <c r="BW903" s="520"/>
      <c r="BX903" s="1122"/>
      <c r="BY903" s="520"/>
      <c r="BZ903" s="520"/>
      <c r="CA903" s="520"/>
      <c r="CB903" s="520"/>
      <c r="CC903" s="1122"/>
      <c r="CD903" s="1122"/>
      <c r="CE903" s="1122"/>
      <c r="CF903" s="1122"/>
      <c r="CG903" s="519"/>
    </row>
    <row r="904" spans="1:85" s="614" customFormat="1" x14ac:dyDescent="0.3">
      <c r="A904" s="522"/>
      <c r="B904" s="352"/>
      <c r="C904" s="1094"/>
      <c r="D904" s="1094"/>
      <c r="E904" s="1094"/>
      <c r="F904" s="1094"/>
      <c r="G904" s="197"/>
      <c r="H904" s="197"/>
      <c r="I904" s="197"/>
      <c r="J904" s="197"/>
      <c r="K904" s="1094"/>
      <c r="L904" s="197"/>
      <c r="M904" s="197"/>
      <c r="N904" s="197"/>
      <c r="O904" s="197"/>
      <c r="P904" s="1094"/>
      <c r="Q904" s="197"/>
      <c r="R904" s="197"/>
      <c r="S904" s="197"/>
      <c r="T904" s="197"/>
      <c r="U904" s="1094"/>
      <c r="V904" s="197"/>
      <c r="W904" s="197"/>
      <c r="X904" s="197"/>
      <c r="Y904" s="197"/>
      <c r="Z904" s="1094"/>
      <c r="AA904" s="197"/>
      <c r="AB904" s="197"/>
      <c r="AC904" s="197"/>
      <c r="AD904" s="197"/>
      <c r="AE904" s="1094"/>
      <c r="AF904" s="197"/>
      <c r="AG904" s="197"/>
      <c r="AH904" s="197"/>
      <c r="AI904" s="197"/>
      <c r="AJ904" s="1094"/>
      <c r="AK904" s="197"/>
      <c r="AL904" s="197"/>
      <c r="AM904" s="197"/>
      <c r="AN904" s="197"/>
      <c r="AO904" s="1094"/>
      <c r="AP904" s="197"/>
      <c r="AQ904" s="197"/>
      <c r="AR904" s="197"/>
      <c r="AS904" s="197"/>
      <c r="AT904" s="198"/>
      <c r="AU904" s="197"/>
      <c r="AV904" s="197"/>
      <c r="AW904" s="197"/>
      <c r="AX904" s="197"/>
      <c r="AY904" s="198"/>
      <c r="AZ904" s="197"/>
      <c r="BA904" s="197"/>
      <c r="BB904" s="197"/>
      <c r="BC904" s="197"/>
      <c r="BD904" s="198"/>
      <c r="BE904" s="197"/>
      <c r="BF904" s="197"/>
      <c r="BG904" s="197"/>
      <c r="BH904" s="197"/>
      <c r="BI904" s="1094"/>
      <c r="BJ904" s="197"/>
      <c r="BK904" s="197"/>
      <c r="BL904" s="197"/>
      <c r="BM904" s="197"/>
      <c r="BN904" s="1094"/>
      <c r="BO904" s="197"/>
      <c r="BP904" s="197"/>
      <c r="BQ904" s="197"/>
      <c r="BR904" s="197"/>
      <c r="BS904" s="1094"/>
      <c r="BT904" s="727"/>
      <c r="BU904" s="197"/>
      <c r="BV904" s="197"/>
      <c r="BW904" s="197"/>
      <c r="BX904" s="1094"/>
      <c r="BY904" s="197"/>
      <c r="BZ904" s="197"/>
      <c r="CA904" s="197"/>
      <c r="CB904" s="197"/>
      <c r="CC904" s="1094"/>
      <c r="CD904" s="1094"/>
      <c r="CE904" s="1094"/>
      <c r="CF904" s="1094"/>
      <c r="CG904" s="349"/>
    </row>
    <row r="905" spans="1:85" s="613" customFormat="1" x14ac:dyDescent="0.3">
      <c r="A905" s="478" t="s">
        <v>1492</v>
      </c>
      <c r="B905" s="523"/>
      <c r="C905" s="78"/>
      <c r="D905" s="78"/>
      <c r="E905" s="78"/>
      <c r="F905" s="78"/>
      <c r="G905" s="774"/>
      <c r="H905" s="774"/>
      <c r="I905" s="774"/>
      <c r="J905" s="774"/>
      <c r="K905" s="78"/>
      <c r="L905" s="774"/>
      <c r="M905" s="774"/>
      <c r="N905" s="774"/>
      <c r="O905" s="774"/>
      <c r="P905" s="78"/>
      <c r="Q905" s="774"/>
      <c r="R905" s="774"/>
      <c r="S905" s="774"/>
      <c r="T905" s="774"/>
      <c r="U905" s="78"/>
      <c r="V905" s="774"/>
      <c r="W905" s="774"/>
      <c r="X905" s="774"/>
      <c r="Y905" s="774"/>
      <c r="Z905" s="78"/>
      <c r="AA905" s="774"/>
      <c r="AB905" s="774"/>
      <c r="AC905" s="774"/>
      <c r="AD905" s="774"/>
      <c r="AE905" s="78"/>
      <c r="AF905" s="774"/>
      <c r="AG905" s="774"/>
      <c r="AH905" s="774"/>
      <c r="AI905" s="774"/>
      <c r="AJ905" s="78"/>
      <c r="AK905" s="774"/>
      <c r="AL905" s="774"/>
      <c r="AM905" s="774"/>
      <c r="AN905" s="774"/>
      <c r="AO905" s="78"/>
      <c r="AP905" s="774"/>
      <c r="AQ905" s="774"/>
      <c r="AR905" s="774"/>
      <c r="AS905" s="774"/>
      <c r="AT905" s="78"/>
      <c r="AU905" s="774"/>
      <c r="AV905" s="774"/>
      <c r="AW905" s="774"/>
      <c r="AX905" s="774"/>
      <c r="AY905" s="1119">
        <v>2.6659999999999999</v>
      </c>
      <c r="AZ905" s="774"/>
      <c r="BA905" s="774"/>
      <c r="BB905" s="774"/>
      <c r="BC905" s="774"/>
      <c r="BD905" s="1119">
        <v>2.6659999999999999</v>
      </c>
      <c r="BE905" s="774"/>
      <c r="BF905" s="774"/>
      <c r="BG905" s="774"/>
      <c r="BH905" s="774"/>
      <c r="BI905" s="78"/>
      <c r="BJ905" s="774"/>
      <c r="BK905" s="774"/>
      <c r="BL905" s="774"/>
      <c r="BM905" s="774"/>
      <c r="BN905" s="78"/>
      <c r="BO905" s="774"/>
      <c r="BP905" s="774"/>
      <c r="BQ905" s="774"/>
      <c r="BR905" s="774"/>
      <c r="BS905" s="78"/>
      <c r="BT905" s="775"/>
      <c r="BU905" s="774"/>
      <c r="BV905" s="774"/>
      <c r="BW905" s="774"/>
      <c r="BX905" s="78"/>
      <c r="BY905" s="774"/>
      <c r="BZ905" s="774"/>
      <c r="CA905" s="774"/>
      <c r="CB905" s="774"/>
      <c r="CC905" s="78"/>
      <c r="CD905" s="78"/>
      <c r="CE905" s="78"/>
      <c r="CF905" s="78"/>
      <c r="CG905" s="532"/>
    </row>
    <row r="906" spans="1:85" s="615" customFormat="1" x14ac:dyDescent="0.3">
      <c r="A906" s="522" t="s">
        <v>1491</v>
      </c>
      <c r="B906" s="521"/>
      <c r="C906" s="1122"/>
      <c r="D906" s="1122"/>
      <c r="E906" s="1122"/>
      <c r="F906" s="1122"/>
      <c r="G906" s="520"/>
      <c r="H906" s="520"/>
      <c r="I906" s="520"/>
      <c r="J906" s="520"/>
      <c r="K906" s="1122"/>
      <c r="L906" s="520"/>
      <c r="M906" s="520"/>
      <c r="N906" s="520"/>
      <c r="O906" s="520"/>
      <c r="P906" s="1122"/>
      <c r="Q906" s="520"/>
      <c r="R906" s="520"/>
      <c r="S906" s="520"/>
      <c r="T906" s="520"/>
      <c r="U906" s="1122"/>
      <c r="V906" s="520"/>
      <c r="W906" s="520"/>
      <c r="X906" s="520"/>
      <c r="Y906" s="520"/>
      <c r="Z906" s="1122"/>
      <c r="AA906" s="520"/>
      <c r="AB906" s="520"/>
      <c r="AC906" s="520"/>
      <c r="AD906" s="520"/>
      <c r="AE906" s="1122"/>
      <c r="AF906" s="520"/>
      <c r="AG906" s="520"/>
      <c r="AH906" s="520"/>
      <c r="AI906" s="520"/>
      <c r="AJ906" s="1122"/>
      <c r="AK906" s="520"/>
      <c r="AL906" s="520"/>
      <c r="AM906" s="520"/>
      <c r="AN906" s="520"/>
      <c r="AO906" s="1122"/>
      <c r="AP906" s="520"/>
      <c r="AQ906" s="520"/>
      <c r="AR906" s="520"/>
      <c r="AS906" s="520"/>
      <c r="AT906" s="1124"/>
      <c r="AU906" s="520"/>
      <c r="AV906" s="520"/>
      <c r="AW906" s="520"/>
      <c r="AX906" s="520"/>
      <c r="AY906" s="1123">
        <v>539.04</v>
      </c>
      <c r="AZ906" s="520"/>
      <c r="BA906" s="520"/>
      <c r="BB906" s="520"/>
      <c r="BC906" s="520"/>
      <c r="BD906" s="1123">
        <v>539.04</v>
      </c>
      <c r="BE906" s="520"/>
      <c r="BF906" s="520"/>
      <c r="BG906" s="520"/>
      <c r="BH906" s="520"/>
      <c r="BI906" s="1122"/>
      <c r="BJ906" s="520"/>
      <c r="BK906" s="520"/>
      <c r="BL906" s="520"/>
      <c r="BM906" s="520"/>
      <c r="BN906" s="1122"/>
      <c r="BO906" s="520"/>
      <c r="BP906" s="520"/>
      <c r="BQ906" s="520"/>
      <c r="BR906" s="520"/>
      <c r="BS906" s="1122"/>
      <c r="BT906" s="728"/>
      <c r="BU906" s="520"/>
      <c r="BV906" s="520"/>
      <c r="BW906" s="520"/>
      <c r="BX906" s="1122"/>
      <c r="BY906" s="520"/>
      <c r="BZ906" s="520"/>
      <c r="CA906" s="520"/>
      <c r="CB906" s="520"/>
      <c r="CC906" s="1122"/>
      <c r="CD906" s="1122"/>
      <c r="CE906" s="1122"/>
      <c r="CF906" s="1122"/>
      <c r="CG906" s="519"/>
    </row>
    <row r="907" spans="1:85" s="614" customFormat="1" x14ac:dyDescent="0.3">
      <c r="A907" s="522"/>
      <c r="B907" s="352"/>
      <c r="C907" s="1094"/>
      <c r="D907" s="1094"/>
      <c r="E907" s="1094"/>
      <c r="F907" s="1094"/>
      <c r="G907" s="197"/>
      <c r="H907" s="197"/>
      <c r="I907" s="197"/>
      <c r="J907" s="197"/>
      <c r="K907" s="1094"/>
      <c r="L907" s="197"/>
      <c r="M907" s="197"/>
      <c r="N907" s="197"/>
      <c r="O907" s="197"/>
      <c r="P907" s="1094"/>
      <c r="Q907" s="197"/>
      <c r="R907" s="197"/>
      <c r="S907" s="197"/>
      <c r="T907" s="197"/>
      <c r="U907" s="1094"/>
      <c r="V907" s="197"/>
      <c r="W907" s="197"/>
      <c r="X907" s="197"/>
      <c r="Y907" s="197"/>
      <c r="Z907" s="1094"/>
      <c r="AA907" s="197"/>
      <c r="AB907" s="197"/>
      <c r="AC907" s="197"/>
      <c r="AD907" s="197"/>
      <c r="AE907" s="1094"/>
      <c r="AF907" s="197"/>
      <c r="AG907" s="197"/>
      <c r="AH907" s="197"/>
      <c r="AI907" s="197"/>
      <c r="AJ907" s="1094"/>
      <c r="AK907" s="197"/>
      <c r="AL907" s="197"/>
      <c r="AM907" s="197"/>
      <c r="AN907" s="197"/>
      <c r="AO907" s="1094"/>
      <c r="AP907" s="197"/>
      <c r="AQ907" s="197"/>
      <c r="AR907" s="197"/>
      <c r="AS907" s="197"/>
      <c r="AT907" s="198"/>
      <c r="AU907" s="197"/>
      <c r="AV907" s="197"/>
      <c r="AW907" s="197"/>
      <c r="AX907" s="197"/>
      <c r="AY907" s="198"/>
      <c r="AZ907" s="197"/>
      <c r="BA907" s="197"/>
      <c r="BB907" s="197"/>
      <c r="BC907" s="197"/>
      <c r="BD907" s="198"/>
      <c r="BE907" s="197"/>
      <c r="BF907" s="197"/>
      <c r="BG907" s="197"/>
      <c r="BH907" s="197"/>
      <c r="BI907" s="1094"/>
      <c r="BJ907" s="197"/>
      <c r="BK907" s="197"/>
      <c r="BL907" s="197"/>
      <c r="BM907" s="197"/>
      <c r="BN907" s="1094"/>
      <c r="BO907" s="197"/>
      <c r="BP907" s="197"/>
      <c r="BQ907" s="197"/>
      <c r="BR907" s="197"/>
      <c r="BS907" s="1094"/>
      <c r="BT907" s="727"/>
      <c r="BU907" s="197"/>
      <c r="BV907" s="197"/>
      <c r="BW907" s="197"/>
      <c r="BX907" s="1094"/>
      <c r="BY907" s="197"/>
      <c r="BZ907" s="197"/>
      <c r="CA907" s="197"/>
      <c r="CB907" s="197"/>
      <c r="CC907" s="1094"/>
      <c r="CD907" s="1094"/>
      <c r="CE907" s="1094"/>
      <c r="CF907" s="1094"/>
      <c r="CG907" s="349"/>
    </row>
    <row r="908" spans="1:85" s="613" customFormat="1" x14ac:dyDescent="0.3">
      <c r="A908" s="478" t="s">
        <v>1490</v>
      </c>
      <c r="B908" s="523"/>
      <c r="C908" s="78"/>
      <c r="D908" s="78"/>
      <c r="E908" s="78"/>
      <c r="F908" s="78"/>
      <c r="G908" s="774"/>
      <c r="H908" s="774"/>
      <c r="I908" s="774"/>
      <c r="J908" s="774"/>
      <c r="K908" s="78"/>
      <c r="L908" s="774"/>
      <c r="M908" s="774"/>
      <c r="N908" s="774"/>
      <c r="O908" s="774"/>
      <c r="P908" s="78"/>
      <c r="Q908" s="774"/>
      <c r="R908" s="774"/>
      <c r="S908" s="774"/>
      <c r="T908" s="774"/>
      <c r="U908" s="78"/>
      <c r="V908" s="774"/>
      <c r="W908" s="774"/>
      <c r="X908" s="774"/>
      <c r="Y908" s="774"/>
      <c r="Z908" s="78"/>
      <c r="AA908" s="774"/>
      <c r="AB908" s="774"/>
      <c r="AC908" s="774"/>
      <c r="AD908" s="774"/>
      <c r="AE908" s="78"/>
      <c r="AF908" s="774"/>
      <c r="AG908" s="774"/>
      <c r="AH908" s="774"/>
      <c r="AI908" s="774"/>
      <c r="AJ908" s="78"/>
      <c r="AK908" s="774"/>
      <c r="AL908" s="774"/>
      <c r="AM908" s="774"/>
      <c r="AN908" s="774"/>
      <c r="AO908" s="78"/>
      <c r="AP908" s="774"/>
      <c r="AQ908" s="774"/>
      <c r="AR908" s="774"/>
      <c r="AS908" s="774"/>
      <c r="AT908" s="78"/>
      <c r="AU908" s="774"/>
      <c r="AV908" s="774"/>
      <c r="AW908" s="774"/>
      <c r="AX908" s="774"/>
      <c r="AY908" s="1119">
        <v>2.6110000000000002</v>
      </c>
      <c r="AZ908" s="774"/>
      <c r="BA908" s="774"/>
      <c r="BB908" s="774"/>
      <c r="BC908" s="774"/>
      <c r="BD908" s="1119">
        <v>2.6110000000000002</v>
      </c>
      <c r="BE908" s="774"/>
      <c r="BF908" s="774"/>
      <c r="BG908" s="774"/>
      <c r="BH908" s="774"/>
      <c r="BI908" s="78"/>
      <c r="BJ908" s="774"/>
      <c r="BK908" s="774"/>
      <c r="BL908" s="774"/>
      <c r="BM908" s="774"/>
      <c r="BN908" s="78"/>
      <c r="BO908" s="774"/>
      <c r="BP908" s="774"/>
      <c r="BQ908" s="774"/>
      <c r="BR908" s="774"/>
      <c r="BS908" s="78"/>
      <c r="BT908" s="775"/>
      <c r="BU908" s="774"/>
      <c r="BV908" s="774"/>
      <c r="BW908" s="774"/>
      <c r="BX908" s="78"/>
      <c r="BY908" s="774"/>
      <c r="BZ908" s="774"/>
      <c r="CA908" s="774"/>
      <c r="CB908" s="774"/>
      <c r="CC908" s="78"/>
      <c r="CD908" s="78"/>
      <c r="CE908" s="78"/>
      <c r="CF908" s="78"/>
      <c r="CG908" s="532"/>
    </row>
    <row r="909" spans="1:85" s="615" customFormat="1" x14ac:dyDescent="0.3">
      <c r="A909" s="522" t="s">
        <v>1489</v>
      </c>
      <c r="B909" s="521"/>
      <c r="C909" s="1122"/>
      <c r="D909" s="1122"/>
      <c r="E909" s="1122"/>
      <c r="F909" s="1122"/>
      <c r="G909" s="520"/>
      <c r="H909" s="520"/>
      <c r="I909" s="520"/>
      <c r="J909" s="520"/>
      <c r="K909" s="1122"/>
      <c r="L909" s="520"/>
      <c r="M909" s="520"/>
      <c r="N909" s="520"/>
      <c r="O909" s="520"/>
      <c r="P909" s="1122"/>
      <c r="Q909" s="520"/>
      <c r="R909" s="520"/>
      <c r="S909" s="520"/>
      <c r="T909" s="520"/>
      <c r="U909" s="1122"/>
      <c r="V909" s="520"/>
      <c r="W909" s="520"/>
      <c r="X909" s="520"/>
      <c r="Y909" s="520"/>
      <c r="Z909" s="1122"/>
      <c r="AA909" s="520"/>
      <c r="AB909" s="520"/>
      <c r="AC909" s="520"/>
      <c r="AD909" s="520"/>
      <c r="AE909" s="1122"/>
      <c r="AF909" s="520"/>
      <c r="AG909" s="520"/>
      <c r="AH909" s="520"/>
      <c r="AI909" s="520"/>
      <c r="AJ909" s="1122"/>
      <c r="AK909" s="520"/>
      <c r="AL909" s="520"/>
      <c r="AM909" s="520"/>
      <c r="AN909" s="520"/>
      <c r="AO909" s="1122"/>
      <c r="AP909" s="520"/>
      <c r="AQ909" s="520"/>
      <c r="AR909" s="520"/>
      <c r="AS909" s="520"/>
      <c r="AT909" s="1124"/>
      <c r="AU909" s="520"/>
      <c r="AV909" s="520"/>
      <c r="AW909" s="520"/>
      <c r="AX909" s="520"/>
      <c r="AY909" s="1123">
        <v>550.64</v>
      </c>
      <c r="AZ909" s="520"/>
      <c r="BA909" s="520"/>
      <c r="BB909" s="520"/>
      <c r="BC909" s="520"/>
      <c r="BD909" s="1123">
        <v>550.64</v>
      </c>
      <c r="BE909" s="520"/>
      <c r="BF909" s="520"/>
      <c r="BG909" s="520"/>
      <c r="BH909" s="520"/>
      <c r="BI909" s="1122"/>
      <c r="BJ909" s="520"/>
      <c r="BK909" s="520"/>
      <c r="BL909" s="520"/>
      <c r="BM909" s="520"/>
      <c r="BN909" s="1122"/>
      <c r="BO909" s="520"/>
      <c r="BP909" s="520"/>
      <c r="BQ909" s="520"/>
      <c r="BR909" s="520"/>
      <c r="BS909" s="1122"/>
      <c r="BT909" s="728"/>
      <c r="BU909" s="520"/>
      <c r="BV909" s="520"/>
      <c r="BW909" s="520"/>
      <c r="BX909" s="1122"/>
      <c r="BY909" s="520"/>
      <c r="BZ909" s="520"/>
      <c r="CA909" s="520"/>
      <c r="CB909" s="520"/>
      <c r="CC909" s="1122"/>
      <c r="CD909" s="1122"/>
      <c r="CE909" s="1122"/>
      <c r="CF909" s="1122"/>
      <c r="CG909" s="519"/>
    </row>
    <row r="910" spans="1:85" s="614" customFormat="1" x14ac:dyDescent="0.3">
      <c r="A910" s="522"/>
      <c r="B910" s="352"/>
      <c r="C910" s="1094"/>
      <c r="D910" s="1094"/>
      <c r="E910" s="1094"/>
      <c r="F910" s="1094"/>
      <c r="G910" s="197"/>
      <c r="H910" s="197"/>
      <c r="I910" s="197"/>
      <c r="J910" s="197"/>
      <c r="K910" s="1094"/>
      <c r="L910" s="197"/>
      <c r="M910" s="197"/>
      <c r="N910" s="197"/>
      <c r="O910" s="197"/>
      <c r="P910" s="1094"/>
      <c r="Q910" s="197"/>
      <c r="R910" s="197"/>
      <c r="S910" s="197"/>
      <c r="T910" s="197"/>
      <c r="U910" s="1094"/>
      <c r="V910" s="197"/>
      <c r="W910" s="197"/>
      <c r="X910" s="197"/>
      <c r="Y910" s="197"/>
      <c r="Z910" s="1094"/>
      <c r="AA910" s="197"/>
      <c r="AB910" s="197"/>
      <c r="AC910" s="197"/>
      <c r="AD910" s="197"/>
      <c r="AE910" s="1094"/>
      <c r="AF910" s="197"/>
      <c r="AG910" s="197"/>
      <c r="AH910" s="197"/>
      <c r="AI910" s="197"/>
      <c r="AJ910" s="1094"/>
      <c r="AK910" s="197"/>
      <c r="AL910" s="197"/>
      <c r="AM910" s="197"/>
      <c r="AN910" s="197"/>
      <c r="AO910" s="1094"/>
      <c r="AP910" s="197"/>
      <c r="AQ910" s="197"/>
      <c r="AR910" s="197"/>
      <c r="AS910" s="197"/>
      <c r="AT910" s="198"/>
      <c r="AU910" s="197"/>
      <c r="AV910" s="197"/>
      <c r="AW910" s="197"/>
      <c r="AX910" s="197"/>
      <c r="AY910" s="198"/>
      <c r="AZ910" s="197"/>
      <c r="BA910" s="197"/>
      <c r="BB910" s="197"/>
      <c r="BC910" s="197"/>
      <c r="BD910" s="198"/>
      <c r="BE910" s="197"/>
      <c r="BF910" s="197"/>
      <c r="BG910" s="197"/>
      <c r="BH910" s="197"/>
      <c r="BI910" s="1094"/>
      <c r="BJ910" s="197"/>
      <c r="BK910" s="197"/>
      <c r="BL910" s="197"/>
      <c r="BM910" s="197"/>
      <c r="BN910" s="1094"/>
      <c r="BO910" s="197"/>
      <c r="BP910" s="197"/>
      <c r="BQ910" s="197"/>
      <c r="BR910" s="197"/>
      <c r="BS910" s="1094"/>
      <c r="BT910" s="727"/>
      <c r="BU910" s="197"/>
      <c r="BV910" s="197"/>
      <c r="BW910" s="197"/>
      <c r="BX910" s="1094"/>
      <c r="BY910" s="197"/>
      <c r="BZ910" s="197"/>
      <c r="CA910" s="197"/>
      <c r="CB910" s="197"/>
      <c r="CC910" s="1094"/>
      <c r="CD910" s="1094"/>
      <c r="CE910" s="1094"/>
      <c r="CF910" s="1094"/>
      <c r="CG910" s="349"/>
    </row>
    <row r="911" spans="1:85" s="613" customFormat="1" x14ac:dyDescent="0.3">
      <c r="A911" s="478" t="s">
        <v>1488</v>
      </c>
      <c r="B911" s="523"/>
      <c r="C911" s="78"/>
      <c r="D911" s="78"/>
      <c r="E911" s="78"/>
      <c r="F911" s="78"/>
      <c r="G911" s="774"/>
      <c r="H911" s="774"/>
      <c r="I911" s="774"/>
      <c r="J911" s="774"/>
      <c r="K911" s="78"/>
      <c r="L911" s="774"/>
      <c r="M911" s="774"/>
      <c r="N911" s="774"/>
      <c r="O911" s="774"/>
      <c r="P911" s="78"/>
      <c r="Q911" s="774"/>
      <c r="R911" s="774"/>
      <c r="S911" s="774"/>
      <c r="T911" s="774"/>
      <c r="U911" s="78"/>
      <c r="V911" s="774"/>
      <c r="W911" s="774"/>
      <c r="X911" s="774"/>
      <c r="Y911" s="774"/>
      <c r="Z911" s="78"/>
      <c r="AA911" s="774"/>
      <c r="AB911" s="774"/>
      <c r="AC911" s="774"/>
      <c r="AD911" s="774"/>
      <c r="AE911" s="78"/>
      <c r="AF911" s="774"/>
      <c r="AG911" s="774"/>
      <c r="AH911" s="774"/>
      <c r="AI911" s="774"/>
      <c r="AJ911" s="78"/>
      <c r="AK911" s="774"/>
      <c r="AL911" s="774"/>
      <c r="AM911" s="774"/>
      <c r="AN911" s="774"/>
      <c r="AO911" s="78"/>
      <c r="AP911" s="774"/>
      <c r="AQ911" s="774"/>
      <c r="AR911" s="774"/>
      <c r="AS911" s="774"/>
      <c r="AT911" s="78"/>
      <c r="AU911" s="774"/>
      <c r="AV911" s="774"/>
      <c r="AW911" s="774"/>
      <c r="AX911" s="774"/>
      <c r="AY911" s="1119">
        <v>2.665</v>
      </c>
      <c r="AZ911" s="774"/>
      <c r="BA911" s="774"/>
      <c r="BB911" s="774"/>
      <c r="BC911" s="774"/>
      <c r="BD911" s="1119">
        <v>2.665</v>
      </c>
      <c r="BE911" s="774"/>
      <c r="BF911" s="774"/>
      <c r="BG911" s="774"/>
      <c r="BH911" s="774"/>
      <c r="BI911" s="78"/>
      <c r="BJ911" s="774"/>
      <c r="BK911" s="774"/>
      <c r="BL911" s="774"/>
      <c r="BM911" s="774"/>
      <c r="BN911" s="78"/>
      <c r="BO911" s="774"/>
      <c r="BP911" s="774"/>
      <c r="BQ911" s="774"/>
      <c r="BR911" s="774"/>
      <c r="BS911" s="78"/>
      <c r="BT911" s="775"/>
      <c r="BU911" s="774"/>
      <c r="BV911" s="774"/>
      <c r="BW911" s="774"/>
      <c r="BX911" s="78"/>
      <c r="BY911" s="774"/>
      <c r="BZ911" s="774"/>
      <c r="CA911" s="774"/>
      <c r="CB911" s="774"/>
      <c r="CC911" s="78"/>
      <c r="CD911" s="78"/>
      <c r="CE911" s="78"/>
      <c r="CF911" s="78"/>
      <c r="CG911" s="532"/>
    </row>
    <row r="912" spans="1:85" s="615" customFormat="1" x14ac:dyDescent="0.3">
      <c r="A912" s="522" t="s">
        <v>1487</v>
      </c>
      <c r="B912" s="521"/>
      <c r="C912" s="1122"/>
      <c r="D912" s="1122"/>
      <c r="E912" s="1122"/>
      <c r="F912" s="1122"/>
      <c r="G912" s="520"/>
      <c r="H912" s="520"/>
      <c r="I912" s="520"/>
      <c r="J912" s="520"/>
      <c r="K912" s="1122"/>
      <c r="L912" s="520"/>
      <c r="M912" s="520"/>
      <c r="N912" s="520"/>
      <c r="O912" s="520"/>
      <c r="P912" s="1122"/>
      <c r="Q912" s="520"/>
      <c r="R912" s="520"/>
      <c r="S912" s="520"/>
      <c r="T912" s="520"/>
      <c r="U912" s="1122"/>
      <c r="V912" s="520"/>
      <c r="W912" s="520"/>
      <c r="X912" s="520"/>
      <c r="Y912" s="520"/>
      <c r="Z912" s="1122"/>
      <c r="AA912" s="520"/>
      <c r="AB912" s="520"/>
      <c r="AC912" s="520"/>
      <c r="AD912" s="520"/>
      <c r="AE912" s="1122"/>
      <c r="AF912" s="520"/>
      <c r="AG912" s="520"/>
      <c r="AH912" s="520"/>
      <c r="AI912" s="520"/>
      <c r="AJ912" s="1122"/>
      <c r="AK912" s="520"/>
      <c r="AL912" s="520"/>
      <c r="AM912" s="520"/>
      <c r="AN912" s="520"/>
      <c r="AO912" s="1122"/>
      <c r="AP912" s="520"/>
      <c r="AQ912" s="520"/>
      <c r="AR912" s="520"/>
      <c r="AS912" s="520"/>
      <c r="AT912" s="1124"/>
      <c r="AU912" s="520"/>
      <c r="AV912" s="520"/>
      <c r="AW912" s="520"/>
      <c r="AX912" s="520"/>
      <c r="AY912" s="1123">
        <v>539.41999999999996</v>
      </c>
      <c r="AZ912" s="520"/>
      <c r="BA912" s="520"/>
      <c r="BB912" s="520"/>
      <c r="BC912" s="520"/>
      <c r="BD912" s="1123">
        <v>539.41999999999996</v>
      </c>
      <c r="BE912" s="520"/>
      <c r="BF912" s="520"/>
      <c r="BG912" s="520"/>
      <c r="BH912" s="520"/>
      <c r="BI912" s="1122"/>
      <c r="BJ912" s="520"/>
      <c r="BK912" s="520"/>
      <c r="BL912" s="520"/>
      <c r="BM912" s="520"/>
      <c r="BN912" s="1122"/>
      <c r="BO912" s="520"/>
      <c r="BP912" s="520"/>
      <c r="BQ912" s="520"/>
      <c r="BR912" s="520"/>
      <c r="BS912" s="1122"/>
      <c r="BT912" s="728"/>
      <c r="BU912" s="520"/>
      <c r="BV912" s="520"/>
      <c r="BW912" s="520"/>
      <c r="BX912" s="1122"/>
      <c r="BY912" s="520"/>
      <c r="BZ912" s="520"/>
      <c r="CA912" s="520"/>
      <c r="CB912" s="520"/>
      <c r="CC912" s="1122"/>
      <c r="CD912" s="1122"/>
      <c r="CE912" s="1122"/>
      <c r="CF912" s="1122"/>
      <c r="CG912" s="519"/>
    </row>
    <row r="913" spans="1:85" s="614" customFormat="1" x14ac:dyDescent="0.3">
      <c r="A913" s="522"/>
      <c r="B913" s="352"/>
      <c r="C913" s="1094"/>
      <c r="D913" s="1094"/>
      <c r="E913" s="1094"/>
      <c r="F913" s="1094"/>
      <c r="G913" s="197"/>
      <c r="H913" s="197"/>
      <c r="I913" s="197"/>
      <c r="J913" s="197"/>
      <c r="K913" s="1094"/>
      <c r="L913" s="197"/>
      <c r="M913" s="197"/>
      <c r="N913" s="197"/>
      <c r="O913" s="197"/>
      <c r="P913" s="1094"/>
      <c r="Q913" s="197"/>
      <c r="R913" s="197"/>
      <c r="S913" s="197"/>
      <c r="T913" s="197"/>
      <c r="U913" s="1094"/>
      <c r="V913" s="197"/>
      <c r="W913" s="197"/>
      <c r="X913" s="197"/>
      <c r="Y913" s="197"/>
      <c r="Z913" s="1094"/>
      <c r="AA913" s="197"/>
      <c r="AB913" s="197"/>
      <c r="AC913" s="197"/>
      <c r="AD913" s="197"/>
      <c r="AE913" s="1094"/>
      <c r="AF913" s="197"/>
      <c r="AG913" s="197"/>
      <c r="AH913" s="197"/>
      <c r="AI913" s="197"/>
      <c r="AJ913" s="1094"/>
      <c r="AK913" s="197"/>
      <c r="AL913" s="197"/>
      <c r="AM913" s="197"/>
      <c r="AN913" s="197"/>
      <c r="AO913" s="1094"/>
      <c r="AP913" s="197"/>
      <c r="AQ913" s="197"/>
      <c r="AR913" s="197"/>
      <c r="AS913" s="197"/>
      <c r="AT913" s="198"/>
      <c r="AU913" s="197"/>
      <c r="AV913" s="197"/>
      <c r="AW913" s="197"/>
      <c r="AX913" s="197"/>
      <c r="AY913" s="198"/>
      <c r="AZ913" s="197"/>
      <c r="BA913" s="197"/>
      <c r="BB913" s="197"/>
      <c r="BC913" s="197"/>
      <c r="BD913" s="198"/>
      <c r="BE913" s="197"/>
      <c r="BF913" s="197"/>
      <c r="BG913" s="197"/>
      <c r="BH913" s="197"/>
      <c r="BI913" s="1094"/>
      <c r="BJ913" s="197"/>
      <c r="BK913" s="197"/>
      <c r="BL913" s="197"/>
      <c r="BM913" s="197"/>
      <c r="BN913" s="1094"/>
      <c r="BO913" s="197"/>
      <c r="BP913" s="197"/>
      <c r="BQ913" s="197"/>
      <c r="BR913" s="197"/>
      <c r="BS913" s="1094"/>
      <c r="BT913" s="727"/>
      <c r="BU913" s="197"/>
      <c r="BV913" s="197"/>
      <c r="BW913" s="197"/>
      <c r="BX913" s="1094"/>
      <c r="BY913" s="197"/>
      <c r="BZ913" s="197"/>
      <c r="CA913" s="197"/>
      <c r="CB913" s="197"/>
      <c r="CC913" s="1094"/>
      <c r="CD913" s="1094"/>
      <c r="CE913" s="1094"/>
      <c r="CF913" s="1094"/>
      <c r="CG913" s="349"/>
    </row>
    <row r="914" spans="1:85" s="613" customFormat="1" x14ac:dyDescent="0.3">
      <c r="A914" s="478" t="s">
        <v>1486</v>
      </c>
      <c r="B914" s="523"/>
      <c r="C914" s="78"/>
      <c r="D914" s="78"/>
      <c r="E914" s="78"/>
      <c r="F914" s="78"/>
      <c r="G914" s="774"/>
      <c r="H914" s="774"/>
      <c r="I914" s="774"/>
      <c r="J914" s="774"/>
      <c r="K914" s="78"/>
      <c r="L914" s="774"/>
      <c r="M914" s="774"/>
      <c r="N914" s="774"/>
      <c r="O914" s="774"/>
      <c r="P914" s="78"/>
      <c r="Q914" s="774"/>
      <c r="R914" s="774"/>
      <c r="S914" s="774"/>
      <c r="T914" s="774"/>
      <c r="U914" s="78"/>
      <c r="V914" s="774"/>
      <c r="W914" s="774"/>
      <c r="X914" s="774"/>
      <c r="Y914" s="774"/>
      <c r="Z914" s="78"/>
      <c r="AA914" s="774"/>
      <c r="AB914" s="774"/>
      <c r="AC914" s="774"/>
      <c r="AD914" s="774"/>
      <c r="AE914" s="78"/>
      <c r="AF914" s="774"/>
      <c r="AG914" s="774"/>
      <c r="AH914" s="774"/>
      <c r="AI914" s="774"/>
      <c r="AJ914" s="78"/>
      <c r="AK914" s="774"/>
      <c r="AL914" s="774"/>
      <c r="AM914" s="774"/>
      <c r="AN914" s="774"/>
      <c r="AO914" s="78"/>
      <c r="AP914" s="774"/>
      <c r="AQ914" s="774"/>
      <c r="AR914" s="774"/>
      <c r="AS914" s="774"/>
      <c r="AT914" s="78"/>
      <c r="AU914" s="774"/>
      <c r="AV914" s="774"/>
      <c r="AW914" s="774"/>
      <c r="AX914" s="774"/>
      <c r="AY914" s="1119">
        <v>2.823</v>
      </c>
      <c r="AZ914" s="774"/>
      <c r="BA914" s="774"/>
      <c r="BB914" s="774"/>
      <c r="BC914" s="774"/>
      <c r="BD914" s="1119">
        <v>2.823</v>
      </c>
      <c r="BE914" s="774"/>
      <c r="BF914" s="774"/>
      <c r="BG914" s="774"/>
      <c r="BH914" s="774"/>
      <c r="BI914" s="78"/>
      <c r="BJ914" s="774"/>
      <c r="BK914" s="774"/>
      <c r="BL914" s="774"/>
      <c r="BM914" s="774"/>
      <c r="BN914" s="78"/>
      <c r="BO914" s="774"/>
      <c r="BP914" s="774"/>
      <c r="BQ914" s="774"/>
      <c r="BR914" s="774"/>
      <c r="BS914" s="78"/>
      <c r="BT914" s="775"/>
      <c r="BU914" s="774"/>
      <c r="BV914" s="774"/>
      <c r="BW914" s="774"/>
      <c r="BX914" s="78"/>
      <c r="BY914" s="774"/>
      <c r="BZ914" s="774"/>
      <c r="CA914" s="774"/>
      <c r="CB914" s="774"/>
      <c r="CC914" s="78"/>
      <c r="CD914" s="78"/>
      <c r="CE914" s="78"/>
      <c r="CF914" s="78"/>
      <c r="CG914" s="532"/>
    </row>
    <row r="915" spans="1:85" s="615" customFormat="1" x14ac:dyDescent="0.3">
      <c r="A915" s="522" t="s">
        <v>1485</v>
      </c>
      <c r="B915" s="521"/>
      <c r="C915" s="1122"/>
      <c r="D915" s="1122"/>
      <c r="E915" s="1122"/>
      <c r="F915" s="1122"/>
      <c r="G915" s="520"/>
      <c r="H915" s="520"/>
      <c r="I915" s="520"/>
      <c r="J915" s="520"/>
      <c r="K915" s="1122"/>
      <c r="L915" s="520"/>
      <c r="M915" s="520"/>
      <c r="N915" s="520"/>
      <c r="O915" s="520"/>
      <c r="P915" s="1122"/>
      <c r="Q915" s="520"/>
      <c r="R915" s="520"/>
      <c r="S915" s="520"/>
      <c r="T915" s="520"/>
      <c r="U915" s="1122"/>
      <c r="V915" s="520"/>
      <c r="W915" s="520"/>
      <c r="X915" s="520"/>
      <c r="Y915" s="520"/>
      <c r="Z915" s="1122"/>
      <c r="AA915" s="520"/>
      <c r="AB915" s="520"/>
      <c r="AC915" s="520"/>
      <c r="AD915" s="520"/>
      <c r="AE915" s="1122"/>
      <c r="AF915" s="520"/>
      <c r="AG915" s="520"/>
      <c r="AH915" s="520"/>
      <c r="AI915" s="520"/>
      <c r="AJ915" s="1122"/>
      <c r="AK915" s="520"/>
      <c r="AL915" s="520"/>
      <c r="AM915" s="520"/>
      <c r="AN915" s="520"/>
      <c r="AO915" s="1122"/>
      <c r="AP915" s="520"/>
      <c r="AQ915" s="520"/>
      <c r="AR915" s="520"/>
      <c r="AS915" s="520"/>
      <c r="AT915" s="1124"/>
      <c r="AU915" s="520"/>
      <c r="AV915" s="520"/>
      <c r="AW915" s="520"/>
      <c r="AX915" s="520"/>
      <c r="AY915" s="1123">
        <v>509.11</v>
      </c>
      <c r="AZ915" s="520"/>
      <c r="BA915" s="520"/>
      <c r="BB915" s="520"/>
      <c r="BC915" s="520"/>
      <c r="BD915" s="1123">
        <v>509.11</v>
      </c>
      <c r="BE915" s="520"/>
      <c r="BF915" s="520"/>
      <c r="BG915" s="520"/>
      <c r="BH915" s="520"/>
      <c r="BI915" s="1122"/>
      <c r="BJ915" s="520"/>
      <c r="BK915" s="520"/>
      <c r="BL915" s="520"/>
      <c r="BM915" s="520"/>
      <c r="BN915" s="1122"/>
      <c r="BO915" s="520"/>
      <c r="BP915" s="520"/>
      <c r="BQ915" s="520"/>
      <c r="BR915" s="520"/>
      <c r="BS915" s="1122"/>
      <c r="BT915" s="728"/>
      <c r="BU915" s="520"/>
      <c r="BV915" s="520"/>
      <c r="BW915" s="520"/>
      <c r="BX915" s="1122"/>
      <c r="BY915" s="520"/>
      <c r="BZ915" s="520"/>
      <c r="CA915" s="520"/>
      <c r="CB915" s="520"/>
      <c r="CC915" s="1122"/>
      <c r="CD915" s="1122"/>
      <c r="CE915" s="1122"/>
      <c r="CF915" s="1122"/>
      <c r="CG915" s="519"/>
    </row>
    <row r="916" spans="1:85" s="614" customFormat="1" x14ac:dyDescent="0.3">
      <c r="A916" s="522"/>
      <c r="B916" s="352"/>
      <c r="C916" s="1094"/>
      <c r="D916" s="1094"/>
      <c r="E916" s="1094"/>
      <c r="F916" s="1094"/>
      <c r="G916" s="197"/>
      <c r="H916" s="197"/>
      <c r="I916" s="197"/>
      <c r="J916" s="197"/>
      <c r="K916" s="1094"/>
      <c r="L916" s="197"/>
      <c r="M916" s="197"/>
      <c r="N916" s="197"/>
      <c r="O916" s="197"/>
      <c r="P916" s="1094"/>
      <c r="Q916" s="197"/>
      <c r="R916" s="197"/>
      <c r="S916" s="197"/>
      <c r="T916" s="197"/>
      <c r="U916" s="1094"/>
      <c r="V916" s="197"/>
      <c r="W916" s="197"/>
      <c r="X916" s="197"/>
      <c r="Y916" s="197"/>
      <c r="Z916" s="1094"/>
      <c r="AA916" s="197"/>
      <c r="AB916" s="197"/>
      <c r="AC916" s="197"/>
      <c r="AD916" s="197"/>
      <c r="AE916" s="1094"/>
      <c r="AF916" s="197"/>
      <c r="AG916" s="197"/>
      <c r="AH916" s="197"/>
      <c r="AI916" s="197"/>
      <c r="AJ916" s="1094"/>
      <c r="AK916" s="197"/>
      <c r="AL916" s="197"/>
      <c r="AM916" s="197"/>
      <c r="AN916" s="197"/>
      <c r="AO916" s="1094"/>
      <c r="AP916" s="197"/>
      <c r="AQ916" s="197"/>
      <c r="AR916" s="197"/>
      <c r="AS916" s="197"/>
      <c r="AT916" s="198"/>
      <c r="AU916" s="197"/>
      <c r="AV916" s="197"/>
      <c r="AW916" s="197"/>
      <c r="AX916" s="197"/>
      <c r="AY916" s="198"/>
      <c r="AZ916" s="197"/>
      <c r="BA916" s="197"/>
      <c r="BB916" s="197"/>
      <c r="BC916" s="197"/>
      <c r="BD916" s="198"/>
      <c r="BE916" s="197"/>
      <c r="BF916" s="197"/>
      <c r="BG916" s="197"/>
      <c r="BH916" s="197"/>
      <c r="BI916" s="1094"/>
      <c r="BJ916" s="197"/>
      <c r="BK916" s="197"/>
      <c r="BL916" s="197"/>
      <c r="BM916" s="197"/>
      <c r="BN916" s="1094"/>
      <c r="BO916" s="197"/>
      <c r="BP916" s="197"/>
      <c r="BQ916" s="197"/>
      <c r="BR916" s="197"/>
      <c r="BS916" s="1094"/>
      <c r="BT916" s="727"/>
      <c r="BU916" s="197"/>
      <c r="BV916" s="197"/>
      <c r="BW916" s="197"/>
      <c r="BX916" s="1094"/>
      <c r="BY916" s="197"/>
      <c r="BZ916" s="197"/>
      <c r="CA916" s="197"/>
      <c r="CB916" s="197"/>
      <c r="CC916" s="1094"/>
      <c r="CD916" s="1094"/>
      <c r="CE916" s="1094"/>
      <c r="CF916" s="1094"/>
      <c r="CG916" s="349"/>
    </row>
    <row r="917" spans="1:85" s="613" customFormat="1" x14ac:dyDescent="0.3">
      <c r="A917" s="478" t="s">
        <v>1484</v>
      </c>
      <c r="B917" s="523"/>
      <c r="C917" s="78"/>
      <c r="D917" s="78"/>
      <c r="E917" s="78"/>
      <c r="F917" s="78"/>
      <c r="G917" s="774"/>
      <c r="H917" s="774"/>
      <c r="I917" s="774"/>
      <c r="J917" s="774"/>
      <c r="K917" s="78"/>
      <c r="L917" s="774"/>
      <c r="M917" s="774"/>
      <c r="N917" s="774"/>
      <c r="O917" s="774"/>
      <c r="P917" s="78"/>
      <c r="Q917" s="774"/>
      <c r="R917" s="774"/>
      <c r="S917" s="774"/>
      <c r="T917" s="774"/>
      <c r="U917" s="78"/>
      <c r="V917" s="774"/>
      <c r="W917" s="774"/>
      <c r="X917" s="774"/>
      <c r="Y917" s="774"/>
      <c r="Z917" s="78"/>
      <c r="AA917" s="774"/>
      <c r="AB917" s="774"/>
      <c r="AC917" s="774"/>
      <c r="AD917" s="774"/>
      <c r="AE917" s="78"/>
      <c r="AF917" s="774"/>
      <c r="AG917" s="774"/>
      <c r="AH917" s="774"/>
      <c r="AI917" s="774"/>
      <c r="AJ917" s="78"/>
      <c r="AK917" s="774"/>
      <c r="AL917" s="774"/>
      <c r="AM917" s="774"/>
      <c r="AN917" s="774"/>
      <c r="AO917" s="78"/>
      <c r="AP917" s="774"/>
      <c r="AQ917" s="774"/>
      <c r="AR917" s="774"/>
      <c r="AS917" s="774"/>
      <c r="AT917" s="78"/>
      <c r="AU917" s="774"/>
      <c r="AV917" s="774"/>
      <c r="AW917" s="774"/>
      <c r="AX917" s="774"/>
      <c r="AY917" s="1119">
        <v>2.8809999999999998</v>
      </c>
      <c r="AZ917" s="774"/>
      <c r="BA917" s="774"/>
      <c r="BB917" s="774"/>
      <c r="BC917" s="774"/>
      <c r="BD917" s="1119">
        <v>2.8809999999999998</v>
      </c>
      <c r="BE917" s="774"/>
      <c r="BF917" s="774"/>
      <c r="BG917" s="774"/>
      <c r="BH917" s="774"/>
      <c r="BI917" s="78"/>
      <c r="BJ917" s="774"/>
      <c r="BK917" s="774"/>
      <c r="BL917" s="774"/>
      <c r="BM917" s="774"/>
      <c r="BN917" s="78"/>
      <c r="BO917" s="774"/>
      <c r="BP917" s="774"/>
      <c r="BQ917" s="774"/>
      <c r="BR917" s="774"/>
      <c r="BS917" s="78"/>
      <c r="BT917" s="775"/>
      <c r="BU917" s="774"/>
      <c r="BV917" s="774"/>
      <c r="BW917" s="774"/>
      <c r="BX917" s="78"/>
      <c r="BY917" s="774"/>
      <c r="BZ917" s="774"/>
      <c r="CA917" s="774"/>
      <c r="CB917" s="774"/>
      <c r="CC917" s="78"/>
      <c r="CD917" s="78"/>
      <c r="CE917" s="78"/>
      <c r="CF917" s="78"/>
      <c r="CG917" s="532"/>
    </row>
    <row r="918" spans="1:85" s="615" customFormat="1" x14ac:dyDescent="0.3">
      <c r="A918" s="522" t="s">
        <v>1483</v>
      </c>
      <c r="B918" s="521"/>
      <c r="C918" s="1122"/>
      <c r="D918" s="1122"/>
      <c r="E918" s="1122"/>
      <c r="F918" s="1122"/>
      <c r="G918" s="520"/>
      <c r="H918" s="520"/>
      <c r="I918" s="520"/>
      <c r="J918" s="520"/>
      <c r="K918" s="1122"/>
      <c r="L918" s="520"/>
      <c r="M918" s="520"/>
      <c r="N918" s="520"/>
      <c r="O918" s="520"/>
      <c r="P918" s="1122"/>
      <c r="Q918" s="520"/>
      <c r="R918" s="520"/>
      <c r="S918" s="520"/>
      <c r="T918" s="520"/>
      <c r="U918" s="1122"/>
      <c r="V918" s="520"/>
      <c r="W918" s="520"/>
      <c r="X918" s="520"/>
      <c r="Y918" s="520"/>
      <c r="Z918" s="1122"/>
      <c r="AA918" s="520"/>
      <c r="AB918" s="520"/>
      <c r="AC918" s="520"/>
      <c r="AD918" s="520"/>
      <c r="AE918" s="1122"/>
      <c r="AF918" s="520"/>
      <c r="AG918" s="520"/>
      <c r="AH918" s="520"/>
      <c r="AI918" s="520"/>
      <c r="AJ918" s="1122"/>
      <c r="AK918" s="520"/>
      <c r="AL918" s="520"/>
      <c r="AM918" s="520"/>
      <c r="AN918" s="520"/>
      <c r="AO918" s="1122"/>
      <c r="AP918" s="520"/>
      <c r="AQ918" s="520"/>
      <c r="AR918" s="520"/>
      <c r="AS918" s="520"/>
      <c r="AT918" s="1124"/>
      <c r="AU918" s="520"/>
      <c r="AV918" s="520"/>
      <c r="AW918" s="520"/>
      <c r="AX918" s="520"/>
      <c r="AY918" s="1123">
        <v>499.08</v>
      </c>
      <c r="AZ918" s="520"/>
      <c r="BA918" s="520"/>
      <c r="BB918" s="520"/>
      <c r="BC918" s="520"/>
      <c r="BD918" s="1123">
        <v>499.08</v>
      </c>
      <c r="BE918" s="520"/>
      <c r="BF918" s="520"/>
      <c r="BG918" s="520"/>
      <c r="BH918" s="520"/>
      <c r="BI918" s="1122"/>
      <c r="BJ918" s="520"/>
      <c r="BK918" s="520"/>
      <c r="BL918" s="520"/>
      <c r="BM918" s="520"/>
      <c r="BN918" s="1122"/>
      <c r="BO918" s="520"/>
      <c r="BP918" s="520"/>
      <c r="BQ918" s="520"/>
      <c r="BR918" s="520"/>
      <c r="BS918" s="1122"/>
      <c r="BT918" s="728"/>
      <c r="BU918" s="520"/>
      <c r="BV918" s="520"/>
      <c r="BW918" s="520"/>
      <c r="BX918" s="1122"/>
      <c r="BY918" s="520"/>
      <c r="BZ918" s="520"/>
      <c r="CA918" s="520"/>
      <c r="CB918" s="520"/>
      <c r="CC918" s="1122"/>
      <c r="CD918" s="1122"/>
      <c r="CE918" s="1122"/>
      <c r="CF918" s="1122"/>
      <c r="CG918" s="519"/>
    </row>
    <row r="919" spans="1:85" s="614" customFormat="1" x14ac:dyDescent="0.3">
      <c r="A919" s="522"/>
      <c r="B919" s="352"/>
      <c r="C919" s="1094"/>
      <c r="D919" s="1094"/>
      <c r="E919" s="1094"/>
      <c r="F919" s="1094"/>
      <c r="G919" s="197"/>
      <c r="H919" s="197"/>
      <c r="I919" s="197"/>
      <c r="J919" s="197"/>
      <c r="K919" s="1094"/>
      <c r="L919" s="197"/>
      <c r="M919" s="197"/>
      <c r="N919" s="197"/>
      <c r="O919" s="197"/>
      <c r="P919" s="1094"/>
      <c r="Q919" s="197"/>
      <c r="R919" s="197"/>
      <c r="S919" s="197"/>
      <c r="T919" s="197"/>
      <c r="U919" s="1094"/>
      <c r="V919" s="197"/>
      <c r="W919" s="197"/>
      <c r="X919" s="197"/>
      <c r="Y919" s="197"/>
      <c r="Z919" s="1094"/>
      <c r="AA919" s="197"/>
      <c r="AB919" s="197"/>
      <c r="AC919" s="197"/>
      <c r="AD919" s="197"/>
      <c r="AE919" s="1094"/>
      <c r="AF919" s="197"/>
      <c r="AG919" s="197"/>
      <c r="AH919" s="197"/>
      <c r="AI919" s="197"/>
      <c r="AJ919" s="1094"/>
      <c r="AK919" s="197"/>
      <c r="AL919" s="197"/>
      <c r="AM919" s="197"/>
      <c r="AN919" s="197"/>
      <c r="AO919" s="1094"/>
      <c r="AP919" s="197"/>
      <c r="AQ919" s="197"/>
      <c r="AR919" s="197"/>
      <c r="AS919" s="197"/>
      <c r="AT919" s="198"/>
      <c r="AU919" s="197"/>
      <c r="AV919" s="197"/>
      <c r="AW919" s="197"/>
      <c r="AX919" s="197"/>
      <c r="AY919" s="198"/>
      <c r="AZ919" s="197"/>
      <c r="BA919" s="197"/>
      <c r="BB919" s="197"/>
      <c r="BC919" s="197"/>
      <c r="BD919" s="198"/>
      <c r="BE919" s="197"/>
      <c r="BF919" s="197"/>
      <c r="BG919" s="197"/>
      <c r="BH919" s="197"/>
      <c r="BI919" s="1094"/>
      <c r="BJ919" s="197"/>
      <c r="BK919" s="197"/>
      <c r="BL919" s="197"/>
      <c r="BM919" s="197"/>
      <c r="BN919" s="1094"/>
      <c r="BO919" s="197"/>
      <c r="BP919" s="197"/>
      <c r="BQ919" s="197"/>
      <c r="BR919" s="197"/>
      <c r="BS919" s="1094"/>
      <c r="BT919" s="727"/>
      <c r="BU919" s="197"/>
      <c r="BV919" s="197"/>
      <c r="BW919" s="197"/>
      <c r="BX919" s="1094"/>
      <c r="BY919" s="197"/>
      <c r="BZ919" s="197"/>
      <c r="CA919" s="197"/>
      <c r="CB919" s="197"/>
      <c r="CC919" s="1094"/>
      <c r="CD919" s="1094"/>
      <c r="CE919" s="1094"/>
      <c r="CF919" s="1094"/>
      <c r="CG919" s="349"/>
    </row>
    <row r="920" spans="1:85" s="613" customFormat="1" x14ac:dyDescent="0.3">
      <c r="A920" s="478" t="s">
        <v>1482</v>
      </c>
      <c r="B920" s="523"/>
      <c r="C920" s="78"/>
      <c r="D920" s="78"/>
      <c r="E920" s="78"/>
      <c r="F920" s="78"/>
      <c r="G920" s="774"/>
      <c r="H920" s="774"/>
      <c r="I920" s="774"/>
      <c r="J920" s="774"/>
      <c r="K920" s="78"/>
      <c r="L920" s="774"/>
      <c r="M920" s="774"/>
      <c r="N920" s="774"/>
      <c r="O920" s="774"/>
      <c r="P920" s="78"/>
      <c r="Q920" s="774"/>
      <c r="R920" s="774"/>
      <c r="S920" s="774"/>
      <c r="T920" s="774"/>
      <c r="U920" s="78"/>
      <c r="V920" s="774"/>
      <c r="W920" s="774"/>
      <c r="X920" s="774"/>
      <c r="Y920" s="774"/>
      <c r="Z920" s="78"/>
      <c r="AA920" s="774"/>
      <c r="AB920" s="774"/>
      <c r="AC920" s="774"/>
      <c r="AD920" s="774"/>
      <c r="AE920" s="78"/>
      <c r="AF920" s="774"/>
      <c r="AG920" s="774"/>
      <c r="AH920" s="774"/>
      <c r="AI920" s="774"/>
      <c r="AJ920" s="78"/>
      <c r="AK920" s="774"/>
      <c r="AL920" s="774"/>
      <c r="AM920" s="774"/>
      <c r="AN920" s="774"/>
      <c r="AO920" s="78"/>
      <c r="AP920" s="774"/>
      <c r="AQ920" s="774"/>
      <c r="AR920" s="774"/>
      <c r="AS920" s="774"/>
      <c r="AT920" s="78"/>
      <c r="AU920" s="774"/>
      <c r="AV920" s="774"/>
      <c r="AW920" s="774"/>
      <c r="AX920" s="774"/>
      <c r="AY920" s="1119">
        <v>2.694</v>
      </c>
      <c r="AZ920" s="774"/>
      <c r="BA920" s="774"/>
      <c r="BB920" s="774"/>
      <c r="BC920" s="774"/>
      <c r="BD920" s="1119">
        <v>2.694</v>
      </c>
      <c r="BE920" s="774"/>
      <c r="BF920" s="774"/>
      <c r="BG920" s="774"/>
      <c r="BH920" s="774"/>
      <c r="BI920" s="78"/>
      <c r="BJ920" s="774"/>
      <c r="BK920" s="774"/>
      <c r="BL920" s="774"/>
      <c r="BM920" s="774"/>
      <c r="BN920" s="78"/>
      <c r="BO920" s="774"/>
      <c r="BP920" s="774"/>
      <c r="BQ920" s="774"/>
      <c r="BR920" s="774"/>
      <c r="BS920" s="78"/>
      <c r="BT920" s="775"/>
      <c r="BU920" s="774"/>
      <c r="BV920" s="774"/>
      <c r="BW920" s="774"/>
      <c r="BX920" s="78"/>
      <c r="BY920" s="774"/>
      <c r="BZ920" s="774"/>
      <c r="CA920" s="774"/>
      <c r="CB920" s="774"/>
      <c r="CC920" s="78"/>
      <c r="CD920" s="78"/>
      <c r="CE920" s="78"/>
      <c r="CF920" s="78"/>
      <c r="CG920" s="532"/>
    </row>
    <row r="921" spans="1:85" s="615" customFormat="1" x14ac:dyDescent="0.3">
      <c r="A921" s="522" t="s">
        <v>1481</v>
      </c>
      <c r="B921" s="521"/>
      <c r="C921" s="1122"/>
      <c r="D921" s="1122"/>
      <c r="E921" s="1122"/>
      <c r="F921" s="1122"/>
      <c r="G921" s="520"/>
      <c r="H921" s="520"/>
      <c r="I921" s="520"/>
      <c r="J921" s="520"/>
      <c r="K921" s="1122"/>
      <c r="L921" s="520"/>
      <c r="M921" s="520"/>
      <c r="N921" s="520"/>
      <c r="O921" s="520"/>
      <c r="P921" s="1122"/>
      <c r="Q921" s="520"/>
      <c r="R921" s="520"/>
      <c r="S921" s="520"/>
      <c r="T921" s="520"/>
      <c r="U921" s="1122"/>
      <c r="V921" s="520"/>
      <c r="W921" s="520"/>
      <c r="X921" s="520"/>
      <c r="Y921" s="520"/>
      <c r="Z921" s="1122"/>
      <c r="AA921" s="520"/>
      <c r="AB921" s="520"/>
      <c r="AC921" s="520"/>
      <c r="AD921" s="520"/>
      <c r="AE921" s="1122"/>
      <c r="AF921" s="520"/>
      <c r="AG921" s="520"/>
      <c r="AH921" s="520"/>
      <c r="AI921" s="520"/>
      <c r="AJ921" s="1122"/>
      <c r="AK921" s="520"/>
      <c r="AL921" s="520"/>
      <c r="AM921" s="520"/>
      <c r="AN921" s="520"/>
      <c r="AO921" s="1122"/>
      <c r="AP921" s="520"/>
      <c r="AQ921" s="520"/>
      <c r="AR921" s="520"/>
      <c r="AS921" s="520"/>
      <c r="AT921" s="1124"/>
      <c r="AU921" s="520"/>
      <c r="AV921" s="520"/>
      <c r="AW921" s="520"/>
      <c r="AX921" s="520"/>
      <c r="AY921" s="1123">
        <v>533.54</v>
      </c>
      <c r="AZ921" s="520"/>
      <c r="BA921" s="520"/>
      <c r="BB921" s="520"/>
      <c r="BC921" s="520"/>
      <c r="BD921" s="1123">
        <v>533.54</v>
      </c>
      <c r="BE921" s="520"/>
      <c r="BF921" s="520"/>
      <c r="BG921" s="520"/>
      <c r="BH921" s="520"/>
      <c r="BI921" s="1122"/>
      <c r="BJ921" s="520"/>
      <c r="BK921" s="520"/>
      <c r="BL921" s="520"/>
      <c r="BM921" s="520"/>
      <c r="BN921" s="1122"/>
      <c r="BO921" s="520"/>
      <c r="BP921" s="520"/>
      <c r="BQ921" s="520"/>
      <c r="BR921" s="520"/>
      <c r="BS921" s="1122"/>
      <c r="BT921" s="728"/>
      <c r="BU921" s="520"/>
      <c r="BV921" s="520"/>
      <c r="BW921" s="520"/>
      <c r="BX921" s="1122"/>
      <c r="BY921" s="520"/>
      <c r="BZ921" s="520"/>
      <c r="CA921" s="520"/>
      <c r="CB921" s="520"/>
      <c r="CC921" s="1122"/>
      <c r="CD921" s="1122"/>
      <c r="CE921" s="1122"/>
      <c r="CF921" s="1122"/>
      <c r="CG921" s="519"/>
    </row>
    <row r="922" spans="1:85" s="614" customFormat="1" x14ac:dyDescent="0.3">
      <c r="A922" s="522"/>
      <c r="B922" s="352"/>
      <c r="C922" s="1094"/>
      <c r="D922" s="1094"/>
      <c r="E922" s="1094"/>
      <c r="F922" s="1094"/>
      <c r="G922" s="197"/>
      <c r="H922" s="197"/>
      <c r="I922" s="197"/>
      <c r="J922" s="197"/>
      <c r="K922" s="1094"/>
      <c r="L922" s="197"/>
      <c r="M922" s="197"/>
      <c r="N922" s="197"/>
      <c r="O922" s="197"/>
      <c r="P922" s="1094"/>
      <c r="Q922" s="197"/>
      <c r="R922" s="197"/>
      <c r="S922" s="197"/>
      <c r="T922" s="197"/>
      <c r="U922" s="1094"/>
      <c r="V922" s="197"/>
      <c r="W922" s="197"/>
      <c r="X922" s="197"/>
      <c r="Y922" s="197"/>
      <c r="Z922" s="1094"/>
      <c r="AA922" s="197"/>
      <c r="AB922" s="197"/>
      <c r="AC922" s="197"/>
      <c r="AD922" s="197"/>
      <c r="AE922" s="1094"/>
      <c r="AF922" s="197"/>
      <c r="AG922" s="197"/>
      <c r="AH922" s="197"/>
      <c r="AI922" s="197"/>
      <c r="AJ922" s="1094"/>
      <c r="AK922" s="197"/>
      <c r="AL922" s="197"/>
      <c r="AM922" s="197"/>
      <c r="AN922" s="197"/>
      <c r="AO922" s="1094"/>
      <c r="AP922" s="197"/>
      <c r="AQ922" s="197"/>
      <c r="AR922" s="197"/>
      <c r="AS922" s="197"/>
      <c r="AT922" s="198"/>
      <c r="AU922" s="197"/>
      <c r="AV922" s="197"/>
      <c r="AW922" s="197"/>
      <c r="AX922" s="197"/>
      <c r="AY922" s="198"/>
      <c r="AZ922" s="197"/>
      <c r="BA922" s="197"/>
      <c r="BB922" s="197"/>
      <c r="BC922" s="197"/>
      <c r="BD922" s="198"/>
      <c r="BE922" s="197"/>
      <c r="BF922" s="197"/>
      <c r="BG922" s="197"/>
      <c r="BH922" s="197"/>
      <c r="BI922" s="1094"/>
      <c r="BJ922" s="197"/>
      <c r="BK922" s="197"/>
      <c r="BL922" s="197"/>
      <c r="BM922" s="197"/>
      <c r="BN922" s="1094"/>
      <c r="BO922" s="197"/>
      <c r="BP922" s="197"/>
      <c r="BQ922" s="197"/>
      <c r="BR922" s="197"/>
      <c r="BS922" s="1094"/>
      <c r="BT922" s="727"/>
      <c r="BU922" s="197"/>
      <c r="BV922" s="197"/>
      <c r="BW922" s="197"/>
      <c r="BX922" s="1094"/>
      <c r="BY922" s="197"/>
      <c r="BZ922" s="197"/>
      <c r="CA922" s="197"/>
      <c r="CB922" s="197"/>
      <c r="CC922" s="1094"/>
      <c r="CD922" s="1094"/>
      <c r="CE922" s="1094"/>
      <c r="CF922" s="1094"/>
      <c r="CG922" s="349"/>
    </row>
    <row r="923" spans="1:85" s="613" customFormat="1" x14ac:dyDescent="0.3">
      <c r="A923" s="478" t="s">
        <v>1480</v>
      </c>
      <c r="B923" s="523"/>
      <c r="C923" s="78"/>
      <c r="D923" s="78"/>
      <c r="E923" s="78"/>
      <c r="F923" s="78"/>
      <c r="G923" s="774"/>
      <c r="H923" s="774"/>
      <c r="I923" s="774"/>
      <c r="J923" s="774"/>
      <c r="K923" s="78"/>
      <c r="L923" s="774"/>
      <c r="M923" s="774"/>
      <c r="N923" s="774"/>
      <c r="O923" s="774"/>
      <c r="P923" s="78"/>
      <c r="Q923" s="774"/>
      <c r="R923" s="774"/>
      <c r="S923" s="774"/>
      <c r="T923" s="774"/>
      <c r="U923" s="78"/>
      <c r="V923" s="774"/>
      <c r="W923" s="774"/>
      <c r="X923" s="774"/>
      <c r="Y923" s="774"/>
      <c r="Z923" s="78"/>
      <c r="AA923" s="774"/>
      <c r="AB923" s="774"/>
      <c r="AC923" s="774"/>
      <c r="AD923" s="774"/>
      <c r="AE923" s="78"/>
      <c r="AF923" s="774"/>
      <c r="AG923" s="774"/>
      <c r="AH923" s="774"/>
      <c r="AI923" s="774"/>
      <c r="AJ923" s="78"/>
      <c r="AK923" s="774"/>
      <c r="AL923" s="774"/>
      <c r="AM923" s="774"/>
      <c r="AN923" s="774"/>
      <c r="AO923" s="78"/>
      <c r="AP923" s="774"/>
      <c r="AQ923" s="774"/>
      <c r="AR923" s="774"/>
      <c r="AS923" s="774"/>
      <c r="AT923" s="78"/>
      <c r="AU923" s="774"/>
      <c r="AV923" s="774"/>
      <c r="AW923" s="774"/>
      <c r="AX923" s="774"/>
      <c r="AY923" s="1119">
        <v>2.79</v>
      </c>
      <c r="AZ923" s="774"/>
      <c r="BA923" s="774"/>
      <c r="BB923" s="774"/>
      <c r="BC923" s="774"/>
      <c r="BD923" s="1119">
        <v>2.79</v>
      </c>
      <c r="BE923" s="774"/>
      <c r="BF923" s="774"/>
      <c r="BG923" s="774"/>
      <c r="BH923" s="774"/>
      <c r="BI923" s="78"/>
      <c r="BJ923" s="774"/>
      <c r="BK923" s="774"/>
      <c r="BL923" s="774"/>
      <c r="BM923" s="774"/>
      <c r="BN923" s="78"/>
      <c r="BO923" s="774"/>
      <c r="BP923" s="774"/>
      <c r="BQ923" s="774"/>
      <c r="BR923" s="774"/>
      <c r="BS923" s="78"/>
      <c r="BT923" s="775"/>
      <c r="BU923" s="774"/>
      <c r="BV923" s="774"/>
      <c r="BW923" s="774"/>
      <c r="BX923" s="78"/>
      <c r="BY923" s="774"/>
      <c r="BZ923" s="774"/>
      <c r="CA923" s="774"/>
      <c r="CB923" s="774"/>
      <c r="CC923" s="78"/>
      <c r="CD923" s="78"/>
      <c r="CE923" s="78"/>
      <c r="CF923" s="78"/>
      <c r="CG923" s="532"/>
    </row>
    <row r="924" spans="1:85" s="615" customFormat="1" x14ac:dyDescent="0.3">
      <c r="A924" s="522" t="s">
        <v>1479</v>
      </c>
      <c r="B924" s="521"/>
      <c r="C924" s="1122"/>
      <c r="D924" s="1122"/>
      <c r="E924" s="1122"/>
      <c r="F924" s="1122"/>
      <c r="G924" s="520"/>
      <c r="H924" s="520"/>
      <c r="I924" s="520"/>
      <c r="J924" s="520"/>
      <c r="K924" s="1122"/>
      <c r="L924" s="520"/>
      <c r="M924" s="520"/>
      <c r="N924" s="520"/>
      <c r="O924" s="520"/>
      <c r="P924" s="1122"/>
      <c r="Q924" s="520"/>
      <c r="R924" s="520"/>
      <c r="S924" s="520"/>
      <c r="T924" s="520"/>
      <c r="U924" s="1122"/>
      <c r="V924" s="520"/>
      <c r="W924" s="520"/>
      <c r="X924" s="520"/>
      <c r="Y924" s="520"/>
      <c r="Z924" s="1122"/>
      <c r="AA924" s="520"/>
      <c r="AB924" s="520"/>
      <c r="AC924" s="520"/>
      <c r="AD924" s="520"/>
      <c r="AE924" s="1122"/>
      <c r="AF924" s="520"/>
      <c r="AG924" s="520"/>
      <c r="AH924" s="520"/>
      <c r="AI924" s="520"/>
      <c r="AJ924" s="1122"/>
      <c r="AK924" s="520"/>
      <c r="AL924" s="520"/>
      <c r="AM924" s="520"/>
      <c r="AN924" s="520"/>
      <c r="AO924" s="1122"/>
      <c r="AP924" s="520"/>
      <c r="AQ924" s="520"/>
      <c r="AR924" s="520"/>
      <c r="AS924" s="520"/>
      <c r="AT924" s="1124"/>
      <c r="AU924" s="520"/>
      <c r="AV924" s="520"/>
      <c r="AW924" s="520"/>
      <c r="AX924" s="520"/>
      <c r="AY924" s="1123">
        <v>515.15</v>
      </c>
      <c r="AZ924" s="520"/>
      <c r="BA924" s="520"/>
      <c r="BB924" s="520"/>
      <c r="BC924" s="520"/>
      <c r="BD924" s="1123">
        <v>515.15</v>
      </c>
      <c r="BE924" s="520"/>
      <c r="BF924" s="520"/>
      <c r="BG924" s="520"/>
      <c r="BH924" s="520"/>
      <c r="BI924" s="1122"/>
      <c r="BJ924" s="520"/>
      <c r="BK924" s="520"/>
      <c r="BL924" s="520"/>
      <c r="BM924" s="520"/>
      <c r="BN924" s="1122"/>
      <c r="BO924" s="520"/>
      <c r="BP924" s="520"/>
      <c r="BQ924" s="520"/>
      <c r="BR924" s="520"/>
      <c r="BS924" s="1122"/>
      <c r="BT924" s="728"/>
      <c r="BU924" s="520"/>
      <c r="BV924" s="520"/>
      <c r="BW924" s="520"/>
      <c r="BX924" s="1122"/>
      <c r="BY924" s="520"/>
      <c r="BZ924" s="520"/>
      <c r="CA924" s="520"/>
      <c r="CB924" s="520"/>
      <c r="CC924" s="1122"/>
      <c r="CD924" s="1122"/>
      <c r="CE924" s="1122"/>
      <c r="CF924" s="1122"/>
      <c r="CG924" s="519"/>
    </row>
    <row r="925" spans="1:85" s="614" customFormat="1" x14ac:dyDescent="0.3">
      <c r="A925" s="522"/>
      <c r="B925" s="352"/>
      <c r="C925" s="1094"/>
      <c r="D925" s="1094"/>
      <c r="E925" s="1094"/>
      <c r="F925" s="1094"/>
      <c r="G925" s="197"/>
      <c r="H925" s="197"/>
      <c r="I925" s="197"/>
      <c r="J925" s="197"/>
      <c r="K925" s="1094"/>
      <c r="L925" s="197"/>
      <c r="M925" s="197"/>
      <c r="N925" s="197"/>
      <c r="O925" s="197"/>
      <c r="P925" s="1094"/>
      <c r="Q925" s="197"/>
      <c r="R925" s="197"/>
      <c r="S925" s="197"/>
      <c r="T925" s="197"/>
      <c r="U925" s="1094"/>
      <c r="V925" s="197"/>
      <c r="W925" s="197"/>
      <c r="X925" s="197"/>
      <c r="Y925" s="197"/>
      <c r="Z925" s="1094"/>
      <c r="AA925" s="197"/>
      <c r="AB925" s="197"/>
      <c r="AC925" s="197"/>
      <c r="AD925" s="197"/>
      <c r="AE925" s="1094"/>
      <c r="AF925" s="197"/>
      <c r="AG925" s="197"/>
      <c r="AH925" s="197"/>
      <c r="AI925" s="197"/>
      <c r="AJ925" s="1094"/>
      <c r="AK925" s="197"/>
      <c r="AL925" s="197"/>
      <c r="AM925" s="197"/>
      <c r="AN925" s="197"/>
      <c r="AO925" s="1094"/>
      <c r="AP925" s="197"/>
      <c r="AQ925" s="197"/>
      <c r="AR925" s="197"/>
      <c r="AS925" s="197"/>
      <c r="AT925" s="198"/>
      <c r="AU925" s="197"/>
      <c r="AV925" s="197"/>
      <c r="AW925" s="197"/>
      <c r="AX925" s="197"/>
      <c r="AY925" s="198"/>
      <c r="AZ925" s="197"/>
      <c r="BA925" s="197"/>
      <c r="BB925" s="197"/>
      <c r="BC925" s="197"/>
      <c r="BD925" s="198"/>
      <c r="BE925" s="197"/>
      <c r="BF925" s="197"/>
      <c r="BG925" s="197"/>
      <c r="BH925" s="197"/>
      <c r="BI925" s="1094"/>
      <c r="BJ925" s="197"/>
      <c r="BK925" s="197"/>
      <c r="BL925" s="197"/>
      <c r="BM925" s="197"/>
      <c r="BN925" s="1094"/>
      <c r="BO925" s="197"/>
      <c r="BP925" s="197"/>
      <c r="BQ925" s="197"/>
      <c r="BR925" s="197"/>
      <c r="BS925" s="1094"/>
      <c r="BT925" s="727"/>
      <c r="BU925" s="197"/>
      <c r="BV925" s="197"/>
      <c r="BW925" s="197"/>
      <c r="BX925" s="1094"/>
      <c r="BY925" s="197"/>
      <c r="BZ925" s="197"/>
      <c r="CA925" s="197"/>
      <c r="CB925" s="197"/>
      <c r="CC925" s="1094"/>
      <c r="CD925" s="1094"/>
      <c r="CE925" s="1094"/>
      <c r="CF925" s="1094"/>
      <c r="CG925" s="349"/>
    </row>
    <row r="926" spans="1:85" s="613" customFormat="1" x14ac:dyDescent="0.3">
      <c r="A926" s="478" t="s">
        <v>1478</v>
      </c>
      <c r="B926" s="523"/>
      <c r="C926" s="78"/>
      <c r="D926" s="78"/>
      <c r="E926" s="78"/>
      <c r="F926" s="78"/>
      <c r="G926" s="774"/>
      <c r="H926" s="774"/>
      <c r="I926" s="774"/>
      <c r="J926" s="774"/>
      <c r="K926" s="78"/>
      <c r="L926" s="774"/>
      <c r="M926" s="774"/>
      <c r="N926" s="774"/>
      <c r="O926" s="774"/>
      <c r="P926" s="78"/>
      <c r="Q926" s="774"/>
      <c r="R926" s="774"/>
      <c r="S926" s="774"/>
      <c r="T926" s="774"/>
      <c r="U926" s="78"/>
      <c r="V926" s="774"/>
      <c r="W926" s="774"/>
      <c r="X926" s="774"/>
      <c r="Y926" s="774"/>
      <c r="Z926" s="78"/>
      <c r="AA926" s="774"/>
      <c r="AB926" s="774"/>
      <c r="AC926" s="774"/>
      <c r="AD926" s="774"/>
      <c r="AE926" s="78"/>
      <c r="AF926" s="774"/>
      <c r="AG926" s="774"/>
      <c r="AH926" s="774"/>
      <c r="AI926" s="774"/>
      <c r="AJ926" s="78"/>
      <c r="AK926" s="774"/>
      <c r="AL926" s="774"/>
      <c r="AM926" s="774"/>
      <c r="AN926" s="774"/>
      <c r="AO926" s="78"/>
      <c r="AP926" s="774"/>
      <c r="AQ926" s="774"/>
      <c r="AR926" s="774"/>
      <c r="AS926" s="774"/>
      <c r="AT926" s="78"/>
      <c r="AU926" s="774"/>
      <c r="AV926" s="774"/>
      <c r="AW926" s="774"/>
      <c r="AX926" s="774"/>
      <c r="AY926" s="1119">
        <v>2.4700000000000002</v>
      </c>
      <c r="AZ926" s="774"/>
      <c r="BA926" s="774"/>
      <c r="BB926" s="774"/>
      <c r="BC926" s="774"/>
      <c r="BD926" s="1119">
        <v>2.4700000000000002</v>
      </c>
      <c r="BE926" s="774"/>
      <c r="BF926" s="774"/>
      <c r="BG926" s="774"/>
      <c r="BH926" s="774"/>
      <c r="BI926" s="78"/>
      <c r="BJ926" s="774"/>
      <c r="BK926" s="774"/>
      <c r="BL926" s="774"/>
      <c r="BM926" s="774"/>
      <c r="BN926" s="78"/>
      <c r="BO926" s="774"/>
      <c r="BP926" s="774"/>
      <c r="BQ926" s="774"/>
      <c r="BR926" s="774"/>
      <c r="BS926" s="78"/>
      <c r="BT926" s="775"/>
      <c r="BU926" s="774"/>
      <c r="BV926" s="774"/>
      <c r="BW926" s="774"/>
      <c r="BX926" s="78"/>
      <c r="BY926" s="774"/>
      <c r="BZ926" s="774"/>
      <c r="CA926" s="774"/>
      <c r="CB926" s="774"/>
      <c r="CC926" s="78"/>
      <c r="CD926" s="78"/>
      <c r="CE926" s="78"/>
      <c r="CF926" s="78"/>
      <c r="CG926" s="532"/>
    </row>
    <row r="927" spans="1:85" s="615" customFormat="1" x14ac:dyDescent="0.3">
      <c r="A927" s="522" t="s">
        <v>1477</v>
      </c>
      <c r="B927" s="521"/>
      <c r="C927" s="1122"/>
      <c r="D927" s="1122"/>
      <c r="E927" s="1122"/>
      <c r="F927" s="1122"/>
      <c r="G927" s="520"/>
      <c r="H927" s="520"/>
      <c r="I927" s="520"/>
      <c r="J927" s="520"/>
      <c r="K927" s="1122"/>
      <c r="L927" s="520"/>
      <c r="M927" s="520"/>
      <c r="N927" s="520"/>
      <c r="O927" s="520"/>
      <c r="P927" s="1122"/>
      <c r="Q927" s="520"/>
      <c r="R927" s="520"/>
      <c r="S927" s="520"/>
      <c r="T927" s="520"/>
      <c r="U927" s="1122"/>
      <c r="V927" s="520"/>
      <c r="W927" s="520"/>
      <c r="X927" s="520"/>
      <c r="Y927" s="520"/>
      <c r="Z927" s="1122"/>
      <c r="AA927" s="520"/>
      <c r="AB927" s="520"/>
      <c r="AC927" s="520"/>
      <c r="AD927" s="520"/>
      <c r="AE927" s="1122"/>
      <c r="AF927" s="520"/>
      <c r="AG927" s="520"/>
      <c r="AH927" s="520"/>
      <c r="AI927" s="520"/>
      <c r="AJ927" s="1122"/>
      <c r="AK927" s="520"/>
      <c r="AL927" s="520"/>
      <c r="AM927" s="520"/>
      <c r="AN927" s="520"/>
      <c r="AO927" s="1122"/>
      <c r="AP927" s="520"/>
      <c r="AQ927" s="520"/>
      <c r="AR927" s="520"/>
      <c r="AS927" s="520"/>
      <c r="AT927" s="1124"/>
      <c r="AU927" s="520"/>
      <c r="AV927" s="520"/>
      <c r="AW927" s="520"/>
      <c r="AX927" s="520"/>
      <c r="AY927" s="1123">
        <v>582.07000000000005</v>
      </c>
      <c r="AZ927" s="520"/>
      <c r="BA927" s="520"/>
      <c r="BB927" s="520"/>
      <c r="BC927" s="520"/>
      <c r="BD927" s="1123">
        <v>582.07000000000005</v>
      </c>
      <c r="BE927" s="520"/>
      <c r="BF927" s="520"/>
      <c r="BG927" s="520"/>
      <c r="BH927" s="520"/>
      <c r="BI927" s="1122"/>
      <c r="BJ927" s="520"/>
      <c r="BK927" s="520"/>
      <c r="BL927" s="520"/>
      <c r="BM927" s="520"/>
      <c r="BN927" s="1122"/>
      <c r="BO927" s="520"/>
      <c r="BP927" s="520"/>
      <c r="BQ927" s="520"/>
      <c r="BR927" s="520"/>
      <c r="BS927" s="1122"/>
      <c r="BT927" s="728"/>
      <c r="BU927" s="520"/>
      <c r="BV927" s="520"/>
      <c r="BW927" s="520"/>
      <c r="BX927" s="1122"/>
      <c r="BY927" s="520"/>
      <c r="BZ927" s="520"/>
      <c r="CA927" s="520"/>
      <c r="CB927" s="520"/>
      <c r="CC927" s="1122"/>
      <c r="CD927" s="1122"/>
      <c r="CE927" s="1122"/>
      <c r="CF927" s="1122"/>
      <c r="CG927" s="519"/>
    </row>
    <row r="928" spans="1:85" s="614" customFormat="1" x14ac:dyDescent="0.3">
      <c r="A928" s="522"/>
      <c r="B928" s="352"/>
      <c r="C928" s="1094"/>
      <c r="D928" s="1094"/>
      <c r="E928" s="1094"/>
      <c r="F928" s="1094"/>
      <c r="G928" s="197"/>
      <c r="H928" s="197"/>
      <c r="I928" s="197"/>
      <c r="J928" s="197"/>
      <c r="K928" s="1094"/>
      <c r="L928" s="197"/>
      <c r="M928" s="197"/>
      <c r="N928" s="197"/>
      <c r="O928" s="197"/>
      <c r="P928" s="1094"/>
      <c r="Q928" s="197"/>
      <c r="R928" s="197"/>
      <c r="S928" s="197"/>
      <c r="T928" s="197"/>
      <c r="U928" s="1094"/>
      <c r="V928" s="197"/>
      <c r="W928" s="197"/>
      <c r="X928" s="197"/>
      <c r="Y928" s="197"/>
      <c r="Z928" s="1094"/>
      <c r="AA928" s="197"/>
      <c r="AB928" s="197"/>
      <c r="AC928" s="197"/>
      <c r="AD928" s="197"/>
      <c r="AE928" s="1094"/>
      <c r="AF928" s="197"/>
      <c r="AG928" s="197"/>
      <c r="AH928" s="197"/>
      <c r="AI928" s="197"/>
      <c r="AJ928" s="1094"/>
      <c r="AK928" s="197"/>
      <c r="AL928" s="197"/>
      <c r="AM928" s="197"/>
      <c r="AN928" s="197"/>
      <c r="AO928" s="1094"/>
      <c r="AP928" s="197"/>
      <c r="AQ928" s="197"/>
      <c r="AR928" s="197"/>
      <c r="AS928" s="197"/>
      <c r="AT928" s="198"/>
      <c r="AU928" s="197"/>
      <c r="AV928" s="197"/>
      <c r="AW928" s="197"/>
      <c r="AX928" s="197"/>
      <c r="AY928" s="198"/>
      <c r="AZ928" s="197"/>
      <c r="BA928" s="197"/>
      <c r="BB928" s="197"/>
      <c r="BC928" s="197"/>
      <c r="BD928" s="198"/>
      <c r="BE928" s="197"/>
      <c r="BF928" s="197"/>
      <c r="BG928" s="197"/>
      <c r="BH928" s="197"/>
      <c r="BI928" s="1094"/>
      <c r="BJ928" s="197"/>
      <c r="BK928" s="197"/>
      <c r="BL928" s="197"/>
      <c r="BM928" s="197"/>
      <c r="BN928" s="1094"/>
      <c r="BO928" s="197"/>
      <c r="BP928" s="197"/>
      <c r="BQ928" s="197"/>
      <c r="BR928" s="197"/>
      <c r="BS928" s="1094"/>
      <c r="BT928" s="727"/>
      <c r="BU928" s="197"/>
      <c r="BV928" s="197"/>
      <c r="BW928" s="197"/>
      <c r="BX928" s="1094"/>
      <c r="BY928" s="197"/>
      <c r="BZ928" s="197"/>
      <c r="CA928" s="197"/>
      <c r="CB928" s="197"/>
      <c r="CC928" s="1094"/>
      <c r="CD928" s="1094"/>
      <c r="CE928" s="1094"/>
      <c r="CF928" s="1094"/>
      <c r="CG928" s="349"/>
    </row>
    <row r="929" spans="1:85" s="613" customFormat="1" x14ac:dyDescent="0.3">
      <c r="A929" s="478" t="s">
        <v>1476</v>
      </c>
      <c r="B929" s="523"/>
      <c r="C929" s="78"/>
      <c r="D929" s="78"/>
      <c r="E929" s="78"/>
      <c r="F929" s="78"/>
      <c r="G929" s="774"/>
      <c r="H929" s="774"/>
      <c r="I929" s="774"/>
      <c r="J929" s="774"/>
      <c r="K929" s="78"/>
      <c r="L929" s="774"/>
      <c r="M929" s="774"/>
      <c r="N929" s="774"/>
      <c r="O929" s="774"/>
      <c r="P929" s="78"/>
      <c r="Q929" s="774"/>
      <c r="R929" s="774"/>
      <c r="S929" s="774"/>
      <c r="T929" s="774"/>
      <c r="U929" s="78"/>
      <c r="V929" s="774"/>
      <c r="W929" s="774"/>
      <c r="X929" s="774"/>
      <c r="Y929" s="774"/>
      <c r="Z929" s="78"/>
      <c r="AA929" s="774"/>
      <c r="AB929" s="774"/>
      <c r="AC929" s="774"/>
      <c r="AD929" s="774"/>
      <c r="AE929" s="78"/>
      <c r="AF929" s="774"/>
      <c r="AG929" s="774"/>
      <c r="AH929" s="774"/>
      <c r="AI929" s="774"/>
      <c r="AJ929" s="78"/>
      <c r="AK929" s="774"/>
      <c r="AL929" s="774"/>
      <c r="AM929" s="774"/>
      <c r="AN929" s="774"/>
      <c r="AO929" s="78"/>
      <c r="AP929" s="774"/>
      <c r="AQ929" s="774"/>
      <c r="AR929" s="774"/>
      <c r="AS929" s="774"/>
      <c r="AT929" s="78"/>
      <c r="AU929" s="774"/>
      <c r="AV929" s="774"/>
      <c r="AW929" s="774"/>
      <c r="AX929" s="774"/>
      <c r="AY929" s="1119">
        <v>2.3439999999999999</v>
      </c>
      <c r="AZ929" s="774"/>
      <c r="BA929" s="774"/>
      <c r="BB929" s="774"/>
      <c r="BC929" s="774"/>
      <c r="BD929" s="1119">
        <v>2.3439999999999999</v>
      </c>
      <c r="BE929" s="774"/>
      <c r="BF929" s="774"/>
      <c r="BG929" s="774"/>
      <c r="BH929" s="774"/>
      <c r="BI929" s="78"/>
      <c r="BJ929" s="774"/>
      <c r="BK929" s="774"/>
      <c r="BL929" s="774"/>
      <c r="BM929" s="774"/>
      <c r="BN929" s="78"/>
      <c r="BO929" s="774"/>
      <c r="BP929" s="774"/>
      <c r="BQ929" s="774"/>
      <c r="BR929" s="774"/>
      <c r="BS929" s="78"/>
      <c r="BT929" s="775"/>
      <c r="BU929" s="774"/>
      <c r="BV929" s="774"/>
      <c r="BW929" s="774"/>
      <c r="BX929" s="78"/>
      <c r="BY929" s="774"/>
      <c r="BZ929" s="774"/>
      <c r="CA929" s="774"/>
      <c r="CB929" s="774"/>
      <c r="CC929" s="78"/>
      <c r="CD929" s="78"/>
      <c r="CE929" s="78"/>
      <c r="CF929" s="78"/>
      <c r="CG929" s="532"/>
    </row>
    <row r="930" spans="1:85" s="615" customFormat="1" x14ac:dyDescent="0.3">
      <c r="A930" s="522" t="s">
        <v>1475</v>
      </c>
      <c r="B930" s="521"/>
      <c r="C930" s="1122"/>
      <c r="D930" s="1122"/>
      <c r="E930" s="1122"/>
      <c r="F930" s="1122"/>
      <c r="G930" s="520"/>
      <c r="H930" s="520"/>
      <c r="I930" s="520"/>
      <c r="J930" s="520"/>
      <c r="K930" s="1122"/>
      <c r="L930" s="520"/>
      <c r="M930" s="520"/>
      <c r="N930" s="520"/>
      <c r="O930" s="520"/>
      <c r="P930" s="1122"/>
      <c r="Q930" s="520"/>
      <c r="R930" s="520"/>
      <c r="S930" s="520"/>
      <c r="T930" s="520"/>
      <c r="U930" s="1122"/>
      <c r="V930" s="520"/>
      <c r="W930" s="520"/>
      <c r="X930" s="520"/>
      <c r="Y930" s="520"/>
      <c r="Z930" s="1122"/>
      <c r="AA930" s="520"/>
      <c r="AB930" s="520"/>
      <c r="AC930" s="520"/>
      <c r="AD930" s="520"/>
      <c r="AE930" s="1122"/>
      <c r="AF930" s="520"/>
      <c r="AG930" s="520"/>
      <c r="AH930" s="520"/>
      <c r="AI930" s="520"/>
      <c r="AJ930" s="1122"/>
      <c r="AK930" s="520"/>
      <c r="AL930" s="520"/>
      <c r="AM930" s="520"/>
      <c r="AN930" s="520"/>
      <c r="AO930" s="1122"/>
      <c r="AP930" s="520"/>
      <c r="AQ930" s="520"/>
      <c r="AR930" s="520"/>
      <c r="AS930" s="520"/>
      <c r="AT930" s="1124"/>
      <c r="AU930" s="520"/>
      <c r="AV930" s="520"/>
      <c r="AW930" s="520"/>
      <c r="AX930" s="520"/>
      <c r="AY930" s="1123">
        <v>613.15</v>
      </c>
      <c r="AZ930" s="520"/>
      <c r="BA930" s="520"/>
      <c r="BB930" s="520"/>
      <c r="BC930" s="520"/>
      <c r="BD930" s="1123">
        <v>613.15</v>
      </c>
      <c r="BE930" s="520"/>
      <c r="BF930" s="520"/>
      <c r="BG930" s="520"/>
      <c r="BH930" s="520"/>
      <c r="BI930" s="1122"/>
      <c r="BJ930" s="520"/>
      <c r="BK930" s="520"/>
      <c r="BL930" s="520"/>
      <c r="BM930" s="520"/>
      <c r="BN930" s="1122"/>
      <c r="BO930" s="520"/>
      <c r="BP930" s="520"/>
      <c r="BQ930" s="520"/>
      <c r="BR930" s="520"/>
      <c r="BS930" s="1122"/>
      <c r="BT930" s="728"/>
      <c r="BU930" s="520"/>
      <c r="BV930" s="520"/>
      <c r="BW930" s="520"/>
      <c r="BX930" s="1122"/>
      <c r="BY930" s="520"/>
      <c r="BZ930" s="520"/>
      <c r="CA930" s="520"/>
      <c r="CB930" s="520"/>
      <c r="CC930" s="1122"/>
      <c r="CD930" s="1122"/>
      <c r="CE930" s="1122"/>
      <c r="CF930" s="1122"/>
      <c r="CG930" s="519"/>
    </row>
    <row r="931" spans="1:85" s="614" customFormat="1" x14ac:dyDescent="0.3">
      <c r="A931" s="522"/>
      <c r="B931" s="352"/>
      <c r="C931" s="1094"/>
      <c r="D931" s="1094"/>
      <c r="E931" s="1094"/>
      <c r="F931" s="1094"/>
      <c r="G931" s="197"/>
      <c r="H931" s="197"/>
      <c r="I931" s="197"/>
      <c r="J931" s="197"/>
      <c r="K931" s="1094"/>
      <c r="L931" s="197"/>
      <c r="M931" s="197"/>
      <c r="N931" s="197"/>
      <c r="O931" s="197"/>
      <c r="P931" s="1094"/>
      <c r="Q931" s="197"/>
      <c r="R931" s="197"/>
      <c r="S931" s="197"/>
      <c r="T931" s="197"/>
      <c r="U931" s="1094"/>
      <c r="V931" s="197"/>
      <c r="W931" s="197"/>
      <c r="X931" s="197"/>
      <c r="Y931" s="197"/>
      <c r="Z931" s="1094"/>
      <c r="AA931" s="197"/>
      <c r="AB931" s="197"/>
      <c r="AC931" s="197"/>
      <c r="AD931" s="197"/>
      <c r="AE931" s="1094"/>
      <c r="AF931" s="197"/>
      <c r="AG931" s="197"/>
      <c r="AH931" s="197"/>
      <c r="AI931" s="197"/>
      <c r="AJ931" s="1094"/>
      <c r="AK931" s="197"/>
      <c r="AL931" s="197"/>
      <c r="AM931" s="197"/>
      <c r="AN931" s="197"/>
      <c r="AO931" s="1094"/>
      <c r="AP931" s="197"/>
      <c r="AQ931" s="197"/>
      <c r="AR931" s="197"/>
      <c r="AS931" s="197"/>
      <c r="AT931" s="198"/>
      <c r="AU931" s="197"/>
      <c r="AV931" s="197"/>
      <c r="AW931" s="197"/>
      <c r="AX931" s="197"/>
      <c r="AY931" s="198"/>
      <c r="AZ931" s="197"/>
      <c r="BA931" s="197"/>
      <c r="BB931" s="197"/>
      <c r="BC931" s="197"/>
      <c r="BD931" s="198"/>
      <c r="BE931" s="197"/>
      <c r="BF931" s="197"/>
      <c r="BG931" s="197"/>
      <c r="BH931" s="197"/>
      <c r="BI931" s="1094"/>
      <c r="BJ931" s="197"/>
      <c r="BK931" s="197"/>
      <c r="BL931" s="197"/>
      <c r="BM931" s="197"/>
      <c r="BN931" s="1094"/>
      <c r="BO931" s="197"/>
      <c r="BP931" s="197"/>
      <c r="BQ931" s="197"/>
      <c r="BR931" s="197"/>
      <c r="BS931" s="1094"/>
      <c r="BT931" s="727"/>
      <c r="BU931" s="197"/>
      <c r="BV931" s="197"/>
      <c r="BW931" s="197"/>
      <c r="BX931" s="1094"/>
      <c r="BY931" s="197"/>
      <c r="BZ931" s="197"/>
      <c r="CA931" s="197"/>
      <c r="CB931" s="197"/>
      <c r="CC931" s="1094"/>
      <c r="CD931" s="1094"/>
      <c r="CE931" s="1094"/>
      <c r="CF931" s="1094"/>
      <c r="CG931" s="349"/>
    </row>
    <row r="932" spans="1:85" s="613" customFormat="1" x14ac:dyDescent="0.3">
      <c r="A932" s="478" t="s">
        <v>1474</v>
      </c>
      <c r="B932" s="523"/>
      <c r="C932" s="78"/>
      <c r="D932" s="78"/>
      <c r="E932" s="78"/>
      <c r="F932" s="78"/>
      <c r="G932" s="774"/>
      <c r="H932" s="774"/>
      <c r="I932" s="774"/>
      <c r="J932" s="774"/>
      <c r="K932" s="78"/>
      <c r="L932" s="774"/>
      <c r="M932" s="774"/>
      <c r="N932" s="774"/>
      <c r="O932" s="774"/>
      <c r="P932" s="78"/>
      <c r="Q932" s="774"/>
      <c r="R932" s="774"/>
      <c r="S932" s="774"/>
      <c r="T932" s="774"/>
      <c r="U932" s="78"/>
      <c r="V932" s="774"/>
      <c r="W932" s="774"/>
      <c r="X932" s="774"/>
      <c r="Y932" s="774"/>
      <c r="Z932" s="78"/>
      <c r="AA932" s="774"/>
      <c r="AB932" s="774"/>
      <c r="AC932" s="774"/>
      <c r="AD932" s="774"/>
      <c r="AE932" s="78"/>
      <c r="AF932" s="774"/>
      <c r="AG932" s="774"/>
      <c r="AH932" s="774"/>
      <c r="AI932" s="774"/>
      <c r="AJ932" s="78"/>
      <c r="AK932" s="774"/>
      <c r="AL932" s="774"/>
      <c r="AM932" s="774"/>
      <c r="AN932" s="774"/>
      <c r="AO932" s="78"/>
      <c r="AP932" s="774"/>
      <c r="AQ932" s="774"/>
      <c r="AR932" s="774"/>
      <c r="AS932" s="774"/>
      <c r="AT932" s="78"/>
      <c r="AU932" s="774"/>
      <c r="AV932" s="774"/>
      <c r="AW932" s="774"/>
      <c r="AX932" s="774"/>
      <c r="AY932" s="1119">
        <v>2.1110000000000002</v>
      </c>
      <c r="AZ932" s="774"/>
      <c r="BA932" s="774"/>
      <c r="BB932" s="774"/>
      <c r="BC932" s="774"/>
      <c r="BD932" s="1119">
        <v>2.1110000000000002</v>
      </c>
      <c r="BE932" s="774"/>
      <c r="BF932" s="774"/>
      <c r="BG932" s="774"/>
      <c r="BH932" s="774"/>
      <c r="BI932" s="78"/>
      <c r="BJ932" s="774"/>
      <c r="BK932" s="774"/>
      <c r="BL932" s="774"/>
      <c r="BM932" s="774"/>
      <c r="BN932" s="78"/>
      <c r="BO932" s="774"/>
      <c r="BP932" s="774"/>
      <c r="BQ932" s="774"/>
      <c r="BR932" s="774"/>
      <c r="BS932" s="78"/>
      <c r="BT932" s="775"/>
      <c r="BU932" s="774"/>
      <c r="BV932" s="774"/>
      <c r="BW932" s="774"/>
      <c r="BX932" s="78"/>
      <c r="BY932" s="774"/>
      <c r="BZ932" s="774"/>
      <c r="CA932" s="774"/>
      <c r="CB932" s="774"/>
      <c r="CC932" s="78"/>
      <c r="CD932" s="78"/>
      <c r="CE932" s="78"/>
      <c r="CF932" s="78"/>
      <c r="CG932" s="532"/>
    </row>
    <row r="933" spans="1:85" s="615" customFormat="1" x14ac:dyDescent="0.3">
      <c r="A933" s="522" t="s">
        <v>1473</v>
      </c>
      <c r="B933" s="521"/>
      <c r="C933" s="1122"/>
      <c r="D933" s="1122"/>
      <c r="E933" s="1122"/>
      <c r="F933" s="1122"/>
      <c r="G933" s="520"/>
      <c r="H933" s="520"/>
      <c r="I933" s="520"/>
      <c r="J933" s="520"/>
      <c r="K933" s="1122"/>
      <c r="L933" s="520"/>
      <c r="M933" s="520"/>
      <c r="N933" s="520"/>
      <c r="O933" s="520"/>
      <c r="P933" s="1122"/>
      <c r="Q933" s="520"/>
      <c r="R933" s="520"/>
      <c r="S933" s="520"/>
      <c r="T933" s="520"/>
      <c r="U933" s="1122"/>
      <c r="V933" s="520"/>
      <c r="W933" s="520"/>
      <c r="X933" s="520"/>
      <c r="Y933" s="520"/>
      <c r="Z933" s="1122"/>
      <c r="AA933" s="520"/>
      <c r="AB933" s="520"/>
      <c r="AC933" s="520"/>
      <c r="AD933" s="520"/>
      <c r="AE933" s="1122"/>
      <c r="AF933" s="520"/>
      <c r="AG933" s="520"/>
      <c r="AH933" s="520"/>
      <c r="AI933" s="520"/>
      <c r="AJ933" s="1122"/>
      <c r="AK933" s="520"/>
      <c r="AL933" s="520"/>
      <c r="AM933" s="520"/>
      <c r="AN933" s="520"/>
      <c r="AO933" s="1122"/>
      <c r="AP933" s="520"/>
      <c r="AQ933" s="520"/>
      <c r="AR933" s="520"/>
      <c r="AS933" s="520"/>
      <c r="AT933" s="1124"/>
      <c r="AU933" s="520"/>
      <c r="AV933" s="520"/>
      <c r="AW933" s="520"/>
      <c r="AX933" s="520"/>
      <c r="AY933" s="1123">
        <v>681.17</v>
      </c>
      <c r="AZ933" s="520"/>
      <c r="BA933" s="520"/>
      <c r="BB933" s="520"/>
      <c r="BC933" s="520"/>
      <c r="BD933" s="1123">
        <v>681.17</v>
      </c>
      <c r="BE933" s="520"/>
      <c r="BF933" s="520"/>
      <c r="BG933" s="520"/>
      <c r="BH933" s="520"/>
      <c r="BI933" s="1122"/>
      <c r="BJ933" s="520"/>
      <c r="BK933" s="520"/>
      <c r="BL933" s="520"/>
      <c r="BM933" s="520"/>
      <c r="BN933" s="1122"/>
      <c r="BO933" s="520"/>
      <c r="BP933" s="520"/>
      <c r="BQ933" s="520"/>
      <c r="BR933" s="520"/>
      <c r="BS933" s="1122"/>
      <c r="BT933" s="728"/>
      <c r="BU933" s="520"/>
      <c r="BV933" s="520"/>
      <c r="BW933" s="520"/>
      <c r="BX933" s="1122"/>
      <c r="BY933" s="520"/>
      <c r="BZ933" s="520"/>
      <c r="CA933" s="520"/>
      <c r="CB933" s="520"/>
      <c r="CC933" s="1122"/>
      <c r="CD933" s="1122"/>
      <c r="CE933" s="1122"/>
      <c r="CF933" s="1122"/>
      <c r="CG933" s="519"/>
    </row>
    <row r="934" spans="1:85" s="614" customFormat="1" x14ac:dyDescent="0.3">
      <c r="A934" s="522"/>
      <c r="B934" s="352"/>
      <c r="C934" s="1094"/>
      <c r="D934" s="1094"/>
      <c r="E934" s="1094"/>
      <c r="F934" s="1094"/>
      <c r="G934" s="197"/>
      <c r="H934" s="197"/>
      <c r="I934" s="197"/>
      <c r="J934" s="197"/>
      <c r="K934" s="1094"/>
      <c r="L934" s="197"/>
      <c r="M934" s="197"/>
      <c r="N934" s="197"/>
      <c r="O934" s="197"/>
      <c r="P934" s="1094"/>
      <c r="Q934" s="197"/>
      <c r="R934" s="197"/>
      <c r="S934" s="197"/>
      <c r="T934" s="197"/>
      <c r="U934" s="1094"/>
      <c r="V934" s="197"/>
      <c r="W934" s="197"/>
      <c r="X934" s="197"/>
      <c r="Y934" s="197"/>
      <c r="Z934" s="1094"/>
      <c r="AA934" s="197"/>
      <c r="AB934" s="197"/>
      <c r="AC934" s="197"/>
      <c r="AD934" s="197"/>
      <c r="AE934" s="1094"/>
      <c r="AF934" s="197"/>
      <c r="AG934" s="197"/>
      <c r="AH934" s="197"/>
      <c r="AI934" s="197"/>
      <c r="AJ934" s="1094"/>
      <c r="AK934" s="197"/>
      <c r="AL934" s="197"/>
      <c r="AM934" s="197"/>
      <c r="AN934" s="197"/>
      <c r="AO934" s="1094"/>
      <c r="AP934" s="197"/>
      <c r="AQ934" s="197"/>
      <c r="AR934" s="197"/>
      <c r="AS934" s="197"/>
      <c r="AT934" s="198"/>
      <c r="AU934" s="197"/>
      <c r="AV934" s="197"/>
      <c r="AW934" s="197"/>
      <c r="AX934" s="197"/>
      <c r="AY934" s="198"/>
      <c r="AZ934" s="197"/>
      <c r="BA934" s="197"/>
      <c r="BB934" s="197"/>
      <c r="BC934" s="197"/>
      <c r="BD934" s="198"/>
      <c r="BE934" s="197"/>
      <c r="BF934" s="197"/>
      <c r="BG934" s="197"/>
      <c r="BH934" s="197"/>
      <c r="BI934" s="1094"/>
      <c r="BJ934" s="197"/>
      <c r="BK934" s="197"/>
      <c r="BL934" s="197"/>
      <c r="BM934" s="197"/>
      <c r="BN934" s="1094"/>
      <c r="BO934" s="197"/>
      <c r="BP934" s="197"/>
      <c r="BQ934" s="197"/>
      <c r="BR934" s="197"/>
      <c r="BS934" s="1094"/>
      <c r="BT934" s="727"/>
      <c r="BU934" s="197"/>
      <c r="BV934" s="197"/>
      <c r="BW934" s="197"/>
      <c r="BX934" s="1094"/>
      <c r="BY934" s="197"/>
      <c r="BZ934" s="197"/>
      <c r="CA934" s="197"/>
      <c r="CB934" s="197"/>
      <c r="CC934" s="1094"/>
      <c r="CD934" s="1094"/>
      <c r="CE934" s="1094"/>
      <c r="CF934" s="1094"/>
      <c r="CG934" s="349"/>
    </row>
    <row r="935" spans="1:85" s="613" customFormat="1" x14ac:dyDescent="0.3">
      <c r="A935" s="478" t="s">
        <v>1472</v>
      </c>
      <c r="B935" s="523"/>
      <c r="C935" s="78"/>
      <c r="D935" s="78"/>
      <c r="E935" s="78"/>
      <c r="F935" s="78"/>
      <c r="G935" s="774"/>
      <c r="H935" s="774"/>
      <c r="I935" s="774"/>
      <c r="J935" s="774"/>
      <c r="K935" s="78"/>
      <c r="L935" s="774"/>
      <c r="M935" s="774"/>
      <c r="N935" s="774"/>
      <c r="O935" s="774"/>
      <c r="P935" s="78"/>
      <c r="Q935" s="774"/>
      <c r="R935" s="774"/>
      <c r="S935" s="774"/>
      <c r="T935" s="774"/>
      <c r="U935" s="78"/>
      <c r="V935" s="774"/>
      <c r="W935" s="774"/>
      <c r="X935" s="774"/>
      <c r="Y935" s="774"/>
      <c r="Z935" s="78"/>
      <c r="AA935" s="774"/>
      <c r="AB935" s="774"/>
      <c r="AC935" s="774"/>
      <c r="AD935" s="774"/>
      <c r="AE935" s="78"/>
      <c r="AF935" s="774"/>
      <c r="AG935" s="774"/>
      <c r="AH935" s="774"/>
      <c r="AI935" s="774"/>
      <c r="AJ935" s="78"/>
      <c r="AK935" s="774"/>
      <c r="AL935" s="774"/>
      <c r="AM935" s="774"/>
      <c r="AN935" s="774"/>
      <c r="AO935" s="78"/>
      <c r="AP935" s="774"/>
      <c r="AQ935" s="774"/>
      <c r="AR935" s="774"/>
      <c r="AS935" s="774"/>
      <c r="AT935" s="78"/>
      <c r="AU935" s="774"/>
      <c r="AV935" s="774"/>
      <c r="AW935" s="774"/>
      <c r="AX935" s="774"/>
      <c r="AY935" s="1119">
        <v>2.327</v>
      </c>
      <c r="AZ935" s="774"/>
      <c r="BA935" s="774"/>
      <c r="BB935" s="774"/>
      <c r="BC935" s="774"/>
      <c r="BD935" s="1119">
        <v>2.327</v>
      </c>
      <c r="BE935" s="774"/>
      <c r="BF935" s="774"/>
      <c r="BG935" s="774"/>
      <c r="BH935" s="774"/>
      <c r="BI935" s="78"/>
      <c r="BJ935" s="774"/>
      <c r="BK935" s="774"/>
      <c r="BL935" s="774"/>
      <c r="BM935" s="774"/>
      <c r="BN935" s="78"/>
      <c r="BO935" s="774"/>
      <c r="BP935" s="774"/>
      <c r="BQ935" s="774"/>
      <c r="BR935" s="774"/>
      <c r="BS935" s="78"/>
      <c r="BT935" s="775"/>
      <c r="BU935" s="774"/>
      <c r="BV935" s="774"/>
      <c r="BW935" s="774"/>
      <c r="BX935" s="78"/>
      <c r="BY935" s="774"/>
      <c r="BZ935" s="774"/>
      <c r="CA935" s="774"/>
      <c r="CB935" s="774"/>
      <c r="CC935" s="78"/>
      <c r="CD935" s="78"/>
      <c r="CE935" s="78"/>
      <c r="CF935" s="78"/>
      <c r="CG935" s="532"/>
    </row>
    <row r="936" spans="1:85" s="615" customFormat="1" x14ac:dyDescent="0.3">
      <c r="A936" s="522" t="s">
        <v>1471</v>
      </c>
      <c r="B936" s="521"/>
      <c r="C936" s="1122"/>
      <c r="D936" s="1122"/>
      <c r="E936" s="1122"/>
      <c r="F936" s="1122"/>
      <c r="G936" s="520"/>
      <c r="H936" s="520"/>
      <c r="I936" s="520"/>
      <c r="J936" s="520"/>
      <c r="K936" s="1122"/>
      <c r="L936" s="520"/>
      <c r="M936" s="520"/>
      <c r="N936" s="520"/>
      <c r="O936" s="520"/>
      <c r="P936" s="1122"/>
      <c r="Q936" s="520"/>
      <c r="R936" s="520"/>
      <c r="S936" s="520"/>
      <c r="T936" s="520"/>
      <c r="U936" s="1122"/>
      <c r="V936" s="520"/>
      <c r="W936" s="520"/>
      <c r="X936" s="520"/>
      <c r="Y936" s="520"/>
      <c r="Z936" s="1122"/>
      <c r="AA936" s="520"/>
      <c r="AB936" s="520"/>
      <c r="AC936" s="520"/>
      <c r="AD936" s="520"/>
      <c r="AE936" s="1122"/>
      <c r="AF936" s="520"/>
      <c r="AG936" s="520"/>
      <c r="AH936" s="520"/>
      <c r="AI936" s="520"/>
      <c r="AJ936" s="1122"/>
      <c r="AK936" s="520"/>
      <c r="AL936" s="520"/>
      <c r="AM936" s="520"/>
      <c r="AN936" s="520"/>
      <c r="AO936" s="1122"/>
      <c r="AP936" s="520"/>
      <c r="AQ936" s="520"/>
      <c r="AR936" s="520"/>
      <c r="AS936" s="520"/>
      <c r="AT936" s="1124"/>
      <c r="AU936" s="520"/>
      <c r="AV936" s="520"/>
      <c r="AW936" s="520"/>
      <c r="AX936" s="520"/>
      <c r="AY936" s="1123">
        <v>617.77</v>
      </c>
      <c r="AZ936" s="520"/>
      <c r="BA936" s="520"/>
      <c r="BB936" s="520"/>
      <c r="BC936" s="520"/>
      <c r="BD936" s="1123">
        <v>617.77</v>
      </c>
      <c r="BE936" s="520"/>
      <c r="BF936" s="520"/>
      <c r="BG936" s="520"/>
      <c r="BH936" s="520"/>
      <c r="BI936" s="1122"/>
      <c r="BJ936" s="520"/>
      <c r="BK936" s="520"/>
      <c r="BL936" s="520"/>
      <c r="BM936" s="520"/>
      <c r="BN936" s="1122"/>
      <c r="BO936" s="520"/>
      <c r="BP936" s="520"/>
      <c r="BQ936" s="520"/>
      <c r="BR936" s="520"/>
      <c r="BS936" s="1122"/>
      <c r="BT936" s="728"/>
      <c r="BU936" s="520"/>
      <c r="BV936" s="520"/>
      <c r="BW936" s="520"/>
      <c r="BX936" s="1122"/>
      <c r="BY936" s="520"/>
      <c r="BZ936" s="520"/>
      <c r="CA936" s="520"/>
      <c r="CB936" s="520"/>
      <c r="CC936" s="1122"/>
      <c r="CD936" s="1122"/>
      <c r="CE936" s="1122"/>
      <c r="CF936" s="1122"/>
      <c r="CG936" s="519"/>
    </row>
    <row r="937" spans="1:85" s="614" customFormat="1" x14ac:dyDescent="0.3">
      <c r="A937" s="351"/>
      <c r="B937" s="352"/>
      <c r="C937" s="1094"/>
      <c r="D937" s="1094"/>
      <c r="E937" s="1094"/>
      <c r="F937" s="1094"/>
      <c r="G937" s="197"/>
      <c r="H937" s="197"/>
      <c r="I937" s="197"/>
      <c r="J937" s="197"/>
      <c r="K937" s="1094"/>
      <c r="L937" s="197"/>
      <c r="M937" s="197"/>
      <c r="N937" s="197"/>
      <c r="O937" s="197"/>
      <c r="P937" s="1094"/>
      <c r="Q937" s="197"/>
      <c r="R937" s="197"/>
      <c r="S937" s="197"/>
      <c r="T937" s="197"/>
      <c r="U937" s="1094"/>
      <c r="V937" s="197"/>
      <c r="W937" s="197"/>
      <c r="X937" s="197"/>
      <c r="Y937" s="197"/>
      <c r="Z937" s="1094"/>
      <c r="AA937" s="197"/>
      <c r="AB937" s="197"/>
      <c r="AC937" s="197"/>
      <c r="AD937" s="197"/>
      <c r="AE937" s="1094"/>
      <c r="AF937" s="197"/>
      <c r="AG937" s="197"/>
      <c r="AH937" s="197"/>
      <c r="AI937" s="197"/>
      <c r="AJ937" s="1094"/>
      <c r="AK937" s="197"/>
      <c r="AL937" s="197"/>
      <c r="AM937" s="197"/>
      <c r="AN937" s="197"/>
      <c r="AO937" s="1094"/>
      <c r="AP937" s="197"/>
      <c r="AQ937" s="197"/>
      <c r="AR937" s="197"/>
      <c r="AS937" s="197"/>
      <c r="AT937" s="1094"/>
      <c r="AU937" s="197"/>
      <c r="AV937" s="197"/>
      <c r="AW937" s="197"/>
      <c r="AX937" s="197"/>
      <c r="AY937" s="1094"/>
      <c r="AZ937" s="197"/>
      <c r="BA937" s="197"/>
      <c r="BB937" s="197"/>
      <c r="BC937" s="197"/>
      <c r="BD937" s="1094"/>
      <c r="BE937" s="197"/>
      <c r="BF937" s="197"/>
      <c r="BG937" s="197"/>
      <c r="BH937" s="197"/>
      <c r="BI937" s="1094"/>
      <c r="BJ937" s="197"/>
      <c r="BK937" s="197"/>
      <c r="BL937" s="197"/>
      <c r="BM937" s="197"/>
      <c r="BN937" s="1094"/>
      <c r="BO937" s="197"/>
      <c r="BP937" s="197"/>
      <c r="BQ937" s="197"/>
      <c r="BR937" s="197"/>
      <c r="BS937" s="1094"/>
      <c r="BT937" s="727"/>
      <c r="BU937" s="197"/>
      <c r="BV937" s="197"/>
      <c r="BW937" s="197"/>
      <c r="BX937" s="1094"/>
      <c r="BY937" s="197"/>
      <c r="BZ937" s="197"/>
      <c r="CA937" s="197"/>
      <c r="CB937" s="197"/>
      <c r="CC937" s="1094"/>
      <c r="CD937" s="1094"/>
      <c r="CE937" s="1094"/>
      <c r="CF937" s="1094"/>
      <c r="CG937" s="349"/>
    </row>
    <row r="938" spans="1:85" s="613" customFormat="1" x14ac:dyDescent="0.3">
      <c r="A938" s="478" t="s">
        <v>1470</v>
      </c>
      <c r="B938" s="523"/>
      <c r="C938" s="78"/>
      <c r="D938" s="78"/>
      <c r="E938" s="78"/>
      <c r="F938" s="78"/>
      <c r="G938" s="774"/>
      <c r="H938" s="774"/>
      <c r="I938" s="774"/>
      <c r="J938" s="774"/>
      <c r="K938" s="78"/>
      <c r="L938" s="774"/>
      <c r="M938" s="774"/>
      <c r="N938" s="774"/>
      <c r="O938" s="774"/>
      <c r="P938" s="78"/>
      <c r="Q938" s="774"/>
      <c r="R938" s="774"/>
      <c r="S938" s="774"/>
      <c r="T938" s="774"/>
      <c r="U938" s="78"/>
      <c r="V938" s="774"/>
      <c r="W938" s="774"/>
      <c r="X938" s="774"/>
      <c r="Y938" s="774"/>
      <c r="Z938" s="78"/>
      <c r="AA938" s="774"/>
      <c r="AB938" s="774"/>
      <c r="AC938" s="774"/>
      <c r="AD938" s="774"/>
      <c r="AE938" s="78"/>
      <c r="AF938" s="774"/>
      <c r="AG938" s="774"/>
      <c r="AH938" s="774"/>
      <c r="AI938" s="774"/>
      <c r="AJ938" s="78"/>
      <c r="AK938" s="774"/>
      <c r="AL938" s="774"/>
      <c r="AM938" s="774"/>
      <c r="AN938" s="774"/>
      <c r="AO938" s="78"/>
      <c r="AP938" s="774"/>
      <c r="AQ938" s="774"/>
      <c r="AR938" s="774"/>
      <c r="AS938" s="774"/>
      <c r="AT938" s="78"/>
      <c r="AU938" s="774"/>
      <c r="AV938" s="774"/>
      <c r="AW938" s="774"/>
      <c r="AX938" s="774"/>
      <c r="AY938" s="78"/>
      <c r="AZ938" s="774"/>
      <c r="BA938" s="774"/>
      <c r="BB938" s="774"/>
      <c r="BC938" s="774"/>
      <c r="BD938" s="1119">
        <v>2.4060000000000001</v>
      </c>
      <c r="BE938" s="774"/>
      <c r="BF938" s="774"/>
      <c r="BG938" s="774"/>
      <c r="BH938" s="774"/>
      <c r="BI938" s="78"/>
      <c r="BJ938" s="774"/>
      <c r="BK938" s="774"/>
      <c r="BL938" s="774"/>
      <c r="BM938" s="774"/>
      <c r="BN938" s="78"/>
      <c r="BO938" s="774"/>
      <c r="BP938" s="774"/>
      <c r="BQ938" s="774"/>
      <c r="BR938" s="774"/>
      <c r="BS938" s="78"/>
      <c r="BT938" s="775"/>
      <c r="BU938" s="774"/>
      <c r="BV938" s="774"/>
      <c r="BW938" s="774"/>
      <c r="BX938" s="78"/>
      <c r="BY938" s="774"/>
      <c r="BZ938" s="774"/>
      <c r="CA938" s="774"/>
      <c r="CB938" s="774"/>
      <c r="CC938" s="78"/>
      <c r="CD938" s="78"/>
      <c r="CE938" s="78"/>
      <c r="CF938" s="78"/>
      <c r="CG938" s="532"/>
    </row>
    <row r="939" spans="1:85" s="615" customFormat="1" x14ac:dyDescent="0.3">
      <c r="A939" s="522" t="s">
        <v>1469</v>
      </c>
      <c r="B939" s="521"/>
      <c r="C939" s="1122"/>
      <c r="D939" s="1122"/>
      <c r="E939" s="1122"/>
      <c r="F939" s="1122"/>
      <c r="G939" s="520"/>
      <c r="H939" s="520"/>
      <c r="I939" s="520"/>
      <c r="J939" s="520"/>
      <c r="K939" s="1122"/>
      <c r="L939" s="520"/>
      <c r="M939" s="520"/>
      <c r="N939" s="520"/>
      <c r="O939" s="520"/>
      <c r="P939" s="1122"/>
      <c r="Q939" s="520"/>
      <c r="R939" s="520"/>
      <c r="S939" s="520"/>
      <c r="T939" s="520"/>
      <c r="U939" s="1122"/>
      <c r="V939" s="520"/>
      <c r="W939" s="520"/>
      <c r="X939" s="520"/>
      <c r="Y939" s="520"/>
      <c r="Z939" s="1122"/>
      <c r="AA939" s="520"/>
      <c r="AB939" s="520"/>
      <c r="AC939" s="520"/>
      <c r="AD939" s="520"/>
      <c r="AE939" s="1122"/>
      <c r="AF939" s="520"/>
      <c r="AG939" s="520"/>
      <c r="AH939" s="520"/>
      <c r="AI939" s="520"/>
      <c r="AJ939" s="1122"/>
      <c r="AK939" s="520"/>
      <c r="AL939" s="520"/>
      <c r="AM939" s="520"/>
      <c r="AN939" s="520"/>
      <c r="AO939" s="1122"/>
      <c r="AP939" s="520"/>
      <c r="AQ939" s="520"/>
      <c r="AR939" s="520"/>
      <c r="AS939" s="520"/>
      <c r="AT939" s="1124"/>
      <c r="AU939" s="520"/>
      <c r="AV939" s="520"/>
      <c r="AW939" s="520"/>
      <c r="AX939" s="520"/>
      <c r="AY939" s="1124"/>
      <c r="AZ939" s="520"/>
      <c r="BA939" s="520"/>
      <c r="BB939" s="520"/>
      <c r="BC939" s="520"/>
      <c r="BD939" s="1123">
        <v>597.37</v>
      </c>
      <c r="BE939" s="520"/>
      <c r="BF939" s="520"/>
      <c r="BG939" s="520"/>
      <c r="BH939" s="520"/>
      <c r="BI939" s="1122"/>
      <c r="BJ939" s="520"/>
      <c r="BK939" s="520"/>
      <c r="BL939" s="520"/>
      <c r="BM939" s="520"/>
      <c r="BN939" s="1122"/>
      <c r="BO939" s="520"/>
      <c r="BP939" s="520"/>
      <c r="BQ939" s="520"/>
      <c r="BR939" s="520"/>
      <c r="BS939" s="1122"/>
      <c r="BT939" s="728"/>
      <c r="BU939" s="520"/>
      <c r="BV939" s="520"/>
      <c r="BW939" s="520"/>
      <c r="BX939" s="1122"/>
      <c r="BY939" s="520"/>
      <c r="BZ939" s="520"/>
      <c r="CA939" s="520"/>
      <c r="CB939" s="520"/>
      <c r="CC939" s="1122"/>
      <c r="CD939" s="1122"/>
      <c r="CE939" s="1122"/>
      <c r="CF939" s="1122"/>
      <c r="CG939" s="519"/>
    </row>
    <row r="940" spans="1:85" s="614" customFormat="1" x14ac:dyDescent="0.3">
      <c r="A940" s="522"/>
      <c r="B940" s="352"/>
      <c r="C940" s="1094"/>
      <c r="D940" s="1094"/>
      <c r="E940" s="1094"/>
      <c r="F940" s="1094"/>
      <c r="G940" s="197"/>
      <c r="H940" s="197"/>
      <c r="I940" s="197"/>
      <c r="J940" s="197"/>
      <c r="K940" s="1094"/>
      <c r="L940" s="197"/>
      <c r="M940" s="197"/>
      <c r="N940" s="197"/>
      <c r="O940" s="197"/>
      <c r="P940" s="1094"/>
      <c r="Q940" s="197"/>
      <c r="R940" s="197"/>
      <c r="S940" s="197"/>
      <c r="T940" s="197"/>
      <c r="U940" s="1094"/>
      <c r="V940" s="197"/>
      <c r="W940" s="197"/>
      <c r="X940" s="197"/>
      <c r="Y940" s="197"/>
      <c r="Z940" s="1094"/>
      <c r="AA940" s="197"/>
      <c r="AB940" s="197"/>
      <c r="AC940" s="197"/>
      <c r="AD940" s="197"/>
      <c r="AE940" s="1094"/>
      <c r="AF940" s="197"/>
      <c r="AG940" s="197"/>
      <c r="AH940" s="197"/>
      <c r="AI940" s="197"/>
      <c r="AJ940" s="1094"/>
      <c r="AK940" s="197"/>
      <c r="AL940" s="197"/>
      <c r="AM940" s="197"/>
      <c r="AN940" s="197"/>
      <c r="AO940" s="1094"/>
      <c r="AP940" s="197"/>
      <c r="AQ940" s="197"/>
      <c r="AR940" s="197"/>
      <c r="AS940" s="197"/>
      <c r="AT940" s="198"/>
      <c r="AU940" s="197"/>
      <c r="AV940" s="197"/>
      <c r="AW940" s="197"/>
      <c r="AX940" s="197"/>
      <c r="AY940" s="198"/>
      <c r="AZ940" s="197"/>
      <c r="BA940" s="197"/>
      <c r="BB940" s="197"/>
      <c r="BC940" s="197"/>
      <c r="BD940" s="198"/>
      <c r="BE940" s="197"/>
      <c r="BF940" s="197"/>
      <c r="BG940" s="197"/>
      <c r="BH940" s="197"/>
      <c r="BI940" s="1094"/>
      <c r="BJ940" s="197"/>
      <c r="BK940" s="197"/>
      <c r="BL940" s="197"/>
      <c r="BM940" s="197"/>
      <c r="BN940" s="1094"/>
      <c r="BO940" s="197"/>
      <c r="BP940" s="197"/>
      <c r="BQ940" s="197"/>
      <c r="BR940" s="197"/>
      <c r="BS940" s="1094"/>
      <c r="BT940" s="727"/>
      <c r="BU940" s="197"/>
      <c r="BV940" s="197"/>
      <c r="BW940" s="197"/>
      <c r="BX940" s="1094"/>
      <c r="BY940" s="197"/>
      <c r="BZ940" s="197"/>
      <c r="CA940" s="197"/>
      <c r="CB940" s="197"/>
      <c r="CC940" s="1094"/>
      <c r="CD940" s="1094"/>
      <c r="CE940" s="1094"/>
      <c r="CF940" s="1094"/>
      <c r="CG940" s="349"/>
    </row>
    <row r="941" spans="1:85" s="613" customFormat="1" x14ac:dyDescent="0.3">
      <c r="A941" s="478" t="s">
        <v>1468</v>
      </c>
      <c r="B941" s="523"/>
      <c r="C941" s="78"/>
      <c r="D941" s="78"/>
      <c r="E941" s="78"/>
      <c r="F941" s="78"/>
      <c r="G941" s="774"/>
      <c r="H941" s="774"/>
      <c r="I941" s="774"/>
      <c r="J941" s="774"/>
      <c r="K941" s="78"/>
      <c r="L941" s="774"/>
      <c r="M941" s="774"/>
      <c r="N941" s="774"/>
      <c r="O941" s="774"/>
      <c r="P941" s="78"/>
      <c r="Q941" s="774"/>
      <c r="R941" s="774"/>
      <c r="S941" s="774"/>
      <c r="T941" s="774"/>
      <c r="U941" s="78"/>
      <c r="V941" s="774"/>
      <c r="W941" s="774"/>
      <c r="X941" s="774"/>
      <c r="Y941" s="774"/>
      <c r="Z941" s="78"/>
      <c r="AA941" s="774"/>
      <c r="AB941" s="774"/>
      <c r="AC941" s="774"/>
      <c r="AD941" s="774"/>
      <c r="AE941" s="78"/>
      <c r="AF941" s="774"/>
      <c r="AG941" s="774"/>
      <c r="AH941" s="774"/>
      <c r="AI941" s="774"/>
      <c r="AJ941" s="78"/>
      <c r="AK941" s="774"/>
      <c r="AL941" s="774"/>
      <c r="AM941" s="774"/>
      <c r="AN941" s="774"/>
      <c r="AO941" s="78"/>
      <c r="AP941" s="774"/>
      <c r="AQ941" s="774"/>
      <c r="AR941" s="774"/>
      <c r="AS941" s="774"/>
      <c r="AT941" s="78"/>
      <c r="AU941" s="774"/>
      <c r="AV941" s="774"/>
      <c r="AW941" s="774"/>
      <c r="AX941" s="774"/>
      <c r="AY941" s="78"/>
      <c r="AZ941" s="774"/>
      <c r="BA941" s="774"/>
      <c r="BB941" s="774"/>
      <c r="BC941" s="774"/>
      <c r="BD941" s="1119">
        <v>3.6459999999999999</v>
      </c>
      <c r="BE941" s="774"/>
      <c r="BF941" s="774"/>
      <c r="BG941" s="774"/>
      <c r="BH941" s="774"/>
      <c r="BI941" s="78"/>
      <c r="BJ941" s="774"/>
      <c r="BK941" s="774"/>
      <c r="BL941" s="774"/>
      <c r="BM941" s="774"/>
      <c r="BN941" s="78"/>
      <c r="BO941" s="774"/>
      <c r="BP941" s="774"/>
      <c r="BQ941" s="774"/>
      <c r="BR941" s="774"/>
      <c r="BS941" s="78"/>
      <c r="BT941" s="775"/>
      <c r="BU941" s="774"/>
      <c r="BV941" s="774"/>
      <c r="BW941" s="774"/>
      <c r="BX941" s="78"/>
      <c r="BY941" s="774"/>
      <c r="BZ941" s="774"/>
      <c r="CA941" s="774"/>
      <c r="CB941" s="774"/>
      <c r="CC941" s="78"/>
      <c r="CD941" s="78"/>
      <c r="CE941" s="78"/>
      <c r="CF941" s="78"/>
      <c r="CG941" s="532"/>
    </row>
    <row r="942" spans="1:85" s="615" customFormat="1" x14ac:dyDescent="0.3">
      <c r="A942" s="522" t="s">
        <v>1467</v>
      </c>
      <c r="B942" s="521"/>
      <c r="C942" s="1122"/>
      <c r="D942" s="1122"/>
      <c r="E942" s="1122"/>
      <c r="F942" s="1122"/>
      <c r="G942" s="520"/>
      <c r="H942" s="520"/>
      <c r="I942" s="520"/>
      <c r="J942" s="520"/>
      <c r="K942" s="1122"/>
      <c r="L942" s="520"/>
      <c r="M942" s="520"/>
      <c r="N942" s="520"/>
      <c r="O942" s="520"/>
      <c r="P942" s="1122"/>
      <c r="Q942" s="520"/>
      <c r="R942" s="520"/>
      <c r="S942" s="520"/>
      <c r="T942" s="520"/>
      <c r="U942" s="1122"/>
      <c r="V942" s="520"/>
      <c r="W942" s="520"/>
      <c r="X942" s="520"/>
      <c r="Y942" s="520"/>
      <c r="Z942" s="1122"/>
      <c r="AA942" s="520"/>
      <c r="AB942" s="520"/>
      <c r="AC942" s="520"/>
      <c r="AD942" s="520"/>
      <c r="AE942" s="1122"/>
      <c r="AF942" s="520"/>
      <c r="AG942" s="520"/>
      <c r="AH942" s="520"/>
      <c r="AI942" s="520"/>
      <c r="AJ942" s="1122"/>
      <c r="AK942" s="520"/>
      <c r="AL942" s="520"/>
      <c r="AM942" s="520"/>
      <c r="AN942" s="520"/>
      <c r="AO942" s="1122"/>
      <c r="AP942" s="520"/>
      <c r="AQ942" s="520"/>
      <c r="AR942" s="520"/>
      <c r="AS942" s="520"/>
      <c r="AT942" s="1124"/>
      <c r="AU942" s="520"/>
      <c r="AV942" s="520"/>
      <c r="AW942" s="520"/>
      <c r="AX942" s="520"/>
      <c r="AY942" s="1124"/>
      <c r="AZ942" s="520"/>
      <c r="BA942" s="520"/>
      <c r="BB942" s="520"/>
      <c r="BC942" s="520"/>
      <c r="BD942" s="1123">
        <v>457.13</v>
      </c>
      <c r="BE942" s="520"/>
      <c r="BF942" s="520"/>
      <c r="BG942" s="520"/>
      <c r="BH942" s="520"/>
      <c r="BI942" s="1122"/>
      <c r="BJ942" s="520"/>
      <c r="BK942" s="520"/>
      <c r="BL942" s="520"/>
      <c r="BM942" s="520"/>
      <c r="BN942" s="1122"/>
      <c r="BO942" s="520"/>
      <c r="BP942" s="520"/>
      <c r="BQ942" s="520"/>
      <c r="BR942" s="520"/>
      <c r="BS942" s="1122"/>
      <c r="BT942" s="728"/>
      <c r="BU942" s="520"/>
      <c r="BV942" s="520"/>
      <c r="BW942" s="520"/>
      <c r="BX942" s="1122"/>
      <c r="BY942" s="520"/>
      <c r="BZ942" s="520"/>
      <c r="CA942" s="520"/>
      <c r="CB942" s="520"/>
      <c r="CC942" s="1122"/>
      <c r="CD942" s="1122"/>
      <c r="CE942" s="1122"/>
      <c r="CF942" s="1122"/>
      <c r="CG942" s="519"/>
    </row>
    <row r="943" spans="1:85" s="614" customFormat="1" x14ac:dyDescent="0.3">
      <c r="A943" s="522"/>
      <c r="B943" s="352"/>
      <c r="C943" s="1094"/>
      <c r="D943" s="1094"/>
      <c r="E943" s="1094"/>
      <c r="F943" s="1094"/>
      <c r="G943" s="197"/>
      <c r="H943" s="197"/>
      <c r="I943" s="197"/>
      <c r="J943" s="197"/>
      <c r="K943" s="1094"/>
      <c r="L943" s="197"/>
      <c r="M943" s="197"/>
      <c r="N943" s="197"/>
      <c r="O943" s="197"/>
      <c r="P943" s="1094"/>
      <c r="Q943" s="197"/>
      <c r="R943" s="197"/>
      <c r="S943" s="197"/>
      <c r="T943" s="197"/>
      <c r="U943" s="1094"/>
      <c r="V943" s="197"/>
      <c r="W943" s="197"/>
      <c r="X943" s="197"/>
      <c r="Y943" s="197"/>
      <c r="Z943" s="1094"/>
      <c r="AA943" s="197"/>
      <c r="AB943" s="197"/>
      <c r="AC943" s="197"/>
      <c r="AD943" s="197"/>
      <c r="AE943" s="1094"/>
      <c r="AF943" s="197"/>
      <c r="AG943" s="197"/>
      <c r="AH943" s="197"/>
      <c r="AI943" s="197"/>
      <c r="AJ943" s="1094"/>
      <c r="AK943" s="197"/>
      <c r="AL943" s="197"/>
      <c r="AM943" s="197"/>
      <c r="AN943" s="197"/>
      <c r="AO943" s="1094"/>
      <c r="AP943" s="197"/>
      <c r="AQ943" s="197"/>
      <c r="AR943" s="197"/>
      <c r="AS943" s="197"/>
      <c r="AT943" s="198"/>
      <c r="AU943" s="197"/>
      <c r="AV943" s="197"/>
      <c r="AW943" s="197"/>
      <c r="AX943" s="197"/>
      <c r="AY943" s="198"/>
      <c r="AZ943" s="197"/>
      <c r="BA943" s="197"/>
      <c r="BB943" s="197"/>
      <c r="BC943" s="197"/>
      <c r="BD943" s="198"/>
      <c r="BE943" s="197"/>
      <c r="BF943" s="197"/>
      <c r="BG943" s="197"/>
      <c r="BH943" s="197"/>
      <c r="BI943" s="1094"/>
      <c r="BJ943" s="197"/>
      <c r="BK943" s="197"/>
      <c r="BL943" s="197"/>
      <c r="BM943" s="197"/>
      <c r="BN943" s="1094"/>
      <c r="BO943" s="197"/>
      <c r="BP943" s="197"/>
      <c r="BQ943" s="197"/>
      <c r="BR943" s="197"/>
      <c r="BS943" s="1094"/>
      <c r="BT943" s="727"/>
      <c r="BU943" s="197"/>
      <c r="BV943" s="197"/>
      <c r="BW943" s="197"/>
      <c r="BX943" s="1094"/>
      <c r="BY943" s="197"/>
      <c r="BZ943" s="197"/>
      <c r="CA943" s="197"/>
      <c r="CB943" s="197"/>
      <c r="CC943" s="1094"/>
      <c r="CD943" s="1094"/>
      <c r="CE943" s="1094"/>
      <c r="CF943" s="1094"/>
      <c r="CG943" s="349"/>
    </row>
    <row r="944" spans="1:85" s="613" customFormat="1" x14ac:dyDescent="0.3">
      <c r="A944" s="478" t="s">
        <v>1466</v>
      </c>
      <c r="B944" s="523"/>
      <c r="C944" s="78"/>
      <c r="D944" s="78"/>
      <c r="E944" s="78"/>
      <c r="F944" s="78"/>
      <c r="G944" s="774"/>
      <c r="H944" s="774"/>
      <c r="I944" s="774"/>
      <c r="J944" s="774"/>
      <c r="K944" s="78"/>
      <c r="L944" s="774"/>
      <c r="M944" s="774"/>
      <c r="N944" s="774"/>
      <c r="O944" s="774"/>
      <c r="P944" s="78"/>
      <c r="Q944" s="774"/>
      <c r="R944" s="774"/>
      <c r="S944" s="774"/>
      <c r="T944" s="774"/>
      <c r="U944" s="78"/>
      <c r="V944" s="774"/>
      <c r="W944" s="774"/>
      <c r="X944" s="774"/>
      <c r="Y944" s="774"/>
      <c r="Z944" s="78"/>
      <c r="AA944" s="774"/>
      <c r="AB944" s="774"/>
      <c r="AC944" s="774"/>
      <c r="AD944" s="774"/>
      <c r="AE944" s="78"/>
      <c r="AF944" s="774"/>
      <c r="AG944" s="774"/>
      <c r="AH944" s="774"/>
      <c r="AI944" s="774"/>
      <c r="AJ944" s="78"/>
      <c r="AK944" s="774"/>
      <c r="AL944" s="774"/>
      <c r="AM944" s="774"/>
      <c r="AN944" s="774"/>
      <c r="AO944" s="78"/>
      <c r="AP944" s="774"/>
      <c r="AQ944" s="774"/>
      <c r="AR944" s="774"/>
      <c r="AS944" s="774"/>
      <c r="AT944" s="78"/>
      <c r="AU944" s="774"/>
      <c r="AV944" s="774"/>
      <c r="AW944" s="774"/>
      <c r="AX944" s="774"/>
      <c r="AY944" s="78"/>
      <c r="AZ944" s="774"/>
      <c r="BA944" s="774"/>
      <c r="BB944" s="774"/>
      <c r="BC944" s="774"/>
      <c r="BD944" s="1119">
        <v>4.3150000000000004</v>
      </c>
      <c r="BE944" s="774"/>
      <c r="BF944" s="774"/>
      <c r="BG944" s="774"/>
      <c r="BH944" s="774"/>
      <c r="BI944" s="78"/>
      <c r="BJ944" s="774"/>
      <c r="BK944" s="774"/>
      <c r="BL944" s="774"/>
      <c r="BM944" s="774"/>
      <c r="BN944" s="78"/>
      <c r="BO944" s="774"/>
      <c r="BP944" s="774"/>
      <c r="BQ944" s="774"/>
      <c r="BR944" s="774"/>
      <c r="BS944" s="78"/>
      <c r="BT944" s="775"/>
      <c r="BU944" s="774"/>
      <c r="BV944" s="774"/>
      <c r="BW944" s="774"/>
      <c r="BX944" s="78"/>
      <c r="BY944" s="774"/>
      <c r="BZ944" s="774"/>
      <c r="CA944" s="774"/>
      <c r="CB944" s="774"/>
      <c r="CC944" s="78"/>
      <c r="CD944" s="78"/>
      <c r="CE944" s="78"/>
      <c r="CF944" s="78"/>
      <c r="CG944" s="532"/>
    </row>
    <row r="945" spans="1:85" s="615" customFormat="1" x14ac:dyDescent="0.3">
      <c r="A945" s="522" t="s">
        <v>1465</v>
      </c>
      <c r="B945" s="521"/>
      <c r="C945" s="1122"/>
      <c r="D945" s="1122"/>
      <c r="E945" s="1122"/>
      <c r="F945" s="1122"/>
      <c r="G945" s="520"/>
      <c r="H945" s="520"/>
      <c r="I945" s="520"/>
      <c r="J945" s="520"/>
      <c r="K945" s="1122"/>
      <c r="L945" s="520"/>
      <c r="M945" s="520"/>
      <c r="N945" s="520"/>
      <c r="O945" s="520"/>
      <c r="P945" s="1122"/>
      <c r="Q945" s="520"/>
      <c r="R945" s="520"/>
      <c r="S945" s="520"/>
      <c r="T945" s="520"/>
      <c r="U945" s="1122"/>
      <c r="V945" s="520"/>
      <c r="W945" s="520"/>
      <c r="X945" s="520"/>
      <c r="Y945" s="520"/>
      <c r="Z945" s="1122"/>
      <c r="AA945" s="520"/>
      <c r="AB945" s="520"/>
      <c r="AC945" s="520"/>
      <c r="AD945" s="520"/>
      <c r="AE945" s="1122"/>
      <c r="AF945" s="520"/>
      <c r="AG945" s="520"/>
      <c r="AH945" s="520"/>
      <c r="AI945" s="520"/>
      <c r="AJ945" s="1122"/>
      <c r="AK945" s="520"/>
      <c r="AL945" s="520"/>
      <c r="AM945" s="520"/>
      <c r="AN945" s="520"/>
      <c r="AO945" s="1122"/>
      <c r="AP945" s="520"/>
      <c r="AQ945" s="520"/>
      <c r="AR945" s="520"/>
      <c r="AS945" s="520"/>
      <c r="AT945" s="1124"/>
      <c r="AU945" s="520"/>
      <c r="AV945" s="520"/>
      <c r="AW945" s="520"/>
      <c r="AX945" s="520"/>
      <c r="AY945" s="1124"/>
      <c r="AZ945" s="520"/>
      <c r="BA945" s="520"/>
      <c r="BB945" s="520"/>
      <c r="BC945" s="520"/>
      <c r="BD945" s="1123">
        <v>386.24</v>
      </c>
      <c r="BE945" s="520"/>
      <c r="BF945" s="520"/>
      <c r="BG945" s="520"/>
      <c r="BH945" s="520"/>
      <c r="BI945" s="1122"/>
      <c r="BJ945" s="520"/>
      <c r="BK945" s="520"/>
      <c r="BL945" s="520"/>
      <c r="BM945" s="520"/>
      <c r="BN945" s="1122"/>
      <c r="BO945" s="520"/>
      <c r="BP945" s="520"/>
      <c r="BQ945" s="520"/>
      <c r="BR945" s="520"/>
      <c r="BS945" s="1122"/>
      <c r="BT945" s="728"/>
      <c r="BU945" s="520"/>
      <c r="BV945" s="520"/>
      <c r="BW945" s="520"/>
      <c r="BX945" s="1122"/>
      <c r="BY945" s="520"/>
      <c r="BZ945" s="520"/>
      <c r="CA945" s="520"/>
      <c r="CB945" s="520"/>
      <c r="CC945" s="1122"/>
      <c r="CD945" s="1122"/>
      <c r="CE945" s="1122"/>
      <c r="CF945" s="1122"/>
      <c r="CG945" s="519"/>
    </row>
    <row r="946" spans="1:85" s="614" customFormat="1" x14ac:dyDescent="0.3">
      <c r="A946" s="522"/>
      <c r="B946" s="352"/>
      <c r="C946" s="1094"/>
      <c r="D946" s="1094"/>
      <c r="E946" s="1094"/>
      <c r="F946" s="1094"/>
      <c r="G946" s="197"/>
      <c r="H946" s="197"/>
      <c r="I946" s="197"/>
      <c r="J946" s="197"/>
      <c r="K946" s="1094"/>
      <c r="L946" s="197"/>
      <c r="M946" s="197"/>
      <c r="N946" s="197"/>
      <c r="O946" s="197"/>
      <c r="P946" s="1094"/>
      <c r="Q946" s="197"/>
      <c r="R946" s="197"/>
      <c r="S946" s="197"/>
      <c r="T946" s="197"/>
      <c r="U946" s="1094"/>
      <c r="V946" s="197"/>
      <c r="W946" s="197"/>
      <c r="X946" s="197"/>
      <c r="Y946" s="197"/>
      <c r="Z946" s="1094"/>
      <c r="AA946" s="197"/>
      <c r="AB946" s="197"/>
      <c r="AC946" s="197"/>
      <c r="AD946" s="197"/>
      <c r="AE946" s="1094"/>
      <c r="AF946" s="197"/>
      <c r="AG946" s="197"/>
      <c r="AH946" s="197"/>
      <c r="AI946" s="197"/>
      <c r="AJ946" s="1094"/>
      <c r="AK946" s="197"/>
      <c r="AL946" s="197"/>
      <c r="AM946" s="197"/>
      <c r="AN946" s="197"/>
      <c r="AO946" s="1094"/>
      <c r="AP946" s="197"/>
      <c r="AQ946" s="197"/>
      <c r="AR946" s="197"/>
      <c r="AS946" s="197"/>
      <c r="AT946" s="198"/>
      <c r="AU946" s="197"/>
      <c r="AV946" s="197"/>
      <c r="AW946" s="197"/>
      <c r="AX946" s="197"/>
      <c r="AY946" s="198"/>
      <c r="AZ946" s="197"/>
      <c r="BA946" s="197"/>
      <c r="BB946" s="197"/>
      <c r="BC946" s="197"/>
      <c r="BD946" s="198"/>
      <c r="BE946" s="197"/>
      <c r="BF946" s="197"/>
      <c r="BG946" s="197"/>
      <c r="BH946" s="197"/>
      <c r="BI946" s="1094"/>
      <c r="BJ946" s="197"/>
      <c r="BK946" s="197"/>
      <c r="BL946" s="197"/>
      <c r="BM946" s="197"/>
      <c r="BN946" s="1094"/>
      <c r="BO946" s="197"/>
      <c r="BP946" s="197"/>
      <c r="BQ946" s="197"/>
      <c r="BR946" s="197"/>
      <c r="BS946" s="1094"/>
      <c r="BT946" s="727"/>
      <c r="BU946" s="197"/>
      <c r="BV946" s="197"/>
      <c r="BW946" s="197"/>
      <c r="BX946" s="1094"/>
      <c r="BY946" s="197"/>
      <c r="BZ946" s="197"/>
      <c r="CA946" s="197"/>
      <c r="CB946" s="197"/>
      <c r="CC946" s="1094"/>
      <c r="CD946" s="1094"/>
      <c r="CE946" s="1094"/>
      <c r="CF946" s="1094"/>
      <c r="CG946" s="349"/>
    </row>
    <row r="947" spans="1:85" s="613" customFormat="1" x14ac:dyDescent="0.3">
      <c r="A947" s="478" t="s">
        <v>1464</v>
      </c>
      <c r="B947" s="523"/>
      <c r="C947" s="78"/>
      <c r="D947" s="78"/>
      <c r="E947" s="78"/>
      <c r="F947" s="78"/>
      <c r="G947" s="774"/>
      <c r="H947" s="774"/>
      <c r="I947" s="774"/>
      <c r="J947" s="774"/>
      <c r="K947" s="78"/>
      <c r="L947" s="774"/>
      <c r="M947" s="774"/>
      <c r="N947" s="774"/>
      <c r="O947" s="774"/>
      <c r="P947" s="78"/>
      <c r="Q947" s="774"/>
      <c r="R947" s="774"/>
      <c r="S947" s="774"/>
      <c r="T947" s="774"/>
      <c r="U947" s="78"/>
      <c r="V947" s="774"/>
      <c r="W947" s="774"/>
      <c r="X947" s="774"/>
      <c r="Y947" s="774"/>
      <c r="Z947" s="78"/>
      <c r="AA947" s="774"/>
      <c r="AB947" s="774"/>
      <c r="AC947" s="774"/>
      <c r="AD947" s="774"/>
      <c r="AE947" s="78"/>
      <c r="AF947" s="774"/>
      <c r="AG947" s="774"/>
      <c r="AH947" s="774"/>
      <c r="AI947" s="774"/>
      <c r="AJ947" s="78"/>
      <c r="AK947" s="774"/>
      <c r="AL947" s="774"/>
      <c r="AM947" s="774"/>
      <c r="AN947" s="774"/>
      <c r="AO947" s="78"/>
      <c r="AP947" s="774"/>
      <c r="AQ947" s="774"/>
      <c r="AR947" s="774"/>
      <c r="AS947" s="774"/>
      <c r="AT947" s="78"/>
      <c r="AU947" s="774"/>
      <c r="AV947" s="774"/>
      <c r="AW947" s="774"/>
      <c r="AX947" s="774"/>
      <c r="AY947" s="78"/>
      <c r="AZ947" s="774"/>
      <c r="BA947" s="774"/>
      <c r="BB947" s="774"/>
      <c r="BC947" s="774"/>
      <c r="BD947" s="1119">
        <v>4.4630000000000001</v>
      </c>
      <c r="BE947" s="774"/>
      <c r="BF947" s="774"/>
      <c r="BG947" s="774"/>
      <c r="BH947" s="774"/>
      <c r="BI947" s="78"/>
      <c r="BJ947" s="774"/>
      <c r="BK947" s="774"/>
      <c r="BL947" s="774"/>
      <c r="BM947" s="774"/>
      <c r="BN947" s="78"/>
      <c r="BO947" s="774"/>
      <c r="BP947" s="774"/>
      <c r="BQ947" s="774"/>
      <c r="BR947" s="774"/>
      <c r="BS947" s="78"/>
      <c r="BT947" s="775"/>
      <c r="BU947" s="774"/>
      <c r="BV947" s="774"/>
      <c r="BW947" s="774"/>
      <c r="BX947" s="78"/>
      <c r="BY947" s="774"/>
      <c r="BZ947" s="774"/>
      <c r="CA947" s="774"/>
      <c r="CB947" s="774"/>
      <c r="CC947" s="78"/>
      <c r="CD947" s="78"/>
      <c r="CE947" s="78"/>
      <c r="CF947" s="78"/>
      <c r="CG947" s="532"/>
    </row>
    <row r="948" spans="1:85" s="615" customFormat="1" x14ac:dyDescent="0.3">
      <c r="A948" s="522" t="s">
        <v>1463</v>
      </c>
      <c r="B948" s="521"/>
      <c r="C948" s="1122"/>
      <c r="D948" s="1122"/>
      <c r="E948" s="1122"/>
      <c r="F948" s="1122"/>
      <c r="G948" s="520"/>
      <c r="H948" s="520"/>
      <c r="I948" s="520"/>
      <c r="J948" s="520"/>
      <c r="K948" s="1122"/>
      <c r="L948" s="520"/>
      <c r="M948" s="520"/>
      <c r="N948" s="520"/>
      <c r="O948" s="520"/>
      <c r="P948" s="1122"/>
      <c r="Q948" s="520"/>
      <c r="R948" s="520"/>
      <c r="S948" s="520"/>
      <c r="T948" s="520"/>
      <c r="U948" s="1122"/>
      <c r="V948" s="520"/>
      <c r="W948" s="520"/>
      <c r="X948" s="520"/>
      <c r="Y948" s="520"/>
      <c r="Z948" s="1122"/>
      <c r="AA948" s="520"/>
      <c r="AB948" s="520"/>
      <c r="AC948" s="520"/>
      <c r="AD948" s="520"/>
      <c r="AE948" s="1122"/>
      <c r="AF948" s="520"/>
      <c r="AG948" s="520"/>
      <c r="AH948" s="520"/>
      <c r="AI948" s="520"/>
      <c r="AJ948" s="1122"/>
      <c r="AK948" s="520"/>
      <c r="AL948" s="520"/>
      <c r="AM948" s="520"/>
      <c r="AN948" s="520"/>
      <c r="AO948" s="1122"/>
      <c r="AP948" s="520"/>
      <c r="AQ948" s="520"/>
      <c r="AR948" s="520"/>
      <c r="AS948" s="520"/>
      <c r="AT948" s="1124"/>
      <c r="AU948" s="520"/>
      <c r="AV948" s="520"/>
      <c r="AW948" s="520"/>
      <c r="AX948" s="520"/>
      <c r="AY948" s="1124"/>
      <c r="AZ948" s="520"/>
      <c r="BA948" s="520"/>
      <c r="BB948" s="520"/>
      <c r="BC948" s="520"/>
      <c r="BD948" s="1123">
        <v>373.47</v>
      </c>
      <c r="BE948" s="520"/>
      <c r="BF948" s="520"/>
      <c r="BG948" s="520"/>
      <c r="BH948" s="520"/>
      <c r="BI948" s="1122"/>
      <c r="BJ948" s="520"/>
      <c r="BK948" s="520"/>
      <c r="BL948" s="520"/>
      <c r="BM948" s="520"/>
      <c r="BN948" s="1122"/>
      <c r="BO948" s="520"/>
      <c r="BP948" s="520"/>
      <c r="BQ948" s="520"/>
      <c r="BR948" s="520"/>
      <c r="BS948" s="1122"/>
      <c r="BT948" s="728"/>
      <c r="BU948" s="520"/>
      <c r="BV948" s="520"/>
      <c r="BW948" s="520"/>
      <c r="BX948" s="1122"/>
      <c r="BY948" s="520"/>
      <c r="BZ948" s="520"/>
      <c r="CA948" s="520"/>
      <c r="CB948" s="520"/>
      <c r="CC948" s="1122"/>
      <c r="CD948" s="1122"/>
      <c r="CE948" s="1122"/>
      <c r="CF948" s="1122"/>
      <c r="CG948" s="519"/>
    </row>
    <row r="949" spans="1:85" s="614" customFormat="1" x14ac:dyDescent="0.3">
      <c r="A949" s="522"/>
      <c r="B949" s="352"/>
      <c r="C949" s="1094"/>
      <c r="D949" s="1094"/>
      <c r="E949" s="1094"/>
      <c r="F949" s="1094"/>
      <c r="G949" s="197"/>
      <c r="H949" s="197"/>
      <c r="I949" s="197"/>
      <c r="J949" s="197"/>
      <c r="K949" s="1094"/>
      <c r="L949" s="197"/>
      <c r="M949" s="197"/>
      <c r="N949" s="197"/>
      <c r="O949" s="197"/>
      <c r="P949" s="1094"/>
      <c r="Q949" s="197"/>
      <c r="R949" s="197"/>
      <c r="S949" s="197"/>
      <c r="T949" s="197"/>
      <c r="U949" s="1094"/>
      <c r="V949" s="197"/>
      <c r="W949" s="197"/>
      <c r="X949" s="197"/>
      <c r="Y949" s="197"/>
      <c r="Z949" s="1094"/>
      <c r="AA949" s="197"/>
      <c r="AB949" s="197"/>
      <c r="AC949" s="197"/>
      <c r="AD949" s="197"/>
      <c r="AE949" s="1094"/>
      <c r="AF949" s="197"/>
      <c r="AG949" s="197"/>
      <c r="AH949" s="197"/>
      <c r="AI949" s="197"/>
      <c r="AJ949" s="1094"/>
      <c r="AK949" s="197"/>
      <c r="AL949" s="197"/>
      <c r="AM949" s="197"/>
      <c r="AN949" s="197"/>
      <c r="AO949" s="1094"/>
      <c r="AP949" s="197"/>
      <c r="AQ949" s="197"/>
      <c r="AR949" s="197"/>
      <c r="AS949" s="197"/>
      <c r="AT949" s="198"/>
      <c r="AU949" s="197"/>
      <c r="AV949" s="197"/>
      <c r="AW949" s="197"/>
      <c r="AX949" s="197"/>
      <c r="AY949" s="198"/>
      <c r="AZ949" s="197"/>
      <c r="BA949" s="197"/>
      <c r="BB949" s="197"/>
      <c r="BC949" s="197"/>
      <c r="BD949" s="198"/>
      <c r="BE949" s="197"/>
      <c r="BF949" s="197"/>
      <c r="BG949" s="197"/>
      <c r="BH949" s="197"/>
      <c r="BI949" s="1094"/>
      <c r="BJ949" s="197"/>
      <c r="BK949" s="197"/>
      <c r="BL949" s="197"/>
      <c r="BM949" s="197"/>
      <c r="BN949" s="1094"/>
      <c r="BO949" s="197"/>
      <c r="BP949" s="197"/>
      <c r="BQ949" s="197"/>
      <c r="BR949" s="197"/>
      <c r="BS949" s="1094"/>
      <c r="BT949" s="727"/>
      <c r="BU949" s="197"/>
      <c r="BV949" s="197"/>
      <c r="BW949" s="197"/>
      <c r="BX949" s="1094"/>
      <c r="BY949" s="197"/>
      <c r="BZ949" s="197"/>
      <c r="CA949" s="197"/>
      <c r="CB949" s="197"/>
      <c r="CC949" s="1094"/>
      <c r="CD949" s="1094"/>
      <c r="CE949" s="1094"/>
      <c r="CF949" s="1094"/>
      <c r="CG949" s="349"/>
    </row>
    <row r="950" spans="1:85" s="613" customFormat="1" x14ac:dyDescent="0.3">
      <c r="A950" s="478" t="s">
        <v>1462</v>
      </c>
      <c r="B950" s="523"/>
      <c r="C950" s="78"/>
      <c r="D950" s="78"/>
      <c r="E950" s="78"/>
      <c r="F950" s="78"/>
      <c r="G950" s="774"/>
      <c r="H950" s="774"/>
      <c r="I950" s="774"/>
      <c r="J950" s="774"/>
      <c r="K950" s="78"/>
      <c r="L950" s="774"/>
      <c r="M950" s="774"/>
      <c r="N950" s="774"/>
      <c r="O950" s="774"/>
      <c r="P950" s="78"/>
      <c r="Q950" s="774"/>
      <c r="R950" s="774"/>
      <c r="S950" s="774"/>
      <c r="T950" s="774"/>
      <c r="U950" s="78"/>
      <c r="V950" s="774"/>
      <c r="W950" s="774"/>
      <c r="X950" s="774"/>
      <c r="Y950" s="774"/>
      <c r="Z950" s="78"/>
      <c r="AA950" s="774"/>
      <c r="AB950" s="774"/>
      <c r="AC950" s="774"/>
      <c r="AD950" s="774"/>
      <c r="AE950" s="78"/>
      <c r="AF950" s="774"/>
      <c r="AG950" s="774"/>
      <c r="AH950" s="774"/>
      <c r="AI950" s="774"/>
      <c r="AJ950" s="78"/>
      <c r="AK950" s="774"/>
      <c r="AL950" s="774"/>
      <c r="AM950" s="774"/>
      <c r="AN950" s="774"/>
      <c r="AO950" s="78"/>
      <c r="AP950" s="774"/>
      <c r="AQ950" s="774"/>
      <c r="AR950" s="774"/>
      <c r="AS950" s="774"/>
      <c r="AT950" s="78"/>
      <c r="AU950" s="774"/>
      <c r="AV950" s="774"/>
      <c r="AW950" s="774"/>
      <c r="AX950" s="774"/>
      <c r="AY950" s="78"/>
      <c r="AZ950" s="774"/>
      <c r="BA950" s="774"/>
      <c r="BB950" s="774"/>
      <c r="BC950" s="774"/>
      <c r="BD950" s="1119">
        <v>8.3559999999999999</v>
      </c>
      <c r="BE950" s="774"/>
      <c r="BF950" s="774"/>
      <c r="BG950" s="774"/>
      <c r="BH950" s="774"/>
      <c r="BI950" s="78"/>
      <c r="BJ950" s="774"/>
      <c r="BK950" s="774"/>
      <c r="BL950" s="774"/>
      <c r="BM950" s="774"/>
      <c r="BN950" s="78"/>
      <c r="BO950" s="774"/>
      <c r="BP950" s="774"/>
      <c r="BQ950" s="774"/>
      <c r="BR950" s="774"/>
      <c r="BS950" s="78"/>
      <c r="BT950" s="775"/>
      <c r="BU950" s="774"/>
      <c r="BV950" s="774"/>
      <c r="BW950" s="774"/>
      <c r="BX950" s="78"/>
      <c r="BY950" s="774"/>
      <c r="BZ950" s="774"/>
      <c r="CA950" s="774"/>
      <c r="CB950" s="774"/>
      <c r="CC950" s="78"/>
      <c r="CD950" s="78"/>
      <c r="CE950" s="78"/>
      <c r="CF950" s="78"/>
      <c r="CG950" s="532"/>
    </row>
    <row r="951" spans="1:85" s="615" customFormat="1" x14ac:dyDescent="0.3">
      <c r="A951" s="522" t="s">
        <v>1461</v>
      </c>
      <c r="B951" s="521"/>
      <c r="C951" s="1122"/>
      <c r="D951" s="1122"/>
      <c r="E951" s="1122"/>
      <c r="F951" s="1122"/>
      <c r="G951" s="520"/>
      <c r="H951" s="520"/>
      <c r="I951" s="520"/>
      <c r="J951" s="520"/>
      <c r="K951" s="1122"/>
      <c r="L951" s="520"/>
      <c r="M951" s="520"/>
      <c r="N951" s="520"/>
      <c r="O951" s="520"/>
      <c r="P951" s="1122"/>
      <c r="Q951" s="520"/>
      <c r="R951" s="520"/>
      <c r="S951" s="520"/>
      <c r="T951" s="520"/>
      <c r="U951" s="1122"/>
      <c r="V951" s="520"/>
      <c r="W951" s="520"/>
      <c r="X951" s="520"/>
      <c r="Y951" s="520"/>
      <c r="Z951" s="1122"/>
      <c r="AA951" s="520"/>
      <c r="AB951" s="520"/>
      <c r="AC951" s="520"/>
      <c r="AD951" s="520"/>
      <c r="AE951" s="1122"/>
      <c r="AF951" s="520"/>
      <c r="AG951" s="520"/>
      <c r="AH951" s="520"/>
      <c r="AI951" s="520"/>
      <c r="AJ951" s="1122"/>
      <c r="AK951" s="520"/>
      <c r="AL951" s="520"/>
      <c r="AM951" s="520"/>
      <c r="AN951" s="520"/>
      <c r="AO951" s="1122"/>
      <c r="AP951" s="520"/>
      <c r="AQ951" s="520"/>
      <c r="AR951" s="520"/>
      <c r="AS951" s="520"/>
      <c r="AT951" s="1124"/>
      <c r="AU951" s="520"/>
      <c r="AV951" s="520"/>
      <c r="AW951" s="520"/>
      <c r="AX951" s="520"/>
      <c r="AY951" s="1124"/>
      <c r="AZ951" s="520"/>
      <c r="BA951" s="520"/>
      <c r="BB951" s="520"/>
      <c r="BC951" s="520"/>
      <c r="BD951" s="1123">
        <v>199.46</v>
      </c>
      <c r="BE951" s="520"/>
      <c r="BF951" s="520"/>
      <c r="BG951" s="520"/>
      <c r="BH951" s="520"/>
      <c r="BI951" s="1122"/>
      <c r="BJ951" s="520"/>
      <c r="BK951" s="520"/>
      <c r="BL951" s="520"/>
      <c r="BM951" s="520"/>
      <c r="BN951" s="1122"/>
      <c r="BO951" s="520"/>
      <c r="BP951" s="520"/>
      <c r="BQ951" s="520"/>
      <c r="BR951" s="520"/>
      <c r="BS951" s="1122"/>
      <c r="BT951" s="728"/>
      <c r="BU951" s="520"/>
      <c r="BV951" s="520"/>
      <c r="BW951" s="520"/>
      <c r="BX951" s="1122"/>
      <c r="BY951" s="520"/>
      <c r="BZ951" s="520"/>
      <c r="CA951" s="520"/>
      <c r="CB951" s="520"/>
      <c r="CC951" s="1122"/>
      <c r="CD951" s="1122"/>
      <c r="CE951" s="1122"/>
      <c r="CF951" s="1122"/>
      <c r="CG951" s="519"/>
    </row>
    <row r="952" spans="1:85" s="614" customFormat="1" x14ac:dyDescent="0.3">
      <c r="A952" s="522"/>
      <c r="B952" s="352"/>
      <c r="C952" s="1094"/>
      <c r="D952" s="1094"/>
      <c r="E952" s="1094"/>
      <c r="F952" s="1094"/>
      <c r="G952" s="197"/>
      <c r="H952" s="197"/>
      <c r="I952" s="197"/>
      <c r="J952" s="197"/>
      <c r="K952" s="1094"/>
      <c r="L952" s="197"/>
      <c r="M952" s="197"/>
      <c r="N952" s="197"/>
      <c r="O952" s="197"/>
      <c r="P952" s="1094"/>
      <c r="Q952" s="197"/>
      <c r="R952" s="197"/>
      <c r="S952" s="197"/>
      <c r="T952" s="197"/>
      <c r="U952" s="1094"/>
      <c r="V952" s="197"/>
      <c r="W952" s="197"/>
      <c r="X952" s="197"/>
      <c r="Y952" s="197"/>
      <c r="Z952" s="1094"/>
      <c r="AA952" s="197"/>
      <c r="AB952" s="197"/>
      <c r="AC952" s="197"/>
      <c r="AD952" s="197"/>
      <c r="AE952" s="1094"/>
      <c r="AF952" s="197"/>
      <c r="AG952" s="197"/>
      <c r="AH952" s="197"/>
      <c r="AI952" s="197"/>
      <c r="AJ952" s="1094"/>
      <c r="AK952" s="197"/>
      <c r="AL952" s="197"/>
      <c r="AM952" s="197"/>
      <c r="AN952" s="197"/>
      <c r="AO952" s="1094"/>
      <c r="AP952" s="197"/>
      <c r="AQ952" s="197"/>
      <c r="AR952" s="197"/>
      <c r="AS952" s="197"/>
      <c r="AT952" s="198"/>
      <c r="AU952" s="197"/>
      <c r="AV952" s="197"/>
      <c r="AW952" s="197"/>
      <c r="AX952" s="197"/>
      <c r="AY952" s="198"/>
      <c r="AZ952" s="197"/>
      <c r="BA952" s="197"/>
      <c r="BB952" s="197"/>
      <c r="BC952" s="197"/>
      <c r="BD952" s="198"/>
      <c r="BE952" s="197"/>
      <c r="BF952" s="197"/>
      <c r="BG952" s="197"/>
      <c r="BH952" s="197"/>
      <c r="BI952" s="1094"/>
      <c r="BJ952" s="197"/>
      <c r="BK952" s="197"/>
      <c r="BL952" s="197"/>
      <c r="BM952" s="197"/>
      <c r="BN952" s="1094"/>
      <c r="BO952" s="197"/>
      <c r="BP952" s="197"/>
      <c r="BQ952" s="197"/>
      <c r="BR952" s="197"/>
      <c r="BS952" s="1094"/>
      <c r="BT952" s="727"/>
      <c r="BU952" s="197"/>
      <c r="BV952" s="197"/>
      <c r="BW952" s="197"/>
      <c r="BX952" s="1094"/>
      <c r="BY952" s="197"/>
      <c r="BZ952" s="197"/>
      <c r="CA952" s="197"/>
      <c r="CB952" s="197"/>
      <c r="CC952" s="1094"/>
      <c r="CD952" s="1094"/>
      <c r="CE952" s="1094"/>
      <c r="CF952" s="1094"/>
      <c r="CG952" s="349"/>
    </row>
    <row r="953" spans="1:85" s="613" customFormat="1" x14ac:dyDescent="0.3">
      <c r="A953" s="478" t="s">
        <v>1460</v>
      </c>
      <c r="B953" s="523"/>
      <c r="C953" s="78"/>
      <c r="D953" s="78"/>
      <c r="E953" s="78"/>
      <c r="F953" s="78"/>
      <c r="G953" s="774"/>
      <c r="H953" s="774"/>
      <c r="I953" s="774"/>
      <c r="J953" s="774"/>
      <c r="K953" s="78"/>
      <c r="L953" s="774"/>
      <c r="M953" s="774"/>
      <c r="N953" s="774"/>
      <c r="O953" s="774"/>
      <c r="P953" s="78"/>
      <c r="Q953" s="774"/>
      <c r="R953" s="774"/>
      <c r="S953" s="774"/>
      <c r="T953" s="774"/>
      <c r="U953" s="78"/>
      <c r="V953" s="774"/>
      <c r="W953" s="774"/>
      <c r="X953" s="774"/>
      <c r="Y953" s="774"/>
      <c r="Z953" s="78"/>
      <c r="AA953" s="774"/>
      <c r="AB953" s="774"/>
      <c r="AC953" s="774"/>
      <c r="AD953" s="774"/>
      <c r="AE953" s="78"/>
      <c r="AF953" s="774"/>
      <c r="AG953" s="774"/>
      <c r="AH953" s="774"/>
      <c r="AI953" s="774"/>
      <c r="AJ953" s="78"/>
      <c r="AK953" s="774"/>
      <c r="AL953" s="774"/>
      <c r="AM953" s="774"/>
      <c r="AN953" s="774"/>
      <c r="AO953" s="78"/>
      <c r="AP953" s="774"/>
      <c r="AQ953" s="774"/>
      <c r="AR953" s="774"/>
      <c r="AS953" s="774"/>
      <c r="AT953" s="78"/>
      <c r="AU953" s="774"/>
      <c r="AV953" s="774"/>
      <c r="AW953" s="774"/>
      <c r="AX953" s="774"/>
      <c r="AY953" s="78"/>
      <c r="AZ953" s="774"/>
      <c r="BA953" s="774"/>
      <c r="BB953" s="774"/>
      <c r="BC953" s="774"/>
      <c r="BD953" s="1119">
        <v>8.64</v>
      </c>
      <c r="BE953" s="774"/>
      <c r="BF953" s="774"/>
      <c r="BG953" s="774"/>
      <c r="BH953" s="774"/>
      <c r="BI953" s="78"/>
      <c r="BJ953" s="774"/>
      <c r="BK953" s="774"/>
      <c r="BL953" s="774"/>
      <c r="BM953" s="774"/>
      <c r="BN953" s="78"/>
      <c r="BO953" s="774"/>
      <c r="BP953" s="774"/>
      <c r="BQ953" s="774"/>
      <c r="BR953" s="774"/>
      <c r="BS953" s="78"/>
      <c r="BT953" s="775"/>
      <c r="BU953" s="774"/>
      <c r="BV953" s="774"/>
      <c r="BW953" s="774"/>
      <c r="BX953" s="78"/>
      <c r="BY953" s="774"/>
      <c r="BZ953" s="774"/>
      <c r="CA953" s="774"/>
      <c r="CB953" s="774"/>
      <c r="CC953" s="78"/>
      <c r="CD953" s="78"/>
      <c r="CE953" s="78"/>
      <c r="CF953" s="78"/>
      <c r="CG953" s="532"/>
    </row>
    <row r="954" spans="1:85" s="615" customFormat="1" x14ac:dyDescent="0.3">
      <c r="A954" s="522" t="s">
        <v>1459</v>
      </c>
      <c r="B954" s="521"/>
      <c r="C954" s="1122"/>
      <c r="D954" s="1122"/>
      <c r="E954" s="1122"/>
      <c r="F954" s="1122"/>
      <c r="G954" s="520"/>
      <c r="H954" s="520"/>
      <c r="I954" s="520"/>
      <c r="J954" s="520"/>
      <c r="K954" s="1122"/>
      <c r="L954" s="520"/>
      <c r="M954" s="520"/>
      <c r="N954" s="520"/>
      <c r="O954" s="520"/>
      <c r="P954" s="1122"/>
      <c r="Q954" s="520"/>
      <c r="R954" s="520"/>
      <c r="S954" s="520"/>
      <c r="T954" s="520"/>
      <c r="U954" s="1122"/>
      <c r="V954" s="520"/>
      <c r="W954" s="520"/>
      <c r="X954" s="520"/>
      <c r="Y954" s="520"/>
      <c r="Z954" s="1122"/>
      <c r="AA954" s="520"/>
      <c r="AB954" s="520"/>
      <c r="AC954" s="520"/>
      <c r="AD954" s="520"/>
      <c r="AE954" s="1122"/>
      <c r="AF954" s="520"/>
      <c r="AG954" s="520"/>
      <c r="AH954" s="520"/>
      <c r="AI954" s="520"/>
      <c r="AJ954" s="1122"/>
      <c r="AK954" s="520"/>
      <c r="AL954" s="520"/>
      <c r="AM954" s="520"/>
      <c r="AN954" s="520"/>
      <c r="AO954" s="1122"/>
      <c r="AP954" s="520"/>
      <c r="AQ954" s="520"/>
      <c r="AR954" s="520"/>
      <c r="AS954" s="520"/>
      <c r="AT954" s="1124"/>
      <c r="AU954" s="520"/>
      <c r="AV954" s="520"/>
      <c r="AW954" s="520"/>
      <c r="AX954" s="520"/>
      <c r="AY954" s="1124"/>
      <c r="AZ954" s="520"/>
      <c r="BA954" s="520"/>
      <c r="BB954" s="520"/>
      <c r="BC954" s="520"/>
      <c r="BD954" s="1123">
        <v>192.91</v>
      </c>
      <c r="BE954" s="520"/>
      <c r="BF954" s="520"/>
      <c r="BG954" s="520"/>
      <c r="BH954" s="520"/>
      <c r="BI954" s="1122"/>
      <c r="BJ954" s="520"/>
      <c r="BK954" s="520"/>
      <c r="BL954" s="520"/>
      <c r="BM954" s="520"/>
      <c r="BN954" s="1122"/>
      <c r="BO954" s="520"/>
      <c r="BP954" s="520"/>
      <c r="BQ954" s="520"/>
      <c r="BR954" s="520"/>
      <c r="BS954" s="1122"/>
      <c r="BT954" s="728"/>
      <c r="BU954" s="520"/>
      <c r="BV954" s="520"/>
      <c r="BW954" s="520"/>
      <c r="BX954" s="1122"/>
      <c r="BY954" s="520"/>
      <c r="BZ954" s="520"/>
      <c r="CA954" s="520"/>
      <c r="CB954" s="520"/>
      <c r="CC954" s="1122"/>
      <c r="CD954" s="1122"/>
      <c r="CE954" s="1122"/>
      <c r="CF954" s="1122"/>
      <c r="CG954" s="519"/>
    </row>
    <row r="955" spans="1:85" s="614" customFormat="1" x14ac:dyDescent="0.3">
      <c r="A955" s="522"/>
      <c r="B955" s="352"/>
      <c r="C955" s="1094"/>
      <c r="D955" s="1094"/>
      <c r="E955" s="1094"/>
      <c r="F955" s="1094"/>
      <c r="G955" s="197"/>
      <c r="H955" s="197"/>
      <c r="I955" s="197"/>
      <c r="J955" s="197"/>
      <c r="K955" s="1094"/>
      <c r="L955" s="197"/>
      <c r="M955" s="197"/>
      <c r="N955" s="197"/>
      <c r="O955" s="197"/>
      <c r="P955" s="1094"/>
      <c r="Q955" s="197"/>
      <c r="R955" s="197"/>
      <c r="S955" s="197"/>
      <c r="T955" s="197"/>
      <c r="U955" s="1094"/>
      <c r="V955" s="197"/>
      <c r="W955" s="197"/>
      <c r="X955" s="197"/>
      <c r="Y955" s="197"/>
      <c r="Z955" s="1094"/>
      <c r="AA955" s="197"/>
      <c r="AB955" s="197"/>
      <c r="AC955" s="197"/>
      <c r="AD955" s="197"/>
      <c r="AE955" s="1094"/>
      <c r="AF955" s="197"/>
      <c r="AG955" s="197"/>
      <c r="AH955" s="197"/>
      <c r="AI955" s="197"/>
      <c r="AJ955" s="1094"/>
      <c r="AK955" s="197"/>
      <c r="AL955" s="197"/>
      <c r="AM955" s="197"/>
      <c r="AN955" s="197"/>
      <c r="AO955" s="1094"/>
      <c r="AP955" s="197"/>
      <c r="AQ955" s="197"/>
      <c r="AR955" s="197"/>
      <c r="AS955" s="197"/>
      <c r="AT955" s="198"/>
      <c r="AU955" s="197"/>
      <c r="AV955" s="197"/>
      <c r="AW955" s="197"/>
      <c r="AX955" s="197"/>
      <c r="AY955" s="198"/>
      <c r="AZ955" s="197"/>
      <c r="BA955" s="197"/>
      <c r="BB955" s="197"/>
      <c r="BC955" s="197"/>
      <c r="BD955" s="198"/>
      <c r="BE955" s="197"/>
      <c r="BF955" s="197"/>
      <c r="BG955" s="197"/>
      <c r="BH955" s="197"/>
      <c r="BI955" s="1094"/>
      <c r="BJ955" s="197"/>
      <c r="BK955" s="197"/>
      <c r="BL955" s="197"/>
      <c r="BM955" s="197"/>
      <c r="BN955" s="1094"/>
      <c r="BO955" s="197"/>
      <c r="BP955" s="197"/>
      <c r="BQ955" s="197"/>
      <c r="BR955" s="197"/>
      <c r="BS955" s="1094"/>
      <c r="BT955" s="727"/>
      <c r="BU955" s="197"/>
      <c r="BV955" s="197"/>
      <c r="BW955" s="197"/>
      <c r="BX955" s="1094"/>
      <c r="BY955" s="197"/>
      <c r="BZ955" s="197"/>
      <c r="CA955" s="197"/>
      <c r="CB955" s="197"/>
      <c r="CC955" s="1094"/>
      <c r="CD955" s="1094"/>
      <c r="CE955" s="1094"/>
      <c r="CF955" s="1094"/>
      <c r="CG955" s="349"/>
    </row>
    <row r="956" spans="1:85" s="613" customFormat="1" x14ac:dyDescent="0.3">
      <c r="A956" s="478" t="s">
        <v>1458</v>
      </c>
      <c r="B956" s="523"/>
      <c r="C956" s="78"/>
      <c r="D956" s="78"/>
      <c r="E956" s="78"/>
      <c r="F956" s="78"/>
      <c r="G956" s="774"/>
      <c r="H956" s="774"/>
      <c r="I956" s="774"/>
      <c r="J956" s="774"/>
      <c r="K956" s="78"/>
      <c r="L956" s="774"/>
      <c r="M956" s="774"/>
      <c r="N956" s="774"/>
      <c r="O956" s="774"/>
      <c r="P956" s="78"/>
      <c r="Q956" s="774"/>
      <c r="R956" s="774"/>
      <c r="S956" s="774"/>
      <c r="T956" s="774"/>
      <c r="U956" s="78"/>
      <c r="V956" s="774"/>
      <c r="W956" s="774"/>
      <c r="X956" s="774"/>
      <c r="Y956" s="774"/>
      <c r="Z956" s="78"/>
      <c r="AA956" s="774"/>
      <c r="AB956" s="774"/>
      <c r="AC956" s="774"/>
      <c r="AD956" s="774"/>
      <c r="AE956" s="78"/>
      <c r="AF956" s="774"/>
      <c r="AG956" s="774"/>
      <c r="AH956" s="774"/>
      <c r="AI956" s="774"/>
      <c r="AJ956" s="78"/>
      <c r="AK956" s="774"/>
      <c r="AL956" s="774"/>
      <c r="AM956" s="774"/>
      <c r="AN956" s="774"/>
      <c r="AO956" s="78"/>
      <c r="AP956" s="774"/>
      <c r="AQ956" s="774"/>
      <c r="AR956" s="774"/>
      <c r="AS956" s="774"/>
      <c r="AT956" s="78"/>
      <c r="AU956" s="774"/>
      <c r="AV956" s="774"/>
      <c r="AW956" s="774"/>
      <c r="AX956" s="774"/>
      <c r="AY956" s="78"/>
      <c r="AZ956" s="774"/>
      <c r="BA956" s="774"/>
      <c r="BB956" s="774"/>
      <c r="BC956" s="774"/>
      <c r="BD956" s="1119">
        <v>9.2620000000000005</v>
      </c>
      <c r="BE956" s="774"/>
      <c r="BF956" s="774"/>
      <c r="BG956" s="774"/>
      <c r="BH956" s="774"/>
      <c r="BI956" s="78"/>
      <c r="BJ956" s="774"/>
      <c r="BK956" s="774"/>
      <c r="BL956" s="774"/>
      <c r="BM956" s="774"/>
      <c r="BN956" s="78"/>
      <c r="BO956" s="774"/>
      <c r="BP956" s="774"/>
      <c r="BQ956" s="774"/>
      <c r="BR956" s="774"/>
      <c r="BS956" s="78"/>
      <c r="BT956" s="775"/>
      <c r="BU956" s="774"/>
      <c r="BV956" s="774"/>
      <c r="BW956" s="774"/>
      <c r="BX956" s="78"/>
      <c r="BY956" s="774"/>
      <c r="BZ956" s="774"/>
      <c r="CA956" s="774"/>
      <c r="CB956" s="774"/>
      <c r="CC956" s="78"/>
      <c r="CD956" s="78"/>
      <c r="CE956" s="78"/>
      <c r="CF956" s="78"/>
      <c r="CG956" s="532"/>
    </row>
    <row r="957" spans="1:85" s="615" customFormat="1" x14ac:dyDescent="0.3">
      <c r="A957" s="522" t="s">
        <v>1457</v>
      </c>
      <c r="B957" s="521"/>
      <c r="C957" s="1122"/>
      <c r="D957" s="1122"/>
      <c r="E957" s="1122"/>
      <c r="F957" s="1122"/>
      <c r="G957" s="520"/>
      <c r="H957" s="520"/>
      <c r="I957" s="520"/>
      <c r="J957" s="520"/>
      <c r="K957" s="1122"/>
      <c r="L957" s="520"/>
      <c r="M957" s="520"/>
      <c r="N957" s="520"/>
      <c r="O957" s="520"/>
      <c r="P957" s="1122"/>
      <c r="Q957" s="520"/>
      <c r="R957" s="520"/>
      <c r="S957" s="520"/>
      <c r="T957" s="520"/>
      <c r="U957" s="1122"/>
      <c r="V957" s="520"/>
      <c r="W957" s="520"/>
      <c r="X957" s="520"/>
      <c r="Y957" s="520"/>
      <c r="Z957" s="1122"/>
      <c r="AA957" s="520"/>
      <c r="AB957" s="520"/>
      <c r="AC957" s="520"/>
      <c r="AD957" s="520"/>
      <c r="AE957" s="1122"/>
      <c r="AF957" s="520"/>
      <c r="AG957" s="520"/>
      <c r="AH957" s="520"/>
      <c r="AI957" s="520"/>
      <c r="AJ957" s="1122"/>
      <c r="AK957" s="520"/>
      <c r="AL957" s="520"/>
      <c r="AM957" s="520"/>
      <c r="AN957" s="520"/>
      <c r="AO957" s="1122"/>
      <c r="AP957" s="520"/>
      <c r="AQ957" s="520"/>
      <c r="AR957" s="520"/>
      <c r="AS957" s="520"/>
      <c r="AT957" s="1124"/>
      <c r="AU957" s="520"/>
      <c r="AV957" s="520"/>
      <c r="AW957" s="520"/>
      <c r="AX957" s="520"/>
      <c r="AY957" s="1124"/>
      <c r="AZ957" s="520"/>
      <c r="BA957" s="520"/>
      <c r="BB957" s="520"/>
      <c r="BC957" s="520"/>
      <c r="BD957" s="1123">
        <v>179.95</v>
      </c>
      <c r="BE957" s="520"/>
      <c r="BF957" s="520"/>
      <c r="BG957" s="520"/>
      <c r="BH957" s="520"/>
      <c r="BI957" s="1122"/>
      <c r="BJ957" s="520"/>
      <c r="BK957" s="520"/>
      <c r="BL957" s="520"/>
      <c r="BM957" s="520"/>
      <c r="BN957" s="1122"/>
      <c r="BO957" s="520"/>
      <c r="BP957" s="520"/>
      <c r="BQ957" s="520"/>
      <c r="BR957" s="520"/>
      <c r="BS957" s="1122"/>
      <c r="BT957" s="728"/>
      <c r="BU957" s="520"/>
      <c r="BV957" s="520"/>
      <c r="BW957" s="520"/>
      <c r="BX957" s="1122"/>
      <c r="BY957" s="520"/>
      <c r="BZ957" s="520"/>
      <c r="CA957" s="520"/>
      <c r="CB957" s="520"/>
      <c r="CC957" s="1122"/>
      <c r="CD957" s="1122"/>
      <c r="CE957" s="1122"/>
      <c r="CF957" s="1122"/>
      <c r="CG957" s="519"/>
    </row>
    <row r="958" spans="1:85" s="614" customFormat="1" x14ac:dyDescent="0.3">
      <c r="A958" s="522"/>
      <c r="B958" s="352"/>
      <c r="C958" s="1094"/>
      <c r="D958" s="1094"/>
      <c r="E958" s="1094"/>
      <c r="F958" s="1094"/>
      <c r="G958" s="197"/>
      <c r="H958" s="197"/>
      <c r="I958" s="197"/>
      <c r="J958" s="197"/>
      <c r="K958" s="1094"/>
      <c r="L958" s="197"/>
      <c r="M958" s="197"/>
      <c r="N958" s="197"/>
      <c r="O958" s="197"/>
      <c r="P958" s="1094"/>
      <c r="Q958" s="197"/>
      <c r="R958" s="197"/>
      <c r="S958" s="197"/>
      <c r="T958" s="197"/>
      <c r="U958" s="1094"/>
      <c r="V958" s="197"/>
      <c r="W958" s="197"/>
      <c r="X958" s="197"/>
      <c r="Y958" s="197"/>
      <c r="Z958" s="1094"/>
      <c r="AA958" s="197"/>
      <c r="AB958" s="197"/>
      <c r="AC958" s="197"/>
      <c r="AD958" s="197"/>
      <c r="AE958" s="1094"/>
      <c r="AF958" s="197"/>
      <c r="AG958" s="197"/>
      <c r="AH958" s="197"/>
      <c r="AI958" s="197"/>
      <c r="AJ958" s="1094"/>
      <c r="AK958" s="197"/>
      <c r="AL958" s="197"/>
      <c r="AM958" s="197"/>
      <c r="AN958" s="197"/>
      <c r="AO958" s="1094"/>
      <c r="AP958" s="197"/>
      <c r="AQ958" s="197"/>
      <c r="AR958" s="197"/>
      <c r="AS958" s="197"/>
      <c r="AT958" s="198"/>
      <c r="AU958" s="197"/>
      <c r="AV958" s="197"/>
      <c r="AW958" s="197"/>
      <c r="AX958" s="197"/>
      <c r="AY958" s="198"/>
      <c r="AZ958" s="197"/>
      <c r="BA958" s="197"/>
      <c r="BB958" s="197"/>
      <c r="BC958" s="197"/>
      <c r="BD958" s="198"/>
      <c r="BE958" s="197"/>
      <c r="BF958" s="197"/>
      <c r="BG958" s="197"/>
      <c r="BH958" s="197"/>
      <c r="BI958" s="1094"/>
      <c r="BJ958" s="197"/>
      <c r="BK958" s="197"/>
      <c r="BL958" s="197"/>
      <c r="BM958" s="197"/>
      <c r="BN958" s="1094"/>
      <c r="BO958" s="197"/>
      <c r="BP958" s="197"/>
      <c r="BQ958" s="197"/>
      <c r="BR958" s="197"/>
      <c r="BS958" s="1094"/>
      <c r="BT958" s="727"/>
      <c r="BU958" s="197"/>
      <c r="BV958" s="197"/>
      <c r="BW958" s="197"/>
      <c r="BX958" s="1094"/>
      <c r="BY958" s="197"/>
      <c r="BZ958" s="197"/>
      <c r="CA958" s="197"/>
      <c r="CB958" s="197"/>
      <c r="CC958" s="1094"/>
      <c r="CD958" s="1094"/>
      <c r="CE958" s="1094"/>
      <c r="CF958" s="1094"/>
      <c r="CG958" s="349"/>
    </row>
    <row r="959" spans="1:85" s="613" customFormat="1" x14ac:dyDescent="0.3">
      <c r="A959" s="478" t="s">
        <v>1456</v>
      </c>
      <c r="B959" s="523"/>
      <c r="C959" s="78"/>
      <c r="D959" s="78"/>
      <c r="E959" s="78"/>
      <c r="F959" s="78"/>
      <c r="G959" s="774"/>
      <c r="H959" s="774"/>
      <c r="I959" s="774"/>
      <c r="J959" s="774"/>
      <c r="K959" s="78"/>
      <c r="L959" s="774"/>
      <c r="M959" s="774"/>
      <c r="N959" s="774"/>
      <c r="O959" s="774"/>
      <c r="P959" s="78"/>
      <c r="Q959" s="774"/>
      <c r="R959" s="774"/>
      <c r="S959" s="774"/>
      <c r="T959" s="774"/>
      <c r="U959" s="78"/>
      <c r="V959" s="774"/>
      <c r="W959" s="774"/>
      <c r="X959" s="774"/>
      <c r="Y959" s="774"/>
      <c r="Z959" s="78"/>
      <c r="AA959" s="774"/>
      <c r="AB959" s="774"/>
      <c r="AC959" s="774"/>
      <c r="AD959" s="774"/>
      <c r="AE959" s="78"/>
      <c r="AF959" s="774"/>
      <c r="AG959" s="774"/>
      <c r="AH959" s="774"/>
      <c r="AI959" s="774"/>
      <c r="AJ959" s="78"/>
      <c r="AK959" s="774"/>
      <c r="AL959" s="774"/>
      <c r="AM959" s="774"/>
      <c r="AN959" s="774"/>
      <c r="AO959" s="78"/>
      <c r="AP959" s="774"/>
      <c r="AQ959" s="774"/>
      <c r="AR959" s="774"/>
      <c r="AS959" s="774"/>
      <c r="AT959" s="78"/>
      <c r="AU959" s="774"/>
      <c r="AV959" s="774"/>
      <c r="AW959" s="774"/>
      <c r="AX959" s="774"/>
      <c r="AY959" s="78"/>
      <c r="AZ959" s="774"/>
      <c r="BA959" s="774"/>
      <c r="BB959" s="774"/>
      <c r="BC959" s="774"/>
      <c r="BD959" s="1119">
        <v>7.367</v>
      </c>
      <c r="BE959" s="774"/>
      <c r="BF959" s="774"/>
      <c r="BG959" s="774"/>
      <c r="BH959" s="774"/>
      <c r="BI959" s="78"/>
      <c r="BJ959" s="774"/>
      <c r="BK959" s="774"/>
      <c r="BL959" s="774"/>
      <c r="BM959" s="774"/>
      <c r="BN959" s="78"/>
      <c r="BO959" s="774"/>
      <c r="BP959" s="774"/>
      <c r="BQ959" s="774"/>
      <c r="BR959" s="774"/>
      <c r="BS959" s="78"/>
      <c r="BT959" s="775"/>
      <c r="BU959" s="774"/>
      <c r="BV959" s="774"/>
      <c r="BW959" s="774"/>
      <c r="BX959" s="78"/>
      <c r="BY959" s="774"/>
      <c r="BZ959" s="774"/>
      <c r="CA959" s="774"/>
      <c r="CB959" s="774"/>
      <c r="CC959" s="78"/>
      <c r="CD959" s="78"/>
      <c r="CE959" s="78"/>
      <c r="CF959" s="78"/>
      <c r="CG959" s="532"/>
    </row>
    <row r="960" spans="1:85" s="615" customFormat="1" x14ac:dyDescent="0.3">
      <c r="A960" s="522" t="s">
        <v>1455</v>
      </c>
      <c r="B960" s="521"/>
      <c r="C960" s="1122"/>
      <c r="D960" s="1122"/>
      <c r="E960" s="1122"/>
      <c r="F960" s="1122"/>
      <c r="G960" s="520"/>
      <c r="H960" s="520"/>
      <c r="I960" s="520"/>
      <c r="J960" s="520"/>
      <c r="K960" s="1122"/>
      <c r="L960" s="520"/>
      <c r="M960" s="520"/>
      <c r="N960" s="520"/>
      <c r="O960" s="520"/>
      <c r="P960" s="1122"/>
      <c r="Q960" s="520"/>
      <c r="R960" s="520"/>
      <c r="S960" s="520"/>
      <c r="T960" s="520"/>
      <c r="U960" s="1122"/>
      <c r="V960" s="520"/>
      <c r="W960" s="520"/>
      <c r="X960" s="520"/>
      <c r="Y960" s="520"/>
      <c r="Z960" s="1122"/>
      <c r="AA960" s="520"/>
      <c r="AB960" s="520"/>
      <c r="AC960" s="520"/>
      <c r="AD960" s="520"/>
      <c r="AE960" s="1122"/>
      <c r="AF960" s="520"/>
      <c r="AG960" s="520"/>
      <c r="AH960" s="520"/>
      <c r="AI960" s="520"/>
      <c r="AJ960" s="1122"/>
      <c r="AK960" s="520"/>
      <c r="AL960" s="520"/>
      <c r="AM960" s="520"/>
      <c r="AN960" s="520"/>
      <c r="AO960" s="1122"/>
      <c r="AP960" s="520"/>
      <c r="AQ960" s="520"/>
      <c r="AR960" s="520"/>
      <c r="AS960" s="520"/>
      <c r="AT960" s="1124"/>
      <c r="AU960" s="520"/>
      <c r="AV960" s="520"/>
      <c r="AW960" s="520"/>
      <c r="AX960" s="520"/>
      <c r="AY960" s="1124"/>
      <c r="AZ960" s="520"/>
      <c r="BA960" s="520"/>
      <c r="BB960" s="520"/>
      <c r="BC960" s="520"/>
      <c r="BD960" s="1123">
        <v>226.21</v>
      </c>
      <c r="BE960" s="520"/>
      <c r="BF960" s="520"/>
      <c r="BG960" s="520"/>
      <c r="BH960" s="520"/>
      <c r="BI960" s="1122"/>
      <c r="BJ960" s="520"/>
      <c r="BK960" s="520"/>
      <c r="BL960" s="520"/>
      <c r="BM960" s="520"/>
      <c r="BN960" s="1122"/>
      <c r="BO960" s="520"/>
      <c r="BP960" s="520"/>
      <c r="BQ960" s="520"/>
      <c r="BR960" s="520"/>
      <c r="BS960" s="1122"/>
      <c r="BT960" s="728"/>
      <c r="BU960" s="520"/>
      <c r="BV960" s="520"/>
      <c r="BW960" s="520"/>
      <c r="BX960" s="1122"/>
      <c r="BY960" s="520"/>
      <c r="BZ960" s="520"/>
      <c r="CA960" s="520"/>
      <c r="CB960" s="520"/>
      <c r="CC960" s="1122"/>
      <c r="CD960" s="1122"/>
      <c r="CE960" s="1122"/>
      <c r="CF960" s="1122"/>
      <c r="CG960" s="519"/>
    </row>
    <row r="961" spans="1:85" s="614" customFormat="1" x14ac:dyDescent="0.3">
      <c r="A961" s="522"/>
      <c r="B961" s="352"/>
      <c r="C961" s="1094"/>
      <c r="D961" s="1094"/>
      <c r="E961" s="1094"/>
      <c r="F961" s="1094"/>
      <c r="G961" s="197"/>
      <c r="H961" s="197"/>
      <c r="I961" s="197"/>
      <c r="J961" s="197"/>
      <c r="K961" s="1094"/>
      <c r="L961" s="197"/>
      <c r="M961" s="197"/>
      <c r="N961" s="197"/>
      <c r="O961" s="197"/>
      <c r="P961" s="1094"/>
      <c r="Q961" s="197"/>
      <c r="R961" s="197"/>
      <c r="S961" s="197"/>
      <c r="T961" s="197"/>
      <c r="U961" s="1094"/>
      <c r="V961" s="197"/>
      <c r="W961" s="197"/>
      <c r="X961" s="197"/>
      <c r="Y961" s="197"/>
      <c r="Z961" s="1094"/>
      <c r="AA961" s="197"/>
      <c r="AB961" s="197"/>
      <c r="AC961" s="197"/>
      <c r="AD961" s="197"/>
      <c r="AE961" s="1094"/>
      <c r="AF961" s="197"/>
      <c r="AG961" s="197"/>
      <c r="AH961" s="197"/>
      <c r="AI961" s="197"/>
      <c r="AJ961" s="1094"/>
      <c r="AK961" s="197"/>
      <c r="AL961" s="197"/>
      <c r="AM961" s="197"/>
      <c r="AN961" s="197"/>
      <c r="AO961" s="1094"/>
      <c r="AP961" s="197"/>
      <c r="AQ961" s="197"/>
      <c r="AR961" s="197"/>
      <c r="AS961" s="197"/>
      <c r="AT961" s="198"/>
      <c r="AU961" s="197"/>
      <c r="AV961" s="197"/>
      <c r="AW961" s="197"/>
      <c r="AX961" s="197"/>
      <c r="AY961" s="198"/>
      <c r="AZ961" s="197"/>
      <c r="BA961" s="197"/>
      <c r="BB961" s="197"/>
      <c r="BC961" s="197"/>
      <c r="BD961" s="198"/>
      <c r="BE961" s="197"/>
      <c r="BF961" s="197"/>
      <c r="BG961" s="197"/>
      <c r="BH961" s="197"/>
      <c r="BI961" s="1094"/>
      <c r="BJ961" s="197"/>
      <c r="BK961" s="197"/>
      <c r="BL961" s="197"/>
      <c r="BM961" s="197"/>
      <c r="BN961" s="1094"/>
      <c r="BO961" s="197"/>
      <c r="BP961" s="197"/>
      <c r="BQ961" s="197"/>
      <c r="BR961" s="197"/>
      <c r="BS961" s="1094"/>
      <c r="BT961" s="727"/>
      <c r="BU961" s="197"/>
      <c r="BV961" s="197"/>
      <c r="BW961" s="197"/>
      <c r="BX961" s="1094"/>
      <c r="BY961" s="197"/>
      <c r="BZ961" s="197"/>
      <c r="CA961" s="197"/>
      <c r="CB961" s="197"/>
      <c r="CC961" s="1094"/>
      <c r="CD961" s="1094"/>
      <c r="CE961" s="1094"/>
      <c r="CF961" s="1094"/>
      <c r="CG961" s="349"/>
    </row>
    <row r="962" spans="1:85" s="613" customFormat="1" x14ac:dyDescent="0.3">
      <c r="A962" s="478" t="s">
        <v>1454</v>
      </c>
      <c r="B962" s="523"/>
      <c r="C962" s="78"/>
      <c r="D962" s="78"/>
      <c r="E962" s="78"/>
      <c r="F962" s="78"/>
      <c r="G962" s="774"/>
      <c r="H962" s="774"/>
      <c r="I962" s="774"/>
      <c r="J962" s="774"/>
      <c r="K962" s="78"/>
      <c r="L962" s="774"/>
      <c r="M962" s="774"/>
      <c r="N962" s="774"/>
      <c r="O962" s="774"/>
      <c r="P962" s="78"/>
      <c r="Q962" s="774"/>
      <c r="R962" s="774"/>
      <c r="S962" s="774"/>
      <c r="T962" s="774"/>
      <c r="U962" s="78"/>
      <c r="V962" s="774"/>
      <c r="W962" s="774"/>
      <c r="X962" s="774"/>
      <c r="Y962" s="774"/>
      <c r="Z962" s="78"/>
      <c r="AA962" s="774"/>
      <c r="AB962" s="774"/>
      <c r="AC962" s="774"/>
      <c r="AD962" s="774"/>
      <c r="AE962" s="78"/>
      <c r="AF962" s="774"/>
      <c r="AG962" s="774"/>
      <c r="AH962" s="774"/>
      <c r="AI962" s="774"/>
      <c r="AJ962" s="78"/>
      <c r="AK962" s="774"/>
      <c r="AL962" s="774"/>
      <c r="AM962" s="774"/>
      <c r="AN962" s="774"/>
      <c r="AO962" s="78"/>
      <c r="AP962" s="774"/>
      <c r="AQ962" s="774"/>
      <c r="AR962" s="774"/>
      <c r="AS962" s="774"/>
      <c r="AT962" s="78"/>
      <c r="AU962" s="774"/>
      <c r="AV962" s="774"/>
      <c r="AW962" s="774"/>
      <c r="AX962" s="774"/>
      <c r="AY962" s="78"/>
      <c r="AZ962" s="774"/>
      <c r="BA962" s="774"/>
      <c r="BB962" s="774"/>
      <c r="BC962" s="774"/>
      <c r="BD962" s="1119">
        <v>7.2450000000000001</v>
      </c>
      <c r="BE962" s="774"/>
      <c r="BF962" s="774"/>
      <c r="BG962" s="774"/>
      <c r="BH962" s="774"/>
      <c r="BI962" s="78"/>
      <c r="BJ962" s="774"/>
      <c r="BK962" s="774"/>
      <c r="BL962" s="774"/>
      <c r="BM962" s="774"/>
      <c r="BN962" s="78"/>
      <c r="BO962" s="774"/>
      <c r="BP962" s="774"/>
      <c r="BQ962" s="774"/>
      <c r="BR962" s="774"/>
      <c r="BS962" s="78"/>
      <c r="BT962" s="775"/>
      <c r="BU962" s="774"/>
      <c r="BV962" s="774"/>
      <c r="BW962" s="774"/>
      <c r="BX962" s="78"/>
      <c r="BY962" s="774"/>
      <c r="BZ962" s="774"/>
      <c r="CA962" s="774"/>
      <c r="CB962" s="774"/>
      <c r="CC962" s="78"/>
      <c r="CD962" s="78"/>
      <c r="CE962" s="78"/>
      <c r="CF962" s="78"/>
      <c r="CG962" s="532"/>
    </row>
    <row r="963" spans="1:85" s="615" customFormat="1" x14ac:dyDescent="0.3">
      <c r="A963" s="522" t="s">
        <v>1453</v>
      </c>
      <c r="B963" s="521"/>
      <c r="C963" s="1122"/>
      <c r="D963" s="1122"/>
      <c r="E963" s="1122"/>
      <c r="F963" s="1122"/>
      <c r="G963" s="520"/>
      <c r="H963" s="520"/>
      <c r="I963" s="520"/>
      <c r="J963" s="520"/>
      <c r="K963" s="1122"/>
      <c r="L963" s="520"/>
      <c r="M963" s="520"/>
      <c r="N963" s="520"/>
      <c r="O963" s="520"/>
      <c r="P963" s="1122"/>
      <c r="Q963" s="520"/>
      <c r="R963" s="520"/>
      <c r="S963" s="520"/>
      <c r="T963" s="520"/>
      <c r="U963" s="1122"/>
      <c r="V963" s="520"/>
      <c r="W963" s="520"/>
      <c r="X963" s="520"/>
      <c r="Y963" s="520"/>
      <c r="Z963" s="1122"/>
      <c r="AA963" s="520"/>
      <c r="AB963" s="520"/>
      <c r="AC963" s="520"/>
      <c r="AD963" s="520"/>
      <c r="AE963" s="1122"/>
      <c r="AF963" s="520"/>
      <c r="AG963" s="520"/>
      <c r="AH963" s="520"/>
      <c r="AI963" s="520"/>
      <c r="AJ963" s="1122"/>
      <c r="AK963" s="520"/>
      <c r="AL963" s="520"/>
      <c r="AM963" s="520"/>
      <c r="AN963" s="520"/>
      <c r="AO963" s="1122"/>
      <c r="AP963" s="520"/>
      <c r="AQ963" s="520"/>
      <c r="AR963" s="520"/>
      <c r="AS963" s="520"/>
      <c r="AT963" s="1124"/>
      <c r="AU963" s="520"/>
      <c r="AV963" s="520"/>
      <c r="AW963" s="520"/>
      <c r="AX963" s="520"/>
      <c r="AY963" s="1124"/>
      <c r="AZ963" s="520"/>
      <c r="BA963" s="520"/>
      <c r="BB963" s="520"/>
      <c r="BC963" s="520"/>
      <c r="BD963" s="1123">
        <v>230.04</v>
      </c>
      <c r="BE963" s="520"/>
      <c r="BF963" s="520"/>
      <c r="BG963" s="520"/>
      <c r="BH963" s="520"/>
      <c r="BI963" s="1122"/>
      <c r="BJ963" s="520"/>
      <c r="BK963" s="520"/>
      <c r="BL963" s="520"/>
      <c r="BM963" s="520"/>
      <c r="BN963" s="1122"/>
      <c r="BO963" s="520"/>
      <c r="BP963" s="520"/>
      <c r="BQ963" s="520"/>
      <c r="BR963" s="520"/>
      <c r="BS963" s="1122"/>
      <c r="BT963" s="728"/>
      <c r="BU963" s="520"/>
      <c r="BV963" s="520"/>
      <c r="BW963" s="520"/>
      <c r="BX963" s="1122"/>
      <c r="BY963" s="520"/>
      <c r="BZ963" s="520"/>
      <c r="CA963" s="520"/>
      <c r="CB963" s="520"/>
      <c r="CC963" s="1122"/>
      <c r="CD963" s="1122"/>
      <c r="CE963" s="1122"/>
      <c r="CF963" s="1122"/>
      <c r="CG963" s="519"/>
    </row>
    <row r="964" spans="1:85" s="614" customFormat="1" x14ac:dyDescent="0.3">
      <c r="A964" s="522"/>
      <c r="B964" s="352"/>
      <c r="C964" s="1094"/>
      <c r="D964" s="1094"/>
      <c r="E964" s="1094"/>
      <c r="F964" s="1094"/>
      <c r="G964" s="197"/>
      <c r="H964" s="197"/>
      <c r="I964" s="197"/>
      <c r="J964" s="197"/>
      <c r="K964" s="1094"/>
      <c r="L964" s="197"/>
      <c r="M964" s="197"/>
      <c r="N964" s="197"/>
      <c r="O964" s="197"/>
      <c r="P964" s="1094"/>
      <c r="Q964" s="197"/>
      <c r="R964" s="197"/>
      <c r="S964" s="197"/>
      <c r="T964" s="197"/>
      <c r="U964" s="1094"/>
      <c r="V964" s="197"/>
      <c r="W964" s="197"/>
      <c r="X964" s="197"/>
      <c r="Y964" s="197"/>
      <c r="Z964" s="1094"/>
      <c r="AA964" s="197"/>
      <c r="AB964" s="197"/>
      <c r="AC964" s="197"/>
      <c r="AD964" s="197"/>
      <c r="AE964" s="1094"/>
      <c r="AF964" s="197"/>
      <c r="AG964" s="197"/>
      <c r="AH964" s="197"/>
      <c r="AI964" s="197"/>
      <c r="AJ964" s="1094"/>
      <c r="AK964" s="197"/>
      <c r="AL964" s="197"/>
      <c r="AM964" s="197"/>
      <c r="AN964" s="197"/>
      <c r="AO964" s="1094"/>
      <c r="AP964" s="197"/>
      <c r="AQ964" s="197"/>
      <c r="AR964" s="197"/>
      <c r="AS964" s="197"/>
      <c r="AT964" s="198"/>
      <c r="AU964" s="197"/>
      <c r="AV964" s="197"/>
      <c r="AW964" s="197"/>
      <c r="AX964" s="197"/>
      <c r="AY964" s="198"/>
      <c r="AZ964" s="197"/>
      <c r="BA964" s="197"/>
      <c r="BB964" s="197"/>
      <c r="BC964" s="197"/>
      <c r="BD964" s="198"/>
      <c r="BE964" s="197"/>
      <c r="BF964" s="197"/>
      <c r="BG964" s="197"/>
      <c r="BH964" s="197"/>
      <c r="BI964" s="1094"/>
      <c r="BJ964" s="197"/>
      <c r="BK964" s="197"/>
      <c r="BL964" s="197"/>
      <c r="BM964" s="197"/>
      <c r="BN964" s="1094"/>
      <c r="BO964" s="197"/>
      <c r="BP964" s="197"/>
      <c r="BQ964" s="197"/>
      <c r="BR964" s="197"/>
      <c r="BS964" s="1094"/>
      <c r="BT964" s="727"/>
      <c r="BU964" s="197"/>
      <c r="BV964" s="197"/>
      <c r="BW964" s="197"/>
      <c r="BX964" s="1094"/>
      <c r="BY964" s="197"/>
      <c r="BZ964" s="197"/>
      <c r="CA964" s="197"/>
      <c r="CB964" s="197"/>
      <c r="CC964" s="1094"/>
      <c r="CD964" s="1094"/>
      <c r="CE964" s="1094"/>
      <c r="CF964" s="1094"/>
      <c r="CG964" s="349"/>
    </row>
    <row r="965" spans="1:85" s="613" customFormat="1" x14ac:dyDescent="0.3">
      <c r="A965" s="478" t="s">
        <v>1452</v>
      </c>
      <c r="B965" s="523"/>
      <c r="C965" s="78"/>
      <c r="D965" s="78"/>
      <c r="E965" s="78"/>
      <c r="F965" s="78"/>
      <c r="G965" s="774"/>
      <c r="H965" s="774"/>
      <c r="I965" s="774"/>
      <c r="J965" s="774"/>
      <c r="K965" s="78"/>
      <c r="L965" s="774"/>
      <c r="M965" s="774"/>
      <c r="N965" s="774"/>
      <c r="O965" s="774"/>
      <c r="P965" s="78"/>
      <c r="Q965" s="774"/>
      <c r="R965" s="774"/>
      <c r="S965" s="774"/>
      <c r="T965" s="774"/>
      <c r="U965" s="78"/>
      <c r="V965" s="774"/>
      <c r="W965" s="774"/>
      <c r="X965" s="774"/>
      <c r="Y965" s="774"/>
      <c r="Z965" s="78"/>
      <c r="AA965" s="774"/>
      <c r="AB965" s="774"/>
      <c r="AC965" s="774"/>
      <c r="AD965" s="774"/>
      <c r="AE965" s="78"/>
      <c r="AF965" s="774"/>
      <c r="AG965" s="774"/>
      <c r="AH965" s="774"/>
      <c r="AI965" s="774"/>
      <c r="AJ965" s="78"/>
      <c r="AK965" s="774"/>
      <c r="AL965" s="774"/>
      <c r="AM965" s="774"/>
      <c r="AN965" s="774"/>
      <c r="AO965" s="78"/>
      <c r="AP965" s="774"/>
      <c r="AQ965" s="774"/>
      <c r="AR965" s="774"/>
      <c r="AS965" s="774"/>
      <c r="AT965" s="78"/>
      <c r="AU965" s="774"/>
      <c r="AV965" s="774"/>
      <c r="AW965" s="774"/>
      <c r="AX965" s="774"/>
      <c r="AY965" s="78"/>
      <c r="AZ965" s="774"/>
      <c r="BA965" s="774"/>
      <c r="BB965" s="774"/>
      <c r="BC965" s="774"/>
      <c r="BD965" s="1119">
        <v>6.9729999999999999</v>
      </c>
      <c r="BE965" s="774"/>
      <c r="BF965" s="774"/>
      <c r="BG965" s="774"/>
      <c r="BH965" s="774"/>
      <c r="BI965" s="78"/>
      <c r="BJ965" s="774"/>
      <c r="BK965" s="774"/>
      <c r="BL965" s="774"/>
      <c r="BM965" s="774"/>
      <c r="BN965" s="78"/>
      <c r="BO965" s="774"/>
      <c r="BP965" s="774"/>
      <c r="BQ965" s="774"/>
      <c r="BR965" s="774"/>
      <c r="BS965" s="78"/>
      <c r="BT965" s="775"/>
      <c r="BU965" s="774"/>
      <c r="BV965" s="774"/>
      <c r="BW965" s="774"/>
      <c r="BX965" s="78"/>
      <c r="BY965" s="774"/>
      <c r="BZ965" s="774"/>
      <c r="CA965" s="774"/>
      <c r="CB965" s="774"/>
      <c r="CC965" s="78"/>
      <c r="CD965" s="78"/>
      <c r="CE965" s="78"/>
      <c r="CF965" s="78"/>
      <c r="CG965" s="532"/>
    </row>
    <row r="966" spans="1:85" s="615" customFormat="1" x14ac:dyDescent="0.3">
      <c r="A966" s="522" t="s">
        <v>1451</v>
      </c>
      <c r="B966" s="521"/>
      <c r="C966" s="1122"/>
      <c r="D966" s="1122"/>
      <c r="E966" s="1122"/>
      <c r="F966" s="1122"/>
      <c r="G966" s="520"/>
      <c r="H966" s="520"/>
      <c r="I966" s="520"/>
      <c r="J966" s="520"/>
      <c r="K966" s="1122"/>
      <c r="L966" s="520"/>
      <c r="M966" s="520"/>
      <c r="N966" s="520"/>
      <c r="O966" s="520"/>
      <c r="P966" s="1122"/>
      <c r="Q966" s="520"/>
      <c r="R966" s="520"/>
      <c r="S966" s="520"/>
      <c r="T966" s="520"/>
      <c r="U966" s="1122"/>
      <c r="V966" s="520"/>
      <c r="W966" s="520"/>
      <c r="X966" s="520"/>
      <c r="Y966" s="520"/>
      <c r="Z966" s="1122"/>
      <c r="AA966" s="520"/>
      <c r="AB966" s="520"/>
      <c r="AC966" s="520"/>
      <c r="AD966" s="520"/>
      <c r="AE966" s="1122"/>
      <c r="AF966" s="520"/>
      <c r="AG966" s="520"/>
      <c r="AH966" s="520"/>
      <c r="AI966" s="520"/>
      <c r="AJ966" s="1122"/>
      <c r="AK966" s="520"/>
      <c r="AL966" s="520"/>
      <c r="AM966" s="520"/>
      <c r="AN966" s="520"/>
      <c r="AO966" s="1122"/>
      <c r="AP966" s="520"/>
      <c r="AQ966" s="520"/>
      <c r="AR966" s="520"/>
      <c r="AS966" s="520"/>
      <c r="AT966" s="1124"/>
      <c r="AU966" s="520"/>
      <c r="AV966" s="520"/>
      <c r="AW966" s="520"/>
      <c r="AX966" s="520"/>
      <c r="AY966" s="1124"/>
      <c r="AZ966" s="520"/>
      <c r="BA966" s="520"/>
      <c r="BB966" s="520"/>
      <c r="BC966" s="520"/>
      <c r="BD966" s="1123">
        <v>239.04</v>
      </c>
      <c r="BE966" s="520"/>
      <c r="BF966" s="520"/>
      <c r="BG966" s="520"/>
      <c r="BH966" s="520"/>
      <c r="BI966" s="1122"/>
      <c r="BJ966" s="520"/>
      <c r="BK966" s="520"/>
      <c r="BL966" s="520"/>
      <c r="BM966" s="520"/>
      <c r="BN966" s="1122"/>
      <c r="BO966" s="520"/>
      <c r="BP966" s="520"/>
      <c r="BQ966" s="520"/>
      <c r="BR966" s="520"/>
      <c r="BS966" s="1122"/>
      <c r="BT966" s="728"/>
      <c r="BU966" s="520"/>
      <c r="BV966" s="520"/>
      <c r="BW966" s="520"/>
      <c r="BX966" s="1122"/>
      <c r="BY966" s="520"/>
      <c r="BZ966" s="520"/>
      <c r="CA966" s="520"/>
      <c r="CB966" s="520"/>
      <c r="CC966" s="1122"/>
      <c r="CD966" s="1122"/>
      <c r="CE966" s="1122"/>
      <c r="CF966" s="1122"/>
      <c r="CG966" s="519"/>
    </row>
    <row r="967" spans="1:85" s="614" customFormat="1" x14ac:dyDescent="0.3">
      <c r="A967" s="522"/>
      <c r="B967" s="352"/>
      <c r="C967" s="1094"/>
      <c r="D967" s="1094"/>
      <c r="E967" s="1094"/>
      <c r="F967" s="1094"/>
      <c r="G967" s="197"/>
      <c r="H967" s="197"/>
      <c r="I967" s="197"/>
      <c r="J967" s="197"/>
      <c r="K967" s="1094"/>
      <c r="L967" s="197"/>
      <c r="M967" s="197"/>
      <c r="N967" s="197"/>
      <c r="O967" s="197"/>
      <c r="P967" s="1094"/>
      <c r="Q967" s="197"/>
      <c r="R967" s="197"/>
      <c r="S967" s="197"/>
      <c r="T967" s="197"/>
      <c r="U967" s="1094"/>
      <c r="V967" s="197"/>
      <c r="W967" s="197"/>
      <c r="X967" s="197"/>
      <c r="Y967" s="197"/>
      <c r="Z967" s="1094"/>
      <c r="AA967" s="197"/>
      <c r="AB967" s="197"/>
      <c r="AC967" s="197"/>
      <c r="AD967" s="197"/>
      <c r="AE967" s="1094"/>
      <c r="AF967" s="197"/>
      <c r="AG967" s="197"/>
      <c r="AH967" s="197"/>
      <c r="AI967" s="197"/>
      <c r="AJ967" s="1094"/>
      <c r="AK967" s="197"/>
      <c r="AL967" s="197"/>
      <c r="AM967" s="197"/>
      <c r="AN967" s="197"/>
      <c r="AO967" s="1094"/>
      <c r="AP967" s="197"/>
      <c r="AQ967" s="197"/>
      <c r="AR967" s="197"/>
      <c r="AS967" s="197"/>
      <c r="AT967" s="198"/>
      <c r="AU967" s="197"/>
      <c r="AV967" s="197"/>
      <c r="AW967" s="197"/>
      <c r="AX967" s="197"/>
      <c r="AY967" s="198"/>
      <c r="AZ967" s="197"/>
      <c r="BA967" s="197"/>
      <c r="BB967" s="197"/>
      <c r="BC967" s="197"/>
      <c r="BD967" s="198"/>
      <c r="BE967" s="197"/>
      <c r="BF967" s="197"/>
      <c r="BG967" s="197"/>
      <c r="BH967" s="197"/>
      <c r="BI967" s="1094"/>
      <c r="BJ967" s="197"/>
      <c r="BK967" s="197"/>
      <c r="BL967" s="197"/>
      <c r="BM967" s="197"/>
      <c r="BN967" s="1094"/>
      <c r="BO967" s="197"/>
      <c r="BP967" s="197"/>
      <c r="BQ967" s="197"/>
      <c r="BR967" s="197"/>
      <c r="BS967" s="1094"/>
      <c r="BT967" s="727"/>
      <c r="BU967" s="197"/>
      <c r="BV967" s="197"/>
      <c r="BW967" s="197"/>
      <c r="BX967" s="1094"/>
      <c r="BY967" s="197"/>
      <c r="BZ967" s="197"/>
      <c r="CA967" s="197"/>
      <c r="CB967" s="197"/>
      <c r="CC967" s="1094"/>
      <c r="CD967" s="1094"/>
      <c r="CE967" s="1094"/>
      <c r="CF967" s="1094"/>
      <c r="CG967" s="349"/>
    </row>
    <row r="968" spans="1:85" s="613" customFormat="1" x14ac:dyDescent="0.3">
      <c r="A968" s="478" t="s">
        <v>1450</v>
      </c>
      <c r="B968" s="523"/>
      <c r="C968" s="78"/>
      <c r="D968" s="78"/>
      <c r="E968" s="78"/>
      <c r="F968" s="78"/>
      <c r="G968" s="774"/>
      <c r="H968" s="774"/>
      <c r="I968" s="774"/>
      <c r="J968" s="774"/>
      <c r="K968" s="78"/>
      <c r="L968" s="774"/>
      <c r="M968" s="774"/>
      <c r="N968" s="774"/>
      <c r="O968" s="774"/>
      <c r="P968" s="78"/>
      <c r="Q968" s="774"/>
      <c r="R968" s="774"/>
      <c r="S968" s="774"/>
      <c r="T968" s="774"/>
      <c r="U968" s="78"/>
      <c r="V968" s="774"/>
      <c r="W968" s="774"/>
      <c r="X968" s="774"/>
      <c r="Y968" s="774"/>
      <c r="Z968" s="78"/>
      <c r="AA968" s="774"/>
      <c r="AB968" s="774"/>
      <c r="AC968" s="774"/>
      <c r="AD968" s="774"/>
      <c r="AE968" s="78"/>
      <c r="AF968" s="774"/>
      <c r="AG968" s="774"/>
      <c r="AH968" s="774"/>
      <c r="AI968" s="774"/>
      <c r="AJ968" s="78"/>
      <c r="AK968" s="774"/>
      <c r="AL968" s="774"/>
      <c r="AM968" s="774"/>
      <c r="AN968" s="774"/>
      <c r="AO968" s="78"/>
      <c r="AP968" s="774"/>
      <c r="AQ968" s="774"/>
      <c r="AR968" s="774"/>
      <c r="AS968" s="774"/>
      <c r="AT968" s="78"/>
      <c r="AU968" s="774"/>
      <c r="AV968" s="774"/>
      <c r="AW968" s="774"/>
      <c r="AX968" s="774"/>
      <c r="AY968" s="78"/>
      <c r="AZ968" s="774"/>
      <c r="BA968" s="774"/>
      <c r="BB968" s="774"/>
      <c r="BC968" s="774"/>
      <c r="BD968" s="1119">
        <v>5.8120000000000003</v>
      </c>
      <c r="BE968" s="774"/>
      <c r="BF968" s="774"/>
      <c r="BG968" s="774"/>
      <c r="BH968" s="774"/>
      <c r="BI968" s="78"/>
      <c r="BJ968" s="774"/>
      <c r="BK968" s="774"/>
      <c r="BL968" s="774"/>
      <c r="BM968" s="774"/>
      <c r="BN968" s="78"/>
      <c r="BO968" s="774"/>
      <c r="BP968" s="774"/>
      <c r="BQ968" s="774"/>
      <c r="BR968" s="774"/>
      <c r="BS968" s="78"/>
      <c r="BT968" s="775"/>
      <c r="BU968" s="774"/>
      <c r="BV968" s="774"/>
      <c r="BW968" s="774"/>
      <c r="BX968" s="78"/>
      <c r="BY968" s="774"/>
      <c r="BZ968" s="774"/>
      <c r="CA968" s="774"/>
      <c r="CB968" s="774"/>
      <c r="CC968" s="78"/>
      <c r="CD968" s="78"/>
      <c r="CE968" s="78"/>
      <c r="CF968" s="78"/>
      <c r="CG968" s="532"/>
    </row>
    <row r="969" spans="1:85" s="615" customFormat="1" x14ac:dyDescent="0.3">
      <c r="A969" s="522" t="s">
        <v>1449</v>
      </c>
      <c r="B969" s="521"/>
      <c r="C969" s="1122"/>
      <c r="D969" s="1122"/>
      <c r="E969" s="1122"/>
      <c r="F969" s="1122"/>
      <c r="G969" s="520"/>
      <c r="H969" s="520"/>
      <c r="I969" s="520"/>
      <c r="J969" s="520"/>
      <c r="K969" s="1122"/>
      <c r="L969" s="520"/>
      <c r="M969" s="520"/>
      <c r="N969" s="520"/>
      <c r="O969" s="520"/>
      <c r="P969" s="1122"/>
      <c r="Q969" s="520"/>
      <c r="R969" s="520"/>
      <c r="S969" s="520"/>
      <c r="T969" s="520"/>
      <c r="U969" s="1122"/>
      <c r="V969" s="520"/>
      <c r="W969" s="520"/>
      <c r="X969" s="520"/>
      <c r="Y969" s="520"/>
      <c r="Z969" s="1122"/>
      <c r="AA969" s="520"/>
      <c r="AB969" s="520"/>
      <c r="AC969" s="520"/>
      <c r="AD969" s="520"/>
      <c r="AE969" s="1122"/>
      <c r="AF969" s="520"/>
      <c r="AG969" s="520"/>
      <c r="AH969" s="520"/>
      <c r="AI969" s="520"/>
      <c r="AJ969" s="1122"/>
      <c r="AK969" s="520"/>
      <c r="AL969" s="520"/>
      <c r="AM969" s="520"/>
      <c r="AN969" s="520"/>
      <c r="AO969" s="1122"/>
      <c r="AP969" s="520"/>
      <c r="AQ969" s="520"/>
      <c r="AR969" s="520"/>
      <c r="AS969" s="520"/>
      <c r="AT969" s="1124"/>
      <c r="AU969" s="520"/>
      <c r="AV969" s="520"/>
      <c r="AW969" s="520"/>
      <c r="AX969" s="520"/>
      <c r="AY969" s="1124"/>
      <c r="AZ969" s="520"/>
      <c r="BA969" s="520"/>
      <c r="BB969" s="520"/>
      <c r="BC969" s="520"/>
      <c r="BD969" s="1123">
        <v>286.75</v>
      </c>
      <c r="BE969" s="520"/>
      <c r="BF969" s="520"/>
      <c r="BG969" s="520"/>
      <c r="BH969" s="520"/>
      <c r="BI969" s="1122"/>
      <c r="BJ969" s="520"/>
      <c r="BK969" s="520"/>
      <c r="BL969" s="520"/>
      <c r="BM969" s="520"/>
      <c r="BN969" s="1122"/>
      <c r="BO969" s="520"/>
      <c r="BP969" s="520"/>
      <c r="BQ969" s="520"/>
      <c r="BR969" s="520"/>
      <c r="BS969" s="1122"/>
      <c r="BT969" s="728"/>
      <c r="BU969" s="520"/>
      <c r="BV969" s="520"/>
      <c r="BW969" s="520"/>
      <c r="BX969" s="1122"/>
      <c r="BY969" s="520"/>
      <c r="BZ969" s="520"/>
      <c r="CA969" s="520"/>
      <c r="CB969" s="520"/>
      <c r="CC969" s="1122"/>
      <c r="CD969" s="1122"/>
      <c r="CE969" s="1122"/>
      <c r="CF969" s="1122"/>
      <c r="CG969" s="519"/>
    </row>
    <row r="970" spans="1:85" s="614" customFormat="1" x14ac:dyDescent="0.3">
      <c r="A970" s="522"/>
      <c r="B970" s="352"/>
      <c r="C970" s="1094"/>
      <c r="D970" s="1094"/>
      <c r="E970" s="1094"/>
      <c r="F970" s="1094"/>
      <c r="G970" s="197"/>
      <c r="H970" s="197"/>
      <c r="I970" s="197"/>
      <c r="J970" s="197"/>
      <c r="K970" s="1094"/>
      <c r="L970" s="197"/>
      <c r="M970" s="197"/>
      <c r="N970" s="197"/>
      <c r="O970" s="197"/>
      <c r="P970" s="1094"/>
      <c r="Q970" s="197"/>
      <c r="R970" s="197"/>
      <c r="S970" s="197"/>
      <c r="T970" s="197"/>
      <c r="U970" s="1094"/>
      <c r="V970" s="197"/>
      <c r="W970" s="197"/>
      <c r="X970" s="197"/>
      <c r="Y970" s="197"/>
      <c r="Z970" s="1094"/>
      <c r="AA970" s="197"/>
      <c r="AB970" s="197"/>
      <c r="AC970" s="197"/>
      <c r="AD970" s="197"/>
      <c r="AE970" s="1094"/>
      <c r="AF970" s="197"/>
      <c r="AG970" s="197"/>
      <c r="AH970" s="197"/>
      <c r="AI970" s="197"/>
      <c r="AJ970" s="1094"/>
      <c r="AK970" s="197"/>
      <c r="AL970" s="197"/>
      <c r="AM970" s="197"/>
      <c r="AN970" s="197"/>
      <c r="AO970" s="1094"/>
      <c r="AP970" s="197"/>
      <c r="AQ970" s="197"/>
      <c r="AR970" s="197"/>
      <c r="AS970" s="197"/>
      <c r="AT970" s="198"/>
      <c r="AU970" s="197"/>
      <c r="AV970" s="197"/>
      <c r="AW970" s="197"/>
      <c r="AX970" s="197"/>
      <c r="AY970" s="198"/>
      <c r="AZ970" s="197"/>
      <c r="BA970" s="197"/>
      <c r="BB970" s="197"/>
      <c r="BC970" s="197"/>
      <c r="BD970" s="198"/>
      <c r="BE970" s="197"/>
      <c r="BF970" s="197"/>
      <c r="BG970" s="197"/>
      <c r="BH970" s="197"/>
      <c r="BI970" s="1094"/>
      <c r="BJ970" s="197"/>
      <c r="BK970" s="197"/>
      <c r="BL970" s="197"/>
      <c r="BM970" s="197"/>
      <c r="BN970" s="1094"/>
      <c r="BO970" s="197"/>
      <c r="BP970" s="197"/>
      <c r="BQ970" s="197"/>
      <c r="BR970" s="197"/>
      <c r="BS970" s="1094"/>
      <c r="BT970" s="727"/>
      <c r="BU970" s="197"/>
      <c r="BV970" s="197"/>
      <c r="BW970" s="197"/>
      <c r="BX970" s="1094"/>
      <c r="BY970" s="197"/>
      <c r="BZ970" s="197"/>
      <c r="CA970" s="197"/>
      <c r="CB970" s="197"/>
      <c r="CC970" s="1094"/>
      <c r="CD970" s="1094"/>
      <c r="CE970" s="1094"/>
      <c r="CF970" s="1094"/>
      <c r="CG970" s="349"/>
    </row>
    <row r="971" spans="1:85" s="613" customFormat="1" x14ac:dyDescent="0.3">
      <c r="A971" s="478" t="s">
        <v>1448</v>
      </c>
      <c r="B971" s="523"/>
      <c r="C971" s="78"/>
      <c r="D971" s="78"/>
      <c r="E971" s="78"/>
      <c r="F971" s="78"/>
      <c r="G971" s="774"/>
      <c r="H971" s="774"/>
      <c r="I971" s="774"/>
      <c r="J971" s="774"/>
      <c r="K971" s="78"/>
      <c r="L971" s="774"/>
      <c r="M971" s="774"/>
      <c r="N971" s="774"/>
      <c r="O971" s="774"/>
      <c r="P971" s="78"/>
      <c r="Q971" s="774"/>
      <c r="R971" s="774"/>
      <c r="S971" s="774"/>
      <c r="T971" s="774"/>
      <c r="U971" s="78"/>
      <c r="V971" s="774"/>
      <c r="W971" s="774"/>
      <c r="X971" s="774"/>
      <c r="Y971" s="774"/>
      <c r="Z971" s="78"/>
      <c r="AA971" s="774"/>
      <c r="AB971" s="774"/>
      <c r="AC971" s="774"/>
      <c r="AD971" s="774"/>
      <c r="AE971" s="78"/>
      <c r="AF971" s="774"/>
      <c r="AG971" s="774"/>
      <c r="AH971" s="774"/>
      <c r="AI971" s="774"/>
      <c r="AJ971" s="78"/>
      <c r="AK971" s="774"/>
      <c r="AL971" s="774"/>
      <c r="AM971" s="774"/>
      <c r="AN971" s="774"/>
      <c r="AO971" s="78"/>
      <c r="AP971" s="774"/>
      <c r="AQ971" s="774"/>
      <c r="AR971" s="774"/>
      <c r="AS971" s="774"/>
      <c r="AT971" s="78"/>
      <c r="AU971" s="774"/>
      <c r="AV971" s="774"/>
      <c r="AW971" s="774"/>
      <c r="AX971" s="774"/>
      <c r="AY971" s="78"/>
      <c r="AZ971" s="774"/>
      <c r="BA971" s="774"/>
      <c r="BB971" s="774"/>
      <c r="BC971" s="774"/>
      <c r="BD971" s="1119">
        <v>5.258</v>
      </c>
      <c r="BE971" s="774"/>
      <c r="BF971" s="774"/>
      <c r="BG971" s="774"/>
      <c r="BH971" s="774"/>
      <c r="BI971" s="78"/>
      <c r="BJ971" s="774"/>
      <c r="BK971" s="774"/>
      <c r="BL971" s="774"/>
      <c r="BM971" s="774"/>
      <c r="BN971" s="78"/>
      <c r="BO971" s="774"/>
      <c r="BP971" s="774"/>
      <c r="BQ971" s="774"/>
      <c r="BR971" s="774"/>
      <c r="BS971" s="78"/>
      <c r="BT971" s="775"/>
      <c r="BU971" s="774"/>
      <c r="BV971" s="774"/>
      <c r="BW971" s="774"/>
      <c r="BX971" s="78"/>
      <c r="BY971" s="774"/>
      <c r="BZ971" s="774"/>
      <c r="CA971" s="774"/>
      <c r="CB971" s="774"/>
      <c r="CC971" s="78"/>
      <c r="CD971" s="78"/>
      <c r="CE971" s="78"/>
      <c r="CF971" s="78"/>
      <c r="CG971" s="532"/>
    </row>
    <row r="972" spans="1:85" s="615" customFormat="1" x14ac:dyDescent="0.3">
      <c r="A972" s="522" t="s">
        <v>1447</v>
      </c>
      <c r="B972" s="521"/>
      <c r="C972" s="1122"/>
      <c r="D972" s="1122"/>
      <c r="E972" s="1122"/>
      <c r="F972" s="1122"/>
      <c r="G972" s="520"/>
      <c r="H972" s="520"/>
      <c r="I972" s="520"/>
      <c r="J972" s="520"/>
      <c r="K972" s="1122"/>
      <c r="L972" s="520"/>
      <c r="M972" s="520"/>
      <c r="N972" s="520"/>
      <c r="O972" s="520"/>
      <c r="P972" s="1122"/>
      <c r="Q972" s="520"/>
      <c r="R972" s="520"/>
      <c r="S972" s="520"/>
      <c r="T972" s="520"/>
      <c r="U972" s="1122"/>
      <c r="V972" s="520"/>
      <c r="W972" s="520"/>
      <c r="X972" s="520"/>
      <c r="Y972" s="520"/>
      <c r="Z972" s="1122"/>
      <c r="AA972" s="520"/>
      <c r="AB972" s="520"/>
      <c r="AC972" s="520"/>
      <c r="AD972" s="520"/>
      <c r="AE972" s="1122"/>
      <c r="AF972" s="520"/>
      <c r="AG972" s="520"/>
      <c r="AH972" s="520"/>
      <c r="AI972" s="520"/>
      <c r="AJ972" s="1122"/>
      <c r="AK972" s="520"/>
      <c r="AL972" s="520"/>
      <c r="AM972" s="520"/>
      <c r="AN972" s="520"/>
      <c r="AO972" s="1122"/>
      <c r="AP972" s="520"/>
      <c r="AQ972" s="520"/>
      <c r="AR972" s="520"/>
      <c r="AS972" s="520"/>
      <c r="AT972" s="1124"/>
      <c r="AU972" s="520"/>
      <c r="AV972" s="520"/>
      <c r="AW972" s="520"/>
      <c r="AX972" s="520"/>
      <c r="AY972" s="1124"/>
      <c r="AZ972" s="520"/>
      <c r="BA972" s="520"/>
      <c r="BB972" s="520"/>
      <c r="BC972" s="520"/>
      <c r="BD972" s="1123">
        <v>316.95</v>
      </c>
      <c r="BE972" s="520"/>
      <c r="BF972" s="520"/>
      <c r="BG972" s="520"/>
      <c r="BH972" s="520"/>
      <c r="BI972" s="1122"/>
      <c r="BJ972" s="520"/>
      <c r="BK972" s="520"/>
      <c r="BL972" s="520"/>
      <c r="BM972" s="520"/>
      <c r="BN972" s="1122"/>
      <c r="BO972" s="520"/>
      <c r="BP972" s="520"/>
      <c r="BQ972" s="520"/>
      <c r="BR972" s="520"/>
      <c r="BS972" s="1122"/>
      <c r="BT972" s="728"/>
      <c r="BU972" s="520"/>
      <c r="BV972" s="520"/>
      <c r="BW972" s="520"/>
      <c r="BX972" s="1122"/>
      <c r="BY972" s="520"/>
      <c r="BZ972" s="520"/>
      <c r="CA972" s="520"/>
      <c r="CB972" s="520"/>
      <c r="CC972" s="1122"/>
      <c r="CD972" s="1122"/>
      <c r="CE972" s="1122"/>
      <c r="CF972" s="1122"/>
      <c r="CG972" s="519"/>
    </row>
    <row r="973" spans="1:85" s="614" customFormat="1" x14ac:dyDescent="0.3">
      <c r="A973" s="522"/>
      <c r="B973" s="352"/>
      <c r="C973" s="1094"/>
      <c r="D973" s="1094"/>
      <c r="E973" s="1094"/>
      <c r="F973" s="1094"/>
      <c r="G973" s="197"/>
      <c r="H973" s="197"/>
      <c r="I973" s="197"/>
      <c r="J973" s="197"/>
      <c r="K973" s="1094"/>
      <c r="L973" s="197"/>
      <c r="M973" s="197"/>
      <c r="N973" s="197"/>
      <c r="O973" s="197"/>
      <c r="P973" s="1094"/>
      <c r="Q973" s="197"/>
      <c r="R973" s="197"/>
      <c r="S973" s="197"/>
      <c r="T973" s="197"/>
      <c r="U973" s="1094"/>
      <c r="V973" s="197"/>
      <c r="W973" s="197"/>
      <c r="X973" s="197"/>
      <c r="Y973" s="197"/>
      <c r="Z973" s="1094"/>
      <c r="AA973" s="197"/>
      <c r="AB973" s="197"/>
      <c r="AC973" s="197"/>
      <c r="AD973" s="197"/>
      <c r="AE973" s="1094"/>
      <c r="AF973" s="197"/>
      <c r="AG973" s="197"/>
      <c r="AH973" s="197"/>
      <c r="AI973" s="197"/>
      <c r="AJ973" s="1094"/>
      <c r="AK973" s="197"/>
      <c r="AL973" s="197"/>
      <c r="AM973" s="197"/>
      <c r="AN973" s="197"/>
      <c r="AO973" s="1094"/>
      <c r="AP973" s="197"/>
      <c r="AQ973" s="197"/>
      <c r="AR973" s="197"/>
      <c r="AS973" s="197"/>
      <c r="AT973" s="198"/>
      <c r="AU973" s="197"/>
      <c r="AV973" s="197"/>
      <c r="AW973" s="197"/>
      <c r="AX973" s="197"/>
      <c r="AY973" s="198"/>
      <c r="AZ973" s="197"/>
      <c r="BA973" s="197"/>
      <c r="BB973" s="197"/>
      <c r="BC973" s="197"/>
      <c r="BD973" s="198"/>
      <c r="BE973" s="197"/>
      <c r="BF973" s="197"/>
      <c r="BG973" s="197"/>
      <c r="BH973" s="197"/>
      <c r="BI973" s="1094"/>
      <c r="BJ973" s="197"/>
      <c r="BK973" s="197"/>
      <c r="BL973" s="197"/>
      <c r="BM973" s="197"/>
      <c r="BN973" s="1094"/>
      <c r="BO973" s="197"/>
      <c r="BP973" s="197"/>
      <c r="BQ973" s="197"/>
      <c r="BR973" s="197"/>
      <c r="BS973" s="1094"/>
      <c r="BT973" s="727"/>
      <c r="BU973" s="197"/>
      <c r="BV973" s="197"/>
      <c r="BW973" s="197"/>
      <c r="BX973" s="1094"/>
      <c r="BY973" s="197"/>
      <c r="BZ973" s="197"/>
      <c r="CA973" s="197"/>
      <c r="CB973" s="197"/>
      <c r="CC973" s="1094"/>
      <c r="CD973" s="1094"/>
      <c r="CE973" s="1094"/>
      <c r="CF973" s="1094"/>
      <c r="CG973" s="349"/>
    </row>
    <row r="974" spans="1:85" s="612" customFormat="1" x14ac:dyDescent="0.3">
      <c r="A974" s="106" t="s">
        <v>1446</v>
      </c>
      <c r="B974" s="514"/>
      <c r="C974" s="1097"/>
      <c r="D974" s="1097"/>
      <c r="E974" s="1097"/>
      <c r="F974" s="1097"/>
      <c r="G974" s="772"/>
      <c r="H974" s="772"/>
      <c r="I974" s="772"/>
      <c r="J974" s="772"/>
      <c r="K974" s="1097"/>
      <c r="L974" s="772"/>
      <c r="M974" s="772"/>
      <c r="N974" s="772"/>
      <c r="O974" s="772"/>
      <c r="P974" s="1097"/>
      <c r="Q974" s="772"/>
      <c r="R974" s="772"/>
      <c r="S974" s="772"/>
      <c r="T974" s="772"/>
      <c r="U974" s="1097"/>
      <c r="V974" s="772"/>
      <c r="W974" s="772"/>
      <c r="X974" s="772"/>
      <c r="Y974" s="772"/>
      <c r="Z974" s="1097"/>
      <c r="AA974" s="772"/>
      <c r="AB974" s="772"/>
      <c r="AC974" s="772"/>
      <c r="AD974" s="772"/>
      <c r="AE974" s="1097"/>
      <c r="AF974" s="772"/>
      <c r="AG974" s="772"/>
      <c r="AH974" s="772"/>
      <c r="AI974" s="772"/>
      <c r="AJ974" s="1097"/>
      <c r="AK974" s="772"/>
      <c r="AL974" s="772"/>
      <c r="AM974" s="772"/>
      <c r="AN974" s="772"/>
      <c r="AO974" s="1097"/>
      <c r="AP974" s="772"/>
      <c r="AQ974" s="772"/>
      <c r="AR974" s="772"/>
      <c r="AS974" s="772"/>
      <c r="AT974" s="1125">
        <v>286.036</v>
      </c>
      <c r="AU974" s="772"/>
      <c r="AV974" s="772"/>
      <c r="AW974" s="772"/>
      <c r="AX974" s="772"/>
      <c r="AY974" s="1125">
        <v>286.80200000000002</v>
      </c>
      <c r="AZ974" s="772"/>
      <c r="BA974" s="772"/>
      <c r="BB974" s="772"/>
      <c r="BC974" s="772"/>
      <c r="BD974" s="1125">
        <v>351.36599999999999</v>
      </c>
      <c r="BE974" s="772"/>
      <c r="BF974" s="772"/>
      <c r="BG974" s="772"/>
      <c r="BH974" s="772"/>
      <c r="BI974" s="1097"/>
      <c r="BJ974" s="772"/>
      <c r="BK974" s="772"/>
      <c r="BL974" s="772"/>
      <c r="BM974" s="772"/>
      <c r="BN974" s="1097"/>
      <c r="BO974" s="772"/>
      <c r="BP974" s="772"/>
      <c r="BQ974" s="772"/>
      <c r="BR974" s="772"/>
      <c r="BS974" s="1097"/>
      <c r="BT974" s="838"/>
      <c r="BU974" s="772"/>
      <c r="BV974" s="772"/>
      <c r="BW974" s="772"/>
      <c r="BX974" s="1097"/>
      <c r="BY974" s="772"/>
      <c r="BZ974" s="772"/>
      <c r="CA974" s="772"/>
      <c r="CB974" s="772"/>
      <c r="CC974" s="1097"/>
      <c r="CD974" s="1097"/>
      <c r="CE974" s="1097"/>
      <c r="CF974" s="1097"/>
      <c r="CG974" s="348"/>
    </row>
    <row r="975" spans="1:85" s="614" customFormat="1" x14ac:dyDescent="0.3">
      <c r="A975" s="351"/>
      <c r="B975" s="352"/>
      <c r="C975" s="1094"/>
      <c r="D975" s="1094"/>
      <c r="E975" s="1094"/>
      <c r="F975" s="1094"/>
      <c r="G975" s="197"/>
      <c r="H975" s="197"/>
      <c r="I975" s="197"/>
      <c r="J975" s="197"/>
      <c r="K975" s="1094"/>
      <c r="L975" s="197"/>
      <c r="M975" s="197"/>
      <c r="N975" s="197"/>
      <c r="O975" s="197"/>
      <c r="P975" s="1094"/>
      <c r="Q975" s="197"/>
      <c r="R975" s="197"/>
      <c r="S975" s="197"/>
      <c r="T975" s="197"/>
      <c r="U975" s="1094"/>
      <c r="V975" s="197"/>
      <c r="W975" s="197"/>
      <c r="X975" s="197"/>
      <c r="Y975" s="197"/>
      <c r="Z975" s="1094"/>
      <c r="AA975" s="197"/>
      <c r="AB975" s="197"/>
      <c r="AC975" s="197"/>
      <c r="AD975" s="197"/>
      <c r="AE975" s="1094"/>
      <c r="AF975" s="197"/>
      <c r="AG975" s="197"/>
      <c r="AH975" s="197"/>
      <c r="AI975" s="197"/>
      <c r="AJ975" s="1094"/>
      <c r="AK975" s="197"/>
      <c r="AL975" s="197"/>
      <c r="AM975" s="197"/>
      <c r="AN975" s="197"/>
      <c r="AO975" s="1094"/>
      <c r="AP975" s="197"/>
      <c r="AQ975" s="197"/>
      <c r="AR975" s="197"/>
      <c r="AS975" s="197"/>
      <c r="AT975" s="1094"/>
      <c r="AU975" s="197"/>
      <c r="AV975" s="197"/>
      <c r="AW975" s="197"/>
      <c r="AX975" s="197"/>
      <c r="AY975" s="1094"/>
      <c r="AZ975" s="197"/>
      <c r="BA975" s="197"/>
      <c r="BB975" s="197"/>
      <c r="BC975" s="197"/>
      <c r="BD975" s="1094"/>
      <c r="BE975" s="197"/>
      <c r="BF975" s="197"/>
      <c r="BG975" s="197"/>
      <c r="BH975" s="197"/>
      <c r="BI975" s="1094"/>
      <c r="BJ975" s="197"/>
      <c r="BK975" s="197"/>
      <c r="BL975" s="197"/>
      <c r="BM975" s="197"/>
      <c r="BN975" s="1094"/>
      <c r="BO975" s="197"/>
      <c r="BP975" s="197"/>
      <c r="BQ975" s="197"/>
      <c r="BR975" s="197"/>
      <c r="BS975" s="1094"/>
      <c r="BT975" s="727"/>
      <c r="BU975" s="197"/>
      <c r="BV975" s="197"/>
      <c r="BW975" s="197"/>
      <c r="BX975" s="1094"/>
      <c r="BY975" s="197"/>
      <c r="BZ975" s="197"/>
      <c r="CA975" s="197"/>
      <c r="CB975" s="197"/>
      <c r="CC975" s="1094"/>
      <c r="CD975" s="1094"/>
      <c r="CE975" s="1094"/>
      <c r="CF975" s="1094"/>
      <c r="CG975" s="349"/>
    </row>
    <row r="976" spans="1:85" s="613" customFormat="1" x14ac:dyDescent="0.3">
      <c r="A976" s="107" t="s">
        <v>1445</v>
      </c>
      <c r="B976" s="523"/>
      <c r="C976" s="78"/>
      <c r="D976" s="78"/>
      <c r="E976" s="78"/>
      <c r="F976" s="78"/>
      <c r="G976" s="774"/>
      <c r="H976" s="774"/>
      <c r="I976" s="774"/>
      <c r="J976" s="774"/>
      <c r="K976" s="78"/>
      <c r="L976" s="774"/>
      <c r="M976" s="774"/>
      <c r="N976" s="774"/>
      <c r="O976" s="774"/>
      <c r="P976" s="78"/>
      <c r="Q976" s="774"/>
      <c r="R976" s="774"/>
      <c r="S976" s="774"/>
      <c r="T976" s="774"/>
      <c r="U976" s="78"/>
      <c r="V976" s="774"/>
      <c r="W976" s="774"/>
      <c r="X976" s="774"/>
      <c r="Y976" s="774"/>
      <c r="Z976" s="78"/>
      <c r="AA976" s="774"/>
      <c r="AB976" s="774"/>
      <c r="AC976" s="774"/>
      <c r="AD976" s="774"/>
      <c r="AE976" s="78"/>
      <c r="AF976" s="774"/>
      <c r="AG976" s="774"/>
      <c r="AH976" s="774"/>
      <c r="AI976" s="774"/>
      <c r="AJ976" s="78"/>
      <c r="AK976" s="774"/>
      <c r="AL976" s="774"/>
      <c r="AM976" s="774"/>
      <c r="AN976" s="774"/>
      <c r="AO976" s="78"/>
      <c r="AP976" s="774"/>
      <c r="AQ976" s="774"/>
      <c r="AR976" s="774"/>
      <c r="AS976" s="774"/>
      <c r="AT976" s="1119">
        <v>6050</v>
      </c>
      <c r="AU976" s="774"/>
      <c r="AV976" s="774"/>
      <c r="AW976" s="774"/>
      <c r="AX976" s="774"/>
      <c r="AY976" s="1119">
        <v>6000</v>
      </c>
      <c r="AZ976" s="774"/>
      <c r="BA976" s="774"/>
      <c r="BB976" s="774"/>
      <c r="BC976" s="774"/>
      <c r="BD976" s="1119">
        <v>7000</v>
      </c>
      <c r="BE976" s="774"/>
      <c r="BF976" s="774"/>
      <c r="BG976" s="774"/>
      <c r="BH976" s="774"/>
      <c r="BI976" s="1119">
        <v>7000</v>
      </c>
      <c r="BJ976" s="774"/>
      <c r="BK976" s="774"/>
      <c r="BL976" s="774"/>
      <c r="BM976" s="774"/>
      <c r="BN976" s="1119">
        <v>1500</v>
      </c>
      <c r="BO976" s="774"/>
      <c r="BP976" s="774"/>
      <c r="BQ976" s="774"/>
      <c r="BR976" s="774"/>
      <c r="BS976" s="78"/>
      <c r="BT976" s="775"/>
      <c r="BU976" s="774"/>
      <c r="BV976" s="774"/>
      <c r="BW976" s="774"/>
      <c r="BX976" s="78"/>
      <c r="BY976" s="774"/>
      <c r="BZ976" s="774"/>
      <c r="CA976" s="774"/>
      <c r="CB976" s="774"/>
      <c r="CC976" s="78"/>
      <c r="CD976" s="78"/>
      <c r="CE976" s="78"/>
      <c r="CF976" s="78"/>
      <c r="CG976" s="532"/>
    </row>
    <row r="977" spans="1:85" s="613" customFormat="1" x14ac:dyDescent="0.3">
      <c r="A977" s="107" t="s">
        <v>2422</v>
      </c>
      <c r="B977" s="523"/>
      <c r="C977" s="78"/>
      <c r="D977" s="78"/>
      <c r="E977" s="78"/>
      <c r="F977" s="78"/>
      <c r="G977" s="774"/>
      <c r="H977" s="774"/>
      <c r="I977" s="774"/>
      <c r="J977" s="774"/>
      <c r="K977" s="78"/>
      <c r="L977" s="774"/>
      <c r="M977" s="774"/>
      <c r="N977" s="774"/>
      <c r="O977" s="774"/>
      <c r="P977" s="78"/>
      <c r="Q977" s="774"/>
      <c r="R977" s="774"/>
      <c r="S977" s="774"/>
      <c r="T977" s="774"/>
      <c r="U977" s="78"/>
      <c r="V977" s="774"/>
      <c r="W977" s="774"/>
      <c r="X977" s="774"/>
      <c r="Y977" s="774"/>
      <c r="Z977" s="78"/>
      <c r="AA977" s="774"/>
      <c r="AB977" s="774"/>
      <c r="AC977" s="774"/>
      <c r="AD977" s="774"/>
      <c r="AE977" s="78"/>
      <c r="AF977" s="774"/>
      <c r="AG977" s="774"/>
      <c r="AH977" s="774"/>
      <c r="AI977" s="774"/>
      <c r="AJ977" s="78"/>
      <c r="AK977" s="774"/>
      <c r="AL977" s="774"/>
      <c r="AM977" s="774"/>
      <c r="AN977" s="774"/>
      <c r="AO977" s="78"/>
      <c r="AP977" s="774"/>
      <c r="AQ977" s="774"/>
      <c r="AR977" s="774"/>
      <c r="AS977" s="774"/>
      <c r="AT977" s="78"/>
      <c r="AU977" s="774"/>
      <c r="AV977" s="774"/>
      <c r="AW977" s="774"/>
      <c r="AX977" s="774"/>
      <c r="AY977" s="78"/>
      <c r="AZ977" s="774"/>
      <c r="BA977" s="774"/>
      <c r="BB977" s="774"/>
      <c r="BC977" s="774"/>
      <c r="BD977" s="78"/>
      <c r="BE977" s="774"/>
      <c r="BF977" s="774"/>
      <c r="BG977" s="774"/>
      <c r="BH977" s="774"/>
      <c r="BI977" s="78"/>
      <c r="BJ977" s="774"/>
      <c r="BK977" s="774"/>
      <c r="BL977" s="774"/>
      <c r="BM977" s="774"/>
      <c r="BN977" s="1119">
        <v>14465.668</v>
      </c>
      <c r="BO977" s="774"/>
      <c r="BP977" s="774"/>
      <c r="BQ977" s="774"/>
      <c r="BR977" s="774"/>
      <c r="BS977" s="78"/>
      <c r="BT977" s="775"/>
      <c r="BU977" s="774"/>
      <c r="BV977" s="774"/>
      <c r="BW977" s="774"/>
      <c r="BX977" s="78"/>
      <c r="BY977" s="774"/>
      <c r="BZ977" s="774"/>
      <c r="CA977" s="774"/>
      <c r="CB977" s="774"/>
      <c r="CC977" s="78"/>
      <c r="CD977" s="78"/>
      <c r="CE977" s="78"/>
      <c r="CF977" s="78"/>
      <c r="CG977" s="532"/>
    </row>
    <row r="978" spans="1:85" s="613" customFormat="1" x14ac:dyDescent="0.3">
      <c r="A978" s="107" t="s">
        <v>1444</v>
      </c>
      <c r="B978" s="523"/>
      <c r="C978" s="78"/>
      <c r="D978" s="78"/>
      <c r="E978" s="78"/>
      <c r="F978" s="78"/>
      <c r="G978" s="774"/>
      <c r="H978" s="774"/>
      <c r="I978" s="774"/>
      <c r="J978" s="774"/>
      <c r="K978" s="78"/>
      <c r="L978" s="774"/>
      <c r="M978" s="774"/>
      <c r="N978" s="774"/>
      <c r="O978" s="774"/>
      <c r="P978" s="78"/>
      <c r="Q978" s="774"/>
      <c r="R978" s="774"/>
      <c r="S978" s="774"/>
      <c r="T978" s="774"/>
      <c r="U978" s="78"/>
      <c r="V978" s="774"/>
      <c r="W978" s="774"/>
      <c r="X978" s="774"/>
      <c r="Y978" s="774"/>
      <c r="Z978" s="78"/>
      <c r="AA978" s="774"/>
      <c r="AB978" s="774"/>
      <c r="AC978" s="774"/>
      <c r="AD978" s="774"/>
      <c r="AE978" s="78"/>
      <c r="AF978" s="774"/>
      <c r="AG978" s="774"/>
      <c r="AH978" s="774"/>
      <c r="AI978" s="774"/>
      <c r="AJ978" s="78"/>
      <c r="AK978" s="774"/>
      <c r="AL978" s="774"/>
      <c r="AM978" s="774"/>
      <c r="AN978" s="774"/>
      <c r="AO978" s="78"/>
      <c r="AP978" s="774"/>
      <c r="AQ978" s="774"/>
      <c r="AR978" s="774"/>
      <c r="AS978" s="774"/>
      <c r="AT978" s="1119">
        <v>6865.0169999999998</v>
      </c>
      <c r="AU978" s="774"/>
      <c r="AV978" s="774"/>
      <c r="AW978" s="774"/>
      <c r="AX978" s="774"/>
      <c r="AY978" s="1119">
        <v>6480.4309999999996</v>
      </c>
      <c r="AZ978" s="774"/>
      <c r="BA978" s="774"/>
      <c r="BB978" s="774"/>
      <c r="BC978" s="774"/>
      <c r="BD978" s="1119">
        <v>10022.951999999999</v>
      </c>
      <c r="BE978" s="774"/>
      <c r="BF978" s="774"/>
      <c r="BG978" s="774"/>
      <c r="BH978" s="774"/>
      <c r="BI978" s="1119">
        <v>9907.7800000000007</v>
      </c>
      <c r="BJ978" s="774"/>
      <c r="BK978" s="774"/>
      <c r="BL978" s="774"/>
      <c r="BM978" s="774"/>
      <c r="BN978" s="1119">
        <v>788.59799999999996</v>
      </c>
      <c r="BO978" s="774"/>
      <c r="BP978" s="774"/>
      <c r="BQ978" s="774"/>
      <c r="BR978" s="774"/>
      <c r="BS978" s="78"/>
      <c r="BT978" s="775"/>
      <c r="BU978" s="774"/>
      <c r="BV978" s="774"/>
      <c r="BW978" s="774"/>
      <c r="BX978" s="78"/>
      <c r="BY978" s="774"/>
      <c r="BZ978" s="774"/>
      <c r="CA978" s="774"/>
      <c r="CB978" s="774"/>
      <c r="CC978" s="78"/>
      <c r="CD978" s="78"/>
      <c r="CE978" s="78"/>
      <c r="CF978" s="78"/>
      <c r="CG978" s="532"/>
    </row>
    <row r="979" spans="1:85" s="613" customFormat="1" x14ac:dyDescent="0.3">
      <c r="A979" s="107" t="s">
        <v>2423</v>
      </c>
      <c r="B979" s="523"/>
      <c r="C979" s="78"/>
      <c r="D979" s="78"/>
      <c r="E979" s="78"/>
      <c r="F979" s="78"/>
      <c r="G979" s="774"/>
      <c r="H979" s="774"/>
      <c r="I979" s="774"/>
      <c r="J979" s="774"/>
      <c r="K979" s="78"/>
      <c r="L979" s="774"/>
      <c r="M979" s="774"/>
      <c r="N979" s="774"/>
      <c r="O979" s="774"/>
      <c r="P979" s="78"/>
      <c r="Q979" s="774"/>
      <c r="R979" s="774"/>
      <c r="S979" s="774"/>
      <c r="T979" s="774"/>
      <c r="U979" s="78"/>
      <c r="V979" s="774"/>
      <c r="W979" s="774"/>
      <c r="X979" s="774"/>
      <c r="Y979" s="774"/>
      <c r="Z979" s="78"/>
      <c r="AA979" s="774"/>
      <c r="AB979" s="774"/>
      <c r="AC979" s="774"/>
      <c r="AD979" s="774"/>
      <c r="AE979" s="78"/>
      <c r="AF979" s="774"/>
      <c r="AG979" s="774"/>
      <c r="AH979" s="774"/>
      <c r="AI979" s="774"/>
      <c r="AJ979" s="78"/>
      <c r="AK979" s="774"/>
      <c r="AL979" s="774"/>
      <c r="AM979" s="774"/>
      <c r="AN979" s="774"/>
      <c r="AO979" s="78"/>
      <c r="AP979" s="774"/>
      <c r="AQ979" s="774"/>
      <c r="AR979" s="774"/>
      <c r="AS979" s="774"/>
      <c r="AT979" s="78"/>
      <c r="AU979" s="774"/>
      <c r="AV979" s="774"/>
      <c r="AW979" s="774"/>
      <c r="AX979" s="774"/>
      <c r="AY979" s="78"/>
      <c r="AZ979" s="774"/>
      <c r="BA979" s="774"/>
      <c r="BB979" s="774"/>
      <c r="BC979" s="774"/>
      <c r="BD979" s="78"/>
      <c r="BE979" s="774"/>
      <c r="BF979" s="774"/>
      <c r="BG979" s="774"/>
      <c r="BH979" s="774"/>
      <c r="BI979" s="78"/>
      <c r="BJ979" s="774"/>
      <c r="BK979" s="774"/>
      <c r="BL979" s="774"/>
      <c r="BM979" s="774"/>
      <c r="BN979" s="1119">
        <v>6000</v>
      </c>
      <c r="BO979" s="774"/>
      <c r="BP979" s="774"/>
      <c r="BQ979" s="774"/>
      <c r="BR979" s="774"/>
      <c r="BS979" s="78"/>
      <c r="BT979" s="775"/>
      <c r="BU979" s="774"/>
      <c r="BV979" s="774"/>
      <c r="BW979" s="774"/>
      <c r="BX979" s="78"/>
      <c r="BY979" s="774"/>
      <c r="BZ979" s="774"/>
      <c r="CA979" s="774"/>
      <c r="CB979" s="774"/>
      <c r="CC979" s="78"/>
      <c r="CD979" s="78"/>
      <c r="CE979" s="78"/>
      <c r="CF979" s="78"/>
      <c r="CG979" s="532"/>
    </row>
    <row r="980" spans="1:85" s="613" customFormat="1" x14ac:dyDescent="0.3">
      <c r="A980" s="174" t="s">
        <v>1443</v>
      </c>
      <c r="B980" s="528"/>
      <c r="C980" s="1100"/>
      <c r="D980" s="1100"/>
      <c r="E980" s="1100"/>
      <c r="F980" s="1100"/>
      <c r="G980" s="840"/>
      <c r="H980" s="840"/>
      <c r="I980" s="840"/>
      <c r="J980" s="840"/>
      <c r="K980" s="1100"/>
      <c r="L980" s="840"/>
      <c r="M980" s="840"/>
      <c r="N980" s="840"/>
      <c r="O980" s="840"/>
      <c r="P980" s="1100"/>
      <c r="Q980" s="840"/>
      <c r="R980" s="840"/>
      <c r="S980" s="840"/>
      <c r="T980" s="840"/>
      <c r="U980" s="1100"/>
      <c r="V980" s="840"/>
      <c r="W980" s="840"/>
      <c r="X980" s="840"/>
      <c r="Y980" s="840"/>
      <c r="Z980" s="1100"/>
      <c r="AA980" s="840"/>
      <c r="AB980" s="840"/>
      <c r="AC980" s="840"/>
      <c r="AD980" s="840"/>
      <c r="AE980" s="1100"/>
      <c r="AF980" s="840"/>
      <c r="AG980" s="840"/>
      <c r="AH980" s="840"/>
      <c r="AI980" s="840"/>
      <c r="AJ980" s="1100"/>
      <c r="AK980" s="840"/>
      <c r="AL980" s="840"/>
      <c r="AM980" s="840"/>
      <c r="AN980" s="840"/>
      <c r="AO980" s="1100"/>
      <c r="AP980" s="840"/>
      <c r="AQ980" s="840"/>
      <c r="AR980" s="840"/>
      <c r="AS980" s="840"/>
      <c r="AT980" s="1120">
        <v>24.134</v>
      </c>
      <c r="AU980" s="840"/>
      <c r="AV980" s="840"/>
      <c r="AW980" s="840"/>
      <c r="AX980" s="840"/>
      <c r="AY980" s="1120">
        <v>30.265000000000001</v>
      </c>
      <c r="AZ980" s="840"/>
      <c r="BA980" s="840"/>
      <c r="BB980" s="840"/>
      <c r="BC980" s="840"/>
      <c r="BD980" s="1120">
        <v>38.536999999999999</v>
      </c>
      <c r="BE980" s="840"/>
      <c r="BF980" s="840"/>
      <c r="BG980" s="840"/>
      <c r="BH980" s="840"/>
      <c r="BI980" s="1120">
        <v>94.072999999999993</v>
      </c>
      <c r="BJ980" s="840"/>
      <c r="BK980" s="840"/>
      <c r="BL980" s="840"/>
      <c r="BM980" s="840"/>
      <c r="BN980" s="1120">
        <v>147.33099999999999</v>
      </c>
      <c r="BO980" s="840"/>
      <c r="BP980" s="840"/>
      <c r="BQ980" s="840"/>
      <c r="BR980" s="840"/>
      <c r="BS980" s="1100"/>
      <c r="BT980" s="841"/>
      <c r="BU980" s="840"/>
      <c r="BV980" s="840"/>
      <c r="BW980" s="840"/>
      <c r="BX980" s="1100"/>
      <c r="BY980" s="840"/>
      <c r="BZ980" s="840"/>
      <c r="CA980" s="840"/>
      <c r="CB980" s="840"/>
      <c r="CC980" s="1100"/>
      <c r="CD980" s="1100"/>
      <c r="CE980" s="1100"/>
      <c r="CF980" s="1100"/>
      <c r="CG980" s="532"/>
    </row>
    <row r="981" spans="1:85" s="612" customFormat="1" x14ac:dyDescent="0.3">
      <c r="A981" s="106" t="s">
        <v>1442</v>
      </c>
      <c r="B981" s="514"/>
      <c r="C981" s="1097"/>
      <c r="D981" s="1097"/>
      <c r="E981" s="1097"/>
      <c r="F981" s="1097"/>
      <c r="G981" s="772"/>
      <c r="H981" s="772"/>
      <c r="I981" s="772"/>
      <c r="J981" s="772"/>
      <c r="K981" s="1097"/>
      <c r="L981" s="772"/>
      <c r="M981" s="772"/>
      <c r="N981" s="772"/>
      <c r="O981" s="772"/>
      <c r="P981" s="1097"/>
      <c r="Q981" s="772"/>
      <c r="R981" s="772"/>
      <c r="S981" s="772"/>
      <c r="T981" s="772"/>
      <c r="U981" s="1097"/>
      <c r="V981" s="772"/>
      <c r="W981" s="772"/>
      <c r="X981" s="772"/>
      <c r="Y981" s="772"/>
      <c r="Z981" s="1097"/>
      <c r="AA981" s="772"/>
      <c r="AB981" s="772"/>
      <c r="AC981" s="772"/>
      <c r="AD981" s="772"/>
      <c r="AE981" s="1097"/>
      <c r="AF981" s="772"/>
      <c r="AG981" s="772"/>
      <c r="AH981" s="772"/>
      <c r="AI981" s="772"/>
      <c r="AJ981" s="1097"/>
      <c r="AK981" s="772"/>
      <c r="AL981" s="772"/>
      <c r="AM981" s="772"/>
      <c r="AN981" s="772"/>
      <c r="AO981" s="1097"/>
      <c r="AP981" s="772"/>
      <c r="AQ981" s="772"/>
      <c r="AR981" s="772"/>
      <c r="AS981" s="772"/>
      <c r="AT981" s="1097">
        <f>SUM(AT976:AT980)</f>
      </c>
      <c r="AU981" s="772"/>
      <c r="AV981" s="772"/>
      <c r="AW981" s="772"/>
      <c r="AX981" s="772"/>
      <c r="AY981" s="1097">
        <f>SUM(AY976:AY980)</f>
      </c>
      <c r="AZ981" s="772"/>
      <c r="BA981" s="772"/>
      <c r="BB981" s="772"/>
      <c r="BC981" s="772"/>
      <c r="BD981" s="1097">
        <f>SUM(BD976:BD980)</f>
      </c>
      <c r="BE981" s="772"/>
      <c r="BF981" s="772"/>
      <c r="BG981" s="772"/>
      <c r="BH981" s="772"/>
      <c r="BI981" s="1097">
        <f>SUM(BI976:BI980)</f>
      </c>
      <c r="BJ981" s="772"/>
      <c r="BK981" s="772"/>
      <c r="BL981" s="772"/>
      <c r="BM981" s="772"/>
      <c r="BN981" s="1097">
        <f>SUM(BN976:BN980)</f>
      </c>
      <c r="BO981" s="772"/>
      <c r="BP981" s="772"/>
      <c r="BQ981" s="772"/>
      <c r="BR981" s="772"/>
      <c r="BS981" s="1097"/>
      <c r="BT981" s="838"/>
      <c r="BU981" s="772"/>
      <c r="BV981" s="772"/>
      <c r="BW981" s="772"/>
      <c r="BX981" s="1097"/>
      <c r="BY981" s="772"/>
      <c r="BZ981" s="772"/>
      <c r="CA981" s="772"/>
      <c r="CB981" s="772"/>
      <c r="CC981" s="1097"/>
      <c r="CD981" s="1097"/>
      <c r="CE981" s="1097"/>
      <c r="CF981" s="1097"/>
      <c r="CG981" s="348"/>
    </row>
    <row r="982" spans="1:85" s="617" customFormat="1" x14ac:dyDescent="0.3">
      <c r="A982" s="116" t="s">
        <v>1441</v>
      </c>
      <c r="B982" s="525"/>
      <c r="C982" s="1099"/>
      <c r="D982" s="1099"/>
      <c r="E982" s="1099"/>
      <c r="F982" s="1099"/>
      <c r="G982" s="185"/>
      <c r="H982" s="185"/>
      <c r="I982" s="185"/>
      <c r="J982" s="185"/>
      <c r="K982" s="1099"/>
      <c r="L982" s="185"/>
      <c r="M982" s="185"/>
      <c r="N982" s="185"/>
      <c r="O982" s="185"/>
      <c r="P982" s="1099"/>
      <c r="Q982" s="185"/>
      <c r="R982" s="185"/>
      <c r="S982" s="185"/>
      <c r="T982" s="185"/>
      <c r="U982" s="1099"/>
      <c r="V982" s="185"/>
      <c r="W982" s="185"/>
      <c r="X982" s="185"/>
      <c r="Y982" s="185"/>
      <c r="Z982" s="1099"/>
      <c r="AA982" s="185"/>
      <c r="AB982" s="185"/>
      <c r="AC982" s="185"/>
      <c r="AD982" s="185"/>
      <c r="AE982" s="1099"/>
      <c r="AF982" s="185"/>
      <c r="AG982" s="185"/>
      <c r="AH982" s="185"/>
      <c r="AI982" s="185"/>
      <c r="AJ982" s="1099"/>
      <c r="AK982" s="185"/>
      <c r="AL982" s="185"/>
      <c r="AM982" s="185"/>
      <c r="AN982" s="185"/>
      <c r="AO982" s="1099"/>
      <c r="AP982" s="185"/>
      <c r="AQ982" s="185"/>
      <c r="AR982" s="185"/>
      <c r="AS982" s="185"/>
      <c r="AT982" s="83">
        <f>SUM(AT978)/AT981</f>
      </c>
      <c r="AU982" s="185"/>
      <c r="AV982" s="185"/>
      <c r="AW982" s="185"/>
      <c r="AX982" s="185"/>
      <c r="AY982" s="83">
        <f>SUM(AY978)/AY981</f>
      </c>
      <c r="AZ982" s="185"/>
      <c r="BA982" s="185"/>
      <c r="BB982" s="185"/>
      <c r="BC982" s="185"/>
      <c r="BD982" s="83">
        <f>SUM(BD978)/BD981</f>
      </c>
      <c r="BE982" s="185"/>
      <c r="BF982" s="185"/>
      <c r="BG982" s="185"/>
      <c r="BH982" s="185"/>
      <c r="BI982" s="83">
        <f>SUM(BI978)/BI981</f>
      </c>
      <c r="BJ982" s="185"/>
      <c r="BK982" s="185"/>
      <c r="BL982" s="185"/>
      <c r="BM982" s="185"/>
      <c r="BN982" s="83">
        <f>SUM(BN978)/BN981</f>
      </c>
      <c r="BO982" s="185"/>
      <c r="BP982" s="185"/>
      <c r="BQ982" s="185"/>
      <c r="BR982" s="185"/>
      <c r="BS982" s="83"/>
      <c r="BT982" s="730"/>
      <c r="BU982" s="185"/>
      <c r="BV982" s="185"/>
      <c r="BW982" s="185"/>
      <c r="BX982" s="1099"/>
      <c r="BY982" s="185"/>
      <c r="BZ982" s="185"/>
      <c r="CA982" s="185"/>
      <c r="CB982" s="185"/>
      <c r="CC982" s="1099"/>
      <c r="CD982" s="1099"/>
      <c r="CE982" s="1099"/>
      <c r="CF982" s="1099"/>
      <c r="CG982" s="524"/>
    </row>
    <row r="983" spans="1:85" s="614" customFormat="1" x14ac:dyDescent="0.3">
      <c r="A983" s="116"/>
      <c r="B983" s="352"/>
      <c r="C983" s="1094"/>
      <c r="D983" s="1094"/>
      <c r="E983" s="1094"/>
      <c r="F983" s="1094"/>
      <c r="G983" s="197"/>
      <c r="H983" s="197"/>
      <c r="I983" s="197"/>
      <c r="J983" s="197"/>
      <c r="K983" s="1094"/>
      <c r="L983" s="197"/>
      <c r="M983" s="197"/>
      <c r="N983" s="197"/>
      <c r="O983" s="197"/>
      <c r="P983" s="1094"/>
      <c r="Q983" s="197"/>
      <c r="R983" s="197"/>
      <c r="S983" s="197"/>
      <c r="T983" s="197"/>
      <c r="U983" s="1094"/>
      <c r="V983" s="197"/>
      <c r="W983" s="197"/>
      <c r="X983" s="197"/>
      <c r="Y983" s="197"/>
      <c r="Z983" s="1094"/>
      <c r="AA983" s="197"/>
      <c r="AB983" s="197"/>
      <c r="AC983" s="197"/>
      <c r="AD983" s="197"/>
      <c r="AE983" s="1094"/>
      <c r="AF983" s="197"/>
      <c r="AG983" s="197"/>
      <c r="AH983" s="197"/>
      <c r="AI983" s="197"/>
      <c r="AJ983" s="1094"/>
      <c r="AK983" s="197"/>
      <c r="AL983" s="197"/>
      <c r="AM983" s="197"/>
      <c r="AN983" s="197"/>
      <c r="AO983" s="1094"/>
      <c r="AP983" s="197"/>
      <c r="AQ983" s="197"/>
      <c r="AR983" s="197"/>
      <c r="AS983" s="197"/>
      <c r="AT983" s="198"/>
      <c r="AU983" s="197"/>
      <c r="AV983" s="197"/>
      <c r="AW983" s="197"/>
      <c r="AX983" s="197"/>
      <c r="AY983" s="198"/>
      <c r="AZ983" s="197"/>
      <c r="BA983" s="197"/>
      <c r="BB983" s="197"/>
      <c r="BC983" s="197"/>
      <c r="BD983" s="198"/>
      <c r="BE983" s="197"/>
      <c r="BF983" s="197"/>
      <c r="BG983" s="197"/>
      <c r="BH983" s="197"/>
      <c r="BI983" s="1094"/>
      <c r="BJ983" s="197"/>
      <c r="BK983" s="197"/>
      <c r="BL983" s="197"/>
      <c r="BM983" s="197"/>
      <c r="BN983" s="1094"/>
      <c r="BO983" s="197"/>
      <c r="BP983" s="197"/>
      <c r="BQ983" s="197"/>
      <c r="BR983" s="197"/>
      <c r="BS983" s="1094"/>
      <c r="BT983" s="727"/>
      <c r="BU983" s="197"/>
      <c r="BV983" s="197"/>
      <c r="BW983" s="197"/>
      <c r="BX983" s="1094"/>
      <c r="BY983" s="197"/>
      <c r="BZ983" s="197"/>
      <c r="CA983" s="197"/>
      <c r="CB983" s="197"/>
      <c r="CC983" s="1094"/>
      <c r="CD983" s="1094"/>
      <c r="CE983" s="1094"/>
      <c r="CF983" s="1094"/>
      <c r="CG983" s="349"/>
    </row>
    <row r="984" spans="1:85" s="613" customFormat="1" x14ac:dyDescent="0.3">
      <c r="A984" s="478" t="s">
        <v>1440</v>
      </c>
      <c r="B984" s="523"/>
      <c r="C984" s="78"/>
      <c r="D984" s="78"/>
      <c r="E984" s="78"/>
      <c r="F984" s="78"/>
      <c r="G984" s="774"/>
      <c r="H984" s="774"/>
      <c r="I984" s="774"/>
      <c r="J984" s="774"/>
      <c r="K984" s="78"/>
      <c r="L984" s="774"/>
      <c r="M984" s="774"/>
      <c r="N984" s="774"/>
      <c r="O984" s="774"/>
      <c r="P984" s="78"/>
      <c r="Q984" s="774"/>
      <c r="R984" s="774"/>
      <c r="S984" s="774"/>
      <c r="T984" s="774"/>
      <c r="U984" s="78"/>
      <c r="V984" s="774"/>
      <c r="W984" s="774"/>
      <c r="X984" s="774"/>
      <c r="Y984" s="774"/>
      <c r="Z984" s="78"/>
      <c r="AA984" s="774"/>
      <c r="AB984" s="774"/>
      <c r="AC984" s="774"/>
      <c r="AD984" s="774"/>
      <c r="AE984" s="78"/>
      <c r="AF984" s="774"/>
      <c r="AG984" s="774"/>
      <c r="AH984" s="774"/>
      <c r="AI984" s="774"/>
      <c r="AJ984" s="78"/>
      <c r="AK984" s="774"/>
      <c r="AL984" s="774"/>
      <c r="AM984" s="774"/>
      <c r="AN984" s="774"/>
      <c r="AO984" s="78"/>
      <c r="AP984" s="774"/>
      <c r="AQ984" s="774"/>
      <c r="AR984" s="774"/>
      <c r="AS984" s="774"/>
      <c r="AT984" s="1119">
        <v>1.3080000000000001</v>
      </c>
      <c r="AU984" s="774"/>
      <c r="AV984" s="774"/>
      <c r="AW984" s="774"/>
      <c r="AX984" s="774"/>
      <c r="AY984" s="1119">
        <v>1.3080000000000001</v>
      </c>
      <c r="AZ984" s="774"/>
      <c r="BA984" s="774"/>
      <c r="BB984" s="774"/>
      <c r="BC984" s="774"/>
      <c r="BD984" s="1119">
        <v>1.3080000000000001</v>
      </c>
      <c r="BE984" s="774"/>
      <c r="BF984" s="774"/>
      <c r="BG984" s="774"/>
      <c r="BH984" s="774"/>
      <c r="BI984" s="1119">
        <v>1.3080000000000001</v>
      </c>
      <c r="BJ984" s="774"/>
      <c r="BK984" s="774"/>
      <c r="BL984" s="774"/>
      <c r="BM984" s="774"/>
      <c r="BN984" s="1119">
        <v>1.3080000000000001</v>
      </c>
      <c r="BO984" s="774"/>
      <c r="BP984" s="774"/>
      <c r="BQ984" s="774"/>
      <c r="BR984" s="774"/>
      <c r="BS984" s="78"/>
      <c r="BT984" s="775"/>
      <c r="BU984" s="774"/>
      <c r="BV984" s="774"/>
      <c r="BW984" s="774"/>
      <c r="BX984" s="78"/>
      <c r="BY984" s="774"/>
      <c r="BZ984" s="774"/>
      <c r="CA984" s="774"/>
      <c r="CB984" s="774"/>
      <c r="CC984" s="78"/>
      <c r="CD984" s="78"/>
      <c r="CE984" s="78"/>
      <c r="CF984" s="78"/>
      <c r="CG984" s="532"/>
    </row>
    <row r="985" spans="1:85" s="616" customFormat="1" x14ac:dyDescent="0.3">
      <c r="A985" s="522" t="s">
        <v>1439</v>
      </c>
      <c r="B985" s="527"/>
      <c r="C985" s="1124"/>
      <c r="D985" s="1124"/>
      <c r="E985" s="1124"/>
      <c r="F985" s="1124"/>
      <c r="G985" s="526"/>
      <c r="H985" s="526"/>
      <c r="I985" s="526"/>
      <c r="J985" s="526"/>
      <c r="K985" s="1124"/>
      <c r="L985" s="526"/>
      <c r="M985" s="526"/>
      <c r="N985" s="526"/>
      <c r="O985" s="526"/>
      <c r="P985" s="1124"/>
      <c r="Q985" s="526"/>
      <c r="R985" s="526"/>
      <c r="S985" s="526"/>
      <c r="T985" s="526"/>
      <c r="U985" s="1124"/>
      <c r="V985" s="526"/>
      <c r="W985" s="526"/>
      <c r="X985" s="526"/>
      <c r="Y985" s="526"/>
      <c r="Z985" s="1124"/>
      <c r="AA985" s="526"/>
      <c r="AB985" s="526"/>
      <c r="AC985" s="526"/>
      <c r="AD985" s="526"/>
      <c r="AE985" s="1124"/>
      <c r="AF985" s="526"/>
      <c r="AG985" s="526"/>
      <c r="AH985" s="526"/>
      <c r="AI985" s="526"/>
      <c r="AJ985" s="1124"/>
      <c r="AK985" s="526"/>
      <c r="AL985" s="526"/>
      <c r="AM985" s="526"/>
      <c r="AN985" s="526"/>
      <c r="AO985" s="1124"/>
      <c r="AP985" s="526"/>
      <c r="AQ985" s="526"/>
      <c r="AR985" s="526"/>
      <c r="AS985" s="526"/>
      <c r="AT985" s="1123">
        <v>339.85</v>
      </c>
      <c r="AU985" s="526"/>
      <c r="AV985" s="526"/>
      <c r="AW985" s="526"/>
      <c r="AX985" s="526"/>
      <c r="AY985" s="1123">
        <v>339.85</v>
      </c>
      <c r="AZ985" s="526"/>
      <c r="BA985" s="526"/>
      <c r="BB985" s="526"/>
      <c r="BC985" s="526"/>
      <c r="BD985" s="1123">
        <v>339.85</v>
      </c>
      <c r="BE985" s="526"/>
      <c r="BF985" s="526"/>
      <c r="BG985" s="526"/>
      <c r="BH985" s="526"/>
      <c r="BI985" s="1123">
        <v>339.85</v>
      </c>
      <c r="BJ985" s="526"/>
      <c r="BK985" s="526"/>
      <c r="BL985" s="526"/>
      <c r="BM985" s="526"/>
      <c r="BN985" s="1123">
        <v>339.85</v>
      </c>
      <c r="BO985" s="526"/>
      <c r="BP985" s="526"/>
      <c r="BQ985" s="526"/>
      <c r="BR985" s="526"/>
      <c r="BS985" s="1124"/>
      <c r="BT985" s="729"/>
      <c r="BU985" s="526"/>
      <c r="BV985" s="526"/>
      <c r="BW985" s="526"/>
      <c r="BX985" s="1124"/>
      <c r="BY985" s="526"/>
      <c r="BZ985" s="526"/>
      <c r="CA985" s="526"/>
      <c r="CB985" s="526"/>
      <c r="CC985" s="1124"/>
      <c r="CD985" s="1124"/>
      <c r="CE985" s="1124"/>
      <c r="CF985" s="1124"/>
      <c r="CG985" s="533"/>
    </row>
    <row r="986" spans="1:85" s="614" customFormat="1" x14ac:dyDescent="0.3">
      <c r="A986" s="522"/>
      <c r="B986" s="352"/>
      <c r="C986" s="1094"/>
      <c r="D986" s="1094"/>
      <c r="E986" s="1094"/>
      <c r="F986" s="1094"/>
      <c r="G986" s="197"/>
      <c r="H986" s="197"/>
      <c r="I986" s="197"/>
      <c r="J986" s="197"/>
      <c r="K986" s="1094"/>
      <c r="L986" s="197"/>
      <c r="M986" s="197"/>
      <c r="N986" s="197"/>
      <c r="O986" s="197"/>
      <c r="P986" s="1094"/>
      <c r="Q986" s="197"/>
      <c r="R986" s="197"/>
      <c r="S986" s="197"/>
      <c r="T986" s="197"/>
      <c r="U986" s="1094"/>
      <c r="V986" s="197"/>
      <c r="W986" s="197"/>
      <c r="X986" s="197"/>
      <c r="Y986" s="197"/>
      <c r="Z986" s="1094"/>
      <c r="AA986" s="197"/>
      <c r="AB986" s="197"/>
      <c r="AC986" s="197"/>
      <c r="AD986" s="197"/>
      <c r="AE986" s="1094"/>
      <c r="AF986" s="197"/>
      <c r="AG986" s="197"/>
      <c r="AH986" s="197"/>
      <c r="AI986" s="197"/>
      <c r="AJ986" s="1094"/>
      <c r="AK986" s="197"/>
      <c r="AL986" s="197"/>
      <c r="AM986" s="197"/>
      <c r="AN986" s="197"/>
      <c r="AO986" s="1094"/>
      <c r="AP986" s="197"/>
      <c r="AQ986" s="197"/>
      <c r="AR986" s="197"/>
      <c r="AS986" s="197"/>
      <c r="AT986" s="198"/>
      <c r="AU986" s="197"/>
      <c r="AV986" s="197"/>
      <c r="AW986" s="197"/>
      <c r="AX986" s="197"/>
      <c r="AY986" s="198"/>
      <c r="AZ986" s="197"/>
      <c r="BA986" s="197"/>
      <c r="BB986" s="197"/>
      <c r="BC986" s="197"/>
      <c r="BD986" s="198"/>
      <c r="BE986" s="197"/>
      <c r="BF986" s="197"/>
      <c r="BG986" s="197"/>
      <c r="BH986" s="197"/>
      <c r="BI986" s="198"/>
      <c r="BJ986" s="197"/>
      <c r="BK986" s="197"/>
      <c r="BL986" s="197"/>
      <c r="BM986" s="197"/>
      <c r="BN986" s="198"/>
      <c r="BO986" s="197"/>
      <c r="BP986" s="197"/>
      <c r="BQ986" s="197"/>
      <c r="BR986" s="197"/>
      <c r="BS986" s="198"/>
      <c r="BT986" s="727"/>
      <c r="BU986" s="197"/>
      <c r="BV986" s="197"/>
      <c r="BW986" s="197"/>
      <c r="BX986" s="1094"/>
      <c r="BY986" s="197"/>
      <c r="BZ986" s="197"/>
      <c r="CA986" s="197"/>
      <c r="CB986" s="197"/>
      <c r="CC986" s="1094"/>
      <c r="CD986" s="1094"/>
      <c r="CE986" s="1094"/>
      <c r="CF986" s="1094"/>
      <c r="CG986" s="349"/>
    </row>
    <row r="987" spans="1:85" s="613" customFormat="1" x14ac:dyDescent="0.3">
      <c r="A987" s="478" t="s">
        <v>1438</v>
      </c>
      <c r="B987" s="523"/>
      <c r="C987" s="78"/>
      <c r="D987" s="78"/>
      <c r="E987" s="78"/>
      <c r="F987" s="78"/>
      <c r="G987" s="774"/>
      <c r="H987" s="774"/>
      <c r="I987" s="774"/>
      <c r="J987" s="774"/>
      <c r="K987" s="78"/>
      <c r="L987" s="774"/>
      <c r="M987" s="774"/>
      <c r="N987" s="774"/>
      <c r="O987" s="774"/>
      <c r="P987" s="78"/>
      <c r="Q987" s="774"/>
      <c r="R987" s="774"/>
      <c r="S987" s="774"/>
      <c r="T987" s="774"/>
      <c r="U987" s="78"/>
      <c r="V987" s="774"/>
      <c r="W987" s="774"/>
      <c r="X987" s="774"/>
      <c r="Y987" s="774"/>
      <c r="Z987" s="78"/>
      <c r="AA987" s="774"/>
      <c r="AB987" s="774"/>
      <c r="AC987" s="774"/>
      <c r="AD987" s="774"/>
      <c r="AE987" s="78"/>
      <c r="AF987" s="774"/>
      <c r="AG987" s="774"/>
      <c r="AH987" s="774"/>
      <c r="AI987" s="774"/>
      <c r="AJ987" s="78"/>
      <c r="AK987" s="774"/>
      <c r="AL987" s="774"/>
      <c r="AM987" s="774"/>
      <c r="AN987" s="774"/>
      <c r="AO987" s="78"/>
      <c r="AP987" s="774"/>
      <c r="AQ987" s="774"/>
      <c r="AR987" s="774"/>
      <c r="AS987" s="774"/>
      <c r="AT987" s="1119">
        <v>2.9159999999999999</v>
      </c>
      <c r="AU987" s="774"/>
      <c r="AV987" s="774"/>
      <c r="AW987" s="774"/>
      <c r="AX987" s="774"/>
      <c r="AY987" s="1119">
        <v>2.9159999999999999</v>
      </c>
      <c r="AZ987" s="774"/>
      <c r="BA987" s="774"/>
      <c r="BB987" s="774"/>
      <c r="BC987" s="774"/>
      <c r="BD987" s="1119">
        <v>2.9159999999999999</v>
      </c>
      <c r="BE987" s="774"/>
      <c r="BF987" s="774"/>
      <c r="BG987" s="774"/>
      <c r="BH987" s="774"/>
      <c r="BI987" s="1119">
        <v>2.9159999999999999</v>
      </c>
      <c r="BJ987" s="774"/>
      <c r="BK987" s="774"/>
      <c r="BL987" s="774"/>
      <c r="BM987" s="774"/>
      <c r="BN987" s="1119">
        <v>2.9159999999999999</v>
      </c>
      <c r="BO987" s="774"/>
      <c r="BP987" s="774"/>
      <c r="BQ987" s="774"/>
      <c r="BR987" s="774"/>
      <c r="BS987" s="78"/>
      <c r="BT987" s="775"/>
      <c r="BU987" s="774"/>
      <c r="BV987" s="774"/>
      <c r="BW987" s="774"/>
      <c r="BX987" s="78"/>
      <c r="BY987" s="774"/>
      <c r="BZ987" s="774"/>
      <c r="CA987" s="774"/>
      <c r="CB987" s="774"/>
      <c r="CC987" s="78"/>
      <c r="CD987" s="78"/>
      <c r="CE987" s="78"/>
      <c r="CF987" s="78"/>
      <c r="CG987" s="532"/>
    </row>
    <row r="988" spans="1:85" s="616" customFormat="1" x14ac:dyDescent="0.3">
      <c r="A988" s="522" t="s">
        <v>1437</v>
      </c>
      <c r="B988" s="527"/>
      <c r="C988" s="1124"/>
      <c r="D988" s="1124"/>
      <c r="E988" s="1124"/>
      <c r="F988" s="1124"/>
      <c r="G988" s="526"/>
      <c r="H988" s="526"/>
      <c r="I988" s="526"/>
      <c r="J988" s="526"/>
      <c r="K988" s="1124"/>
      <c r="L988" s="526"/>
      <c r="M988" s="526"/>
      <c r="N988" s="526"/>
      <c r="O988" s="526"/>
      <c r="P988" s="1124"/>
      <c r="Q988" s="526"/>
      <c r="R988" s="526"/>
      <c r="S988" s="526"/>
      <c r="T988" s="526"/>
      <c r="U988" s="1124"/>
      <c r="V988" s="526"/>
      <c r="W988" s="526"/>
      <c r="X988" s="526"/>
      <c r="Y988" s="526"/>
      <c r="Z988" s="1124"/>
      <c r="AA988" s="526"/>
      <c r="AB988" s="526"/>
      <c r="AC988" s="526"/>
      <c r="AD988" s="526"/>
      <c r="AE988" s="1124"/>
      <c r="AF988" s="526"/>
      <c r="AG988" s="526"/>
      <c r="AH988" s="526"/>
      <c r="AI988" s="526"/>
      <c r="AJ988" s="1124"/>
      <c r="AK988" s="526"/>
      <c r="AL988" s="526"/>
      <c r="AM988" s="526"/>
      <c r="AN988" s="526"/>
      <c r="AO988" s="1124"/>
      <c r="AP988" s="526"/>
      <c r="AQ988" s="526"/>
      <c r="AR988" s="526"/>
      <c r="AS988" s="526"/>
      <c r="AT988" s="1123">
        <v>357.32</v>
      </c>
      <c r="AU988" s="526"/>
      <c r="AV988" s="526"/>
      <c r="AW988" s="526"/>
      <c r="AX988" s="526"/>
      <c r="AY988" s="1123">
        <v>357.32</v>
      </c>
      <c r="AZ988" s="526"/>
      <c r="BA988" s="526"/>
      <c r="BB988" s="526"/>
      <c r="BC988" s="526"/>
      <c r="BD988" s="1123">
        <v>357.32</v>
      </c>
      <c r="BE988" s="526"/>
      <c r="BF988" s="526"/>
      <c r="BG988" s="526"/>
      <c r="BH988" s="526"/>
      <c r="BI988" s="1123">
        <v>357.32</v>
      </c>
      <c r="BJ988" s="526"/>
      <c r="BK988" s="526"/>
      <c r="BL988" s="526"/>
      <c r="BM988" s="526"/>
      <c r="BN988" s="1123">
        <v>357.32</v>
      </c>
      <c r="BO988" s="526"/>
      <c r="BP988" s="526"/>
      <c r="BQ988" s="526"/>
      <c r="BR988" s="526"/>
      <c r="BS988" s="1124"/>
      <c r="BT988" s="729"/>
      <c r="BU988" s="526"/>
      <c r="BV988" s="526"/>
      <c r="BW988" s="526"/>
      <c r="BX988" s="1124"/>
      <c r="BY988" s="526"/>
      <c r="BZ988" s="526"/>
      <c r="CA988" s="526"/>
      <c r="CB988" s="526"/>
      <c r="CC988" s="1124"/>
      <c r="CD988" s="1124"/>
      <c r="CE988" s="1124"/>
      <c r="CF988" s="1124"/>
      <c r="CG988" s="533"/>
    </row>
    <row r="989" spans="1:85" s="614" customFormat="1" x14ac:dyDescent="0.3">
      <c r="A989" s="522"/>
      <c r="B989" s="352"/>
      <c r="C989" s="1094"/>
      <c r="D989" s="1094"/>
      <c r="E989" s="1094"/>
      <c r="F989" s="1094"/>
      <c r="G989" s="197"/>
      <c r="H989" s="197"/>
      <c r="I989" s="197"/>
      <c r="J989" s="197"/>
      <c r="K989" s="1094"/>
      <c r="L989" s="197"/>
      <c r="M989" s="197"/>
      <c r="N989" s="197"/>
      <c r="O989" s="197"/>
      <c r="P989" s="1094"/>
      <c r="Q989" s="197"/>
      <c r="R989" s="197"/>
      <c r="S989" s="197"/>
      <c r="T989" s="197"/>
      <c r="U989" s="1094"/>
      <c r="V989" s="197"/>
      <c r="W989" s="197"/>
      <c r="X989" s="197"/>
      <c r="Y989" s="197"/>
      <c r="Z989" s="1094"/>
      <c r="AA989" s="197"/>
      <c r="AB989" s="197"/>
      <c r="AC989" s="197"/>
      <c r="AD989" s="197"/>
      <c r="AE989" s="1094"/>
      <c r="AF989" s="197"/>
      <c r="AG989" s="197"/>
      <c r="AH989" s="197"/>
      <c r="AI989" s="197"/>
      <c r="AJ989" s="1094"/>
      <c r="AK989" s="197"/>
      <c r="AL989" s="197"/>
      <c r="AM989" s="197"/>
      <c r="AN989" s="197"/>
      <c r="AO989" s="1094"/>
      <c r="AP989" s="197"/>
      <c r="AQ989" s="197"/>
      <c r="AR989" s="197"/>
      <c r="AS989" s="197"/>
      <c r="AT989" s="198"/>
      <c r="AU989" s="197"/>
      <c r="AV989" s="197"/>
      <c r="AW989" s="197"/>
      <c r="AX989" s="197"/>
      <c r="AY989" s="198"/>
      <c r="AZ989" s="197"/>
      <c r="BA989" s="197"/>
      <c r="BB989" s="197"/>
      <c r="BC989" s="197"/>
      <c r="BD989" s="198"/>
      <c r="BE989" s="197"/>
      <c r="BF989" s="197"/>
      <c r="BG989" s="197"/>
      <c r="BH989" s="197"/>
      <c r="BI989" s="198"/>
      <c r="BJ989" s="197"/>
      <c r="BK989" s="197"/>
      <c r="BL989" s="197"/>
      <c r="BM989" s="197"/>
      <c r="BN989" s="198"/>
      <c r="BO989" s="197"/>
      <c r="BP989" s="197"/>
      <c r="BQ989" s="197"/>
      <c r="BR989" s="197"/>
      <c r="BS989" s="198"/>
      <c r="BT989" s="727"/>
      <c r="BU989" s="197"/>
      <c r="BV989" s="197"/>
      <c r="BW989" s="197"/>
      <c r="BX989" s="1094"/>
      <c r="BY989" s="197"/>
      <c r="BZ989" s="197"/>
      <c r="CA989" s="197"/>
      <c r="CB989" s="197"/>
      <c r="CC989" s="1094"/>
      <c r="CD989" s="1094"/>
      <c r="CE989" s="1094"/>
      <c r="CF989" s="1094"/>
      <c r="CG989" s="349"/>
    </row>
    <row r="990" spans="1:85" s="613" customFormat="1" x14ac:dyDescent="0.3">
      <c r="A990" s="478" t="s">
        <v>1436</v>
      </c>
      <c r="B990" s="523"/>
      <c r="C990" s="78"/>
      <c r="D990" s="78"/>
      <c r="E990" s="78"/>
      <c r="F990" s="78"/>
      <c r="G990" s="774"/>
      <c r="H990" s="774"/>
      <c r="I990" s="774"/>
      <c r="J990" s="774"/>
      <c r="K990" s="78"/>
      <c r="L990" s="774"/>
      <c r="M990" s="774"/>
      <c r="N990" s="774"/>
      <c r="O990" s="774"/>
      <c r="P990" s="78"/>
      <c r="Q990" s="774"/>
      <c r="R990" s="774"/>
      <c r="S990" s="774"/>
      <c r="T990" s="774"/>
      <c r="U990" s="78"/>
      <c r="V990" s="774"/>
      <c r="W990" s="774"/>
      <c r="X990" s="774"/>
      <c r="Y990" s="774"/>
      <c r="Z990" s="78"/>
      <c r="AA990" s="774"/>
      <c r="AB990" s="774"/>
      <c r="AC990" s="774"/>
      <c r="AD990" s="774"/>
      <c r="AE990" s="78"/>
      <c r="AF990" s="774"/>
      <c r="AG990" s="774"/>
      <c r="AH990" s="774"/>
      <c r="AI990" s="774"/>
      <c r="AJ990" s="78"/>
      <c r="AK990" s="774"/>
      <c r="AL990" s="774"/>
      <c r="AM990" s="774"/>
      <c r="AN990" s="774"/>
      <c r="AO990" s="78"/>
      <c r="AP990" s="774"/>
      <c r="AQ990" s="774"/>
      <c r="AR990" s="774"/>
      <c r="AS990" s="774"/>
      <c r="AT990" s="1119">
        <v>2.8380000000000001</v>
      </c>
      <c r="AU990" s="774"/>
      <c r="AV990" s="774"/>
      <c r="AW990" s="774"/>
      <c r="AX990" s="774"/>
      <c r="AY990" s="1119">
        <v>2.8380000000000001</v>
      </c>
      <c r="AZ990" s="774"/>
      <c r="BA990" s="774"/>
      <c r="BB990" s="774"/>
      <c r="BC990" s="774"/>
      <c r="BD990" s="1119">
        <v>2.8380000000000001</v>
      </c>
      <c r="BE990" s="774"/>
      <c r="BF990" s="774"/>
      <c r="BG990" s="774"/>
      <c r="BH990" s="774"/>
      <c r="BI990" s="1119">
        <v>2.8380000000000001</v>
      </c>
      <c r="BJ990" s="774"/>
      <c r="BK990" s="774"/>
      <c r="BL990" s="774"/>
      <c r="BM990" s="774"/>
      <c r="BN990" s="1119">
        <v>2.8380000000000001</v>
      </c>
      <c r="BO990" s="774"/>
      <c r="BP990" s="774"/>
      <c r="BQ990" s="774"/>
      <c r="BR990" s="774"/>
      <c r="BS990" s="78"/>
      <c r="BT990" s="775"/>
      <c r="BU990" s="774"/>
      <c r="BV990" s="774"/>
      <c r="BW990" s="774"/>
      <c r="BX990" s="78"/>
      <c r="BY990" s="774"/>
      <c r="BZ990" s="774"/>
      <c r="CA990" s="774"/>
      <c r="CB990" s="774"/>
      <c r="CC990" s="78"/>
      <c r="CD990" s="78"/>
      <c r="CE990" s="78"/>
      <c r="CF990" s="78"/>
      <c r="CG990" s="532"/>
    </row>
    <row r="991" spans="1:85" s="616" customFormat="1" x14ac:dyDescent="0.3">
      <c r="A991" s="522" t="s">
        <v>1435</v>
      </c>
      <c r="B991" s="527"/>
      <c r="C991" s="1124"/>
      <c r="D991" s="1124"/>
      <c r="E991" s="1124"/>
      <c r="F991" s="1124"/>
      <c r="G991" s="526"/>
      <c r="H991" s="526"/>
      <c r="I991" s="526"/>
      <c r="J991" s="526"/>
      <c r="K991" s="1124"/>
      <c r="L991" s="526"/>
      <c r="M991" s="526"/>
      <c r="N991" s="526"/>
      <c r="O991" s="526"/>
      <c r="P991" s="1124"/>
      <c r="Q991" s="526"/>
      <c r="R991" s="526"/>
      <c r="S991" s="526"/>
      <c r="T991" s="526"/>
      <c r="U991" s="1124"/>
      <c r="V991" s="526"/>
      <c r="W991" s="526"/>
      <c r="X991" s="526"/>
      <c r="Y991" s="526"/>
      <c r="Z991" s="1124"/>
      <c r="AA991" s="526"/>
      <c r="AB991" s="526"/>
      <c r="AC991" s="526"/>
      <c r="AD991" s="526"/>
      <c r="AE991" s="1124"/>
      <c r="AF991" s="526"/>
      <c r="AG991" s="526"/>
      <c r="AH991" s="526"/>
      <c r="AI991" s="526"/>
      <c r="AJ991" s="1124"/>
      <c r="AK991" s="526"/>
      <c r="AL991" s="526"/>
      <c r="AM991" s="526"/>
      <c r="AN991" s="526"/>
      <c r="AO991" s="1124"/>
      <c r="AP991" s="526"/>
      <c r="AQ991" s="526"/>
      <c r="AR991" s="526"/>
      <c r="AS991" s="526"/>
      <c r="AT991" s="1123">
        <v>366.96</v>
      </c>
      <c r="AU991" s="526"/>
      <c r="AV991" s="526"/>
      <c r="AW991" s="526"/>
      <c r="AX991" s="526"/>
      <c r="AY991" s="1123">
        <v>366.96</v>
      </c>
      <c r="AZ991" s="526"/>
      <c r="BA991" s="526"/>
      <c r="BB991" s="526"/>
      <c r="BC991" s="526"/>
      <c r="BD991" s="1123">
        <v>366.96</v>
      </c>
      <c r="BE991" s="526"/>
      <c r="BF991" s="526"/>
      <c r="BG991" s="526"/>
      <c r="BH991" s="526"/>
      <c r="BI991" s="1123">
        <v>366.96</v>
      </c>
      <c r="BJ991" s="526"/>
      <c r="BK991" s="526"/>
      <c r="BL991" s="526"/>
      <c r="BM991" s="526"/>
      <c r="BN991" s="1123">
        <v>366.96</v>
      </c>
      <c r="BO991" s="526"/>
      <c r="BP991" s="526"/>
      <c r="BQ991" s="526"/>
      <c r="BR991" s="526"/>
      <c r="BS991" s="1124"/>
      <c r="BT991" s="729"/>
      <c r="BU991" s="526"/>
      <c r="BV991" s="526"/>
      <c r="BW991" s="526"/>
      <c r="BX991" s="1124"/>
      <c r="BY991" s="526"/>
      <c r="BZ991" s="526"/>
      <c r="CA991" s="526"/>
      <c r="CB991" s="526"/>
      <c r="CC991" s="1124"/>
      <c r="CD991" s="1124"/>
      <c r="CE991" s="1124"/>
      <c r="CF991" s="1124"/>
      <c r="CG991" s="533"/>
    </row>
    <row r="992" spans="1:85" s="614" customFormat="1" x14ac:dyDescent="0.3">
      <c r="A992" s="522"/>
      <c r="B992" s="352"/>
      <c r="C992" s="1094"/>
      <c r="D992" s="1094"/>
      <c r="E992" s="1094"/>
      <c r="F992" s="1094"/>
      <c r="G992" s="197"/>
      <c r="H992" s="197"/>
      <c r="I992" s="197"/>
      <c r="J992" s="197"/>
      <c r="K992" s="1094"/>
      <c r="L992" s="197"/>
      <c r="M992" s="197"/>
      <c r="N992" s="197"/>
      <c r="O992" s="197"/>
      <c r="P992" s="1094"/>
      <c r="Q992" s="197"/>
      <c r="R992" s="197"/>
      <c r="S992" s="197"/>
      <c r="T992" s="197"/>
      <c r="U992" s="1094"/>
      <c r="V992" s="197"/>
      <c r="W992" s="197"/>
      <c r="X992" s="197"/>
      <c r="Y992" s="197"/>
      <c r="Z992" s="1094"/>
      <c r="AA992" s="197"/>
      <c r="AB992" s="197"/>
      <c r="AC992" s="197"/>
      <c r="AD992" s="197"/>
      <c r="AE992" s="1094"/>
      <c r="AF992" s="197"/>
      <c r="AG992" s="197"/>
      <c r="AH992" s="197"/>
      <c r="AI992" s="197"/>
      <c r="AJ992" s="1094"/>
      <c r="AK992" s="197"/>
      <c r="AL992" s="197"/>
      <c r="AM992" s="197"/>
      <c r="AN992" s="197"/>
      <c r="AO992" s="1094"/>
      <c r="AP992" s="197"/>
      <c r="AQ992" s="197"/>
      <c r="AR992" s="197"/>
      <c r="AS992" s="197"/>
      <c r="AT992" s="198"/>
      <c r="AU992" s="197"/>
      <c r="AV992" s="197"/>
      <c r="AW992" s="197"/>
      <c r="AX992" s="197"/>
      <c r="AY992" s="198"/>
      <c r="AZ992" s="197"/>
      <c r="BA992" s="197"/>
      <c r="BB992" s="197"/>
      <c r="BC992" s="197"/>
      <c r="BD992" s="198"/>
      <c r="BE992" s="197"/>
      <c r="BF992" s="197"/>
      <c r="BG992" s="197"/>
      <c r="BH992" s="197"/>
      <c r="BI992" s="198"/>
      <c r="BJ992" s="197"/>
      <c r="BK992" s="197"/>
      <c r="BL992" s="197"/>
      <c r="BM992" s="197"/>
      <c r="BN992" s="198"/>
      <c r="BO992" s="197"/>
      <c r="BP992" s="197"/>
      <c r="BQ992" s="197"/>
      <c r="BR992" s="197"/>
      <c r="BS992" s="198"/>
      <c r="BT992" s="727"/>
      <c r="BU992" s="197"/>
      <c r="BV992" s="197"/>
      <c r="BW992" s="197"/>
      <c r="BX992" s="1094"/>
      <c r="BY992" s="197"/>
      <c r="BZ992" s="197"/>
      <c r="CA992" s="197"/>
      <c r="CB992" s="197"/>
      <c r="CC992" s="1094"/>
      <c r="CD992" s="1094"/>
      <c r="CE992" s="1094"/>
      <c r="CF992" s="1094"/>
      <c r="CG992" s="349"/>
    </row>
    <row r="993" spans="1:85" s="613" customFormat="1" x14ac:dyDescent="0.3">
      <c r="A993" s="478" t="s">
        <v>1434</v>
      </c>
      <c r="B993" s="523"/>
      <c r="C993" s="78"/>
      <c r="D993" s="78"/>
      <c r="E993" s="78"/>
      <c r="F993" s="78"/>
      <c r="G993" s="774"/>
      <c r="H993" s="774"/>
      <c r="I993" s="774"/>
      <c r="J993" s="774"/>
      <c r="K993" s="78"/>
      <c r="L993" s="774"/>
      <c r="M993" s="774"/>
      <c r="N993" s="774"/>
      <c r="O993" s="774"/>
      <c r="P993" s="78"/>
      <c r="Q993" s="774"/>
      <c r="R993" s="774"/>
      <c r="S993" s="774"/>
      <c r="T993" s="774"/>
      <c r="U993" s="78"/>
      <c r="V993" s="774"/>
      <c r="W993" s="774"/>
      <c r="X993" s="774"/>
      <c r="Y993" s="774"/>
      <c r="Z993" s="78"/>
      <c r="AA993" s="774"/>
      <c r="AB993" s="774"/>
      <c r="AC993" s="774"/>
      <c r="AD993" s="774"/>
      <c r="AE993" s="78"/>
      <c r="AF993" s="774"/>
      <c r="AG993" s="774"/>
      <c r="AH993" s="774"/>
      <c r="AI993" s="774"/>
      <c r="AJ993" s="78"/>
      <c r="AK993" s="774"/>
      <c r="AL993" s="774"/>
      <c r="AM993" s="774"/>
      <c r="AN993" s="774"/>
      <c r="AO993" s="78"/>
      <c r="AP993" s="774"/>
      <c r="AQ993" s="774"/>
      <c r="AR993" s="774"/>
      <c r="AS993" s="774"/>
      <c r="AT993" s="1119">
        <v>2.75</v>
      </c>
      <c r="AU993" s="774"/>
      <c r="AV993" s="774"/>
      <c r="AW993" s="774"/>
      <c r="AX993" s="774"/>
      <c r="AY993" s="1119">
        <v>2.75</v>
      </c>
      <c r="AZ993" s="774"/>
      <c r="BA993" s="774"/>
      <c r="BB993" s="774"/>
      <c r="BC993" s="774"/>
      <c r="BD993" s="1119">
        <v>2.75</v>
      </c>
      <c r="BE993" s="774"/>
      <c r="BF993" s="774"/>
      <c r="BG993" s="774"/>
      <c r="BH993" s="774"/>
      <c r="BI993" s="1119">
        <v>2.75</v>
      </c>
      <c r="BJ993" s="774"/>
      <c r="BK993" s="774"/>
      <c r="BL993" s="774"/>
      <c r="BM993" s="774"/>
      <c r="BN993" s="1119">
        <v>2.75</v>
      </c>
      <c r="BO993" s="774"/>
      <c r="BP993" s="774"/>
      <c r="BQ993" s="774"/>
      <c r="BR993" s="774"/>
      <c r="BS993" s="78"/>
      <c r="BT993" s="775"/>
      <c r="BU993" s="774"/>
      <c r="BV993" s="774"/>
      <c r="BW993" s="774"/>
      <c r="BX993" s="78"/>
      <c r="BY993" s="774"/>
      <c r="BZ993" s="774"/>
      <c r="CA993" s="774"/>
      <c r="CB993" s="774"/>
      <c r="CC993" s="78"/>
      <c r="CD993" s="78"/>
      <c r="CE993" s="78"/>
      <c r="CF993" s="78"/>
      <c r="CG993" s="532"/>
    </row>
    <row r="994" spans="1:85" s="616" customFormat="1" x14ac:dyDescent="0.3">
      <c r="A994" s="522" t="s">
        <v>1433</v>
      </c>
      <c r="B994" s="527"/>
      <c r="C994" s="1124"/>
      <c r="D994" s="1124"/>
      <c r="E994" s="1124"/>
      <c r="F994" s="1124"/>
      <c r="G994" s="526"/>
      <c r="H994" s="526"/>
      <c r="I994" s="526"/>
      <c r="J994" s="526"/>
      <c r="K994" s="1124"/>
      <c r="L994" s="526"/>
      <c r="M994" s="526"/>
      <c r="N994" s="526"/>
      <c r="O994" s="526"/>
      <c r="P994" s="1124"/>
      <c r="Q994" s="526"/>
      <c r="R994" s="526"/>
      <c r="S994" s="526"/>
      <c r="T994" s="526"/>
      <c r="U994" s="1124"/>
      <c r="V994" s="526"/>
      <c r="W994" s="526"/>
      <c r="X994" s="526"/>
      <c r="Y994" s="526"/>
      <c r="Z994" s="1124"/>
      <c r="AA994" s="526"/>
      <c r="AB994" s="526"/>
      <c r="AC994" s="526"/>
      <c r="AD994" s="526"/>
      <c r="AE994" s="1124"/>
      <c r="AF994" s="526"/>
      <c r="AG994" s="526"/>
      <c r="AH994" s="526"/>
      <c r="AI994" s="526"/>
      <c r="AJ994" s="1124"/>
      <c r="AK994" s="526"/>
      <c r="AL994" s="526"/>
      <c r="AM994" s="526"/>
      <c r="AN994" s="526"/>
      <c r="AO994" s="1124"/>
      <c r="AP994" s="526"/>
      <c r="AQ994" s="526"/>
      <c r="AR994" s="526"/>
      <c r="AS994" s="526"/>
      <c r="AT994" s="1123">
        <v>378.81</v>
      </c>
      <c r="AU994" s="526"/>
      <c r="AV994" s="526"/>
      <c r="AW994" s="526"/>
      <c r="AX994" s="526"/>
      <c r="AY994" s="1123">
        <v>378.81</v>
      </c>
      <c r="AZ994" s="526"/>
      <c r="BA994" s="526"/>
      <c r="BB994" s="526"/>
      <c r="BC994" s="526"/>
      <c r="BD994" s="1123">
        <v>378.81</v>
      </c>
      <c r="BE994" s="526"/>
      <c r="BF994" s="526"/>
      <c r="BG994" s="526"/>
      <c r="BH994" s="526"/>
      <c r="BI994" s="1123">
        <v>378.81</v>
      </c>
      <c r="BJ994" s="526"/>
      <c r="BK994" s="526"/>
      <c r="BL994" s="526"/>
      <c r="BM994" s="526"/>
      <c r="BN994" s="1123">
        <v>378.81</v>
      </c>
      <c r="BO994" s="526"/>
      <c r="BP994" s="526"/>
      <c r="BQ994" s="526"/>
      <c r="BR994" s="526"/>
      <c r="BS994" s="1124"/>
      <c r="BT994" s="729"/>
      <c r="BU994" s="526"/>
      <c r="BV994" s="526"/>
      <c r="BW994" s="526"/>
      <c r="BX994" s="1124"/>
      <c r="BY994" s="526"/>
      <c r="BZ994" s="526"/>
      <c r="CA994" s="526"/>
      <c r="CB994" s="526"/>
      <c r="CC994" s="1124"/>
      <c r="CD994" s="1124"/>
      <c r="CE994" s="1124"/>
      <c r="CF994" s="1124"/>
      <c r="CG994" s="533"/>
    </row>
    <row r="995" spans="1:85" s="614" customFormat="1" x14ac:dyDescent="0.3">
      <c r="A995" s="522"/>
      <c r="B995" s="352"/>
      <c r="C995" s="1094"/>
      <c r="D995" s="1094"/>
      <c r="E995" s="1094"/>
      <c r="F995" s="1094"/>
      <c r="G995" s="197"/>
      <c r="H995" s="197"/>
      <c r="I995" s="197"/>
      <c r="J995" s="197"/>
      <c r="K995" s="1094"/>
      <c r="L995" s="197"/>
      <c r="M995" s="197"/>
      <c r="N995" s="197"/>
      <c r="O995" s="197"/>
      <c r="P995" s="1094"/>
      <c r="Q995" s="197"/>
      <c r="R995" s="197"/>
      <c r="S995" s="197"/>
      <c r="T995" s="197"/>
      <c r="U995" s="1094"/>
      <c r="V995" s="197"/>
      <c r="W995" s="197"/>
      <c r="X995" s="197"/>
      <c r="Y995" s="197"/>
      <c r="Z995" s="1094"/>
      <c r="AA995" s="197"/>
      <c r="AB995" s="197"/>
      <c r="AC995" s="197"/>
      <c r="AD995" s="197"/>
      <c r="AE995" s="1094"/>
      <c r="AF995" s="197"/>
      <c r="AG995" s="197"/>
      <c r="AH995" s="197"/>
      <c r="AI995" s="197"/>
      <c r="AJ995" s="1094"/>
      <c r="AK995" s="197"/>
      <c r="AL995" s="197"/>
      <c r="AM995" s="197"/>
      <c r="AN995" s="197"/>
      <c r="AO995" s="1094"/>
      <c r="AP995" s="197"/>
      <c r="AQ995" s="197"/>
      <c r="AR995" s="197"/>
      <c r="AS995" s="197"/>
      <c r="AT995" s="198"/>
      <c r="AU995" s="197"/>
      <c r="AV995" s="197"/>
      <c r="AW995" s="197"/>
      <c r="AX995" s="197"/>
      <c r="AY995" s="198"/>
      <c r="AZ995" s="197"/>
      <c r="BA995" s="197"/>
      <c r="BB995" s="197"/>
      <c r="BC995" s="197"/>
      <c r="BD995" s="198"/>
      <c r="BE995" s="197"/>
      <c r="BF995" s="197"/>
      <c r="BG995" s="197"/>
      <c r="BH995" s="197"/>
      <c r="BI995" s="198"/>
      <c r="BJ995" s="197"/>
      <c r="BK995" s="197"/>
      <c r="BL995" s="197"/>
      <c r="BM995" s="197"/>
      <c r="BN995" s="198"/>
      <c r="BO995" s="197"/>
      <c r="BP995" s="197"/>
      <c r="BQ995" s="197"/>
      <c r="BR995" s="197"/>
      <c r="BS995" s="198"/>
      <c r="BT995" s="727"/>
      <c r="BU995" s="197"/>
      <c r="BV995" s="197"/>
      <c r="BW995" s="197"/>
      <c r="BX995" s="1094"/>
      <c r="BY995" s="197"/>
      <c r="BZ995" s="197"/>
      <c r="CA995" s="197"/>
      <c r="CB995" s="197"/>
      <c r="CC995" s="1094"/>
      <c r="CD995" s="1094"/>
      <c r="CE995" s="1094"/>
      <c r="CF995" s="1094"/>
      <c r="CG995" s="349"/>
    </row>
    <row r="996" spans="1:85" s="613" customFormat="1" x14ac:dyDescent="0.3">
      <c r="A996" s="478" t="s">
        <v>1432</v>
      </c>
      <c r="B996" s="523"/>
      <c r="C996" s="78"/>
      <c r="D996" s="78"/>
      <c r="E996" s="78"/>
      <c r="F996" s="78"/>
      <c r="G996" s="774"/>
      <c r="H996" s="774"/>
      <c r="I996" s="774"/>
      <c r="J996" s="774"/>
      <c r="K996" s="78"/>
      <c r="L996" s="774"/>
      <c r="M996" s="774"/>
      <c r="N996" s="774"/>
      <c r="O996" s="774"/>
      <c r="P996" s="78"/>
      <c r="Q996" s="774"/>
      <c r="R996" s="774"/>
      <c r="S996" s="774"/>
      <c r="T996" s="774"/>
      <c r="U996" s="78"/>
      <c r="V996" s="774"/>
      <c r="W996" s="774"/>
      <c r="X996" s="774"/>
      <c r="Y996" s="774"/>
      <c r="Z996" s="78"/>
      <c r="AA996" s="774"/>
      <c r="AB996" s="774"/>
      <c r="AC996" s="774"/>
      <c r="AD996" s="774"/>
      <c r="AE996" s="78"/>
      <c r="AF996" s="774"/>
      <c r="AG996" s="774"/>
      <c r="AH996" s="774"/>
      <c r="AI996" s="774"/>
      <c r="AJ996" s="78"/>
      <c r="AK996" s="774"/>
      <c r="AL996" s="774"/>
      <c r="AM996" s="774"/>
      <c r="AN996" s="774"/>
      <c r="AO996" s="78"/>
      <c r="AP996" s="774"/>
      <c r="AQ996" s="774"/>
      <c r="AR996" s="774"/>
      <c r="AS996" s="774"/>
      <c r="AT996" s="1119">
        <v>3.0950000000000002</v>
      </c>
      <c r="AU996" s="774"/>
      <c r="AV996" s="774"/>
      <c r="AW996" s="774"/>
      <c r="AX996" s="774"/>
      <c r="AY996" s="1119">
        <v>3.0950000000000002</v>
      </c>
      <c r="AZ996" s="774"/>
      <c r="BA996" s="774"/>
      <c r="BB996" s="774"/>
      <c r="BC996" s="774"/>
      <c r="BD996" s="1119">
        <v>3.0950000000000002</v>
      </c>
      <c r="BE996" s="774"/>
      <c r="BF996" s="774"/>
      <c r="BG996" s="774"/>
      <c r="BH996" s="774"/>
      <c r="BI996" s="1119">
        <v>3.0950000000000002</v>
      </c>
      <c r="BJ996" s="774"/>
      <c r="BK996" s="774"/>
      <c r="BL996" s="774"/>
      <c r="BM996" s="774"/>
      <c r="BN996" s="1119">
        <v>3.0950000000000002</v>
      </c>
      <c r="BO996" s="774"/>
      <c r="BP996" s="774"/>
      <c r="BQ996" s="774"/>
      <c r="BR996" s="774"/>
      <c r="BS996" s="78"/>
      <c r="BT996" s="775"/>
      <c r="BU996" s="774"/>
      <c r="BV996" s="774"/>
      <c r="BW996" s="774"/>
      <c r="BX996" s="78"/>
      <c r="BY996" s="774"/>
      <c r="BZ996" s="774"/>
      <c r="CA996" s="774"/>
      <c r="CB996" s="774"/>
      <c r="CC996" s="78"/>
      <c r="CD996" s="78"/>
      <c r="CE996" s="78"/>
      <c r="CF996" s="78"/>
      <c r="CG996" s="532"/>
    </row>
    <row r="997" spans="1:85" s="616" customFormat="1" x14ac:dyDescent="0.3">
      <c r="A997" s="522" t="s">
        <v>1431</v>
      </c>
      <c r="B997" s="527"/>
      <c r="C997" s="1124"/>
      <c r="D997" s="1124"/>
      <c r="E997" s="1124"/>
      <c r="F997" s="1124"/>
      <c r="G997" s="526"/>
      <c r="H997" s="526"/>
      <c r="I997" s="526"/>
      <c r="J997" s="526"/>
      <c r="K997" s="1124"/>
      <c r="L997" s="526"/>
      <c r="M997" s="526"/>
      <c r="N997" s="526"/>
      <c r="O997" s="526"/>
      <c r="P997" s="1124"/>
      <c r="Q997" s="526"/>
      <c r="R997" s="526"/>
      <c r="S997" s="526"/>
      <c r="T997" s="526"/>
      <c r="U997" s="1124"/>
      <c r="V997" s="526"/>
      <c r="W997" s="526"/>
      <c r="X997" s="526"/>
      <c r="Y997" s="526"/>
      <c r="Z997" s="1124"/>
      <c r="AA997" s="526"/>
      <c r="AB997" s="526"/>
      <c r="AC997" s="526"/>
      <c r="AD997" s="526"/>
      <c r="AE997" s="1124"/>
      <c r="AF997" s="526"/>
      <c r="AG997" s="526"/>
      <c r="AH997" s="526"/>
      <c r="AI997" s="526"/>
      <c r="AJ997" s="1124"/>
      <c r="AK997" s="526"/>
      <c r="AL997" s="526"/>
      <c r="AM997" s="526"/>
      <c r="AN997" s="526"/>
      <c r="AO997" s="1124"/>
      <c r="AP997" s="526"/>
      <c r="AQ997" s="526"/>
      <c r="AR997" s="526"/>
      <c r="AS997" s="526"/>
      <c r="AT997" s="1123">
        <v>336.63</v>
      </c>
      <c r="AU997" s="526"/>
      <c r="AV997" s="526"/>
      <c r="AW997" s="526"/>
      <c r="AX997" s="526"/>
      <c r="AY997" s="1123">
        <v>336.63</v>
      </c>
      <c r="AZ997" s="526"/>
      <c r="BA997" s="526"/>
      <c r="BB997" s="526"/>
      <c r="BC997" s="526"/>
      <c r="BD997" s="1123">
        <v>336.63</v>
      </c>
      <c r="BE997" s="526"/>
      <c r="BF997" s="526"/>
      <c r="BG997" s="526"/>
      <c r="BH997" s="526"/>
      <c r="BI997" s="1123">
        <v>336.63</v>
      </c>
      <c r="BJ997" s="526"/>
      <c r="BK997" s="526"/>
      <c r="BL997" s="526"/>
      <c r="BM997" s="526"/>
      <c r="BN997" s="1123">
        <v>336.63</v>
      </c>
      <c r="BO997" s="526"/>
      <c r="BP997" s="526"/>
      <c r="BQ997" s="526"/>
      <c r="BR997" s="526"/>
      <c r="BS997" s="1124"/>
      <c r="BT997" s="729"/>
      <c r="BU997" s="526"/>
      <c r="BV997" s="526"/>
      <c r="BW997" s="526"/>
      <c r="BX997" s="1124"/>
      <c r="BY997" s="526"/>
      <c r="BZ997" s="526"/>
      <c r="CA997" s="526"/>
      <c r="CB997" s="526"/>
      <c r="CC997" s="1124"/>
      <c r="CD997" s="1124"/>
      <c r="CE997" s="1124"/>
      <c r="CF997" s="1124"/>
      <c r="CG997" s="533"/>
    </row>
    <row r="998" spans="1:85" s="614" customFormat="1" x14ac:dyDescent="0.3">
      <c r="A998" s="522"/>
      <c r="B998" s="352"/>
      <c r="C998" s="1094"/>
      <c r="D998" s="1094"/>
      <c r="E998" s="1094"/>
      <c r="F998" s="1094"/>
      <c r="G998" s="197"/>
      <c r="H998" s="197"/>
      <c r="I998" s="197"/>
      <c r="J998" s="197"/>
      <c r="K998" s="1094"/>
      <c r="L998" s="197"/>
      <c r="M998" s="197"/>
      <c r="N998" s="197"/>
      <c r="O998" s="197"/>
      <c r="P998" s="1094"/>
      <c r="Q998" s="197"/>
      <c r="R998" s="197"/>
      <c r="S998" s="197"/>
      <c r="T998" s="197"/>
      <c r="U998" s="1094"/>
      <c r="V998" s="197"/>
      <c r="W998" s="197"/>
      <c r="X998" s="197"/>
      <c r="Y998" s="197"/>
      <c r="Z998" s="1094"/>
      <c r="AA998" s="197"/>
      <c r="AB998" s="197"/>
      <c r="AC998" s="197"/>
      <c r="AD998" s="197"/>
      <c r="AE998" s="1094"/>
      <c r="AF998" s="197"/>
      <c r="AG998" s="197"/>
      <c r="AH998" s="197"/>
      <c r="AI998" s="197"/>
      <c r="AJ998" s="1094"/>
      <c r="AK998" s="197"/>
      <c r="AL998" s="197"/>
      <c r="AM998" s="197"/>
      <c r="AN998" s="197"/>
      <c r="AO998" s="1094"/>
      <c r="AP998" s="197"/>
      <c r="AQ998" s="197"/>
      <c r="AR998" s="197"/>
      <c r="AS998" s="197"/>
      <c r="AT998" s="198"/>
      <c r="AU998" s="197"/>
      <c r="AV998" s="197"/>
      <c r="AW998" s="197"/>
      <c r="AX998" s="197"/>
      <c r="AY998" s="198"/>
      <c r="AZ998" s="197"/>
      <c r="BA998" s="197"/>
      <c r="BB998" s="197"/>
      <c r="BC998" s="197"/>
      <c r="BD998" s="198"/>
      <c r="BE998" s="197"/>
      <c r="BF998" s="197"/>
      <c r="BG998" s="197"/>
      <c r="BH998" s="197"/>
      <c r="BI998" s="198"/>
      <c r="BJ998" s="197"/>
      <c r="BK998" s="197"/>
      <c r="BL998" s="197"/>
      <c r="BM998" s="197"/>
      <c r="BN998" s="198"/>
      <c r="BO998" s="197"/>
      <c r="BP998" s="197"/>
      <c r="BQ998" s="197"/>
      <c r="BR998" s="197"/>
      <c r="BS998" s="198"/>
      <c r="BT998" s="727"/>
      <c r="BU998" s="197"/>
      <c r="BV998" s="197"/>
      <c r="BW998" s="197"/>
      <c r="BX998" s="1094"/>
      <c r="BY998" s="197"/>
      <c r="BZ998" s="197"/>
      <c r="CA998" s="197"/>
      <c r="CB998" s="197"/>
      <c r="CC998" s="1094"/>
      <c r="CD998" s="1094"/>
      <c r="CE998" s="1094"/>
      <c r="CF998" s="1094"/>
      <c r="CG998" s="349"/>
    </row>
    <row r="999" spans="1:85" s="613" customFormat="1" x14ac:dyDescent="0.3">
      <c r="A999" s="478" t="s">
        <v>1430</v>
      </c>
      <c r="B999" s="523"/>
      <c r="C999" s="78"/>
      <c r="D999" s="78"/>
      <c r="E999" s="78"/>
      <c r="F999" s="78"/>
      <c r="G999" s="774"/>
      <c r="H999" s="774"/>
      <c r="I999" s="774"/>
      <c r="J999" s="774"/>
      <c r="K999" s="78"/>
      <c r="L999" s="774"/>
      <c r="M999" s="774"/>
      <c r="N999" s="774"/>
      <c r="O999" s="774"/>
      <c r="P999" s="78"/>
      <c r="Q999" s="774"/>
      <c r="R999" s="774"/>
      <c r="S999" s="774"/>
      <c r="T999" s="774"/>
      <c r="U999" s="78"/>
      <c r="V999" s="774"/>
      <c r="W999" s="774"/>
      <c r="X999" s="774"/>
      <c r="Y999" s="774"/>
      <c r="Z999" s="78"/>
      <c r="AA999" s="774"/>
      <c r="AB999" s="774"/>
      <c r="AC999" s="774"/>
      <c r="AD999" s="774"/>
      <c r="AE999" s="78"/>
      <c r="AF999" s="774"/>
      <c r="AG999" s="774"/>
      <c r="AH999" s="774"/>
      <c r="AI999" s="774"/>
      <c r="AJ999" s="78"/>
      <c r="AK999" s="774"/>
      <c r="AL999" s="774"/>
      <c r="AM999" s="774"/>
      <c r="AN999" s="774"/>
      <c r="AO999" s="78"/>
      <c r="AP999" s="774"/>
      <c r="AQ999" s="774"/>
      <c r="AR999" s="774"/>
      <c r="AS999" s="774"/>
      <c r="AT999" s="1119">
        <v>2.7810000000000001</v>
      </c>
      <c r="AU999" s="774"/>
      <c r="AV999" s="774"/>
      <c r="AW999" s="774"/>
      <c r="AX999" s="774"/>
      <c r="AY999" s="1119">
        <v>2.7810000000000001</v>
      </c>
      <c r="AZ999" s="774"/>
      <c r="BA999" s="774"/>
      <c r="BB999" s="774"/>
      <c r="BC999" s="774"/>
      <c r="BD999" s="1119">
        <v>2.7810000000000001</v>
      </c>
      <c r="BE999" s="774"/>
      <c r="BF999" s="774"/>
      <c r="BG999" s="774"/>
      <c r="BH999" s="774"/>
      <c r="BI999" s="1119">
        <v>2.7810000000000001</v>
      </c>
      <c r="BJ999" s="774"/>
      <c r="BK999" s="774"/>
      <c r="BL999" s="774"/>
      <c r="BM999" s="774"/>
      <c r="BN999" s="1119">
        <v>2.7810000000000001</v>
      </c>
      <c r="BO999" s="774"/>
      <c r="BP999" s="774"/>
      <c r="BQ999" s="774"/>
      <c r="BR999" s="774"/>
      <c r="BS999" s="78"/>
      <c r="BT999" s="775"/>
      <c r="BU999" s="774"/>
      <c r="BV999" s="774"/>
      <c r="BW999" s="774"/>
      <c r="BX999" s="78"/>
      <c r="BY999" s="774"/>
      <c r="BZ999" s="774"/>
      <c r="CA999" s="774"/>
      <c r="CB999" s="774"/>
      <c r="CC999" s="78"/>
      <c r="CD999" s="78"/>
      <c r="CE999" s="78"/>
      <c r="CF999" s="78"/>
      <c r="CG999" s="532"/>
    </row>
    <row r="1000" spans="1:85" s="616" customFormat="1" x14ac:dyDescent="0.3">
      <c r="A1000" s="522" t="s">
        <v>1429</v>
      </c>
      <c r="B1000" s="527"/>
      <c r="C1000" s="1124"/>
      <c r="D1000" s="1124"/>
      <c r="E1000" s="1124"/>
      <c r="F1000" s="1124"/>
      <c r="G1000" s="526"/>
      <c r="H1000" s="526"/>
      <c r="I1000" s="526"/>
      <c r="J1000" s="526"/>
      <c r="K1000" s="1124"/>
      <c r="L1000" s="526"/>
      <c r="M1000" s="526"/>
      <c r="N1000" s="526"/>
      <c r="O1000" s="526"/>
      <c r="P1000" s="1124"/>
      <c r="Q1000" s="526"/>
      <c r="R1000" s="526"/>
      <c r="S1000" s="526"/>
      <c r="T1000" s="526"/>
      <c r="U1000" s="1124"/>
      <c r="V1000" s="526"/>
      <c r="W1000" s="526"/>
      <c r="X1000" s="526"/>
      <c r="Y1000" s="526"/>
      <c r="Z1000" s="1124"/>
      <c r="AA1000" s="526"/>
      <c r="AB1000" s="526"/>
      <c r="AC1000" s="526"/>
      <c r="AD1000" s="526"/>
      <c r="AE1000" s="1124"/>
      <c r="AF1000" s="526"/>
      <c r="AG1000" s="526"/>
      <c r="AH1000" s="526"/>
      <c r="AI1000" s="526"/>
      <c r="AJ1000" s="1124"/>
      <c r="AK1000" s="526"/>
      <c r="AL1000" s="526"/>
      <c r="AM1000" s="526"/>
      <c r="AN1000" s="526"/>
      <c r="AO1000" s="1124"/>
      <c r="AP1000" s="526"/>
      <c r="AQ1000" s="526"/>
      <c r="AR1000" s="526"/>
      <c r="AS1000" s="526"/>
      <c r="AT1000" s="1123">
        <v>374.6</v>
      </c>
      <c r="AU1000" s="526"/>
      <c r="AV1000" s="526"/>
      <c r="AW1000" s="526"/>
      <c r="AX1000" s="526"/>
      <c r="AY1000" s="1123">
        <v>374.6</v>
      </c>
      <c r="AZ1000" s="526"/>
      <c r="BA1000" s="526"/>
      <c r="BB1000" s="526"/>
      <c r="BC1000" s="526"/>
      <c r="BD1000" s="1123">
        <v>374.6</v>
      </c>
      <c r="BE1000" s="526"/>
      <c r="BF1000" s="526"/>
      <c r="BG1000" s="526"/>
      <c r="BH1000" s="526"/>
      <c r="BI1000" s="1123">
        <v>374.6</v>
      </c>
      <c r="BJ1000" s="526"/>
      <c r="BK1000" s="526"/>
      <c r="BL1000" s="526"/>
      <c r="BM1000" s="526"/>
      <c r="BN1000" s="1123">
        <v>374.6</v>
      </c>
      <c r="BO1000" s="526"/>
      <c r="BP1000" s="526"/>
      <c r="BQ1000" s="526"/>
      <c r="BR1000" s="526"/>
      <c r="BS1000" s="1124"/>
      <c r="BT1000" s="729"/>
      <c r="BU1000" s="526"/>
      <c r="BV1000" s="526"/>
      <c r="BW1000" s="526"/>
      <c r="BX1000" s="1124"/>
      <c r="BY1000" s="526"/>
      <c r="BZ1000" s="526"/>
      <c r="CA1000" s="526"/>
      <c r="CB1000" s="526"/>
      <c r="CC1000" s="1124"/>
      <c r="CD1000" s="1124"/>
      <c r="CE1000" s="1124"/>
      <c r="CF1000" s="1124"/>
      <c r="CG1000" s="533"/>
    </row>
    <row r="1001" spans="1:85" s="614" customFormat="1" x14ac:dyDescent="0.3">
      <c r="A1001" s="522"/>
      <c r="B1001" s="352"/>
      <c r="C1001" s="1094"/>
      <c r="D1001" s="1094"/>
      <c r="E1001" s="1094"/>
      <c r="F1001" s="1094"/>
      <c r="G1001" s="197"/>
      <c r="H1001" s="197"/>
      <c r="I1001" s="197"/>
      <c r="J1001" s="197"/>
      <c r="K1001" s="1094"/>
      <c r="L1001" s="197"/>
      <c r="M1001" s="197"/>
      <c r="N1001" s="197"/>
      <c r="O1001" s="197"/>
      <c r="P1001" s="1094"/>
      <c r="Q1001" s="197"/>
      <c r="R1001" s="197"/>
      <c r="S1001" s="197"/>
      <c r="T1001" s="197"/>
      <c r="U1001" s="1094"/>
      <c r="V1001" s="197"/>
      <c r="W1001" s="197"/>
      <c r="X1001" s="197"/>
      <c r="Y1001" s="197"/>
      <c r="Z1001" s="1094"/>
      <c r="AA1001" s="197"/>
      <c r="AB1001" s="197"/>
      <c r="AC1001" s="197"/>
      <c r="AD1001" s="197"/>
      <c r="AE1001" s="1094"/>
      <c r="AF1001" s="197"/>
      <c r="AG1001" s="197"/>
      <c r="AH1001" s="197"/>
      <c r="AI1001" s="197"/>
      <c r="AJ1001" s="1094"/>
      <c r="AK1001" s="197"/>
      <c r="AL1001" s="197"/>
      <c r="AM1001" s="197"/>
      <c r="AN1001" s="197"/>
      <c r="AO1001" s="1094"/>
      <c r="AP1001" s="197"/>
      <c r="AQ1001" s="197"/>
      <c r="AR1001" s="197"/>
      <c r="AS1001" s="197"/>
      <c r="AT1001" s="198"/>
      <c r="AU1001" s="197"/>
      <c r="AV1001" s="197"/>
      <c r="AW1001" s="197"/>
      <c r="AX1001" s="197"/>
      <c r="AY1001" s="198"/>
      <c r="AZ1001" s="197"/>
      <c r="BA1001" s="197"/>
      <c r="BB1001" s="197"/>
      <c r="BC1001" s="197"/>
      <c r="BD1001" s="198"/>
      <c r="BE1001" s="197"/>
      <c r="BF1001" s="197"/>
      <c r="BG1001" s="197"/>
      <c r="BH1001" s="197"/>
      <c r="BI1001" s="198"/>
      <c r="BJ1001" s="197"/>
      <c r="BK1001" s="197"/>
      <c r="BL1001" s="197"/>
      <c r="BM1001" s="197"/>
      <c r="BN1001" s="198"/>
      <c r="BO1001" s="197"/>
      <c r="BP1001" s="197"/>
      <c r="BQ1001" s="197"/>
      <c r="BR1001" s="197"/>
      <c r="BS1001" s="198"/>
      <c r="BT1001" s="727"/>
      <c r="BU1001" s="197"/>
      <c r="BV1001" s="197"/>
      <c r="BW1001" s="197"/>
      <c r="BX1001" s="1094"/>
      <c r="BY1001" s="197"/>
      <c r="BZ1001" s="197"/>
      <c r="CA1001" s="197"/>
      <c r="CB1001" s="197"/>
      <c r="CC1001" s="1094"/>
      <c r="CD1001" s="1094"/>
      <c r="CE1001" s="1094"/>
      <c r="CF1001" s="1094"/>
      <c r="CG1001" s="349"/>
    </row>
    <row r="1002" spans="1:85" s="613" customFormat="1" x14ac:dyDescent="0.3">
      <c r="A1002" s="478" t="s">
        <v>1428</v>
      </c>
      <c r="B1002" s="523"/>
      <c r="C1002" s="78"/>
      <c r="D1002" s="78"/>
      <c r="E1002" s="78"/>
      <c r="F1002" s="78"/>
      <c r="G1002" s="774"/>
      <c r="H1002" s="774"/>
      <c r="I1002" s="774"/>
      <c r="J1002" s="774"/>
      <c r="K1002" s="78"/>
      <c r="L1002" s="774"/>
      <c r="M1002" s="774"/>
      <c r="N1002" s="774"/>
      <c r="O1002" s="774"/>
      <c r="P1002" s="78"/>
      <c r="Q1002" s="774"/>
      <c r="R1002" s="774"/>
      <c r="S1002" s="774"/>
      <c r="T1002" s="774"/>
      <c r="U1002" s="78"/>
      <c r="V1002" s="774"/>
      <c r="W1002" s="774"/>
      <c r="X1002" s="774"/>
      <c r="Y1002" s="774"/>
      <c r="Z1002" s="78"/>
      <c r="AA1002" s="774"/>
      <c r="AB1002" s="774"/>
      <c r="AC1002" s="774"/>
      <c r="AD1002" s="774"/>
      <c r="AE1002" s="78"/>
      <c r="AF1002" s="774"/>
      <c r="AG1002" s="774"/>
      <c r="AH1002" s="774"/>
      <c r="AI1002" s="774"/>
      <c r="AJ1002" s="78"/>
      <c r="AK1002" s="774"/>
      <c r="AL1002" s="774"/>
      <c r="AM1002" s="774"/>
      <c r="AN1002" s="774"/>
      <c r="AO1002" s="78"/>
      <c r="AP1002" s="774"/>
      <c r="AQ1002" s="774"/>
      <c r="AR1002" s="774"/>
      <c r="AS1002" s="774"/>
      <c r="AT1002" s="1119">
        <v>3.26</v>
      </c>
      <c r="AU1002" s="774"/>
      <c r="AV1002" s="774"/>
      <c r="AW1002" s="774"/>
      <c r="AX1002" s="774"/>
      <c r="AY1002" s="1119">
        <v>3.26</v>
      </c>
      <c r="AZ1002" s="774"/>
      <c r="BA1002" s="774"/>
      <c r="BB1002" s="774"/>
      <c r="BC1002" s="774"/>
      <c r="BD1002" s="1119">
        <v>3.26</v>
      </c>
      <c r="BE1002" s="774"/>
      <c r="BF1002" s="774"/>
      <c r="BG1002" s="774"/>
      <c r="BH1002" s="774"/>
      <c r="BI1002" s="1119">
        <v>3.26</v>
      </c>
      <c r="BJ1002" s="774"/>
      <c r="BK1002" s="774"/>
      <c r="BL1002" s="774"/>
      <c r="BM1002" s="774"/>
      <c r="BN1002" s="1119">
        <v>3.26</v>
      </c>
      <c r="BO1002" s="774"/>
      <c r="BP1002" s="774"/>
      <c r="BQ1002" s="774"/>
      <c r="BR1002" s="774"/>
      <c r="BS1002" s="78"/>
      <c r="BT1002" s="775"/>
      <c r="BU1002" s="774"/>
      <c r="BV1002" s="774"/>
      <c r="BW1002" s="774"/>
      <c r="BX1002" s="78"/>
      <c r="BY1002" s="774"/>
      <c r="BZ1002" s="774"/>
      <c r="CA1002" s="774"/>
      <c r="CB1002" s="774"/>
      <c r="CC1002" s="78"/>
      <c r="CD1002" s="78"/>
      <c r="CE1002" s="78"/>
      <c r="CF1002" s="78"/>
      <c r="CG1002" s="532"/>
    </row>
    <row r="1003" spans="1:85" s="616" customFormat="1" x14ac:dyDescent="0.3">
      <c r="A1003" s="522" t="s">
        <v>1427</v>
      </c>
      <c r="B1003" s="527"/>
      <c r="C1003" s="1124"/>
      <c r="D1003" s="1124"/>
      <c r="E1003" s="1124"/>
      <c r="F1003" s="1124"/>
      <c r="G1003" s="526"/>
      <c r="H1003" s="526"/>
      <c r="I1003" s="526"/>
      <c r="J1003" s="526"/>
      <c r="K1003" s="1124"/>
      <c r="L1003" s="526"/>
      <c r="M1003" s="526"/>
      <c r="N1003" s="526"/>
      <c r="O1003" s="526"/>
      <c r="P1003" s="1124"/>
      <c r="Q1003" s="526"/>
      <c r="R1003" s="526"/>
      <c r="S1003" s="526"/>
      <c r="T1003" s="526"/>
      <c r="U1003" s="1124"/>
      <c r="V1003" s="526"/>
      <c r="W1003" s="526"/>
      <c r="X1003" s="526"/>
      <c r="Y1003" s="526"/>
      <c r="Z1003" s="1124"/>
      <c r="AA1003" s="526"/>
      <c r="AB1003" s="526"/>
      <c r="AC1003" s="526"/>
      <c r="AD1003" s="526"/>
      <c r="AE1003" s="1124"/>
      <c r="AF1003" s="526"/>
      <c r="AG1003" s="526"/>
      <c r="AH1003" s="526"/>
      <c r="AI1003" s="526"/>
      <c r="AJ1003" s="1124"/>
      <c r="AK1003" s="526"/>
      <c r="AL1003" s="526"/>
      <c r="AM1003" s="526"/>
      <c r="AN1003" s="526"/>
      <c r="AO1003" s="1124"/>
      <c r="AP1003" s="526"/>
      <c r="AQ1003" s="526"/>
      <c r="AR1003" s="526"/>
      <c r="AS1003" s="526"/>
      <c r="AT1003" s="1123">
        <v>319.5</v>
      </c>
      <c r="AU1003" s="526"/>
      <c r="AV1003" s="526"/>
      <c r="AW1003" s="526"/>
      <c r="AX1003" s="526"/>
      <c r="AY1003" s="1123">
        <v>319.5</v>
      </c>
      <c r="AZ1003" s="526"/>
      <c r="BA1003" s="526"/>
      <c r="BB1003" s="526"/>
      <c r="BC1003" s="526"/>
      <c r="BD1003" s="1123">
        <v>319.5</v>
      </c>
      <c r="BE1003" s="526"/>
      <c r="BF1003" s="526"/>
      <c r="BG1003" s="526"/>
      <c r="BH1003" s="526"/>
      <c r="BI1003" s="1123">
        <v>319.5</v>
      </c>
      <c r="BJ1003" s="526"/>
      <c r="BK1003" s="526"/>
      <c r="BL1003" s="526"/>
      <c r="BM1003" s="526"/>
      <c r="BN1003" s="1123">
        <v>319.5</v>
      </c>
      <c r="BO1003" s="526"/>
      <c r="BP1003" s="526"/>
      <c r="BQ1003" s="526"/>
      <c r="BR1003" s="526"/>
      <c r="BS1003" s="1124"/>
      <c r="BT1003" s="729"/>
      <c r="BU1003" s="526"/>
      <c r="BV1003" s="526"/>
      <c r="BW1003" s="526"/>
      <c r="BX1003" s="1124"/>
      <c r="BY1003" s="526"/>
      <c r="BZ1003" s="526"/>
      <c r="CA1003" s="526"/>
      <c r="CB1003" s="526"/>
      <c r="CC1003" s="1124"/>
      <c r="CD1003" s="1124"/>
      <c r="CE1003" s="1124"/>
      <c r="CF1003" s="1124"/>
      <c r="CG1003" s="533"/>
    </row>
    <row r="1004" spans="1:85" s="614" customFormat="1" x14ac:dyDescent="0.3">
      <c r="A1004" s="522"/>
      <c r="B1004" s="352"/>
      <c r="C1004" s="1094"/>
      <c r="D1004" s="1094"/>
      <c r="E1004" s="1094"/>
      <c r="F1004" s="1094"/>
      <c r="G1004" s="197"/>
      <c r="H1004" s="197"/>
      <c r="I1004" s="197"/>
      <c r="J1004" s="197"/>
      <c r="K1004" s="1094"/>
      <c r="L1004" s="197"/>
      <c r="M1004" s="197"/>
      <c r="N1004" s="197"/>
      <c r="O1004" s="197"/>
      <c r="P1004" s="1094"/>
      <c r="Q1004" s="197"/>
      <c r="R1004" s="197"/>
      <c r="S1004" s="197"/>
      <c r="T1004" s="197"/>
      <c r="U1004" s="1094"/>
      <c r="V1004" s="197"/>
      <c r="W1004" s="197"/>
      <c r="X1004" s="197"/>
      <c r="Y1004" s="197"/>
      <c r="Z1004" s="1094"/>
      <c r="AA1004" s="197"/>
      <c r="AB1004" s="197"/>
      <c r="AC1004" s="197"/>
      <c r="AD1004" s="197"/>
      <c r="AE1004" s="1094"/>
      <c r="AF1004" s="197"/>
      <c r="AG1004" s="197"/>
      <c r="AH1004" s="197"/>
      <c r="AI1004" s="197"/>
      <c r="AJ1004" s="1094"/>
      <c r="AK1004" s="197"/>
      <c r="AL1004" s="197"/>
      <c r="AM1004" s="197"/>
      <c r="AN1004" s="197"/>
      <c r="AO1004" s="1094"/>
      <c r="AP1004" s="197"/>
      <c r="AQ1004" s="197"/>
      <c r="AR1004" s="197"/>
      <c r="AS1004" s="197"/>
      <c r="AT1004" s="198"/>
      <c r="AU1004" s="197"/>
      <c r="AV1004" s="197"/>
      <c r="AW1004" s="197"/>
      <c r="AX1004" s="197"/>
      <c r="AY1004" s="198"/>
      <c r="AZ1004" s="197"/>
      <c r="BA1004" s="197"/>
      <c r="BB1004" s="197"/>
      <c r="BC1004" s="197"/>
      <c r="BD1004" s="198"/>
      <c r="BE1004" s="197"/>
      <c r="BF1004" s="197"/>
      <c r="BG1004" s="197"/>
      <c r="BH1004" s="197"/>
      <c r="BI1004" s="198"/>
      <c r="BJ1004" s="197"/>
      <c r="BK1004" s="197"/>
      <c r="BL1004" s="197"/>
      <c r="BM1004" s="197"/>
      <c r="BN1004" s="198"/>
      <c r="BO1004" s="197"/>
      <c r="BP1004" s="197"/>
      <c r="BQ1004" s="197"/>
      <c r="BR1004" s="197"/>
      <c r="BS1004" s="198"/>
      <c r="BT1004" s="727"/>
      <c r="BU1004" s="197"/>
      <c r="BV1004" s="197"/>
      <c r="BW1004" s="197"/>
      <c r="BX1004" s="1094"/>
      <c r="BY1004" s="197"/>
      <c r="BZ1004" s="197"/>
      <c r="CA1004" s="197"/>
      <c r="CB1004" s="197"/>
      <c r="CC1004" s="1094"/>
      <c r="CD1004" s="1094"/>
      <c r="CE1004" s="1094"/>
      <c r="CF1004" s="1094"/>
      <c r="CG1004" s="349"/>
    </row>
    <row r="1005" spans="1:85" s="613" customFormat="1" x14ac:dyDescent="0.3">
      <c r="A1005" s="478" t="s">
        <v>1426</v>
      </c>
      <c r="B1005" s="523"/>
      <c r="C1005" s="78"/>
      <c r="D1005" s="78"/>
      <c r="E1005" s="78"/>
      <c r="F1005" s="78"/>
      <c r="G1005" s="774"/>
      <c r="H1005" s="774"/>
      <c r="I1005" s="774"/>
      <c r="J1005" s="774"/>
      <c r="K1005" s="78"/>
      <c r="L1005" s="774"/>
      <c r="M1005" s="774"/>
      <c r="N1005" s="774"/>
      <c r="O1005" s="774"/>
      <c r="P1005" s="78"/>
      <c r="Q1005" s="774"/>
      <c r="R1005" s="774"/>
      <c r="S1005" s="774"/>
      <c r="T1005" s="774"/>
      <c r="U1005" s="78"/>
      <c r="V1005" s="774"/>
      <c r="W1005" s="774"/>
      <c r="X1005" s="774"/>
      <c r="Y1005" s="774"/>
      <c r="Z1005" s="78"/>
      <c r="AA1005" s="774"/>
      <c r="AB1005" s="774"/>
      <c r="AC1005" s="774"/>
      <c r="AD1005" s="774"/>
      <c r="AE1005" s="78"/>
      <c r="AF1005" s="774"/>
      <c r="AG1005" s="774"/>
      <c r="AH1005" s="774"/>
      <c r="AI1005" s="774"/>
      <c r="AJ1005" s="78"/>
      <c r="AK1005" s="774"/>
      <c r="AL1005" s="774"/>
      <c r="AM1005" s="774"/>
      <c r="AN1005" s="774"/>
      <c r="AO1005" s="78"/>
      <c r="AP1005" s="774"/>
      <c r="AQ1005" s="774"/>
      <c r="AR1005" s="774"/>
      <c r="AS1005" s="774"/>
      <c r="AT1005" s="1119">
        <v>3.601</v>
      </c>
      <c r="AU1005" s="774"/>
      <c r="AV1005" s="774"/>
      <c r="AW1005" s="774"/>
      <c r="AX1005" s="774"/>
      <c r="AY1005" s="1119">
        <v>3.601</v>
      </c>
      <c r="AZ1005" s="774"/>
      <c r="BA1005" s="774"/>
      <c r="BB1005" s="774"/>
      <c r="BC1005" s="774"/>
      <c r="BD1005" s="1119">
        <v>3.601</v>
      </c>
      <c r="BE1005" s="774"/>
      <c r="BF1005" s="774"/>
      <c r="BG1005" s="774"/>
      <c r="BH1005" s="774"/>
      <c r="BI1005" s="1119">
        <v>3.601</v>
      </c>
      <c r="BJ1005" s="774"/>
      <c r="BK1005" s="774"/>
      <c r="BL1005" s="774"/>
      <c r="BM1005" s="774"/>
      <c r="BN1005" s="1119">
        <v>3.601</v>
      </c>
      <c r="BO1005" s="774"/>
      <c r="BP1005" s="774"/>
      <c r="BQ1005" s="774"/>
      <c r="BR1005" s="774"/>
      <c r="BS1005" s="78"/>
      <c r="BT1005" s="775"/>
      <c r="BU1005" s="774"/>
      <c r="BV1005" s="774"/>
      <c r="BW1005" s="774"/>
      <c r="BX1005" s="78"/>
      <c r="BY1005" s="774"/>
      <c r="BZ1005" s="774"/>
      <c r="CA1005" s="774"/>
      <c r="CB1005" s="774"/>
      <c r="CC1005" s="78"/>
      <c r="CD1005" s="78"/>
      <c r="CE1005" s="78"/>
      <c r="CF1005" s="78"/>
      <c r="CG1005" s="532"/>
    </row>
    <row r="1006" spans="1:85" s="616" customFormat="1" x14ac:dyDescent="0.3">
      <c r="A1006" s="522" t="s">
        <v>1425</v>
      </c>
      <c r="B1006" s="527"/>
      <c r="C1006" s="1124"/>
      <c r="D1006" s="1124"/>
      <c r="E1006" s="1124"/>
      <c r="F1006" s="1124"/>
      <c r="G1006" s="526"/>
      <c r="H1006" s="526"/>
      <c r="I1006" s="526"/>
      <c r="J1006" s="526"/>
      <c r="K1006" s="1124"/>
      <c r="L1006" s="526"/>
      <c r="M1006" s="526"/>
      <c r="N1006" s="526"/>
      <c r="O1006" s="526"/>
      <c r="P1006" s="1124"/>
      <c r="Q1006" s="526"/>
      <c r="R1006" s="526"/>
      <c r="S1006" s="526"/>
      <c r="T1006" s="526"/>
      <c r="U1006" s="1124"/>
      <c r="V1006" s="526"/>
      <c r="W1006" s="526"/>
      <c r="X1006" s="526"/>
      <c r="Y1006" s="526"/>
      <c r="Z1006" s="1124"/>
      <c r="AA1006" s="526"/>
      <c r="AB1006" s="526"/>
      <c r="AC1006" s="526"/>
      <c r="AD1006" s="526"/>
      <c r="AE1006" s="1124"/>
      <c r="AF1006" s="526"/>
      <c r="AG1006" s="526"/>
      <c r="AH1006" s="526"/>
      <c r="AI1006" s="526"/>
      <c r="AJ1006" s="1124"/>
      <c r="AK1006" s="526"/>
      <c r="AL1006" s="526"/>
      <c r="AM1006" s="526"/>
      <c r="AN1006" s="526"/>
      <c r="AO1006" s="1124"/>
      <c r="AP1006" s="526"/>
      <c r="AQ1006" s="526"/>
      <c r="AR1006" s="526"/>
      <c r="AS1006" s="526"/>
      <c r="AT1006" s="1123">
        <v>289.29000000000002</v>
      </c>
      <c r="AU1006" s="526"/>
      <c r="AV1006" s="526"/>
      <c r="AW1006" s="526"/>
      <c r="AX1006" s="526"/>
      <c r="AY1006" s="1123">
        <v>289.29000000000002</v>
      </c>
      <c r="AZ1006" s="526"/>
      <c r="BA1006" s="526"/>
      <c r="BB1006" s="526"/>
      <c r="BC1006" s="526"/>
      <c r="BD1006" s="1123">
        <v>289.29000000000002</v>
      </c>
      <c r="BE1006" s="526"/>
      <c r="BF1006" s="526"/>
      <c r="BG1006" s="526"/>
      <c r="BH1006" s="526"/>
      <c r="BI1006" s="1123">
        <v>289.29000000000002</v>
      </c>
      <c r="BJ1006" s="526"/>
      <c r="BK1006" s="526"/>
      <c r="BL1006" s="526"/>
      <c r="BM1006" s="526"/>
      <c r="BN1006" s="1123">
        <v>289.29000000000002</v>
      </c>
      <c r="BO1006" s="526"/>
      <c r="BP1006" s="526"/>
      <c r="BQ1006" s="526"/>
      <c r="BR1006" s="526"/>
      <c r="BS1006" s="1124"/>
      <c r="BT1006" s="729"/>
      <c r="BU1006" s="526"/>
      <c r="BV1006" s="526"/>
      <c r="BW1006" s="526"/>
      <c r="BX1006" s="1124"/>
      <c r="BY1006" s="526"/>
      <c r="BZ1006" s="526"/>
      <c r="CA1006" s="526"/>
      <c r="CB1006" s="526"/>
      <c r="CC1006" s="1124"/>
      <c r="CD1006" s="1124"/>
      <c r="CE1006" s="1124"/>
      <c r="CF1006" s="1124"/>
      <c r="CG1006" s="533"/>
    </row>
    <row r="1007" spans="1:85" s="614" customFormat="1" x14ac:dyDescent="0.3">
      <c r="A1007" s="522"/>
      <c r="B1007" s="352"/>
      <c r="C1007" s="1094"/>
      <c r="D1007" s="1094"/>
      <c r="E1007" s="1094"/>
      <c r="F1007" s="1094"/>
      <c r="G1007" s="197"/>
      <c r="H1007" s="197"/>
      <c r="I1007" s="197"/>
      <c r="J1007" s="197"/>
      <c r="K1007" s="1094"/>
      <c r="L1007" s="197"/>
      <c r="M1007" s="197"/>
      <c r="N1007" s="197"/>
      <c r="O1007" s="197"/>
      <c r="P1007" s="1094"/>
      <c r="Q1007" s="197"/>
      <c r="R1007" s="197"/>
      <c r="S1007" s="197"/>
      <c r="T1007" s="197"/>
      <c r="U1007" s="1094"/>
      <c r="V1007" s="197"/>
      <c r="W1007" s="197"/>
      <c r="X1007" s="197"/>
      <c r="Y1007" s="197"/>
      <c r="Z1007" s="1094"/>
      <c r="AA1007" s="197"/>
      <c r="AB1007" s="197"/>
      <c r="AC1007" s="197"/>
      <c r="AD1007" s="197"/>
      <c r="AE1007" s="1094"/>
      <c r="AF1007" s="197"/>
      <c r="AG1007" s="197"/>
      <c r="AH1007" s="197"/>
      <c r="AI1007" s="197"/>
      <c r="AJ1007" s="1094"/>
      <c r="AK1007" s="197"/>
      <c r="AL1007" s="197"/>
      <c r="AM1007" s="197"/>
      <c r="AN1007" s="197"/>
      <c r="AO1007" s="1094"/>
      <c r="AP1007" s="197"/>
      <c r="AQ1007" s="197"/>
      <c r="AR1007" s="197"/>
      <c r="AS1007" s="197"/>
      <c r="AT1007" s="198"/>
      <c r="AU1007" s="197"/>
      <c r="AV1007" s="197"/>
      <c r="AW1007" s="197"/>
      <c r="AX1007" s="197"/>
      <c r="AY1007" s="198"/>
      <c r="AZ1007" s="197"/>
      <c r="BA1007" s="197"/>
      <c r="BB1007" s="197"/>
      <c r="BC1007" s="197"/>
      <c r="BD1007" s="198"/>
      <c r="BE1007" s="197"/>
      <c r="BF1007" s="197"/>
      <c r="BG1007" s="197"/>
      <c r="BH1007" s="197"/>
      <c r="BI1007" s="198"/>
      <c r="BJ1007" s="197"/>
      <c r="BK1007" s="197"/>
      <c r="BL1007" s="197"/>
      <c r="BM1007" s="197"/>
      <c r="BN1007" s="198"/>
      <c r="BO1007" s="197"/>
      <c r="BP1007" s="197"/>
      <c r="BQ1007" s="197"/>
      <c r="BR1007" s="197"/>
      <c r="BS1007" s="198"/>
      <c r="BT1007" s="727"/>
      <c r="BU1007" s="197"/>
      <c r="BV1007" s="197"/>
      <c r="BW1007" s="197"/>
      <c r="BX1007" s="1094"/>
      <c r="BY1007" s="197"/>
      <c r="BZ1007" s="197"/>
      <c r="CA1007" s="197"/>
      <c r="CB1007" s="197"/>
      <c r="CC1007" s="1094"/>
      <c r="CD1007" s="1094"/>
      <c r="CE1007" s="1094"/>
      <c r="CF1007" s="1094"/>
      <c r="CG1007" s="349"/>
    </row>
    <row r="1008" spans="1:85" s="613" customFormat="1" x14ac:dyDescent="0.3">
      <c r="A1008" s="478" t="s">
        <v>1424</v>
      </c>
      <c r="B1008" s="523"/>
      <c r="C1008" s="78"/>
      <c r="D1008" s="78"/>
      <c r="E1008" s="78"/>
      <c r="F1008" s="78"/>
      <c r="G1008" s="774"/>
      <c r="H1008" s="774"/>
      <c r="I1008" s="774"/>
      <c r="J1008" s="774"/>
      <c r="K1008" s="78"/>
      <c r="L1008" s="774"/>
      <c r="M1008" s="774"/>
      <c r="N1008" s="774"/>
      <c r="O1008" s="774"/>
      <c r="P1008" s="78"/>
      <c r="Q1008" s="774"/>
      <c r="R1008" s="774"/>
      <c r="S1008" s="774"/>
      <c r="T1008" s="774"/>
      <c r="U1008" s="78"/>
      <c r="V1008" s="774"/>
      <c r="W1008" s="774"/>
      <c r="X1008" s="774"/>
      <c r="Y1008" s="774"/>
      <c r="Z1008" s="78"/>
      <c r="AA1008" s="774"/>
      <c r="AB1008" s="774"/>
      <c r="AC1008" s="774"/>
      <c r="AD1008" s="774"/>
      <c r="AE1008" s="78"/>
      <c r="AF1008" s="774"/>
      <c r="AG1008" s="774"/>
      <c r="AH1008" s="774"/>
      <c r="AI1008" s="774"/>
      <c r="AJ1008" s="78"/>
      <c r="AK1008" s="774"/>
      <c r="AL1008" s="774"/>
      <c r="AM1008" s="774"/>
      <c r="AN1008" s="774"/>
      <c r="AO1008" s="78"/>
      <c r="AP1008" s="774"/>
      <c r="AQ1008" s="774"/>
      <c r="AR1008" s="774"/>
      <c r="AS1008" s="774"/>
      <c r="AT1008" s="1119">
        <v>3.8639999999999999</v>
      </c>
      <c r="AU1008" s="774"/>
      <c r="AV1008" s="774"/>
      <c r="AW1008" s="774"/>
      <c r="AX1008" s="774"/>
      <c r="AY1008" s="1119">
        <v>3.8639999999999999</v>
      </c>
      <c r="AZ1008" s="774"/>
      <c r="BA1008" s="774"/>
      <c r="BB1008" s="774"/>
      <c r="BC1008" s="774"/>
      <c r="BD1008" s="1119">
        <v>3.8639999999999999</v>
      </c>
      <c r="BE1008" s="774"/>
      <c r="BF1008" s="774"/>
      <c r="BG1008" s="774"/>
      <c r="BH1008" s="774"/>
      <c r="BI1008" s="1119">
        <v>3.8639999999999999</v>
      </c>
      <c r="BJ1008" s="774"/>
      <c r="BK1008" s="774"/>
      <c r="BL1008" s="774"/>
      <c r="BM1008" s="774"/>
      <c r="BN1008" s="1119">
        <v>3.8639999999999999</v>
      </c>
      <c r="BO1008" s="774"/>
      <c r="BP1008" s="774"/>
      <c r="BQ1008" s="774"/>
      <c r="BR1008" s="774"/>
      <c r="BS1008" s="78"/>
      <c r="BT1008" s="775"/>
      <c r="BU1008" s="774"/>
      <c r="BV1008" s="774"/>
      <c r="BW1008" s="774"/>
      <c r="BX1008" s="78"/>
      <c r="BY1008" s="774"/>
      <c r="BZ1008" s="774"/>
      <c r="CA1008" s="774"/>
      <c r="CB1008" s="774"/>
      <c r="CC1008" s="78"/>
      <c r="CD1008" s="78"/>
      <c r="CE1008" s="78"/>
      <c r="CF1008" s="78"/>
      <c r="CG1008" s="532"/>
    </row>
    <row r="1009" spans="1:85" s="616" customFormat="1" x14ac:dyDescent="0.3">
      <c r="A1009" s="522" t="s">
        <v>1423</v>
      </c>
      <c r="B1009" s="527"/>
      <c r="C1009" s="1124"/>
      <c r="D1009" s="1124"/>
      <c r="E1009" s="1124"/>
      <c r="F1009" s="1124"/>
      <c r="G1009" s="526"/>
      <c r="H1009" s="526"/>
      <c r="I1009" s="526"/>
      <c r="J1009" s="526"/>
      <c r="K1009" s="1124"/>
      <c r="L1009" s="526"/>
      <c r="M1009" s="526"/>
      <c r="N1009" s="526"/>
      <c r="O1009" s="526"/>
      <c r="P1009" s="1124"/>
      <c r="Q1009" s="526"/>
      <c r="R1009" s="526"/>
      <c r="S1009" s="526"/>
      <c r="T1009" s="526"/>
      <c r="U1009" s="1124"/>
      <c r="V1009" s="526"/>
      <c r="W1009" s="526"/>
      <c r="X1009" s="526"/>
      <c r="Y1009" s="526"/>
      <c r="Z1009" s="1124"/>
      <c r="AA1009" s="526"/>
      <c r="AB1009" s="526"/>
      <c r="AC1009" s="526"/>
      <c r="AD1009" s="526"/>
      <c r="AE1009" s="1124"/>
      <c r="AF1009" s="526"/>
      <c r="AG1009" s="526"/>
      <c r="AH1009" s="526"/>
      <c r="AI1009" s="526"/>
      <c r="AJ1009" s="1124"/>
      <c r="AK1009" s="526"/>
      <c r="AL1009" s="526"/>
      <c r="AM1009" s="526"/>
      <c r="AN1009" s="526"/>
      <c r="AO1009" s="1124"/>
      <c r="AP1009" s="526"/>
      <c r="AQ1009" s="526"/>
      <c r="AR1009" s="526"/>
      <c r="AS1009" s="526"/>
      <c r="AT1009" s="1123">
        <v>269.58</v>
      </c>
      <c r="AU1009" s="526"/>
      <c r="AV1009" s="526"/>
      <c r="AW1009" s="526"/>
      <c r="AX1009" s="526"/>
      <c r="AY1009" s="1123">
        <v>269.58</v>
      </c>
      <c r="AZ1009" s="526"/>
      <c r="BA1009" s="526"/>
      <c r="BB1009" s="526"/>
      <c r="BC1009" s="526"/>
      <c r="BD1009" s="1123">
        <v>269.58</v>
      </c>
      <c r="BE1009" s="526"/>
      <c r="BF1009" s="526"/>
      <c r="BG1009" s="526"/>
      <c r="BH1009" s="526"/>
      <c r="BI1009" s="1123">
        <v>269.58</v>
      </c>
      <c r="BJ1009" s="526"/>
      <c r="BK1009" s="526"/>
      <c r="BL1009" s="526"/>
      <c r="BM1009" s="526"/>
      <c r="BN1009" s="1123">
        <v>269.58</v>
      </c>
      <c r="BO1009" s="526"/>
      <c r="BP1009" s="526"/>
      <c r="BQ1009" s="526"/>
      <c r="BR1009" s="526"/>
      <c r="BS1009" s="1124"/>
      <c r="BT1009" s="729"/>
      <c r="BU1009" s="526"/>
      <c r="BV1009" s="526"/>
      <c r="BW1009" s="526"/>
      <c r="BX1009" s="1124"/>
      <c r="BY1009" s="526"/>
      <c r="BZ1009" s="526"/>
      <c r="CA1009" s="526"/>
      <c r="CB1009" s="526"/>
      <c r="CC1009" s="1124"/>
      <c r="CD1009" s="1124"/>
      <c r="CE1009" s="1124"/>
      <c r="CF1009" s="1124"/>
      <c r="CG1009" s="533"/>
    </row>
    <row r="1010" spans="1:85" s="614" customFormat="1" x14ac:dyDescent="0.3">
      <c r="A1010" s="522"/>
      <c r="B1010" s="352"/>
      <c r="C1010" s="1094"/>
      <c r="D1010" s="1094"/>
      <c r="E1010" s="1094"/>
      <c r="F1010" s="1094"/>
      <c r="G1010" s="197"/>
      <c r="H1010" s="197"/>
      <c r="I1010" s="197"/>
      <c r="J1010" s="197"/>
      <c r="K1010" s="1094"/>
      <c r="L1010" s="197"/>
      <c r="M1010" s="197"/>
      <c r="N1010" s="197"/>
      <c r="O1010" s="197"/>
      <c r="P1010" s="1094"/>
      <c r="Q1010" s="197"/>
      <c r="R1010" s="197"/>
      <c r="S1010" s="197"/>
      <c r="T1010" s="197"/>
      <c r="U1010" s="1094"/>
      <c r="V1010" s="197"/>
      <c r="W1010" s="197"/>
      <c r="X1010" s="197"/>
      <c r="Y1010" s="197"/>
      <c r="Z1010" s="1094"/>
      <c r="AA1010" s="197"/>
      <c r="AB1010" s="197"/>
      <c r="AC1010" s="197"/>
      <c r="AD1010" s="197"/>
      <c r="AE1010" s="1094"/>
      <c r="AF1010" s="197"/>
      <c r="AG1010" s="197"/>
      <c r="AH1010" s="197"/>
      <c r="AI1010" s="197"/>
      <c r="AJ1010" s="1094"/>
      <c r="AK1010" s="197"/>
      <c r="AL1010" s="197"/>
      <c r="AM1010" s="197"/>
      <c r="AN1010" s="197"/>
      <c r="AO1010" s="1094"/>
      <c r="AP1010" s="197"/>
      <c r="AQ1010" s="197"/>
      <c r="AR1010" s="197"/>
      <c r="AS1010" s="197"/>
      <c r="AT1010" s="198"/>
      <c r="AU1010" s="197"/>
      <c r="AV1010" s="197"/>
      <c r="AW1010" s="197"/>
      <c r="AX1010" s="197"/>
      <c r="AY1010" s="198"/>
      <c r="AZ1010" s="197"/>
      <c r="BA1010" s="197"/>
      <c r="BB1010" s="197"/>
      <c r="BC1010" s="197"/>
      <c r="BD1010" s="198"/>
      <c r="BE1010" s="197"/>
      <c r="BF1010" s="197"/>
      <c r="BG1010" s="197"/>
      <c r="BH1010" s="197"/>
      <c r="BI1010" s="198"/>
      <c r="BJ1010" s="197"/>
      <c r="BK1010" s="197"/>
      <c r="BL1010" s="197"/>
      <c r="BM1010" s="197"/>
      <c r="BN1010" s="198"/>
      <c r="BO1010" s="197"/>
      <c r="BP1010" s="197"/>
      <c r="BQ1010" s="197"/>
      <c r="BR1010" s="197"/>
      <c r="BS1010" s="198"/>
      <c r="BT1010" s="727"/>
      <c r="BU1010" s="197"/>
      <c r="BV1010" s="197"/>
      <c r="BW1010" s="197"/>
      <c r="BX1010" s="1094"/>
      <c r="BY1010" s="197"/>
      <c r="BZ1010" s="197"/>
      <c r="CA1010" s="197"/>
      <c r="CB1010" s="197"/>
      <c r="CC1010" s="1094"/>
      <c r="CD1010" s="1094"/>
      <c r="CE1010" s="1094"/>
      <c r="CF1010" s="1094"/>
      <c r="CG1010" s="349"/>
    </row>
    <row r="1011" spans="1:85" s="613" customFormat="1" x14ac:dyDescent="0.3">
      <c r="A1011" s="478" t="s">
        <v>1422</v>
      </c>
      <c r="B1011" s="523"/>
      <c r="C1011" s="78"/>
      <c r="D1011" s="78"/>
      <c r="E1011" s="78"/>
      <c r="F1011" s="78"/>
      <c r="G1011" s="774"/>
      <c r="H1011" s="774"/>
      <c r="I1011" s="774"/>
      <c r="J1011" s="774"/>
      <c r="K1011" s="78"/>
      <c r="L1011" s="774"/>
      <c r="M1011" s="774"/>
      <c r="N1011" s="774"/>
      <c r="O1011" s="774"/>
      <c r="P1011" s="78"/>
      <c r="Q1011" s="774"/>
      <c r="R1011" s="774"/>
      <c r="S1011" s="774"/>
      <c r="T1011" s="774"/>
      <c r="U1011" s="78"/>
      <c r="V1011" s="774"/>
      <c r="W1011" s="774"/>
      <c r="X1011" s="774"/>
      <c r="Y1011" s="774"/>
      <c r="Z1011" s="78"/>
      <c r="AA1011" s="774"/>
      <c r="AB1011" s="774"/>
      <c r="AC1011" s="774"/>
      <c r="AD1011" s="774"/>
      <c r="AE1011" s="78"/>
      <c r="AF1011" s="774"/>
      <c r="AG1011" s="774"/>
      <c r="AH1011" s="774"/>
      <c r="AI1011" s="774"/>
      <c r="AJ1011" s="78"/>
      <c r="AK1011" s="774"/>
      <c r="AL1011" s="774"/>
      <c r="AM1011" s="774"/>
      <c r="AN1011" s="774"/>
      <c r="AO1011" s="78"/>
      <c r="AP1011" s="774"/>
      <c r="AQ1011" s="774"/>
      <c r="AR1011" s="774"/>
      <c r="AS1011" s="774"/>
      <c r="AT1011" s="1119">
        <v>3.6320000000000001</v>
      </c>
      <c r="AU1011" s="774"/>
      <c r="AV1011" s="774"/>
      <c r="AW1011" s="774"/>
      <c r="AX1011" s="774"/>
      <c r="AY1011" s="1119">
        <v>3.6320000000000001</v>
      </c>
      <c r="AZ1011" s="774"/>
      <c r="BA1011" s="774"/>
      <c r="BB1011" s="774"/>
      <c r="BC1011" s="774"/>
      <c r="BD1011" s="1119">
        <v>3.6320000000000001</v>
      </c>
      <c r="BE1011" s="774"/>
      <c r="BF1011" s="774"/>
      <c r="BG1011" s="774"/>
      <c r="BH1011" s="774"/>
      <c r="BI1011" s="1119">
        <v>3.6320000000000001</v>
      </c>
      <c r="BJ1011" s="774"/>
      <c r="BK1011" s="774"/>
      <c r="BL1011" s="774"/>
      <c r="BM1011" s="774"/>
      <c r="BN1011" s="1119">
        <v>3.6320000000000001</v>
      </c>
      <c r="BO1011" s="774"/>
      <c r="BP1011" s="774"/>
      <c r="BQ1011" s="774"/>
      <c r="BR1011" s="774"/>
      <c r="BS1011" s="78"/>
      <c r="BT1011" s="775"/>
      <c r="BU1011" s="774"/>
      <c r="BV1011" s="774"/>
      <c r="BW1011" s="774"/>
      <c r="BX1011" s="78"/>
      <c r="BY1011" s="774"/>
      <c r="BZ1011" s="774"/>
      <c r="CA1011" s="774"/>
      <c r="CB1011" s="774"/>
      <c r="CC1011" s="78"/>
      <c r="CD1011" s="78"/>
      <c r="CE1011" s="78"/>
      <c r="CF1011" s="78"/>
      <c r="CG1011" s="532"/>
    </row>
    <row r="1012" spans="1:85" s="616" customFormat="1" x14ac:dyDescent="0.3">
      <c r="A1012" s="522" t="s">
        <v>1421</v>
      </c>
      <c r="B1012" s="527"/>
      <c r="C1012" s="1124"/>
      <c r="D1012" s="1124"/>
      <c r="E1012" s="1124"/>
      <c r="F1012" s="1124"/>
      <c r="G1012" s="526"/>
      <c r="H1012" s="526"/>
      <c r="I1012" s="526"/>
      <c r="J1012" s="526"/>
      <c r="K1012" s="1124"/>
      <c r="L1012" s="526"/>
      <c r="M1012" s="526"/>
      <c r="N1012" s="526"/>
      <c r="O1012" s="526"/>
      <c r="P1012" s="1124"/>
      <c r="Q1012" s="526"/>
      <c r="R1012" s="526"/>
      <c r="S1012" s="526"/>
      <c r="T1012" s="526"/>
      <c r="U1012" s="1124"/>
      <c r="V1012" s="526"/>
      <c r="W1012" s="526"/>
      <c r="X1012" s="526"/>
      <c r="Y1012" s="526"/>
      <c r="Z1012" s="1124"/>
      <c r="AA1012" s="526"/>
      <c r="AB1012" s="526"/>
      <c r="AC1012" s="526"/>
      <c r="AD1012" s="526"/>
      <c r="AE1012" s="1124"/>
      <c r="AF1012" s="526"/>
      <c r="AG1012" s="526"/>
      <c r="AH1012" s="526"/>
      <c r="AI1012" s="526"/>
      <c r="AJ1012" s="1124"/>
      <c r="AK1012" s="526"/>
      <c r="AL1012" s="526"/>
      <c r="AM1012" s="526"/>
      <c r="AN1012" s="526"/>
      <c r="AO1012" s="1124"/>
      <c r="AP1012" s="526"/>
      <c r="AQ1012" s="526"/>
      <c r="AR1012" s="526"/>
      <c r="AS1012" s="526"/>
      <c r="AT1012" s="1123">
        <v>286.81</v>
      </c>
      <c r="AU1012" s="526"/>
      <c r="AV1012" s="526"/>
      <c r="AW1012" s="526"/>
      <c r="AX1012" s="526"/>
      <c r="AY1012" s="1123">
        <v>286.81</v>
      </c>
      <c r="AZ1012" s="526"/>
      <c r="BA1012" s="526"/>
      <c r="BB1012" s="526"/>
      <c r="BC1012" s="526"/>
      <c r="BD1012" s="1123">
        <v>286.81</v>
      </c>
      <c r="BE1012" s="526"/>
      <c r="BF1012" s="526"/>
      <c r="BG1012" s="526"/>
      <c r="BH1012" s="526"/>
      <c r="BI1012" s="1123">
        <v>286.81</v>
      </c>
      <c r="BJ1012" s="526"/>
      <c r="BK1012" s="526"/>
      <c r="BL1012" s="526"/>
      <c r="BM1012" s="526"/>
      <c r="BN1012" s="1123">
        <v>286.81</v>
      </c>
      <c r="BO1012" s="526"/>
      <c r="BP1012" s="526"/>
      <c r="BQ1012" s="526"/>
      <c r="BR1012" s="526"/>
      <c r="BS1012" s="1124"/>
      <c r="BT1012" s="729"/>
      <c r="BU1012" s="526"/>
      <c r="BV1012" s="526"/>
      <c r="BW1012" s="526"/>
      <c r="BX1012" s="1124"/>
      <c r="BY1012" s="526"/>
      <c r="BZ1012" s="526"/>
      <c r="CA1012" s="526"/>
      <c r="CB1012" s="526"/>
      <c r="CC1012" s="1124"/>
      <c r="CD1012" s="1124"/>
      <c r="CE1012" s="1124"/>
      <c r="CF1012" s="1124"/>
      <c r="CG1012" s="533"/>
    </row>
    <row r="1013" spans="1:85" s="614" customFormat="1" x14ac:dyDescent="0.3">
      <c r="A1013" s="522"/>
      <c r="B1013" s="352"/>
      <c r="C1013" s="1094"/>
      <c r="D1013" s="1094"/>
      <c r="E1013" s="1094"/>
      <c r="F1013" s="1094"/>
      <c r="G1013" s="197"/>
      <c r="H1013" s="197"/>
      <c r="I1013" s="197"/>
      <c r="J1013" s="197"/>
      <c r="K1013" s="1094"/>
      <c r="L1013" s="197"/>
      <c r="M1013" s="197"/>
      <c r="N1013" s="197"/>
      <c r="O1013" s="197"/>
      <c r="P1013" s="1094"/>
      <c r="Q1013" s="197"/>
      <c r="R1013" s="197"/>
      <c r="S1013" s="197"/>
      <c r="T1013" s="197"/>
      <c r="U1013" s="1094"/>
      <c r="V1013" s="197"/>
      <c r="W1013" s="197"/>
      <c r="X1013" s="197"/>
      <c r="Y1013" s="197"/>
      <c r="Z1013" s="1094"/>
      <c r="AA1013" s="197"/>
      <c r="AB1013" s="197"/>
      <c r="AC1013" s="197"/>
      <c r="AD1013" s="197"/>
      <c r="AE1013" s="1094"/>
      <c r="AF1013" s="197"/>
      <c r="AG1013" s="197"/>
      <c r="AH1013" s="197"/>
      <c r="AI1013" s="197"/>
      <c r="AJ1013" s="1094"/>
      <c r="AK1013" s="197"/>
      <c r="AL1013" s="197"/>
      <c r="AM1013" s="197"/>
      <c r="AN1013" s="197"/>
      <c r="AO1013" s="1094"/>
      <c r="AP1013" s="197"/>
      <c r="AQ1013" s="197"/>
      <c r="AR1013" s="197"/>
      <c r="AS1013" s="197"/>
      <c r="AT1013" s="198"/>
      <c r="AU1013" s="197"/>
      <c r="AV1013" s="197"/>
      <c r="AW1013" s="197"/>
      <c r="AX1013" s="197"/>
      <c r="AY1013" s="198"/>
      <c r="AZ1013" s="197"/>
      <c r="BA1013" s="197"/>
      <c r="BB1013" s="197"/>
      <c r="BC1013" s="197"/>
      <c r="BD1013" s="198"/>
      <c r="BE1013" s="197"/>
      <c r="BF1013" s="197"/>
      <c r="BG1013" s="197"/>
      <c r="BH1013" s="197"/>
      <c r="BI1013" s="198"/>
      <c r="BJ1013" s="197"/>
      <c r="BK1013" s="197"/>
      <c r="BL1013" s="197"/>
      <c r="BM1013" s="197"/>
      <c r="BN1013" s="198"/>
      <c r="BO1013" s="197"/>
      <c r="BP1013" s="197"/>
      <c r="BQ1013" s="197"/>
      <c r="BR1013" s="197"/>
      <c r="BS1013" s="198"/>
      <c r="BT1013" s="727"/>
      <c r="BU1013" s="197"/>
      <c r="BV1013" s="197"/>
      <c r="BW1013" s="197"/>
      <c r="BX1013" s="1094"/>
      <c r="BY1013" s="197"/>
      <c r="BZ1013" s="197"/>
      <c r="CA1013" s="197"/>
      <c r="CB1013" s="197"/>
      <c r="CC1013" s="1094"/>
      <c r="CD1013" s="1094"/>
      <c r="CE1013" s="1094"/>
      <c r="CF1013" s="1094"/>
      <c r="CG1013" s="349"/>
    </row>
    <row r="1014" spans="1:85" s="613" customFormat="1" x14ac:dyDescent="0.3">
      <c r="A1014" s="478" t="s">
        <v>1420</v>
      </c>
      <c r="B1014" s="523"/>
      <c r="C1014" s="78"/>
      <c r="D1014" s="78"/>
      <c r="E1014" s="78"/>
      <c r="F1014" s="78"/>
      <c r="G1014" s="774"/>
      <c r="H1014" s="774"/>
      <c r="I1014" s="774"/>
      <c r="J1014" s="774"/>
      <c r="K1014" s="78"/>
      <c r="L1014" s="774"/>
      <c r="M1014" s="774"/>
      <c r="N1014" s="774"/>
      <c r="O1014" s="774"/>
      <c r="P1014" s="78"/>
      <c r="Q1014" s="774"/>
      <c r="R1014" s="774"/>
      <c r="S1014" s="774"/>
      <c r="T1014" s="774"/>
      <c r="U1014" s="78"/>
      <c r="V1014" s="774"/>
      <c r="W1014" s="774"/>
      <c r="X1014" s="774"/>
      <c r="Y1014" s="774"/>
      <c r="Z1014" s="78"/>
      <c r="AA1014" s="774"/>
      <c r="AB1014" s="774"/>
      <c r="AC1014" s="774"/>
      <c r="AD1014" s="774"/>
      <c r="AE1014" s="78"/>
      <c r="AF1014" s="774"/>
      <c r="AG1014" s="774"/>
      <c r="AH1014" s="774"/>
      <c r="AI1014" s="774"/>
      <c r="AJ1014" s="78"/>
      <c r="AK1014" s="774"/>
      <c r="AL1014" s="774"/>
      <c r="AM1014" s="774"/>
      <c r="AN1014" s="774"/>
      <c r="AO1014" s="78"/>
      <c r="AP1014" s="774"/>
      <c r="AQ1014" s="774"/>
      <c r="AR1014" s="774"/>
      <c r="AS1014" s="774"/>
      <c r="AT1014" s="1119">
        <v>3.3610000000000002</v>
      </c>
      <c r="AU1014" s="774"/>
      <c r="AV1014" s="774"/>
      <c r="AW1014" s="774"/>
      <c r="AX1014" s="774"/>
      <c r="AY1014" s="1119">
        <v>3.3610000000000002</v>
      </c>
      <c r="AZ1014" s="774"/>
      <c r="BA1014" s="774"/>
      <c r="BB1014" s="774"/>
      <c r="BC1014" s="774"/>
      <c r="BD1014" s="1119">
        <v>3.3610000000000002</v>
      </c>
      <c r="BE1014" s="774"/>
      <c r="BF1014" s="774"/>
      <c r="BG1014" s="774"/>
      <c r="BH1014" s="774"/>
      <c r="BI1014" s="1119">
        <v>3.3610000000000002</v>
      </c>
      <c r="BJ1014" s="774"/>
      <c r="BK1014" s="774"/>
      <c r="BL1014" s="774"/>
      <c r="BM1014" s="774"/>
      <c r="BN1014" s="1119">
        <v>3.3610000000000002</v>
      </c>
      <c r="BO1014" s="774"/>
      <c r="BP1014" s="774"/>
      <c r="BQ1014" s="774"/>
      <c r="BR1014" s="774"/>
      <c r="BS1014" s="78"/>
      <c r="BT1014" s="775"/>
      <c r="BU1014" s="774"/>
      <c r="BV1014" s="774"/>
      <c r="BW1014" s="774"/>
      <c r="BX1014" s="78"/>
      <c r="BY1014" s="774"/>
      <c r="BZ1014" s="774"/>
      <c r="CA1014" s="774"/>
      <c r="CB1014" s="774"/>
      <c r="CC1014" s="78"/>
      <c r="CD1014" s="78"/>
      <c r="CE1014" s="78"/>
      <c r="CF1014" s="78"/>
      <c r="CG1014" s="532"/>
    </row>
    <row r="1015" spans="1:85" s="616" customFormat="1" x14ac:dyDescent="0.3">
      <c r="A1015" s="522" t="s">
        <v>1419</v>
      </c>
      <c r="B1015" s="527"/>
      <c r="C1015" s="1124"/>
      <c r="D1015" s="1124"/>
      <c r="E1015" s="1124"/>
      <c r="F1015" s="1124"/>
      <c r="G1015" s="526"/>
      <c r="H1015" s="526"/>
      <c r="I1015" s="526"/>
      <c r="J1015" s="526"/>
      <c r="K1015" s="1124"/>
      <c r="L1015" s="526"/>
      <c r="M1015" s="526"/>
      <c r="N1015" s="526"/>
      <c r="O1015" s="526"/>
      <c r="P1015" s="1124"/>
      <c r="Q1015" s="526"/>
      <c r="R1015" s="526"/>
      <c r="S1015" s="526"/>
      <c r="T1015" s="526"/>
      <c r="U1015" s="1124"/>
      <c r="V1015" s="526"/>
      <c r="W1015" s="526"/>
      <c r="X1015" s="526"/>
      <c r="Y1015" s="526"/>
      <c r="Z1015" s="1124"/>
      <c r="AA1015" s="526"/>
      <c r="AB1015" s="526"/>
      <c r="AC1015" s="526"/>
      <c r="AD1015" s="526"/>
      <c r="AE1015" s="1124"/>
      <c r="AF1015" s="526"/>
      <c r="AG1015" s="526"/>
      <c r="AH1015" s="526"/>
      <c r="AI1015" s="526"/>
      <c r="AJ1015" s="1124"/>
      <c r="AK1015" s="526"/>
      <c r="AL1015" s="526"/>
      <c r="AM1015" s="526"/>
      <c r="AN1015" s="526"/>
      <c r="AO1015" s="1124"/>
      <c r="AP1015" s="526"/>
      <c r="AQ1015" s="526"/>
      <c r="AR1015" s="526"/>
      <c r="AS1015" s="526"/>
      <c r="AT1015" s="1123">
        <v>309.99</v>
      </c>
      <c r="AU1015" s="526"/>
      <c r="AV1015" s="526"/>
      <c r="AW1015" s="526"/>
      <c r="AX1015" s="526"/>
      <c r="AY1015" s="1123">
        <v>309.99</v>
      </c>
      <c r="AZ1015" s="526"/>
      <c r="BA1015" s="526"/>
      <c r="BB1015" s="526"/>
      <c r="BC1015" s="526"/>
      <c r="BD1015" s="1123">
        <v>309.99</v>
      </c>
      <c r="BE1015" s="526"/>
      <c r="BF1015" s="526"/>
      <c r="BG1015" s="526"/>
      <c r="BH1015" s="526"/>
      <c r="BI1015" s="1123">
        <v>309.99</v>
      </c>
      <c r="BJ1015" s="526"/>
      <c r="BK1015" s="526"/>
      <c r="BL1015" s="526"/>
      <c r="BM1015" s="526"/>
      <c r="BN1015" s="1123">
        <v>309.99</v>
      </c>
      <c r="BO1015" s="526"/>
      <c r="BP1015" s="526"/>
      <c r="BQ1015" s="526"/>
      <c r="BR1015" s="526"/>
      <c r="BS1015" s="1124"/>
      <c r="BT1015" s="729"/>
      <c r="BU1015" s="526"/>
      <c r="BV1015" s="526"/>
      <c r="BW1015" s="526"/>
      <c r="BX1015" s="1124"/>
      <c r="BY1015" s="526"/>
      <c r="BZ1015" s="526"/>
      <c r="CA1015" s="526"/>
      <c r="CB1015" s="526"/>
      <c r="CC1015" s="1124"/>
      <c r="CD1015" s="1124"/>
      <c r="CE1015" s="1124"/>
      <c r="CF1015" s="1124"/>
      <c r="CG1015" s="533"/>
    </row>
    <row r="1016" spans="1:85" s="614" customFormat="1" x14ac:dyDescent="0.3">
      <c r="A1016" s="116"/>
      <c r="B1016" s="352"/>
      <c r="C1016" s="1094"/>
      <c r="D1016" s="1094"/>
      <c r="E1016" s="1094"/>
      <c r="F1016" s="1094"/>
      <c r="G1016" s="197"/>
      <c r="H1016" s="197"/>
      <c r="I1016" s="197"/>
      <c r="J1016" s="197"/>
      <c r="K1016" s="1094"/>
      <c r="L1016" s="197"/>
      <c r="M1016" s="197"/>
      <c r="N1016" s="197"/>
      <c r="O1016" s="197"/>
      <c r="P1016" s="1094"/>
      <c r="Q1016" s="197"/>
      <c r="R1016" s="197"/>
      <c r="S1016" s="197"/>
      <c r="T1016" s="197"/>
      <c r="U1016" s="1094"/>
      <c r="V1016" s="197"/>
      <c r="W1016" s="197"/>
      <c r="X1016" s="197"/>
      <c r="Y1016" s="197"/>
      <c r="Z1016" s="1094"/>
      <c r="AA1016" s="197"/>
      <c r="AB1016" s="197"/>
      <c r="AC1016" s="197"/>
      <c r="AD1016" s="197"/>
      <c r="AE1016" s="1094"/>
      <c r="AF1016" s="197"/>
      <c r="AG1016" s="197"/>
      <c r="AH1016" s="197"/>
      <c r="AI1016" s="197"/>
      <c r="AJ1016" s="1094"/>
      <c r="AK1016" s="197"/>
      <c r="AL1016" s="197"/>
      <c r="AM1016" s="197"/>
      <c r="AN1016" s="197"/>
      <c r="AO1016" s="1094"/>
      <c r="AP1016" s="197"/>
      <c r="AQ1016" s="197"/>
      <c r="AR1016" s="197"/>
      <c r="AS1016" s="197"/>
      <c r="AT1016" s="198"/>
      <c r="AU1016" s="197"/>
      <c r="AV1016" s="197"/>
      <c r="AW1016" s="197"/>
      <c r="AX1016" s="197"/>
      <c r="AY1016" s="198"/>
      <c r="AZ1016" s="197"/>
      <c r="BA1016" s="197"/>
      <c r="BB1016" s="197"/>
      <c r="BC1016" s="197"/>
      <c r="BD1016" s="198"/>
      <c r="BE1016" s="197"/>
      <c r="BF1016" s="197"/>
      <c r="BG1016" s="197"/>
      <c r="BH1016" s="197"/>
      <c r="BI1016" s="198"/>
      <c r="BJ1016" s="197"/>
      <c r="BK1016" s="197"/>
      <c r="BL1016" s="197"/>
      <c r="BM1016" s="197"/>
      <c r="BN1016" s="198"/>
      <c r="BO1016" s="197"/>
      <c r="BP1016" s="197"/>
      <c r="BQ1016" s="197"/>
      <c r="BR1016" s="197"/>
      <c r="BS1016" s="198"/>
      <c r="BT1016" s="727"/>
      <c r="BU1016" s="197"/>
      <c r="BV1016" s="197"/>
      <c r="BW1016" s="197"/>
      <c r="BX1016" s="1094"/>
      <c r="BY1016" s="197"/>
      <c r="BZ1016" s="197"/>
      <c r="CA1016" s="197"/>
      <c r="CB1016" s="197"/>
      <c r="CC1016" s="1094"/>
      <c r="CD1016" s="1094"/>
      <c r="CE1016" s="1094"/>
      <c r="CF1016" s="1094"/>
      <c r="CG1016" s="349"/>
    </row>
    <row r="1017" spans="1:85" s="613" customFormat="1" x14ac:dyDescent="0.3">
      <c r="A1017" s="478" t="s">
        <v>1418</v>
      </c>
      <c r="B1017" s="523"/>
      <c r="C1017" s="78"/>
      <c r="D1017" s="78"/>
      <c r="E1017" s="78"/>
      <c r="F1017" s="78"/>
      <c r="G1017" s="774"/>
      <c r="H1017" s="774"/>
      <c r="I1017" s="774"/>
      <c r="J1017" s="774"/>
      <c r="K1017" s="78"/>
      <c r="L1017" s="774"/>
      <c r="M1017" s="774"/>
      <c r="N1017" s="774"/>
      <c r="O1017" s="774"/>
      <c r="P1017" s="78"/>
      <c r="Q1017" s="774"/>
      <c r="R1017" s="774"/>
      <c r="S1017" s="774"/>
      <c r="T1017" s="774"/>
      <c r="U1017" s="78"/>
      <c r="V1017" s="774"/>
      <c r="W1017" s="774"/>
      <c r="X1017" s="774"/>
      <c r="Y1017" s="774"/>
      <c r="Z1017" s="78"/>
      <c r="AA1017" s="774"/>
      <c r="AB1017" s="774"/>
      <c r="AC1017" s="774"/>
      <c r="AD1017" s="774"/>
      <c r="AE1017" s="78"/>
      <c r="AF1017" s="774"/>
      <c r="AG1017" s="774"/>
      <c r="AH1017" s="774"/>
      <c r="AI1017" s="774"/>
      <c r="AJ1017" s="78"/>
      <c r="AK1017" s="774"/>
      <c r="AL1017" s="774"/>
      <c r="AM1017" s="774"/>
      <c r="AN1017" s="774"/>
      <c r="AO1017" s="78"/>
      <c r="AP1017" s="774"/>
      <c r="AQ1017" s="774"/>
      <c r="AR1017" s="774"/>
      <c r="AS1017" s="774"/>
      <c r="AT1017" s="1119">
        <v>3.1579999999999999</v>
      </c>
      <c r="AU1017" s="774"/>
      <c r="AV1017" s="774"/>
      <c r="AW1017" s="774"/>
      <c r="AX1017" s="774"/>
      <c r="AY1017" s="1119">
        <v>3.1579999999999999</v>
      </c>
      <c r="AZ1017" s="774"/>
      <c r="BA1017" s="774"/>
      <c r="BB1017" s="774"/>
      <c r="BC1017" s="774"/>
      <c r="BD1017" s="1119">
        <v>3.1579999999999999</v>
      </c>
      <c r="BE1017" s="774"/>
      <c r="BF1017" s="774"/>
      <c r="BG1017" s="774"/>
      <c r="BH1017" s="774"/>
      <c r="BI1017" s="1119">
        <v>3.1579999999999999</v>
      </c>
      <c r="BJ1017" s="774"/>
      <c r="BK1017" s="774"/>
      <c r="BL1017" s="774"/>
      <c r="BM1017" s="774"/>
      <c r="BN1017" s="1119">
        <v>3.1579999999999999</v>
      </c>
      <c r="BO1017" s="774"/>
      <c r="BP1017" s="774"/>
      <c r="BQ1017" s="774"/>
      <c r="BR1017" s="774"/>
      <c r="BS1017" s="78"/>
      <c r="BT1017" s="775"/>
      <c r="BU1017" s="774"/>
      <c r="BV1017" s="774"/>
      <c r="BW1017" s="774"/>
      <c r="BX1017" s="78"/>
      <c r="BY1017" s="774"/>
      <c r="BZ1017" s="774"/>
      <c r="CA1017" s="774"/>
      <c r="CB1017" s="774"/>
      <c r="CC1017" s="78"/>
      <c r="CD1017" s="78"/>
      <c r="CE1017" s="78"/>
      <c r="CF1017" s="78"/>
      <c r="CG1017" s="532"/>
    </row>
    <row r="1018" spans="1:85" s="616" customFormat="1" x14ac:dyDescent="0.3">
      <c r="A1018" s="522" t="s">
        <v>1417</v>
      </c>
      <c r="B1018" s="527"/>
      <c r="C1018" s="1124"/>
      <c r="D1018" s="1124"/>
      <c r="E1018" s="1124"/>
      <c r="F1018" s="1124"/>
      <c r="G1018" s="526"/>
      <c r="H1018" s="526"/>
      <c r="I1018" s="526"/>
      <c r="J1018" s="526"/>
      <c r="K1018" s="1124"/>
      <c r="L1018" s="526"/>
      <c r="M1018" s="526"/>
      <c r="N1018" s="526"/>
      <c r="O1018" s="526"/>
      <c r="P1018" s="1124"/>
      <c r="Q1018" s="526"/>
      <c r="R1018" s="526"/>
      <c r="S1018" s="526"/>
      <c r="T1018" s="526"/>
      <c r="U1018" s="1124"/>
      <c r="V1018" s="526"/>
      <c r="W1018" s="526"/>
      <c r="X1018" s="526"/>
      <c r="Y1018" s="526"/>
      <c r="Z1018" s="1124"/>
      <c r="AA1018" s="526"/>
      <c r="AB1018" s="526"/>
      <c r="AC1018" s="526"/>
      <c r="AD1018" s="526"/>
      <c r="AE1018" s="1124"/>
      <c r="AF1018" s="526"/>
      <c r="AG1018" s="526"/>
      <c r="AH1018" s="526"/>
      <c r="AI1018" s="526"/>
      <c r="AJ1018" s="1124"/>
      <c r="AK1018" s="526"/>
      <c r="AL1018" s="526"/>
      <c r="AM1018" s="526"/>
      <c r="AN1018" s="526"/>
      <c r="AO1018" s="1124"/>
      <c r="AP1018" s="526"/>
      <c r="AQ1018" s="526"/>
      <c r="AR1018" s="526"/>
      <c r="AS1018" s="526"/>
      <c r="AT1018" s="1123">
        <v>329.81</v>
      </c>
      <c r="AU1018" s="526"/>
      <c r="AV1018" s="526"/>
      <c r="AW1018" s="526"/>
      <c r="AX1018" s="526"/>
      <c r="AY1018" s="1123">
        <v>329.81</v>
      </c>
      <c r="AZ1018" s="526"/>
      <c r="BA1018" s="526"/>
      <c r="BB1018" s="526"/>
      <c r="BC1018" s="526"/>
      <c r="BD1018" s="1123">
        <v>329.81</v>
      </c>
      <c r="BE1018" s="526"/>
      <c r="BF1018" s="526"/>
      <c r="BG1018" s="526"/>
      <c r="BH1018" s="526"/>
      <c r="BI1018" s="1123">
        <v>329.81</v>
      </c>
      <c r="BJ1018" s="526"/>
      <c r="BK1018" s="526"/>
      <c r="BL1018" s="526"/>
      <c r="BM1018" s="526"/>
      <c r="BN1018" s="1123">
        <v>329.81</v>
      </c>
      <c r="BO1018" s="526"/>
      <c r="BP1018" s="526"/>
      <c r="BQ1018" s="526"/>
      <c r="BR1018" s="526"/>
      <c r="BS1018" s="1124"/>
      <c r="BT1018" s="729"/>
      <c r="BU1018" s="526"/>
      <c r="BV1018" s="526"/>
      <c r="BW1018" s="526"/>
      <c r="BX1018" s="1124"/>
      <c r="BY1018" s="526"/>
      <c r="BZ1018" s="526"/>
      <c r="CA1018" s="526"/>
      <c r="CB1018" s="526"/>
      <c r="CC1018" s="1124"/>
      <c r="CD1018" s="1124"/>
      <c r="CE1018" s="1124"/>
      <c r="CF1018" s="1124"/>
      <c r="CG1018" s="533"/>
    </row>
    <row r="1019" spans="1:85" s="614" customFormat="1" x14ac:dyDescent="0.3">
      <c r="A1019" s="522"/>
      <c r="B1019" s="352"/>
      <c r="C1019" s="1094"/>
      <c r="D1019" s="1094"/>
      <c r="E1019" s="1094"/>
      <c r="F1019" s="1094"/>
      <c r="G1019" s="197"/>
      <c r="H1019" s="197"/>
      <c r="I1019" s="197"/>
      <c r="J1019" s="197"/>
      <c r="K1019" s="1094"/>
      <c r="L1019" s="197"/>
      <c r="M1019" s="197"/>
      <c r="N1019" s="197"/>
      <c r="O1019" s="197"/>
      <c r="P1019" s="1094"/>
      <c r="Q1019" s="197"/>
      <c r="R1019" s="197"/>
      <c r="S1019" s="197"/>
      <c r="T1019" s="197"/>
      <c r="U1019" s="1094"/>
      <c r="V1019" s="197"/>
      <c r="W1019" s="197"/>
      <c r="X1019" s="197"/>
      <c r="Y1019" s="197"/>
      <c r="Z1019" s="1094"/>
      <c r="AA1019" s="197"/>
      <c r="AB1019" s="197"/>
      <c r="AC1019" s="197"/>
      <c r="AD1019" s="197"/>
      <c r="AE1019" s="1094"/>
      <c r="AF1019" s="197"/>
      <c r="AG1019" s="197"/>
      <c r="AH1019" s="197"/>
      <c r="AI1019" s="197"/>
      <c r="AJ1019" s="1094"/>
      <c r="AK1019" s="197"/>
      <c r="AL1019" s="197"/>
      <c r="AM1019" s="197"/>
      <c r="AN1019" s="197"/>
      <c r="AO1019" s="1094"/>
      <c r="AP1019" s="197"/>
      <c r="AQ1019" s="197"/>
      <c r="AR1019" s="197"/>
      <c r="AS1019" s="197"/>
      <c r="AT1019" s="198"/>
      <c r="AU1019" s="197"/>
      <c r="AV1019" s="197"/>
      <c r="AW1019" s="197"/>
      <c r="AX1019" s="197"/>
      <c r="AY1019" s="198"/>
      <c r="AZ1019" s="197"/>
      <c r="BA1019" s="197"/>
      <c r="BB1019" s="197"/>
      <c r="BC1019" s="197"/>
      <c r="BD1019" s="198"/>
      <c r="BE1019" s="197"/>
      <c r="BF1019" s="197"/>
      <c r="BG1019" s="197"/>
      <c r="BH1019" s="197"/>
      <c r="BI1019" s="198"/>
      <c r="BJ1019" s="197"/>
      <c r="BK1019" s="197"/>
      <c r="BL1019" s="197"/>
      <c r="BM1019" s="197"/>
      <c r="BN1019" s="198"/>
      <c r="BO1019" s="197"/>
      <c r="BP1019" s="197"/>
      <c r="BQ1019" s="197"/>
      <c r="BR1019" s="197"/>
      <c r="BS1019" s="198"/>
      <c r="BT1019" s="727"/>
      <c r="BU1019" s="197"/>
      <c r="BV1019" s="197"/>
      <c r="BW1019" s="197"/>
      <c r="BX1019" s="1094"/>
      <c r="BY1019" s="197"/>
      <c r="BZ1019" s="197"/>
      <c r="CA1019" s="197"/>
      <c r="CB1019" s="197"/>
      <c r="CC1019" s="1094"/>
      <c r="CD1019" s="1094"/>
      <c r="CE1019" s="1094"/>
      <c r="CF1019" s="1094"/>
      <c r="CG1019" s="349"/>
    </row>
    <row r="1020" spans="1:85" s="613" customFormat="1" x14ac:dyDescent="0.3">
      <c r="A1020" s="478" t="s">
        <v>1416</v>
      </c>
      <c r="B1020" s="523"/>
      <c r="C1020" s="78"/>
      <c r="D1020" s="78"/>
      <c r="E1020" s="78"/>
      <c r="F1020" s="78"/>
      <c r="G1020" s="774"/>
      <c r="H1020" s="774"/>
      <c r="I1020" s="774"/>
      <c r="J1020" s="774"/>
      <c r="K1020" s="78"/>
      <c r="L1020" s="774"/>
      <c r="M1020" s="774"/>
      <c r="N1020" s="774"/>
      <c r="O1020" s="774"/>
      <c r="P1020" s="78"/>
      <c r="Q1020" s="774"/>
      <c r="R1020" s="774"/>
      <c r="S1020" s="774"/>
      <c r="T1020" s="774"/>
      <c r="U1020" s="78"/>
      <c r="V1020" s="774"/>
      <c r="W1020" s="774"/>
      <c r="X1020" s="774"/>
      <c r="Y1020" s="774"/>
      <c r="Z1020" s="78"/>
      <c r="AA1020" s="774"/>
      <c r="AB1020" s="774"/>
      <c r="AC1020" s="774"/>
      <c r="AD1020" s="774"/>
      <c r="AE1020" s="78"/>
      <c r="AF1020" s="774"/>
      <c r="AG1020" s="774"/>
      <c r="AH1020" s="774"/>
      <c r="AI1020" s="774"/>
      <c r="AJ1020" s="78"/>
      <c r="AK1020" s="774"/>
      <c r="AL1020" s="774"/>
      <c r="AM1020" s="774"/>
      <c r="AN1020" s="774"/>
      <c r="AO1020" s="78"/>
      <c r="AP1020" s="774"/>
      <c r="AQ1020" s="774"/>
      <c r="AR1020" s="774"/>
      <c r="AS1020" s="774"/>
      <c r="AT1020" s="1119">
        <v>3.2010000000000001</v>
      </c>
      <c r="AU1020" s="774"/>
      <c r="AV1020" s="774"/>
      <c r="AW1020" s="774"/>
      <c r="AX1020" s="774"/>
      <c r="AY1020" s="1119">
        <v>3.2010000000000001</v>
      </c>
      <c r="AZ1020" s="774"/>
      <c r="BA1020" s="774"/>
      <c r="BB1020" s="774"/>
      <c r="BC1020" s="774"/>
      <c r="BD1020" s="1119">
        <v>3.2010000000000001</v>
      </c>
      <c r="BE1020" s="774"/>
      <c r="BF1020" s="774"/>
      <c r="BG1020" s="774"/>
      <c r="BH1020" s="774"/>
      <c r="BI1020" s="1119">
        <v>3.2010000000000001</v>
      </c>
      <c r="BJ1020" s="774"/>
      <c r="BK1020" s="774"/>
      <c r="BL1020" s="774"/>
      <c r="BM1020" s="774"/>
      <c r="BN1020" s="1119">
        <v>3.2010000000000001</v>
      </c>
      <c r="BO1020" s="774"/>
      <c r="BP1020" s="774"/>
      <c r="BQ1020" s="774"/>
      <c r="BR1020" s="774"/>
      <c r="BS1020" s="78"/>
      <c r="BT1020" s="775"/>
      <c r="BU1020" s="774"/>
      <c r="BV1020" s="774"/>
      <c r="BW1020" s="774"/>
      <c r="BX1020" s="78"/>
      <c r="BY1020" s="774"/>
      <c r="BZ1020" s="774"/>
      <c r="CA1020" s="774"/>
      <c r="CB1020" s="774"/>
      <c r="CC1020" s="78"/>
      <c r="CD1020" s="78"/>
      <c r="CE1020" s="78"/>
      <c r="CF1020" s="78"/>
      <c r="CG1020" s="532"/>
    </row>
    <row r="1021" spans="1:85" s="616" customFormat="1" x14ac:dyDescent="0.3">
      <c r="A1021" s="522" t="s">
        <v>1415</v>
      </c>
      <c r="B1021" s="527"/>
      <c r="C1021" s="1124"/>
      <c r="D1021" s="1124"/>
      <c r="E1021" s="1124"/>
      <c r="F1021" s="1124"/>
      <c r="G1021" s="526"/>
      <c r="H1021" s="526"/>
      <c r="I1021" s="526"/>
      <c r="J1021" s="526"/>
      <c r="K1021" s="1124"/>
      <c r="L1021" s="526"/>
      <c r="M1021" s="526"/>
      <c r="N1021" s="526"/>
      <c r="O1021" s="526"/>
      <c r="P1021" s="1124"/>
      <c r="Q1021" s="526"/>
      <c r="R1021" s="526"/>
      <c r="S1021" s="526"/>
      <c r="T1021" s="526"/>
      <c r="U1021" s="1124"/>
      <c r="V1021" s="526"/>
      <c r="W1021" s="526"/>
      <c r="X1021" s="526"/>
      <c r="Y1021" s="526"/>
      <c r="Z1021" s="1124"/>
      <c r="AA1021" s="526"/>
      <c r="AB1021" s="526"/>
      <c r="AC1021" s="526"/>
      <c r="AD1021" s="526"/>
      <c r="AE1021" s="1124"/>
      <c r="AF1021" s="526"/>
      <c r="AG1021" s="526"/>
      <c r="AH1021" s="526"/>
      <c r="AI1021" s="526"/>
      <c r="AJ1021" s="1124"/>
      <c r="AK1021" s="526"/>
      <c r="AL1021" s="526"/>
      <c r="AM1021" s="526"/>
      <c r="AN1021" s="526"/>
      <c r="AO1021" s="1124"/>
      <c r="AP1021" s="526"/>
      <c r="AQ1021" s="526"/>
      <c r="AR1021" s="526"/>
      <c r="AS1021" s="526"/>
      <c r="AT1021" s="1123">
        <v>358</v>
      </c>
      <c r="AU1021" s="526"/>
      <c r="AV1021" s="526"/>
      <c r="AW1021" s="526"/>
      <c r="AX1021" s="526"/>
      <c r="AY1021" s="1123">
        <v>358</v>
      </c>
      <c r="AZ1021" s="526"/>
      <c r="BA1021" s="526"/>
      <c r="BB1021" s="526"/>
      <c r="BC1021" s="526"/>
      <c r="BD1021" s="1123">
        <v>358</v>
      </c>
      <c r="BE1021" s="526"/>
      <c r="BF1021" s="526"/>
      <c r="BG1021" s="526"/>
      <c r="BH1021" s="526"/>
      <c r="BI1021" s="1123">
        <v>358</v>
      </c>
      <c r="BJ1021" s="526"/>
      <c r="BK1021" s="526"/>
      <c r="BL1021" s="526"/>
      <c r="BM1021" s="526"/>
      <c r="BN1021" s="1123">
        <v>358</v>
      </c>
      <c r="BO1021" s="526"/>
      <c r="BP1021" s="526"/>
      <c r="BQ1021" s="526"/>
      <c r="BR1021" s="526"/>
      <c r="BS1021" s="1124"/>
      <c r="BT1021" s="729"/>
      <c r="BU1021" s="526"/>
      <c r="BV1021" s="526"/>
      <c r="BW1021" s="526"/>
      <c r="BX1021" s="1124"/>
      <c r="BY1021" s="526"/>
      <c r="BZ1021" s="526"/>
      <c r="CA1021" s="526"/>
      <c r="CB1021" s="526"/>
      <c r="CC1021" s="1124"/>
      <c r="CD1021" s="1124"/>
      <c r="CE1021" s="1124"/>
      <c r="CF1021" s="1124"/>
      <c r="CG1021" s="533"/>
    </row>
    <row r="1022" spans="1:85" s="614" customFormat="1" x14ac:dyDescent="0.3">
      <c r="A1022" s="522"/>
      <c r="B1022" s="352"/>
      <c r="C1022" s="1094"/>
      <c r="D1022" s="1094"/>
      <c r="E1022" s="1094"/>
      <c r="F1022" s="1094"/>
      <c r="G1022" s="197"/>
      <c r="H1022" s="197"/>
      <c r="I1022" s="197"/>
      <c r="J1022" s="197"/>
      <c r="K1022" s="1094"/>
      <c r="L1022" s="197"/>
      <c r="M1022" s="197"/>
      <c r="N1022" s="197"/>
      <c r="O1022" s="197"/>
      <c r="P1022" s="1094"/>
      <c r="Q1022" s="197"/>
      <c r="R1022" s="197"/>
      <c r="S1022" s="197"/>
      <c r="T1022" s="197"/>
      <c r="U1022" s="1094"/>
      <c r="V1022" s="197"/>
      <c r="W1022" s="197"/>
      <c r="X1022" s="197"/>
      <c r="Y1022" s="197"/>
      <c r="Z1022" s="1094"/>
      <c r="AA1022" s="197"/>
      <c r="AB1022" s="197"/>
      <c r="AC1022" s="197"/>
      <c r="AD1022" s="197"/>
      <c r="AE1022" s="1094"/>
      <c r="AF1022" s="197"/>
      <c r="AG1022" s="197"/>
      <c r="AH1022" s="197"/>
      <c r="AI1022" s="197"/>
      <c r="AJ1022" s="1094"/>
      <c r="AK1022" s="197"/>
      <c r="AL1022" s="197"/>
      <c r="AM1022" s="197"/>
      <c r="AN1022" s="197"/>
      <c r="AO1022" s="1094"/>
      <c r="AP1022" s="197"/>
      <c r="AQ1022" s="197"/>
      <c r="AR1022" s="197"/>
      <c r="AS1022" s="197"/>
      <c r="AT1022" s="198"/>
      <c r="AU1022" s="197"/>
      <c r="AV1022" s="197"/>
      <c r="AW1022" s="197"/>
      <c r="AX1022" s="197"/>
      <c r="AY1022" s="198"/>
      <c r="AZ1022" s="197"/>
      <c r="BA1022" s="197"/>
      <c r="BB1022" s="197"/>
      <c r="BC1022" s="197"/>
      <c r="BD1022" s="198"/>
      <c r="BE1022" s="197"/>
      <c r="BF1022" s="197"/>
      <c r="BG1022" s="197"/>
      <c r="BH1022" s="197"/>
      <c r="BI1022" s="198"/>
      <c r="BJ1022" s="197"/>
      <c r="BK1022" s="197"/>
      <c r="BL1022" s="197"/>
      <c r="BM1022" s="197"/>
      <c r="BN1022" s="198"/>
      <c r="BO1022" s="197"/>
      <c r="BP1022" s="197"/>
      <c r="BQ1022" s="197"/>
      <c r="BR1022" s="197"/>
      <c r="BS1022" s="198"/>
      <c r="BT1022" s="727"/>
      <c r="BU1022" s="197"/>
      <c r="BV1022" s="197"/>
      <c r="BW1022" s="197"/>
      <c r="BX1022" s="1094"/>
      <c r="BY1022" s="197"/>
      <c r="BZ1022" s="197"/>
      <c r="CA1022" s="197"/>
      <c r="CB1022" s="197"/>
      <c r="CC1022" s="1094"/>
      <c r="CD1022" s="1094"/>
      <c r="CE1022" s="1094"/>
      <c r="CF1022" s="1094"/>
      <c r="CG1022" s="349"/>
    </row>
    <row r="1023" spans="1:85" s="613" customFormat="1" x14ac:dyDescent="0.3">
      <c r="A1023" s="478" t="s">
        <v>1414</v>
      </c>
      <c r="B1023" s="523"/>
      <c r="C1023" s="78"/>
      <c r="D1023" s="78"/>
      <c r="E1023" s="78"/>
      <c r="F1023" s="78"/>
      <c r="G1023" s="774"/>
      <c r="H1023" s="774"/>
      <c r="I1023" s="774"/>
      <c r="J1023" s="774"/>
      <c r="K1023" s="78"/>
      <c r="L1023" s="774"/>
      <c r="M1023" s="774"/>
      <c r="N1023" s="774"/>
      <c r="O1023" s="774"/>
      <c r="P1023" s="78"/>
      <c r="Q1023" s="774"/>
      <c r="R1023" s="774"/>
      <c r="S1023" s="774"/>
      <c r="T1023" s="774"/>
      <c r="U1023" s="78"/>
      <c r="V1023" s="774"/>
      <c r="W1023" s="774"/>
      <c r="X1023" s="774"/>
      <c r="Y1023" s="774"/>
      <c r="Z1023" s="78"/>
      <c r="AA1023" s="774"/>
      <c r="AB1023" s="774"/>
      <c r="AC1023" s="774"/>
      <c r="AD1023" s="774"/>
      <c r="AE1023" s="78"/>
      <c r="AF1023" s="774"/>
      <c r="AG1023" s="774"/>
      <c r="AH1023" s="774"/>
      <c r="AI1023" s="774"/>
      <c r="AJ1023" s="78"/>
      <c r="AK1023" s="774"/>
      <c r="AL1023" s="774"/>
      <c r="AM1023" s="774"/>
      <c r="AN1023" s="774"/>
      <c r="AO1023" s="78"/>
      <c r="AP1023" s="774"/>
      <c r="AQ1023" s="774"/>
      <c r="AR1023" s="774"/>
      <c r="AS1023" s="774"/>
      <c r="AT1023" s="1119">
        <v>3.0070000000000001</v>
      </c>
      <c r="AU1023" s="774"/>
      <c r="AV1023" s="774"/>
      <c r="AW1023" s="774"/>
      <c r="AX1023" s="774"/>
      <c r="AY1023" s="1119">
        <v>3.0070000000000001</v>
      </c>
      <c r="AZ1023" s="774"/>
      <c r="BA1023" s="774"/>
      <c r="BB1023" s="774"/>
      <c r="BC1023" s="774"/>
      <c r="BD1023" s="1119">
        <v>3.0070000000000001</v>
      </c>
      <c r="BE1023" s="774"/>
      <c r="BF1023" s="774"/>
      <c r="BG1023" s="774"/>
      <c r="BH1023" s="774"/>
      <c r="BI1023" s="1119">
        <v>3.0070000000000001</v>
      </c>
      <c r="BJ1023" s="774"/>
      <c r="BK1023" s="774"/>
      <c r="BL1023" s="774"/>
      <c r="BM1023" s="774"/>
      <c r="BN1023" s="1119">
        <v>3.0070000000000001</v>
      </c>
      <c r="BO1023" s="774"/>
      <c r="BP1023" s="774"/>
      <c r="BQ1023" s="774"/>
      <c r="BR1023" s="774"/>
      <c r="BS1023" s="78"/>
      <c r="BT1023" s="775"/>
      <c r="BU1023" s="774"/>
      <c r="BV1023" s="774"/>
      <c r="BW1023" s="774"/>
      <c r="BX1023" s="78"/>
      <c r="BY1023" s="774"/>
      <c r="BZ1023" s="774"/>
      <c r="CA1023" s="774"/>
      <c r="CB1023" s="774"/>
      <c r="CC1023" s="78"/>
      <c r="CD1023" s="78"/>
      <c r="CE1023" s="78"/>
      <c r="CF1023" s="78"/>
      <c r="CG1023" s="532"/>
    </row>
    <row r="1024" spans="1:85" s="616" customFormat="1" x14ac:dyDescent="0.3">
      <c r="A1024" s="522" t="s">
        <v>1413</v>
      </c>
      <c r="B1024" s="527"/>
      <c r="C1024" s="1124"/>
      <c r="D1024" s="1124"/>
      <c r="E1024" s="1124"/>
      <c r="F1024" s="1124"/>
      <c r="G1024" s="526"/>
      <c r="H1024" s="526"/>
      <c r="I1024" s="526"/>
      <c r="J1024" s="526"/>
      <c r="K1024" s="1124"/>
      <c r="L1024" s="526"/>
      <c r="M1024" s="526"/>
      <c r="N1024" s="526"/>
      <c r="O1024" s="526"/>
      <c r="P1024" s="1124"/>
      <c r="Q1024" s="526"/>
      <c r="R1024" s="526"/>
      <c r="S1024" s="526"/>
      <c r="T1024" s="526"/>
      <c r="U1024" s="1124"/>
      <c r="V1024" s="526"/>
      <c r="W1024" s="526"/>
      <c r="X1024" s="526"/>
      <c r="Y1024" s="526"/>
      <c r="Z1024" s="1124"/>
      <c r="AA1024" s="526"/>
      <c r="AB1024" s="526"/>
      <c r="AC1024" s="526"/>
      <c r="AD1024" s="526"/>
      <c r="AE1024" s="1124"/>
      <c r="AF1024" s="526"/>
      <c r="AG1024" s="526"/>
      <c r="AH1024" s="526"/>
      <c r="AI1024" s="526"/>
      <c r="AJ1024" s="1124"/>
      <c r="AK1024" s="526"/>
      <c r="AL1024" s="526"/>
      <c r="AM1024" s="526"/>
      <c r="AN1024" s="526"/>
      <c r="AO1024" s="1124"/>
      <c r="AP1024" s="526"/>
      <c r="AQ1024" s="526"/>
      <c r="AR1024" s="526"/>
      <c r="AS1024" s="526"/>
      <c r="AT1024" s="1123">
        <v>381.05</v>
      </c>
      <c r="AU1024" s="526"/>
      <c r="AV1024" s="526"/>
      <c r="AW1024" s="526"/>
      <c r="AX1024" s="526"/>
      <c r="AY1024" s="1123">
        <v>381.05</v>
      </c>
      <c r="AZ1024" s="526"/>
      <c r="BA1024" s="526"/>
      <c r="BB1024" s="526"/>
      <c r="BC1024" s="526"/>
      <c r="BD1024" s="1123">
        <v>381.05</v>
      </c>
      <c r="BE1024" s="526"/>
      <c r="BF1024" s="526"/>
      <c r="BG1024" s="526"/>
      <c r="BH1024" s="526"/>
      <c r="BI1024" s="1123">
        <v>381.05</v>
      </c>
      <c r="BJ1024" s="526"/>
      <c r="BK1024" s="526"/>
      <c r="BL1024" s="526"/>
      <c r="BM1024" s="526"/>
      <c r="BN1024" s="1123">
        <v>381.05</v>
      </c>
      <c r="BO1024" s="526"/>
      <c r="BP1024" s="526"/>
      <c r="BQ1024" s="526"/>
      <c r="BR1024" s="526"/>
      <c r="BS1024" s="1124"/>
      <c r="BT1024" s="729"/>
      <c r="BU1024" s="526"/>
      <c r="BV1024" s="526"/>
      <c r="BW1024" s="526"/>
      <c r="BX1024" s="1124"/>
      <c r="BY1024" s="526"/>
      <c r="BZ1024" s="526"/>
      <c r="CA1024" s="526"/>
      <c r="CB1024" s="526"/>
      <c r="CC1024" s="1124"/>
      <c r="CD1024" s="1124"/>
      <c r="CE1024" s="1124"/>
      <c r="CF1024" s="1124"/>
      <c r="CG1024" s="533"/>
    </row>
    <row r="1025" spans="1:85" s="614" customFormat="1" x14ac:dyDescent="0.3">
      <c r="A1025" s="522"/>
      <c r="B1025" s="352"/>
      <c r="C1025" s="1094"/>
      <c r="D1025" s="1094"/>
      <c r="E1025" s="1094"/>
      <c r="F1025" s="1094"/>
      <c r="G1025" s="197"/>
      <c r="H1025" s="197"/>
      <c r="I1025" s="197"/>
      <c r="J1025" s="197"/>
      <c r="K1025" s="1094"/>
      <c r="L1025" s="197"/>
      <c r="M1025" s="197"/>
      <c r="N1025" s="197"/>
      <c r="O1025" s="197"/>
      <c r="P1025" s="1094"/>
      <c r="Q1025" s="197"/>
      <c r="R1025" s="197"/>
      <c r="S1025" s="197"/>
      <c r="T1025" s="197"/>
      <c r="U1025" s="1094"/>
      <c r="V1025" s="197"/>
      <c r="W1025" s="197"/>
      <c r="X1025" s="197"/>
      <c r="Y1025" s="197"/>
      <c r="Z1025" s="1094"/>
      <c r="AA1025" s="197"/>
      <c r="AB1025" s="197"/>
      <c r="AC1025" s="197"/>
      <c r="AD1025" s="197"/>
      <c r="AE1025" s="1094"/>
      <c r="AF1025" s="197"/>
      <c r="AG1025" s="197"/>
      <c r="AH1025" s="197"/>
      <c r="AI1025" s="197"/>
      <c r="AJ1025" s="1094"/>
      <c r="AK1025" s="197"/>
      <c r="AL1025" s="197"/>
      <c r="AM1025" s="197"/>
      <c r="AN1025" s="197"/>
      <c r="AO1025" s="1094"/>
      <c r="AP1025" s="197"/>
      <c r="AQ1025" s="197"/>
      <c r="AR1025" s="197"/>
      <c r="AS1025" s="197"/>
      <c r="AT1025" s="198"/>
      <c r="AU1025" s="197"/>
      <c r="AV1025" s="197"/>
      <c r="AW1025" s="197"/>
      <c r="AX1025" s="197"/>
      <c r="AY1025" s="198"/>
      <c r="AZ1025" s="197"/>
      <c r="BA1025" s="197"/>
      <c r="BB1025" s="197"/>
      <c r="BC1025" s="197"/>
      <c r="BD1025" s="198"/>
      <c r="BE1025" s="197"/>
      <c r="BF1025" s="197"/>
      <c r="BG1025" s="197"/>
      <c r="BH1025" s="197"/>
      <c r="BI1025" s="198"/>
      <c r="BJ1025" s="197"/>
      <c r="BK1025" s="197"/>
      <c r="BL1025" s="197"/>
      <c r="BM1025" s="197"/>
      <c r="BN1025" s="198"/>
      <c r="BO1025" s="197"/>
      <c r="BP1025" s="197"/>
      <c r="BQ1025" s="197"/>
      <c r="BR1025" s="197"/>
      <c r="BS1025" s="198"/>
      <c r="BT1025" s="727"/>
      <c r="BU1025" s="197"/>
      <c r="BV1025" s="197"/>
      <c r="BW1025" s="197"/>
      <c r="BX1025" s="1094"/>
      <c r="BY1025" s="197"/>
      <c r="BZ1025" s="197"/>
      <c r="CA1025" s="197"/>
      <c r="CB1025" s="197"/>
      <c r="CC1025" s="1094"/>
      <c r="CD1025" s="1094"/>
      <c r="CE1025" s="1094"/>
      <c r="CF1025" s="1094"/>
      <c r="CG1025" s="349"/>
    </row>
    <row r="1026" spans="1:85" s="613" customFormat="1" x14ac:dyDescent="0.3">
      <c r="A1026" s="478" t="s">
        <v>1412</v>
      </c>
      <c r="B1026" s="523"/>
      <c r="C1026" s="78"/>
      <c r="D1026" s="78"/>
      <c r="E1026" s="78"/>
      <c r="F1026" s="78"/>
      <c r="G1026" s="774"/>
      <c r="H1026" s="774"/>
      <c r="I1026" s="774"/>
      <c r="J1026" s="774"/>
      <c r="K1026" s="78"/>
      <c r="L1026" s="774"/>
      <c r="M1026" s="774"/>
      <c r="N1026" s="774"/>
      <c r="O1026" s="774"/>
      <c r="P1026" s="78"/>
      <c r="Q1026" s="774"/>
      <c r="R1026" s="774"/>
      <c r="S1026" s="774"/>
      <c r="T1026" s="774"/>
      <c r="U1026" s="78"/>
      <c r="V1026" s="774"/>
      <c r="W1026" s="774"/>
      <c r="X1026" s="774"/>
      <c r="Y1026" s="774"/>
      <c r="Z1026" s="78"/>
      <c r="AA1026" s="774"/>
      <c r="AB1026" s="774"/>
      <c r="AC1026" s="774"/>
      <c r="AD1026" s="774"/>
      <c r="AE1026" s="78"/>
      <c r="AF1026" s="774"/>
      <c r="AG1026" s="774"/>
      <c r="AH1026" s="774"/>
      <c r="AI1026" s="774"/>
      <c r="AJ1026" s="78"/>
      <c r="AK1026" s="774"/>
      <c r="AL1026" s="774"/>
      <c r="AM1026" s="774"/>
      <c r="AN1026" s="774"/>
      <c r="AO1026" s="78"/>
      <c r="AP1026" s="774"/>
      <c r="AQ1026" s="774"/>
      <c r="AR1026" s="774"/>
      <c r="AS1026" s="774"/>
      <c r="AT1026" s="1119">
        <v>3.1469999999999998</v>
      </c>
      <c r="AU1026" s="774"/>
      <c r="AV1026" s="774"/>
      <c r="AW1026" s="774"/>
      <c r="AX1026" s="774"/>
      <c r="AY1026" s="1119">
        <v>3.1469999999999998</v>
      </c>
      <c r="AZ1026" s="774"/>
      <c r="BA1026" s="774"/>
      <c r="BB1026" s="774"/>
      <c r="BC1026" s="774"/>
      <c r="BD1026" s="1119">
        <v>3.1469999999999998</v>
      </c>
      <c r="BE1026" s="774"/>
      <c r="BF1026" s="774"/>
      <c r="BG1026" s="774"/>
      <c r="BH1026" s="774"/>
      <c r="BI1026" s="1119">
        <v>3.1469999999999998</v>
      </c>
      <c r="BJ1026" s="774"/>
      <c r="BK1026" s="774"/>
      <c r="BL1026" s="774"/>
      <c r="BM1026" s="774"/>
      <c r="BN1026" s="1119">
        <v>3.1469999999999998</v>
      </c>
      <c r="BO1026" s="774"/>
      <c r="BP1026" s="774"/>
      <c r="BQ1026" s="774"/>
      <c r="BR1026" s="774"/>
      <c r="BS1026" s="78"/>
      <c r="BT1026" s="775"/>
      <c r="BU1026" s="774"/>
      <c r="BV1026" s="774"/>
      <c r="BW1026" s="774"/>
      <c r="BX1026" s="78"/>
      <c r="BY1026" s="774"/>
      <c r="BZ1026" s="774"/>
      <c r="CA1026" s="774"/>
      <c r="CB1026" s="774"/>
      <c r="CC1026" s="78"/>
      <c r="CD1026" s="78"/>
      <c r="CE1026" s="78"/>
      <c r="CF1026" s="78"/>
      <c r="CG1026" s="532"/>
    </row>
    <row r="1027" spans="1:85" s="616" customFormat="1" x14ac:dyDescent="0.3">
      <c r="A1027" s="522" t="s">
        <v>1411</v>
      </c>
      <c r="B1027" s="527"/>
      <c r="C1027" s="1124"/>
      <c r="D1027" s="1124"/>
      <c r="E1027" s="1124"/>
      <c r="F1027" s="1124"/>
      <c r="G1027" s="526"/>
      <c r="H1027" s="526"/>
      <c r="I1027" s="526"/>
      <c r="J1027" s="526"/>
      <c r="K1027" s="1124"/>
      <c r="L1027" s="526"/>
      <c r="M1027" s="526"/>
      <c r="N1027" s="526"/>
      <c r="O1027" s="526"/>
      <c r="P1027" s="1124"/>
      <c r="Q1027" s="526"/>
      <c r="R1027" s="526"/>
      <c r="S1027" s="526"/>
      <c r="T1027" s="526"/>
      <c r="U1027" s="1124"/>
      <c r="V1027" s="526"/>
      <c r="W1027" s="526"/>
      <c r="X1027" s="526"/>
      <c r="Y1027" s="526"/>
      <c r="Z1027" s="1124"/>
      <c r="AA1027" s="526"/>
      <c r="AB1027" s="526"/>
      <c r="AC1027" s="526"/>
      <c r="AD1027" s="526"/>
      <c r="AE1027" s="1124"/>
      <c r="AF1027" s="526"/>
      <c r="AG1027" s="526"/>
      <c r="AH1027" s="526"/>
      <c r="AI1027" s="526"/>
      <c r="AJ1027" s="1124"/>
      <c r="AK1027" s="526"/>
      <c r="AL1027" s="526"/>
      <c r="AM1027" s="526"/>
      <c r="AN1027" s="526"/>
      <c r="AO1027" s="1124"/>
      <c r="AP1027" s="526"/>
      <c r="AQ1027" s="526"/>
      <c r="AR1027" s="526"/>
      <c r="AS1027" s="526"/>
      <c r="AT1027" s="1123">
        <v>364.08</v>
      </c>
      <c r="AU1027" s="526"/>
      <c r="AV1027" s="526"/>
      <c r="AW1027" s="526"/>
      <c r="AX1027" s="526"/>
      <c r="AY1027" s="1123">
        <v>364.08</v>
      </c>
      <c r="AZ1027" s="526"/>
      <c r="BA1027" s="526"/>
      <c r="BB1027" s="526"/>
      <c r="BC1027" s="526"/>
      <c r="BD1027" s="1123">
        <v>364.08</v>
      </c>
      <c r="BE1027" s="526"/>
      <c r="BF1027" s="526"/>
      <c r="BG1027" s="526"/>
      <c r="BH1027" s="526"/>
      <c r="BI1027" s="1123">
        <v>364.08</v>
      </c>
      <c r="BJ1027" s="526"/>
      <c r="BK1027" s="526"/>
      <c r="BL1027" s="526"/>
      <c r="BM1027" s="526"/>
      <c r="BN1027" s="1123">
        <v>364.08</v>
      </c>
      <c r="BO1027" s="526"/>
      <c r="BP1027" s="526"/>
      <c r="BQ1027" s="526"/>
      <c r="BR1027" s="526"/>
      <c r="BS1027" s="1124"/>
      <c r="BT1027" s="729"/>
      <c r="BU1027" s="526"/>
      <c r="BV1027" s="526"/>
      <c r="BW1027" s="526"/>
      <c r="BX1027" s="1124"/>
      <c r="BY1027" s="526"/>
      <c r="BZ1027" s="526"/>
      <c r="CA1027" s="526"/>
      <c r="CB1027" s="526"/>
      <c r="CC1027" s="1124"/>
      <c r="CD1027" s="1124"/>
      <c r="CE1027" s="1124"/>
      <c r="CF1027" s="1124"/>
      <c r="CG1027" s="533"/>
    </row>
    <row r="1028" spans="1:85" s="614" customFormat="1" x14ac:dyDescent="0.3">
      <c r="A1028" s="522"/>
      <c r="B1028" s="352"/>
      <c r="C1028" s="1094"/>
      <c r="D1028" s="1094"/>
      <c r="E1028" s="1094"/>
      <c r="F1028" s="1094"/>
      <c r="G1028" s="197"/>
      <c r="H1028" s="197"/>
      <c r="I1028" s="197"/>
      <c r="J1028" s="197"/>
      <c r="K1028" s="1094"/>
      <c r="L1028" s="197"/>
      <c r="M1028" s="197"/>
      <c r="N1028" s="197"/>
      <c r="O1028" s="197"/>
      <c r="P1028" s="1094"/>
      <c r="Q1028" s="197"/>
      <c r="R1028" s="197"/>
      <c r="S1028" s="197"/>
      <c r="T1028" s="197"/>
      <c r="U1028" s="1094"/>
      <c r="V1028" s="197"/>
      <c r="W1028" s="197"/>
      <c r="X1028" s="197"/>
      <c r="Y1028" s="197"/>
      <c r="Z1028" s="1094"/>
      <c r="AA1028" s="197"/>
      <c r="AB1028" s="197"/>
      <c r="AC1028" s="197"/>
      <c r="AD1028" s="197"/>
      <c r="AE1028" s="1094"/>
      <c r="AF1028" s="197"/>
      <c r="AG1028" s="197"/>
      <c r="AH1028" s="197"/>
      <c r="AI1028" s="197"/>
      <c r="AJ1028" s="1094"/>
      <c r="AK1028" s="197"/>
      <c r="AL1028" s="197"/>
      <c r="AM1028" s="197"/>
      <c r="AN1028" s="197"/>
      <c r="AO1028" s="1094"/>
      <c r="AP1028" s="197"/>
      <c r="AQ1028" s="197"/>
      <c r="AR1028" s="197"/>
      <c r="AS1028" s="197"/>
      <c r="AT1028" s="198"/>
      <c r="AU1028" s="197"/>
      <c r="AV1028" s="197"/>
      <c r="AW1028" s="197"/>
      <c r="AX1028" s="197"/>
      <c r="AY1028" s="198"/>
      <c r="AZ1028" s="197"/>
      <c r="BA1028" s="197"/>
      <c r="BB1028" s="197"/>
      <c r="BC1028" s="197"/>
      <c r="BD1028" s="198"/>
      <c r="BE1028" s="197"/>
      <c r="BF1028" s="197"/>
      <c r="BG1028" s="197"/>
      <c r="BH1028" s="197"/>
      <c r="BI1028" s="198"/>
      <c r="BJ1028" s="197"/>
      <c r="BK1028" s="197"/>
      <c r="BL1028" s="197"/>
      <c r="BM1028" s="197"/>
      <c r="BN1028" s="198"/>
      <c r="BO1028" s="197"/>
      <c r="BP1028" s="197"/>
      <c r="BQ1028" s="197"/>
      <c r="BR1028" s="197"/>
      <c r="BS1028" s="198"/>
      <c r="BT1028" s="727"/>
      <c r="BU1028" s="197"/>
      <c r="BV1028" s="197"/>
      <c r="BW1028" s="197"/>
      <c r="BX1028" s="1094"/>
      <c r="BY1028" s="197"/>
      <c r="BZ1028" s="197"/>
      <c r="CA1028" s="197"/>
      <c r="CB1028" s="197"/>
      <c r="CC1028" s="1094"/>
      <c r="CD1028" s="1094"/>
      <c r="CE1028" s="1094"/>
      <c r="CF1028" s="1094"/>
      <c r="CG1028" s="349"/>
    </row>
    <row r="1029" spans="1:85" s="613" customFormat="1" x14ac:dyDescent="0.3">
      <c r="A1029" s="478" t="s">
        <v>1410</v>
      </c>
      <c r="B1029" s="523"/>
      <c r="C1029" s="78"/>
      <c r="D1029" s="78"/>
      <c r="E1029" s="78"/>
      <c r="F1029" s="78"/>
      <c r="G1029" s="774"/>
      <c r="H1029" s="774"/>
      <c r="I1029" s="774"/>
      <c r="J1029" s="774"/>
      <c r="K1029" s="78"/>
      <c r="L1029" s="774"/>
      <c r="M1029" s="774"/>
      <c r="N1029" s="774"/>
      <c r="O1029" s="774"/>
      <c r="P1029" s="78"/>
      <c r="Q1029" s="774"/>
      <c r="R1029" s="774"/>
      <c r="S1029" s="774"/>
      <c r="T1029" s="774"/>
      <c r="U1029" s="78"/>
      <c r="V1029" s="774"/>
      <c r="W1029" s="774"/>
      <c r="X1029" s="774"/>
      <c r="Y1029" s="774"/>
      <c r="Z1029" s="78"/>
      <c r="AA1029" s="774"/>
      <c r="AB1029" s="774"/>
      <c r="AC1029" s="774"/>
      <c r="AD1029" s="774"/>
      <c r="AE1029" s="78"/>
      <c r="AF1029" s="774"/>
      <c r="AG1029" s="774"/>
      <c r="AH1029" s="774"/>
      <c r="AI1029" s="774"/>
      <c r="AJ1029" s="78"/>
      <c r="AK1029" s="774"/>
      <c r="AL1029" s="774"/>
      <c r="AM1029" s="774"/>
      <c r="AN1029" s="774"/>
      <c r="AO1029" s="78"/>
      <c r="AP1029" s="774"/>
      <c r="AQ1029" s="774"/>
      <c r="AR1029" s="774"/>
      <c r="AS1029" s="774"/>
      <c r="AT1029" s="1119">
        <v>2.7589999999999999</v>
      </c>
      <c r="AU1029" s="774"/>
      <c r="AV1029" s="774"/>
      <c r="AW1029" s="774"/>
      <c r="AX1029" s="774"/>
      <c r="AY1029" s="1119">
        <v>2.7589999999999999</v>
      </c>
      <c r="AZ1029" s="774"/>
      <c r="BA1029" s="774"/>
      <c r="BB1029" s="774"/>
      <c r="BC1029" s="774"/>
      <c r="BD1029" s="1119">
        <v>2.7589999999999999</v>
      </c>
      <c r="BE1029" s="774"/>
      <c r="BF1029" s="774"/>
      <c r="BG1029" s="774"/>
      <c r="BH1029" s="774"/>
      <c r="BI1029" s="1119">
        <v>2.7589999999999999</v>
      </c>
      <c r="BJ1029" s="774"/>
      <c r="BK1029" s="774"/>
      <c r="BL1029" s="774"/>
      <c r="BM1029" s="774"/>
      <c r="BN1029" s="1119">
        <v>2.7589999999999999</v>
      </c>
      <c r="BO1029" s="774"/>
      <c r="BP1029" s="774"/>
      <c r="BQ1029" s="774"/>
      <c r="BR1029" s="774"/>
      <c r="BS1029" s="78"/>
      <c r="BT1029" s="775"/>
      <c r="BU1029" s="774"/>
      <c r="BV1029" s="774"/>
      <c r="BW1029" s="774"/>
      <c r="BX1029" s="78"/>
      <c r="BY1029" s="774"/>
      <c r="BZ1029" s="774"/>
      <c r="CA1029" s="774"/>
      <c r="CB1029" s="774"/>
      <c r="CC1029" s="78"/>
      <c r="CD1029" s="78"/>
      <c r="CE1029" s="78"/>
      <c r="CF1029" s="78"/>
      <c r="CG1029" s="532"/>
    </row>
    <row r="1030" spans="1:85" s="616" customFormat="1" x14ac:dyDescent="0.3">
      <c r="A1030" s="522" t="s">
        <v>1409</v>
      </c>
      <c r="B1030" s="527"/>
      <c r="C1030" s="1124"/>
      <c r="D1030" s="1124"/>
      <c r="E1030" s="1124"/>
      <c r="F1030" s="1124"/>
      <c r="G1030" s="526"/>
      <c r="H1030" s="526"/>
      <c r="I1030" s="526"/>
      <c r="J1030" s="526"/>
      <c r="K1030" s="1124"/>
      <c r="L1030" s="526"/>
      <c r="M1030" s="526"/>
      <c r="N1030" s="526"/>
      <c r="O1030" s="526"/>
      <c r="P1030" s="1124"/>
      <c r="Q1030" s="526"/>
      <c r="R1030" s="526"/>
      <c r="S1030" s="526"/>
      <c r="T1030" s="526"/>
      <c r="U1030" s="1124"/>
      <c r="V1030" s="526"/>
      <c r="W1030" s="526"/>
      <c r="X1030" s="526"/>
      <c r="Y1030" s="526"/>
      <c r="Z1030" s="1124"/>
      <c r="AA1030" s="526"/>
      <c r="AB1030" s="526"/>
      <c r="AC1030" s="526"/>
      <c r="AD1030" s="526"/>
      <c r="AE1030" s="1124"/>
      <c r="AF1030" s="526"/>
      <c r="AG1030" s="526"/>
      <c r="AH1030" s="526"/>
      <c r="AI1030" s="526"/>
      <c r="AJ1030" s="1124"/>
      <c r="AK1030" s="526"/>
      <c r="AL1030" s="526"/>
      <c r="AM1030" s="526"/>
      <c r="AN1030" s="526"/>
      <c r="AO1030" s="1124"/>
      <c r="AP1030" s="526"/>
      <c r="AQ1030" s="526"/>
      <c r="AR1030" s="526"/>
      <c r="AS1030" s="526"/>
      <c r="AT1030" s="1123">
        <v>415.27</v>
      </c>
      <c r="AU1030" s="526"/>
      <c r="AV1030" s="526"/>
      <c r="AW1030" s="526"/>
      <c r="AX1030" s="526"/>
      <c r="AY1030" s="1123">
        <v>415.27</v>
      </c>
      <c r="AZ1030" s="526"/>
      <c r="BA1030" s="526"/>
      <c r="BB1030" s="526"/>
      <c r="BC1030" s="526"/>
      <c r="BD1030" s="1123">
        <v>415.27</v>
      </c>
      <c r="BE1030" s="526"/>
      <c r="BF1030" s="526"/>
      <c r="BG1030" s="526"/>
      <c r="BH1030" s="526"/>
      <c r="BI1030" s="1123">
        <v>415.27</v>
      </c>
      <c r="BJ1030" s="526"/>
      <c r="BK1030" s="526"/>
      <c r="BL1030" s="526"/>
      <c r="BM1030" s="526"/>
      <c r="BN1030" s="1123">
        <v>415.27</v>
      </c>
      <c r="BO1030" s="526"/>
      <c r="BP1030" s="526"/>
      <c r="BQ1030" s="526"/>
      <c r="BR1030" s="526"/>
      <c r="BS1030" s="1124"/>
      <c r="BT1030" s="729"/>
      <c r="BU1030" s="526"/>
      <c r="BV1030" s="526"/>
      <c r="BW1030" s="526"/>
      <c r="BX1030" s="1124"/>
      <c r="BY1030" s="526"/>
      <c r="BZ1030" s="526"/>
      <c r="CA1030" s="526"/>
      <c r="CB1030" s="526"/>
      <c r="CC1030" s="1124"/>
      <c r="CD1030" s="1124"/>
      <c r="CE1030" s="1124"/>
      <c r="CF1030" s="1124"/>
      <c r="CG1030" s="533"/>
    </row>
    <row r="1031" spans="1:85" s="614" customFormat="1" x14ac:dyDescent="0.3">
      <c r="A1031" s="522"/>
      <c r="B1031" s="352"/>
      <c r="C1031" s="1094"/>
      <c r="D1031" s="1094"/>
      <c r="E1031" s="1094"/>
      <c r="F1031" s="1094"/>
      <c r="G1031" s="197"/>
      <c r="H1031" s="197"/>
      <c r="I1031" s="197"/>
      <c r="J1031" s="197"/>
      <c r="K1031" s="1094"/>
      <c r="L1031" s="197"/>
      <c r="M1031" s="197"/>
      <c r="N1031" s="197"/>
      <c r="O1031" s="197"/>
      <c r="P1031" s="1094"/>
      <c r="Q1031" s="197"/>
      <c r="R1031" s="197"/>
      <c r="S1031" s="197"/>
      <c r="T1031" s="197"/>
      <c r="U1031" s="1094"/>
      <c r="V1031" s="197"/>
      <c r="W1031" s="197"/>
      <c r="X1031" s="197"/>
      <c r="Y1031" s="197"/>
      <c r="Z1031" s="1094"/>
      <c r="AA1031" s="197"/>
      <c r="AB1031" s="197"/>
      <c r="AC1031" s="197"/>
      <c r="AD1031" s="197"/>
      <c r="AE1031" s="1094"/>
      <c r="AF1031" s="197"/>
      <c r="AG1031" s="197"/>
      <c r="AH1031" s="197"/>
      <c r="AI1031" s="197"/>
      <c r="AJ1031" s="1094"/>
      <c r="AK1031" s="197"/>
      <c r="AL1031" s="197"/>
      <c r="AM1031" s="197"/>
      <c r="AN1031" s="197"/>
      <c r="AO1031" s="1094"/>
      <c r="AP1031" s="197"/>
      <c r="AQ1031" s="197"/>
      <c r="AR1031" s="197"/>
      <c r="AS1031" s="197"/>
      <c r="AT1031" s="198"/>
      <c r="AU1031" s="197"/>
      <c r="AV1031" s="197"/>
      <c r="AW1031" s="197"/>
      <c r="AX1031" s="197"/>
      <c r="AY1031" s="198"/>
      <c r="AZ1031" s="197"/>
      <c r="BA1031" s="197"/>
      <c r="BB1031" s="197"/>
      <c r="BC1031" s="197"/>
      <c r="BD1031" s="198"/>
      <c r="BE1031" s="197"/>
      <c r="BF1031" s="197"/>
      <c r="BG1031" s="197"/>
      <c r="BH1031" s="197"/>
      <c r="BI1031" s="198"/>
      <c r="BJ1031" s="197"/>
      <c r="BK1031" s="197"/>
      <c r="BL1031" s="197"/>
      <c r="BM1031" s="197"/>
      <c r="BN1031" s="198"/>
      <c r="BO1031" s="197"/>
      <c r="BP1031" s="197"/>
      <c r="BQ1031" s="197"/>
      <c r="BR1031" s="197"/>
      <c r="BS1031" s="198"/>
      <c r="BT1031" s="727"/>
      <c r="BU1031" s="197"/>
      <c r="BV1031" s="197"/>
      <c r="BW1031" s="197"/>
      <c r="BX1031" s="1094"/>
      <c r="BY1031" s="197"/>
      <c r="BZ1031" s="197"/>
      <c r="CA1031" s="197"/>
      <c r="CB1031" s="197"/>
      <c r="CC1031" s="1094"/>
      <c r="CD1031" s="1094"/>
      <c r="CE1031" s="1094"/>
      <c r="CF1031" s="1094"/>
      <c r="CG1031" s="349"/>
    </row>
    <row r="1032" spans="1:85" s="613" customFormat="1" x14ac:dyDescent="0.3">
      <c r="A1032" s="478" t="s">
        <v>1408</v>
      </c>
      <c r="B1032" s="523"/>
      <c r="C1032" s="78"/>
      <c r="D1032" s="78"/>
      <c r="E1032" s="78"/>
      <c r="F1032" s="78"/>
      <c r="G1032" s="774"/>
      <c r="H1032" s="774"/>
      <c r="I1032" s="774"/>
      <c r="J1032" s="774"/>
      <c r="K1032" s="78"/>
      <c r="L1032" s="774"/>
      <c r="M1032" s="774"/>
      <c r="N1032" s="774"/>
      <c r="O1032" s="774"/>
      <c r="P1032" s="78"/>
      <c r="Q1032" s="774"/>
      <c r="R1032" s="774"/>
      <c r="S1032" s="774"/>
      <c r="T1032" s="774"/>
      <c r="U1032" s="78"/>
      <c r="V1032" s="774"/>
      <c r="W1032" s="774"/>
      <c r="X1032" s="774"/>
      <c r="Y1032" s="774"/>
      <c r="Z1032" s="78"/>
      <c r="AA1032" s="774"/>
      <c r="AB1032" s="774"/>
      <c r="AC1032" s="774"/>
      <c r="AD1032" s="774"/>
      <c r="AE1032" s="78"/>
      <c r="AF1032" s="774"/>
      <c r="AG1032" s="774"/>
      <c r="AH1032" s="774"/>
      <c r="AI1032" s="774"/>
      <c r="AJ1032" s="78"/>
      <c r="AK1032" s="774"/>
      <c r="AL1032" s="774"/>
      <c r="AM1032" s="774"/>
      <c r="AN1032" s="774"/>
      <c r="AO1032" s="78"/>
      <c r="AP1032" s="774"/>
      <c r="AQ1032" s="774"/>
      <c r="AR1032" s="774"/>
      <c r="AS1032" s="774"/>
      <c r="AT1032" s="1119">
        <v>2.69</v>
      </c>
      <c r="AU1032" s="774"/>
      <c r="AV1032" s="774"/>
      <c r="AW1032" s="774"/>
      <c r="AX1032" s="774"/>
      <c r="AY1032" s="1119">
        <v>2.69</v>
      </c>
      <c r="AZ1032" s="774"/>
      <c r="BA1032" s="774"/>
      <c r="BB1032" s="774"/>
      <c r="BC1032" s="774"/>
      <c r="BD1032" s="1119">
        <v>2.69</v>
      </c>
      <c r="BE1032" s="774"/>
      <c r="BF1032" s="774"/>
      <c r="BG1032" s="774"/>
      <c r="BH1032" s="774"/>
      <c r="BI1032" s="1119">
        <v>2.69</v>
      </c>
      <c r="BJ1032" s="774"/>
      <c r="BK1032" s="774"/>
      <c r="BL1032" s="774"/>
      <c r="BM1032" s="774"/>
      <c r="BN1032" s="1119">
        <v>2.69</v>
      </c>
      <c r="BO1032" s="774"/>
      <c r="BP1032" s="774"/>
      <c r="BQ1032" s="774"/>
      <c r="BR1032" s="774"/>
      <c r="BS1032" s="78"/>
      <c r="BT1032" s="775"/>
      <c r="BU1032" s="774"/>
      <c r="BV1032" s="774"/>
      <c r="BW1032" s="774"/>
      <c r="BX1032" s="78"/>
      <c r="BY1032" s="774"/>
      <c r="BZ1032" s="774"/>
      <c r="CA1032" s="774"/>
      <c r="CB1032" s="774"/>
      <c r="CC1032" s="78"/>
      <c r="CD1032" s="78"/>
      <c r="CE1032" s="78"/>
      <c r="CF1032" s="78"/>
      <c r="CG1032" s="532"/>
    </row>
    <row r="1033" spans="1:85" s="616" customFormat="1" x14ac:dyDescent="0.3">
      <c r="A1033" s="522" t="s">
        <v>1407</v>
      </c>
      <c r="B1033" s="527"/>
      <c r="C1033" s="1124"/>
      <c r="D1033" s="1124"/>
      <c r="E1033" s="1124"/>
      <c r="F1033" s="1124"/>
      <c r="G1033" s="526"/>
      <c r="H1033" s="526"/>
      <c r="I1033" s="526"/>
      <c r="J1033" s="526"/>
      <c r="K1033" s="1124"/>
      <c r="L1033" s="526"/>
      <c r="M1033" s="526"/>
      <c r="N1033" s="526"/>
      <c r="O1033" s="526"/>
      <c r="P1033" s="1124"/>
      <c r="Q1033" s="526"/>
      <c r="R1033" s="526"/>
      <c r="S1033" s="526"/>
      <c r="T1033" s="526"/>
      <c r="U1033" s="1124"/>
      <c r="V1033" s="526"/>
      <c r="W1033" s="526"/>
      <c r="X1033" s="526"/>
      <c r="Y1033" s="526"/>
      <c r="Z1033" s="1124"/>
      <c r="AA1033" s="526"/>
      <c r="AB1033" s="526"/>
      <c r="AC1033" s="526"/>
      <c r="AD1033" s="526"/>
      <c r="AE1033" s="1124"/>
      <c r="AF1033" s="526"/>
      <c r="AG1033" s="526"/>
      <c r="AH1033" s="526"/>
      <c r="AI1033" s="526"/>
      <c r="AJ1033" s="1124"/>
      <c r="AK1033" s="526"/>
      <c r="AL1033" s="526"/>
      <c r="AM1033" s="526"/>
      <c r="AN1033" s="526"/>
      <c r="AO1033" s="1124"/>
      <c r="AP1033" s="526"/>
      <c r="AQ1033" s="526"/>
      <c r="AR1033" s="526"/>
      <c r="AS1033" s="526"/>
      <c r="AT1033" s="1123">
        <v>425.92</v>
      </c>
      <c r="AU1033" s="526"/>
      <c r="AV1033" s="526"/>
      <c r="AW1033" s="526"/>
      <c r="AX1033" s="526"/>
      <c r="AY1033" s="1123">
        <v>425.92</v>
      </c>
      <c r="AZ1033" s="526"/>
      <c r="BA1033" s="526"/>
      <c r="BB1033" s="526"/>
      <c r="BC1033" s="526"/>
      <c r="BD1033" s="1123">
        <v>425.92</v>
      </c>
      <c r="BE1033" s="526"/>
      <c r="BF1033" s="526"/>
      <c r="BG1033" s="526"/>
      <c r="BH1033" s="526"/>
      <c r="BI1033" s="1123">
        <v>425.92</v>
      </c>
      <c r="BJ1033" s="526"/>
      <c r="BK1033" s="526"/>
      <c r="BL1033" s="526"/>
      <c r="BM1033" s="526"/>
      <c r="BN1033" s="1123">
        <v>425.92</v>
      </c>
      <c r="BO1033" s="526"/>
      <c r="BP1033" s="526"/>
      <c r="BQ1033" s="526"/>
      <c r="BR1033" s="526"/>
      <c r="BS1033" s="1124"/>
      <c r="BT1033" s="729"/>
      <c r="BU1033" s="526"/>
      <c r="BV1033" s="526"/>
      <c r="BW1033" s="526"/>
      <c r="BX1033" s="1124"/>
      <c r="BY1033" s="526"/>
      <c r="BZ1033" s="526"/>
      <c r="CA1033" s="526"/>
      <c r="CB1033" s="526"/>
      <c r="CC1033" s="1124"/>
      <c r="CD1033" s="1124"/>
      <c r="CE1033" s="1124"/>
      <c r="CF1033" s="1124"/>
      <c r="CG1033" s="533"/>
    </row>
    <row r="1034" spans="1:85" s="614" customFormat="1" x14ac:dyDescent="0.3">
      <c r="A1034" s="522"/>
      <c r="B1034" s="352"/>
      <c r="C1034" s="1094"/>
      <c r="D1034" s="1094"/>
      <c r="E1034" s="1094"/>
      <c r="F1034" s="1094"/>
      <c r="G1034" s="197"/>
      <c r="H1034" s="197"/>
      <c r="I1034" s="197"/>
      <c r="J1034" s="197"/>
      <c r="K1034" s="1094"/>
      <c r="L1034" s="197"/>
      <c r="M1034" s="197"/>
      <c r="N1034" s="197"/>
      <c r="O1034" s="197"/>
      <c r="P1034" s="1094"/>
      <c r="Q1034" s="197"/>
      <c r="R1034" s="197"/>
      <c r="S1034" s="197"/>
      <c r="T1034" s="197"/>
      <c r="U1034" s="1094"/>
      <c r="V1034" s="197"/>
      <c r="W1034" s="197"/>
      <c r="X1034" s="197"/>
      <c r="Y1034" s="197"/>
      <c r="Z1034" s="1094"/>
      <c r="AA1034" s="197"/>
      <c r="AB1034" s="197"/>
      <c r="AC1034" s="197"/>
      <c r="AD1034" s="197"/>
      <c r="AE1034" s="1094"/>
      <c r="AF1034" s="197"/>
      <c r="AG1034" s="197"/>
      <c r="AH1034" s="197"/>
      <c r="AI1034" s="197"/>
      <c r="AJ1034" s="1094"/>
      <c r="AK1034" s="197"/>
      <c r="AL1034" s="197"/>
      <c r="AM1034" s="197"/>
      <c r="AN1034" s="197"/>
      <c r="AO1034" s="1094"/>
      <c r="AP1034" s="197"/>
      <c r="AQ1034" s="197"/>
      <c r="AR1034" s="197"/>
      <c r="AS1034" s="197"/>
      <c r="AT1034" s="198"/>
      <c r="AU1034" s="197"/>
      <c r="AV1034" s="197"/>
      <c r="AW1034" s="197"/>
      <c r="AX1034" s="197"/>
      <c r="AY1034" s="198"/>
      <c r="AZ1034" s="197"/>
      <c r="BA1034" s="197"/>
      <c r="BB1034" s="197"/>
      <c r="BC1034" s="197"/>
      <c r="BD1034" s="198"/>
      <c r="BE1034" s="197"/>
      <c r="BF1034" s="197"/>
      <c r="BG1034" s="197"/>
      <c r="BH1034" s="197"/>
      <c r="BI1034" s="198"/>
      <c r="BJ1034" s="197"/>
      <c r="BK1034" s="197"/>
      <c r="BL1034" s="197"/>
      <c r="BM1034" s="197"/>
      <c r="BN1034" s="198"/>
      <c r="BO1034" s="197"/>
      <c r="BP1034" s="197"/>
      <c r="BQ1034" s="197"/>
      <c r="BR1034" s="197"/>
      <c r="BS1034" s="198"/>
      <c r="BT1034" s="727"/>
      <c r="BU1034" s="197"/>
      <c r="BV1034" s="197"/>
      <c r="BW1034" s="197"/>
      <c r="BX1034" s="1094"/>
      <c r="BY1034" s="197"/>
      <c r="BZ1034" s="197"/>
      <c r="CA1034" s="197"/>
      <c r="CB1034" s="197"/>
      <c r="CC1034" s="1094"/>
      <c r="CD1034" s="1094"/>
      <c r="CE1034" s="1094"/>
      <c r="CF1034" s="1094"/>
      <c r="CG1034" s="349"/>
    </row>
    <row r="1035" spans="1:85" s="613" customFormat="1" x14ac:dyDescent="0.3">
      <c r="A1035" s="478" t="s">
        <v>1406</v>
      </c>
      <c r="B1035" s="523"/>
      <c r="C1035" s="78"/>
      <c r="D1035" s="78"/>
      <c r="E1035" s="78"/>
      <c r="F1035" s="78"/>
      <c r="G1035" s="774"/>
      <c r="H1035" s="774"/>
      <c r="I1035" s="774"/>
      <c r="J1035" s="774"/>
      <c r="K1035" s="78"/>
      <c r="L1035" s="774"/>
      <c r="M1035" s="774"/>
      <c r="N1035" s="774"/>
      <c r="O1035" s="774"/>
      <c r="P1035" s="78"/>
      <c r="Q1035" s="774"/>
      <c r="R1035" s="774"/>
      <c r="S1035" s="774"/>
      <c r="T1035" s="774"/>
      <c r="U1035" s="78"/>
      <c r="V1035" s="774"/>
      <c r="W1035" s="774"/>
      <c r="X1035" s="774"/>
      <c r="Y1035" s="774"/>
      <c r="Z1035" s="78"/>
      <c r="AA1035" s="774"/>
      <c r="AB1035" s="774"/>
      <c r="AC1035" s="774"/>
      <c r="AD1035" s="774"/>
      <c r="AE1035" s="78"/>
      <c r="AF1035" s="774"/>
      <c r="AG1035" s="774"/>
      <c r="AH1035" s="774"/>
      <c r="AI1035" s="774"/>
      <c r="AJ1035" s="78"/>
      <c r="AK1035" s="774"/>
      <c r="AL1035" s="774"/>
      <c r="AM1035" s="774"/>
      <c r="AN1035" s="774"/>
      <c r="AO1035" s="78"/>
      <c r="AP1035" s="774"/>
      <c r="AQ1035" s="774"/>
      <c r="AR1035" s="774"/>
      <c r="AS1035" s="774"/>
      <c r="AT1035" s="1119">
        <v>2.36</v>
      </c>
      <c r="AU1035" s="774"/>
      <c r="AV1035" s="774"/>
      <c r="AW1035" s="774"/>
      <c r="AX1035" s="774"/>
      <c r="AY1035" s="1119">
        <v>2.36</v>
      </c>
      <c r="AZ1035" s="774"/>
      <c r="BA1035" s="774"/>
      <c r="BB1035" s="774"/>
      <c r="BC1035" s="774"/>
      <c r="BD1035" s="1119">
        <v>2.36</v>
      </c>
      <c r="BE1035" s="774"/>
      <c r="BF1035" s="774"/>
      <c r="BG1035" s="774"/>
      <c r="BH1035" s="774"/>
      <c r="BI1035" s="1119">
        <v>2.36</v>
      </c>
      <c r="BJ1035" s="774"/>
      <c r="BK1035" s="774"/>
      <c r="BL1035" s="774"/>
      <c r="BM1035" s="774"/>
      <c r="BN1035" s="1119">
        <v>2.36</v>
      </c>
      <c r="BO1035" s="774"/>
      <c r="BP1035" s="774"/>
      <c r="BQ1035" s="774"/>
      <c r="BR1035" s="774"/>
      <c r="BS1035" s="78"/>
      <c r="BT1035" s="775"/>
      <c r="BU1035" s="774"/>
      <c r="BV1035" s="774"/>
      <c r="BW1035" s="774"/>
      <c r="BX1035" s="78"/>
      <c r="BY1035" s="774"/>
      <c r="BZ1035" s="774"/>
      <c r="CA1035" s="774"/>
      <c r="CB1035" s="774"/>
      <c r="CC1035" s="78"/>
      <c r="CD1035" s="78"/>
      <c r="CE1035" s="78"/>
      <c r="CF1035" s="78"/>
      <c r="CG1035" s="532"/>
    </row>
    <row r="1036" spans="1:85" s="616" customFormat="1" x14ac:dyDescent="0.3">
      <c r="A1036" s="522" t="s">
        <v>1405</v>
      </c>
      <c r="B1036" s="527"/>
      <c r="C1036" s="1124"/>
      <c r="D1036" s="1124"/>
      <c r="E1036" s="1124"/>
      <c r="F1036" s="1124"/>
      <c r="G1036" s="526"/>
      <c r="H1036" s="526"/>
      <c r="I1036" s="526"/>
      <c r="J1036" s="526"/>
      <c r="K1036" s="1124"/>
      <c r="L1036" s="526"/>
      <c r="M1036" s="526"/>
      <c r="N1036" s="526"/>
      <c r="O1036" s="526"/>
      <c r="P1036" s="1124"/>
      <c r="Q1036" s="526"/>
      <c r="R1036" s="526"/>
      <c r="S1036" s="526"/>
      <c r="T1036" s="526"/>
      <c r="U1036" s="1124"/>
      <c r="V1036" s="526"/>
      <c r="W1036" s="526"/>
      <c r="X1036" s="526"/>
      <c r="Y1036" s="526"/>
      <c r="Z1036" s="1124"/>
      <c r="AA1036" s="526"/>
      <c r="AB1036" s="526"/>
      <c r="AC1036" s="526"/>
      <c r="AD1036" s="526"/>
      <c r="AE1036" s="1124"/>
      <c r="AF1036" s="526"/>
      <c r="AG1036" s="526"/>
      <c r="AH1036" s="526"/>
      <c r="AI1036" s="526"/>
      <c r="AJ1036" s="1124"/>
      <c r="AK1036" s="526"/>
      <c r="AL1036" s="526"/>
      <c r="AM1036" s="526"/>
      <c r="AN1036" s="526"/>
      <c r="AO1036" s="1124"/>
      <c r="AP1036" s="526"/>
      <c r="AQ1036" s="526"/>
      <c r="AR1036" s="526"/>
      <c r="AS1036" s="526"/>
      <c r="AT1036" s="1123">
        <v>485.64</v>
      </c>
      <c r="AU1036" s="526"/>
      <c r="AV1036" s="526"/>
      <c r="AW1036" s="526"/>
      <c r="AX1036" s="526"/>
      <c r="AY1036" s="1123">
        <v>485.64</v>
      </c>
      <c r="AZ1036" s="526"/>
      <c r="BA1036" s="526"/>
      <c r="BB1036" s="526"/>
      <c r="BC1036" s="526"/>
      <c r="BD1036" s="1123">
        <v>485.64</v>
      </c>
      <c r="BE1036" s="526"/>
      <c r="BF1036" s="526"/>
      <c r="BG1036" s="526"/>
      <c r="BH1036" s="526"/>
      <c r="BI1036" s="1123">
        <v>485.64</v>
      </c>
      <c r="BJ1036" s="526"/>
      <c r="BK1036" s="526"/>
      <c r="BL1036" s="526"/>
      <c r="BM1036" s="526"/>
      <c r="BN1036" s="1123">
        <v>485.64</v>
      </c>
      <c r="BO1036" s="526"/>
      <c r="BP1036" s="526"/>
      <c r="BQ1036" s="526"/>
      <c r="BR1036" s="526"/>
      <c r="BS1036" s="1124"/>
      <c r="BT1036" s="729"/>
      <c r="BU1036" s="526"/>
      <c r="BV1036" s="526"/>
      <c r="BW1036" s="526"/>
      <c r="BX1036" s="1124"/>
      <c r="BY1036" s="526"/>
      <c r="BZ1036" s="526"/>
      <c r="CA1036" s="526"/>
      <c r="CB1036" s="526"/>
      <c r="CC1036" s="1124"/>
      <c r="CD1036" s="1124"/>
      <c r="CE1036" s="1124"/>
      <c r="CF1036" s="1124"/>
      <c r="CG1036" s="533"/>
    </row>
    <row r="1037" spans="1:85" s="614" customFormat="1" x14ac:dyDescent="0.3">
      <c r="A1037" s="522"/>
      <c r="B1037" s="352"/>
      <c r="C1037" s="1094"/>
      <c r="D1037" s="1094"/>
      <c r="E1037" s="1094"/>
      <c r="F1037" s="1094"/>
      <c r="G1037" s="197"/>
      <c r="H1037" s="197"/>
      <c r="I1037" s="197"/>
      <c r="J1037" s="197"/>
      <c r="K1037" s="1094"/>
      <c r="L1037" s="197"/>
      <c r="M1037" s="197"/>
      <c r="N1037" s="197"/>
      <c r="O1037" s="197"/>
      <c r="P1037" s="1094"/>
      <c r="Q1037" s="197"/>
      <c r="R1037" s="197"/>
      <c r="S1037" s="197"/>
      <c r="T1037" s="197"/>
      <c r="U1037" s="1094"/>
      <c r="V1037" s="197"/>
      <c r="W1037" s="197"/>
      <c r="X1037" s="197"/>
      <c r="Y1037" s="197"/>
      <c r="Z1037" s="1094"/>
      <c r="AA1037" s="197"/>
      <c r="AB1037" s="197"/>
      <c r="AC1037" s="197"/>
      <c r="AD1037" s="197"/>
      <c r="AE1037" s="1094"/>
      <c r="AF1037" s="197"/>
      <c r="AG1037" s="197"/>
      <c r="AH1037" s="197"/>
      <c r="AI1037" s="197"/>
      <c r="AJ1037" s="1094"/>
      <c r="AK1037" s="197"/>
      <c r="AL1037" s="197"/>
      <c r="AM1037" s="197"/>
      <c r="AN1037" s="197"/>
      <c r="AO1037" s="1094"/>
      <c r="AP1037" s="197"/>
      <c r="AQ1037" s="197"/>
      <c r="AR1037" s="197"/>
      <c r="AS1037" s="197"/>
      <c r="AT1037" s="198"/>
      <c r="AU1037" s="197"/>
      <c r="AV1037" s="197"/>
      <c r="AW1037" s="197"/>
      <c r="AX1037" s="197"/>
      <c r="AY1037" s="198"/>
      <c r="AZ1037" s="197"/>
      <c r="BA1037" s="197"/>
      <c r="BB1037" s="197"/>
      <c r="BC1037" s="197"/>
      <c r="BD1037" s="198"/>
      <c r="BE1037" s="197"/>
      <c r="BF1037" s="197"/>
      <c r="BG1037" s="197"/>
      <c r="BH1037" s="197"/>
      <c r="BI1037" s="198"/>
      <c r="BJ1037" s="197"/>
      <c r="BK1037" s="197"/>
      <c r="BL1037" s="197"/>
      <c r="BM1037" s="197"/>
      <c r="BN1037" s="198"/>
      <c r="BO1037" s="197"/>
      <c r="BP1037" s="197"/>
      <c r="BQ1037" s="197"/>
      <c r="BR1037" s="197"/>
      <c r="BS1037" s="198"/>
      <c r="BT1037" s="727"/>
      <c r="BU1037" s="197"/>
      <c r="BV1037" s="197"/>
      <c r="BW1037" s="197"/>
      <c r="BX1037" s="1094"/>
      <c r="BY1037" s="197"/>
      <c r="BZ1037" s="197"/>
      <c r="CA1037" s="197"/>
      <c r="CB1037" s="197"/>
      <c r="CC1037" s="1094"/>
      <c r="CD1037" s="1094"/>
      <c r="CE1037" s="1094"/>
      <c r="CF1037" s="1094"/>
      <c r="CG1037" s="349"/>
    </row>
    <row r="1038" spans="1:85" s="613" customFormat="1" x14ac:dyDescent="0.3">
      <c r="A1038" s="478" t="s">
        <v>1404</v>
      </c>
      <c r="B1038" s="523"/>
      <c r="C1038" s="78"/>
      <c r="D1038" s="78"/>
      <c r="E1038" s="78"/>
      <c r="F1038" s="78"/>
      <c r="G1038" s="774"/>
      <c r="H1038" s="774"/>
      <c r="I1038" s="774"/>
      <c r="J1038" s="774"/>
      <c r="K1038" s="78"/>
      <c r="L1038" s="774"/>
      <c r="M1038" s="774"/>
      <c r="N1038" s="774"/>
      <c r="O1038" s="774"/>
      <c r="P1038" s="78"/>
      <c r="Q1038" s="774"/>
      <c r="R1038" s="774"/>
      <c r="S1038" s="774"/>
      <c r="T1038" s="774"/>
      <c r="U1038" s="78"/>
      <c r="V1038" s="774"/>
      <c r="W1038" s="774"/>
      <c r="X1038" s="774"/>
      <c r="Y1038" s="774"/>
      <c r="Z1038" s="78"/>
      <c r="AA1038" s="774"/>
      <c r="AB1038" s="774"/>
      <c r="AC1038" s="774"/>
      <c r="AD1038" s="774"/>
      <c r="AE1038" s="78"/>
      <c r="AF1038" s="774"/>
      <c r="AG1038" s="774"/>
      <c r="AH1038" s="774"/>
      <c r="AI1038" s="774"/>
      <c r="AJ1038" s="78"/>
      <c r="AK1038" s="774"/>
      <c r="AL1038" s="774"/>
      <c r="AM1038" s="774"/>
      <c r="AN1038" s="774"/>
      <c r="AO1038" s="78"/>
      <c r="AP1038" s="774"/>
      <c r="AQ1038" s="774"/>
      <c r="AR1038" s="774"/>
      <c r="AS1038" s="774"/>
      <c r="AT1038" s="1119">
        <v>2.298</v>
      </c>
      <c r="AU1038" s="774"/>
      <c r="AV1038" s="774"/>
      <c r="AW1038" s="774"/>
      <c r="AX1038" s="774"/>
      <c r="AY1038" s="1119">
        <v>2.298</v>
      </c>
      <c r="AZ1038" s="774"/>
      <c r="BA1038" s="774"/>
      <c r="BB1038" s="774"/>
      <c r="BC1038" s="774"/>
      <c r="BD1038" s="1119">
        <v>2.298</v>
      </c>
      <c r="BE1038" s="774"/>
      <c r="BF1038" s="774"/>
      <c r="BG1038" s="774"/>
      <c r="BH1038" s="774"/>
      <c r="BI1038" s="1119">
        <v>2.298</v>
      </c>
      <c r="BJ1038" s="774"/>
      <c r="BK1038" s="774"/>
      <c r="BL1038" s="774"/>
      <c r="BM1038" s="774"/>
      <c r="BN1038" s="1119">
        <v>2.298</v>
      </c>
      <c r="BO1038" s="774"/>
      <c r="BP1038" s="774"/>
      <c r="BQ1038" s="774"/>
      <c r="BR1038" s="774"/>
      <c r="BS1038" s="78"/>
      <c r="BT1038" s="775"/>
      <c r="BU1038" s="774"/>
      <c r="BV1038" s="774"/>
      <c r="BW1038" s="774"/>
      <c r="BX1038" s="78"/>
      <c r="BY1038" s="774"/>
      <c r="BZ1038" s="774"/>
      <c r="CA1038" s="774"/>
      <c r="CB1038" s="774"/>
      <c r="CC1038" s="78"/>
      <c r="CD1038" s="78"/>
      <c r="CE1038" s="78"/>
      <c r="CF1038" s="78"/>
      <c r="CG1038" s="532"/>
    </row>
    <row r="1039" spans="1:85" s="616" customFormat="1" x14ac:dyDescent="0.3">
      <c r="A1039" s="522" t="s">
        <v>1403</v>
      </c>
      <c r="B1039" s="527"/>
      <c r="C1039" s="1124"/>
      <c r="D1039" s="1124"/>
      <c r="E1039" s="1124"/>
      <c r="F1039" s="1124"/>
      <c r="G1039" s="526"/>
      <c r="H1039" s="526"/>
      <c r="I1039" s="526"/>
      <c r="J1039" s="526"/>
      <c r="K1039" s="1124"/>
      <c r="L1039" s="526"/>
      <c r="M1039" s="526"/>
      <c r="N1039" s="526"/>
      <c r="O1039" s="526"/>
      <c r="P1039" s="1124"/>
      <c r="Q1039" s="526"/>
      <c r="R1039" s="526"/>
      <c r="S1039" s="526"/>
      <c r="T1039" s="526"/>
      <c r="U1039" s="1124"/>
      <c r="V1039" s="526"/>
      <c r="W1039" s="526"/>
      <c r="X1039" s="526"/>
      <c r="Y1039" s="526"/>
      <c r="Z1039" s="1124"/>
      <c r="AA1039" s="526"/>
      <c r="AB1039" s="526"/>
      <c r="AC1039" s="526"/>
      <c r="AD1039" s="526"/>
      <c r="AE1039" s="1124"/>
      <c r="AF1039" s="526"/>
      <c r="AG1039" s="526"/>
      <c r="AH1039" s="526"/>
      <c r="AI1039" s="526"/>
      <c r="AJ1039" s="1124"/>
      <c r="AK1039" s="526"/>
      <c r="AL1039" s="526"/>
      <c r="AM1039" s="526"/>
      <c r="AN1039" s="526"/>
      <c r="AO1039" s="1124"/>
      <c r="AP1039" s="526"/>
      <c r="AQ1039" s="526"/>
      <c r="AR1039" s="526"/>
      <c r="AS1039" s="526"/>
      <c r="AT1039" s="1123">
        <v>498.62</v>
      </c>
      <c r="AU1039" s="526"/>
      <c r="AV1039" s="526"/>
      <c r="AW1039" s="526"/>
      <c r="AX1039" s="526"/>
      <c r="AY1039" s="1123">
        <v>498.62</v>
      </c>
      <c r="AZ1039" s="526"/>
      <c r="BA1039" s="526"/>
      <c r="BB1039" s="526"/>
      <c r="BC1039" s="526"/>
      <c r="BD1039" s="1123">
        <v>498.62</v>
      </c>
      <c r="BE1039" s="526"/>
      <c r="BF1039" s="526"/>
      <c r="BG1039" s="526"/>
      <c r="BH1039" s="526"/>
      <c r="BI1039" s="1123">
        <v>498.62</v>
      </c>
      <c r="BJ1039" s="526"/>
      <c r="BK1039" s="526"/>
      <c r="BL1039" s="526"/>
      <c r="BM1039" s="526"/>
      <c r="BN1039" s="1123">
        <v>498.62</v>
      </c>
      <c r="BO1039" s="526"/>
      <c r="BP1039" s="526"/>
      <c r="BQ1039" s="526"/>
      <c r="BR1039" s="526"/>
      <c r="BS1039" s="1124"/>
      <c r="BT1039" s="729"/>
      <c r="BU1039" s="526"/>
      <c r="BV1039" s="526"/>
      <c r="BW1039" s="526"/>
      <c r="BX1039" s="1124"/>
      <c r="BY1039" s="526"/>
      <c r="BZ1039" s="526"/>
      <c r="CA1039" s="526"/>
      <c r="CB1039" s="526"/>
      <c r="CC1039" s="1124"/>
      <c r="CD1039" s="1124"/>
      <c r="CE1039" s="1124"/>
      <c r="CF1039" s="1124"/>
      <c r="CG1039" s="533"/>
    </row>
    <row r="1040" spans="1:85" s="614" customFormat="1" x14ac:dyDescent="0.3">
      <c r="A1040" s="522"/>
      <c r="B1040" s="352"/>
      <c r="C1040" s="1094"/>
      <c r="D1040" s="1094"/>
      <c r="E1040" s="1094"/>
      <c r="F1040" s="1094"/>
      <c r="G1040" s="197"/>
      <c r="H1040" s="197"/>
      <c r="I1040" s="197"/>
      <c r="J1040" s="197"/>
      <c r="K1040" s="1094"/>
      <c r="L1040" s="197"/>
      <c r="M1040" s="197"/>
      <c r="N1040" s="197"/>
      <c r="O1040" s="197"/>
      <c r="P1040" s="1094"/>
      <c r="Q1040" s="197"/>
      <c r="R1040" s="197"/>
      <c r="S1040" s="197"/>
      <c r="T1040" s="197"/>
      <c r="U1040" s="1094"/>
      <c r="V1040" s="197"/>
      <c r="W1040" s="197"/>
      <c r="X1040" s="197"/>
      <c r="Y1040" s="197"/>
      <c r="Z1040" s="1094"/>
      <c r="AA1040" s="197"/>
      <c r="AB1040" s="197"/>
      <c r="AC1040" s="197"/>
      <c r="AD1040" s="197"/>
      <c r="AE1040" s="1094"/>
      <c r="AF1040" s="197"/>
      <c r="AG1040" s="197"/>
      <c r="AH1040" s="197"/>
      <c r="AI1040" s="197"/>
      <c r="AJ1040" s="1094"/>
      <c r="AK1040" s="197"/>
      <c r="AL1040" s="197"/>
      <c r="AM1040" s="197"/>
      <c r="AN1040" s="197"/>
      <c r="AO1040" s="1094"/>
      <c r="AP1040" s="197"/>
      <c r="AQ1040" s="197"/>
      <c r="AR1040" s="197"/>
      <c r="AS1040" s="197"/>
      <c r="AT1040" s="198"/>
      <c r="AU1040" s="197"/>
      <c r="AV1040" s="197"/>
      <c r="AW1040" s="197"/>
      <c r="AX1040" s="197"/>
      <c r="AY1040" s="198"/>
      <c r="AZ1040" s="197"/>
      <c r="BA1040" s="197"/>
      <c r="BB1040" s="197"/>
      <c r="BC1040" s="197"/>
      <c r="BD1040" s="198"/>
      <c r="BE1040" s="197"/>
      <c r="BF1040" s="197"/>
      <c r="BG1040" s="197"/>
      <c r="BH1040" s="197"/>
      <c r="BI1040" s="198"/>
      <c r="BJ1040" s="197"/>
      <c r="BK1040" s="197"/>
      <c r="BL1040" s="197"/>
      <c r="BM1040" s="197"/>
      <c r="BN1040" s="198"/>
      <c r="BO1040" s="197"/>
      <c r="BP1040" s="197"/>
      <c r="BQ1040" s="197"/>
      <c r="BR1040" s="197"/>
      <c r="BS1040" s="198"/>
      <c r="BT1040" s="727"/>
      <c r="BU1040" s="197"/>
      <c r="BV1040" s="197"/>
      <c r="BW1040" s="197"/>
      <c r="BX1040" s="1094"/>
      <c r="BY1040" s="197"/>
      <c r="BZ1040" s="197"/>
      <c r="CA1040" s="197"/>
      <c r="CB1040" s="197"/>
      <c r="CC1040" s="1094"/>
      <c r="CD1040" s="1094"/>
      <c r="CE1040" s="1094"/>
      <c r="CF1040" s="1094"/>
      <c r="CG1040" s="349"/>
    </row>
    <row r="1041" spans="1:85" s="613" customFormat="1" x14ac:dyDescent="0.3">
      <c r="A1041" s="478" t="s">
        <v>1402</v>
      </c>
      <c r="B1041" s="523"/>
      <c r="C1041" s="78"/>
      <c r="D1041" s="78"/>
      <c r="E1041" s="78"/>
      <c r="F1041" s="78"/>
      <c r="G1041" s="774"/>
      <c r="H1041" s="774"/>
      <c r="I1041" s="774"/>
      <c r="J1041" s="774"/>
      <c r="K1041" s="78"/>
      <c r="L1041" s="774"/>
      <c r="M1041" s="774"/>
      <c r="N1041" s="774"/>
      <c r="O1041" s="774"/>
      <c r="P1041" s="78"/>
      <c r="Q1041" s="774"/>
      <c r="R1041" s="774"/>
      <c r="S1041" s="774"/>
      <c r="T1041" s="774"/>
      <c r="U1041" s="78"/>
      <c r="V1041" s="774"/>
      <c r="W1041" s="774"/>
      <c r="X1041" s="774"/>
      <c r="Y1041" s="774"/>
      <c r="Z1041" s="78"/>
      <c r="AA1041" s="774"/>
      <c r="AB1041" s="774"/>
      <c r="AC1041" s="774"/>
      <c r="AD1041" s="774"/>
      <c r="AE1041" s="78"/>
      <c r="AF1041" s="774"/>
      <c r="AG1041" s="774"/>
      <c r="AH1041" s="774"/>
      <c r="AI1041" s="774"/>
      <c r="AJ1041" s="78"/>
      <c r="AK1041" s="774"/>
      <c r="AL1041" s="774"/>
      <c r="AM1041" s="774"/>
      <c r="AN1041" s="774"/>
      <c r="AO1041" s="78"/>
      <c r="AP1041" s="774"/>
      <c r="AQ1041" s="774"/>
      <c r="AR1041" s="774"/>
      <c r="AS1041" s="774"/>
      <c r="AT1041" s="1119">
        <v>2.0579999999999998</v>
      </c>
      <c r="AU1041" s="774"/>
      <c r="AV1041" s="774"/>
      <c r="AW1041" s="774"/>
      <c r="AX1041" s="774"/>
      <c r="AY1041" s="1119">
        <v>2.0579999999999998</v>
      </c>
      <c r="AZ1041" s="774"/>
      <c r="BA1041" s="774"/>
      <c r="BB1041" s="774"/>
      <c r="BC1041" s="774"/>
      <c r="BD1041" s="1119">
        <v>2.0579999999999998</v>
      </c>
      <c r="BE1041" s="774"/>
      <c r="BF1041" s="774"/>
      <c r="BG1041" s="774"/>
      <c r="BH1041" s="774"/>
      <c r="BI1041" s="1119">
        <v>2.0579999999999998</v>
      </c>
      <c r="BJ1041" s="774"/>
      <c r="BK1041" s="774"/>
      <c r="BL1041" s="774"/>
      <c r="BM1041" s="774"/>
      <c r="BN1041" s="1119">
        <v>2.0579999999999998</v>
      </c>
      <c r="BO1041" s="774"/>
      <c r="BP1041" s="774"/>
      <c r="BQ1041" s="774"/>
      <c r="BR1041" s="774"/>
      <c r="BS1041" s="78"/>
      <c r="BT1041" s="775"/>
      <c r="BU1041" s="774"/>
      <c r="BV1041" s="774"/>
      <c r="BW1041" s="774"/>
      <c r="BX1041" s="78"/>
      <c r="BY1041" s="774"/>
      <c r="BZ1041" s="774"/>
      <c r="CA1041" s="774"/>
      <c r="CB1041" s="774"/>
      <c r="CC1041" s="78"/>
      <c r="CD1041" s="78"/>
      <c r="CE1041" s="78"/>
      <c r="CF1041" s="78"/>
      <c r="CG1041" s="532"/>
    </row>
    <row r="1042" spans="1:85" s="616" customFormat="1" x14ac:dyDescent="0.3">
      <c r="A1042" s="522" t="s">
        <v>1401</v>
      </c>
      <c r="B1042" s="527"/>
      <c r="C1042" s="1124"/>
      <c r="D1042" s="1124"/>
      <c r="E1042" s="1124"/>
      <c r="F1042" s="1124"/>
      <c r="G1042" s="526"/>
      <c r="H1042" s="526"/>
      <c r="I1042" s="526"/>
      <c r="J1042" s="526"/>
      <c r="K1042" s="1124"/>
      <c r="L1042" s="526"/>
      <c r="M1042" s="526"/>
      <c r="N1042" s="526"/>
      <c r="O1042" s="526"/>
      <c r="P1042" s="1124"/>
      <c r="Q1042" s="526"/>
      <c r="R1042" s="526"/>
      <c r="S1042" s="526"/>
      <c r="T1042" s="526"/>
      <c r="U1042" s="1124"/>
      <c r="V1042" s="526"/>
      <c r="W1042" s="526"/>
      <c r="X1042" s="526"/>
      <c r="Y1042" s="526"/>
      <c r="Z1042" s="1124"/>
      <c r="AA1042" s="526"/>
      <c r="AB1042" s="526"/>
      <c r="AC1042" s="526"/>
      <c r="AD1042" s="526"/>
      <c r="AE1042" s="1124"/>
      <c r="AF1042" s="526"/>
      <c r="AG1042" s="526"/>
      <c r="AH1042" s="526"/>
      <c r="AI1042" s="526"/>
      <c r="AJ1042" s="1124"/>
      <c r="AK1042" s="526"/>
      <c r="AL1042" s="526"/>
      <c r="AM1042" s="526"/>
      <c r="AN1042" s="526"/>
      <c r="AO1042" s="1124"/>
      <c r="AP1042" s="526"/>
      <c r="AQ1042" s="526"/>
      <c r="AR1042" s="526"/>
      <c r="AS1042" s="526"/>
      <c r="AT1042" s="1123">
        <v>556.54999999999995</v>
      </c>
      <c r="AU1042" s="526"/>
      <c r="AV1042" s="526"/>
      <c r="AW1042" s="526"/>
      <c r="AX1042" s="526"/>
      <c r="AY1042" s="1123">
        <v>556.54999999999995</v>
      </c>
      <c r="AZ1042" s="526"/>
      <c r="BA1042" s="526"/>
      <c r="BB1042" s="526"/>
      <c r="BC1042" s="526"/>
      <c r="BD1042" s="1123">
        <v>556.54999999999995</v>
      </c>
      <c r="BE1042" s="526"/>
      <c r="BF1042" s="526"/>
      <c r="BG1042" s="526"/>
      <c r="BH1042" s="526"/>
      <c r="BI1042" s="1123">
        <v>556.54999999999995</v>
      </c>
      <c r="BJ1042" s="526"/>
      <c r="BK1042" s="526"/>
      <c r="BL1042" s="526"/>
      <c r="BM1042" s="526"/>
      <c r="BN1042" s="1123">
        <v>556.54999999999995</v>
      </c>
      <c r="BO1042" s="526"/>
      <c r="BP1042" s="526"/>
      <c r="BQ1042" s="526"/>
      <c r="BR1042" s="526"/>
      <c r="BS1042" s="1124"/>
      <c r="BT1042" s="729"/>
      <c r="BU1042" s="526"/>
      <c r="BV1042" s="526"/>
      <c r="BW1042" s="526"/>
      <c r="BX1042" s="1124"/>
      <c r="BY1042" s="526"/>
      <c r="BZ1042" s="526"/>
      <c r="CA1042" s="526"/>
      <c r="CB1042" s="526"/>
      <c r="CC1042" s="1124"/>
      <c r="CD1042" s="1124"/>
      <c r="CE1042" s="1124"/>
      <c r="CF1042" s="1124"/>
      <c r="CG1042" s="533"/>
    </row>
    <row r="1043" spans="1:85" s="614" customFormat="1" x14ac:dyDescent="0.3">
      <c r="A1043" s="522"/>
      <c r="B1043" s="352"/>
      <c r="C1043" s="1094"/>
      <c r="D1043" s="1094"/>
      <c r="E1043" s="1094"/>
      <c r="F1043" s="1094"/>
      <c r="G1043" s="197"/>
      <c r="H1043" s="197"/>
      <c r="I1043" s="197"/>
      <c r="J1043" s="197"/>
      <c r="K1043" s="1094"/>
      <c r="L1043" s="197"/>
      <c r="M1043" s="197"/>
      <c r="N1043" s="197"/>
      <c r="O1043" s="197"/>
      <c r="P1043" s="1094"/>
      <c r="Q1043" s="197"/>
      <c r="R1043" s="197"/>
      <c r="S1043" s="197"/>
      <c r="T1043" s="197"/>
      <c r="U1043" s="1094"/>
      <c r="V1043" s="197"/>
      <c r="W1043" s="197"/>
      <c r="X1043" s="197"/>
      <c r="Y1043" s="197"/>
      <c r="Z1043" s="1094"/>
      <c r="AA1043" s="197"/>
      <c r="AB1043" s="197"/>
      <c r="AC1043" s="197"/>
      <c r="AD1043" s="197"/>
      <c r="AE1043" s="1094"/>
      <c r="AF1043" s="197"/>
      <c r="AG1043" s="197"/>
      <c r="AH1043" s="197"/>
      <c r="AI1043" s="197"/>
      <c r="AJ1043" s="1094"/>
      <c r="AK1043" s="197"/>
      <c r="AL1043" s="197"/>
      <c r="AM1043" s="197"/>
      <c r="AN1043" s="197"/>
      <c r="AO1043" s="1094"/>
      <c r="AP1043" s="197"/>
      <c r="AQ1043" s="197"/>
      <c r="AR1043" s="197"/>
      <c r="AS1043" s="197"/>
      <c r="AT1043" s="198"/>
      <c r="AU1043" s="197"/>
      <c r="AV1043" s="197"/>
      <c r="AW1043" s="197"/>
      <c r="AX1043" s="197"/>
      <c r="AY1043" s="198"/>
      <c r="AZ1043" s="197"/>
      <c r="BA1043" s="197"/>
      <c r="BB1043" s="197"/>
      <c r="BC1043" s="197"/>
      <c r="BD1043" s="198"/>
      <c r="BE1043" s="197"/>
      <c r="BF1043" s="197"/>
      <c r="BG1043" s="197"/>
      <c r="BH1043" s="197"/>
      <c r="BI1043" s="198"/>
      <c r="BJ1043" s="197"/>
      <c r="BK1043" s="197"/>
      <c r="BL1043" s="197"/>
      <c r="BM1043" s="197"/>
      <c r="BN1043" s="198"/>
      <c r="BO1043" s="197"/>
      <c r="BP1043" s="197"/>
      <c r="BQ1043" s="197"/>
      <c r="BR1043" s="197"/>
      <c r="BS1043" s="198"/>
      <c r="BT1043" s="727"/>
      <c r="BU1043" s="197"/>
      <c r="BV1043" s="197"/>
      <c r="BW1043" s="197"/>
      <c r="BX1043" s="1094"/>
      <c r="BY1043" s="197"/>
      <c r="BZ1043" s="197"/>
      <c r="CA1043" s="197"/>
      <c r="CB1043" s="197"/>
      <c r="CC1043" s="1094"/>
      <c r="CD1043" s="1094"/>
      <c r="CE1043" s="1094"/>
      <c r="CF1043" s="1094"/>
      <c r="CG1043" s="349"/>
    </row>
    <row r="1044" spans="1:85" s="613" customFormat="1" x14ac:dyDescent="0.3">
      <c r="A1044" s="478" t="s">
        <v>1400</v>
      </c>
      <c r="B1044" s="523"/>
      <c r="C1044" s="78"/>
      <c r="D1044" s="78"/>
      <c r="E1044" s="78"/>
      <c r="F1044" s="78"/>
      <c r="G1044" s="774"/>
      <c r="H1044" s="774"/>
      <c r="I1044" s="774"/>
      <c r="J1044" s="774"/>
      <c r="K1044" s="78"/>
      <c r="L1044" s="774"/>
      <c r="M1044" s="774"/>
      <c r="N1044" s="774"/>
      <c r="O1044" s="774"/>
      <c r="P1044" s="78"/>
      <c r="Q1044" s="774"/>
      <c r="R1044" s="774"/>
      <c r="S1044" s="774"/>
      <c r="T1044" s="774"/>
      <c r="U1044" s="78"/>
      <c r="V1044" s="774"/>
      <c r="W1044" s="774"/>
      <c r="X1044" s="774"/>
      <c r="Y1044" s="774"/>
      <c r="Z1044" s="78"/>
      <c r="AA1044" s="774"/>
      <c r="AB1044" s="774"/>
      <c r="AC1044" s="774"/>
      <c r="AD1044" s="774"/>
      <c r="AE1044" s="78"/>
      <c r="AF1044" s="774"/>
      <c r="AG1044" s="774"/>
      <c r="AH1044" s="774"/>
      <c r="AI1044" s="774"/>
      <c r="AJ1044" s="78"/>
      <c r="AK1044" s="774"/>
      <c r="AL1044" s="774"/>
      <c r="AM1044" s="774"/>
      <c r="AN1044" s="774"/>
      <c r="AO1044" s="78"/>
      <c r="AP1044" s="774"/>
      <c r="AQ1044" s="774"/>
      <c r="AR1044" s="774"/>
      <c r="AS1044" s="774"/>
      <c r="AT1044" s="1119">
        <v>2.173</v>
      </c>
      <c r="AU1044" s="774"/>
      <c r="AV1044" s="774"/>
      <c r="AW1044" s="774"/>
      <c r="AX1044" s="774"/>
      <c r="AY1044" s="1119">
        <v>2.173</v>
      </c>
      <c r="AZ1044" s="774"/>
      <c r="BA1044" s="774"/>
      <c r="BB1044" s="774"/>
      <c r="BC1044" s="774"/>
      <c r="BD1044" s="1119">
        <v>2.173</v>
      </c>
      <c r="BE1044" s="774"/>
      <c r="BF1044" s="774"/>
      <c r="BG1044" s="774"/>
      <c r="BH1044" s="774"/>
      <c r="BI1044" s="1119">
        <v>2.173</v>
      </c>
      <c r="BJ1044" s="774"/>
      <c r="BK1044" s="774"/>
      <c r="BL1044" s="774"/>
      <c r="BM1044" s="774"/>
      <c r="BN1044" s="1119">
        <v>2.173</v>
      </c>
      <c r="BO1044" s="774"/>
      <c r="BP1044" s="774"/>
      <c r="BQ1044" s="774"/>
      <c r="BR1044" s="774"/>
      <c r="BS1044" s="78"/>
      <c r="BT1044" s="775"/>
      <c r="BU1044" s="774"/>
      <c r="BV1044" s="774"/>
      <c r="BW1044" s="774"/>
      <c r="BX1044" s="78"/>
      <c r="BY1044" s="774"/>
      <c r="BZ1044" s="774"/>
      <c r="CA1044" s="774"/>
      <c r="CB1044" s="774"/>
      <c r="CC1044" s="78"/>
      <c r="CD1044" s="78"/>
      <c r="CE1044" s="78"/>
      <c r="CF1044" s="78"/>
      <c r="CG1044" s="532"/>
    </row>
    <row r="1045" spans="1:85" s="616" customFormat="1" x14ac:dyDescent="0.3">
      <c r="A1045" s="522" t="s">
        <v>1399</v>
      </c>
      <c r="B1045" s="527"/>
      <c r="C1045" s="1124"/>
      <c r="D1045" s="1124"/>
      <c r="E1045" s="1124"/>
      <c r="F1045" s="1124"/>
      <c r="G1045" s="526"/>
      <c r="H1045" s="526"/>
      <c r="I1045" s="526"/>
      <c r="J1045" s="526"/>
      <c r="K1045" s="1124"/>
      <c r="L1045" s="526"/>
      <c r="M1045" s="526"/>
      <c r="N1045" s="526"/>
      <c r="O1045" s="526"/>
      <c r="P1045" s="1124"/>
      <c r="Q1045" s="526"/>
      <c r="R1045" s="526"/>
      <c r="S1045" s="526"/>
      <c r="T1045" s="526"/>
      <c r="U1045" s="1124"/>
      <c r="V1045" s="526"/>
      <c r="W1045" s="526"/>
      <c r="X1045" s="526"/>
      <c r="Y1045" s="526"/>
      <c r="Z1045" s="1124"/>
      <c r="AA1045" s="526"/>
      <c r="AB1045" s="526"/>
      <c r="AC1045" s="526"/>
      <c r="AD1045" s="526"/>
      <c r="AE1045" s="1124"/>
      <c r="AF1045" s="526"/>
      <c r="AG1045" s="526"/>
      <c r="AH1045" s="526"/>
      <c r="AI1045" s="526"/>
      <c r="AJ1045" s="1124"/>
      <c r="AK1045" s="526"/>
      <c r="AL1045" s="526"/>
      <c r="AM1045" s="526"/>
      <c r="AN1045" s="526"/>
      <c r="AO1045" s="1124"/>
      <c r="AP1045" s="526"/>
      <c r="AQ1045" s="526"/>
      <c r="AR1045" s="526"/>
      <c r="AS1045" s="526"/>
      <c r="AT1045" s="1123">
        <v>527.51</v>
      </c>
      <c r="AU1045" s="526"/>
      <c r="AV1045" s="526"/>
      <c r="AW1045" s="526"/>
      <c r="AX1045" s="526"/>
      <c r="AY1045" s="1123">
        <v>527.51</v>
      </c>
      <c r="AZ1045" s="526"/>
      <c r="BA1045" s="526"/>
      <c r="BB1045" s="526"/>
      <c r="BC1045" s="526"/>
      <c r="BD1045" s="1123">
        <v>527.51</v>
      </c>
      <c r="BE1045" s="526"/>
      <c r="BF1045" s="526"/>
      <c r="BG1045" s="526"/>
      <c r="BH1045" s="526"/>
      <c r="BI1045" s="1123">
        <v>527.51</v>
      </c>
      <c r="BJ1045" s="526"/>
      <c r="BK1045" s="526"/>
      <c r="BL1045" s="526"/>
      <c r="BM1045" s="526"/>
      <c r="BN1045" s="1123">
        <v>527.51</v>
      </c>
      <c r="BO1045" s="526"/>
      <c r="BP1045" s="526"/>
      <c r="BQ1045" s="526"/>
      <c r="BR1045" s="526"/>
      <c r="BS1045" s="1124"/>
      <c r="BT1045" s="729"/>
      <c r="BU1045" s="526"/>
      <c r="BV1045" s="526"/>
      <c r="BW1045" s="526"/>
      <c r="BX1045" s="1124"/>
      <c r="BY1045" s="526"/>
      <c r="BZ1045" s="526"/>
      <c r="CA1045" s="526"/>
      <c r="CB1045" s="526"/>
      <c r="CC1045" s="1124"/>
      <c r="CD1045" s="1124"/>
      <c r="CE1045" s="1124"/>
      <c r="CF1045" s="1124"/>
      <c r="CG1045" s="533"/>
    </row>
    <row r="1046" spans="1:85" s="614" customFormat="1" x14ac:dyDescent="0.3">
      <c r="A1046" s="522"/>
      <c r="B1046" s="352"/>
      <c r="C1046" s="1094"/>
      <c r="D1046" s="1094"/>
      <c r="E1046" s="1094"/>
      <c r="F1046" s="1094"/>
      <c r="G1046" s="197"/>
      <c r="H1046" s="197"/>
      <c r="I1046" s="197"/>
      <c r="J1046" s="197"/>
      <c r="K1046" s="1094"/>
      <c r="L1046" s="197"/>
      <c r="M1046" s="197"/>
      <c r="N1046" s="197"/>
      <c r="O1046" s="197"/>
      <c r="P1046" s="1094"/>
      <c r="Q1046" s="197"/>
      <c r="R1046" s="197"/>
      <c r="S1046" s="197"/>
      <c r="T1046" s="197"/>
      <c r="U1046" s="1094"/>
      <c r="V1046" s="197"/>
      <c r="W1046" s="197"/>
      <c r="X1046" s="197"/>
      <c r="Y1046" s="197"/>
      <c r="Z1046" s="1094"/>
      <c r="AA1046" s="197"/>
      <c r="AB1046" s="197"/>
      <c r="AC1046" s="197"/>
      <c r="AD1046" s="197"/>
      <c r="AE1046" s="1094"/>
      <c r="AF1046" s="197"/>
      <c r="AG1046" s="197"/>
      <c r="AH1046" s="197"/>
      <c r="AI1046" s="197"/>
      <c r="AJ1046" s="1094"/>
      <c r="AK1046" s="197"/>
      <c r="AL1046" s="197"/>
      <c r="AM1046" s="197"/>
      <c r="AN1046" s="197"/>
      <c r="AO1046" s="1094"/>
      <c r="AP1046" s="197"/>
      <c r="AQ1046" s="197"/>
      <c r="AR1046" s="197"/>
      <c r="AS1046" s="197"/>
      <c r="AT1046" s="198"/>
      <c r="AU1046" s="197"/>
      <c r="AV1046" s="197"/>
      <c r="AW1046" s="197"/>
      <c r="AX1046" s="197"/>
      <c r="AY1046" s="198"/>
      <c r="AZ1046" s="197"/>
      <c r="BA1046" s="197"/>
      <c r="BB1046" s="197"/>
      <c r="BC1046" s="197"/>
      <c r="BD1046" s="198"/>
      <c r="BE1046" s="197"/>
      <c r="BF1046" s="197"/>
      <c r="BG1046" s="197"/>
      <c r="BH1046" s="197"/>
      <c r="BI1046" s="198"/>
      <c r="BJ1046" s="197"/>
      <c r="BK1046" s="197"/>
      <c r="BL1046" s="197"/>
      <c r="BM1046" s="197"/>
      <c r="BN1046" s="198"/>
      <c r="BO1046" s="197"/>
      <c r="BP1046" s="197"/>
      <c r="BQ1046" s="197"/>
      <c r="BR1046" s="197"/>
      <c r="BS1046" s="198"/>
      <c r="BT1046" s="727"/>
      <c r="BU1046" s="197"/>
      <c r="BV1046" s="197"/>
      <c r="BW1046" s="197"/>
      <c r="BX1046" s="1094"/>
      <c r="BY1046" s="197"/>
      <c r="BZ1046" s="197"/>
      <c r="CA1046" s="197"/>
      <c r="CB1046" s="197"/>
      <c r="CC1046" s="1094"/>
      <c r="CD1046" s="1094"/>
      <c r="CE1046" s="1094"/>
      <c r="CF1046" s="1094"/>
      <c r="CG1046" s="349"/>
    </row>
    <row r="1047" spans="1:85" s="613" customFormat="1" x14ac:dyDescent="0.3">
      <c r="A1047" s="478" t="s">
        <v>1398</v>
      </c>
      <c r="B1047" s="523"/>
      <c r="C1047" s="78"/>
      <c r="D1047" s="78"/>
      <c r="E1047" s="78"/>
      <c r="F1047" s="78"/>
      <c r="G1047" s="774"/>
      <c r="H1047" s="774"/>
      <c r="I1047" s="774"/>
      <c r="J1047" s="774"/>
      <c r="K1047" s="78"/>
      <c r="L1047" s="774"/>
      <c r="M1047" s="774"/>
      <c r="N1047" s="774"/>
      <c r="O1047" s="774"/>
      <c r="P1047" s="78"/>
      <c r="Q1047" s="774"/>
      <c r="R1047" s="774"/>
      <c r="S1047" s="774"/>
      <c r="T1047" s="774"/>
      <c r="U1047" s="78"/>
      <c r="V1047" s="774"/>
      <c r="W1047" s="774"/>
      <c r="X1047" s="774"/>
      <c r="Y1047" s="774"/>
      <c r="Z1047" s="78"/>
      <c r="AA1047" s="774"/>
      <c r="AB1047" s="774"/>
      <c r="AC1047" s="774"/>
      <c r="AD1047" s="774"/>
      <c r="AE1047" s="78"/>
      <c r="AF1047" s="774"/>
      <c r="AG1047" s="774"/>
      <c r="AH1047" s="774"/>
      <c r="AI1047" s="774"/>
      <c r="AJ1047" s="78"/>
      <c r="AK1047" s="774"/>
      <c r="AL1047" s="774"/>
      <c r="AM1047" s="774"/>
      <c r="AN1047" s="774"/>
      <c r="AO1047" s="78"/>
      <c r="AP1047" s="774"/>
      <c r="AQ1047" s="774"/>
      <c r="AR1047" s="774"/>
      <c r="AS1047" s="774"/>
      <c r="AT1047" s="1119">
        <v>2.367</v>
      </c>
      <c r="AU1047" s="774"/>
      <c r="AV1047" s="774"/>
      <c r="AW1047" s="774"/>
      <c r="AX1047" s="774"/>
      <c r="AY1047" s="1119">
        <v>2.367</v>
      </c>
      <c r="AZ1047" s="774"/>
      <c r="BA1047" s="774"/>
      <c r="BB1047" s="774"/>
      <c r="BC1047" s="774"/>
      <c r="BD1047" s="1119">
        <v>2.367</v>
      </c>
      <c r="BE1047" s="774"/>
      <c r="BF1047" s="774"/>
      <c r="BG1047" s="774"/>
      <c r="BH1047" s="774"/>
      <c r="BI1047" s="1119">
        <v>2.367</v>
      </c>
      <c r="BJ1047" s="774"/>
      <c r="BK1047" s="774"/>
      <c r="BL1047" s="774"/>
      <c r="BM1047" s="774"/>
      <c r="BN1047" s="1119">
        <v>2.367</v>
      </c>
      <c r="BO1047" s="774"/>
      <c r="BP1047" s="774"/>
      <c r="BQ1047" s="774"/>
      <c r="BR1047" s="774"/>
      <c r="BS1047" s="78"/>
      <c r="BT1047" s="775"/>
      <c r="BU1047" s="774"/>
      <c r="BV1047" s="774"/>
      <c r="BW1047" s="774"/>
      <c r="BX1047" s="78"/>
      <c r="BY1047" s="774"/>
      <c r="BZ1047" s="774"/>
      <c r="CA1047" s="774"/>
      <c r="CB1047" s="774"/>
      <c r="CC1047" s="78"/>
      <c r="CD1047" s="78"/>
      <c r="CE1047" s="78"/>
      <c r="CF1047" s="78"/>
      <c r="CG1047" s="532"/>
    </row>
    <row r="1048" spans="1:85" s="616" customFormat="1" x14ac:dyDescent="0.3">
      <c r="A1048" s="522" t="s">
        <v>1397</v>
      </c>
      <c r="B1048" s="527"/>
      <c r="C1048" s="1124"/>
      <c r="D1048" s="1124"/>
      <c r="E1048" s="1124"/>
      <c r="F1048" s="1124"/>
      <c r="G1048" s="526"/>
      <c r="H1048" s="526"/>
      <c r="I1048" s="526"/>
      <c r="J1048" s="526"/>
      <c r="K1048" s="1124"/>
      <c r="L1048" s="526"/>
      <c r="M1048" s="526"/>
      <c r="N1048" s="526"/>
      <c r="O1048" s="526"/>
      <c r="P1048" s="1124"/>
      <c r="Q1048" s="526"/>
      <c r="R1048" s="526"/>
      <c r="S1048" s="526"/>
      <c r="T1048" s="526"/>
      <c r="U1048" s="1124"/>
      <c r="V1048" s="526"/>
      <c r="W1048" s="526"/>
      <c r="X1048" s="526"/>
      <c r="Y1048" s="526"/>
      <c r="Z1048" s="1124"/>
      <c r="AA1048" s="526"/>
      <c r="AB1048" s="526"/>
      <c r="AC1048" s="526"/>
      <c r="AD1048" s="526"/>
      <c r="AE1048" s="1124"/>
      <c r="AF1048" s="526"/>
      <c r="AG1048" s="526"/>
      <c r="AH1048" s="526"/>
      <c r="AI1048" s="526"/>
      <c r="AJ1048" s="1124"/>
      <c r="AK1048" s="526"/>
      <c r="AL1048" s="526"/>
      <c r="AM1048" s="526"/>
      <c r="AN1048" s="526"/>
      <c r="AO1048" s="1124"/>
      <c r="AP1048" s="526"/>
      <c r="AQ1048" s="526"/>
      <c r="AR1048" s="526"/>
      <c r="AS1048" s="526"/>
      <c r="AT1048" s="1123">
        <v>484.12</v>
      </c>
      <c r="AU1048" s="526"/>
      <c r="AV1048" s="526"/>
      <c r="AW1048" s="526"/>
      <c r="AX1048" s="526"/>
      <c r="AY1048" s="1123">
        <v>484.12</v>
      </c>
      <c r="AZ1048" s="526"/>
      <c r="BA1048" s="526"/>
      <c r="BB1048" s="526"/>
      <c r="BC1048" s="526"/>
      <c r="BD1048" s="1123">
        <v>484.12</v>
      </c>
      <c r="BE1048" s="526"/>
      <c r="BF1048" s="526"/>
      <c r="BG1048" s="526"/>
      <c r="BH1048" s="526"/>
      <c r="BI1048" s="1123">
        <v>484.12</v>
      </c>
      <c r="BJ1048" s="526"/>
      <c r="BK1048" s="526"/>
      <c r="BL1048" s="526"/>
      <c r="BM1048" s="526"/>
      <c r="BN1048" s="1123">
        <v>484.12</v>
      </c>
      <c r="BO1048" s="526"/>
      <c r="BP1048" s="526"/>
      <c r="BQ1048" s="526"/>
      <c r="BR1048" s="526"/>
      <c r="BS1048" s="1124"/>
      <c r="BT1048" s="729"/>
      <c r="BU1048" s="526"/>
      <c r="BV1048" s="526"/>
      <c r="BW1048" s="526"/>
      <c r="BX1048" s="1124"/>
      <c r="BY1048" s="526"/>
      <c r="BZ1048" s="526"/>
      <c r="CA1048" s="526"/>
      <c r="CB1048" s="526"/>
      <c r="CC1048" s="1124"/>
      <c r="CD1048" s="1124"/>
      <c r="CE1048" s="1124"/>
      <c r="CF1048" s="1124"/>
      <c r="CG1048" s="533"/>
    </row>
    <row r="1049" spans="1:85" s="614" customFormat="1" x14ac:dyDescent="0.3">
      <c r="A1049" s="522"/>
      <c r="B1049" s="352"/>
      <c r="C1049" s="1094"/>
      <c r="D1049" s="1094"/>
      <c r="E1049" s="1094"/>
      <c r="F1049" s="1094"/>
      <c r="G1049" s="197"/>
      <c r="H1049" s="197"/>
      <c r="I1049" s="197"/>
      <c r="J1049" s="197"/>
      <c r="K1049" s="1094"/>
      <c r="L1049" s="197"/>
      <c r="M1049" s="197"/>
      <c r="N1049" s="197"/>
      <c r="O1049" s="197"/>
      <c r="P1049" s="1094"/>
      <c r="Q1049" s="197"/>
      <c r="R1049" s="197"/>
      <c r="S1049" s="197"/>
      <c r="T1049" s="197"/>
      <c r="U1049" s="1094"/>
      <c r="V1049" s="197"/>
      <c r="W1049" s="197"/>
      <c r="X1049" s="197"/>
      <c r="Y1049" s="197"/>
      <c r="Z1049" s="1094"/>
      <c r="AA1049" s="197"/>
      <c r="AB1049" s="197"/>
      <c r="AC1049" s="197"/>
      <c r="AD1049" s="197"/>
      <c r="AE1049" s="1094"/>
      <c r="AF1049" s="197"/>
      <c r="AG1049" s="197"/>
      <c r="AH1049" s="197"/>
      <c r="AI1049" s="197"/>
      <c r="AJ1049" s="1094"/>
      <c r="AK1049" s="197"/>
      <c r="AL1049" s="197"/>
      <c r="AM1049" s="197"/>
      <c r="AN1049" s="197"/>
      <c r="AO1049" s="1094"/>
      <c r="AP1049" s="197"/>
      <c r="AQ1049" s="197"/>
      <c r="AR1049" s="197"/>
      <c r="AS1049" s="197"/>
      <c r="AT1049" s="198"/>
      <c r="AU1049" s="197"/>
      <c r="AV1049" s="197"/>
      <c r="AW1049" s="197"/>
      <c r="AX1049" s="197"/>
      <c r="AY1049" s="198"/>
      <c r="AZ1049" s="197"/>
      <c r="BA1049" s="197"/>
      <c r="BB1049" s="197"/>
      <c r="BC1049" s="197"/>
      <c r="BD1049" s="198"/>
      <c r="BE1049" s="197"/>
      <c r="BF1049" s="197"/>
      <c r="BG1049" s="197"/>
      <c r="BH1049" s="197"/>
      <c r="BI1049" s="198"/>
      <c r="BJ1049" s="197"/>
      <c r="BK1049" s="197"/>
      <c r="BL1049" s="197"/>
      <c r="BM1049" s="197"/>
      <c r="BN1049" s="198"/>
      <c r="BO1049" s="197"/>
      <c r="BP1049" s="197"/>
      <c r="BQ1049" s="197"/>
      <c r="BR1049" s="197"/>
      <c r="BS1049" s="198"/>
      <c r="BT1049" s="727"/>
      <c r="BU1049" s="197"/>
      <c r="BV1049" s="197"/>
      <c r="BW1049" s="197"/>
      <c r="BX1049" s="1094"/>
      <c r="BY1049" s="197"/>
      <c r="BZ1049" s="197"/>
      <c r="CA1049" s="197"/>
      <c r="CB1049" s="197"/>
      <c r="CC1049" s="1094"/>
      <c r="CD1049" s="1094"/>
      <c r="CE1049" s="1094"/>
      <c r="CF1049" s="1094"/>
      <c r="CG1049" s="349"/>
    </row>
    <row r="1050" spans="1:85" s="613" customFormat="1" x14ac:dyDescent="0.3">
      <c r="A1050" s="478" t="s">
        <v>1396</v>
      </c>
      <c r="B1050" s="523"/>
      <c r="C1050" s="78"/>
      <c r="D1050" s="78"/>
      <c r="E1050" s="78"/>
      <c r="F1050" s="78"/>
      <c r="G1050" s="774"/>
      <c r="H1050" s="774"/>
      <c r="I1050" s="774"/>
      <c r="J1050" s="774"/>
      <c r="K1050" s="78"/>
      <c r="L1050" s="774"/>
      <c r="M1050" s="774"/>
      <c r="N1050" s="774"/>
      <c r="O1050" s="774"/>
      <c r="P1050" s="78"/>
      <c r="Q1050" s="774"/>
      <c r="R1050" s="774"/>
      <c r="S1050" s="774"/>
      <c r="T1050" s="774"/>
      <c r="U1050" s="78"/>
      <c r="V1050" s="774"/>
      <c r="W1050" s="774"/>
      <c r="X1050" s="774"/>
      <c r="Y1050" s="774"/>
      <c r="Z1050" s="78"/>
      <c r="AA1050" s="774"/>
      <c r="AB1050" s="774"/>
      <c r="AC1050" s="774"/>
      <c r="AD1050" s="774"/>
      <c r="AE1050" s="78"/>
      <c r="AF1050" s="774"/>
      <c r="AG1050" s="774"/>
      <c r="AH1050" s="774"/>
      <c r="AI1050" s="774"/>
      <c r="AJ1050" s="78"/>
      <c r="AK1050" s="774"/>
      <c r="AL1050" s="774"/>
      <c r="AM1050" s="774"/>
      <c r="AN1050" s="774"/>
      <c r="AO1050" s="78"/>
      <c r="AP1050" s="774"/>
      <c r="AQ1050" s="774"/>
      <c r="AR1050" s="774"/>
      <c r="AS1050" s="774"/>
      <c r="AT1050" s="1119">
        <v>2.27</v>
      </c>
      <c r="AU1050" s="774"/>
      <c r="AV1050" s="774"/>
      <c r="AW1050" s="774"/>
      <c r="AX1050" s="774"/>
      <c r="AY1050" s="1119">
        <v>2.27</v>
      </c>
      <c r="AZ1050" s="774"/>
      <c r="BA1050" s="774"/>
      <c r="BB1050" s="774"/>
      <c r="BC1050" s="774"/>
      <c r="BD1050" s="1119">
        <v>2.27</v>
      </c>
      <c r="BE1050" s="774"/>
      <c r="BF1050" s="774"/>
      <c r="BG1050" s="774"/>
      <c r="BH1050" s="774"/>
      <c r="BI1050" s="1119">
        <v>2.27</v>
      </c>
      <c r="BJ1050" s="774"/>
      <c r="BK1050" s="774"/>
      <c r="BL1050" s="774"/>
      <c r="BM1050" s="774"/>
      <c r="BN1050" s="1119">
        <v>2.27</v>
      </c>
      <c r="BO1050" s="774"/>
      <c r="BP1050" s="774"/>
      <c r="BQ1050" s="774"/>
      <c r="BR1050" s="774"/>
      <c r="BS1050" s="78"/>
      <c r="BT1050" s="775"/>
      <c r="BU1050" s="774"/>
      <c r="BV1050" s="774"/>
      <c r="BW1050" s="774"/>
      <c r="BX1050" s="78"/>
      <c r="BY1050" s="774"/>
      <c r="BZ1050" s="774"/>
      <c r="CA1050" s="774"/>
      <c r="CB1050" s="774"/>
      <c r="CC1050" s="78"/>
      <c r="CD1050" s="78"/>
      <c r="CE1050" s="78"/>
      <c r="CF1050" s="78"/>
      <c r="CG1050" s="532"/>
    </row>
    <row r="1051" spans="1:85" s="616" customFormat="1" x14ac:dyDescent="0.3">
      <c r="A1051" s="522" t="s">
        <v>1395</v>
      </c>
      <c r="B1051" s="527"/>
      <c r="C1051" s="1124"/>
      <c r="D1051" s="1124"/>
      <c r="E1051" s="1124"/>
      <c r="F1051" s="1124"/>
      <c r="G1051" s="526"/>
      <c r="H1051" s="526"/>
      <c r="I1051" s="526"/>
      <c r="J1051" s="526"/>
      <c r="K1051" s="1124"/>
      <c r="L1051" s="526"/>
      <c r="M1051" s="526"/>
      <c r="N1051" s="526"/>
      <c r="O1051" s="526"/>
      <c r="P1051" s="1124"/>
      <c r="Q1051" s="526"/>
      <c r="R1051" s="526"/>
      <c r="S1051" s="526"/>
      <c r="T1051" s="526"/>
      <c r="U1051" s="1124"/>
      <c r="V1051" s="526"/>
      <c r="W1051" s="526"/>
      <c r="X1051" s="526"/>
      <c r="Y1051" s="526"/>
      <c r="Z1051" s="1124"/>
      <c r="AA1051" s="526"/>
      <c r="AB1051" s="526"/>
      <c r="AC1051" s="526"/>
      <c r="AD1051" s="526"/>
      <c r="AE1051" s="1124"/>
      <c r="AF1051" s="526"/>
      <c r="AG1051" s="526"/>
      <c r="AH1051" s="526"/>
      <c r="AI1051" s="526"/>
      <c r="AJ1051" s="1124"/>
      <c r="AK1051" s="526"/>
      <c r="AL1051" s="526"/>
      <c r="AM1051" s="526"/>
      <c r="AN1051" s="526"/>
      <c r="AO1051" s="1124"/>
      <c r="AP1051" s="526"/>
      <c r="AQ1051" s="526"/>
      <c r="AR1051" s="526"/>
      <c r="AS1051" s="526"/>
      <c r="AT1051" s="1123">
        <v>504.58</v>
      </c>
      <c r="AU1051" s="526"/>
      <c r="AV1051" s="526"/>
      <c r="AW1051" s="526"/>
      <c r="AX1051" s="526"/>
      <c r="AY1051" s="1123">
        <v>504.58</v>
      </c>
      <c r="AZ1051" s="526"/>
      <c r="BA1051" s="526"/>
      <c r="BB1051" s="526"/>
      <c r="BC1051" s="526"/>
      <c r="BD1051" s="1123">
        <v>504.58</v>
      </c>
      <c r="BE1051" s="526"/>
      <c r="BF1051" s="526"/>
      <c r="BG1051" s="526"/>
      <c r="BH1051" s="526"/>
      <c r="BI1051" s="1123">
        <v>504.58</v>
      </c>
      <c r="BJ1051" s="526"/>
      <c r="BK1051" s="526"/>
      <c r="BL1051" s="526"/>
      <c r="BM1051" s="526"/>
      <c r="BN1051" s="1123">
        <v>504.58</v>
      </c>
      <c r="BO1051" s="526"/>
      <c r="BP1051" s="526"/>
      <c r="BQ1051" s="526"/>
      <c r="BR1051" s="526"/>
      <c r="BS1051" s="1124"/>
      <c r="BT1051" s="729"/>
      <c r="BU1051" s="526"/>
      <c r="BV1051" s="526"/>
      <c r="BW1051" s="526"/>
      <c r="BX1051" s="1124"/>
      <c r="BY1051" s="526"/>
      <c r="BZ1051" s="526"/>
      <c r="CA1051" s="526"/>
      <c r="CB1051" s="526"/>
      <c r="CC1051" s="1124"/>
      <c r="CD1051" s="1124"/>
      <c r="CE1051" s="1124"/>
      <c r="CF1051" s="1124"/>
      <c r="CG1051" s="533"/>
    </row>
    <row r="1052" spans="1:85" s="614" customFormat="1" x14ac:dyDescent="0.3">
      <c r="A1052" s="116"/>
      <c r="B1052" s="352"/>
      <c r="C1052" s="1094"/>
      <c r="D1052" s="1094"/>
      <c r="E1052" s="1094"/>
      <c r="F1052" s="1094"/>
      <c r="G1052" s="197"/>
      <c r="H1052" s="197"/>
      <c r="I1052" s="197"/>
      <c r="J1052" s="197"/>
      <c r="K1052" s="1094"/>
      <c r="L1052" s="197"/>
      <c r="M1052" s="197"/>
      <c r="N1052" s="197"/>
      <c r="O1052" s="197"/>
      <c r="P1052" s="1094"/>
      <c r="Q1052" s="197"/>
      <c r="R1052" s="197"/>
      <c r="S1052" s="197"/>
      <c r="T1052" s="197"/>
      <c r="U1052" s="1094"/>
      <c r="V1052" s="197"/>
      <c r="W1052" s="197"/>
      <c r="X1052" s="197"/>
      <c r="Y1052" s="197"/>
      <c r="Z1052" s="1094"/>
      <c r="AA1052" s="197"/>
      <c r="AB1052" s="197"/>
      <c r="AC1052" s="197"/>
      <c r="AD1052" s="197"/>
      <c r="AE1052" s="1094"/>
      <c r="AF1052" s="197"/>
      <c r="AG1052" s="197"/>
      <c r="AH1052" s="197"/>
      <c r="AI1052" s="197"/>
      <c r="AJ1052" s="1094"/>
      <c r="AK1052" s="197"/>
      <c r="AL1052" s="197"/>
      <c r="AM1052" s="197"/>
      <c r="AN1052" s="197"/>
      <c r="AO1052" s="1094"/>
      <c r="AP1052" s="197"/>
      <c r="AQ1052" s="197"/>
      <c r="AR1052" s="197"/>
      <c r="AS1052" s="197"/>
      <c r="AT1052" s="198"/>
      <c r="AU1052" s="197"/>
      <c r="AV1052" s="197"/>
      <c r="AW1052" s="197"/>
      <c r="AX1052" s="197"/>
      <c r="AY1052" s="198"/>
      <c r="AZ1052" s="197"/>
      <c r="BA1052" s="197"/>
      <c r="BB1052" s="197"/>
      <c r="BC1052" s="197"/>
      <c r="BD1052" s="198"/>
      <c r="BE1052" s="197"/>
      <c r="BF1052" s="197"/>
      <c r="BG1052" s="197"/>
      <c r="BH1052" s="197"/>
      <c r="BI1052" s="198"/>
      <c r="BJ1052" s="197"/>
      <c r="BK1052" s="197"/>
      <c r="BL1052" s="197"/>
      <c r="BM1052" s="197"/>
      <c r="BN1052" s="198"/>
      <c r="BO1052" s="197"/>
      <c r="BP1052" s="197"/>
      <c r="BQ1052" s="197"/>
      <c r="BR1052" s="197"/>
      <c r="BS1052" s="198"/>
      <c r="BT1052" s="727"/>
      <c r="BU1052" s="197"/>
      <c r="BV1052" s="197"/>
      <c r="BW1052" s="197"/>
      <c r="BX1052" s="1094"/>
      <c r="BY1052" s="197"/>
      <c r="BZ1052" s="197"/>
      <c r="CA1052" s="197"/>
      <c r="CB1052" s="197"/>
      <c r="CC1052" s="1094"/>
      <c r="CD1052" s="1094"/>
      <c r="CE1052" s="1094"/>
      <c r="CF1052" s="1094"/>
      <c r="CG1052" s="349"/>
    </row>
    <row r="1053" spans="1:85" s="613" customFormat="1" x14ac:dyDescent="0.3">
      <c r="A1053" s="478" t="s">
        <v>1394</v>
      </c>
      <c r="B1053" s="523"/>
      <c r="C1053" s="78"/>
      <c r="D1053" s="78"/>
      <c r="E1053" s="78"/>
      <c r="F1053" s="78"/>
      <c r="G1053" s="774"/>
      <c r="H1053" s="774"/>
      <c r="I1053" s="774"/>
      <c r="J1053" s="774"/>
      <c r="K1053" s="78"/>
      <c r="L1053" s="774"/>
      <c r="M1053" s="774"/>
      <c r="N1053" s="774"/>
      <c r="O1053" s="774"/>
      <c r="P1053" s="78"/>
      <c r="Q1053" s="774"/>
      <c r="R1053" s="774"/>
      <c r="S1053" s="774"/>
      <c r="T1053" s="774"/>
      <c r="U1053" s="78"/>
      <c r="V1053" s="774"/>
      <c r="W1053" s="774"/>
      <c r="X1053" s="774"/>
      <c r="Y1053" s="774"/>
      <c r="Z1053" s="78"/>
      <c r="AA1053" s="774"/>
      <c r="AB1053" s="774"/>
      <c r="AC1053" s="774"/>
      <c r="AD1053" s="774"/>
      <c r="AE1053" s="78"/>
      <c r="AF1053" s="774"/>
      <c r="AG1053" s="774"/>
      <c r="AH1053" s="774"/>
      <c r="AI1053" s="774"/>
      <c r="AJ1053" s="78"/>
      <c r="AK1053" s="774"/>
      <c r="AL1053" s="774"/>
      <c r="AM1053" s="774"/>
      <c r="AN1053" s="774"/>
      <c r="AO1053" s="78"/>
      <c r="AP1053" s="774"/>
      <c r="AQ1053" s="774"/>
      <c r="AR1053" s="774"/>
      <c r="AS1053" s="774"/>
      <c r="AT1053" s="78"/>
      <c r="AU1053" s="774"/>
      <c r="AV1053" s="774"/>
      <c r="AW1053" s="774"/>
      <c r="AX1053" s="774"/>
      <c r="AY1053" s="1119">
        <v>2.1920000000000002</v>
      </c>
      <c r="AZ1053" s="774"/>
      <c r="BA1053" s="774"/>
      <c r="BB1053" s="774"/>
      <c r="BC1053" s="774"/>
      <c r="BD1053" s="1119">
        <v>2.1920000000000002</v>
      </c>
      <c r="BE1053" s="774"/>
      <c r="BF1053" s="774"/>
      <c r="BG1053" s="774"/>
      <c r="BH1053" s="774"/>
      <c r="BI1053" s="1119">
        <v>2.1920000000000002</v>
      </c>
      <c r="BJ1053" s="774"/>
      <c r="BK1053" s="774"/>
      <c r="BL1053" s="774"/>
      <c r="BM1053" s="774"/>
      <c r="BN1053" s="1119">
        <v>2.1920000000000002</v>
      </c>
      <c r="BO1053" s="774"/>
      <c r="BP1053" s="774"/>
      <c r="BQ1053" s="774"/>
      <c r="BR1053" s="774"/>
      <c r="BS1053" s="78"/>
      <c r="BT1053" s="775"/>
      <c r="BU1053" s="774"/>
      <c r="BV1053" s="774"/>
      <c r="BW1053" s="774"/>
      <c r="BX1053" s="78"/>
      <c r="BY1053" s="774"/>
      <c r="BZ1053" s="774"/>
      <c r="CA1053" s="774"/>
      <c r="CB1053" s="774"/>
      <c r="CC1053" s="78"/>
      <c r="CD1053" s="78"/>
      <c r="CE1053" s="78"/>
      <c r="CF1053" s="78"/>
      <c r="CG1053" s="532"/>
    </row>
    <row r="1054" spans="1:85" s="616" customFormat="1" x14ac:dyDescent="0.3">
      <c r="A1054" s="522" t="s">
        <v>1393</v>
      </c>
      <c r="B1054" s="527"/>
      <c r="C1054" s="1124"/>
      <c r="D1054" s="1124"/>
      <c r="E1054" s="1124"/>
      <c r="F1054" s="1124"/>
      <c r="G1054" s="526"/>
      <c r="H1054" s="526"/>
      <c r="I1054" s="526"/>
      <c r="J1054" s="526"/>
      <c r="K1054" s="1124"/>
      <c r="L1054" s="526"/>
      <c r="M1054" s="526"/>
      <c r="N1054" s="526"/>
      <c r="O1054" s="526"/>
      <c r="P1054" s="1124"/>
      <c r="Q1054" s="526"/>
      <c r="R1054" s="526"/>
      <c r="S1054" s="526"/>
      <c r="T1054" s="526"/>
      <c r="U1054" s="1124"/>
      <c r="V1054" s="526"/>
      <c r="W1054" s="526"/>
      <c r="X1054" s="526"/>
      <c r="Y1054" s="526"/>
      <c r="Z1054" s="1124"/>
      <c r="AA1054" s="526"/>
      <c r="AB1054" s="526"/>
      <c r="AC1054" s="526"/>
      <c r="AD1054" s="526"/>
      <c r="AE1054" s="1124"/>
      <c r="AF1054" s="526"/>
      <c r="AG1054" s="526"/>
      <c r="AH1054" s="526"/>
      <c r="AI1054" s="526"/>
      <c r="AJ1054" s="1124"/>
      <c r="AK1054" s="526"/>
      <c r="AL1054" s="526"/>
      <c r="AM1054" s="526"/>
      <c r="AN1054" s="526"/>
      <c r="AO1054" s="1124"/>
      <c r="AP1054" s="526"/>
      <c r="AQ1054" s="526"/>
      <c r="AR1054" s="526"/>
      <c r="AS1054" s="526"/>
      <c r="AT1054" s="1124"/>
      <c r="AU1054" s="526"/>
      <c r="AV1054" s="526"/>
      <c r="AW1054" s="526"/>
      <c r="AX1054" s="526"/>
      <c r="AY1054" s="1123">
        <v>522.86</v>
      </c>
      <c r="AZ1054" s="526"/>
      <c r="BA1054" s="526"/>
      <c r="BB1054" s="526"/>
      <c r="BC1054" s="526"/>
      <c r="BD1054" s="1123">
        <v>522.86</v>
      </c>
      <c r="BE1054" s="526"/>
      <c r="BF1054" s="526"/>
      <c r="BG1054" s="526"/>
      <c r="BH1054" s="526"/>
      <c r="BI1054" s="1123">
        <v>522.86</v>
      </c>
      <c r="BJ1054" s="526"/>
      <c r="BK1054" s="526"/>
      <c r="BL1054" s="526"/>
      <c r="BM1054" s="526"/>
      <c r="BN1054" s="1123">
        <v>522.86</v>
      </c>
      <c r="BO1054" s="526"/>
      <c r="BP1054" s="526"/>
      <c r="BQ1054" s="526"/>
      <c r="BR1054" s="526"/>
      <c r="BS1054" s="1124"/>
      <c r="BT1054" s="729"/>
      <c r="BU1054" s="526"/>
      <c r="BV1054" s="526"/>
      <c r="BW1054" s="526"/>
      <c r="BX1054" s="1124"/>
      <c r="BY1054" s="526"/>
      <c r="BZ1054" s="526"/>
      <c r="CA1054" s="526"/>
      <c r="CB1054" s="526"/>
      <c r="CC1054" s="1124"/>
      <c r="CD1054" s="1124"/>
      <c r="CE1054" s="1124"/>
      <c r="CF1054" s="1124"/>
      <c r="CG1054" s="533"/>
    </row>
    <row r="1055" spans="1:85" s="614" customFormat="1" x14ac:dyDescent="0.3">
      <c r="A1055" s="522"/>
      <c r="B1055" s="352"/>
      <c r="C1055" s="1094"/>
      <c r="D1055" s="1094"/>
      <c r="E1055" s="1094"/>
      <c r="F1055" s="1094"/>
      <c r="G1055" s="197"/>
      <c r="H1055" s="197"/>
      <c r="I1055" s="197"/>
      <c r="J1055" s="197"/>
      <c r="K1055" s="1094"/>
      <c r="L1055" s="197"/>
      <c r="M1055" s="197"/>
      <c r="N1055" s="197"/>
      <c r="O1055" s="197"/>
      <c r="P1055" s="1094"/>
      <c r="Q1055" s="197"/>
      <c r="R1055" s="197"/>
      <c r="S1055" s="197"/>
      <c r="T1055" s="197"/>
      <c r="U1055" s="1094"/>
      <c r="V1055" s="197"/>
      <c r="W1055" s="197"/>
      <c r="X1055" s="197"/>
      <c r="Y1055" s="197"/>
      <c r="Z1055" s="1094"/>
      <c r="AA1055" s="197"/>
      <c r="AB1055" s="197"/>
      <c r="AC1055" s="197"/>
      <c r="AD1055" s="197"/>
      <c r="AE1055" s="1094"/>
      <c r="AF1055" s="197"/>
      <c r="AG1055" s="197"/>
      <c r="AH1055" s="197"/>
      <c r="AI1055" s="197"/>
      <c r="AJ1055" s="1094"/>
      <c r="AK1055" s="197"/>
      <c r="AL1055" s="197"/>
      <c r="AM1055" s="197"/>
      <c r="AN1055" s="197"/>
      <c r="AO1055" s="1094"/>
      <c r="AP1055" s="197"/>
      <c r="AQ1055" s="197"/>
      <c r="AR1055" s="197"/>
      <c r="AS1055" s="197"/>
      <c r="AT1055" s="198"/>
      <c r="AU1055" s="197"/>
      <c r="AV1055" s="197"/>
      <c r="AW1055" s="197"/>
      <c r="AX1055" s="197"/>
      <c r="AY1055" s="198"/>
      <c r="AZ1055" s="197"/>
      <c r="BA1055" s="197"/>
      <c r="BB1055" s="197"/>
      <c r="BC1055" s="197"/>
      <c r="BD1055" s="198"/>
      <c r="BE1055" s="197"/>
      <c r="BF1055" s="197"/>
      <c r="BG1055" s="197"/>
      <c r="BH1055" s="197"/>
      <c r="BI1055" s="198"/>
      <c r="BJ1055" s="197"/>
      <c r="BK1055" s="197"/>
      <c r="BL1055" s="197"/>
      <c r="BM1055" s="197"/>
      <c r="BN1055" s="198"/>
      <c r="BO1055" s="197"/>
      <c r="BP1055" s="197"/>
      <c r="BQ1055" s="197"/>
      <c r="BR1055" s="197"/>
      <c r="BS1055" s="198"/>
      <c r="BT1055" s="727"/>
      <c r="BU1055" s="197"/>
      <c r="BV1055" s="197"/>
      <c r="BW1055" s="197"/>
      <c r="BX1055" s="1094"/>
      <c r="BY1055" s="197"/>
      <c r="BZ1055" s="197"/>
      <c r="CA1055" s="197"/>
      <c r="CB1055" s="197"/>
      <c r="CC1055" s="1094"/>
      <c r="CD1055" s="1094"/>
      <c r="CE1055" s="1094"/>
      <c r="CF1055" s="1094"/>
      <c r="CG1055" s="349"/>
    </row>
    <row r="1056" spans="1:85" s="613" customFormat="1" x14ac:dyDescent="0.3">
      <c r="A1056" s="478" t="s">
        <v>1392</v>
      </c>
      <c r="B1056" s="523"/>
      <c r="C1056" s="78"/>
      <c r="D1056" s="78"/>
      <c r="E1056" s="78"/>
      <c r="F1056" s="78"/>
      <c r="G1056" s="774"/>
      <c r="H1056" s="774"/>
      <c r="I1056" s="774"/>
      <c r="J1056" s="774"/>
      <c r="K1056" s="78"/>
      <c r="L1056" s="774"/>
      <c r="M1056" s="774"/>
      <c r="N1056" s="774"/>
      <c r="O1056" s="774"/>
      <c r="P1056" s="78"/>
      <c r="Q1056" s="774"/>
      <c r="R1056" s="774"/>
      <c r="S1056" s="774"/>
      <c r="T1056" s="774"/>
      <c r="U1056" s="78"/>
      <c r="V1056" s="774"/>
      <c r="W1056" s="774"/>
      <c r="X1056" s="774"/>
      <c r="Y1056" s="774"/>
      <c r="Z1056" s="78"/>
      <c r="AA1056" s="774"/>
      <c r="AB1056" s="774"/>
      <c r="AC1056" s="774"/>
      <c r="AD1056" s="774"/>
      <c r="AE1056" s="78"/>
      <c r="AF1056" s="774"/>
      <c r="AG1056" s="774"/>
      <c r="AH1056" s="774"/>
      <c r="AI1056" s="774"/>
      <c r="AJ1056" s="78"/>
      <c r="AK1056" s="774"/>
      <c r="AL1056" s="774"/>
      <c r="AM1056" s="774"/>
      <c r="AN1056" s="774"/>
      <c r="AO1056" s="78"/>
      <c r="AP1056" s="774"/>
      <c r="AQ1056" s="774"/>
      <c r="AR1056" s="774"/>
      <c r="AS1056" s="774"/>
      <c r="AT1056" s="78"/>
      <c r="AU1056" s="774"/>
      <c r="AV1056" s="774"/>
      <c r="AW1056" s="774"/>
      <c r="AX1056" s="774"/>
      <c r="AY1056" s="1119">
        <v>2.145</v>
      </c>
      <c r="AZ1056" s="774"/>
      <c r="BA1056" s="774"/>
      <c r="BB1056" s="774"/>
      <c r="BC1056" s="774"/>
      <c r="BD1056" s="1119">
        <v>2.145</v>
      </c>
      <c r="BE1056" s="774"/>
      <c r="BF1056" s="774"/>
      <c r="BG1056" s="774"/>
      <c r="BH1056" s="774"/>
      <c r="BI1056" s="1119">
        <v>2.145</v>
      </c>
      <c r="BJ1056" s="774"/>
      <c r="BK1056" s="774"/>
      <c r="BL1056" s="774"/>
      <c r="BM1056" s="774"/>
      <c r="BN1056" s="1119">
        <v>2.145</v>
      </c>
      <c r="BO1056" s="774"/>
      <c r="BP1056" s="774"/>
      <c r="BQ1056" s="774"/>
      <c r="BR1056" s="774"/>
      <c r="BS1056" s="78"/>
      <c r="BT1056" s="775"/>
      <c r="BU1056" s="774"/>
      <c r="BV1056" s="774"/>
      <c r="BW1056" s="774"/>
      <c r="BX1056" s="78"/>
      <c r="BY1056" s="774"/>
      <c r="BZ1056" s="774"/>
      <c r="CA1056" s="774"/>
      <c r="CB1056" s="774"/>
      <c r="CC1056" s="78"/>
      <c r="CD1056" s="78"/>
      <c r="CE1056" s="78"/>
      <c r="CF1056" s="78"/>
      <c r="CG1056" s="532"/>
    </row>
    <row r="1057" spans="1:85" s="616" customFormat="1" x14ac:dyDescent="0.3">
      <c r="A1057" s="522" t="s">
        <v>1391</v>
      </c>
      <c r="B1057" s="527"/>
      <c r="C1057" s="1124"/>
      <c r="D1057" s="1124"/>
      <c r="E1057" s="1124"/>
      <c r="F1057" s="1124"/>
      <c r="G1057" s="526"/>
      <c r="H1057" s="526"/>
      <c r="I1057" s="526"/>
      <c r="J1057" s="526"/>
      <c r="K1057" s="1124"/>
      <c r="L1057" s="526"/>
      <c r="M1057" s="526"/>
      <c r="N1057" s="526"/>
      <c r="O1057" s="526"/>
      <c r="P1057" s="1124"/>
      <c r="Q1057" s="526"/>
      <c r="R1057" s="526"/>
      <c r="S1057" s="526"/>
      <c r="T1057" s="526"/>
      <c r="U1057" s="1124"/>
      <c r="V1057" s="526"/>
      <c r="W1057" s="526"/>
      <c r="X1057" s="526"/>
      <c r="Y1057" s="526"/>
      <c r="Z1057" s="1124"/>
      <c r="AA1057" s="526"/>
      <c r="AB1057" s="526"/>
      <c r="AC1057" s="526"/>
      <c r="AD1057" s="526"/>
      <c r="AE1057" s="1124"/>
      <c r="AF1057" s="526"/>
      <c r="AG1057" s="526"/>
      <c r="AH1057" s="526"/>
      <c r="AI1057" s="526"/>
      <c r="AJ1057" s="1124"/>
      <c r="AK1057" s="526"/>
      <c r="AL1057" s="526"/>
      <c r="AM1057" s="526"/>
      <c r="AN1057" s="526"/>
      <c r="AO1057" s="1124"/>
      <c r="AP1057" s="526"/>
      <c r="AQ1057" s="526"/>
      <c r="AR1057" s="526"/>
      <c r="AS1057" s="526"/>
      <c r="AT1057" s="1124"/>
      <c r="AU1057" s="526"/>
      <c r="AV1057" s="526"/>
      <c r="AW1057" s="526"/>
      <c r="AX1057" s="526"/>
      <c r="AY1057" s="1123">
        <v>539.04</v>
      </c>
      <c r="AZ1057" s="526"/>
      <c r="BA1057" s="526"/>
      <c r="BB1057" s="526"/>
      <c r="BC1057" s="526"/>
      <c r="BD1057" s="1123">
        <v>539.04</v>
      </c>
      <c r="BE1057" s="526"/>
      <c r="BF1057" s="526"/>
      <c r="BG1057" s="526"/>
      <c r="BH1057" s="526"/>
      <c r="BI1057" s="1123">
        <v>539.04</v>
      </c>
      <c r="BJ1057" s="526"/>
      <c r="BK1057" s="526"/>
      <c r="BL1057" s="526"/>
      <c r="BM1057" s="526"/>
      <c r="BN1057" s="1123">
        <v>539.04</v>
      </c>
      <c r="BO1057" s="526"/>
      <c r="BP1057" s="526"/>
      <c r="BQ1057" s="526"/>
      <c r="BR1057" s="526"/>
      <c r="BS1057" s="1124"/>
      <c r="BT1057" s="729"/>
      <c r="BU1057" s="526"/>
      <c r="BV1057" s="526"/>
      <c r="BW1057" s="526"/>
      <c r="BX1057" s="1124"/>
      <c r="BY1057" s="526"/>
      <c r="BZ1057" s="526"/>
      <c r="CA1057" s="526"/>
      <c r="CB1057" s="526"/>
      <c r="CC1057" s="1124"/>
      <c r="CD1057" s="1124"/>
      <c r="CE1057" s="1124"/>
      <c r="CF1057" s="1124"/>
      <c r="CG1057" s="533"/>
    </row>
    <row r="1058" spans="1:85" s="614" customFormat="1" x14ac:dyDescent="0.3">
      <c r="A1058" s="522"/>
      <c r="B1058" s="352"/>
      <c r="C1058" s="1094"/>
      <c r="D1058" s="1094"/>
      <c r="E1058" s="1094"/>
      <c r="F1058" s="1094"/>
      <c r="G1058" s="197"/>
      <c r="H1058" s="197"/>
      <c r="I1058" s="197"/>
      <c r="J1058" s="197"/>
      <c r="K1058" s="1094"/>
      <c r="L1058" s="197"/>
      <c r="M1058" s="197"/>
      <c r="N1058" s="197"/>
      <c r="O1058" s="197"/>
      <c r="P1058" s="1094"/>
      <c r="Q1058" s="197"/>
      <c r="R1058" s="197"/>
      <c r="S1058" s="197"/>
      <c r="T1058" s="197"/>
      <c r="U1058" s="1094"/>
      <c r="V1058" s="197"/>
      <c r="W1058" s="197"/>
      <c r="X1058" s="197"/>
      <c r="Y1058" s="197"/>
      <c r="Z1058" s="1094"/>
      <c r="AA1058" s="197"/>
      <c r="AB1058" s="197"/>
      <c r="AC1058" s="197"/>
      <c r="AD1058" s="197"/>
      <c r="AE1058" s="1094"/>
      <c r="AF1058" s="197"/>
      <c r="AG1058" s="197"/>
      <c r="AH1058" s="197"/>
      <c r="AI1058" s="197"/>
      <c r="AJ1058" s="1094"/>
      <c r="AK1058" s="197"/>
      <c r="AL1058" s="197"/>
      <c r="AM1058" s="197"/>
      <c r="AN1058" s="197"/>
      <c r="AO1058" s="1094"/>
      <c r="AP1058" s="197"/>
      <c r="AQ1058" s="197"/>
      <c r="AR1058" s="197"/>
      <c r="AS1058" s="197"/>
      <c r="AT1058" s="198"/>
      <c r="AU1058" s="197"/>
      <c r="AV1058" s="197"/>
      <c r="AW1058" s="197"/>
      <c r="AX1058" s="197"/>
      <c r="AY1058" s="198"/>
      <c r="AZ1058" s="197"/>
      <c r="BA1058" s="197"/>
      <c r="BB1058" s="197"/>
      <c r="BC1058" s="197"/>
      <c r="BD1058" s="198"/>
      <c r="BE1058" s="197"/>
      <c r="BF1058" s="197"/>
      <c r="BG1058" s="197"/>
      <c r="BH1058" s="197"/>
      <c r="BI1058" s="198"/>
      <c r="BJ1058" s="197"/>
      <c r="BK1058" s="197"/>
      <c r="BL1058" s="197"/>
      <c r="BM1058" s="197"/>
      <c r="BN1058" s="198"/>
      <c r="BO1058" s="197"/>
      <c r="BP1058" s="197"/>
      <c r="BQ1058" s="197"/>
      <c r="BR1058" s="197"/>
      <c r="BS1058" s="198"/>
      <c r="BT1058" s="727"/>
      <c r="BU1058" s="197"/>
      <c r="BV1058" s="197"/>
      <c r="BW1058" s="197"/>
      <c r="BX1058" s="1094"/>
      <c r="BY1058" s="197"/>
      <c r="BZ1058" s="197"/>
      <c r="CA1058" s="197"/>
      <c r="CB1058" s="197"/>
      <c r="CC1058" s="1094"/>
      <c r="CD1058" s="1094"/>
      <c r="CE1058" s="1094"/>
      <c r="CF1058" s="1094"/>
      <c r="CG1058" s="349"/>
    </row>
    <row r="1059" spans="1:85" s="613" customFormat="1" x14ac:dyDescent="0.3">
      <c r="A1059" s="478" t="s">
        <v>1390</v>
      </c>
      <c r="B1059" s="523"/>
      <c r="C1059" s="78"/>
      <c r="D1059" s="78"/>
      <c r="E1059" s="78"/>
      <c r="F1059" s="78"/>
      <c r="G1059" s="774"/>
      <c r="H1059" s="774"/>
      <c r="I1059" s="774"/>
      <c r="J1059" s="774"/>
      <c r="K1059" s="78"/>
      <c r="L1059" s="774"/>
      <c r="M1059" s="774"/>
      <c r="N1059" s="774"/>
      <c r="O1059" s="774"/>
      <c r="P1059" s="78"/>
      <c r="Q1059" s="774"/>
      <c r="R1059" s="774"/>
      <c r="S1059" s="774"/>
      <c r="T1059" s="774"/>
      <c r="U1059" s="78"/>
      <c r="V1059" s="774"/>
      <c r="W1059" s="774"/>
      <c r="X1059" s="774"/>
      <c r="Y1059" s="774"/>
      <c r="Z1059" s="78"/>
      <c r="AA1059" s="774"/>
      <c r="AB1059" s="774"/>
      <c r="AC1059" s="774"/>
      <c r="AD1059" s="774"/>
      <c r="AE1059" s="78"/>
      <c r="AF1059" s="774"/>
      <c r="AG1059" s="774"/>
      <c r="AH1059" s="774"/>
      <c r="AI1059" s="774"/>
      <c r="AJ1059" s="78"/>
      <c r="AK1059" s="774"/>
      <c r="AL1059" s="774"/>
      <c r="AM1059" s="774"/>
      <c r="AN1059" s="774"/>
      <c r="AO1059" s="78"/>
      <c r="AP1059" s="774"/>
      <c r="AQ1059" s="774"/>
      <c r="AR1059" s="774"/>
      <c r="AS1059" s="774"/>
      <c r="AT1059" s="78"/>
      <c r="AU1059" s="774"/>
      <c r="AV1059" s="774"/>
      <c r="AW1059" s="774"/>
      <c r="AX1059" s="774"/>
      <c r="AY1059" s="1119">
        <v>2.1</v>
      </c>
      <c r="AZ1059" s="774"/>
      <c r="BA1059" s="774"/>
      <c r="BB1059" s="774"/>
      <c r="BC1059" s="774"/>
      <c r="BD1059" s="1119">
        <v>2.1</v>
      </c>
      <c r="BE1059" s="774"/>
      <c r="BF1059" s="774"/>
      <c r="BG1059" s="774"/>
      <c r="BH1059" s="774"/>
      <c r="BI1059" s="1119">
        <v>2.1</v>
      </c>
      <c r="BJ1059" s="774"/>
      <c r="BK1059" s="774"/>
      <c r="BL1059" s="774"/>
      <c r="BM1059" s="774"/>
      <c r="BN1059" s="1119">
        <v>2.1</v>
      </c>
      <c r="BO1059" s="774"/>
      <c r="BP1059" s="774"/>
      <c r="BQ1059" s="774"/>
      <c r="BR1059" s="774"/>
      <c r="BS1059" s="78"/>
      <c r="BT1059" s="775"/>
      <c r="BU1059" s="774"/>
      <c r="BV1059" s="774"/>
      <c r="BW1059" s="774"/>
      <c r="BX1059" s="78"/>
      <c r="BY1059" s="774"/>
      <c r="BZ1059" s="774"/>
      <c r="CA1059" s="774"/>
      <c r="CB1059" s="774"/>
      <c r="CC1059" s="78"/>
      <c r="CD1059" s="78"/>
      <c r="CE1059" s="78"/>
      <c r="CF1059" s="78"/>
      <c r="CG1059" s="532"/>
    </row>
    <row r="1060" spans="1:85" s="616" customFormat="1" x14ac:dyDescent="0.3">
      <c r="A1060" s="522" t="s">
        <v>1389</v>
      </c>
      <c r="B1060" s="527"/>
      <c r="C1060" s="1124"/>
      <c r="D1060" s="1124"/>
      <c r="E1060" s="1124"/>
      <c r="F1060" s="1124"/>
      <c r="G1060" s="526"/>
      <c r="H1060" s="526"/>
      <c r="I1060" s="526"/>
      <c r="J1060" s="526"/>
      <c r="K1060" s="1124"/>
      <c r="L1060" s="526"/>
      <c r="M1060" s="526"/>
      <c r="N1060" s="526"/>
      <c r="O1060" s="526"/>
      <c r="P1060" s="1124"/>
      <c r="Q1060" s="526"/>
      <c r="R1060" s="526"/>
      <c r="S1060" s="526"/>
      <c r="T1060" s="526"/>
      <c r="U1060" s="1124"/>
      <c r="V1060" s="526"/>
      <c r="W1060" s="526"/>
      <c r="X1060" s="526"/>
      <c r="Y1060" s="526"/>
      <c r="Z1060" s="1124"/>
      <c r="AA1060" s="526"/>
      <c r="AB1060" s="526"/>
      <c r="AC1060" s="526"/>
      <c r="AD1060" s="526"/>
      <c r="AE1060" s="1124"/>
      <c r="AF1060" s="526"/>
      <c r="AG1060" s="526"/>
      <c r="AH1060" s="526"/>
      <c r="AI1060" s="526"/>
      <c r="AJ1060" s="1124"/>
      <c r="AK1060" s="526"/>
      <c r="AL1060" s="526"/>
      <c r="AM1060" s="526"/>
      <c r="AN1060" s="526"/>
      <c r="AO1060" s="1124"/>
      <c r="AP1060" s="526"/>
      <c r="AQ1060" s="526"/>
      <c r="AR1060" s="526"/>
      <c r="AS1060" s="526"/>
      <c r="AT1060" s="1124"/>
      <c r="AU1060" s="526"/>
      <c r="AV1060" s="526"/>
      <c r="AW1060" s="526"/>
      <c r="AX1060" s="526"/>
      <c r="AY1060" s="1123">
        <v>550.64</v>
      </c>
      <c r="AZ1060" s="526"/>
      <c r="BA1060" s="526"/>
      <c r="BB1060" s="526"/>
      <c r="BC1060" s="526"/>
      <c r="BD1060" s="1123">
        <v>550.64</v>
      </c>
      <c r="BE1060" s="526"/>
      <c r="BF1060" s="526"/>
      <c r="BG1060" s="526"/>
      <c r="BH1060" s="526"/>
      <c r="BI1060" s="1123">
        <v>550.64</v>
      </c>
      <c r="BJ1060" s="526"/>
      <c r="BK1060" s="526"/>
      <c r="BL1060" s="526"/>
      <c r="BM1060" s="526"/>
      <c r="BN1060" s="1123">
        <v>550.64</v>
      </c>
      <c r="BO1060" s="526"/>
      <c r="BP1060" s="526"/>
      <c r="BQ1060" s="526"/>
      <c r="BR1060" s="526"/>
      <c r="BS1060" s="1124"/>
      <c r="BT1060" s="729"/>
      <c r="BU1060" s="526"/>
      <c r="BV1060" s="526"/>
      <c r="BW1060" s="526"/>
      <c r="BX1060" s="1124"/>
      <c r="BY1060" s="526"/>
      <c r="BZ1060" s="526"/>
      <c r="CA1060" s="526"/>
      <c r="CB1060" s="526"/>
      <c r="CC1060" s="1124"/>
      <c r="CD1060" s="1124"/>
      <c r="CE1060" s="1124"/>
      <c r="CF1060" s="1124"/>
      <c r="CG1060" s="533"/>
    </row>
    <row r="1061" spans="1:85" s="614" customFormat="1" x14ac:dyDescent="0.3">
      <c r="A1061" s="522"/>
      <c r="B1061" s="352"/>
      <c r="C1061" s="1094"/>
      <c r="D1061" s="1094"/>
      <c r="E1061" s="1094"/>
      <c r="F1061" s="1094"/>
      <c r="G1061" s="197"/>
      <c r="H1061" s="197"/>
      <c r="I1061" s="197"/>
      <c r="J1061" s="197"/>
      <c r="K1061" s="1094"/>
      <c r="L1061" s="197"/>
      <c r="M1061" s="197"/>
      <c r="N1061" s="197"/>
      <c r="O1061" s="197"/>
      <c r="P1061" s="1094"/>
      <c r="Q1061" s="197"/>
      <c r="R1061" s="197"/>
      <c r="S1061" s="197"/>
      <c r="T1061" s="197"/>
      <c r="U1061" s="1094"/>
      <c r="V1061" s="197"/>
      <c r="W1061" s="197"/>
      <c r="X1061" s="197"/>
      <c r="Y1061" s="197"/>
      <c r="Z1061" s="1094"/>
      <c r="AA1061" s="197"/>
      <c r="AB1061" s="197"/>
      <c r="AC1061" s="197"/>
      <c r="AD1061" s="197"/>
      <c r="AE1061" s="1094"/>
      <c r="AF1061" s="197"/>
      <c r="AG1061" s="197"/>
      <c r="AH1061" s="197"/>
      <c r="AI1061" s="197"/>
      <c r="AJ1061" s="1094"/>
      <c r="AK1061" s="197"/>
      <c r="AL1061" s="197"/>
      <c r="AM1061" s="197"/>
      <c r="AN1061" s="197"/>
      <c r="AO1061" s="1094"/>
      <c r="AP1061" s="197"/>
      <c r="AQ1061" s="197"/>
      <c r="AR1061" s="197"/>
      <c r="AS1061" s="197"/>
      <c r="AT1061" s="198"/>
      <c r="AU1061" s="197"/>
      <c r="AV1061" s="197"/>
      <c r="AW1061" s="197"/>
      <c r="AX1061" s="197"/>
      <c r="AY1061" s="198"/>
      <c r="AZ1061" s="197"/>
      <c r="BA1061" s="197"/>
      <c r="BB1061" s="197"/>
      <c r="BC1061" s="197"/>
      <c r="BD1061" s="198"/>
      <c r="BE1061" s="197"/>
      <c r="BF1061" s="197"/>
      <c r="BG1061" s="197"/>
      <c r="BH1061" s="197"/>
      <c r="BI1061" s="198"/>
      <c r="BJ1061" s="197"/>
      <c r="BK1061" s="197"/>
      <c r="BL1061" s="197"/>
      <c r="BM1061" s="197"/>
      <c r="BN1061" s="198"/>
      <c r="BO1061" s="197"/>
      <c r="BP1061" s="197"/>
      <c r="BQ1061" s="197"/>
      <c r="BR1061" s="197"/>
      <c r="BS1061" s="198"/>
      <c r="BT1061" s="727"/>
      <c r="BU1061" s="197"/>
      <c r="BV1061" s="197"/>
      <c r="BW1061" s="197"/>
      <c r="BX1061" s="1094"/>
      <c r="BY1061" s="197"/>
      <c r="BZ1061" s="197"/>
      <c r="CA1061" s="197"/>
      <c r="CB1061" s="197"/>
      <c r="CC1061" s="1094"/>
      <c r="CD1061" s="1094"/>
      <c r="CE1061" s="1094"/>
      <c r="CF1061" s="1094"/>
      <c r="CG1061" s="349"/>
    </row>
    <row r="1062" spans="1:85" s="613" customFormat="1" x14ac:dyDescent="0.3">
      <c r="A1062" s="478" t="s">
        <v>1388</v>
      </c>
      <c r="B1062" s="523"/>
      <c r="C1062" s="78"/>
      <c r="D1062" s="78"/>
      <c r="E1062" s="78"/>
      <c r="F1062" s="78"/>
      <c r="G1062" s="774"/>
      <c r="H1062" s="774"/>
      <c r="I1062" s="774"/>
      <c r="J1062" s="774"/>
      <c r="K1062" s="78"/>
      <c r="L1062" s="774"/>
      <c r="M1062" s="774"/>
      <c r="N1062" s="774"/>
      <c r="O1062" s="774"/>
      <c r="P1062" s="78"/>
      <c r="Q1062" s="774"/>
      <c r="R1062" s="774"/>
      <c r="S1062" s="774"/>
      <c r="T1062" s="774"/>
      <c r="U1062" s="78"/>
      <c r="V1062" s="774"/>
      <c r="W1062" s="774"/>
      <c r="X1062" s="774"/>
      <c r="Y1062" s="774"/>
      <c r="Z1062" s="78"/>
      <c r="AA1062" s="774"/>
      <c r="AB1062" s="774"/>
      <c r="AC1062" s="774"/>
      <c r="AD1062" s="774"/>
      <c r="AE1062" s="78"/>
      <c r="AF1062" s="774"/>
      <c r="AG1062" s="774"/>
      <c r="AH1062" s="774"/>
      <c r="AI1062" s="774"/>
      <c r="AJ1062" s="78"/>
      <c r="AK1062" s="774"/>
      <c r="AL1062" s="774"/>
      <c r="AM1062" s="774"/>
      <c r="AN1062" s="774"/>
      <c r="AO1062" s="78"/>
      <c r="AP1062" s="774"/>
      <c r="AQ1062" s="774"/>
      <c r="AR1062" s="774"/>
      <c r="AS1062" s="774"/>
      <c r="AT1062" s="78"/>
      <c r="AU1062" s="774"/>
      <c r="AV1062" s="774"/>
      <c r="AW1062" s="774"/>
      <c r="AX1062" s="774"/>
      <c r="AY1062" s="1119">
        <v>2.1429999999999998</v>
      </c>
      <c r="AZ1062" s="774"/>
      <c r="BA1062" s="774"/>
      <c r="BB1062" s="774"/>
      <c r="BC1062" s="774"/>
      <c r="BD1062" s="1119">
        <v>2.1429999999999998</v>
      </c>
      <c r="BE1062" s="774"/>
      <c r="BF1062" s="774"/>
      <c r="BG1062" s="774"/>
      <c r="BH1062" s="774"/>
      <c r="BI1062" s="1119">
        <v>2.1429999999999998</v>
      </c>
      <c r="BJ1062" s="774"/>
      <c r="BK1062" s="774"/>
      <c r="BL1062" s="774"/>
      <c r="BM1062" s="774"/>
      <c r="BN1062" s="1119">
        <v>2.1429999999999998</v>
      </c>
      <c r="BO1062" s="774"/>
      <c r="BP1062" s="774"/>
      <c r="BQ1062" s="774"/>
      <c r="BR1062" s="774"/>
      <c r="BS1062" s="78"/>
      <c r="BT1062" s="775"/>
      <c r="BU1062" s="774"/>
      <c r="BV1062" s="774"/>
      <c r="BW1062" s="774"/>
      <c r="BX1062" s="78"/>
      <c r="BY1062" s="774"/>
      <c r="BZ1062" s="774"/>
      <c r="CA1062" s="774"/>
      <c r="CB1062" s="774"/>
      <c r="CC1062" s="78"/>
      <c r="CD1062" s="78"/>
      <c r="CE1062" s="78"/>
      <c r="CF1062" s="78"/>
      <c r="CG1062" s="532"/>
    </row>
    <row r="1063" spans="1:85" s="616" customFormat="1" x14ac:dyDescent="0.3">
      <c r="A1063" s="522" t="s">
        <v>1387</v>
      </c>
      <c r="B1063" s="527"/>
      <c r="C1063" s="1124"/>
      <c r="D1063" s="1124"/>
      <c r="E1063" s="1124"/>
      <c r="F1063" s="1124"/>
      <c r="G1063" s="526"/>
      <c r="H1063" s="526"/>
      <c r="I1063" s="526"/>
      <c r="J1063" s="526"/>
      <c r="K1063" s="1124"/>
      <c r="L1063" s="526"/>
      <c r="M1063" s="526"/>
      <c r="N1063" s="526"/>
      <c r="O1063" s="526"/>
      <c r="P1063" s="1124"/>
      <c r="Q1063" s="526"/>
      <c r="R1063" s="526"/>
      <c r="S1063" s="526"/>
      <c r="T1063" s="526"/>
      <c r="U1063" s="1124"/>
      <c r="V1063" s="526"/>
      <c r="W1063" s="526"/>
      <c r="X1063" s="526"/>
      <c r="Y1063" s="526"/>
      <c r="Z1063" s="1124"/>
      <c r="AA1063" s="526"/>
      <c r="AB1063" s="526"/>
      <c r="AC1063" s="526"/>
      <c r="AD1063" s="526"/>
      <c r="AE1063" s="1124"/>
      <c r="AF1063" s="526"/>
      <c r="AG1063" s="526"/>
      <c r="AH1063" s="526"/>
      <c r="AI1063" s="526"/>
      <c r="AJ1063" s="1124"/>
      <c r="AK1063" s="526"/>
      <c r="AL1063" s="526"/>
      <c r="AM1063" s="526"/>
      <c r="AN1063" s="526"/>
      <c r="AO1063" s="1124"/>
      <c r="AP1063" s="526"/>
      <c r="AQ1063" s="526"/>
      <c r="AR1063" s="526"/>
      <c r="AS1063" s="526"/>
      <c r="AT1063" s="1124"/>
      <c r="AU1063" s="526"/>
      <c r="AV1063" s="526"/>
      <c r="AW1063" s="526"/>
      <c r="AX1063" s="526"/>
      <c r="AY1063" s="1123">
        <v>539.41999999999996</v>
      </c>
      <c r="AZ1063" s="526"/>
      <c r="BA1063" s="526"/>
      <c r="BB1063" s="526"/>
      <c r="BC1063" s="526"/>
      <c r="BD1063" s="1123">
        <v>539.41999999999996</v>
      </c>
      <c r="BE1063" s="526"/>
      <c r="BF1063" s="526"/>
      <c r="BG1063" s="526"/>
      <c r="BH1063" s="526"/>
      <c r="BI1063" s="1123">
        <v>539.41999999999996</v>
      </c>
      <c r="BJ1063" s="526"/>
      <c r="BK1063" s="526"/>
      <c r="BL1063" s="526"/>
      <c r="BM1063" s="526"/>
      <c r="BN1063" s="1123">
        <v>539.41999999999996</v>
      </c>
      <c r="BO1063" s="526"/>
      <c r="BP1063" s="526"/>
      <c r="BQ1063" s="526"/>
      <c r="BR1063" s="526"/>
      <c r="BS1063" s="1124"/>
      <c r="BT1063" s="729"/>
      <c r="BU1063" s="526"/>
      <c r="BV1063" s="526"/>
      <c r="BW1063" s="526"/>
      <c r="BX1063" s="1124"/>
      <c r="BY1063" s="526"/>
      <c r="BZ1063" s="526"/>
      <c r="CA1063" s="526"/>
      <c r="CB1063" s="526"/>
      <c r="CC1063" s="1124"/>
      <c r="CD1063" s="1124"/>
      <c r="CE1063" s="1124"/>
      <c r="CF1063" s="1124"/>
      <c r="CG1063" s="533"/>
    </row>
    <row r="1064" spans="1:85" s="614" customFormat="1" x14ac:dyDescent="0.3">
      <c r="A1064" s="522"/>
      <c r="B1064" s="352"/>
      <c r="C1064" s="1094"/>
      <c r="D1064" s="1094"/>
      <c r="E1064" s="1094"/>
      <c r="F1064" s="1094"/>
      <c r="G1064" s="197"/>
      <c r="H1064" s="197"/>
      <c r="I1064" s="197"/>
      <c r="J1064" s="197"/>
      <c r="K1064" s="1094"/>
      <c r="L1064" s="197"/>
      <c r="M1064" s="197"/>
      <c r="N1064" s="197"/>
      <c r="O1064" s="197"/>
      <c r="P1064" s="1094"/>
      <c r="Q1064" s="197"/>
      <c r="R1064" s="197"/>
      <c r="S1064" s="197"/>
      <c r="T1064" s="197"/>
      <c r="U1064" s="1094"/>
      <c r="V1064" s="197"/>
      <c r="W1064" s="197"/>
      <c r="X1064" s="197"/>
      <c r="Y1064" s="197"/>
      <c r="Z1064" s="1094"/>
      <c r="AA1064" s="197"/>
      <c r="AB1064" s="197"/>
      <c r="AC1064" s="197"/>
      <c r="AD1064" s="197"/>
      <c r="AE1064" s="1094"/>
      <c r="AF1064" s="197"/>
      <c r="AG1064" s="197"/>
      <c r="AH1064" s="197"/>
      <c r="AI1064" s="197"/>
      <c r="AJ1064" s="1094"/>
      <c r="AK1064" s="197"/>
      <c r="AL1064" s="197"/>
      <c r="AM1064" s="197"/>
      <c r="AN1064" s="197"/>
      <c r="AO1064" s="1094"/>
      <c r="AP1064" s="197"/>
      <c r="AQ1064" s="197"/>
      <c r="AR1064" s="197"/>
      <c r="AS1064" s="197"/>
      <c r="AT1064" s="198"/>
      <c r="AU1064" s="197"/>
      <c r="AV1064" s="197"/>
      <c r="AW1064" s="197"/>
      <c r="AX1064" s="197"/>
      <c r="AY1064" s="198"/>
      <c r="AZ1064" s="197"/>
      <c r="BA1064" s="197"/>
      <c r="BB1064" s="197"/>
      <c r="BC1064" s="197"/>
      <c r="BD1064" s="198"/>
      <c r="BE1064" s="197"/>
      <c r="BF1064" s="197"/>
      <c r="BG1064" s="197"/>
      <c r="BH1064" s="197"/>
      <c r="BI1064" s="198"/>
      <c r="BJ1064" s="197"/>
      <c r="BK1064" s="197"/>
      <c r="BL1064" s="197"/>
      <c r="BM1064" s="197"/>
      <c r="BN1064" s="198"/>
      <c r="BO1064" s="197"/>
      <c r="BP1064" s="197"/>
      <c r="BQ1064" s="197"/>
      <c r="BR1064" s="197"/>
      <c r="BS1064" s="198"/>
      <c r="BT1064" s="727"/>
      <c r="BU1064" s="197"/>
      <c r="BV1064" s="197"/>
      <c r="BW1064" s="197"/>
      <c r="BX1064" s="1094"/>
      <c r="BY1064" s="197"/>
      <c r="BZ1064" s="197"/>
      <c r="CA1064" s="197"/>
      <c r="CB1064" s="197"/>
      <c r="CC1064" s="1094"/>
      <c r="CD1064" s="1094"/>
      <c r="CE1064" s="1094"/>
      <c r="CF1064" s="1094"/>
      <c r="CG1064" s="349"/>
    </row>
    <row r="1065" spans="1:85" s="613" customFormat="1" x14ac:dyDescent="0.3">
      <c r="A1065" s="478" t="s">
        <v>1386</v>
      </c>
      <c r="B1065" s="523"/>
      <c r="C1065" s="78"/>
      <c r="D1065" s="78"/>
      <c r="E1065" s="78"/>
      <c r="F1065" s="78"/>
      <c r="G1065" s="774"/>
      <c r="H1065" s="774"/>
      <c r="I1065" s="774"/>
      <c r="J1065" s="774"/>
      <c r="K1065" s="78"/>
      <c r="L1065" s="774"/>
      <c r="M1065" s="774"/>
      <c r="N1065" s="774"/>
      <c r="O1065" s="774"/>
      <c r="P1065" s="78"/>
      <c r="Q1065" s="774"/>
      <c r="R1065" s="774"/>
      <c r="S1065" s="774"/>
      <c r="T1065" s="774"/>
      <c r="U1065" s="78"/>
      <c r="V1065" s="774"/>
      <c r="W1065" s="774"/>
      <c r="X1065" s="774"/>
      <c r="Y1065" s="774"/>
      <c r="Z1065" s="78"/>
      <c r="AA1065" s="774"/>
      <c r="AB1065" s="774"/>
      <c r="AC1065" s="774"/>
      <c r="AD1065" s="774"/>
      <c r="AE1065" s="78"/>
      <c r="AF1065" s="774"/>
      <c r="AG1065" s="774"/>
      <c r="AH1065" s="774"/>
      <c r="AI1065" s="774"/>
      <c r="AJ1065" s="78"/>
      <c r="AK1065" s="774"/>
      <c r="AL1065" s="774"/>
      <c r="AM1065" s="774"/>
      <c r="AN1065" s="774"/>
      <c r="AO1065" s="78"/>
      <c r="AP1065" s="774"/>
      <c r="AQ1065" s="774"/>
      <c r="AR1065" s="774"/>
      <c r="AS1065" s="774"/>
      <c r="AT1065" s="78"/>
      <c r="AU1065" s="774"/>
      <c r="AV1065" s="774"/>
      <c r="AW1065" s="774"/>
      <c r="AX1065" s="774"/>
      <c r="AY1065" s="1119">
        <v>2.2709999999999999</v>
      </c>
      <c r="AZ1065" s="774"/>
      <c r="BA1065" s="774"/>
      <c r="BB1065" s="774"/>
      <c r="BC1065" s="774"/>
      <c r="BD1065" s="1119">
        <v>2.2709999999999999</v>
      </c>
      <c r="BE1065" s="774"/>
      <c r="BF1065" s="774"/>
      <c r="BG1065" s="774"/>
      <c r="BH1065" s="774"/>
      <c r="BI1065" s="1119">
        <v>2.2709999999999999</v>
      </c>
      <c r="BJ1065" s="774"/>
      <c r="BK1065" s="774"/>
      <c r="BL1065" s="774"/>
      <c r="BM1065" s="774"/>
      <c r="BN1065" s="1119">
        <v>2.2709999999999999</v>
      </c>
      <c r="BO1065" s="774"/>
      <c r="BP1065" s="774"/>
      <c r="BQ1065" s="774"/>
      <c r="BR1065" s="774"/>
      <c r="BS1065" s="78"/>
      <c r="BT1065" s="775"/>
      <c r="BU1065" s="774"/>
      <c r="BV1065" s="774"/>
      <c r="BW1065" s="774"/>
      <c r="BX1065" s="78"/>
      <c r="BY1065" s="774"/>
      <c r="BZ1065" s="774"/>
      <c r="CA1065" s="774"/>
      <c r="CB1065" s="774"/>
      <c r="CC1065" s="78"/>
      <c r="CD1065" s="78"/>
      <c r="CE1065" s="78"/>
      <c r="CF1065" s="78"/>
      <c r="CG1065" s="532"/>
    </row>
    <row r="1066" spans="1:85" s="616" customFormat="1" x14ac:dyDescent="0.3">
      <c r="A1066" s="522" t="s">
        <v>1385</v>
      </c>
      <c r="B1066" s="527"/>
      <c r="C1066" s="1124"/>
      <c r="D1066" s="1124"/>
      <c r="E1066" s="1124"/>
      <c r="F1066" s="1124"/>
      <c r="G1066" s="526"/>
      <c r="H1066" s="526"/>
      <c r="I1066" s="526"/>
      <c r="J1066" s="526"/>
      <c r="K1066" s="1124"/>
      <c r="L1066" s="526"/>
      <c r="M1066" s="526"/>
      <c r="N1066" s="526"/>
      <c r="O1066" s="526"/>
      <c r="P1066" s="1124"/>
      <c r="Q1066" s="526"/>
      <c r="R1066" s="526"/>
      <c r="S1066" s="526"/>
      <c r="T1066" s="526"/>
      <c r="U1066" s="1124"/>
      <c r="V1066" s="526"/>
      <c r="W1066" s="526"/>
      <c r="X1066" s="526"/>
      <c r="Y1066" s="526"/>
      <c r="Z1066" s="1124"/>
      <c r="AA1066" s="526"/>
      <c r="AB1066" s="526"/>
      <c r="AC1066" s="526"/>
      <c r="AD1066" s="526"/>
      <c r="AE1066" s="1124"/>
      <c r="AF1066" s="526"/>
      <c r="AG1066" s="526"/>
      <c r="AH1066" s="526"/>
      <c r="AI1066" s="526"/>
      <c r="AJ1066" s="1124"/>
      <c r="AK1066" s="526"/>
      <c r="AL1066" s="526"/>
      <c r="AM1066" s="526"/>
      <c r="AN1066" s="526"/>
      <c r="AO1066" s="1124"/>
      <c r="AP1066" s="526"/>
      <c r="AQ1066" s="526"/>
      <c r="AR1066" s="526"/>
      <c r="AS1066" s="526"/>
      <c r="AT1066" s="1124"/>
      <c r="AU1066" s="526"/>
      <c r="AV1066" s="526"/>
      <c r="AW1066" s="526"/>
      <c r="AX1066" s="526"/>
      <c r="AY1066" s="1123">
        <v>509.11</v>
      </c>
      <c r="AZ1066" s="526"/>
      <c r="BA1066" s="526"/>
      <c r="BB1066" s="526"/>
      <c r="BC1066" s="526"/>
      <c r="BD1066" s="1123">
        <v>509.11</v>
      </c>
      <c r="BE1066" s="526"/>
      <c r="BF1066" s="526"/>
      <c r="BG1066" s="526"/>
      <c r="BH1066" s="526"/>
      <c r="BI1066" s="1123">
        <v>509.11</v>
      </c>
      <c r="BJ1066" s="526"/>
      <c r="BK1066" s="526"/>
      <c r="BL1066" s="526"/>
      <c r="BM1066" s="526"/>
      <c r="BN1066" s="1123">
        <v>509.11</v>
      </c>
      <c r="BO1066" s="526"/>
      <c r="BP1066" s="526"/>
      <c r="BQ1066" s="526"/>
      <c r="BR1066" s="526"/>
      <c r="BS1066" s="1124"/>
      <c r="BT1066" s="729"/>
      <c r="BU1066" s="526"/>
      <c r="BV1066" s="526"/>
      <c r="BW1066" s="526"/>
      <c r="BX1066" s="1124"/>
      <c r="BY1066" s="526"/>
      <c r="BZ1066" s="526"/>
      <c r="CA1066" s="526"/>
      <c r="CB1066" s="526"/>
      <c r="CC1066" s="1124"/>
      <c r="CD1066" s="1124"/>
      <c r="CE1066" s="1124"/>
      <c r="CF1066" s="1124"/>
      <c r="CG1066" s="533"/>
    </row>
    <row r="1067" spans="1:85" s="614" customFormat="1" x14ac:dyDescent="0.3">
      <c r="A1067" s="522"/>
      <c r="B1067" s="352"/>
      <c r="C1067" s="1094"/>
      <c r="D1067" s="1094"/>
      <c r="E1067" s="1094"/>
      <c r="F1067" s="1094"/>
      <c r="G1067" s="197"/>
      <c r="H1067" s="197"/>
      <c r="I1067" s="197"/>
      <c r="J1067" s="197"/>
      <c r="K1067" s="1094"/>
      <c r="L1067" s="197"/>
      <c r="M1067" s="197"/>
      <c r="N1067" s="197"/>
      <c r="O1067" s="197"/>
      <c r="P1067" s="1094"/>
      <c r="Q1067" s="197"/>
      <c r="R1067" s="197"/>
      <c r="S1067" s="197"/>
      <c r="T1067" s="197"/>
      <c r="U1067" s="1094"/>
      <c r="V1067" s="197"/>
      <c r="W1067" s="197"/>
      <c r="X1067" s="197"/>
      <c r="Y1067" s="197"/>
      <c r="Z1067" s="1094"/>
      <c r="AA1067" s="197"/>
      <c r="AB1067" s="197"/>
      <c r="AC1067" s="197"/>
      <c r="AD1067" s="197"/>
      <c r="AE1067" s="1094"/>
      <c r="AF1067" s="197"/>
      <c r="AG1067" s="197"/>
      <c r="AH1067" s="197"/>
      <c r="AI1067" s="197"/>
      <c r="AJ1067" s="1094"/>
      <c r="AK1067" s="197"/>
      <c r="AL1067" s="197"/>
      <c r="AM1067" s="197"/>
      <c r="AN1067" s="197"/>
      <c r="AO1067" s="1094"/>
      <c r="AP1067" s="197"/>
      <c r="AQ1067" s="197"/>
      <c r="AR1067" s="197"/>
      <c r="AS1067" s="197"/>
      <c r="AT1067" s="198"/>
      <c r="AU1067" s="197"/>
      <c r="AV1067" s="197"/>
      <c r="AW1067" s="197"/>
      <c r="AX1067" s="197"/>
      <c r="AY1067" s="198"/>
      <c r="AZ1067" s="197"/>
      <c r="BA1067" s="197"/>
      <c r="BB1067" s="197"/>
      <c r="BC1067" s="197"/>
      <c r="BD1067" s="198"/>
      <c r="BE1067" s="197"/>
      <c r="BF1067" s="197"/>
      <c r="BG1067" s="197"/>
      <c r="BH1067" s="197"/>
      <c r="BI1067" s="198"/>
      <c r="BJ1067" s="197"/>
      <c r="BK1067" s="197"/>
      <c r="BL1067" s="197"/>
      <c r="BM1067" s="197"/>
      <c r="BN1067" s="198"/>
      <c r="BO1067" s="197"/>
      <c r="BP1067" s="197"/>
      <c r="BQ1067" s="197"/>
      <c r="BR1067" s="197"/>
      <c r="BS1067" s="198"/>
      <c r="BT1067" s="727"/>
      <c r="BU1067" s="197"/>
      <c r="BV1067" s="197"/>
      <c r="BW1067" s="197"/>
      <c r="BX1067" s="1094"/>
      <c r="BY1067" s="197"/>
      <c r="BZ1067" s="197"/>
      <c r="CA1067" s="197"/>
      <c r="CB1067" s="197"/>
      <c r="CC1067" s="1094"/>
      <c r="CD1067" s="1094"/>
      <c r="CE1067" s="1094"/>
      <c r="CF1067" s="1094"/>
      <c r="CG1067" s="349"/>
    </row>
    <row r="1068" spans="1:85" s="613" customFormat="1" x14ac:dyDescent="0.3">
      <c r="A1068" s="478" t="s">
        <v>1384</v>
      </c>
      <c r="B1068" s="523"/>
      <c r="C1068" s="78"/>
      <c r="D1068" s="78"/>
      <c r="E1068" s="78"/>
      <c r="F1068" s="78"/>
      <c r="G1068" s="774"/>
      <c r="H1068" s="774"/>
      <c r="I1068" s="774"/>
      <c r="J1068" s="774"/>
      <c r="K1068" s="78"/>
      <c r="L1068" s="774"/>
      <c r="M1068" s="774"/>
      <c r="N1068" s="774"/>
      <c r="O1068" s="774"/>
      <c r="P1068" s="78"/>
      <c r="Q1068" s="774"/>
      <c r="R1068" s="774"/>
      <c r="S1068" s="774"/>
      <c r="T1068" s="774"/>
      <c r="U1068" s="78"/>
      <c r="V1068" s="774"/>
      <c r="W1068" s="774"/>
      <c r="X1068" s="774"/>
      <c r="Y1068" s="774"/>
      <c r="Z1068" s="78"/>
      <c r="AA1068" s="774"/>
      <c r="AB1068" s="774"/>
      <c r="AC1068" s="774"/>
      <c r="AD1068" s="774"/>
      <c r="AE1068" s="78"/>
      <c r="AF1068" s="774"/>
      <c r="AG1068" s="774"/>
      <c r="AH1068" s="774"/>
      <c r="AI1068" s="774"/>
      <c r="AJ1068" s="78"/>
      <c r="AK1068" s="774"/>
      <c r="AL1068" s="774"/>
      <c r="AM1068" s="774"/>
      <c r="AN1068" s="774"/>
      <c r="AO1068" s="78"/>
      <c r="AP1068" s="774"/>
      <c r="AQ1068" s="774"/>
      <c r="AR1068" s="774"/>
      <c r="AS1068" s="774"/>
      <c r="AT1068" s="78"/>
      <c r="AU1068" s="774"/>
      <c r="AV1068" s="774"/>
      <c r="AW1068" s="774"/>
      <c r="AX1068" s="774"/>
      <c r="AY1068" s="1119">
        <v>2.3170000000000002</v>
      </c>
      <c r="AZ1068" s="774"/>
      <c r="BA1068" s="774"/>
      <c r="BB1068" s="774"/>
      <c r="BC1068" s="774"/>
      <c r="BD1068" s="1119">
        <v>2.3170000000000002</v>
      </c>
      <c r="BE1068" s="774"/>
      <c r="BF1068" s="774"/>
      <c r="BG1068" s="774"/>
      <c r="BH1068" s="774"/>
      <c r="BI1068" s="1119">
        <v>2.3170000000000002</v>
      </c>
      <c r="BJ1068" s="774"/>
      <c r="BK1068" s="774"/>
      <c r="BL1068" s="774"/>
      <c r="BM1068" s="774"/>
      <c r="BN1068" s="1119">
        <v>2.3170000000000002</v>
      </c>
      <c r="BO1068" s="774"/>
      <c r="BP1068" s="774"/>
      <c r="BQ1068" s="774"/>
      <c r="BR1068" s="774"/>
      <c r="BS1068" s="78"/>
      <c r="BT1068" s="775"/>
      <c r="BU1068" s="774"/>
      <c r="BV1068" s="774"/>
      <c r="BW1068" s="774"/>
      <c r="BX1068" s="78"/>
      <c r="BY1068" s="774"/>
      <c r="BZ1068" s="774"/>
      <c r="CA1068" s="774"/>
      <c r="CB1068" s="774"/>
      <c r="CC1068" s="78"/>
      <c r="CD1068" s="78"/>
      <c r="CE1068" s="78"/>
      <c r="CF1068" s="78"/>
      <c r="CG1068" s="532"/>
    </row>
    <row r="1069" spans="1:85" s="616" customFormat="1" x14ac:dyDescent="0.3">
      <c r="A1069" s="522" t="s">
        <v>1383</v>
      </c>
      <c r="B1069" s="527"/>
      <c r="C1069" s="1124"/>
      <c r="D1069" s="1124"/>
      <c r="E1069" s="1124"/>
      <c r="F1069" s="1124"/>
      <c r="G1069" s="526"/>
      <c r="H1069" s="526"/>
      <c r="I1069" s="526"/>
      <c r="J1069" s="526"/>
      <c r="K1069" s="1124"/>
      <c r="L1069" s="526"/>
      <c r="M1069" s="526"/>
      <c r="N1069" s="526"/>
      <c r="O1069" s="526"/>
      <c r="P1069" s="1124"/>
      <c r="Q1069" s="526"/>
      <c r="R1069" s="526"/>
      <c r="S1069" s="526"/>
      <c r="T1069" s="526"/>
      <c r="U1069" s="1124"/>
      <c r="V1069" s="526"/>
      <c r="W1069" s="526"/>
      <c r="X1069" s="526"/>
      <c r="Y1069" s="526"/>
      <c r="Z1069" s="1124"/>
      <c r="AA1069" s="526"/>
      <c r="AB1069" s="526"/>
      <c r="AC1069" s="526"/>
      <c r="AD1069" s="526"/>
      <c r="AE1069" s="1124"/>
      <c r="AF1069" s="526"/>
      <c r="AG1069" s="526"/>
      <c r="AH1069" s="526"/>
      <c r="AI1069" s="526"/>
      <c r="AJ1069" s="1124"/>
      <c r="AK1069" s="526"/>
      <c r="AL1069" s="526"/>
      <c r="AM1069" s="526"/>
      <c r="AN1069" s="526"/>
      <c r="AO1069" s="1124"/>
      <c r="AP1069" s="526"/>
      <c r="AQ1069" s="526"/>
      <c r="AR1069" s="526"/>
      <c r="AS1069" s="526"/>
      <c r="AT1069" s="1124"/>
      <c r="AU1069" s="526"/>
      <c r="AV1069" s="526"/>
      <c r="AW1069" s="526"/>
      <c r="AX1069" s="526"/>
      <c r="AY1069" s="1123">
        <v>499.08</v>
      </c>
      <c r="AZ1069" s="526"/>
      <c r="BA1069" s="526"/>
      <c r="BB1069" s="526"/>
      <c r="BC1069" s="526"/>
      <c r="BD1069" s="1123">
        <v>499.08</v>
      </c>
      <c r="BE1069" s="526"/>
      <c r="BF1069" s="526"/>
      <c r="BG1069" s="526"/>
      <c r="BH1069" s="526"/>
      <c r="BI1069" s="1123">
        <v>499.08</v>
      </c>
      <c r="BJ1069" s="526"/>
      <c r="BK1069" s="526"/>
      <c r="BL1069" s="526"/>
      <c r="BM1069" s="526"/>
      <c r="BN1069" s="1123">
        <v>499.08</v>
      </c>
      <c r="BO1069" s="526"/>
      <c r="BP1069" s="526"/>
      <c r="BQ1069" s="526"/>
      <c r="BR1069" s="526"/>
      <c r="BS1069" s="1124"/>
      <c r="BT1069" s="729"/>
      <c r="BU1069" s="526"/>
      <c r="BV1069" s="526"/>
      <c r="BW1069" s="526"/>
      <c r="BX1069" s="1124"/>
      <c r="BY1069" s="526"/>
      <c r="BZ1069" s="526"/>
      <c r="CA1069" s="526"/>
      <c r="CB1069" s="526"/>
      <c r="CC1069" s="1124"/>
      <c r="CD1069" s="1124"/>
      <c r="CE1069" s="1124"/>
      <c r="CF1069" s="1124"/>
      <c r="CG1069" s="533"/>
    </row>
    <row r="1070" spans="1:85" s="614" customFormat="1" x14ac:dyDescent="0.3">
      <c r="A1070" s="522"/>
      <c r="B1070" s="352"/>
      <c r="C1070" s="1094"/>
      <c r="D1070" s="1094"/>
      <c r="E1070" s="1094"/>
      <c r="F1070" s="1094"/>
      <c r="G1070" s="197"/>
      <c r="H1070" s="197"/>
      <c r="I1070" s="197"/>
      <c r="J1070" s="197"/>
      <c r="K1070" s="1094"/>
      <c r="L1070" s="197"/>
      <c r="M1070" s="197"/>
      <c r="N1070" s="197"/>
      <c r="O1070" s="197"/>
      <c r="P1070" s="1094"/>
      <c r="Q1070" s="197"/>
      <c r="R1070" s="197"/>
      <c r="S1070" s="197"/>
      <c r="T1070" s="197"/>
      <c r="U1070" s="1094"/>
      <c r="V1070" s="197"/>
      <c r="W1070" s="197"/>
      <c r="X1070" s="197"/>
      <c r="Y1070" s="197"/>
      <c r="Z1070" s="1094"/>
      <c r="AA1070" s="197"/>
      <c r="AB1070" s="197"/>
      <c r="AC1070" s="197"/>
      <c r="AD1070" s="197"/>
      <c r="AE1070" s="1094"/>
      <c r="AF1070" s="197"/>
      <c r="AG1070" s="197"/>
      <c r="AH1070" s="197"/>
      <c r="AI1070" s="197"/>
      <c r="AJ1070" s="1094"/>
      <c r="AK1070" s="197"/>
      <c r="AL1070" s="197"/>
      <c r="AM1070" s="197"/>
      <c r="AN1070" s="197"/>
      <c r="AO1070" s="1094"/>
      <c r="AP1070" s="197"/>
      <c r="AQ1070" s="197"/>
      <c r="AR1070" s="197"/>
      <c r="AS1070" s="197"/>
      <c r="AT1070" s="198"/>
      <c r="AU1070" s="197"/>
      <c r="AV1070" s="197"/>
      <c r="AW1070" s="197"/>
      <c r="AX1070" s="197"/>
      <c r="AY1070" s="198"/>
      <c r="AZ1070" s="197"/>
      <c r="BA1070" s="197"/>
      <c r="BB1070" s="197"/>
      <c r="BC1070" s="197"/>
      <c r="BD1070" s="198"/>
      <c r="BE1070" s="197"/>
      <c r="BF1070" s="197"/>
      <c r="BG1070" s="197"/>
      <c r="BH1070" s="197"/>
      <c r="BI1070" s="198"/>
      <c r="BJ1070" s="197"/>
      <c r="BK1070" s="197"/>
      <c r="BL1070" s="197"/>
      <c r="BM1070" s="197"/>
      <c r="BN1070" s="198"/>
      <c r="BO1070" s="197"/>
      <c r="BP1070" s="197"/>
      <c r="BQ1070" s="197"/>
      <c r="BR1070" s="197"/>
      <c r="BS1070" s="198"/>
      <c r="BT1070" s="727"/>
      <c r="BU1070" s="197"/>
      <c r="BV1070" s="197"/>
      <c r="BW1070" s="197"/>
      <c r="BX1070" s="1094"/>
      <c r="BY1070" s="197"/>
      <c r="BZ1070" s="197"/>
      <c r="CA1070" s="197"/>
      <c r="CB1070" s="197"/>
      <c r="CC1070" s="1094"/>
      <c r="CD1070" s="1094"/>
      <c r="CE1070" s="1094"/>
      <c r="CF1070" s="1094"/>
      <c r="CG1070" s="349"/>
    </row>
    <row r="1071" spans="1:85" s="613" customFormat="1" x14ac:dyDescent="0.3">
      <c r="A1071" s="478" t="s">
        <v>1382</v>
      </c>
      <c r="B1071" s="523"/>
      <c r="C1071" s="78"/>
      <c r="D1071" s="78"/>
      <c r="E1071" s="78"/>
      <c r="F1071" s="78"/>
      <c r="G1071" s="774"/>
      <c r="H1071" s="774"/>
      <c r="I1071" s="774"/>
      <c r="J1071" s="774"/>
      <c r="K1071" s="78"/>
      <c r="L1071" s="774"/>
      <c r="M1071" s="774"/>
      <c r="N1071" s="774"/>
      <c r="O1071" s="774"/>
      <c r="P1071" s="78"/>
      <c r="Q1071" s="774"/>
      <c r="R1071" s="774"/>
      <c r="S1071" s="774"/>
      <c r="T1071" s="774"/>
      <c r="U1071" s="78"/>
      <c r="V1071" s="774"/>
      <c r="W1071" s="774"/>
      <c r="X1071" s="774"/>
      <c r="Y1071" s="774"/>
      <c r="Z1071" s="78"/>
      <c r="AA1071" s="774"/>
      <c r="AB1071" s="774"/>
      <c r="AC1071" s="774"/>
      <c r="AD1071" s="774"/>
      <c r="AE1071" s="78"/>
      <c r="AF1071" s="774"/>
      <c r="AG1071" s="774"/>
      <c r="AH1071" s="774"/>
      <c r="AI1071" s="774"/>
      <c r="AJ1071" s="78"/>
      <c r="AK1071" s="774"/>
      <c r="AL1071" s="774"/>
      <c r="AM1071" s="774"/>
      <c r="AN1071" s="774"/>
      <c r="AO1071" s="78"/>
      <c r="AP1071" s="774"/>
      <c r="AQ1071" s="774"/>
      <c r="AR1071" s="774"/>
      <c r="AS1071" s="774"/>
      <c r="AT1071" s="78"/>
      <c r="AU1071" s="774"/>
      <c r="AV1071" s="774"/>
      <c r="AW1071" s="774"/>
      <c r="AX1071" s="774"/>
      <c r="AY1071" s="1119">
        <v>2.1669999999999998</v>
      </c>
      <c r="AZ1071" s="774"/>
      <c r="BA1071" s="774"/>
      <c r="BB1071" s="774"/>
      <c r="BC1071" s="774"/>
      <c r="BD1071" s="1119">
        <v>2.1669999999999998</v>
      </c>
      <c r="BE1071" s="774"/>
      <c r="BF1071" s="774"/>
      <c r="BG1071" s="774"/>
      <c r="BH1071" s="774"/>
      <c r="BI1071" s="1119">
        <v>2.1669999999999998</v>
      </c>
      <c r="BJ1071" s="774"/>
      <c r="BK1071" s="774"/>
      <c r="BL1071" s="774"/>
      <c r="BM1071" s="774"/>
      <c r="BN1071" s="1119">
        <v>2.1669999999999998</v>
      </c>
      <c r="BO1071" s="774"/>
      <c r="BP1071" s="774"/>
      <c r="BQ1071" s="774"/>
      <c r="BR1071" s="774"/>
      <c r="BS1071" s="78"/>
      <c r="BT1071" s="775"/>
      <c r="BU1071" s="774"/>
      <c r="BV1071" s="774"/>
      <c r="BW1071" s="774"/>
      <c r="BX1071" s="78"/>
      <c r="BY1071" s="774"/>
      <c r="BZ1071" s="774"/>
      <c r="CA1071" s="774"/>
      <c r="CB1071" s="774"/>
      <c r="CC1071" s="78"/>
      <c r="CD1071" s="78"/>
      <c r="CE1071" s="78"/>
      <c r="CF1071" s="78"/>
      <c r="CG1071" s="532"/>
    </row>
    <row r="1072" spans="1:85" s="616" customFormat="1" x14ac:dyDescent="0.3">
      <c r="A1072" s="522" t="s">
        <v>1381</v>
      </c>
      <c r="B1072" s="527"/>
      <c r="C1072" s="1124"/>
      <c r="D1072" s="1124"/>
      <c r="E1072" s="1124"/>
      <c r="F1072" s="1124"/>
      <c r="G1072" s="526"/>
      <c r="H1072" s="526"/>
      <c r="I1072" s="526"/>
      <c r="J1072" s="526"/>
      <c r="K1072" s="1124"/>
      <c r="L1072" s="526"/>
      <c r="M1072" s="526"/>
      <c r="N1072" s="526"/>
      <c r="O1072" s="526"/>
      <c r="P1072" s="1124"/>
      <c r="Q1072" s="526"/>
      <c r="R1072" s="526"/>
      <c r="S1072" s="526"/>
      <c r="T1072" s="526"/>
      <c r="U1072" s="1124"/>
      <c r="V1072" s="526"/>
      <c r="W1072" s="526"/>
      <c r="X1072" s="526"/>
      <c r="Y1072" s="526"/>
      <c r="Z1072" s="1124"/>
      <c r="AA1072" s="526"/>
      <c r="AB1072" s="526"/>
      <c r="AC1072" s="526"/>
      <c r="AD1072" s="526"/>
      <c r="AE1072" s="1124"/>
      <c r="AF1072" s="526"/>
      <c r="AG1072" s="526"/>
      <c r="AH1072" s="526"/>
      <c r="AI1072" s="526"/>
      <c r="AJ1072" s="1124"/>
      <c r="AK1072" s="526"/>
      <c r="AL1072" s="526"/>
      <c r="AM1072" s="526"/>
      <c r="AN1072" s="526"/>
      <c r="AO1072" s="1124"/>
      <c r="AP1072" s="526"/>
      <c r="AQ1072" s="526"/>
      <c r="AR1072" s="526"/>
      <c r="AS1072" s="526"/>
      <c r="AT1072" s="1124"/>
      <c r="AU1072" s="526"/>
      <c r="AV1072" s="526"/>
      <c r="AW1072" s="526"/>
      <c r="AX1072" s="526"/>
      <c r="AY1072" s="1123">
        <v>533.54</v>
      </c>
      <c r="AZ1072" s="526"/>
      <c r="BA1072" s="526"/>
      <c r="BB1072" s="526"/>
      <c r="BC1072" s="526"/>
      <c r="BD1072" s="1123">
        <v>533.54</v>
      </c>
      <c r="BE1072" s="526"/>
      <c r="BF1072" s="526"/>
      <c r="BG1072" s="526"/>
      <c r="BH1072" s="526"/>
      <c r="BI1072" s="1123">
        <v>533.54</v>
      </c>
      <c r="BJ1072" s="526"/>
      <c r="BK1072" s="526"/>
      <c r="BL1072" s="526"/>
      <c r="BM1072" s="526"/>
      <c r="BN1072" s="1123">
        <v>533.54</v>
      </c>
      <c r="BO1072" s="526"/>
      <c r="BP1072" s="526"/>
      <c r="BQ1072" s="526"/>
      <c r="BR1072" s="526"/>
      <c r="BS1072" s="1124"/>
      <c r="BT1072" s="729"/>
      <c r="BU1072" s="526"/>
      <c r="BV1072" s="526"/>
      <c r="BW1072" s="526"/>
      <c r="BX1072" s="1124"/>
      <c r="BY1072" s="526"/>
      <c r="BZ1072" s="526"/>
      <c r="CA1072" s="526"/>
      <c r="CB1072" s="526"/>
      <c r="CC1072" s="1124"/>
      <c r="CD1072" s="1124"/>
      <c r="CE1072" s="1124"/>
      <c r="CF1072" s="1124"/>
      <c r="CG1072" s="533"/>
    </row>
    <row r="1073" spans="1:85" s="614" customFormat="1" x14ac:dyDescent="0.3">
      <c r="A1073" s="522"/>
      <c r="B1073" s="352"/>
      <c r="C1073" s="1094"/>
      <c r="D1073" s="1094"/>
      <c r="E1073" s="1094"/>
      <c r="F1073" s="1094"/>
      <c r="G1073" s="197"/>
      <c r="H1073" s="197"/>
      <c r="I1073" s="197"/>
      <c r="J1073" s="197"/>
      <c r="K1073" s="1094"/>
      <c r="L1073" s="197"/>
      <c r="M1073" s="197"/>
      <c r="N1073" s="197"/>
      <c r="O1073" s="197"/>
      <c r="P1073" s="1094"/>
      <c r="Q1073" s="197"/>
      <c r="R1073" s="197"/>
      <c r="S1073" s="197"/>
      <c r="T1073" s="197"/>
      <c r="U1073" s="1094"/>
      <c r="V1073" s="197"/>
      <c r="W1073" s="197"/>
      <c r="X1073" s="197"/>
      <c r="Y1073" s="197"/>
      <c r="Z1073" s="1094"/>
      <c r="AA1073" s="197"/>
      <c r="AB1073" s="197"/>
      <c r="AC1073" s="197"/>
      <c r="AD1073" s="197"/>
      <c r="AE1073" s="1094"/>
      <c r="AF1073" s="197"/>
      <c r="AG1073" s="197"/>
      <c r="AH1073" s="197"/>
      <c r="AI1073" s="197"/>
      <c r="AJ1073" s="1094"/>
      <c r="AK1073" s="197"/>
      <c r="AL1073" s="197"/>
      <c r="AM1073" s="197"/>
      <c r="AN1073" s="197"/>
      <c r="AO1073" s="1094"/>
      <c r="AP1073" s="197"/>
      <c r="AQ1073" s="197"/>
      <c r="AR1073" s="197"/>
      <c r="AS1073" s="197"/>
      <c r="AT1073" s="198"/>
      <c r="AU1073" s="197"/>
      <c r="AV1073" s="197"/>
      <c r="AW1073" s="197"/>
      <c r="AX1073" s="197"/>
      <c r="AY1073" s="198"/>
      <c r="AZ1073" s="197"/>
      <c r="BA1073" s="197"/>
      <c r="BB1073" s="197"/>
      <c r="BC1073" s="197"/>
      <c r="BD1073" s="198"/>
      <c r="BE1073" s="197"/>
      <c r="BF1073" s="197"/>
      <c r="BG1073" s="197"/>
      <c r="BH1073" s="197"/>
      <c r="BI1073" s="198"/>
      <c r="BJ1073" s="197"/>
      <c r="BK1073" s="197"/>
      <c r="BL1073" s="197"/>
      <c r="BM1073" s="197"/>
      <c r="BN1073" s="198"/>
      <c r="BO1073" s="197"/>
      <c r="BP1073" s="197"/>
      <c r="BQ1073" s="197"/>
      <c r="BR1073" s="197"/>
      <c r="BS1073" s="198"/>
      <c r="BT1073" s="727"/>
      <c r="BU1073" s="197"/>
      <c r="BV1073" s="197"/>
      <c r="BW1073" s="197"/>
      <c r="BX1073" s="1094"/>
      <c r="BY1073" s="197"/>
      <c r="BZ1073" s="197"/>
      <c r="CA1073" s="197"/>
      <c r="CB1073" s="197"/>
      <c r="CC1073" s="1094"/>
      <c r="CD1073" s="1094"/>
      <c r="CE1073" s="1094"/>
      <c r="CF1073" s="1094"/>
      <c r="CG1073" s="349"/>
    </row>
    <row r="1074" spans="1:85" s="613" customFormat="1" x14ac:dyDescent="0.3">
      <c r="A1074" s="478" t="s">
        <v>1380</v>
      </c>
      <c r="B1074" s="523"/>
      <c r="C1074" s="78"/>
      <c r="D1074" s="78"/>
      <c r="E1074" s="78"/>
      <c r="F1074" s="78"/>
      <c r="G1074" s="774"/>
      <c r="H1074" s="774"/>
      <c r="I1074" s="774"/>
      <c r="J1074" s="774"/>
      <c r="K1074" s="78"/>
      <c r="L1074" s="774"/>
      <c r="M1074" s="774"/>
      <c r="N1074" s="774"/>
      <c r="O1074" s="774"/>
      <c r="P1074" s="78"/>
      <c r="Q1074" s="774"/>
      <c r="R1074" s="774"/>
      <c r="S1074" s="774"/>
      <c r="T1074" s="774"/>
      <c r="U1074" s="78"/>
      <c r="V1074" s="774"/>
      <c r="W1074" s="774"/>
      <c r="X1074" s="774"/>
      <c r="Y1074" s="774"/>
      <c r="Z1074" s="78"/>
      <c r="AA1074" s="774"/>
      <c r="AB1074" s="774"/>
      <c r="AC1074" s="774"/>
      <c r="AD1074" s="774"/>
      <c r="AE1074" s="78"/>
      <c r="AF1074" s="774"/>
      <c r="AG1074" s="774"/>
      <c r="AH1074" s="774"/>
      <c r="AI1074" s="774"/>
      <c r="AJ1074" s="78"/>
      <c r="AK1074" s="774"/>
      <c r="AL1074" s="774"/>
      <c r="AM1074" s="774"/>
      <c r="AN1074" s="774"/>
      <c r="AO1074" s="78"/>
      <c r="AP1074" s="774"/>
      <c r="AQ1074" s="774"/>
      <c r="AR1074" s="774"/>
      <c r="AS1074" s="774"/>
      <c r="AT1074" s="78"/>
      <c r="AU1074" s="774"/>
      <c r="AV1074" s="774"/>
      <c r="AW1074" s="774"/>
      <c r="AX1074" s="774"/>
      <c r="AY1074" s="1119">
        <v>2.2450000000000001</v>
      </c>
      <c r="AZ1074" s="774"/>
      <c r="BA1074" s="774"/>
      <c r="BB1074" s="774"/>
      <c r="BC1074" s="774"/>
      <c r="BD1074" s="1119">
        <v>2.2450000000000001</v>
      </c>
      <c r="BE1074" s="774"/>
      <c r="BF1074" s="774"/>
      <c r="BG1074" s="774"/>
      <c r="BH1074" s="774"/>
      <c r="BI1074" s="1119">
        <v>2.2450000000000001</v>
      </c>
      <c r="BJ1074" s="774"/>
      <c r="BK1074" s="774"/>
      <c r="BL1074" s="774"/>
      <c r="BM1074" s="774"/>
      <c r="BN1074" s="1119">
        <v>2.2450000000000001</v>
      </c>
      <c r="BO1074" s="774"/>
      <c r="BP1074" s="774"/>
      <c r="BQ1074" s="774"/>
      <c r="BR1074" s="774"/>
      <c r="BS1074" s="78"/>
      <c r="BT1074" s="775"/>
      <c r="BU1074" s="774"/>
      <c r="BV1074" s="774"/>
      <c r="BW1074" s="774"/>
      <c r="BX1074" s="78"/>
      <c r="BY1074" s="774"/>
      <c r="BZ1074" s="774"/>
      <c r="CA1074" s="774"/>
      <c r="CB1074" s="774"/>
      <c r="CC1074" s="78"/>
      <c r="CD1074" s="78"/>
      <c r="CE1074" s="78"/>
      <c r="CF1074" s="78"/>
      <c r="CG1074" s="532"/>
    </row>
    <row r="1075" spans="1:85" s="616" customFormat="1" x14ac:dyDescent="0.3">
      <c r="A1075" s="522" t="s">
        <v>1379</v>
      </c>
      <c r="B1075" s="527"/>
      <c r="C1075" s="1124"/>
      <c r="D1075" s="1124"/>
      <c r="E1075" s="1124"/>
      <c r="F1075" s="1124"/>
      <c r="G1075" s="526"/>
      <c r="H1075" s="526"/>
      <c r="I1075" s="526"/>
      <c r="J1075" s="526"/>
      <c r="K1075" s="1124"/>
      <c r="L1075" s="526"/>
      <c r="M1075" s="526"/>
      <c r="N1075" s="526"/>
      <c r="O1075" s="526"/>
      <c r="P1075" s="1124"/>
      <c r="Q1075" s="526"/>
      <c r="R1075" s="526"/>
      <c r="S1075" s="526"/>
      <c r="T1075" s="526"/>
      <c r="U1075" s="1124"/>
      <c r="V1075" s="526"/>
      <c r="W1075" s="526"/>
      <c r="X1075" s="526"/>
      <c r="Y1075" s="526"/>
      <c r="Z1075" s="1124"/>
      <c r="AA1075" s="526"/>
      <c r="AB1075" s="526"/>
      <c r="AC1075" s="526"/>
      <c r="AD1075" s="526"/>
      <c r="AE1075" s="1124"/>
      <c r="AF1075" s="526"/>
      <c r="AG1075" s="526"/>
      <c r="AH1075" s="526"/>
      <c r="AI1075" s="526"/>
      <c r="AJ1075" s="1124"/>
      <c r="AK1075" s="526"/>
      <c r="AL1075" s="526"/>
      <c r="AM1075" s="526"/>
      <c r="AN1075" s="526"/>
      <c r="AO1075" s="1124"/>
      <c r="AP1075" s="526"/>
      <c r="AQ1075" s="526"/>
      <c r="AR1075" s="526"/>
      <c r="AS1075" s="526"/>
      <c r="AT1075" s="1124"/>
      <c r="AU1075" s="526"/>
      <c r="AV1075" s="526"/>
      <c r="AW1075" s="526"/>
      <c r="AX1075" s="526"/>
      <c r="AY1075" s="1123">
        <v>515.15</v>
      </c>
      <c r="AZ1075" s="526"/>
      <c r="BA1075" s="526"/>
      <c r="BB1075" s="526"/>
      <c r="BC1075" s="526"/>
      <c r="BD1075" s="1123">
        <v>515.15</v>
      </c>
      <c r="BE1075" s="526"/>
      <c r="BF1075" s="526"/>
      <c r="BG1075" s="526"/>
      <c r="BH1075" s="526"/>
      <c r="BI1075" s="1123">
        <v>515.15</v>
      </c>
      <c r="BJ1075" s="526"/>
      <c r="BK1075" s="526"/>
      <c r="BL1075" s="526"/>
      <c r="BM1075" s="526"/>
      <c r="BN1075" s="1123">
        <v>515.15</v>
      </c>
      <c r="BO1075" s="526"/>
      <c r="BP1075" s="526"/>
      <c r="BQ1075" s="526"/>
      <c r="BR1075" s="526"/>
      <c r="BS1075" s="1124"/>
      <c r="BT1075" s="729"/>
      <c r="BU1075" s="526"/>
      <c r="BV1075" s="526"/>
      <c r="BW1075" s="526"/>
      <c r="BX1075" s="1124"/>
      <c r="BY1075" s="526"/>
      <c r="BZ1075" s="526"/>
      <c r="CA1075" s="526"/>
      <c r="CB1075" s="526"/>
      <c r="CC1075" s="1124"/>
      <c r="CD1075" s="1124"/>
      <c r="CE1075" s="1124"/>
      <c r="CF1075" s="1124"/>
      <c r="CG1075" s="533"/>
    </row>
    <row r="1076" spans="1:85" s="614" customFormat="1" x14ac:dyDescent="0.3">
      <c r="A1076" s="522"/>
      <c r="B1076" s="352"/>
      <c r="C1076" s="1094"/>
      <c r="D1076" s="1094"/>
      <c r="E1076" s="1094"/>
      <c r="F1076" s="1094"/>
      <c r="G1076" s="197"/>
      <c r="H1076" s="197"/>
      <c r="I1076" s="197"/>
      <c r="J1076" s="197"/>
      <c r="K1076" s="1094"/>
      <c r="L1076" s="197"/>
      <c r="M1076" s="197"/>
      <c r="N1076" s="197"/>
      <c r="O1076" s="197"/>
      <c r="P1076" s="1094"/>
      <c r="Q1076" s="197"/>
      <c r="R1076" s="197"/>
      <c r="S1076" s="197"/>
      <c r="T1076" s="197"/>
      <c r="U1076" s="1094"/>
      <c r="V1076" s="197"/>
      <c r="W1076" s="197"/>
      <c r="X1076" s="197"/>
      <c r="Y1076" s="197"/>
      <c r="Z1076" s="1094"/>
      <c r="AA1076" s="197"/>
      <c r="AB1076" s="197"/>
      <c r="AC1076" s="197"/>
      <c r="AD1076" s="197"/>
      <c r="AE1076" s="1094"/>
      <c r="AF1076" s="197"/>
      <c r="AG1076" s="197"/>
      <c r="AH1076" s="197"/>
      <c r="AI1076" s="197"/>
      <c r="AJ1076" s="1094"/>
      <c r="AK1076" s="197"/>
      <c r="AL1076" s="197"/>
      <c r="AM1076" s="197"/>
      <c r="AN1076" s="197"/>
      <c r="AO1076" s="1094"/>
      <c r="AP1076" s="197"/>
      <c r="AQ1076" s="197"/>
      <c r="AR1076" s="197"/>
      <c r="AS1076" s="197"/>
      <c r="AT1076" s="198"/>
      <c r="AU1076" s="197"/>
      <c r="AV1076" s="197"/>
      <c r="AW1076" s="197"/>
      <c r="AX1076" s="197"/>
      <c r="AY1076" s="198"/>
      <c r="AZ1076" s="197"/>
      <c r="BA1076" s="197"/>
      <c r="BB1076" s="197"/>
      <c r="BC1076" s="197"/>
      <c r="BD1076" s="198"/>
      <c r="BE1076" s="197"/>
      <c r="BF1076" s="197"/>
      <c r="BG1076" s="197"/>
      <c r="BH1076" s="197"/>
      <c r="BI1076" s="198"/>
      <c r="BJ1076" s="197"/>
      <c r="BK1076" s="197"/>
      <c r="BL1076" s="197"/>
      <c r="BM1076" s="197"/>
      <c r="BN1076" s="198"/>
      <c r="BO1076" s="197"/>
      <c r="BP1076" s="197"/>
      <c r="BQ1076" s="197"/>
      <c r="BR1076" s="197"/>
      <c r="BS1076" s="198"/>
      <c r="BT1076" s="727"/>
      <c r="BU1076" s="197"/>
      <c r="BV1076" s="197"/>
      <c r="BW1076" s="197"/>
      <c r="BX1076" s="1094"/>
      <c r="BY1076" s="197"/>
      <c r="BZ1076" s="197"/>
      <c r="CA1076" s="197"/>
      <c r="CB1076" s="197"/>
      <c r="CC1076" s="1094"/>
      <c r="CD1076" s="1094"/>
      <c r="CE1076" s="1094"/>
      <c r="CF1076" s="1094"/>
      <c r="CG1076" s="349"/>
    </row>
    <row r="1077" spans="1:85" s="613" customFormat="1" x14ac:dyDescent="0.3">
      <c r="A1077" s="478" t="s">
        <v>1378</v>
      </c>
      <c r="B1077" s="523"/>
      <c r="C1077" s="78"/>
      <c r="D1077" s="78"/>
      <c r="E1077" s="78"/>
      <c r="F1077" s="78"/>
      <c r="G1077" s="774"/>
      <c r="H1077" s="774"/>
      <c r="I1077" s="774"/>
      <c r="J1077" s="774"/>
      <c r="K1077" s="78"/>
      <c r="L1077" s="774"/>
      <c r="M1077" s="774"/>
      <c r="N1077" s="774"/>
      <c r="O1077" s="774"/>
      <c r="P1077" s="78"/>
      <c r="Q1077" s="774"/>
      <c r="R1077" s="774"/>
      <c r="S1077" s="774"/>
      <c r="T1077" s="774"/>
      <c r="U1077" s="78"/>
      <c r="V1077" s="774"/>
      <c r="W1077" s="774"/>
      <c r="X1077" s="774"/>
      <c r="Y1077" s="774"/>
      <c r="Z1077" s="78"/>
      <c r="AA1077" s="774"/>
      <c r="AB1077" s="774"/>
      <c r="AC1077" s="774"/>
      <c r="AD1077" s="774"/>
      <c r="AE1077" s="78"/>
      <c r="AF1077" s="774"/>
      <c r="AG1077" s="774"/>
      <c r="AH1077" s="774"/>
      <c r="AI1077" s="774"/>
      <c r="AJ1077" s="78"/>
      <c r="AK1077" s="774"/>
      <c r="AL1077" s="774"/>
      <c r="AM1077" s="774"/>
      <c r="AN1077" s="774"/>
      <c r="AO1077" s="78"/>
      <c r="AP1077" s="774"/>
      <c r="AQ1077" s="774"/>
      <c r="AR1077" s="774"/>
      <c r="AS1077" s="774"/>
      <c r="AT1077" s="78"/>
      <c r="AU1077" s="774"/>
      <c r="AV1077" s="774"/>
      <c r="AW1077" s="774"/>
      <c r="AX1077" s="774"/>
      <c r="AY1077" s="1119">
        <v>1.986</v>
      </c>
      <c r="AZ1077" s="774"/>
      <c r="BA1077" s="774"/>
      <c r="BB1077" s="774"/>
      <c r="BC1077" s="774"/>
      <c r="BD1077" s="1119">
        <v>1.986</v>
      </c>
      <c r="BE1077" s="774"/>
      <c r="BF1077" s="774"/>
      <c r="BG1077" s="774"/>
      <c r="BH1077" s="774"/>
      <c r="BI1077" s="1119">
        <v>1.986</v>
      </c>
      <c r="BJ1077" s="774"/>
      <c r="BK1077" s="774"/>
      <c r="BL1077" s="774"/>
      <c r="BM1077" s="774"/>
      <c r="BN1077" s="1119">
        <v>1.986</v>
      </c>
      <c r="BO1077" s="774"/>
      <c r="BP1077" s="774"/>
      <c r="BQ1077" s="774"/>
      <c r="BR1077" s="774"/>
      <c r="BS1077" s="78"/>
      <c r="BT1077" s="775"/>
      <c r="BU1077" s="774"/>
      <c r="BV1077" s="774"/>
      <c r="BW1077" s="774"/>
      <c r="BX1077" s="78"/>
      <c r="BY1077" s="774"/>
      <c r="BZ1077" s="774"/>
      <c r="CA1077" s="774"/>
      <c r="CB1077" s="774"/>
      <c r="CC1077" s="78"/>
      <c r="CD1077" s="78"/>
      <c r="CE1077" s="78"/>
      <c r="CF1077" s="78"/>
      <c r="CG1077" s="532"/>
    </row>
    <row r="1078" spans="1:85" s="616" customFormat="1" x14ac:dyDescent="0.3">
      <c r="A1078" s="522" t="s">
        <v>1377</v>
      </c>
      <c r="B1078" s="527"/>
      <c r="C1078" s="1124"/>
      <c r="D1078" s="1124"/>
      <c r="E1078" s="1124"/>
      <c r="F1078" s="1124"/>
      <c r="G1078" s="526"/>
      <c r="H1078" s="526"/>
      <c r="I1078" s="526"/>
      <c r="J1078" s="526"/>
      <c r="K1078" s="1124"/>
      <c r="L1078" s="526"/>
      <c r="M1078" s="526"/>
      <c r="N1078" s="526"/>
      <c r="O1078" s="526"/>
      <c r="P1078" s="1124"/>
      <c r="Q1078" s="526"/>
      <c r="R1078" s="526"/>
      <c r="S1078" s="526"/>
      <c r="T1078" s="526"/>
      <c r="U1078" s="1124"/>
      <c r="V1078" s="526"/>
      <c r="W1078" s="526"/>
      <c r="X1078" s="526"/>
      <c r="Y1078" s="526"/>
      <c r="Z1078" s="1124"/>
      <c r="AA1078" s="526"/>
      <c r="AB1078" s="526"/>
      <c r="AC1078" s="526"/>
      <c r="AD1078" s="526"/>
      <c r="AE1078" s="1124"/>
      <c r="AF1078" s="526"/>
      <c r="AG1078" s="526"/>
      <c r="AH1078" s="526"/>
      <c r="AI1078" s="526"/>
      <c r="AJ1078" s="1124"/>
      <c r="AK1078" s="526"/>
      <c r="AL1078" s="526"/>
      <c r="AM1078" s="526"/>
      <c r="AN1078" s="526"/>
      <c r="AO1078" s="1124"/>
      <c r="AP1078" s="526"/>
      <c r="AQ1078" s="526"/>
      <c r="AR1078" s="526"/>
      <c r="AS1078" s="526"/>
      <c r="AT1078" s="1124"/>
      <c r="AU1078" s="526"/>
      <c r="AV1078" s="526"/>
      <c r="AW1078" s="526"/>
      <c r="AX1078" s="526"/>
      <c r="AY1078" s="1123">
        <v>582.07000000000005</v>
      </c>
      <c r="AZ1078" s="526"/>
      <c r="BA1078" s="526"/>
      <c r="BB1078" s="526"/>
      <c r="BC1078" s="526"/>
      <c r="BD1078" s="1123">
        <v>582.07000000000005</v>
      </c>
      <c r="BE1078" s="526"/>
      <c r="BF1078" s="526"/>
      <c r="BG1078" s="526"/>
      <c r="BH1078" s="526"/>
      <c r="BI1078" s="1123">
        <v>582.07000000000005</v>
      </c>
      <c r="BJ1078" s="526"/>
      <c r="BK1078" s="526"/>
      <c r="BL1078" s="526"/>
      <c r="BM1078" s="526"/>
      <c r="BN1078" s="1123">
        <v>582.07000000000005</v>
      </c>
      <c r="BO1078" s="526"/>
      <c r="BP1078" s="526"/>
      <c r="BQ1078" s="526"/>
      <c r="BR1078" s="526"/>
      <c r="BS1078" s="1124"/>
      <c r="BT1078" s="729"/>
      <c r="BU1078" s="526"/>
      <c r="BV1078" s="526"/>
      <c r="BW1078" s="526"/>
      <c r="BX1078" s="1124"/>
      <c r="BY1078" s="526"/>
      <c r="BZ1078" s="526"/>
      <c r="CA1078" s="526"/>
      <c r="CB1078" s="526"/>
      <c r="CC1078" s="1124"/>
      <c r="CD1078" s="1124"/>
      <c r="CE1078" s="1124"/>
      <c r="CF1078" s="1124"/>
      <c r="CG1078" s="533"/>
    </row>
    <row r="1079" spans="1:85" s="614" customFormat="1" x14ac:dyDescent="0.3">
      <c r="A1079" s="522"/>
      <c r="B1079" s="352"/>
      <c r="C1079" s="1094"/>
      <c r="D1079" s="1094"/>
      <c r="E1079" s="1094"/>
      <c r="F1079" s="1094"/>
      <c r="G1079" s="197"/>
      <c r="H1079" s="197"/>
      <c r="I1079" s="197"/>
      <c r="J1079" s="197"/>
      <c r="K1079" s="1094"/>
      <c r="L1079" s="197"/>
      <c r="M1079" s="197"/>
      <c r="N1079" s="197"/>
      <c r="O1079" s="197"/>
      <c r="P1079" s="1094"/>
      <c r="Q1079" s="197"/>
      <c r="R1079" s="197"/>
      <c r="S1079" s="197"/>
      <c r="T1079" s="197"/>
      <c r="U1079" s="1094"/>
      <c r="V1079" s="197"/>
      <c r="W1079" s="197"/>
      <c r="X1079" s="197"/>
      <c r="Y1079" s="197"/>
      <c r="Z1079" s="1094"/>
      <c r="AA1079" s="197"/>
      <c r="AB1079" s="197"/>
      <c r="AC1079" s="197"/>
      <c r="AD1079" s="197"/>
      <c r="AE1079" s="1094"/>
      <c r="AF1079" s="197"/>
      <c r="AG1079" s="197"/>
      <c r="AH1079" s="197"/>
      <c r="AI1079" s="197"/>
      <c r="AJ1079" s="1094"/>
      <c r="AK1079" s="197"/>
      <c r="AL1079" s="197"/>
      <c r="AM1079" s="197"/>
      <c r="AN1079" s="197"/>
      <c r="AO1079" s="1094"/>
      <c r="AP1079" s="197"/>
      <c r="AQ1079" s="197"/>
      <c r="AR1079" s="197"/>
      <c r="AS1079" s="197"/>
      <c r="AT1079" s="198"/>
      <c r="AU1079" s="197"/>
      <c r="AV1079" s="197"/>
      <c r="AW1079" s="197"/>
      <c r="AX1079" s="197"/>
      <c r="AY1079" s="198"/>
      <c r="AZ1079" s="197"/>
      <c r="BA1079" s="197"/>
      <c r="BB1079" s="197"/>
      <c r="BC1079" s="197"/>
      <c r="BD1079" s="198"/>
      <c r="BE1079" s="197"/>
      <c r="BF1079" s="197"/>
      <c r="BG1079" s="197"/>
      <c r="BH1079" s="197"/>
      <c r="BI1079" s="198"/>
      <c r="BJ1079" s="197"/>
      <c r="BK1079" s="197"/>
      <c r="BL1079" s="197"/>
      <c r="BM1079" s="197"/>
      <c r="BN1079" s="198"/>
      <c r="BO1079" s="197"/>
      <c r="BP1079" s="197"/>
      <c r="BQ1079" s="197"/>
      <c r="BR1079" s="197"/>
      <c r="BS1079" s="198"/>
      <c r="BT1079" s="727"/>
      <c r="BU1079" s="197"/>
      <c r="BV1079" s="197"/>
      <c r="BW1079" s="197"/>
      <c r="BX1079" s="1094"/>
      <c r="BY1079" s="197"/>
      <c r="BZ1079" s="197"/>
      <c r="CA1079" s="197"/>
      <c r="CB1079" s="197"/>
      <c r="CC1079" s="1094"/>
      <c r="CD1079" s="1094"/>
      <c r="CE1079" s="1094"/>
      <c r="CF1079" s="1094"/>
      <c r="CG1079" s="349"/>
    </row>
    <row r="1080" spans="1:85" s="613" customFormat="1" x14ac:dyDescent="0.3">
      <c r="A1080" s="478" t="s">
        <v>1376</v>
      </c>
      <c r="B1080" s="523"/>
      <c r="C1080" s="78"/>
      <c r="D1080" s="78"/>
      <c r="E1080" s="78"/>
      <c r="F1080" s="78"/>
      <c r="G1080" s="774"/>
      <c r="H1080" s="774"/>
      <c r="I1080" s="774"/>
      <c r="J1080" s="774"/>
      <c r="K1080" s="78"/>
      <c r="L1080" s="774"/>
      <c r="M1080" s="774"/>
      <c r="N1080" s="774"/>
      <c r="O1080" s="774"/>
      <c r="P1080" s="78"/>
      <c r="Q1080" s="774"/>
      <c r="R1080" s="774"/>
      <c r="S1080" s="774"/>
      <c r="T1080" s="774"/>
      <c r="U1080" s="78"/>
      <c r="V1080" s="774"/>
      <c r="W1080" s="774"/>
      <c r="X1080" s="774"/>
      <c r="Y1080" s="774"/>
      <c r="Z1080" s="78"/>
      <c r="AA1080" s="774"/>
      <c r="AB1080" s="774"/>
      <c r="AC1080" s="774"/>
      <c r="AD1080" s="774"/>
      <c r="AE1080" s="78"/>
      <c r="AF1080" s="774"/>
      <c r="AG1080" s="774"/>
      <c r="AH1080" s="774"/>
      <c r="AI1080" s="774"/>
      <c r="AJ1080" s="78"/>
      <c r="AK1080" s="774"/>
      <c r="AL1080" s="774"/>
      <c r="AM1080" s="774"/>
      <c r="AN1080" s="774"/>
      <c r="AO1080" s="78"/>
      <c r="AP1080" s="774"/>
      <c r="AQ1080" s="774"/>
      <c r="AR1080" s="774"/>
      <c r="AS1080" s="774"/>
      <c r="AT1080" s="78"/>
      <c r="AU1080" s="774"/>
      <c r="AV1080" s="774"/>
      <c r="AW1080" s="774"/>
      <c r="AX1080" s="774"/>
      <c r="AY1080" s="1119">
        <v>1.8859999999999999</v>
      </c>
      <c r="AZ1080" s="774"/>
      <c r="BA1080" s="774"/>
      <c r="BB1080" s="774"/>
      <c r="BC1080" s="774"/>
      <c r="BD1080" s="1119">
        <v>1.8859999999999999</v>
      </c>
      <c r="BE1080" s="774"/>
      <c r="BF1080" s="774"/>
      <c r="BG1080" s="774"/>
      <c r="BH1080" s="774"/>
      <c r="BI1080" s="1119">
        <v>1.8859999999999999</v>
      </c>
      <c r="BJ1080" s="774"/>
      <c r="BK1080" s="774"/>
      <c r="BL1080" s="774"/>
      <c r="BM1080" s="774"/>
      <c r="BN1080" s="1119">
        <v>1.8859999999999999</v>
      </c>
      <c r="BO1080" s="774"/>
      <c r="BP1080" s="774"/>
      <c r="BQ1080" s="774"/>
      <c r="BR1080" s="774"/>
      <c r="BS1080" s="78"/>
      <c r="BT1080" s="775"/>
      <c r="BU1080" s="774"/>
      <c r="BV1080" s="774"/>
      <c r="BW1080" s="774"/>
      <c r="BX1080" s="78"/>
      <c r="BY1080" s="774"/>
      <c r="BZ1080" s="774"/>
      <c r="CA1080" s="774"/>
      <c r="CB1080" s="774"/>
      <c r="CC1080" s="78"/>
      <c r="CD1080" s="78"/>
      <c r="CE1080" s="78"/>
      <c r="CF1080" s="78"/>
      <c r="CG1080" s="532"/>
    </row>
    <row r="1081" spans="1:85" s="616" customFormat="1" x14ac:dyDescent="0.3">
      <c r="A1081" s="522" t="s">
        <v>1375</v>
      </c>
      <c r="B1081" s="527"/>
      <c r="C1081" s="1124"/>
      <c r="D1081" s="1124"/>
      <c r="E1081" s="1124"/>
      <c r="F1081" s="1124"/>
      <c r="G1081" s="526"/>
      <c r="H1081" s="526"/>
      <c r="I1081" s="526"/>
      <c r="J1081" s="526"/>
      <c r="K1081" s="1124"/>
      <c r="L1081" s="526"/>
      <c r="M1081" s="526"/>
      <c r="N1081" s="526"/>
      <c r="O1081" s="526"/>
      <c r="P1081" s="1124"/>
      <c r="Q1081" s="526"/>
      <c r="R1081" s="526"/>
      <c r="S1081" s="526"/>
      <c r="T1081" s="526"/>
      <c r="U1081" s="1124"/>
      <c r="V1081" s="526"/>
      <c r="W1081" s="526"/>
      <c r="X1081" s="526"/>
      <c r="Y1081" s="526"/>
      <c r="Z1081" s="1124"/>
      <c r="AA1081" s="526"/>
      <c r="AB1081" s="526"/>
      <c r="AC1081" s="526"/>
      <c r="AD1081" s="526"/>
      <c r="AE1081" s="1124"/>
      <c r="AF1081" s="526"/>
      <c r="AG1081" s="526"/>
      <c r="AH1081" s="526"/>
      <c r="AI1081" s="526"/>
      <c r="AJ1081" s="1124"/>
      <c r="AK1081" s="526"/>
      <c r="AL1081" s="526"/>
      <c r="AM1081" s="526"/>
      <c r="AN1081" s="526"/>
      <c r="AO1081" s="1124"/>
      <c r="AP1081" s="526"/>
      <c r="AQ1081" s="526"/>
      <c r="AR1081" s="526"/>
      <c r="AS1081" s="526"/>
      <c r="AT1081" s="1124"/>
      <c r="AU1081" s="526"/>
      <c r="AV1081" s="526"/>
      <c r="AW1081" s="526"/>
      <c r="AX1081" s="526"/>
      <c r="AY1081" s="1123">
        <v>613.15</v>
      </c>
      <c r="AZ1081" s="526"/>
      <c r="BA1081" s="526"/>
      <c r="BB1081" s="526"/>
      <c r="BC1081" s="526"/>
      <c r="BD1081" s="1123">
        <v>613.15</v>
      </c>
      <c r="BE1081" s="526"/>
      <c r="BF1081" s="526"/>
      <c r="BG1081" s="526"/>
      <c r="BH1081" s="526"/>
      <c r="BI1081" s="1123">
        <v>613.15</v>
      </c>
      <c r="BJ1081" s="526"/>
      <c r="BK1081" s="526"/>
      <c r="BL1081" s="526"/>
      <c r="BM1081" s="526"/>
      <c r="BN1081" s="1123">
        <v>613.15</v>
      </c>
      <c r="BO1081" s="526"/>
      <c r="BP1081" s="526"/>
      <c r="BQ1081" s="526"/>
      <c r="BR1081" s="526"/>
      <c r="BS1081" s="1124"/>
      <c r="BT1081" s="729"/>
      <c r="BU1081" s="526"/>
      <c r="BV1081" s="526"/>
      <c r="BW1081" s="526"/>
      <c r="BX1081" s="1124"/>
      <c r="BY1081" s="526"/>
      <c r="BZ1081" s="526"/>
      <c r="CA1081" s="526"/>
      <c r="CB1081" s="526"/>
      <c r="CC1081" s="1124"/>
      <c r="CD1081" s="1124"/>
      <c r="CE1081" s="1124"/>
      <c r="CF1081" s="1124"/>
      <c r="CG1081" s="533"/>
    </row>
    <row r="1082" spans="1:85" s="614" customFormat="1" x14ac:dyDescent="0.3">
      <c r="A1082" s="522"/>
      <c r="B1082" s="352"/>
      <c r="C1082" s="1094"/>
      <c r="D1082" s="1094"/>
      <c r="E1082" s="1094"/>
      <c r="F1082" s="1094"/>
      <c r="G1082" s="197"/>
      <c r="H1082" s="197"/>
      <c r="I1082" s="197"/>
      <c r="J1082" s="197"/>
      <c r="K1082" s="1094"/>
      <c r="L1082" s="197"/>
      <c r="M1082" s="197"/>
      <c r="N1082" s="197"/>
      <c r="O1082" s="197"/>
      <c r="P1082" s="1094"/>
      <c r="Q1082" s="197"/>
      <c r="R1082" s="197"/>
      <c r="S1082" s="197"/>
      <c r="T1082" s="197"/>
      <c r="U1082" s="1094"/>
      <c r="V1082" s="197"/>
      <c r="W1082" s="197"/>
      <c r="X1082" s="197"/>
      <c r="Y1082" s="197"/>
      <c r="Z1082" s="1094"/>
      <c r="AA1082" s="197"/>
      <c r="AB1082" s="197"/>
      <c r="AC1082" s="197"/>
      <c r="AD1082" s="197"/>
      <c r="AE1082" s="1094"/>
      <c r="AF1082" s="197"/>
      <c r="AG1082" s="197"/>
      <c r="AH1082" s="197"/>
      <c r="AI1082" s="197"/>
      <c r="AJ1082" s="1094"/>
      <c r="AK1082" s="197"/>
      <c r="AL1082" s="197"/>
      <c r="AM1082" s="197"/>
      <c r="AN1082" s="197"/>
      <c r="AO1082" s="1094"/>
      <c r="AP1082" s="197"/>
      <c r="AQ1082" s="197"/>
      <c r="AR1082" s="197"/>
      <c r="AS1082" s="197"/>
      <c r="AT1082" s="198"/>
      <c r="AU1082" s="197"/>
      <c r="AV1082" s="197"/>
      <c r="AW1082" s="197"/>
      <c r="AX1082" s="197"/>
      <c r="AY1082" s="198"/>
      <c r="AZ1082" s="197"/>
      <c r="BA1082" s="197"/>
      <c r="BB1082" s="197"/>
      <c r="BC1082" s="197"/>
      <c r="BD1082" s="198"/>
      <c r="BE1082" s="197"/>
      <c r="BF1082" s="197"/>
      <c r="BG1082" s="197"/>
      <c r="BH1082" s="197"/>
      <c r="BI1082" s="198"/>
      <c r="BJ1082" s="197"/>
      <c r="BK1082" s="197"/>
      <c r="BL1082" s="197"/>
      <c r="BM1082" s="197"/>
      <c r="BN1082" s="198"/>
      <c r="BO1082" s="197"/>
      <c r="BP1082" s="197"/>
      <c r="BQ1082" s="197"/>
      <c r="BR1082" s="197"/>
      <c r="BS1082" s="198"/>
      <c r="BT1082" s="727"/>
      <c r="BU1082" s="197"/>
      <c r="BV1082" s="197"/>
      <c r="BW1082" s="197"/>
      <c r="BX1082" s="1094"/>
      <c r="BY1082" s="197"/>
      <c r="BZ1082" s="197"/>
      <c r="CA1082" s="197"/>
      <c r="CB1082" s="197"/>
      <c r="CC1082" s="1094"/>
      <c r="CD1082" s="1094"/>
      <c r="CE1082" s="1094"/>
      <c r="CF1082" s="1094"/>
      <c r="CG1082" s="349"/>
    </row>
    <row r="1083" spans="1:85" s="613" customFormat="1" x14ac:dyDescent="0.3">
      <c r="A1083" s="478" t="s">
        <v>1374</v>
      </c>
      <c r="B1083" s="523"/>
      <c r="C1083" s="78"/>
      <c r="D1083" s="78"/>
      <c r="E1083" s="78"/>
      <c r="F1083" s="78"/>
      <c r="G1083" s="774"/>
      <c r="H1083" s="774"/>
      <c r="I1083" s="774"/>
      <c r="J1083" s="774"/>
      <c r="K1083" s="78"/>
      <c r="L1083" s="774"/>
      <c r="M1083" s="774"/>
      <c r="N1083" s="774"/>
      <c r="O1083" s="774"/>
      <c r="P1083" s="78"/>
      <c r="Q1083" s="774"/>
      <c r="R1083" s="774"/>
      <c r="S1083" s="774"/>
      <c r="T1083" s="774"/>
      <c r="U1083" s="78"/>
      <c r="V1083" s="774"/>
      <c r="W1083" s="774"/>
      <c r="X1083" s="774"/>
      <c r="Y1083" s="774"/>
      <c r="Z1083" s="78"/>
      <c r="AA1083" s="774"/>
      <c r="AB1083" s="774"/>
      <c r="AC1083" s="774"/>
      <c r="AD1083" s="774"/>
      <c r="AE1083" s="78"/>
      <c r="AF1083" s="774"/>
      <c r="AG1083" s="774"/>
      <c r="AH1083" s="774"/>
      <c r="AI1083" s="774"/>
      <c r="AJ1083" s="78"/>
      <c r="AK1083" s="774"/>
      <c r="AL1083" s="774"/>
      <c r="AM1083" s="774"/>
      <c r="AN1083" s="774"/>
      <c r="AO1083" s="78"/>
      <c r="AP1083" s="774"/>
      <c r="AQ1083" s="774"/>
      <c r="AR1083" s="774"/>
      <c r="AS1083" s="774"/>
      <c r="AT1083" s="78"/>
      <c r="AU1083" s="774"/>
      <c r="AV1083" s="774"/>
      <c r="AW1083" s="774"/>
      <c r="AX1083" s="774"/>
      <c r="AY1083" s="1119">
        <v>1.6970000000000001</v>
      </c>
      <c r="AZ1083" s="774"/>
      <c r="BA1083" s="774"/>
      <c r="BB1083" s="774"/>
      <c r="BC1083" s="774"/>
      <c r="BD1083" s="1119">
        <v>1.6970000000000001</v>
      </c>
      <c r="BE1083" s="774"/>
      <c r="BF1083" s="774"/>
      <c r="BG1083" s="774"/>
      <c r="BH1083" s="774"/>
      <c r="BI1083" s="1119">
        <v>1.6970000000000001</v>
      </c>
      <c r="BJ1083" s="774"/>
      <c r="BK1083" s="774"/>
      <c r="BL1083" s="774"/>
      <c r="BM1083" s="774"/>
      <c r="BN1083" s="1119">
        <v>1.6970000000000001</v>
      </c>
      <c r="BO1083" s="774"/>
      <c r="BP1083" s="774"/>
      <c r="BQ1083" s="774"/>
      <c r="BR1083" s="774"/>
      <c r="BS1083" s="78"/>
      <c r="BT1083" s="775"/>
      <c r="BU1083" s="774"/>
      <c r="BV1083" s="774"/>
      <c r="BW1083" s="774"/>
      <c r="BX1083" s="78"/>
      <c r="BY1083" s="774"/>
      <c r="BZ1083" s="774"/>
      <c r="CA1083" s="774"/>
      <c r="CB1083" s="774"/>
      <c r="CC1083" s="78"/>
      <c r="CD1083" s="78"/>
      <c r="CE1083" s="78"/>
      <c r="CF1083" s="78"/>
      <c r="CG1083" s="532"/>
    </row>
    <row r="1084" spans="1:85" s="616" customFormat="1" x14ac:dyDescent="0.3">
      <c r="A1084" s="522" t="s">
        <v>1373</v>
      </c>
      <c r="B1084" s="527"/>
      <c r="C1084" s="1124"/>
      <c r="D1084" s="1124"/>
      <c r="E1084" s="1124"/>
      <c r="F1084" s="1124"/>
      <c r="G1084" s="526"/>
      <c r="H1084" s="526"/>
      <c r="I1084" s="526"/>
      <c r="J1084" s="526"/>
      <c r="K1084" s="1124"/>
      <c r="L1084" s="526"/>
      <c r="M1084" s="526"/>
      <c r="N1084" s="526"/>
      <c r="O1084" s="526"/>
      <c r="P1084" s="1124"/>
      <c r="Q1084" s="526"/>
      <c r="R1084" s="526"/>
      <c r="S1084" s="526"/>
      <c r="T1084" s="526"/>
      <c r="U1084" s="1124"/>
      <c r="V1084" s="526"/>
      <c r="W1084" s="526"/>
      <c r="X1084" s="526"/>
      <c r="Y1084" s="526"/>
      <c r="Z1084" s="1124"/>
      <c r="AA1084" s="526"/>
      <c r="AB1084" s="526"/>
      <c r="AC1084" s="526"/>
      <c r="AD1084" s="526"/>
      <c r="AE1084" s="1124"/>
      <c r="AF1084" s="526"/>
      <c r="AG1084" s="526"/>
      <c r="AH1084" s="526"/>
      <c r="AI1084" s="526"/>
      <c r="AJ1084" s="1124"/>
      <c r="AK1084" s="526"/>
      <c r="AL1084" s="526"/>
      <c r="AM1084" s="526"/>
      <c r="AN1084" s="526"/>
      <c r="AO1084" s="1124"/>
      <c r="AP1084" s="526"/>
      <c r="AQ1084" s="526"/>
      <c r="AR1084" s="526"/>
      <c r="AS1084" s="526"/>
      <c r="AT1084" s="1124"/>
      <c r="AU1084" s="526"/>
      <c r="AV1084" s="526"/>
      <c r="AW1084" s="526"/>
      <c r="AX1084" s="526"/>
      <c r="AY1084" s="1123">
        <v>681.17</v>
      </c>
      <c r="AZ1084" s="526"/>
      <c r="BA1084" s="526"/>
      <c r="BB1084" s="526"/>
      <c r="BC1084" s="526"/>
      <c r="BD1084" s="1123">
        <v>681.17</v>
      </c>
      <c r="BE1084" s="526"/>
      <c r="BF1084" s="526"/>
      <c r="BG1084" s="526"/>
      <c r="BH1084" s="526"/>
      <c r="BI1084" s="1123">
        <v>681.17</v>
      </c>
      <c r="BJ1084" s="526"/>
      <c r="BK1084" s="526"/>
      <c r="BL1084" s="526"/>
      <c r="BM1084" s="526"/>
      <c r="BN1084" s="1123">
        <v>681.17</v>
      </c>
      <c r="BO1084" s="526"/>
      <c r="BP1084" s="526"/>
      <c r="BQ1084" s="526"/>
      <c r="BR1084" s="526"/>
      <c r="BS1084" s="1124"/>
      <c r="BT1084" s="729"/>
      <c r="BU1084" s="526"/>
      <c r="BV1084" s="526"/>
      <c r="BW1084" s="526"/>
      <c r="BX1084" s="1124"/>
      <c r="BY1084" s="526"/>
      <c r="BZ1084" s="526"/>
      <c r="CA1084" s="526"/>
      <c r="CB1084" s="526"/>
      <c r="CC1084" s="1124"/>
      <c r="CD1084" s="1124"/>
      <c r="CE1084" s="1124"/>
      <c r="CF1084" s="1124"/>
      <c r="CG1084" s="533"/>
    </row>
    <row r="1085" spans="1:85" s="614" customFormat="1" x14ac:dyDescent="0.3">
      <c r="A1085" s="522"/>
      <c r="B1085" s="352"/>
      <c r="C1085" s="1094"/>
      <c r="D1085" s="1094"/>
      <c r="E1085" s="1094"/>
      <c r="F1085" s="1094"/>
      <c r="G1085" s="197"/>
      <c r="H1085" s="197"/>
      <c r="I1085" s="197"/>
      <c r="J1085" s="197"/>
      <c r="K1085" s="1094"/>
      <c r="L1085" s="197"/>
      <c r="M1085" s="197"/>
      <c r="N1085" s="197"/>
      <c r="O1085" s="197"/>
      <c r="P1085" s="1094"/>
      <c r="Q1085" s="197"/>
      <c r="R1085" s="197"/>
      <c r="S1085" s="197"/>
      <c r="T1085" s="197"/>
      <c r="U1085" s="1094"/>
      <c r="V1085" s="197"/>
      <c r="W1085" s="197"/>
      <c r="X1085" s="197"/>
      <c r="Y1085" s="197"/>
      <c r="Z1085" s="1094"/>
      <c r="AA1085" s="197"/>
      <c r="AB1085" s="197"/>
      <c r="AC1085" s="197"/>
      <c r="AD1085" s="197"/>
      <c r="AE1085" s="1094"/>
      <c r="AF1085" s="197"/>
      <c r="AG1085" s="197"/>
      <c r="AH1085" s="197"/>
      <c r="AI1085" s="197"/>
      <c r="AJ1085" s="1094"/>
      <c r="AK1085" s="197"/>
      <c r="AL1085" s="197"/>
      <c r="AM1085" s="197"/>
      <c r="AN1085" s="197"/>
      <c r="AO1085" s="1094"/>
      <c r="AP1085" s="197"/>
      <c r="AQ1085" s="197"/>
      <c r="AR1085" s="197"/>
      <c r="AS1085" s="197"/>
      <c r="AT1085" s="198"/>
      <c r="AU1085" s="197"/>
      <c r="AV1085" s="197"/>
      <c r="AW1085" s="197"/>
      <c r="AX1085" s="197"/>
      <c r="AY1085" s="198"/>
      <c r="AZ1085" s="197"/>
      <c r="BA1085" s="197"/>
      <c r="BB1085" s="197"/>
      <c r="BC1085" s="197"/>
      <c r="BD1085" s="198"/>
      <c r="BE1085" s="197"/>
      <c r="BF1085" s="197"/>
      <c r="BG1085" s="197"/>
      <c r="BH1085" s="197"/>
      <c r="BI1085" s="198"/>
      <c r="BJ1085" s="197"/>
      <c r="BK1085" s="197"/>
      <c r="BL1085" s="197"/>
      <c r="BM1085" s="197"/>
      <c r="BN1085" s="198"/>
      <c r="BO1085" s="197"/>
      <c r="BP1085" s="197"/>
      <c r="BQ1085" s="197"/>
      <c r="BR1085" s="197"/>
      <c r="BS1085" s="198"/>
      <c r="BT1085" s="727"/>
      <c r="BU1085" s="197"/>
      <c r="BV1085" s="197"/>
      <c r="BW1085" s="197"/>
      <c r="BX1085" s="1094"/>
      <c r="BY1085" s="197"/>
      <c r="BZ1085" s="197"/>
      <c r="CA1085" s="197"/>
      <c r="CB1085" s="197"/>
      <c r="CC1085" s="1094"/>
      <c r="CD1085" s="1094"/>
      <c r="CE1085" s="1094"/>
      <c r="CF1085" s="1094"/>
      <c r="CG1085" s="349"/>
    </row>
    <row r="1086" spans="1:85" s="613" customFormat="1" x14ac:dyDescent="0.3">
      <c r="A1086" s="478" t="s">
        <v>1372</v>
      </c>
      <c r="B1086" s="523"/>
      <c r="C1086" s="78"/>
      <c r="D1086" s="78"/>
      <c r="E1086" s="78"/>
      <c r="F1086" s="78"/>
      <c r="G1086" s="774"/>
      <c r="H1086" s="774"/>
      <c r="I1086" s="774"/>
      <c r="J1086" s="774"/>
      <c r="K1086" s="78"/>
      <c r="L1086" s="774"/>
      <c r="M1086" s="774"/>
      <c r="N1086" s="774"/>
      <c r="O1086" s="774"/>
      <c r="P1086" s="78"/>
      <c r="Q1086" s="774"/>
      <c r="R1086" s="774"/>
      <c r="S1086" s="774"/>
      <c r="T1086" s="774"/>
      <c r="U1086" s="78"/>
      <c r="V1086" s="774"/>
      <c r="W1086" s="774"/>
      <c r="X1086" s="774"/>
      <c r="Y1086" s="774"/>
      <c r="Z1086" s="78"/>
      <c r="AA1086" s="774"/>
      <c r="AB1086" s="774"/>
      <c r="AC1086" s="774"/>
      <c r="AD1086" s="774"/>
      <c r="AE1086" s="78"/>
      <c r="AF1086" s="774"/>
      <c r="AG1086" s="774"/>
      <c r="AH1086" s="774"/>
      <c r="AI1086" s="774"/>
      <c r="AJ1086" s="78"/>
      <c r="AK1086" s="774"/>
      <c r="AL1086" s="774"/>
      <c r="AM1086" s="774"/>
      <c r="AN1086" s="774"/>
      <c r="AO1086" s="78"/>
      <c r="AP1086" s="774"/>
      <c r="AQ1086" s="774"/>
      <c r="AR1086" s="774"/>
      <c r="AS1086" s="774"/>
      <c r="AT1086" s="78"/>
      <c r="AU1086" s="774"/>
      <c r="AV1086" s="774"/>
      <c r="AW1086" s="774"/>
      <c r="AX1086" s="774"/>
      <c r="AY1086" s="1119">
        <v>1.8720000000000001</v>
      </c>
      <c r="AZ1086" s="774"/>
      <c r="BA1086" s="774"/>
      <c r="BB1086" s="774"/>
      <c r="BC1086" s="774"/>
      <c r="BD1086" s="1119">
        <v>1.8720000000000001</v>
      </c>
      <c r="BE1086" s="774"/>
      <c r="BF1086" s="774"/>
      <c r="BG1086" s="774"/>
      <c r="BH1086" s="774"/>
      <c r="BI1086" s="1119">
        <v>1.8720000000000001</v>
      </c>
      <c r="BJ1086" s="774"/>
      <c r="BK1086" s="774"/>
      <c r="BL1086" s="774"/>
      <c r="BM1086" s="774"/>
      <c r="BN1086" s="1119">
        <v>1.8720000000000001</v>
      </c>
      <c r="BO1086" s="774"/>
      <c r="BP1086" s="774"/>
      <c r="BQ1086" s="774"/>
      <c r="BR1086" s="774"/>
      <c r="BS1086" s="78"/>
      <c r="BT1086" s="775"/>
      <c r="BU1086" s="774"/>
      <c r="BV1086" s="774"/>
      <c r="BW1086" s="774"/>
      <c r="BX1086" s="78"/>
      <c r="BY1086" s="774"/>
      <c r="BZ1086" s="774"/>
      <c r="CA1086" s="774"/>
      <c r="CB1086" s="774"/>
      <c r="CC1086" s="78"/>
      <c r="CD1086" s="78"/>
      <c r="CE1086" s="78"/>
      <c r="CF1086" s="78"/>
      <c r="CG1086" s="532"/>
    </row>
    <row r="1087" spans="1:85" s="616" customFormat="1" x14ac:dyDescent="0.3">
      <c r="A1087" s="522" t="s">
        <v>1371</v>
      </c>
      <c r="B1087" s="527"/>
      <c r="C1087" s="1124"/>
      <c r="D1087" s="1124"/>
      <c r="E1087" s="1124"/>
      <c r="F1087" s="1124"/>
      <c r="G1087" s="526"/>
      <c r="H1087" s="526"/>
      <c r="I1087" s="526"/>
      <c r="J1087" s="526"/>
      <c r="K1087" s="1124"/>
      <c r="L1087" s="526"/>
      <c r="M1087" s="526"/>
      <c r="N1087" s="526"/>
      <c r="O1087" s="526"/>
      <c r="P1087" s="1124"/>
      <c r="Q1087" s="526"/>
      <c r="R1087" s="526"/>
      <c r="S1087" s="526"/>
      <c r="T1087" s="526"/>
      <c r="U1087" s="1124"/>
      <c r="V1087" s="526"/>
      <c r="W1087" s="526"/>
      <c r="X1087" s="526"/>
      <c r="Y1087" s="526"/>
      <c r="Z1087" s="1124"/>
      <c r="AA1087" s="526"/>
      <c r="AB1087" s="526"/>
      <c r="AC1087" s="526"/>
      <c r="AD1087" s="526"/>
      <c r="AE1087" s="1124"/>
      <c r="AF1087" s="526"/>
      <c r="AG1087" s="526"/>
      <c r="AH1087" s="526"/>
      <c r="AI1087" s="526"/>
      <c r="AJ1087" s="1124"/>
      <c r="AK1087" s="526"/>
      <c r="AL1087" s="526"/>
      <c r="AM1087" s="526"/>
      <c r="AN1087" s="526"/>
      <c r="AO1087" s="1124"/>
      <c r="AP1087" s="526"/>
      <c r="AQ1087" s="526"/>
      <c r="AR1087" s="526"/>
      <c r="AS1087" s="526"/>
      <c r="AT1087" s="1124"/>
      <c r="AU1087" s="526"/>
      <c r="AV1087" s="526"/>
      <c r="AW1087" s="526"/>
      <c r="AX1087" s="526"/>
      <c r="AY1087" s="1123">
        <v>617.77</v>
      </c>
      <c r="AZ1087" s="526"/>
      <c r="BA1087" s="526"/>
      <c r="BB1087" s="526"/>
      <c r="BC1087" s="526"/>
      <c r="BD1087" s="1123">
        <v>617.77</v>
      </c>
      <c r="BE1087" s="526"/>
      <c r="BF1087" s="526"/>
      <c r="BG1087" s="526"/>
      <c r="BH1087" s="526"/>
      <c r="BI1087" s="1123">
        <v>617.77</v>
      </c>
      <c r="BJ1087" s="526"/>
      <c r="BK1087" s="526"/>
      <c r="BL1087" s="526"/>
      <c r="BM1087" s="526"/>
      <c r="BN1087" s="1123">
        <v>617.77</v>
      </c>
      <c r="BO1087" s="526"/>
      <c r="BP1087" s="526"/>
      <c r="BQ1087" s="526"/>
      <c r="BR1087" s="526"/>
      <c r="BS1087" s="1124"/>
      <c r="BT1087" s="729"/>
      <c r="BU1087" s="526"/>
      <c r="BV1087" s="526"/>
      <c r="BW1087" s="526"/>
      <c r="BX1087" s="1124"/>
      <c r="BY1087" s="526"/>
      <c r="BZ1087" s="526"/>
      <c r="CA1087" s="526"/>
      <c r="CB1087" s="526"/>
      <c r="CC1087" s="1124"/>
      <c r="CD1087" s="1124"/>
      <c r="CE1087" s="1124"/>
      <c r="CF1087" s="1124"/>
      <c r="CG1087" s="533"/>
    </row>
    <row r="1088" spans="1:85" s="614" customFormat="1" x14ac:dyDescent="0.3">
      <c r="A1088" s="351"/>
      <c r="B1088" s="352"/>
      <c r="C1088" s="1094"/>
      <c r="D1088" s="1094"/>
      <c r="E1088" s="1094"/>
      <c r="F1088" s="1094"/>
      <c r="G1088" s="197"/>
      <c r="H1088" s="197"/>
      <c r="I1088" s="197"/>
      <c r="J1088" s="197"/>
      <c r="K1088" s="1094"/>
      <c r="L1088" s="197"/>
      <c r="M1088" s="197"/>
      <c r="N1088" s="197"/>
      <c r="O1088" s="197"/>
      <c r="P1088" s="1094"/>
      <c r="Q1088" s="197"/>
      <c r="R1088" s="197"/>
      <c r="S1088" s="197"/>
      <c r="T1088" s="197"/>
      <c r="U1088" s="1094"/>
      <c r="V1088" s="197"/>
      <c r="W1088" s="197"/>
      <c r="X1088" s="197"/>
      <c r="Y1088" s="197"/>
      <c r="Z1088" s="1094"/>
      <c r="AA1088" s="197"/>
      <c r="AB1088" s="197"/>
      <c r="AC1088" s="197"/>
      <c r="AD1088" s="197"/>
      <c r="AE1088" s="1094"/>
      <c r="AF1088" s="197"/>
      <c r="AG1088" s="197"/>
      <c r="AH1088" s="197"/>
      <c r="AI1088" s="197"/>
      <c r="AJ1088" s="1094"/>
      <c r="AK1088" s="197"/>
      <c r="AL1088" s="197"/>
      <c r="AM1088" s="197"/>
      <c r="AN1088" s="197"/>
      <c r="AO1088" s="1094"/>
      <c r="AP1088" s="197"/>
      <c r="AQ1088" s="197"/>
      <c r="AR1088" s="197"/>
      <c r="AS1088" s="197"/>
      <c r="AT1088" s="1094"/>
      <c r="AU1088" s="197"/>
      <c r="AV1088" s="197"/>
      <c r="AW1088" s="197"/>
      <c r="AX1088" s="197"/>
      <c r="AY1088" s="1094"/>
      <c r="AZ1088" s="197"/>
      <c r="BA1088" s="197"/>
      <c r="BB1088" s="197"/>
      <c r="BC1088" s="197"/>
      <c r="BD1088" s="1094"/>
      <c r="BE1088" s="197"/>
      <c r="BF1088" s="197"/>
      <c r="BG1088" s="197"/>
      <c r="BH1088" s="197"/>
      <c r="BI1088" s="1094"/>
      <c r="BJ1088" s="197"/>
      <c r="BK1088" s="197"/>
      <c r="BL1088" s="197"/>
      <c r="BM1088" s="197"/>
      <c r="BN1088" s="1094"/>
      <c r="BO1088" s="197"/>
      <c r="BP1088" s="197"/>
      <c r="BQ1088" s="197"/>
      <c r="BR1088" s="197"/>
      <c r="BS1088" s="1094"/>
      <c r="BT1088" s="727"/>
      <c r="BU1088" s="197"/>
      <c r="BV1088" s="197"/>
      <c r="BW1088" s="197"/>
      <c r="BX1088" s="1094"/>
      <c r="BY1088" s="197"/>
      <c r="BZ1088" s="197"/>
      <c r="CA1088" s="197"/>
      <c r="CB1088" s="197"/>
      <c r="CC1088" s="1094"/>
      <c r="CD1088" s="1094"/>
      <c r="CE1088" s="1094"/>
      <c r="CF1088" s="1094"/>
      <c r="CG1088" s="349"/>
    </row>
    <row r="1089" spans="1:85" s="613" customFormat="1" x14ac:dyDescent="0.3">
      <c r="A1089" s="478" t="s">
        <v>1370</v>
      </c>
      <c r="B1089" s="523"/>
      <c r="C1089" s="78"/>
      <c r="D1089" s="78"/>
      <c r="E1089" s="78"/>
      <c r="F1089" s="78"/>
      <c r="G1089" s="774"/>
      <c r="H1089" s="774"/>
      <c r="I1089" s="774"/>
      <c r="J1089" s="774"/>
      <c r="K1089" s="78"/>
      <c r="L1089" s="774"/>
      <c r="M1089" s="774"/>
      <c r="N1089" s="774"/>
      <c r="O1089" s="774"/>
      <c r="P1089" s="78"/>
      <c r="Q1089" s="774"/>
      <c r="R1089" s="774"/>
      <c r="S1089" s="774"/>
      <c r="T1089" s="774"/>
      <c r="U1089" s="78"/>
      <c r="V1089" s="774"/>
      <c r="W1089" s="774"/>
      <c r="X1089" s="774"/>
      <c r="Y1089" s="774"/>
      <c r="Z1089" s="78"/>
      <c r="AA1089" s="774"/>
      <c r="AB1089" s="774"/>
      <c r="AC1089" s="774"/>
      <c r="AD1089" s="774"/>
      <c r="AE1089" s="78"/>
      <c r="AF1089" s="774"/>
      <c r="AG1089" s="774"/>
      <c r="AH1089" s="774"/>
      <c r="AI1089" s="774"/>
      <c r="AJ1089" s="78"/>
      <c r="AK1089" s="774"/>
      <c r="AL1089" s="774"/>
      <c r="AM1089" s="774"/>
      <c r="AN1089" s="774"/>
      <c r="AO1089" s="78"/>
      <c r="AP1089" s="774"/>
      <c r="AQ1089" s="774"/>
      <c r="AR1089" s="774"/>
      <c r="AS1089" s="774"/>
      <c r="AT1089" s="78"/>
      <c r="AU1089" s="774"/>
      <c r="AV1089" s="774"/>
      <c r="AW1089" s="774"/>
      <c r="AX1089" s="774"/>
      <c r="AY1089" s="78"/>
      <c r="AZ1089" s="774"/>
      <c r="BA1089" s="774"/>
      <c r="BB1089" s="774"/>
      <c r="BC1089" s="774"/>
      <c r="BD1089" s="1119">
        <v>1.9359999999999999</v>
      </c>
      <c r="BE1089" s="774"/>
      <c r="BF1089" s="774"/>
      <c r="BG1089" s="774"/>
      <c r="BH1089" s="774"/>
      <c r="BI1089" s="1119">
        <v>1.9359999999999999</v>
      </c>
      <c r="BJ1089" s="774"/>
      <c r="BK1089" s="774"/>
      <c r="BL1089" s="774"/>
      <c r="BM1089" s="774"/>
      <c r="BN1089" s="1119">
        <v>1.9359999999999999</v>
      </c>
      <c r="BO1089" s="774"/>
      <c r="BP1089" s="774"/>
      <c r="BQ1089" s="774"/>
      <c r="BR1089" s="774"/>
      <c r="BS1089" s="78"/>
      <c r="BT1089" s="775"/>
      <c r="BU1089" s="774"/>
      <c r="BV1089" s="774"/>
      <c r="BW1089" s="774"/>
      <c r="BX1089" s="78"/>
      <c r="BY1089" s="774"/>
      <c r="BZ1089" s="774"/>
      <c r="CA1089" s="774"/>
      <c r="CB1089" s="774"/>
      <c r="CC1089" s="78"/>
      <c r="CD1089" s="78"/>
      <c r="CE1089" s="78"/>
      <c r="CF1089" s="78"/>
      <c r="CG1089" s="532"/>
    </row>
    <row r="1090" spans="1:85" s="616" customFormat="1" x14ac:dyDescent="0.3">
      <c r="A1090" s="522" t="s">
        <v>1369</v>
      </c>
      <c r="B1090" s="527"/>
      <c r="C1090" s="1124"/>
      <c r="D1090" s="1124"/>
      <c r="E1090" s="1124"/>
      <c r="F1090" s="1124"/>
      <c r="G1090" s="526"/>
      <c r="H1090" s="526"/>
      <c r="I1090" s="526"/>
      <c r="J1090" s="526"/>
      <c r="K1090" s="1124"/>
      <c r="L1090" s="526"/>
      <c r="M1090" s="526"/>
      <c r="N1090" s="526"/>
      <c r="O1090" s="526"/>
      <c r="P1090" s="1124"/>
      <c r="Q1090" s="526"/>
      <c r="R1090" s="526"/>
      <c r="S1090" s="526"/>
      <c r="T1090" s="526"/>
      <c r="U1090" s="1124"/>
      <c r="V1090" s="526"/>
      <c r="W1090" s="526"/>
      <c r="X1090" s="526"/>
      <c r="Y1090" s="526"/>
      <c r="Z1090" s="1124"/>
      <c r="AA1090" s="526"/>
      <c r="AB1090" s="526"/>
      <c r="AC1090" s="526"/>
      <c r="AD1090" s="526"/>
      <c r="AE1090" s="1124"/>
      <c r="AF1090" s="526"/>
      <c r="AG1090" s="526"/>
      <c r="AH1090" s="526"/>
      <c r="AI1090" s="526"/>
      <c r="AJ1090" s="1124"/>
      <c r="AK1090" s="526"/>
      <c r="AL1090" s="526"/>
      <c r="AM1090" s="526"/>
      <c r="AN1090" s="526"/>
      <c r="AO1090" s="1124"/>
      <c r="AP1090" s="526"/>
      <c r="AQ1090" s="526"/>
      <c r="AR1090" s="526"/>
      <c r="AS1090" s="526"/>
      <c r="AT1090" s="1124"/>
      <c r="AU1090" s="526"/>
      <c r="AV1090" s="526"/>
      <c r="AW1090" s="526"/>
      <c r="AX1090" s="526"/>
      <c r="AY1090" s="1124"/>
      <c r="AZ1090" s="526"/>
      <c r="BA1090" s="526"/>
      <c r="BB1090" s="526"/>
      <c r="BC1090" s="526"/>
      <c r="BD1090" s="1123">
        <v>597.37</v>
      </c>
      <c r="BE1090" s="526"/>
      <c r="BF1090" s="526"/>
      <c r="BG1090" s="526"/>
      <c r="BH1090" s="526"/>
      <c r="BI1090" s="1123">
        <v>597.37</v>
      </c>
      <c r="BJ1090" s="526"/>
      <c r="BK1090" s="526"/>
      <c r="BL1090" s="526"/>
      <c r="BM1090" s="526"/>
      <c r="BN1090" s="1123">
        <v>597.37</v>
      </c>
      <c r="BO1090" s="526"/>
      <c r="BP1090" s="526"/>
      <c r="BQ1090" s="526"/>
      <c r="BR1090" s="526"/>
      <c r="BS1090" s="1124"/>
      <c r="BT1090" s="729"/>
      <c r="BU1090" s="526"/>
      <c r="BV1090" s="526"/>
      <c r="BW1090" s="526"/>
      <c r="BX1090" s="1124"/>
      <c r="BY1090" s="526"/>
      <c r="BZ1090" s="526"/>
      <c r="CA1090" s="526"/>
      <c r="CB1090" s="526"/>
      <c r="CC1090" s="1124"/>
      <c r="CD1090" s="1124"/>
      <c r="CE1090" s="1124"/>
      <c r="CF1090" s="1124"/>
      <c r="CG1090" s="533"/>
    </row>
    <row r="1091" spans="1:85" s="614" customFormat="1" x14ac:dyDescent="0.3">
      <c r="A1091" s="522"/>
      <c r="B1091" s="352"/>
      <c r="C1091" s="1094"/>
      <c r="D1091" s="1094"/>
      <c r="E1091" s="1094"/>
      <c r="F1091" s="1094"/>
      <c r="G1091" s="197"/>
      <c r="H1091" s="197"/>
      <c r="I1091" s="197"/>
      <c r="J1091" s="197"/>
      <c r="K1091" s="1094"/>
      <c r="L1091" s="197"/>
      <c r="M1091" s="197"/>
      <c r="N1091" s="197"/>
      <c r="O1091" s="197"/>
      <c r="P1091" s="1094"/>
      <c r="Q1091" s="197"/>
      <c r="R1091" s="197"/>
      <c r="S1091" s="197"/>
      <c r="T1091" s="197"/>
      <c r="U1091" s="1094"/>
      <c r="V1091" s="197"/>
      <c r="W1091" s="197"/>
      <c r="X1091" s="197"/>
      <c r="Y1091" s="197"/>
      <c r="Z1091" s="1094"/>
      <c r="AA1091" s="197"/>
      <c r="AB1091" s="197"/>
      <c r="AC1091" s="197"/>
      <c r="AD1091" s="197"/>
      <c r="AE1091" s="1094"/>
      <c r="AF1091" s="197"/>
      <c r="AG1091" s="197"/>
      <c r="AH1091" s="197"/>
      <c r="AI1091" s="197"/>
      <c r="AJ1091" s="1094"/>
      <c r="AK1091" s="197"/>
      <c r="AL1091" s="197"/>
      <c r="AM1091" s="197"/>
      <c r="AN1091" s="197"/>
      <c r="AO1091" s="1094"/>
      <c r="AP1091" s="197"/>
      <c r="AQ1091" s="197"/>
      <c r="AR1091" s="197"/>
      <c r="AS1091" s="197"/>
      <c r="AT1091" s="198"/>
      <c r="AU1091" s="197"/>
      <c r="AV1091" s="197"/>
      <c r="AW1091" s="197"/>
      <c r="AX1091" s="197"/>
      <c r="AY1091" s="198"/>
      <c r="AZ1091" s="197"/>
      <c r="BA1091" s="197"/>
      <c r="BB1091" s="197"/>
      <c r="BC1091" s="197"/>
      <c r="BD1091" s="198"/>
      <c r="BE1091" s="197"/>
      <c r="BF1091" s="197"/>
      <c r="BG1091" s="197"/>
      <c r="BH1091" s="197"/>
      <c r="BI1091" s="198"/>
      <c r="BJ1091" s="197"/>
      <c r="BK1091" s="197"/>
      <c r="BL1091" s="197"/>
      <c r="BM1091" s="197"/>
      <c r="BN1091" s="198"/>
      <c r="BO1091" s="197"/>
      <c r="BP1091" s="197"/>
      <c r="BQ1091" s="197"/>
      <c r="BR1091" s="197"/>
      <c r="BS1091" s="198"/>
      <c r="BT1091" s="727"/>
      <c r="BU1091" s="197"/>
      <c r="BV1091" s="197"/>
      <c r="BW1091" s="197"/>
      <c r="BX1091" s="1094"/>
      <c r="BY1091" s="197"/>
      <c r="BZ1091" s="197"/>
      <c r="CA1091" s="197"/>
      <c r="CB1091" s="197"/>
      <c r="CC1091" s="1094"/>
      <c r="CD1091" s="1094"/>
      <c r="CE1091" s="1094"/>
      <c r="CF1091" s="1094"/>
      <c r="CG1091" s="349"/>
    </row>
    <row r="1092" spans="1:85" s="613" customFormat="1" x14ac:dyDescent="0.3">
      <c r="A1092" s="478" t="s">
        <v>1368</v>
      </c>
      <c r="B1092" s="523"/>
      <c r="C1092" s="78"/>
      <c r="D1092" s="78"/>
      <c r="E1092" s="78"/>
      <c r="F1092" s="78"/>
      <c r="G1092" s="774"/>
      <c r="H1092" s="774"/>
      <c r="I1092" s="774"/>
      <c r="J1092" s="774"/>
      <c r="K1092" s="78"/>
      <c r="L1092" s="774"/>
      <c r="M1092" s="774"/>
      <c r="N1092" s="774"/>
      <c r="O1092" s="774"/>
      <c r="P1092" s="78"/>
      <c r="Q1092" s="774"/>
      <c r="R1092" s="774"/>
      <c r="S1092" s="774"/>
      <c r="T1092" s="774"/>
      <c r="U1092" s="78"/>
      <c r="V1092" s="774"/>
      <c r="W1092" s="774"/>
      <c r="X1092" s="774"/>
      <c r="Y1092" s="774"/>
      <c r="Z1092" s="78"/>
      <c r="AA1092" s="774"/>
      <c r="AB1092" s="774"/>
      <c r="AC1092" s="774"/>
      <c r="AD1092" s="774"/>
      <c r="AE1092" s="78"/>
      <c r="AF1092" s="774"/>
      <c r="AG1092" s="774"/>
      <c r="AH1092" s="774"/>
      <c r="AI1092" s="774"/>
      <c r="AJ1092" s="78"/>
      <c r="AK1092" s="774"/>
      <c r="AL1092" s="774"/>
      <c r="AM1092" s="774"/>
      <c r="AN1092" s="774"/>
      <c r="AO1092" s="78"/>
      <c r="AP1092" s="774"/>
      <c r="AQ1092" s="774"/>
      <c r="AR1092" s="774"/>
      <c r="AS1092" s="774"/>
      <c r="AT1092" s="78"/>
      <c r="AU1092" s="774"/>
      <c r="AV1092" s="774"/>
      <c r="AW1092" s="774"/>
      <c r="AX1092" s="774"/>
      <c r="AY1092" s="78"/>
      <c r="AZ1092" s="774"/>
      <c r="BA1092" s="774"/>
      <c r="BB1092" s="774"/>
      <c r="BC1092" s="774"/>
      <c r="BD1092" s="1119">
        <v>3.19</v>
      </c>
      <c r="BE1092" s="774"/>
      <c r="BF1092" s="774"/>
      <c r="BG1092" s="774"/>
      <c r="BH1092" s="774"/>
      <c r="BI1092" s="1119">
        <v>3.19</v>
      </c>
      <c r="BJ1092" s="774"/>
      <c r="BK1092" s="774"/>
      <c r="BL1092" s="774"/>
      <c r="BM1092" s="774"/>
      <c r="BN1092" s="1119">
        <v>3.19</v>
      </c>
      <c r="BO1092" s="774"/>
      <c r="BP1092" s="774"/>
      <c r="BQ1092" s="774"/>
      <c r="BR1092" s="774"/>
      <c r="BS1092" s="78"/>
      <c r="BT1092" s="775"/>
      <c r="BU1092" s="774"/>
      <c r="BV1092" s="774"/>
      <c r="BW1092" s="774"/>
      <c r="BX1092" s="78"/>
      <c r="BY1092" s="774"/>
      <c r="BZ1092" s="774"/>
      <c r="CA1092" s="774"/>
      <c r="CB1092" s="774"/>
      <c r="CC1092" s="78"/>
      <c r="CD1092" s="78"/>
      <c r="CE1092" s="78"/>
      <c r="CF1092" s="78"/>
      <c r="CG1092" s="532"/>
    </row>
    <row r="1093" spans="1:85" s="616" customFormat="1" x14ac:dyDescent="0.3">
      <c r="A1093" s="522" t="s">
        <v>1367</v>
      </c>
      <c r="B1093" s="527"/>
      <c r="C1093" s="1124"/>
      <c r="D1093" s="1124"/>
      <c r="E1093" s="1124"/>
      <c r="F1093" s="1124"/>
      <c r="G1093" s="526"/>
      <c r="H1093" s="526"/>
      <c r="I1093" s="526"/>
      <c r="J1093" s="526"/>
      <c r="K1093" s="1124"/>
      <c r="L1093" s="526"/>
      <c r="M1093" s="526"/>
      <c r="N1093" s="526"/>
      <c r="O1093" s="526"/>
      <c r="P1093" s="1124"/>
      <c r="Q1093" s="526"/>
      <c r="R1093" s="526"/>
      <c r="S1093" s="526"/>
      <c r="T1093" s="526"/>
      <c r="U1093" s="1124"/>
      <c r="V1093" s="526"/>
      <c r="W1093" s="526"/>
      <c r="X1093" s="526"/>
      <c r="Y1093" s="526"/>
      <c r="Z1093" s="1124"/>
      <c r="AA1093" s="526"/>
      <c r="AB1093" s="526"/>
      <c r="AC1093" s="526"/>
      <c r="AD1093" s="526"/>
      <c r="AE1093" s="1124"/>
      <c r="AF1093" s="526"/>
      <c r="AG1093" s="526"/>
      <c r="AH1093" s="526"/>
      <c r="AI1093" s="526"/>
      <c r="AJ1093" s="1124"/>
      <c r="AK1093" s="526"/>
      <c r="AL1093" s="526"/>
      <c r="AM1093" s="526"/>
      <c r="AN1093" s="526"/>
      <c r="AO1093" s="1124"/>
      <c r="AP1093" s="526"/>
      <c r="AQ1093" s="526"/>
      <c r="AR1093" s="526"/>
      <c r="AS1093" s="526"/>
      <c r="AT1093" s="1124"/>
      <c r="AU1093" s="526"/>
      <c r="AV1093" s="526"/>
      <c r="AW1093" s="526"/>
      <c r="AX1093" s="526"/>
      <c r="AY1093" s="1124"/>
      <c r="AZ1093" s="526"/>
      <c r="BA1093" s="526"/>
      <c r="BB1093" s="526"/>
      <c r="BC1093" s="526"/>
      <c r="BD1093" s="1123">
        <v>457.13</v>
      </c>
      <c r="BE1093" s="526"/>
      <c r="BF1093" s="526"/>
      <c r="BG1093" s="526"/>
      <c r="BH1093" s="526"/>
      <c r="BI1093" s="1123">
        <v>457.13</v>
      </c>
      <c r="BJ1093" s="526"/>
      <c r="BK1093" s="526"/>
      <c r="BL1093" s="526"/>
      <c r="BM1093" s="526"/>
      <c r="BN1093" s="1123">
        <v>457.13</v>
      </c>
      <c r="BO1093" s="526"/>
      <c r="BP1093" s="526"/>
      <c r="BQ1093" s="526"/>
      <c r="BR1093" s="526"/>
      <c r="BS1093" s="1124"/>
      <c r="BT1093" s="729"/>
      <c r="BU1093" s="526"/>
      <c r="BV1093" s="526"/>
      <c r="BW1093" s="526"/>
      <c r="BX1093" s="1124"/>
      <c r="BY1093" s="526"/>
      <c r="BZ1093" s="526"/>
      <c r="CA1093" s="526"/>
      <c r="CB1093" s="526"/>
      <c r="CC1093" s="1124"/>
      <c r="CD1093" s="1124"/>
      <c r="CE1093" s="1124"/>
      <c r="CF1093" s="1124"/>
      <c r="CG1093" s="533"/>
    </row>
    <row r="1094" spans="1:85" s="614" customFormat="1" x14ac:dyDescent="0.3">
      <c r="A1094" s="522"/>
      <c r="B1094" s="352"/>
      <c r="C1094" s="1094"/>
      <c r="D1094" s="1094"/>
      <c r="E1094" s="1094"/>
      <c r="F1094" s="1094"/>
      <c r="G1094" s="197"/>
      <c r="H1094" s="197"/>
      <c r="I1094" s="197"/>
      <c r="J1094" s="197"/>
      <c r="K1094" s="1094"/>
      <c r="L1094" s="197"/>
      <c r="M1094" s="197"/>
      <c r="N1094" s="197"/>
      <c r="O1094" s="197"/>
      <c r="P1094" s="1094"/>
      <c r="Q1094" s="197"/>
      <c r="R1094" s="197"/>
      <c r="S1094" s="197"/>
      <c r="T1094" s="197"/>
      <c r="U1094" s="1094"/>
      <c r="V1094" s="197"/>
      <c r="W1094" s="197"/>
      <c r="X1094" s="197"/>
      <c r="Y1094" s="197"/>
      <c r="Z1094" s="1094"/>
      <c r="AA1094" s="197"/>
      <c r="AB1094" s="197"/>
      <c r="AC1094" s="197"/>
      <c r="AD1094" s="197"/>
      <c r="AE1094" s="1094"/>
      <c r="AF1094" s="197"/>
      <c r="AG1094" s="197"/>
      <c r="AH1094" s="197"/>
      <c r="AI1094" s="197"/>
      <c r="AJ1094" s="1094"/>
      <c r="AK1094" s="197"/>
      <c r="AL1094" s="197"/>
      <c r="AM1094" s="197"/>
      <c r="AN1094" s="197"/>
      <c r="AO1094" s="1094"/>
      <c r="AP1094" s="197"/>
      <c r="AQ1094" s="197"/>
      <c r="AR1094" s="197"/>
      <c r="AS1094" s="197"/>
      <c r="AT1094" s="198"/>
      <c r="AU1094" s="197"/>
      <c r="AV1094" s="197"/>
      <c r="AW1094" s="197"/>
      <c r="AX1094" s="197"/>
      <c r="AY1094" s="198"/>
      <c r="AZ1094" s="197"/>
      <c r="BA1094" s="197"/>
      <c r="BB1094" s="197"/>
      <c r="BC1094" s="197"/>
      <c r="BD1094" s="198"/>
      <c r="BE1094" s="197"/>
      <c r="BF1094" s="197"/>
      <c r="BG1094" s="197"/>
      <c r="BH1094" s="197"/>
      <c r="BI1094" s="198"/>
      <c r="BJ1094" s="197"/>
      <c r="BK1094" s="197"/>
      <c r="BL1094" s="197"/>
      <c r="BM1094" s="197"/>
      <c r="BN1094" s="198"/>
      <c r="BO1094" s="197"/>
      <c r="BP1094" s="197"/>
      <c r="BQ1094" s="197"/>
      <c r="BR1094" s="197"/>
      <c r="BS1094" s="198"/>
      <c r="BT1094" s="727"/>
      <c r="BU1094" s="197"/>
      <c r="BV1094" s="197"/>
      <c r="BW1094" s="197"/>
      <c r="BX1094" s="1094"/>
      <c r="BY1094" s="197"/>
      <c r="BZ1094" s="197"/>
      <c r="CA1094" s="197"/>
      <c r="CB1094" s="197"/>
      <c r="CC1094" s="1094"/>
      <c r="CD1094" s="1094"/>
      <c r="CE1094" s="1094"/>
      <c r="CF1094" s="1094"/>
      <c r="CG1094" s="349"/>
    </row>
    <row r="1095" spans="1:85" s="613" customFormat="1" x14ac:dyDescent="0.3">
      <c r="A1095" s="478" t="s">
        <v>1366</v>
      </c>
      <c r="B1095" s="523"/>
      <c r="C1095" s="78"/>
      <c r="D1095" s="78"/>
      <c r="E1095" s="78"/>
      <c r="F1095" s="78"/>
      <c r="G1095" s="774"/>
      <c r="H1095" s="774"/>
      <c r="I1095" s="774"/>
      <c r="J1095" s="774"/>
      <c r="K1095" s="78"/>
      <c r="L1095" s="774"/>
      <c r="M1095" s="774"/>
      <c r="N1095" s="774"/>
      <c r="O1095" s="774"/>
      <c r="P1095" s="78"/>
      <c r="Q1095" s="774"/>
      <c r="R1095" s="774"/>
      <c r="S1095" s="774"/>
      <c r="T1095" s="774"/>
      <c r="U1095" s="78"/>
      <c r="V1095" s="774"/>
      <c r="W1095" s="774"/>
      <c r="X1095" s="774"/>
      <c r="Y1095" s="774"/>
      <c r="Z1095" s="78"/>
      <c r="AA1095" s="774"/>
      <c r="AB1095" s="774"/>
      <c r="AC1095" s="774"/>
      <c r="AD1095" s="774"/>
      <c r="AE1095" s="78"/>
      <c r="AF1095" s="774"/>
      <c r="AG1095" s="774"/>
      <c r="AH1095" s="774"/>
      <c r="AI1095" s="774"/>
      <c r="AJ1095" s="78"/>
      <c r="AK1095" s="774"/>
      <c r="AL1095" s="774"/>
      <c r="AM1095" s="774"/>
      <c r="AN1095" s="774"/>
      <c r="AO1095" s="78"/>
      <c r="AP1095" s="774"/>
      <c r="AQ1095" s="774"/>
      <c r="AR1095" s="774"/>
      <c r="AS1095" s="774"/>
      <c r="AT1095" s="78"/>
      <c r="AU1095" s="774"/>
      <c r="AV1095" s="774"/>
      <c r="AW1095" s="774"/>
      <c r="AX1095" s="774"/>
      <c r="AY1095" s="78"/>
      <c r="AZ1095" s="774"/>
      <c r="BA1095" s="774"/>
      <c r="BB1095" s="774"/>
      <c r="BC1095" s="774"/>
      <c r="BD1095" s="1119">
        <v>3.7759999999999998</v>
      </c>
      <c r="BE1095" s="774"/>
      <c r="BF1095" s="774"/>
      <c r="BG1095" s="774"/>
      <c r="BH1095" s="774"/>
      <c r="BI1095" s="1119">
        <v>3.7759999999999998</v>
      </c>
      <c r="BJ1095" s="774"/>
      <c r="BK1095" s="774"/>
      <c r="BL1095" s="774"/>
      <c r="BM1095" s="774"/>
      <c r="BN1095" s="1119">
        <v>3.7759999999999998</v>
      </c>
      <c r="BO1095" s="774"/>
      <c r="BP1095" s="774"/>
      <c r="BQ1095" s="774"/>
      <c r="BR1095" s="774"/>
      <c r="BS1095" s="78"/>
      <c r="BT1095" s="775"/>
      <c r="BU1095" s="774"/>
      <c r="BV1095" s="774"/>
      <c r="BW1095" s="774"/>
      <c r="BX1095" s="78"/>
      <c r="BY1095" s="774"/>
      <c r="BZ1095" s="774"/>
      <c r="CA1095" s="774"/>
      <c r="CB1095" s="774"/>
      <c r="CC1095" s="78"/>
      <c r="CD1095" s="78"/>
      <c r="CE1095" s="78"/>
      <c r="CF1095" s="78"/>
      <c r="CG1095" s="532"/>
    </row>
    <row r="1096" spans="1:85" s="616" customFormat="1" x14ac:dyDescent="0.3">
      <c r="A1096" s="522" t="s">
        <v>1365</v>
      </c>
      <c r="B1096" s="527"/>
      <c r="C1096" s="1124"/>
      <c r="D1096" s="1124"/>
      <c r="E1096" s="1124"/>
      <c r="F1096" s="1124"/>
      <c r="G1096" s="526"/>
      <c r="H1096" s="526"/>
      <c r="I1096" s="526"/>
      <c r="J1096" s="526"/>
      <c r="K1096" s="1124"/>
      <c r="L1096" s="526"/>
      <c r="M1096" s="526"/>
      <c r="N1096" s="526"/>
      <c r="O1096" s="526"/>
      <c r="P1096" s="1124"/>
      <c r="Q1096" s="526"/>
      <c r="R1096" s="526"/>
      <c r="S1096" s="526"/>
      <c r="T1096" s="526"/>
      <c r="U1096" s="1124"/>
      <c r="V1096" s="526"/>
      <c r="W1096" s="526"/>
      <c r="X1096" s="526"/>
      <c r="Y1096" s="526"/>
      <c r="Z1096" s="1124"/>
      <c r="AA1096" s="526"/>
      <c r="AB1096" s="526"/>
      <c r="AC1096" s="526"/>
      <c r="AD1096" s="526"/>
      <c r="AE1096" s="1124"/>
      <c r="AF1096" s="526"/>
      <c r="AG1096" s="526"/>
      <c r="AH1096" s="526"/>
      <c r="AI1096" s="526"/>
      <c r="AJ1096" s="1124"/>
      <c r="AK1096" s="526"/>
      <c r="AL1096" s="526"/>
      <c r="AM1096" s="526"/>
      <c r="AN1096" s="526"/>
      <c r="AO1096" s="1124"/>
      <c r="AP1096" s="526"/>
      <c r="AQ1096" s="526"/>
      <c r="AR1096" s="526"/>
      <c r="AS1096" s="526"/>
      <c r="AT1096" s="1124"/>
      <c r="AU1096" s="526"/>
      <c r="AV1096" s="526"/>
      <c r="AW1096" s="526"/>
      <c r="AX1096" s="526"/>
      <c r="AY1096" s="1124"/>
      <c r="AZ1096" s="526"/>
      <c r="BA1096" s="526"/>
      <c r="BB1096" s="526"/>
      <c r="BC1096" s="526"/>
      <c r="BD1096" s="1123">
        <v>386.24</v>
      </c>
      <c r="BE1096" s="526"/>
      <c r="BF1096" s="526"/>
      <c r="BG1096" s="526"/>
      <c r="BH1096" s="526"/>
      <c r="BI1096" s="1123">
        <v>386.24</v>
      </c>
      <c r="BJ1096" s="526"/>
      <c r="BK1096" s="526"/>
      <c r="BL1096" s="526"/>
      <c r="BM1096" s="526"/>
      <c r="BN1096" s="1123">
        <v>386.24</v>
      </c>
      <c r="BO1096" s="526"/>
      <c r="BP1096" s="526"/>
      <c r="BQ1096" s="526"/>
      <c r="BR1096" s="526"/>
      <c r="BS1096" s="1124"/>
      <c r="BT1096" s="729"/>
      <c r="BU1096" s="526"/>
      <c r="BV1096" s="526"/>
      <c r="BW1096" s="526"/>
      <c r="BX1096" s="1124"/>
      <c r="BY1096" s="526"/>
      <c r="BZ1096" s="526"/>
      <c r="CA1096" s="526"/>
      <c r="CB1096" s="526"/>
      <c r="CC1096" s="1124"/>
      <c r="CD1096" s="1124"/>
      <c r="CE1096" s="1124"/>
      <c r="CF1096" s="1124"/>
      <c r="CG1096" s="533"/>
    </row>
    <row r="1097" spans="1:85" s="614" customFormat="1" x14ac:dyDescent="0.3">
      <c r="A1097" s="522"/>
      <c r="B1097" s="352"/>
      <c r="C1097" s="1094"/>
      <c r="D1097" s="1094"/>
      <c r="E1097" s="1094"/>
      <c r="F1097" s="1094"/>
      <c r="G1097" s="197"/>
      <c r="H1097" s="197"/>
      <c r="I1097" s="197"/>
      <c r="J1097" s="197"/>
      <c r="K1097" s="1094"/>
      <c r="L1097" s="197"/>
      <c r="M1097" s="197"/>
      <c r="N1097" s="197"/>
      <c r="O1097" s="197"/>
      <c r="P1097" s="1094"/>
      <c r="Q1097" s="197"/>
      <c r="R1097" s="197"/>
      <c r="S1097" s="197"/>
      <c r="T1097" s="197"/>
      <c r="U1097" s="1094"/>
      <c r="V1097" s="197"/>
      <c r="W1097" s="197"/>
      <c r="X1097" s="197"/>
      <c r="Y1097" s="197"/>
      <c r="Z1097" s="1094"/>
      <c r="AA1097" s="197"/>
      <c r="AB1097" s="197"/>
      <c r="AC1097" s="197"/>
      <c r="AD1097" s="197"/>
      <c r="AE1097" s="1094"/>
      <c r="AF1097" s="197"/>
      <c r="AG1097" s="197"/>
      <c r="AH1097" s="197"/>
      <c r="AI1097" s="197"/>
      <c r="AJ1097" s="1094"/>
      <c r="AK1097" s="197"/>
      <c r="AL1097" s="197"/>
      <c r="AM1097" s="197"/>
      <c r="AN1097" s="197"/>
      <c r="AO1097" s="1094"/>
      <c r="AP1097" s="197"/>
      <c r="AQ1097" s="197"/>
      <c r="AR1097" s="197"/>
      <c r="AS1097" s="197"/>
      <c r="AT1097" s="198"/>
      <c r="AU1097" s="197"/>
      <c r="AV1097" s="197"/>
      <c r="AW1097" s="197"/>
      <c r="AX1097" s="197"/>
      <c r="AY1097" s="198"/>
      <c r="AZ1097" s="197"/>
      <c r="BA1097" s="197"/>
      <c r="BB1097" s="197"/>
      <c r="BC1097" s="197"/>
      <c r="BD1097" s="198"/>
      <c r="BE1097" s="197"/>
      <c r="BF1097" s="197"/>
      <c r="BG1097" s="197"/>
      <c r="BH1097" s="197"/>
      <c r="BI1097" s="198"/>
      <c r="BJ1097" s="197"/>
      <c r="BK1097" s="197"/>
      <c r="BL1097" s="197"/>
      <c r="BM1097" s="197"/>
      <c r="BN1097" s="198"/>
      <c r="BO1097" s="197"/>
      <c r="BP1097" s="197"/>
      <c r="BQ1097" s="197"/>
      <c r="BR1097" s="197"/>
      <c r="BS1097" s="198"/>
      <c r="BT1097" s="727"/>
      <c r="BU1097" s="197"/>
      <c r="BV1097" s="197"/>
      <c r="BW1097" s="197"/>
      <c r="BX1097" s="1094"/>
      <c r="BY1097" s="197"/>
      <c r="BZ1097" s="197"/>
      <c r="CA1097" s="197"/>
      <c r="CB1097" s="197"/>
      <c r="CC1097" s="1094"/>
      <c r="CD1097" s="1094"/>
      <c r="CE1097" s="1094"/>
      <c r="CF1097" s="1094"/>
      <c r="CG1097" s="349"/>
    </row>
    <row r="1098" spans="1:85" s="613" customFormat="1" x14ac:dyDescent="0.3">
      <c r="A1098" s="478" t="s">
        <v>1364</v>
      </c>
      <c r="B1098" s="523"/>
      <c r="C1098" s="78"/>
      <c r="D1098" s="78"/>
      <c r="E1098" s="78"/>
      <c r="F1098" s="78"/>
      <c r="G1098" s="774"/>
      <c r="H1098" s="774"/>
      <c r="I1098" s="774"/>
      <c r="J1098" s="774"/>
      <c r="K1098" s="78"/>
      <c r="L1098" s="774"/>
      <c r="M1098" s="774"/>
      <c r="N1098" s="774"/>
      <c r="O1098" s="774"/>
      <c r="P1098" s="78"/>
      <c r="Q1098" s="774"/>
      <c r="R1098" s="774"/>
      <c r="S1098" s="774"/>
      <c r="T1098" s="774"/>
      <c r="U1098" s="78"/>
      <c r="V1098" s="774"/>
      <c r="W1098" s="774"/>
      <c r="X1098" s="774"/>
      <c r="Y1098" s="774"/>
      <c r="Z1098" s="78"/>
      <c r="AA1098" s="774"/>
      <c r="AB1098" s="774"/>
      <c r="AC1098" s="774"/>
      <c r="AD1098" s="774"/>
      <c r="AE1098" s="78"/>
      <c r="AF1098" s="774"/>
      <c r="AG1098" s="774"/>
      <c r="AH1098" s="774"/>
      <c r="AI1098" s="774"/>
      <c r="AJ1098" s="78"/>
      <c r="AK1098" s="774"/>
      <c r="AL1098" s="774"/>
      <c r="AM1098" s="774"/>
      <c r="AN1098" s="774"/>
      <c r="AO1098" s="78"/>
      <c r="AP1098" s="774"/>
      <c r="AQ1098" s="774"/>
      <c r="AR1098" s="774"/>
      <c r="AS1098" s="774"/>
      <c r="AT1098" s="78"/>
      <c r="AU1098" s="774"/>
      <c r="AV1098" s="774"/>
      <c r="AW1098" s="774"/>
      <c r="AX1098" s="774"/>
      <c r="AY1098" s="78"/>
      <c r="AZ1098" s="774"/>
      <c r="BA1098" s="774"/>
      <c r="BB1098" s="774"/>
      <c r="BC1098" s="774"/>
      <c r="BD1098" s="1119">
        <v>3.9039999999999999</v>
      </c>
      <c r="BE1098" s="774"/>
      <c r="BF1098" s="774"/>
      <c r="BG1098" s="774"/>
      <c r="BH1098" s="774"/>
      <c r="BI1098" s="1119">
        <v>3.9039999999999999</v>
      </c>
      <c r="BJ1098" s="774"/>
      <c r="BK1098" s="774"/>
      <c r="BL1098" s="774"/>
      <c r="BM1098" s="774"/>
      <c r="BN1098" s="1119">
        <v>3.9039999999999999</v>
      </c>
      <c r="BO1098" s="774"/>
      <c r="BP1098" s="774"/>
      <c r="BQ1098" s="774"/>
      <c r="BR1098" s="774"/>
      <c r="BS1098" s="78"/>
      <c r="BT1098" s="775"/>
      <c r="BU1098" s="774"/>
      <c r="BV1098" s="774"/>
      <c r="BW1098" s="774"/>
      <c r="BX1098" s="78"/>
      <c r="BY1098" s="774"/>
      <c r="BZ1098" s="774"/>
      <c r="CA1098" s="774"/>
      <c r="CB1098" s="774"/>
      <c r="CC1098" s="78"/>
      <c r="CD1098" s="78"/>
      <c r="CE1098" s="78"/>
      <c r="CF1098" s="78"/>
      <c r="CG1098" s="532"/>
    </row>
    <row r="1099" spans="1:85" s="616" customFormat="1" x14ac:dyDescent="0.3">
      <c r="A1099" s="522" t="s">
        <v>1363</v>
      </c>
      <c r="B1099" s="527"/>
      <c r="C1099" s="1124"/>
      <c r="D1099" s="1124"/>
      <c r="E1099" s="1124"/>
      <c r="F1099" s="1124"/>
      <c r="G1099" s="526"/>
      <c r="H1099" s="526"/>
      <c r="I1099" s="526"/>
      <c r="J1099" s="526"/>
      <c r="K1099" s="1124"/>
      <c r="L1099" s="526"/>
      <c r="M1099" s="526"/>
      <c r="N1099" s="526"/>
      <c r="O1099" s="526"/>
      <c r="P1099" s="1124"/>
      <c r="Q1099" s="526"/>
      <c r="R1099" s="526"/>
      <c r="S1099" s="526"/>
      <c r="T1099" s="526"/>
      <c r="U1099" s="1124"/>
      <c r="V1099" s="526"/>
      <c r="W1099" s="526"/>
      <c r="X1099" s="526"/>
      <c r="Y1099" s="526"/>
      <c r="Z1099" s="1124"/>
      <c r="AA1099" s="526"/>
      <c r="AB1099" s="526"/>
      <c r="AC1099" s="526"/>
      <c r="AD1099" s="526"/>
      <c r="AE1099" s="1124"/>
      <c r="AF1099" s="526"/>
      <c r="AG1099" s="526"/>
      <c r="AH1099" s="526"/>
      <c r="AI1099" s="526"/>
      <c r="AJ1099" s="1124"/>
      <c r="AK1099" s="526"/>
      <c r="AL1099" s="526"/>
      <c r="AM1099" s="526"/>
      <c r="AN1099" s="526"/>
      <c r="AO1099" s="1124"/>
      <c r="AP1099" s="526"/>
      <c r="AQ1099" s="526"/>
      <c r="AR1099" s="526"/>
      <c r="AS1099" s="526"/>
      <c r="AT1099" s="1124"/>
      <c r="AU1099" s="526"/>
      <c r="AV1099" s="526"/>
      <c r="AW1099" s="526"/>
      <c r="AX1099" s="526"/>
      <c r="AY1099" s="1124"/>
      <c r="AZ1099" s="526"/>
      <c r="BA1099" s="526"/>
      <c r="BB1099" s="526"/>
      <c r="BC1099" s="526"/>
      <c r="BD1099" s="1123">
        <v>373.47</v>
      </c>
      <c r="BE1099" s="526"/>
      <c r="BF1099" s="526"/>
      <c r="BG1099" s="526"/>
      <c r="BH1099" s="526"/>
      <c r="BI1099" s="1123">
        <v>373.47</v>
      </c>
      <c r="BJ1099" s="526"/>
      <c r="BK1099" s="526"/>
      <c r="BL1099" s="526"/>
      <c r="BM1099" s="526"/>
      <c r="BN1099" s="1123">
        <v>373.47</v>
      </c>
      <c r="BO1099" s="526"/>
      <c r="BP1099" s="526"/>
      <c r="BQ1099" s="526"/>
      <c r="BR1099" s="526"/>
      <c r="BS1099" s="1124"/>
      <c r="BT1099" s="729"/>
      <c r="BU1099" s="526"/>
      <c r="BV1099" s="526"/>
      <c r="BW1099" s="526"/>
      <c r="BX1099" s="1124"/>
      <c r="BY1099" s="526"/>
      <c r="BZ1099" s="526"/>
      <c r="CA1099" s="526"/>
      <c r="CB1099" s="526"/>
      <c r="CC1099" s="1124"/>
      <c r="CD1099" s="1124"/>
      <c r="CE1099" s="1124"/>
      <c r="CF1099" s="1124"/>
      <c r="CG1099" s="533"/>
    </row>
    <row r="1100" spans="1:85" s="614" customFormat="1" x14ac:dyDescent="0.3">
      <c r="A1100" s="522"/>
      <c r="B1100" s="352"/>
      <c r="C1100" s="1094"/>
      <c r="D1100" s="1094"/>
      <c r="E1100" s="1094"/>
      <c r="F1100" s="1094"/>
      <c r="G1100" s="197"/>
      <c r="H1100" s="197"/>
      <c r="I1100" s="197"/>
      <c r="J1100" s="197"/>
      <c r="K1100" s="1094"/>
      <c r="L1100" s="197"/>
      <c r="M1100" s="197"/>
      <c r="N1100" s="197"/>
      <c r="O1100" s="197"/>
      <c r="P1100" s="1094"/>
      <c r="Q1100" s="197"/>
      <c r="R1100" s="197"/>
      <c r="S1100" s="197"/>
      <c r="T1100" s="197"/>
      <c r="U1100" s="1094"/>
      <c r="V1100" s="197"/>
      <c r="W1100" s="197"/>
      <c r="X1100" s="197"/>
      <c r="Y1100" s="197"/>
      <c r="Z1100" s="1094"/>
      <c r="AA1100" s="197"/>
      <c r="AB1100" s="197"/>
      <c r="AC1100" s="197"/>
      <c r="AD1100" s="197"/>
      <c r="AE1100" s="1094"/>
      <c r="AF1100" s="197"/>
      <c r="AG1100" s="197"/>
      <c r="AH1100" s="197"/>
      <c r="AI1100" s="197"/>
      <c r="AJ1100" s="1094"/>
      <c r="AK1100" s="197"/>
      <c r="AL1100" s="197"/>
      <c r="AM1100" s="197"/>
      <c r="AN1100" s="197"/>
      <c r="AO1100" s="1094"/>
      <c r="AP1100" s="197"/>
      <c r="AQ1100" s="197"/>
      <c r="AR1100" s="197"/>
      <c r="AS1100" s="197"/>
      <c r="AT1100" s="198"/>
      <c r="AU1100" s="197"/>
      <c r="AV1100" s="197"/>
      <c r="AW1100" s="197"/>
      <c r="AX1100" s="197"/>
      <c r="AY1100" s="198"/>
      <c r="AZ1100" s="197"/>
      <c r="BA1100" s="197"/>
      <c r="BB1100" s="197"/>
      <c r="BC1100" s="197"/>
      <c r="BD1100" s="198"/>
      <c r="BE1100" s="197"/>
      <c r="BF1100" s="197"/>
      <c r="BG1100" s="197"/>
      <c r="BH1100" s="197"/>
      <c r="BI1100" s="198"/>
      <c r="BJ1100" s="197"/>
      <c r="BK1100" s="197"/>
      <c r="BL1100" s="197"/>
      <c r="BM1100" s="197"/>
      <c r="BN1100" s="198"/>
      <c r="BO1100" s="197"/>
      <c r="BP1100" s="197"/>
      <c r="BQ1100" s="197"/>
      <c r="BR1100" s="197"/>
      <c r="BS1100" s="198"/>
      <c r="BT1100" s="727"/>
      <c r="BU1100" s="197"/>
      <c r="BV1100" s="197"/>
      <c r="BW1100" s="197"/>
      <c r="BX1100" s="1094"/>
      <c r="BY1100" s="197"/>
      <c r="BZ1100" s="197"/>
      <c r="CA1100" s="197"/>
      <c r="CB1100" s="197"/>
      <c r="CC1100" s="1094"/>
      <c r="CD1100" s="1094"/>
      <c r="CE1100" s="1094"/>
      <c r="CF1100" s="1094"/>
      <c r="CG1100" s="349"/>
    </row>
    <row r="1101" spans="1:85" s="613" customFormat="1" x14ac:dyDescent="0.3">
      <c r="A1101" s="478" t="s">
        <v>1362</v>
      </c>
      <c r="B1101" s="523"/>
      <c r="C1101" s="78"/>
      <c r="D1101" s="78"/>
      <c r="E1101" s="78"/>
      <c r="F1101" s="78"/>
      <c r="G1101" s="774"/>
      <c r="H1101" s="774"/>
      <c r="I1101" s="774"/>
      <c r="J1101" s="774"/>
      <c r="K1101" s="78"/>
      <c r="L1101" s="774"/>
      <c r="M1101" s="774"/>
      <c r="N1101" s="774"/>
      <c r="O1101" s="774"/>
      <c r="P1101" s="78"/>
      <c r="Q1101" s="774"/>
      <c r="R1101" s="774"/>
      <c r="S1101" s="774"/>
      <c r="T1101" s="774"/>
      <c r="U1101" s="78"/>
      <c r="V1101" s="774"/>
      <c r="W1101" s="774"/>
      <c r="X1101" s="774"/>
      <c r="Y1101" s="774"/>
      <c r="Z1101" s="78"/>
      <c r="AA1101" s="774"/>
      <c r="AB1101" s="774"/>
      <c r="AC1101" s="774"/>
      <c r="AD1101" s="774"/>
      <c r="AE1101" s="78"/>
      <c r="AF1101" s="774"/>
      <c r="AG1101" s="774"/>
      <c r="AH1101" s="774"/>
      <c r="AI1101" s="774"/>
      <c r="AJ1101" s="78"/>
      <c r="AK1101" s="774"/>
      <c r="AL1101" s="774"/>
      <c r="AM1101" s="774"/>
      <c r="AN1101" s="774"/>
      <c r="AO1101" s="78"/>
      <c r="AP1101" s="774"/>
      <c r="AQ1101" s="774"/>
      <c r="AR1101" s="774"/>
      <c r="AS1101" s="774"/>
      <c r="AT1101" s="78"/>
      <c r="AU1101" s="774"/>
      <c r="AV1101" s="774"/>
      <c r="AW1101" s="774"/>
      <c r="AX1101" s="774"/>
      <c r="AY1101" s="78"/>
      <c r="AZ1101" s="774"/>
      <c r="BA1101" s="774"/>
      <c r="BB1101" s="774"/>
      <c r="BC1101" s="774"/>
      <c r="BD1101" s="1119">
        <v>7.3129999999999997</v>
      </c>
      <c r="BE1101" s="774"/>
      <c r="BF1101" s="774"/>
      <c r="BG1101" s="774"/>
      <c r="BH1101" s="774"/>
      <c r="BI1101" s="1119">
        <v>7.3129999999999997</v>
      </c>
      <c r="BJ1101" s="774"/>
      <c r="BK1101" s="774"/>
      <c r="BL1101" s="774"/>
      <c r="BM1101" s="774"/>
      <c r="BN1101" s="1119">
        <v>7.3129999999999997</v>
      </c>
      <c r="BO1101" s="774"/>
      <c r="BP1101" s="774"/>
      <c r="BQ1101" s="774"/>
      <c r="BR1101" s="774"/>
      <c r="BS1101" s="78"/>
      <c r="BT1101" s="775"/>
      <c r="BU1101" s="774"/>
      <c r="BV1101" s="774"/>
      <c r="BW1101" s="774"/>
      <c r="BX1101" s="78"/>
      <c r="BY1101" s="774"/>
      <c r="BZ1101" s="774"/>
      <c r="CA1101" s="774"/>
      <c r="CB1101" s="774"/>
      <c r="CC1101" s="78"/>
      <c r="CD1101" s="78"/>
      <c r="CE1101" s="78"/>
      <c r="CF1101" s="78"/>
      <c r="CG1101" s="532"/>
    </row>
    <row r="1102" spans="1:85" s="616" customFormat="1" x14ac:dyDescent="0.3">
      <c r="A1102" s="522" t="s">
        <v>1361</v>
      </c>
      <c r="B1102" s="527"/>
      <c r="C1102" s="1124"/>
      <c r="D1102" s="1124"/>
      <c r="E1102" s="1124"/>
      <c r="F1102" s="1124"/>
      <c r="G1102" s="526"/>
      <c r="H1102" s="526"/>
      <c r="I1102" s="526"/>
      <c r="J1102" s="526"/>
      <c r="K1102" s="1124"/>
      <c r="L1102" s="526"/>
      <c r="M1102" s="526"/>
      <c r="N1102" s="526"/>
      <c r="O1102" s="526"/>
      <c r="P1102" s="1124"/>
      <c r="Q1102" s="526"/>
      <c r="R1102" s="526"/>
      <c r="S1102" s="526"/>
      <c r="T1102" s="526"/>
      <c r="U1102" s="1124"/>
      <c r="V1102" s="526"/>
      <c r="W1102" s="526"/>
      <c r="X1102" s="526"/>
      <c r="Y1102" s="526"/>
      <c r="Z1102" s="1124"/>
      <c r="AA1102" s="526"/>
      <c r="AB1102" s="526"/>
      <c r="AC1102" s="526"/>
      <c r="AD1102" s="526"/>
      <c r="AE1102" s="1124"/>
      <c r="AF1102" s="526"/>
      <c r="AG1102" s="526"/>
      <c r="AH1102" s="526"/>
      <c r="AI1102" s="526"/>
      <c r="AJ1102" s="1124"/>
      <c r="AK1102" s="526"/>
      <c r="AL1102" s="526"/>
      <c r="AM1102" s="526"/>
      <c r="AN1102" s="526"/>
      <c r="AO1102" s="1124"/>
      <c r="AP1102" s="526"/>
      <c r="AQ1102" s="526"/>
      <c r="AR1102" s="526"/>
      <c r="AS1102" s="526"/>
      <c r="AT1102" s="1124"/>
      <c r="AU1102" s="526"/>
      <c r="AV1102" s="526"/>
      <c r="AW1102" s="526"/>
      <c r="AX1102" s="526"/>
      <c r="AY1102" s="1124"/>
      <c r="AZ1102" s="526"/>
      <c r="BA1102" s="526"/>
      <c r="BB1102" s="526"/>
      <c r="BC1102" s="526"/>
      <c r="BD1102" s="1123">
        <v>199.46</v>
      </c>
      <c r="BE1102" s="526"/>
      <c r="BF1102" s="526"/>
      <c r="BG1102" s="526"/>
      <c r="BH1102" s="526"/>
      <c r="BI1102" s="1123">
        <v>199.46</v>
      </c>
      <c r="BJ1102" s="526"/>
      <c r="BK1102" s="526"/>
      <c r="BL1102" s="526"/>
      <c r="BM1102" s="526"/>
      <c r="BN1102" s="1123">
        <v>199.46</v>
      </c>
      <c r="BO1102" s="526"/>
      <c r="BP1102" s="526"/>
      <c r="BQ1102" s="526"/>
      <c r="BR1102" s="526"/>
      <c r="BS1102" s="1124"/>
      <c r="BT1102" s="729"/>
      <c r="BU1102" s="526"/>
      <c r="BV1102" s="526"/>
      <c r="BW1102" s="526"/>
      <c r="BX1102" s="1124"/>
      <c r="BY1102" s="526"/>
      <c r="BZ1102" s="526"/>
      <c r="CA1102" s="526"/>
      <c r="CB1102" s="526"/>
      <c r="CC1102" s="1124"/>
      <c r="CD1102" s="1124"/>
      <c r="CE1102" s="1124"/>
      <c r="CF1102" s="1124"/>
      <c r="CG1102" s="533"/>
    </row>
    <row r="1103" spans="1:85" s="614" customFormat="1" x14ac:dyDescent="0.3">
      <c r="A1103" s="522"/>
      <c r="B1103" s="352"/>
      <c r="C1103" s="1094"/>
      <c r="D1103" s="1094"/>
      <c r="E1103" s="1094"/>
      <c r="F1103" s="1094"/>
      <c r="G1103" s="197"/>
      <c r="H1103" s="197"/>
      <c r="I1103" s="197"/>
      <c r="J1103" s="197"/>
      <c r="K1103" s="1094"/>
      <c r="L1103" s="197"/>
      <c r="M1103" s="197"/>
      <c r="N1103" s="197"/>
      <c r="O1103" s="197"/>
      <c r="P1103" s="1094"/>
      <c r="Q1103" s="197"/>
      <c r="R1103" s="197"/>
      <c r="S1103" s="197"/>
      <c r="T1103" s="197"/>
      <c r="U1103" s="1094"/>
      <c r="V1103" s="197"/>
      <c r="W1103" s="197"/>
      <c r="X1103" s="197"/>
      <c r="Y1103" s="197"/>
      <c r="Z1103" s="1094"/>
      <c r="AA1103" s="197"/>
      <c r="AB1103" s="197"/>
      <c r="AC1103" s="197"/>
      <c r="AD1103" s="197"/>
      <c r="AE1103" s="1094"/>
      <c r="AF1103" s="197"/>
      <c r="AG1103" s="197"/>
      <c r="AH1103" s="197"/>
      <c r="AI1103" s="197"/>
      <c r="AJ1103" s="1094"/>
      <c r="AK1103" s="197"/>
      <c r="AL1103" s="197"/>
      <c r="AM1103" s="197"/>
      <c r="AN1103" s="197"/>
      <c r="AO1103" s="1094"/>
      <c r="AP1103" s="197"/>
      <c r="AQ1103" s="197"/>
      <c r="AR1103" s="197"/>
      <c r="AS1103" s="197"/>
      <c r="AT1103" s="198"/>
      <c r="AU1103" s="197"/>
      <c r="AV1103" s="197"/>
      <c r="AW1103" s="197"/>
      <c r="AX1103" s="197"/>
      <c r="AY1103" s="198"/>
      <c r="AZ1103" s="197"/>
      <c r="BA1103" s="197"/>
      <c r="BB1103" s="197"/>
      <c r="BC1103" s="197"/>
      <c r="BD1103" s="198"/>
      <c r="BE1103" s="197"/>
      <c r="BF1103" s="197"/>
      <c r="BG1103" s="197"/>
      <c r="BH1103" s="197"/>
      <c r="BI1103" s="198"/>
      <c r="BJ1103" s="197"/>
      <c r="BK1103" s="197"/>
      <c r="BL1103" s="197"/>
      <c r="BM1103" s="197"/>
      <c r="BN1103" s="198"/>
      <c r="BO1103" s="197"/>
      <c r="BP1103" s="197"/>
      <c r="BQ1103" s="197"/>
      <c r="BR1103" s="197"/>
      <c r="BS1103" s="198"/>
      <c r="BT1103" s="727"/>
      <c r="BU1103" s="197"/>
      <c r="BV1103" s="197"/>
      <c r="BW1103" s="197"/>
      <c r="BX1103" s="1094"/>
      <c r="BY1103" s="197"/>
      <c r="BZ1103" s="197"/>
      <c r="CA1103" s="197"/>
      <c r="CB1103" s="197"/>
      <c r="CC1103" s="1094"/>
      <c r="CD1103" s="1094"/>
      <c r="CE1103" s="1094"/>
      <c r="CF1103" s="1094"/>
      <c r="CG1103" s="349"/>
    </row>
    <row r="1104" spans="1:85" s="613" customFormat="1" x14ac:dyDescent="0.3">
      <c r="A1104" s="478" t="s">
        <v>1360</v>
      </c>
      <c r="B1104" s="523"/>
      <c r="C1104" s="78"/>
      <c r="D1104" s="78"/>
      <c r="E1104" s="78"/>
      <c r="F1104" s="78"/>
      <c r="G1104" s="774"/>
      <c r="H1104" s="774"/>
      <c r="I1104" s="774"/>
      <c r="J1104" s="774"/>
      <c r="K1104" s="78"/>
      <c r="L1104" s="774"/>
      <c r="M1104" s="774"/>
      <c r="N1104" s="774"/>
      <c r="O1104" s="774"/>
      <c r="P1104" s="78"/>
      <c r="Q1104" s="774"/>
      <c r="R1104" s="774"/>
      <c r="S1104" s="774"/>
      <c r="T1104" s="774"/>
      <c r="U1104" s="78"/>
      <c r="V1104" s="774"/>
      <c r="W1104" s="774"/>
      <c r="X1104" s="774"/>
      <c r="Y1104" s="774"/>
      <c r="Z1104" s="78"/>
      <c r="AA1104" s="774"/>
      <c r="AB1104" s="774"/>
      <c r="AC1104" s="774"/>
      <c r="AD1104" s="774"/>
      <c r="AE1104" s="78"/>
      <c r="AF1104" s="774"/>
      <c r="AG1104" s="774"/>
      <c r="AH1104" s="774"/>
      <c r="AI1104" s="774"/>
      <c r="AJ1104" s="78"/>
      <c r="AK1104" s="774"/>
      <c r="AL1104" s="774"/>
      <c r="AM1104" s="774"/>
      <c r="AN1104" s="774"/>
      <c r="AO1104" s="78"/>
      <c r="AP1104" s="774"/>
      <c r="AQ1104" s="774"/>
      <c r="AR1104" s="774"/>
      <c r="AS1104" s="774"/>
      <c r="AT1104" s="78"/>
      <c r="AU1104" s="774"/>
      <c r="AV1104" s="774"/>
      <c r="AW1104" s="774"/>
      <c r="AX1104" s="774"/>
      <c r="AY1104" s="78"/>
      <c r="AZ1104" s="774"/>
      <c r="BA1104" s="774"/>
      <c r="BB1104" s="774"/>
      <c r="BC1104" s="774"/>
      <c r="BD1104" s="1119">
        <v>7.5590000000000002</v>
      </c>
      <c r="BE1104" s="774"/>
      <c r="BF1104" s="774"/>
      <c r="BG1104" s="774"/>
      <c r="BH1104" s="774"/>
      <c r="BI1104" s="1119">
        <v>7.5590000000000002</v>
      </c>
      <c r="BJ1104" s="774"/>
      <c r="BK1104" s="774"/>
      <c r="BL1104" s="774"/>
      <c r="BM1104" s="774"/>
      <c r="BN1104" s="1119">
        <v>7.5590000000000002</v>
      </c>
      <c r="BO1104" s="774"/>
      <c r="BP1104" s="774"/>
      <c r="BQ1104" s="774"/>
      <c r="BR1104" s="774"/>
      <c r="BS1104" s="78"/>
      <c r="BT1104" s="775"/>
      <c r="BU1104" s="774"/>
      <c r="BV1104" s="774"/>
      <c r="BW1104" s="774"/>
      <c r="BX1104" s="78"/>
      <c r="BY1104" s="774"/>
      <c r="BZ1104" s="774"/>
      <c r="CA1104" s="774"/>
      <c r="CB1104" s="774"/>
      <c r="CC1104" s="78"/>
      <c r="CD1104" s="78"/>
      <c r="CE1104" s="78"/>
      <c r="CF1104" s="78"/>
      <c r="CG1104" s="532"/>
    </row>
    <row r="1105" spans="1:85" s="616" customFormat="1" x14ac:dyDescent="0.3">
      <c r="A1105" s="522" t="s">
        <v>1359</v>
      </c>
      <c r="B1105" s="527"/>
      <c r="C1105" s="1124"/>
      <c r="D1105" s="1124"/>
      <c r="E1105" s="1124"/>
      <c r="F1105" s="1124"/>
      <c r="G1105" s="526"/>
      <c r="H1105" s="526"/>
      <c r="I1105" s="526"/>
      <c r="J1105" s="526"/>
      <c r="K1105" s="1124"/>
      <c r="L1105" s="526"/>
      <c r="M1105" s="526"/>
      <c r="N1105" s="526"/>
      <c r="O1105" s="526"/>
      <c r="P1105" s="1124"/>
      <c r="Q1105" s="526"/>
      <c r="R1105" s="526"/>
      <c r="S1105" s="526"/>
      <c r="T1105" s="526"/>
      <c r="U1105" s="1124"/>
      <c r="V1105" s="526"/>
      <c r="W1105" s="526"/>
      <c r="X1105" s="526"/>
      <c r="Y1105" s="526"/>
      <c r="Z1105" s="1124"/>
      <c r="AA1105" s="526"/>
      <c r="AB1105" s="526"/>
      <c r="AC1105" s="526"/>
      <c r="AD1105" s="526"/>
      <c r="AE1105" s="1124"/>
      <c r="AF1105" s="526"/>
      <c r="AG1105" s="526"/>
      <c r="AH1105" s="526"/>
      <c r="AI1105" s="526"/>
      <c r="AJ1105" s="1124"/>
      <c r="AK1105" s="526"/>
      <c r="AL1105" s="526"/>
      <c r="AM1105" s="526"/>
      <c r="AN1105" s="526"/>
      <c r="AO1105" s="1124"/>
      <c r="AP1105" s="526"/>
      <c r="AQ1105" s="526"/>
      <c r="AR1105" s="526"/>
      <c r="AS1105" s="526"/>
      <c r="AT1105" s="1124"/>
      <c r="AU1105" s="526"/>
      <c r="AV1105" s="526"/>
      <c r="AW1105" s="526"/>
      <c r="AX1105" s="526"/>
      <c r="AY1105" s="1124"/>
      <c r="AZ1105" s="526"/>
      <c r="BA1105" s="526"/>
      <c r="BB1105" s="526"/>
      <c r="BC1105" s="526"/>
      <c r="BD1105" s="1123">
        <v>192.91</v>
      </c>
      <c r="BE1105" s="526"/>
      <c r="BF1105" s="526"/>
      <c r="BG1105" s="526"/>
      <c r="BH1105" s="526"/>
      <c r="BI1105" s="1123">
        <v>192.91</v>
      </c>
      <c r="BJ1105" s="526"/>
      <c r="BK1105" s="526"/>
      <c r="BL1105" s="526"/>
      <c r="BM1105" s="526"/>
      <c r="BN1105" s="1123">
        <v>192.91</v>
      </c>
      <c r="BO1105" s="526"/>
      <c r="BP1105" s="526"/>
      <c r="BQ1105" s="526"/>
      <c r="BR1105" s="526"/>
      <c r="BS1105" s="1124"/>
      <c r="BT1105" s="729"/>
      <c r="BU1105" s="526"/>
      <c r="BV1105" s="526"/>
      <c r="BW1105" s="526"/>
      <c r="BX1105" s="1124"/>
      <c r="BY1105" s="526"/>
      <c r="BZ1105" s="526"/>
      <c r="CA1105" s="526"/>
      <c r="CB1105" s="526"/>
      <c r="CC1105" s="1124"/>
      <c r="CD1105" s="1124"/>
      <c r="CE1105" s="1124"/>
      <c r="CF1105" s="1124"/>
      <c r="CG1105" s="533"/>
    </row>
    <row r="1106" spans="1:85" s="614" customFormat="1" x14ac:dyDescent="0.3">
      <c r="A1106" s="522"/>
      <c r="B1106" s="352"/>
      <c r="C1106" s="1094"/>
      <c r="D1106" s="1094"/>
      <c r="E1106" s="1094"/>
      <c r="F1106" s="1094"/>
      <c r="G1106" s="197"/>
      <c r="H1106" s="197"/>
      <c r="I1106" s="197"/>
      <c r="J1106" s="197"/>
      <c r="K1106" s="1094"/>
      <c r="L1106" s="197"/>
      <c r="M1106" s="197"/>
      <c r="N1106" s="197"/>
      <c r="O1106" s="197"/>
      <c r="P1106" s="1094"/>
      <c r="Q1106" s="197"/>
      <c r="R1106" s="197"/>
      <c r="S1106" s="197"/>
      <c r="T1106" s="197"/>
      <c r="U1106" s="1094"/>
      <c r="V1106" s="197"/>
      <c r="W1106" s="197"/>
      <c r="X1106" s="197"/>
      <c r="Y1106" s="197"/>
      <c r="Z1106" s="1094"/>
      <c r="AA1106" s="197"/>
      <c r="AB1106" s="197"/>
      <c r="AC1106" s="197"/>
      <c r="AD1106" s="197"/>
      <c r="AE1106" s="1094"/>
      <c r="AF1106" s="197"/>
      <c r="AG1106" s="197"/>
      <c r="AH1106" s="197"/>
      <c r="AI1106" s="197"/>
      <c r="AJ1106" s="1094"/>
      <c r="AK1106" s="197"/>
      <c r="AL1106" s="197"/>
      <c r="AM1106" s="197"/>
      <c r="AN1106" s="197"/>
      <c r="AO1106" s="1094"/>
      <c r="AP1106" s="197"/>
      <c r="AQ1106" s="197"/>
      <c r="AR1106" s="197"/>
      <c r="AS1106" s="197"/>
      <c r="AT1106" s="198"/>
      <c r="AU1106" s="197"/>
      <c r="AV1106" s="197"/>
      <c r="AW1106" s="197"/>
      <c r="AX1106" s="197"/>
      <c r="AY1106" s="198"/>
      <c r="AZ1106" s="197"/>
      <c r="BA1106" s="197"/>
      <c r="BB1106" s="197"/>
      <c r="BC1106" s="197"/>
      <c r="BD1106" s="198"/>
      <c r="BE1106" s="197"/>
      <c r="BF1106" s="197"/>
      <c r="BG1106" s="197"/>
      <c r="BH1106" s="197"/>
      <c r="BI1106" s="198"/>
      <c r="BJ1106" s="197"/>
      <c r="BK1106" s="197"/>
      <c r="BL1106" s="197"/>
      <c r="BM1106" s="197"/>
      <c r="BN1106" s="198"/>
      <c r="BO1106" s="197"/>
      <c r="BP1106" s="197"/>
      <c r="BQ1106" s="197"/>
      <c r="BR1106" s="197"/>
      <c r="BS1106" s="198"/>
      <c r="BT1106" s="727"/>
      <c r="BU1106" s="197"/>
      <c r="BV1106" s="197"/>
      <c r="BW1106" s="197"/>
      <c r="BX1106" s="1094"/>
      <c r="BY1106" s="197"/>
      <c r="BZ1106" s="197"/>
      <c r="CA1106" s="197"/>
      <c r="CB1106" s="197"/>
      <c r="CC1106" s="1094"/>
      <c r="CD1106" s="1094"/>
      <c r="CE1106" s="1094"/>
      <c r="CF1106" s="1094"/>
      <c r="CG1106" s="349"/>
    </row>
    <row r="1107" spans="1:85" s="613" customFormat="1" x14ac:dyDescent="0.3">
      <c r="A1107" s="478" t="s">
        <v>1358</v>
      </c>
      <c r="B1107" s="523"/>
      <c r="C1107" s="78"/>
      <c r="D1107" s="78"/>
      <c r="E1107" s="78"/>
      <c r="F1107" s="78"/>
      <c r="G1107" s="774"/>
      <c r="H1107" s="774"/>
      <c r="I1107" s="774"/>
      <c r="J1107" s="774"/>
      <c r="K1107" s="78"/>
      <c r="L1107" s="774"/>
      <c r="M1107" s="774"/>
      <c r="N1107" s="774"/>
      <c r="O1107" s="774"/>
      <c r="P1107" s="78"/>
      <c r="Q1107" s="774"/>
      <c r="R1107" s="774"/>
      <c r="S1107" s="774"/>
      <c r="T1107" s="774"/>
      <c r="U1107" s="78"/>
      <c r="V1107" s="774"/>
      <c r="W1107" s="774"/>
      <c r="X1107" s="774"/>
      <c r="Y1107" s="774"/>
      <c r="Z1107" s="78"/>
      <c r="AA1107" s="774"/>
      <c r="AB1107" s="774"/>
      <c r="AC1107" s="774"/>
      <c r="AD1107" s="774"/>
      <c r="AE1107" s="78"/>
      <c r="AF1107" s="774"/>
      <c r="AG1107" s="774"/>
      <c r="AH1107" s="774"/>
      <c r="AI1107" s="774"/>
      <c r="AJ1107" s="78"/>
      <c r="AK1107" s="774"/>
      <c r="AL1107" s="774"/>
      <c r="AM1107" s="774"/>
      <c r="AN1107" s="774"/>
      <c r="AO1107" s="78"/>
      <c r="AP1107" s="774"/>
      <c r="AQ1107" s="774"/>
      <c r="AR1107" s="774"/>
      <c r="AS1107" s="774"/>
      <c r="AT1107" s="78"/>
      <c r="AU1107" s="774"/>
      <c r="AV1107" s="774"/>
      <c r="AW1107" s="774"/>
      <c r="AX1107" s="774"/>
      <c r="AY1107" s="78"/>
      <c r="AZ1107" s="774"/>
      <c r="BA1107" s="774"/>
      <c r="BB1107" s="774"/>
      <c r="BC1107" s="774"/>
      <c r="BD1107" s="1119">
        <v>8.1039999999999992</v>
      </c>
      <c r="BE1107" s="774"/>
      <c r="BF1107" s="774"/>
      <c r="BG1107" s="774"/>
      <c r="BH1107" s="774"/>
      <c r="BI1107" s="1119">
        <v>8.1039999999999992</v>
      </c>
      <c r="BJ1107" s="774"/>
      <c r="BK1107" s="774"/>
      <c r="BL1107" s="774"/>
      <c r="BM1107" s="774"/>
      <c r="BN1107" s="1119">
        <v>8.1039999999999992</v>
      </c>
      <c r="BO1107" s="774"/>
      <c r="BP1107" s="774"/>
      <c r="BQ1107" s="774"/>
      <c r="BR1107" s="774"/>
      <c r="BS1107" s="78"/>
      <c r="BT1107" s="775"/>
      <c r="BU1107" s="774"/>
      <c r="BV1107" s="774"/>
      <c r="BW1107" s="774"/>
      <c r="BX1107" s="78"/>
      <c r="BY1107" s="774"/>
      <c r="BZ1107" s="774"/>
      <c r="CA1107" s="774"/>
      <c r="CB1107" s="774"/>
      <c r="CC1107" s="78"/>
      <c r="CD1107" s="78"/>
      <c r="CE1107" s="78"/>
      <c r="CF1107" s="78"/>
      <c r="CG1107" s="532"/>
    </row>
    <row r="1108" spans="1:85" s="616" customFormat="1" x14ac:dyDescent="0.3">
      <c r="A1108" s="522" t="s">
        <v>1357</v>
      </c>
      <c r="B1108" s="527"/>
      <c r="C1108" s="1124"/>
      <c r="D1108" s="1124"/>
      <c r="E1108" s="1124"/>
      <c r="F1108" s="1124"/>
      <c r="G1108" s="526"/>
      <c r="H1108" s="526"/>
      <c r="I1108" s="526"/>
      <c r="J1108" s="526"/>
      <c r="K1108" s="1124"/>
      <c r="L1108" s="526"/>
      <c r="M1108" s="526"/>
      <c r="N1108" s="526"/>
      <c r="O1108" s="526"/>
      <c r="P1108" s="1124"/>
      <c r="Q1108" s="526"/>
      <c r="R1108" s="526"/>
      <c r="S1108" s="526"/>
      <c r="T1108" s="526"/>
      <c r="U1108" s="1124"/>
      <c r="V1108" s="526"/>
      <c r="W1108" s="526"/>
      <c r="X1108" s="526"/>
      <c r="Y1108" s="526"/>
      <c r="Z1108" s="1124"/>
      <c r="AA1108" s="526"/>
      <c r="AB1108" s="526"/>
      <c r="AC1108" s="526"/>
      <c r="AD1108" s="526"/>
      <c r="AE1108" s="1124"/>
      <c r="AF1108" s="526"/>
      <c r="AG1108" s="526"/>
      <c r="AH1108" s="526"/>
      <c r="AI1108" s="526"/>
      <c r="AJ1108" s="1124"/>
      <c r="AK1108" s="526"/>
      <c r="AL1108" s="526"/>
      <c r="AM1108" s="526"/>
      <c r="AN1108" s="526"/>
      <c r="AO1108" s="1124"/>
      <c r="AP1108" s="526"/>
      <c r="AQ1108" s="526"/>
      <c r="AR1108" s="526"/>
      <c r="AS1108" s="526"/>
      <c r="AT1108" s="1124"/>
      <c r="AU1108" s="526"/>
      <c r="AV1108" s="526"/>
      <c r="AW1108" s="526"/>
      <c r="AX1108" s="526"/>
      <c r="AY1108" s="1124"/>
      <c r="AZ1108" s="526"/>
      <c r="BA1108" s="526"/>
      <c r="BB1108" s="526"/>
      <c r="BC1108" s="526"/>
      <c r="BD1108" s="1123">
        <v>179.95</v>
      </c>
      <c r="BE1108" s="526"/>
      <c r="BF1108" s="526"/>
      <c r="BG1108" s="526"/>
      <c r="BH1108" s="526"/>
      <c r="BI1108" s="1123">
        <v>179.95</v>
      </c>
      <c r="BJ1108" s="526"/>
      <c r="BK1108" s="526"/>
      <c r="BL1108" s="526"/>
      <c r="BM1108" s="526"/>
      <c r="BN1108" s="1123">
        <v>179.95</v>
      </c>
      <c r="BO1108" s="526"/>
      <c r="BP1108" s="526"/>
      <c r="BQ1108" s="526"/>
      <c r="BR1108" s="526"/>
      <c r="BS1108" s="1124"/>
      <c r="BT1108" s="729"/>
      <c r="BU1108" s="526"/>
      <c r="BV1108" s="526"/>
      <c r="BW1108" s="526"/>
      <c r="BX1108" s="1124"/>
      <c r="BY1108" s="526"/>
      <c r="BZ1108" s="526"/>
      <c r="CA1108" s="526"/>
      <c r="CB1108" s="526"/>
      <c r="CC1108" s="1124"/>
      <c r="CD1108" s="1124"/>
      <c r="CE1108" s="1124"/>
      <c r="CF1108" s="1124"/>
      <c r="CG1108" s="533"/>
    </row>
    <row r="1109" spans="1:85" s="614" customFormat="1" x14ac:dyDescent="0.3">
      <c r="A1109" s="522"/>
      <c r="B1109" s="352"/>
      <c r="C1109" s="1094"/>
      <c r="D1109" s="1094"/>
      <c r="E1109" s="1094"/>
      <c r="F1109" s="1094"/>
      <c r="G1109" s="197"/>
      <c r="H1109" s="197"/>
      <c r="I1109" s="197"/>
      <c r="J1109" s="197"/>
      <c r="K1109" s="1094"/>
      <c r="L1109" s="197"/>
      <c r="M1109" s="197"/>
      <c r="N1109" s="197"/>
      <c r="O1109" s="197"/>
      <c r="P1109" s="1094"/>
      <c r="Q1109" s="197"/>
      <c r="R1109" s="197"/>
      <c r="S1109" s="197"/>
      <c r="T1109" s="197"/>
      <c r="U1109" s="1094"/>
      <c r="V1109" s="197"/>
      <c r="W1109" s="197"/>
      <c r="X1109" s="197"/>
      <c r="Y1109" s="197"/>
      <c r="Z1109" s="1094"/>
      <c r="AA1109" s="197"/>
      <c r="AB1109" s="197"/>
      <c r="AC1109" s="197"/>
      <c r="AD1109" s="197"/>
      <c r="AE1109" s="1094"/>
      <c r="AF1109" s="197"/>
      <c r="AG1109" s="197"/>
      <c r="AH1109" s="197"/>
      <c r="AI1109" s="197"/>
      <c r="AJ1109" s="1094"/>
      <c r="AK1109" s="197"/>
      <c r="AL1109" s="197"/>
      <c r="AM1109" s="197"/>
      <c r="AN1109" s="197"/>
      <c r="AO1109" s="1094"/>
      <c r="AP1109" s="197"/>
      <c r="AQ1109" s="197"/>
      <c r="AR1109" s="197"/>
      <c r="AS1109" s="197"/>
      <c r="AT1109" s="198"/>
      <c r="AU1109" s="197"/>
      <c r="AV1109" s="197"/>
      <c r="AW1109" s="197"/>
      <c r="AX1109" s="197"/>
      <c r="AY1109" s="198"/>
      <c r="AZ1109" s="197"/>
      <c r="BA1109" s="197"/>
      <c r="BB1109" s="197"/>
      <c r="BC1109" s="197"/>
      <c r="BD1109" s="198"/>
      <c r="BE1109" s="197"/>
      <c r="BF1109" s="197"/>
      <c r="BG1109" s="197"/>
      <c r="BH1109" s="197"/>
      <c r="BI1109" s="198"/>
      <c r="BJ1109" s="197"/>
      <c r="BK1109" s="197"/>
      <c r="BL1109" s="197"/>
      <c r="BM1109" s="197"/>
      <c r="BN1109" s="198"/>
      <c r="BO1109" s="197"/>
      <c r="BP1109" s="197"/>
      <c r="BQ1109" s="197"/>
      <c r="BR1109" s="197"/>
      <c r="BS1109" s="198"/>
      <c r="BT1109" s="727"/>
      <c r="BU1109" s="197"/>
      <c r="BV1109" s="197"/>
      <c r="BW1109" s="197"/>
      <c r="BX1109" s="1094"/>
      <c r="BY1109" s="197"/>
      <c r="BZ1109" s="197"/>
      <c r="CA1109" s="197"/>
      <c r="CB1109" s="197"/>
      <c r="CC1109" s="1094"/>
      <c r="CD1109" s="1094"/>
      <c r="CE1109" s="1094"/>
      <c r="CF1109" s="1094"/>
      <c r="CG1109" s="349"/>
    </row>
    <row r="1110" spans="1:85" s="613" customFormat="1" x14ac:dyDescent="0.3">
      <c r="A1110" s="478" t="s">
        <v>1356</v>
      </c>
      <c r="B1110" s="523"/>
      <c r="C1110" s="78"/>
      <c r="D1110" s="78"/>
      <c r="E1110" s="78"/>
      <c r="F1110" s="78"/>
      <c r="G1110" s="774"/>
      <c r="H1110" s="774"/>
      <c r="I1110" s="774"/>
      <c r="J1110" s="774"/>
      <c r="K1110" s="78"/>
      <c r="L1110" s="774"/>
      <c r="M1110" s="774"/>
      <c r="N1110" s="774"/>
      <c r="O1110" s="774"/>
      <c r="P1110" s="78"/>
      <c r="Q1110" s="774"/>
      <c r="R1110" s="774"/>
      <c r="S1110" s="774"/>
      <c r="T1110" s="774"/>
      <c r="U1110" s="78"/>
      <c r="V1110" s="774"/>
      <c r="W1110" s="774"/>
      <c r="X1110" s="774"/>
      <c r="Y1110" s="774"/>
      <c r="Z1110" s="78"/>
      <c r="AA1110" s="774"/>
      <c r="AB1110" s="774"/>
      <c r="AC1110" s="774"/>
      <c r="AD1110" s="774"/>
      <c r="AE1110" s="78"/>
      <c r="AF1110" s="774"/>
      <c r="AG1110" s="774"/>
      <c r="AH1110" s="774"/>
      <c r="AI1110" s="774"/>
      <c r="AJ1110" s="78"/>
      <c r="AK1110" s="774"/>
      <c r="AL1110" s="774"/>
      <c r="AM1110" s="774"/>
      <c r="AN1110" s="774"/>
      <c r="AO1110" s="78"/>
      <c r="AP1110" s="774"/>
      <c r="AQ1110" s="774"/>
      <c r="AR1110" s="774"/>
      <c r="AS1110" s="774"/>
      <c r="AT1110" s="78"/>
      <c r="AU1110" s="774"/>
      <c r="AV1110" s="774"/>
      <c r="AW1110" s="774"/>
      <c r="AX1110" s="774"/>
      <c r="AY1110" s="78"/>
      <c r="AZ1110" s="774"/>
      <c r="BA1110" s="774"/>
      <c r="BB1110" s="774"/>
      <c r="BC1110" s="774"/>
      <c r="BD1110" s="1119">
        <v>6.4470000000000001</v>
      </c>
      <c r="BE1110" s="774"/>
      <c r="BF1110" s="774"/>
      <c r="BG1110" s="774"/>
      <c r="BH1110" s="774"/>
      <c r="BI1110" s="1119">
        <v>6.4470000000000001</v>
      </c>
      <c r="BJ1110" s="774"/>
      <c r="BK1110" s="774"/>
      <c r="BL1110" s="774"/>
      <c r="BM1110" s="774"/>
      <c r="BN1110" s="1119">
        <v>6.4470000000000001</v>
      </c>
      <c r="BO1110" s="774"/>
      <c r="BP1110" s="774"/>
      <c r="BQ1110" s="774"/>
      <c r="BR1110" s="774"/>
      <c r="BS1110" s="78"/>
      <c r="BT1110" s="775"/>
      <c r="BU1110" s="774"/>
      <c r="BV1110" s="774"/>
      <c r="BW1110" s="774"/>
      <c r="BX1110" s="78"/>
      <c r="BY1110" s="774"/>
      <c r="BZ1110" s="774"/>
      <c r="CA1110" s="774"/>
      <c r="CB1110" s="774"/>
      <c r="CC1110" s="78"/>
      <c r="CD1110" s="78"/>
      <c r="CE1110" s="78"/>
      <c r="CF1110" s="78"/>
      <c r="CG1110" s="532"/>
    </row>
    <row r="1111" spans="1:85" s="616" customFormat="1" x14ac:dyDescent="0.3">
      <c r="A1111" s="522" t="s">
        <v>1355</v>
      </c>
      <c r="B1111" s="527"/>
      <c r="C1111" s="1124"/>
      <c r="D1111" s="1124"/>
      <c r="E1111" s="1124"/>
      <c r="F1111" s="1124"/>
      <c r="G1111" s="526"/>
      <c r="H1111" s="526"/>
      <c r="I1111" s="526"/>
      <c r="J1111" s="526"/>
      <c r="K1111" s="1124"/>
      <c r="L1111" s="526"/>
      <c r="M1111" s="526"/>
      <c r="N1111" s="526"/>
      <c r="O1111" s="526"/>
      <c r="P1111" s="1124"/>
      <c r="Q1111" s="526"/>
      <c r="R1111" s="526"/>
      <c r="S1111" s="526"/>
      <c r="T1111" s="526"/>
      <c r="U1111" s="1124"/>
      <c r="V1111" s="526"/>
      <c r="W1111" s="526"/>
      <c r="X1111" s="526"/>
      <c r="Y1111" s="526"/>
      <c r="Z1111" s="1124"/>
      <c r="AA1111" s="526"/>
      <c r="AB1111" s="526"/>
      <c r="AC1111" s="526"/>
      <c r="AD1111" s="526"/>
      <c r="AE1111" s="1124"/>
      <c r="AF1111" s="526"/>
      <c r="AG1111" s="526"/>
      <c r="AH1111" s="526"/>
      <c r="AI1111" s="526"/>
      <c r="AJ1111" s="1124"/>
      <c r="AK1111" s="526"/>
      <c r="AL1111" s="526"/>
      <c r="AM1111" s="526"/>
      <c r="AN1111" s="526"/>
      <c r="AO1111" s="1124"/>
      <c r="AP1111" s="526"/>
      <c r="AQ1111" s="526"/>
      <c r="AR1111" s="526"/>
      <c r="AS1111" s="526"/>
      <c r="AT1111" s="1124"/>
      <c r="AU1111" s="526"/>
      <c r="AV1111" s="526"/>
      <c r="AW1111" s="526"/>
      <c r="AX1111" s="526"/>
      <c r="AY1111" s="1124"/>
      <c r="AZ1111" s="526"/>
      <c r="BA1111" s="526"/>
      <c r="BB1111" s="526"/>
      <c r="BC1111" s="526"/>
      <c r="BD1111" s="1123">
        <v>226.21</v>
      </c>
      <c r="BE1111" s="526"/>
      <c r="BF1111" s="526"/>
      <c r="BG1111" s="526"/>
      <c r="BH1111" s="526"/>
      <c r="BI1111" s="1123">
        <v>226.21</v>
      </c>
      <c r="BJ1111" s="526"/>
      <c r="BK1111" s="526"/>
      <c r="BL1111" s="526"/>
      <c r="BM1111" s="526"/>
      <c r="BN1111" s="1123">
        <v>226.21</v>
      </c>
      <c r="BO1111" s="526"/>
      <c r="BP1111" s="526"/>
      <c r="BQ1111" s="526"/>
      <c r="BR1111" s="526"/>
      <c r="BS1111" s="1124"/>
      <c r="BT1111" s="729"/>
      <c r="BU1111" s="526"/>
      <c r="BV1111" s="526"/>
      <c r="BW1111" s="526"/>
      <c r="BX1111" s="1124"/>
      <c r="BY1111" s="526"/>
      <c r="BZ1111" s="526"/>
      <c r="CA1111" s="526"/>
      <c r="CB1111" s="526"/>
      <c r="CC1111" s="1124"/>
      <c r="CD1111" s="1124"/>
      <c r="CE1111" s="1124"/>
      <c r="CF1111" s="1124"/>
      <c r="CG1111" s="533"/>
    </row>
    <row r="1112" spans="1:85" s="614" customFormat="1" x14ac:dyDescent="0.3">
      <c r="A1112" s="522"/>
      <c r="B1112" s="352"/>
      <c r="C1112" s="1094"/>
      <c r="D1112" s="1094"/>
      <c r="E1112" s="1094"/>
      <c r="F1112" s="1094"/>
      <c r="G1112" s="197"/>
      <c r="H1112" s="197"/>
      <c r="I1112" s="197"/>
      <c r="J1112" s="197"/>
      <c r="K1112" s="1094"/>
      <c r="L1112" s="197"/>
      <c r="M1112" s="197"/>
      <c r="N1112" s="197"/>
      <c r="O1112" s="197"/>
      <c r="P1112" s="1094"/>
      <c r="Q1112" s="197"/>
      <c r="R1112" s="197"/>
      <c r="S1112" s="197"/>
      <c r="T1112" s="197"/>
      <c r="U1112" s="1094"/>
      <c r="V1112" s="197"/>
      <c r="W1112" s="197"/>
      <c r="X1112" s="197"/>
      <c r="Y1112" s="197"/>
      <c r="Z1112" s="1094"/>
      <c r="AA1112" s="197"/>
      <c r="AB1112" s="197"/>
      <c r="AC1112" s="197"/>
      <c r="AD1112" s="197"/>
      <c r="AE1112" s="1094"/>
      <c r="AF1112" s="197"/>
      <c r="AG1112" s="197"/>
      <c r="AH1112" s="197"/>
      <c r="AI1112" s="197"/>
      <c r="AJ1112" s="1094"/>
      <c r="AK1112" s="197"/>
      <c r="AL1112" s="197"/>
      <c r="AM1112" s="197"/>
      <c r="AN1112" s="197"/>
      <c r="AO1112" s="1094"/>
      <c r="AP1112" s="197"/>
      <c r="AQ1112" s="197"/>
      <c r="AR1112" s="197"/>
      <c r="AS1112" s="197"/>
      <c r="AT1112" s="198"/>
      <c r="AU1112" s="197"/>
      <c r="AV1112" s="197"/>
      <c r="AW1112" s="197"/>
      <c r="AX1112" s="197"/>
      <c r="AY1112" s="198"/>
      <c r="AZ1112" s="197"/>
      <c r="BA1112" s="197"/>
      <c r="BB1112" s="197"/>
      <c r="BC1112" s="197"/>
      <c r="BD1112" s="198"/>
      <c r="BE1112" s="197"/>
      <c r="BF1112" s="197"/>
      <c r="BG1112" s="197"/>
      <c r="BH1112" s="197"/>
      <c r="BI1112" s="198"/>
      <c r="BJ1112" s="197"/>
      <c r="BK1112" s="197"/>
      <c r="BL1112" s="197"/>
      <c r="BM1112" s="197"/>
      <c r="BN1112" s="198"/>
      <c r="BO1112" s="197"/>
      <c r="BP1112" s="197"/>
      <c r="BQ1112" s="197"/>
      <c r="BR1112" s="197"/>
      <c r="BS1112" s="198"/>
      <c r="BT1112" s="727"/>
      <c r="BU1112" s="197"/>
      <c r="BV1112" s="197"/>
      <c r="BW1112" s="197"/>
      <c r="BX1112" s="1094"/>
      <c r="BY1112" s="197"/>
      <c r="BZ1112" s="197"/>
      <c r="CA1112" s="197"/>
      <c r="CB1112" s="197"/>
      <c r="CC1112" s="1094"/>
      <c r="CD1112" s="1094"/>
      <c r="CE1112" s="1094"/>
      <c r="CF1112" s="1094"/>
      <c r="CG1112" s="349"/>
    </row>
    <row r="1113" spans="1:85" s="613" customFormat="1" x14ac:dyDescent="0.3">
      <c r="A1113" s="478" t="s">
        <v>1354</v>
      </c>
      <c r="B1113" s="523"/>
      <c r="C1113" s="78"/>
      <c r="D1113" s="78"/>
      <c r="E1113" s="78"/>
      <c r="F1113" s="78"/>
      <c r="G1113" s="774"/>
      <c r="H1113" s="774"/>
      <c r="I1113" s="774"/>
      <c r="J1113" s="774"/>
      <c r="K1113" s="78"/>
      <c r="L1113" s="774"/>
      <c r="M1113" s="774"/>
      <c r="N1113" s="774"/>
      <c r="O1113" s="774"/>
      <c r="P1113" s="78"/>
      <c r="Q1113" s="774"/>
      <c r="R1113" s="774"/>
      <c r="S1113" s="774"/>
      <c r="T1113" s="774"/>
      <c r="U1113" s="78"/>
      <c r="V1113" s="774"/>
      <c r="W1113" s="774"/>
      <c r="X1113" s="774"/>
      <c r="Y1113" s="774"/>
      <c r="Z1113" s="78"/>
      <c r="AA1113" s="774"/>
      <c r="AB1113" s="774"/>
      <c r="AC1113" s="774"/>
      <c r="AD1113" s="774"/>
      <c r="AE1113" s="78"/>
      <c r="AF1113" s="774"/>
      <c r="AG1113" s="774"/>
      <c r="AH1113" s="774"/>
      <c r="AI1113" s="774"/>
      <c r="AJ1113" s="78"/>
      <c r="AK1113" s="774"/>
      <c r="AL1113" s="774"/>
      <c r="AM1113" s="774"/>
      <c r="AN1113" s="774"/>
      <c r="AO1113" s="78"/>
      <c r="AP1113" s="774"/>
      <c r="AQ1113" s="774"/>
      <c r="AR1113" s="774"/>
      <c r="AS1113" s="774"/>
      <c r="AT1113" s="78"/>
      <c r="AU1113" s="774"/>
      <c r="AV1113" s="774"/>
      <c r="AW1113" s="774"/>
      <c r="AX1113" s="774"/>
      <c r="AY1113" s="78"/>
      <c r="AZ1113" s="774"/>
      <c r="BA1113" s="774"/>
      <c r="BB1113" s="774"/>
      <c r="BC1113" s="774"/>
      <c r="BD1113" s="1119">
        <v>6.34</v>
      </c>
      <c r="BE1113" s="774"/>
      <c r="BF1113" s="774"/>
      <c r="BG1113" s="774"/>
      <c r="BH1113" s="774"/>
      <c r="BI1113" s="1119">
        <v>6.34</v>
      </c>
      <c r="BJ1113" s="774"/>
      <c r="BK1113" s="774"/>
      <c r="BL1113" s="774"/>
      <c r="BM1113" s="774"/>
      <c r="BN1113" s="1119">
        <v>6.34</v>
      </c>
      <c r="BO1113" s="774"/>
      <c r="BP1113" s="774"/>
      <c r="BQ1113" s="774"/>
      <c r="BR1113" s="774"/>
      <c r="BS1113" s="78"/>
      <c r="BT1113" s="775"/>
      <c r="BU1113" s="774"/>
      <c r="BV1113" s="774"/>
      <c r="BW1113" s="774"/>
      <c r="BX1113" s="78"/>
      <c r="BY1113" s="774"/>
      <c r="BZ1113" s="774"/>
      <c r="CA1113" s="774"/>
      <c r="CB1113" s="774"/>
      <c r="CC1113" s="78"/>
      <c r="CD1113" s="78"/>
      <c r="CE1113" s="78"/>
      <c r="CF1113" s="78"/>
      <c r="CG1113" s="532"/>
    </row>
    <row r="1114" spans="1:85" s="616" customFormat="1" x14ac:dyDescent="0.3">
      <c r="A1114" s="522" t="s">
        <v>1353</v>
      </c>
      <c r="B1114" s="527"/>
      <c r="C1114" s="1124"/>
      <c r="D1114" s="1124"/>
      <c r="E1114" s="1124"/>
      <c r="F1114" s="1124"/>
      <c r="G1114" s="526"/>
      <c r="H1114" s="526"/>
      <c r="I1114" s="526"/>
      <c r="J1114" s="526"/>
      <c r="K1114" s="1124"/>
      <c r="L1114" s="526"/>
      <c r="M1114" s="526"/>
      <c r="N1114" s="526"/>
      <c r="O1114" s="526"/>
      <c r="P1114" s="1124"/>
      <c r="Q1114" s="526"/>
      <c r="R1114" s="526"/>
      <c r="S1114" s="526"/>
      <c r="T1114" s="526"/>
      <c r="U1114" s="1124"/>
      <c r="V1114" s="526"/>
      <c r="W1114" s="526"/>
      <c r="X1114" s="526"/>
      <c r="Y1114" s="526"/>
      <c r="Z1114" s="1124"/>
      <c r="AA1114" s="526"/>
      <c r="AB1114" s="526"/>
      <c r="AC1114" s="526"/>
      <c r="AD1114" s="526"/>
      <c r="AE1114" s="1124"/>
      <c r="AF1114" s="526"/>
      <c r="AG1114" s="526"/>
      <c r="AH1114" s="526"/>
      <c r="AI1114" s="526"/>
      <c r="AJ1114" s="1124"/>
      <c r="AK1114" s="526"/>
      <c r="AL1114" s="526"/>
      <c r="AM1114" s="526"/>
      <c r="AN1114" s="526"/>
      <c r="AO1114" s="1124"/>
      <c r="AP1114" s="526"/>
      <c r="AQ1114" s="526"/>
      <c r="AR1114" s="526"/>
      <c r="AS1114" s="526"/>
      <c r="AT1114" s="1124"/>
      <c r="AU1114" s="526"/>
      <c r="AV1114" s="526"/>
      <c r="AW1114" s="526"/>
      <c r="AX1114" s="526"/>
      <c r="AY1114" s="1124"/>
      <c r="AZ1114" s="526"/>
      <c r="BA1114" s="526"/>
      <c r="BB1114" s="526"/>
      <c r="BC1114" s="526"/>
      <c r="BD1114" s="1123">
        <v>230.04</v>
      </c>
      <c r="BE1114" s="526"/>
      <c r="BF1114" s="526"/>
      <c r="BG1114" s="526"/>
      <c r="BH1114" s="526"/>
      <c r="BI1114" s="1123">
        <v>230.04</v>
      </c>
      <c r="BJ1114" s="526"/>
      <c r="BK1114" s="526"/>
      <c r="BL1114" s="526"/>
      <c r="BM1114" s="526"/>
      <c r="BN1114" s="1123">
        <v>230.04</v>
      </c>
      <c r="BO1114" s="526"/>
      <c r="BP1114" s="526"/>
      <c r="BQ1114" s="526"/>
      <c r="BR1114" s="526"/>
      <c r="BS1114" s="1124"/>
      <c r="BT1114" s="729"/>
      <c r="BU1114" s="526"/>
      <c r="BV1114" s="526"/>
      <c r="BW1114" s="526"/>
      <c r="BX1114" s="1124"/>
      <c r="BY1114" s="526"/>
      <c r="BZ1114" s="526"/>
      <c r="CA1114" s="526"/>
      <c r="CB1114" s="526"/>
      <c r="CC1114" s="1124"/>
      <c r="CD1114" s="1124"/>
      <c r="CE1114" s="1124"/>
      <c r="CF1114" s="1124"/>
      <c r="CG1114" s="533"/>
    </row>
    <row r="1115" spans="1:85" s="614" customFormat="1" x14ac:dyDescent="0.3">
      <c r="A1115" s="522"/>
      <c r="B1115" s="352"/>
      <c r="C1115" s="1094"/>
      <c r="D1115" s="1094"/>
      <c r="E1115" s="1094"/>
      <c r="F1115" s="1094"/>
      <c r="G1115" s="197"/>
      <c r="H1115" s="197"/>
      <c r="I1115" s="197"/>
      <c r="J1115" s="197"/>
      <c r="K1115" s="1094"/>
      <c r="L1115" s="197"/>
      <c r="M1115" s="197"/>
      <c r="N1115" s="197"/>
      <c r="O1115" s="197"/>
      <c r="P1115" s="1094"/>
      <c r="Q1115" s="197"/>
      <c r="R1115" s="197"/>
      <c r="S1115" s="197"/>
      <c r="T1115" s="197"/>
      <c r="U1115" s="1094"/>
      <c r="V1115" s="197"/>
      <c r="W1115" s="197"/>
      <c r="X1115" s="197"/>
      <c r="Y1115" s="197"/>
      <c r="Z1115" s="1094"/>
      <c r="AA1115" s="197"/>
      <c r="AB1115" s="197"/>
      <c r="AC1115" s="197"/>
      <c r="AD1115" s="197"/>
      <c r="AE1115" s="1094"/>
      <c r="AF1115" s="197"/>
      <c r="AG1115" s="197"/>
      <c r="AH1115" s="197"/>
      <c r="AI1115" s="197"/>
      <c r="AJ1115" s="1094"/>
      <c r="AK1115" s="197"/>
      <c r="AL1115" s="197"/>
      <c r="AM1115" s="197"/>
      <c r="AN1115" s="197"/>
      <c r="AO1115" s="1094"/>
      <c r="AP1115" s="197"/>
      <c r="AQ1115" s="197"/>
      <c r="AR1115" s="197"/>
      <c r="AS1115" s="197"/>
      <c r="AT1115" s="198"/>
      <c r="AU1115" s="197"/>
      <c r="AV1115" s="197"/>
      <c r="AW1115" s="197"/>
      <c r="AX1115" s="197"/>
      <c r="AY1115" s="198"/>
      <c r="AZ1115" s="197"/>
      <c r="BA1115" s="197"/>
      <c r="BB1115" s="197"/>
      <c r="BC1115" s="197"/>
      <c r="BD1115" s="198"/>
      <c r="BE1115" s="197"/>
      <c r="BF1115" s="197"/>
      <c r="BG1115" s="197"/>
      <c r="BH1115" s="197"/>
      <c r="BI1115" s="198"/>
      <c r="BJ1115" s="197"/>
      <c r="BK1115" s="197"/>
      <c r="BL1115" s="197"/>
      <c r="BM1115" s="197"/>
      <c r="BN1115" s="198"/>
      <c r="BO1115" s="197"/>
      <c r="BP1115" s="197"/>
      <c r="BQ1115" s="197"/>
      <c r="BR1115" s="197"/>
      <c r="BS1115" s="198"/>
      <c r="BT1115" s="727"/>
      <c r="BU1115" s="197"/>
      <c r="BV1115" s="197"/>
      <c r="BW1115" s="197"/>
      <c r="BX1115" s="1094"/>
      <c r="BY1115" s="197"/>
      <c r="BZ1115" s="197"/>
      <c r="CA1115" s="197"/>
      <c r="CB1115" s="197"/>
      <c r="CC1115" s="1094"/>
      <c r="CD1115" s="1094"/>
      <c r="CE1115" s="1094"/>
      <c r="CF1115" s="1094"/>
      <c r="CG1115" s="349"/>
    </row>
    <row r="1116" spans="1:85" s="613" customFormat="1" x14ac:dyDescent="0.3">
      <c r="A1116" s="478" t="s">
        <v>1352</v>
      </c>
      <c r="B1116" s="523"/>
      <c r="C1116" s="78"/>
      <c r="D1116" s="78"/>
      <c r="E1116" s="78"/>
      <c r="F1116" s="78"/>
      <c r="G1116" s="774"/>
      <c r="H1116" s="774"/>
      <c r="I1116" s="774"/>
      <c r="J1116" s="774"/>
      <c r="K1116" s="78"/>
      <c r="L1116" s="774"/>
      <c r="M1116" s="774"/>
      <c r="N1116" s="774"/>
      <c r="O1116" s="774"/>
      <c r="P1116" s="78"/>
      <c r="Q1116" s="774"/>
      <c r="R1116" s="774"/>
      <c r="S1116" s="774"/>
      <c r="T1116" s="774"/>
      <c r="U1116" s="78"/>
      <c r="V1116" s="774"/>
      <c r="W1116" s="774"/>
      <c r="X1116" s="774"/>
      <c r="Y1116" s="774"/>
      <c r="Z1116" s="78"/>
      <c r="AA1116" s="774"/>
      <c r="AB1116" s="774"/>
      <c r="AC1116" s="774"/>
      <c r="AD1116" s="774"/>
      <c r="AE1116" s="78"/>
      <c r="AF1116" s="774"/>
      <c r="AG1116" s="774"/>
      <c r="AH1116" s="774"/>
      <c r="AI1116" s="774"/>
      <c r="AJ1116" s="78"/>
      <c r="AK1116" s="774"/>
      <c r="AL1116" s="774"/>
      <c r="AM1116" s="774"/>
      <c r="AN1116" s="774"/>
      <c r="AO1116" s="78"/>
      <c r="AP1116" s="774"/>
      <c r="AQ1116" s="774"/>
      <c r="AR1116" s="774"/>
      <c r="AS1116" s="774"/>
      <c r="AT1116" s="78"/>
      <c r="AU1116" s="774"/>
      <c r="AV1116" s="774"/>
      <c r="AW1116" s="774"/>
      <c r="AX1116" s="774"/>
      <c r="AY1116" s="78"/>
      <c r="AZ1116" s="774"/>
      <c r="BA1116" s="774"/>
      <c r="BB1116" s="774"/>
      <c r="BC1116" s="774"/>
      <c r="BD1116" s="1119">
        <v>6.1</v>
      </c>
      <c r="BE1116" s="774"/>
      <c r="BF1116" s="774"/>
      <c r="BG1116" s="774"/>
      <c r="BH1116" s="774"/>
      <c r="BI1116" s="1119">
        <v>6.1</v>
      </c>
      <c r="BJ1116" s="774"/>
      <c r="BK1116" s="774"/>
      <c r="BL1116" s="774"/>
      <c r="BM1116" s="774"/>
      <c r="BN1116" s="1119">
        <v>6.1</v>
      </c>
      <c r="BO1116" s="774"/>
      <c r="BP1116" s="774"/>
      <c r="BQ1116" s="774"/>
      <c r="BR1116" s="774"/>
      <c r="BS1116" s="78"/>
      <c r="BT1116" s="775"/>
      <c r="BU1116" s="774"/>
      <c r="BV1116" s="774"/>
      <c r="BW1116" s="774"/>
      <c r="BX1116" s="78"/>
      <c r="BY1116" s="774"/>
      <c r="BZ1116" s="774"/>
      <c r="CA1116" s="774"/>
      <c r="CB1116" s="774"/>
      <c r="CC1116" s="78"/>
      <c r="CD1116" s="78"/>
      <c r="CE1116" s="78"/>
      <c r="CF1116" s="78"/>
      <c r="CG1116" s="532"/>
    </row>
    <row r="1117" spans="1:85" s="616" customFormat="1" x14ac:dyDescent="0.3">
      <c r="A1117" s="522" t="s">
        <v>1351</v>
      </c>
      <c r="B1117" s="527"/>
      <c r="C1117" s="1124"/>
      <c r="D1117" s="1124"/>
      <c r="E1117" s="1124"/>
      <c r="F1117" s="1124"/>
      <c r="G1117" s="526"/>
      <c r="H1117" s="526"/>
      <c r="I1117" s="526"/>
      <c r="J1117" s="526"/>
      <c r="K1117" s="1124"/>
      <c r="L1117" s="526"/>
      <c r="M1117" s="526"/>
      <c r="N1117" s="526"/>
      <c r="O1117" s="526"/>
      <c r="P1117" s="1124"/>
      <c r="Q1117" s="526"/>
      <c r="R1117" s="526"/>
      <c r="S1117" s="526"/>
      <c r="T1117" s="526"/>
      <c r="U1117" s="1124"/>
      <c r="V1117" s="526"/>
      <c r="W1117" s="526"/>
      <c r="X1117" s="526"/>
      <c r="Y1117" s="526"/>
      <c r="Z1117" s="1124"/>
      <c r="AA1117" s="526"/>
      <c r="AB1117" s="526"/>
      <c r="AC1117" s="526"/>
      <c r="AD1117" s="526"/>
      <c r="AE1117" s="1124"/>
      <c r="AF1117" s="526"/>
      <c r="AG1117" s="526"/>
      <c r="AH1117" s="526"/>
      <c r="AI1117" s="526"/>
      <c r="AJ1117" s="1124"/>
      <c r="AK1117" s="526"/>
      <c r="AL1117" s="526"/>
      <c r="AM1117" s="526"/>
      <c r="AN1117" s="526"/>
      <c r="AO1117" s="1124"/>
      <c r="AP1117" s="526"/>
      <c r="AQ1117" s="526"/>
      <c r="AR1117" s="526"/>
      <c r="AS1117" s="526"/>
      <c r="AT1117" s="1124"/>
      <c r="AU1117" s="526"/>
      <c r="AV1117" s="526"/>
      <c r="AW1117" s="526"/>
      <c r="AX1117" s="526"/>
      <c r="AY1117" s="1124"/>
      <c r="AZ1117" s="526"/>
      <c r="BA1117" s="526"/>
      <c r="BB1117" s="526"/>
      <c r="BC1117" s="526"/>
      <c r="BD1117" s="1123">
        <v>239.04</v>
      </c>
      <c r="BE1117" s="526"/>
      <c r="BF1117" s="526"/>
      <c r="BG1117" s="526"/>
      <c r="BH1117" s="526"/>
      <c r="BI1117" s="1123">
        <v>239.04</v>
      </c>
      <c r="BJ1117" s="526"/>
      <c r="BK1117" s="526"/>
      <c r="BL1117" s="526"/>
      <c r="BM1117" s="526"/>
      <c r="BN1117" s="1123">
        <v>239.04</v>
      </c>
      <c r="BO1117" s="526"/>
      <c r="BP1117" s="526"/>
      <c r="BQ1117" s="526"/>
      <c r="BR1117" s="526"/>
      <c r="BS1117" s="1124"/>
      <c r="BT1117" s="729"/>
      <c r="BU1117" s="526"/>
      <c r="BV1117" s="526"/>
      <c r="BW1117" s="526"/>
      <c r="BX1117" s="1124"/>
      <c r="BY1117" s="526"/>
      <c r="BZ1117" s="526"/>
      <c r="CA1117" s="526"/>
      <c r="CB1117" s="526"/>
      <c r="CC1117" s="1124"/>
      <c r="CD1117" s="1124"/>
      <c r="CE1117" s="1124"/>
      <c r="CF1117" s="1124"/>
      <c r="CG1117" s="533"/>
    </row>
    <row r="1118" spans="1:85" s="614" customFormat="1" x14ac:dyDescent="0.3">
      <c r="A1118" s="522"/>
      <c r="B1118" s="352"/>
      <c r="C1118" s="1094"/>
      <c r="D1118" s="1094"/>
      <c r="E1118" s="1094"/>
      <c r="F1118" s="1094"/>
      <c r="G1118" s="197"/>
      <c r="H1118" s="197"/>
      <c r="I1118" s="197"/>
      <c r="J1118" s="197"/>
      <c r="K1118" s="1094"/>
      <c r="L1118" s="197"/>
      <c r="M1118" s="197"/>
      <c r="N1118" s="197"/>
      <c r="O1118" s="197"/>
      <c r="P1118" s="1094"/>
      <c r="Q1118" s="197"/>
      <c r="R1118" s="197"/>
      <c r="S1118" s="197"/>
      <c r="T1118" s="197"/>
      <c r="U1118" s="1094"/>
      <c r="V1118" s="197"/>
      <c r="W1118" s="197"/>
      <c r="X1118" s="197"/>
      <c r="Y1118" s="197"/>
      <c r="Z1118" s="1094"/>
      <c r="AA1118" s="197"/>
      <c r="AB1118" s="197"/>
      <c r="AC1118" s="197"/>
      <c r="AD1118" s="197"/>
      <c r="AE1118" s="1094"/>
      <c r="AF1118" s="197"/>
      <c r="AG1118" s="197"/>
      <c r="AH1118" s="197"/>
      <c r="AI1118" s="197"/>
      <c r="AJ1118" s="1094"/>
      <c r="AK1118" s="197"/>
      <c r="AL1118" s="197"/>
      <c r="AM1118" s="197"/>
      <c r="AN1118" s="197"/>
      <c r="AO1118" s="1094"/>
      <c r="AP1118" s="197"/>
      <c r="AQ1118" s="197"/>
      <c r="AR1118" s="197"/>
      <c r="AS1118" s="197"/>
      <c r="AT1118" s="198"/>
      <c r="AU1118" s="197"/>
      <c r="AV1118" s="197"/>
      <c r="AW1118" s="197"/>
      <c r="AX1118" s="197"/>
      <c r="AY1118" s="198"/>
      <c r="AZ1118" s="197"/>
      <c r="BA1118" s="197"/>
      <c r="BB1118" s="197"/>
      <c r="BC1118" s="197"/>
      <c r="BD1118" s="198"/>
      <c r="BE1118" s="197"/>
      <c r="BF1118" s="197"/>
      <c r="BG1118" s="197"/>
      <c r="BH1118" s="197"/>
      <c r="BI1118" s="198"/>
      <c r="BJ1118" s="197"/>
      <c r="BK1118" s="197"/>
      <c r="BL1118" s="197"/>
      <c r="BM1118" s="197"/>
      <c r="BN1118" s="198"/>
      <c r="BO1118" s="197"/>
      <c r="BP1118" s="197"/>
      <c r="BQ1118" s="197"/>
      <c r="BR1118" s="197"/>
      <c r="BS1118" s="198"/>
      <c r="BT1118" s="727"/>
      <c r="BU1118" s="197"/>
      <c r="BV1118" s="197"/>
      <c r="BW1118" s="197"/>
      <c r="BX1118" s="1094"/>
      <c r="BY1118" s="197"/>
      <c r="BZ1118" s="197"/>
      <c r="CA1118" s="197"/>
      <c r="CB1118" s="197"/>
      <c r="CC1118" s="1094"/>
      <c r="CD1118" s="1094"/>
      <c r="CE1118" s="1094"/>
      <c r="CF1118" s="1094"/>
      <c r="CG1118" s="349"/>
    </row>
    <row r="1119" spans="1:85" s="613" customFormat="1" x14ac:dyDescent="0.3">
      <c r="A1119" s="478" t="s">
        <v>1350</v>
      </c>
      <c r="B1119" s="523"/>
      <c r="C1119" s="78"/>
      <c r="D1119" s="78"/>
      <c r="E1119" s="78"/>
      <c r="F1119" s="78"/>
      <c r="G1119" s="774"/>
      <c r="H1119" s="774"/>
      <c r="I1119" s="774"/>
      <c r="J1119" s="774"/>
      <c r="K1119" s="78"/>
      <c r="L1119" s="774"/>
      <c r="M1119" s="774"/>
      <c r="N1119" s="774"/>
      <c r="O1119" s="774"/>
      <c r="P1119" s="78"/>
      <c r="Q1119" s="774"/>
      <c r="R1119" s="774"/>
      <c r="S1119" s="774"/>
      <c r="T1119" s="774"/>
      <c r="U1119" s="78"/>
      <c r="V1119" s="774"/>
      <c r="W1119" s="774"/>
      <c r="X1119" s="774"/>
      <c r="Y1119" s="774"/>
      <c r="Z1119" s="78"/>
      <c r="AA1119" s="774"/>
      <c r="AB1119" s="774"/>
      <c r="AC1119" s="774"/>
      <c r="AD1119" s="774"/>
      <c r="AE1119" s="78"/>
      <c r="AF1119" s="774"/>
      <c r="AG1119" s="774"/>
      <c r="AH1119" s="774"/>
      <c r="AI1119" s="774"/>
      <c r="AJ1119" s="78"/>
      <c r="AK1119" s="774"/>
      <c r="AL1119" s="774"/>
      <c r="AM1119" s="774"/>
      <c r="AN1119" s="774"/>
      <c r="AO1119" s="78"/>
      <c r="AP1119" s="774"/>
      <c r="AQ1119" s="774"/>
      <c r="AR1119" s="774"/>
      <c r="AS1119" s="774"/>
      <c r="AT1119" s="78"/>
      <c r="AU1119" s="774"/>
      <c r="AV1119" s="774"/>
      <c r="AW1119" s="774"/>
      <c r="AX1119" s="774"/>
      <c r="AY1119" s="78"/>
      <c r="AZ1119" s="774"/>
      <c r="BA1119" s="774"/>
      <c r="BB1119" s="774"/>
      <c r="BC1119" s="774"/>
      <c r="BD1119" s="1119">
        <v>5.0860000000000003</v>
      </c>
      <c r="BE1119" s="774"/>
      <c r="BF1119" s="774"/>
      <c r="BG1119" s="774"/>
      <c r="BH1119" s="774"/>
      <c r="BI1119" s="1119">
        <v>5.0860000000000003</v>
      </c>
      <c r="BJ1119" s="774"/>
      <c r="BK1119" s="774"/>
      <c r="BL1119" s="774"/>
      <c r="BM1119" s="774"/>
      <c r="BN1119" s="1119">
        <v>5.0860000000000003</v>
      </c>
      <c r="BO1119" s="774"/>
      <c r="BP1119" s="774"/>
      <c r="BQ1119" s="774"/>
      <c r="BR1119" s="774"/>
      <c r="BS1119" s="78"/>
      <c r="BT1119" s="775"/>
      <c r="BU1119" s="774"/>
      <c r="BV1119" s="774"/>
      <c r="BW1119" s="774"/>
      <c r="BX1119" s="78"/>
      <c r="BY1119" s="774"/>
      <c r="BZ1119" s="774"/>
      <c r="CA1119" s="774"/>
      <c r="CB1119" s="774"/>
      <c r="CC1119" s="78"/>
      <c r="CD1119" s="78"/>
      <c r="CE1119" s="78"/>
      <c r="CF1119" s="78"/>
      <c r="CG1119" s="532"/>
    </row>
    <row r="1120" spans="1:85" s="616" customFormat="1" x14ac:dyDescent="0.3">
      <c r="A1120" s="522" t="s">
        <v>1349</v>
      </c>
      <c r="B1120" s="527"/>
      <c r="C1120" s="1124"/>
      <c r="D1120" s="1124"/>
      <c r="E1120" s="1124"/>
      <c r="F1120" s="1124"/>
      <c r="G1120" s="526"/>
      <c r="H1120" s="526"/>
      <c r="I1120" s="526"/>
      <c r="J1120" s="526"/>
      <c r="K1120" s="1124"/>
      <c r="L1120" s="526"/>
      <c r="M1120" s="526"/>
      <c r="N1120" s="526"/>
      <c r="O1120" s="526"/>
      <c r="P1120" s="1124"/>
      <c r="Q1120" s="526"/>
      <c r="R1120" s="526"/>
      <c r="S1120" s="526"/>
      <c r="T1120" s="526"/>
      <c r="U1120" s="1124"/>
      <c r="V1120" s="526"/>
      <c r="W1120" s="526"/>
      <c r="X1120" s="526"/>
      <c r="Y1120" s="526"/>
      <c r="Z1120" s="1124"/>
      <c r="AA1120" s="526"/>
      <c r="AB1120" s="526"/>
      <c r="AC1120" s="526"/>
      <c r="AD1120" s="526"/>
      <c r="AE1120" s="1124"/>
      <c r="AF1120" s="526"/>
      <c r="AG1120" s="526"/>
      <c r="AH1120" s="526"/>
      <c r="AI1120" s="526"/>
      <c r="AJ1120" s="1124"/>
      <c r="AK1120" s="526"/>
      <c r="AL1120" s="526"/>
      <c r="AM1120" s="526"/>
      <c r="AN1120" s="526"/>
      <c r="AO1120" s="1124"/>
      <c r="AP1120" s="526"/>
      <c r="AQ1120" s="526"/>
      <c r="AR1120" s="526"/>
      <c r="AS1120" s="526"/>
      <c r="AT1120" s="1124"/>
      <c r="AU1120" s="526"/>
      <c r="AV1120" s="526"/>
      <c r="AW1120" s="526"/>
      <c r="AX1120" s="526"/>
      <c r="AY1120" s="1124"/>
      <c r="AZ1120" s="526"/>
      <c r="BA1120" s="526"/>
      <c r="BB1120" s="526"/>
      <c r="BC1120" s="526"/>
      <c r="BD1120" s="1123">
        <v>286.75</v>
      </c>
      <c r="BE1120" s="526"/>
      <c r="BF1120" s="526"/>
      <c r="BG1120" s="526"/>
      <c r="BH1120" s="526"/>
      <c r="BI1120" s="1123">
        <v>286.75</v>
      </c>
      <c r="BJ1120" s="526"/>
      <c r="BK1120" s="526"/>
      <c r="BL1120" s="526"/>
      <c r="BM1120" s="526"/>
      <c r="BN1120" s="1123">
        <v>286.75</v>
      </c>
      <c r="BO1120" s="526"/>
      <c r="BP1120" s="526"/>
      <c r="BQ1120" s="526"/>
      <c r="BR1120" s="526"/>
      <c r="BS1120" s="1124"/>
      <c r="BT1120" s="729"/>
      <c r="BU1120" s="526"/>
      <c r="BV1120" s="526"/>
      <c r="BW1120" s="526"/>
      <c r="BX1120" s="1124"/>
      <c r="BY1120" s="526"/>
      <c r="BZ1120" s="526"/>
      <c r="CA1120" s="526"/>
      <c r="CB1120" s="526"/>
      <c r="CC1120" s="1124"/>
      <c r="CD1120" s="1124"/>
      <c r="CE1120" s="1124"/>
      <c r="CF1120" s="1124"/>
      <c r="CG1120" s="533"/>
    </row>
    <row r="1121" spans="1:85" s="614" customFormat="1" x14ac:dyDescent="0.3">
      <c r="A1121" s="522"/>
      <c r="B1121" s="352"/>
      <c r="C1121" s="1094"/>
      <c r="D1121" s="1094"/>
      <c r="E1121" s="1094"/>
      <c r="F1121" s="1094"/>
      <c r="G1121" s="197"/>
      <c r="H1121" s="197"/>
      <c r="I1121" s="197"/>
      <c r="J1121" s="197"/>
      <c r="K1121" s="1094"/>
      <c r="L1121" s="197"/>
      <c r="M1121" s="197"/>
      <c r="N1121" s="197"/>
      <c r="O1121" s="197"/>
      <c r="P1121" s="1094"/>
      <c r="Q1121" s="197"/>
      <c r="R1121" s="197"/>
      <c r="S1121" s="197"/>
      <c r="T1121" s="197"/>
      <c r="U1121" s="1094"/>
      <c r="V1121" s="197"/>
      <c r="W1121" s="197"/>
      <c r="X1121" s="197"/>
      <c r="Y1121" s="197"/>
      <c r="Z1121" s="1094"/>
      <c r="AA1121" s="197"/>
      <c r="AB1121" s="197"/>
      <c r="AC1121" s="197"/>
      <c r="AD1121" s="197"/>
      <c r="AE1121" s="1094"/>
      <c r="AF1121" s="197"/>
      <c r="AG1121" s="197"/>
      <c r="AH1121" s="197"/>
      <c r="AI1121" s="197"/>
      <c r="AJ1121" s="1094"/>
      <c r="AK1121" s="197"/>
      <c r="AL1121" s="197"/>
      <c r="AM1121" s="197"/>
      <c r="AN1121" s="197"/>
      <c r="AO1121" s="1094"/>
      <c r="AP1121" s="197"/>
      <c r="AQ1121" s="197"/>
      <c r="AR1121" s="197"/>
      <c r="AS1121" s="197"/>
      <c r="AT1121" s="198"/>
      <c r="AU1121" s="197"/>
      <c r="AV1121" s="197"/>
      <c r="AW1121" s="197"/>
      <c r="AX1121" s="197"/>
      <c r="AY1121" s="198"/>
      <c r="AZ1121" s="197"/>
      <c r="BA1121" s="197"/>
      <c r="BB1121" s="197"/>
      <c r="BC1121" s="197"/>
      <c r="BD1121" s="198"/>
      <c r="BE1121" s="197"/>
      <c r="BF1121" s="197"/>
      <c r="BG1121" s="197"/>
      <c r="BH1121" s="197"/>
      <c r="BI1121" s="198"/>
      <c r="BJ1121" s="197"/>
      <c r="BK1121" s="197"/>
      <c r="BL1121" s="197"/>
      <c r="BM1121" s="197"/>
      <c r="BN1121" s="198"/>
      <c r="BO1121" s="197"/>
      <c r="BP1121" s="197"/>
      <c r="BQ1121" s="197"/>
      <c r="BR1121" s="197"/>
      <c r="BS1121" s="198"/>
      <c r="BT1121" s="727"/>
      <c r="BU1121" s="197"/>
      <c r="BV1121" s="197"/>
      <c r="BW1121" s="197"/>
      <c r="BX1121" s="1094"/>
      <c r="BY1121" s="197"/>
      <c r="BZ1121" s="197"/>
      <c r="CA1121" s="197"/>
      <c r="CB1121" s="197"/>
      <c r="CC1121" s="1094"/>
      <c r="CD1121" s="1094"/>
      <c r="CE1121" s="1094"/>
      <c r="CF1121" s="1094"/>
      <c r="CG1121" s="349"/>
    </row>
    <row r="1122" spans="1:85" s="613" customFormat="1" x14ac:dyDescent="0.3">
      <c r="A1122" s="478" t="s">
        <v>1348</v>
      </c>
      <c r="B1122" s="523"/>
      <c r="C1122" s="78"/>
      <c r="D1122" s="78"/>
      <c r="E1122" s="78"/>
      <c r="F1122" s="78"/>
      <c r="G1122" s="774"/>
      <c r="H1122" s="774"/>
      <c r="I1122" s="774"/>
      <c r="J1122" s="774"/>
      <c r="K1122" s="78"/>
      <c r="L1122" s="774"/>
      <c r="M1122" s="774"/>
      <c r="N1122" s="774"/>
      <c r="O1122" s="774"/>
      <c r="P1122" s="78"/>
      <c r="Q1122" s="774"/>
      <c r="R1122" s="774"/>
      <c r="S1122" s="774"/>
      <c r="T1122" s="774"/>
      <c r="U1122" s="78"/>
      <c r="V1122" s="774"/>
      <c r="W1122" s="774"/>
      <c r="X1122" s="774"/>
      <c r="Y1122" s="774"/>
      <c r="Z1122" s="78"/>
      <c r="AA1122" s="774"/>
      <c r="AB1122" s="774"/>
      <c r="AC1122" s="774"/>
      <c r="AD1122" s="774"/>
      <c r="AE1122" s="78"/>
      <c r="AF1122" s="774"/>
      <c r="AG1122" s="774"/>
      <c r="AH1122" s="774"/>
      <c r="AI1122" s="774"/>
      <c r="AJ1122" s="78"/>
      <c r="AK1122" s="774"/>
      <c r="AL1122" s="774"/>
      <c r="AM1122" s="774"/>
      <c r="AN1122" s="774"/>
      <c r="AO1122" s="78"/>
      <c r="AP1122" s="774"/>
      <c r="AQ1122" s="774"/>
      <c r="AR1122" s="774"/>
      <c r="AS1122" s="774"/>
      <c r="AT1122" s="78"/>
      <c r="AU1122" s="774"/>
      <c r="AV1122" s="774"/>
      <c r="AW1122" s="774"/>
      <c r="AX1122" s="774"/>
      <c r="AY1122" s="78"/>
      <c r="AZ1122" s="774"/>
      <c r="BA1122" s="774"/>
      <c r="BB1122" s="774"/>
      <c r="BC1122" s="774"/>
      <c r="BD1122" s="1119">
        <v>4.601</v>
      </c>
      <c r="BE1122" s="774"/>
      <c r="BF1122" s="774"/>
      <c r="BG1122" s="774"/>
      <c r="BH1122" s="774"/>
      <c r="BI1122" s="1119">
        <v>4.601</v>
      </c>
      <c r="BJ1122" s="774"/>
      <c r="BK1122" s="774"/>
      <c r="BL1122" s="774"/>
      <c r="BM1122" s="774"/>
      <c r="BN1122" s="1119">
        <v>4.601</v>
      </c>
      <c r="BO1122" s="774"/>
      <c r="BP1122" s="774"/>
      <c r="BQ1122" s="774"/>
      <c r="BR1122" s="774"/>
      <c r="BS1122" s="78"/>
      <c r="BT1122" s="775"/>
      <c r="BU1122" s="774"/>
      <c r="BV1122" s="774"/>
      <c r="BW1122" s="774"/>
      <c r="BX1122" s="78"/>
      <c r="BY1122" s="774"/>
      <c r="BZ1122" s="774"/>
      <c r="CA1122" s="774"/>
      <c r="CB1122" s="774"/>
      <c r="CC1122" s="78"/>
      <c r="CD1122" s="78"/>
      <c r="CE1122" s="78"/>
      <c r="CF1122" s="78"/>
      <c r="CG1122" s="532"/>
    </row>
    <row r="1123" spans="1:85" s="616" customFormat="1" x14ac:dyDescent="0.3">
      <c r="A1123" s="522" t="s">
        <v>1347</v>
      </c>
      <c r="B1123" s="527"/>
      <c r="C1123" s="1124"/>
      <c r="D1123" s="1124"/>
      <c r="E1123" s="1124"/>
      <c r="F1123" s="1124"/>
      <c r="G1123" s="526"/>
      <c r="H1123" s="526"/>
      <c r="I1123" s="526"/>
      <c r="J1123" s="526"/>
      <c r="K1123" s="1124"/>
      <c r="L1123" s="526"/>
      <c r="M1123" s="526"/>
      <c r="N1123" s="526"/>
      <c r="O1123" s="526"/>
      <c r="P1123" s="1124"/>
      <c r="Q1123" s="526"/>
      <c r="R1123" s="526"/>
      <c r="S1123" s="526"/>
      <c r="T1123" s="526"/>
      <c r="U1123" s="1124"/>
      <c r="V1123" s="526"/>
      <c r="W1123" s="526"/>
      <c r="X1123" s="526"/>
      <c r="Y1123" s="526"/>
      <c r="Z1123" s="1124"/>
      <c r="AA1123" s="526"/>
      <c r="AB1123" s="526"/>
      <c r="AC1123" s="526"/>
      <c r="AD1123" s="526"/>
      <c r="AE1123" s="1124"/>
      <c r="AF1123" s="526"/>
      <c r="AG1123" s="526"/>
      <c r="AH1123" s="526"/>
      <c r="AI1123" s="526"/>
      <c r="AJ1123" s="1124"/>
      <c r="AK1123" s="526"/>
      <c r="AL1123" s="526"/>
      <c r="AM1123" s="526"/>
      <c r="AN1123" s="526"/>
      <c r="AO1123" s="1124"/>
      <c r="AP1123" s="526"/>
      <c r="AQ1123" s="526"/>
      <c r="AR1123" s="526"/>
      <c r="AS1123" s="526"/>
      <c r="AT1123" s="1124"/>
      <c r="AU1123" s="526"/>
      <c r="AV1123" s="526"/>
      <c r="AW1123" s="526"/>
      <c r="AX1123" s="526"/>
      <c r="AY1123" s="1124"/>
      <c r="AZ1123" s="526"/>
      <c r="BA1123" s="526"/>
      <c r="BB1123" s="526"/>
      <c r="BC1123" s="526"/>
      <c r="BD1123" s="1123">
        <v>316.95</v>
      </c>
      <c r="BE1123" s="526"/>
      <c r="BF1123" s="526"/>
      <c r="BG1123" s="526"/>
      <c r="BH1123" s="526"/>
      <c r="BI1123" s="1123">
        <v>316.95</v>
      </c>
      <c r="BJ1123" s="526"/>
      <c r="BK1123" s="526"/>
      <c r="BL1123" s="526"/>
      <c r="BM1123" s="526"/>
      <c r="BN1123" s="1123">
        <v>316.95</v>
      </c>
      <c r="BO1123" s="526"/>
      <c r="BP1123" s="526"/>
      <c r="BQ1123" s="526"/>
      <c r="BR1123" s="526"/>
      <c r="BS1123" s="1124"/>
      <c r="BT1123" s="729"/>
      <c r="BU1123" s="526"/>
      <c r="BV1123" s="526"/>
      <c r="BW1123" s="526"/>
      <c r="BX1123" s="1124"/>
      <c r="BY1123" s="526"/>
      <c r="BZ1123" s="526"/>
      <c r="CA1123" s="526"/>
      <c r="CB1123" s="526"/>
      <c r="CC1123" s="1124"/>
      <c r="CD1123" s="1124"/>
      <c r="CE1123" s="1124"/>
      <c r="CF1123" s="1124"/>
      <c r="CG1123" s="533"/>
    </row>
    <row r="1124" spans="1:85" s="616" customFormat="1" x14ac:dyDescent="0.3">
      <c r="A1124" s="522"/>
      <c r="B1124" s="527"/>
      <c r="C1124" s="1124"/>
      <c r="D1124" s="1124"/>
      <c r="E1124" s="1124"/>
      <c r="F1124" s="1124"/>
      <c r="G1124" s="526"/>
      <c r="H1124" s="526"/>
      <c r="I1124" s="526"/>
      <c r="J1124" s="526"/>
      <c r="K1124" s="1124"/>
      <c r="L1124" s="526"/>
      <c r="M1124" s="526"/>
      <c r="N1124" s="526"/>
      <c r="O1124" s="526"/>
      <c r="P1124" s="1124"/>
      <c r="Q1124" s="526"/>
      <c r="R1124" s="526"/>
      <c r="S1124" s="526"/>
      <c r="T1124" s="526"/>
      <c r="U1124" s="1124"/>
      <c r="V1124" s="526"/>
      <c r="W1124" s="526"/>
      <c r="X1124" s="526"/>
      <c r="Y1124" s="526"/>
      <c r="Z1124" s="1124"/>
      <c r="AA1124" s="526"/>
      <c r="AB1124" s="526"/>
      <c r="AC1124" s="526"/>
      <c r="AD1124" s="526"/>
      <c r="AE1124" s="1124"/>
      <c r="AF1124" s="526"/>
      <c r="AG1124" s="526"/>
      <c r="AH1124" s="526"/>
      <c r="AI1124" s="526"/>
      <c r="AJ1124" s="1124"/>
      <c r="AK1124" s="526"/>
      <c r="AL1124" s="526"/>
      <c r="AM1124" s="526"/>
      <c r="AN1124" s="526"/>
      <c r="AO1124" s="1124"/>
      <c r="AP1124" s="526"/>
      <c r="AQ1124" s="526"/>
      <c r="AR1124" s="526"/>
      <c r="AS1124" s="526"/>
      <c r="AT1124" s="1124"/>
      <c r="AU1124" s="526"/>
      <c r="AV1124" s="526"/>
      <c r="AW1124" s="526"/>
      <c r="AX1124" s="526"/>
      <c r="AY1124" s="1124"/>
      <c r="AZ1124" s="526"/>
      <c r="BA1124" s="526"/>
      <c r="BB1124" s="526"/>
      <c r="BC1124" s="526"/>
      <c r="BD1124" s="1124"/>
      <c r="BE1124" s="526"/>
      <c r="BF1124" s="526"/>
      <c r="BG1124" s="526"/>
      <c r="BH1124" s="526"/>
      <c r="BI1124" s="1124"/>
      <c r="BJ1124" s="526"/>
      <c r="BK1124" s="526"/>
      <c r="BL1124" s="526"/>
      <c r="BM1124" s="526"/>
      <c r="BN1124" s="1124"/>
      <c r="BO1124" s="526"/>
      <c r="BP1124" s="526"/>
      <c r="BQ1124" s="526"/>
      <c r="BR1124" s="526"/>
      <c r="BS1124" s="1124"/>
      <c r="BT1124" s="729"/>
      <c r="BU1124" s="526"/>
      <c r="BV1124" s="526"/>
      <c r="BW1124" s="526"/>
      <c r="BX1124" s="1124"/>
      <c r="BY1124" s="526"/>
      <c r="BZ1124" s="526"/>
      <c r="CA1124" s="526"/>
      <c r="CB1124" s="526"/>
      <c r="CC1124" s="1124"/>
      <c r="CD1124" s="1124"/>
      <c r="CE1124" s="1124"/>
      <c r="CF1124" s="1124"/>
      <c r="CG1124" s="533"/>
    </row>
    <row r="1125" spans="1:85" s="613" customFormat="1" x14ac:dyDescent="0.3">
      <c r="A1125" s="478" t="s">
        <v>2053</v>
      </c>
      <c r="B1125" s="523"/>
      <c r="C1125" s="78"/>
      <c r="D1125" s="78"/>
      <c r="E1125" s="78"/>
      <c r="F1125" s="78"/>
      <c r="G1125" s="774"/>
      <c r="H1125" s="774"/>
      <c r="I1125" s="774"/>
      <c r="J1125" s="774"/>
      <c r="K1125" s="78"/>
      <c r="L1125" s="774"/>
      <c r="M1125" s="774"/>
      <c r="N1125" s="774"/>
      <c r="O1125" s="774"/>
      <c r="P1125" s="78"/>
      <c r="Q1125" s="774"/>
      <c r="R1125" s="774"/>
      <c r="S1125" s="774"/>
      <c r="T1125" s="774"/>
      <c r="U1125" s="78"/>
      <c r="V1125" s="774"/>
      <c r="W1125" s="774"/>
      <c r="X1125" s="774"/>
      <c r="Y1125" s="774"/>
      <c r="Z1125" s="78"/>
      <c r="AA1125" s="774"/>
      <c r="AB1125" s="774"/>
      <c r="AC1125" s="774"/>
      <c r="AD1125" s="774"/>
      <c r="AE1125" s="78"/>
      <c r="AF1125" s="774"/>
      <c r="AG1125" s="774"/>
      <c r="AH1125" s="774"/>
      <c r="AI1125" s="774"/>
      <c r="AJ1125" s="78"/>
      <c r="AK1125" s="774"/>
      <c r="AL1125" s="774"/>
      <c r="AM1125" s="774"/>
      <c r="AN1125" s="774"/>
      <c r="AO1125" s="78"/>
      <c r="AP1125" s="774"/>
      <c r="AQ1125" s="774"/>
      <c r="AR1125" s="774"/>
      <c r="AS1125" s="774"/>
      <c r="AT1125" s="78"/>
      <c r="AU1125" s="774"/>
      <c r="AV1125" s="774"/>
      <c r="AW1125" s="774"/>
      <c r="AX1125" s="774"/>
      <c r="AY1125" s="78"/>
      <c r="AZ1125" s="774"/>
      <c r="BA1125" s="774"/>
      <c r="BB1125" s="774"/>
      <c r="BC1125" s="774"/>
      <c r="BD1125" s="78"/>
      <c r="BE1125" s="774"/>
      <c r="BF1125" s="774"/>
      <c r="BG1125" s="774"/>
      <c r="BH1125" s="774"/>
      <c r="BI1125" s="1119">
        <v>4.944</v>
      </c>
      <c r="BJ1125" s="774"/>
      <c r="BK1125" s="774"/>
      <c r="BL1125" s="774"/>
      <c r="BM1125" s="774"/>
      <c r="BN1125" s="1119">
        <v>4.944</v>
      </c>
      <c r="BO1125" s="774"/>
      <c r="BP1125" s="774"/>
      <c r="BQ1125" s="774"/>
      <c r="BR1125" s="774"/>
      <c r="BS1125" s="78"/>
      <c r="BT1125" s="775"/>
      <c r="BU1125" s="774"/>
      <c r="BV1125" s="774"/>
      <c r="BW1125" s="774"/>
      <c r="BX1125" s="78"/>
      <c r="BY1125" s="774"/>
      <c r="BZ1125" s="774"/>
      <c r="CA1125" s="774"/>
      <c r="CB1125" s="774"/>
      <c r="CC1125" s="78"/>
      <c r="CD1125" s="78"/>
      <c r="CE1125" s="78"/>
      <c r="CF1125" s="78"/>
      <c r="CG1125" s="532"/>
    </row>
    <row r="1126" spans="1:85" s="616" customFormat="1" x14ac:dyDescent="0.3">
      <c r="A1126" s="522" t="s">
        <v>2054</v>
      </c>
      <c r="B1126" s="527"/>
      <c r="C1126" s="1124"/>
      <c r="D1126" s="1124"/>
      <c r="E1126" s="1124"/>
      <c r="F1126" s="1124"/>
      <c r="G1126" s="526"/>
      <c r="H1126" s="526"/>
      <c r="I1126" s="526"/>
      <c r="J1126" s="526"/>
      <c r="K1126" s="1124"/>
      <c r="L1126" s="526"/>
      <c r="M1126" s="526"/>
      <c r="N1126" s="526"/>
      <c r="O1126" s="526"/>
      <c r="P1126" s="1124"/>
      <c r="Q1126" s="526"/>
      <c r="R1126" s="526"/>
      <c r="S1126" s="526"/>
      <c r="T1126" s="526"/>
      <c r="U1126" s="1124"/>
      <c r="V1126" s="526"/>
      <c r="W1126" s="526"/>
      <c r="X1126" s="526"/>
      <c r="Y1126" s="526"/>
      <c r="Z1126" s="1124"/>
      <c r="AA1126" s="526"/>
      <c r="AB1126" s="526"/>
      <c r="AC1126" s="526"/>
      <c r="AD1126" s="526"/>
      <c r="AE1126" s="1124"/>
      <c r="AF1126" s="526"/>
      <c r="AG1126" s="526"/>
      <c r="AH1126" s="526"/>
      <c r="AI1126" s="526"/>
      <c r="AJ1126" s="1124"/>
      <c r="AK1126" s="526"/>
      <c r="AL1126" s="526"/>
      <c r="AM1126" s="526"/>
      <c r="AN1126" s="526"/>
      <c r="AO1126" s="1124"/>
      <c r="AP1126" s="526"/>
      <c r="AQ1126" s="526"/>
      <c r="AR1126" s="526"/>
      <c r="AS1126" s="526"/>
      <c r="AT1126" s="1124"/>
      <c r="AU1126" s="526"/>
      <c r="AV1126" s="526"/>
      <c r="AW1126" s="526"/>
      <c r="AX1126" s="526"/>
      <c r="AY1126" s="1124"/>
      <c r="AZ1126" s="526"/>
      <c r="BA1126" s="526"/>
      <c r="BB1126" s="526"/>
      <c r="BC1126" s="526"/>
      <c r="BD1126" s="1124"/>
      <c r="BE1126" s="526"/>
      <c r="BF1126" s="526"/>
      <c r="BG1126" s="526"/>
      <c r="BH1126" s="526"/>
      <c r="BI1126" s="1123">
        <v>294.95</v>
      </c>
      <c r="BJ1126" s="526"/>
      <c r="BK1126" s="526"/>
      <c r="BL1126" s="526"/>
      <c r="BM1126" s="526"/>
      <c r="BN1126" s="1123">
        <v>294.95</v>
      </c>
      <c r="BO1126" s="526"/>
      <c r="BP1126" s="526"/>
      <c r="BQ1126" s="526"/>
      <c r="BR1126" s="526"/>
      <c r="BS1126" s="1124"/>
      <c r="BT1126" s="729"/>
      <c r="BU1126" s="526"/>
      <c r="BV1126" s="526"/>
      <c r="BW1126" s="526"/>
      <c r="BX1126" s="1124"/>
      <c r="BY1126" s="526"/>
      <c r="BZ1126" s="526"/>
      <c r="CA1126" s="526"/>
      <c r="CB1126" s="526"/>
      <c r="CC1126" s="1124"/>
      <c r="CD1126" s="1124"/>
      <c r="CE1126" s="1124"/>
      <c r="CF1126" s="1124"/>
      <c r="CG1126" s="533"/>
    </row>
    <row r="1127" spans="1:85" s="616" customFormat="1" x14ac:dyDescent="0.3">
      <c r="A1127" s="522"/>
      <c r="B1127" s="527"/>
      <c r="C1127" s="1124"/>
      <c r="D1127" s="1124"/>
      <c r="E1127" s="1124"/>
      <c r="F1127" s="1124"/>
      <c r="G1127" s="526"/>
      <c r="H1127" s="526"/>
      <c r="I1127" s="526"/>
      <c r="J1127" s="526"/>
      <c r="K1127" s="1124"/>
      <c r="L1127" s="526"/>
      <c r="M1127" s="526"/>
      <c r="N1127" s="526"/>
      <c r="O1127" s="526"/>
      <c r="P1127" s="1124"/>
      <c r="Q1127" s="526"/>
      <c r="R1127" s="526"/>
      <c r="S1127" s="526"/>
      <c r="T1127" s="526"/>
      <c r="U1127" s="1124"/>
      <c r="V1127" s="526"/>
      <c r="W1127" s="526"/>
      <c r="X1127" s="526"/>
      <c r="Y1127" s="526"/>
      <c r="Z1127" s="1124"/>
      <c r="AA1127" s="526"/>
      <c r="AB1127" s="526"/>
      <c r="AC1127" s="526"/>
      <c r="AD1127" s="526"/>
      <c r="AE1127" s="1124"/>
      <c r="AF1127" s="526"/>
      <c r="AG1127" s="526"/>
      <c r="AH1127" s="526"/>
      <c r="AI1127" s="526"/>
      <c r="AJ1127" s="1124"/>
      <c r="AK1127" s="526"/>
      <c r="AL1127" s="526"/>
      <c r="AM1127" s="526"/>
      <c r="AN1127" s="526"/>
      <c r="AO1127" s="1124"/>
      <c r="AP1127" s="526"/>
      <c r="AQ1127" s="526"/>
      <c r="AR1127" s="526"/>
      <c r="AS1127" s="526"/>
      <c r="AT1127" s="1124"/>
      <c r="AU1127" s="526"/>
      <c r="AV1127" s="526"/>
      <c r="AW1127" s="526"/>
      <c r="AX1127" s="526"/>
      <c r="AY1127" s="1124"/>
      <c r="AZ1127" s="526"/>
      <c r="BA1127" s="526"/>
      <c r="BB1127" s="526"/>
      <c r="BC1127" s="526"/>
      <c r="BD1127" s="1124"/>
      <c r="BE1127" s="526"/>
      <c r="BF1127" s="526"/>
      <c r="BG1127" s="526"/>
      <c r="BH1127" s="526"/>
      <c r="BI1127" s="1124"/>
      <c r="BJ1127" s="526"/>
      <c r="BK1127" s="526"/>
      <c r="BL1127" s="526"/>
      <c r="BM1127" s="526"/>
      <c r="BN1127" s="1124"/>
      <c r="BO1127" s="526"/>
      <c r="BP1127" s="526"/>
      <c r="BQ1127" s="526"/>
      <c r="BR1127" s="526"/>
      <c r="BS1127" s="1124"/>
      <c r="BT1127" s="729"/>
      <c r="BU1127" s="526"/>
      <c r="BV1127" s="526"/>
      <c r="BW1127" s="526"/>
      <c r="BX1127" s="1124"/>
      <c r="BY1127" s="526"/>
      <c r="BZ1127" s="526"/>
      <c r="CA1127" s="526"/>
      <c r="CB1127" s="526"/>
      <c r="CC1127" s="1124"/>
      <c r="CD1127" s="1124"/>
      <c r="CE1127" s="1124"/>
      <c r="CF1127" s="1124"/>
      <c r="CG1127" s="533"/>
    </row>
    <row r="1128" spans="1:85" s="613" customFormat="1" x14ac:dyDescent="0.3">
      <c r="A1128" s="478" t="s">
        <v>2055</v>
      </c>
      <c r="B1128" s="523"/>
      <c r="C1128" s="78"/>
      <c r="D1128" s="78"/>
      <c r="E1128" s="78"/>
      <c r="F1128" s="78"/>
      <c r="G1128" s="774"/>
      <c r="H1128" s="774"/>
      <c r="I1128" s="774"/>
      <c r="J1128" s="774"/>
      <c r="K1128" s="78"/>
      <c r="L1128" s="774"/>
      <c r="M1128" s="774"/>
      <c r="N1128" s="774"/>
      <c r="O1128" s="774"/>
      <c r="P1128" s="78"/>
      <c r="Q1128" s="774"/>
      <c r="R1128" s="774"/>
      <c r="S1128" s="774"/>
      <c r="T1128" s="774"/>
      <c r="U1128" s="78"/>
      <c r="V1128" s="774"/>
      <c r="W1128" s="774"/>
      <c r="X1128" s="774"/>
      <c r="Y1128" s="774"/>
      <c r="Z1128" s="78"/>
      <c r="AA1128" s="774"/>
      <c r="AB1128" s="774"/>
      <c r="AC1128" s="774"/>
      <c r="AD1128" s="774"/>
      <c r="AE1128" s="78"/>
      <c r="AF1128" s="774"/>
      <c r="AG1128" s="774"/>
      <c r="AH1128" s="774"/>
      <c r="AI1128" s="774"/>
      <c r="AJ1128" s="78"/>
      <c r="AK1128" s="774"/>
      <c r="AL1128" s="774"/>
      <c r="AM1128" s="774"/>
      <c r="AN1128" s="774"/>
      <c r="AO1128" s="78"/>
      <c r="AP1128" s="774"/>
      <c r="AQ1128" s="774"/>
      <c r="AR1128" s="774"/>
      <c r="AS1128" s="774"/>
      <c r="AT1128" s="78"/>
      <c r="AU1128" s="774"/>
      <c r="AV1128" s="774"/>
      <c r="AW1128" s="774"/>
      <c r="AX1128" s="774"/>
      <c r="AY1128" s="78"/>
      <c r="AZ1128" s="774"/>
      <c r="BA1128" s="774"/>
      <c r="BB1128" s="774"/>
      <c r="BC1128" s="774"/>
      <c r="BD1128" s="78"/>
      <c r="BE1128" s="774"/>
      <c r="BF1128" s="774"/>
      <c r="BG1128" s="774"/>
      <c r="BH1128" s="774"/>
      <c r="BI1128" s="1119">
        <v>4.0289999999999999</v>
      </c>
      <c r="BJ1128" s="774"/>
      <c r="BK1128" s="774"/>
      <c r="BL1128" s="774"/>
      <c r="BM1128" s="774"/>
      <c r="BN1128" s="1119">
        <v>4.0289999999999999</v>
      </c>
      <c r="BO1128" s="774"/>
      <c r="BP1128" s="774"/>
      <c r="BQ1128" s="774"/>
      <c r="BR1128" s="774"/>
      <c r="BS1128" s="78"/>
      <c r="BT1128" s="775"/>
      <c r="BU1128" s="774"/>
      <c r="BV1128" s="774"/>
      <c r="BW1128" s="774"/>
      <c r="BX1128" s="78"/>
      <c r="BY1128" s="774"/>
      <c r="BZ1128" s="774"/>
      <c r="CA1128" s="774"/>
      <c r="CB1128" s="774"/>
      <c r="CC1128" s="78"/>
      <c r="CD1128" s="78"/>
      <c r="CE1128" s="78"/>
      <c r="CF1128" s="78"/>
      <c r="CG1128" s="532"/>
    </row>
    <row r="1129" spans="1:85" s="616" customFormat="1" x14ac:dyDescent="0.3">
      <c r="A1129" s="522" t="s">
        <v>2056</v>
      </c>
      <c r="B1129" s="527"/>
      <c r="C1129" s="1124"/>
      <c r="D1129" s="1124"/>
      <c r="E1129" s="1124"/>
      <c r="F1129" s="1124"/>
      <c r="G1129" s="526"/>
      <c r="H1129" s="526"/>
      <c r="I1129" s="526"/>
      <c r="J1129" s="526"/>
      <c r="K1129" s="1124"/>
      <c r="L1129" s="526"/>
      <c r="M1129" s="526"/>
      <c r="N1129" s="526"/>
      <c r="O1129" s="526"/>
      <c r="P1129" s="1124"/>
      <c r="Q1129" s="526"/>
      <c r="R1129" s="526"/>
      <c r="S1129" s="526"/>
      <c r="T1129" s="526"/>
      <c r="U1129" s="1124"/>
      <c r="V1129" s="526"/>
      <c r="W1129" s="526"/>
      <c r="X1129" s="526"/>
      <c r="Y1129" s="526"/>
      <c r="Z1129" s="1124"/>
      <c r="AA1129" s="526"/>
      <c r="AB1129" s="526"/>
      <c r="AC1129" s="526"/>
      <c r="AD1129" s="526"/>
      <c r="AE1129" s="1124"/>
      <c r="AF1129" s="526"/>
      <c r="AG1129" s="526"/>
      <c r="AH1129" s="526"/>
      <c r="AI1129" s="526"/>
      <c r="AJ1129" s="1124"/>
      <c r="AK1129" s="526"/>
      <c r="AL1129" s="526"/>
      <c r="AM1129" s="526"/>
      <c r="AN1129" s="526"/>
      <c r="AO1129" s="1124"/>
      <c r="AP1129" s="526"/>
      <c r="AQ1129" s="526"/>
      <c r="AR1129" s="526"/>
      <c r="AS1129" s="526"/>
      <c r="AT1129" s="1124"/>
      <c r="AU1129" s="526"/>
      <c r="AV1129" s="526"/>
      <c r="AW1129" s="526"/>
      <c r="AX1129" s="526"/>
      <c r="AY1129" s="1124"/>
      <c r="AZ1129" s="526"/>
      <c r="BA1129" s="526"/>
      <c r="BB1129" s="526"/>
      <c r="BC1129" s="526"/>
      <c r="BD1129" s="1124"/>
      <c r="BE1129" s="526"/>
      <c r="BF1129" s="526"/>
      <c r="BG1129" s="526"/>
      <c r="BH1129" s="526"/>
      <c r="BI1129" s="1123">
        <v>361.99</v>
      </c>
      <c r="BJ1129" s="526"/>
      <c r="BK1129" s="526"/>
      <c r="BL1129" s="526"/>
      <c r="BM1129" s="526"/>
      <c r="BN1129" s="1123">
        <v>361.99</v>
      </c>
      <c r="BO1129" s="526"/>
      <c r="BP1129" s="526"/>
      <c r="BQ1129" s="526"/>
      <c r="BR1129" s="526"/>
      <c r="BS1129" s="1124"/>
      <c r="BT1129" s="729"/>
      <c r="BU1129" s="526"/>
      <c r="BV1129" s="526"/>
      <c r="BW1129" s="526"/>
      <c r="BX1129" s="1124"/>
      <c r="BY1129" s="526"/>
      <c r="BZ1129" s="526"/>
      <c r="CA1129" s="526"/>
      <c r="CB1129" s="526"/>
      <c r="CC1129" s="1124"/>
      <c r="CD1129" s="1124"/>
      <c r="CE1129" s="1124"/>
      <c r="CF1129" s="1124"/>
      <c r="CG1129" s="533"/>
    </row>
    <row r="1130" spans="1:85" s="616" customFormat="1" x14ac:dyDescent="0.3">
      <c r="A1130" s="522"/>
      <c r="B1130" s="527"/>
      <c r="C1130" s="1124"/>
      <c r="D1130" s="1124"/>
      <c r="E1130" s="1124"/>
      <c r="F1130" s="1124"/>
      <c r="G1130" s="526"/>
      <c r="H1130" s="526"/>
      <c r="I1130" s="526"/>
      <c r="J1130" s="526"/>
      <c r="K1130" s="1124"/>
      <c r="L1130" s="526"/>
      <c r="M1130" s="526"/>
      <c r="N1130" s="526"/>
      <c r="O1130" s="526"/>
      <c r="P1130" s="1124"/>
      <c r="Q1130" s="526"/>
      <c r="R1130" s="526"/>
      <c r="S1130" s="526"/>
      <c r="T1130" s="526"/>
      <c r="U1130" s="1124"/>
      <c r="V1130" s="526"/>
      <c r="W1130" s="526"/>
      <c r="X1130" s="526"/>
      <c r="Y1130" s="526"/>
      <c r="Z1130" s="1124"/>
      <c r="AA1130" s="526"/>
      <c r="AB1130" s="526"/>
      <c r="AC1130" s="526"/>
      <c r="AD1130" s="526"/>
      <c r="AE1130" s="1124"/>
      <c r="AF1130" s="526"/>
      <c r="AG1130" s="526"/>
      <c r="AH1130" s="526"/>
      <c r="AI1130" s="526"/>
      <c r="AJ1130" s="1124"/>
      <c r="AK1130" s="526"/>
      <c r="AL1130" s="526"/>
      <c r="AM1130" s="526"/>
      <c r="AN1130" s="526"/>
      <c r="AO1130" s="1124"/>
      <c r="AP1130" s="526"/>
      <c r="AQ1130" s="526"/>
      <c r="AR1130" s="526"/>
      <c r="AS1130" s="526"/>
      <c r="AT1130" s="1124"/>
      <c r="AU1130" s="526"/>
      <c r="AV1130" s="526"/>
      <c r="AW1130" s="526"/>
      <c r="AX1130" s="526"/>
      <c r="AY1130" s="1124"/>
      <c r="AZ1130" s="526"/>
      <c r="BA1130" s="526"/>
      <c r="BB1130" s="526"/>
      <c r="BC1130" s="526"/>
      <c r="BD1130" s="1124"/>
      <c r="BE1130" s="526"/>
      <c r="BF1130" s="526"/>
      <c r="BG1130" s="526"/>
      <c r="BH1130" s="526"/>
      <c r="BI1130" s="1124"/>
      <c r="BJ1130" s="526"/>
      <c r="BK1130" s="526"/>
      <c r="BL1130" s="526"/>
      <c r="BM1130" s="526"/>
      <c r="BN1130" s="1124"/>
      <c r="BO1130" s="526"/>
      <c r="BP1130" s="526"/>
      <c r="BQ1130" s="526"/>
      <c r="BR1130" s="526"/>
      <c r="BS1130" s="1124"/>
      <c r="BT1130" s="729"/>
      <c r="BU1130" s="526"/>
      <c r="BV1130" s="526"/>
      <c r="BW1130" s="526"/>
      <c r="BX1130" s="1124"/>
      <c r="BY1130" s="526"/>
      <c r="BZ1130" s="526"/>
      <c r="CA1130" s="526"/>
      <c r="CB1130" s="526"/>
      <c r="CC1130" s="1124"/>
      <c r="CD1130" s="1124"/>
      <c r="CE1130" s="1124"/>
      <c r="CF1130" s="1124"/>
      <c r="CG1130" s="533"/>
    </row>
    <row r="1131" spans="1:85" s="613" customFormat="1" x14ac:dyDescent="0.3">
      <c r="A1131" s="478" t="s">
        <v>2057</v>
      </c>
      <c r="B1131" s="523"/>
      <c r="C1131" s="78"/>
      <c r="D1131" s="78"/>
      <c r="E1131" s="78"/>
      <c r="F1131" s="78"/>
      <c r="G1131" s="774"/>
      <c r="H1131" s="774"/>
      <c r="I1131" s="774"/>
      <c r="J1131" s="774"/>
      <c r="K1131" s="78"/>
      <c r="L1131" s="774"/>
      <c r="M1131" s="774"/>
      <c r="N1131" s="774"/>
      <c r="O1131" s="774"/>
      <c r="P1131" s="78"/>
      <c r="Q1131" s="774"/>
      <c r="R1131" s="774"/>
      <c r="S1131" s="774"/>
      <c r="T1131" s="774"/>
      <c r="U1131" s="78"/>
      <c r="V1131" s="774"/>
      <c r="W1131" s="774"/>
      <c r="X1131" s="774"/>
      <c r="Y1131" s="774"/>
      <c r="Z1131" s="78"/>
      <c r="AA1131" s="774"/>
      <c r="AB1131" s="774"/>
      <c r="AC1131" s="774"/>
      <c r="AD1131" s="774"/>
      <c r="AE1131" s="78"/>
      <c r="AF1131" s="774"/>
      <c r="AG1131" s="774"/>
      <c r="AH1131" s="774"/>
      <c r="AI1131" s="774"/>
      <c r="AJ1131" s="78"/>
      <c r="AK1131" s="774"/>
      <c r="AL1131" s="774"/>
      <c r="AM1131" s="774"/>
      <c r="AN1131" s="774"/>
      <c r="AO1131" s="78"/>
      <c r="AP1131" s="774"/>
      <c r="AQ1131" s="774"/>
      <c r="AR1131" s="774"/>
      <c r="AS1131" s="774"/>
      <c r="AT1131" s="78"/>
      <c r="AU1131" s="774"/>
      <c r="AV1131" s="774"/>
      <c r="AW1131" s="774"/>
      <c r="AX1131" s="774"/>
      <c r="AY1131" s="78"/>
      <c r="AZ1131" s="774"/>
      <c r="BA1131" s="774"/>
      <c r="BB1131" s="774"/>
      <c r="BC1131" s="774"/>
      <c r="BD1131" s="78"/>
      <c r="BE1131" s="774"/>
      <c r="BF1131" s="774"/>
      <c r="BG1131" s="774"/>
      <c r="BH1131" s="774"/>
      <c r="BI1131" s="1119">
        <v>4.6520000000000001</v>
      </c>
      <c r="BJ1131" s="774"/>
      <c r="BK1131" s="774"/>
      <c r="BL1131" s="774"/>
      <c r="BM1131" s="774"/>
      <c r="BN1131" s="1119">
        <v>4.6520000000000001</v>
      </c>
      <c r="BO1131" s="774"/>
      <c r="BP1131" s="774"/>
      <c r="BQ1131" s="774"/>
      <c r="BR1131" s="774"/>
      <c r="BS1131" s="78"/>
      <c r="BT1131" s="775"/>
      <c r="BU1131" s="774"/>
      <c r="BV1131" s="774"/>
      <c r="BW1131" s="774"/>
      <c r="BX1131" s="78"/>
      <c r="BY1131" s="774"/>
      <c r="BZ1131" s="774"/>
      <c r="CA1131" s="774"/>
      <c r="CB1131" s="774"/>
      <c r="CC1131" s="78"/>
      <c r="CD1131" s="78"/>
      <c r="CE1131" s="78"/>
      <c r="CF1131" s="78"/>
      <c r="CG1131" s="532"/>
    </row>
    <row r="1132" spans="1:85" s="616" customFormat="1" x14ac:dyDescent="0.3">
      <c r="A1132" s="522" t="s">
        <v>2058</v>
      </c>
      <c r="B1132" s="527"/>
      <c r="C1132" s="1124"/>
      <c r="D1132" s="1124"/>
      <c r="E1132" s="1124"/>
      <c r="F1132" s="1124"/>
      <c r="G1132" s="526"/>
      <c r="H1132" s="526"/>
      <c r="I1132" s="526"/>
      <c r="J1132" s="526"/>
      <c r="K1132" s="1124"/>
      <c r="L1132" s="526"/>
      <c r="M1132" s="526"/>
      <c r="N1132" s="526"/>
      <c r="O1132" s="526"/>
      <c r="P1132" s="1124"/>
      <c r="Q1132" s="526"/>
      <c r="R1132" s="526"/>
      <c r="S1132" s="526"/>
      <c r="T1132" s="526"/>
      <c r="U1132" s="1124"/>
      <c r="V1132" s="526"/>
      <c r="W1132" s="526"/>
      <c r="X1132" s="526"/>
      <c r="Y1132" s="526"/>
      <c r="Z1132" s="1124"/>
      <c r="AA1132" s="526"/>
      <c r="AB1132" s="526"/>
      <c r="AC1132" s="526"/>
      <c r="AD1132" s="526"/>
      <c r="AE1132" s="1124"/>
      <c r="AF1132" s="526"/>
      <c r="AG1132" s="526"/>
      <c r="AH1132" s="526"/>
      <c r="AI1132" s="526"/>
      <c r="AJ1132" s="1124"/>
      <c r="AK1132" s="526"/>
      <c r="AL1132" s="526"/>
      <c r="AM1132" s="526"/>
      <c r="AN1132" s="526"/>
      <c r="AO1132" s="1124"/>
      <c r="AP1132" s="526"/>
      <c r="AQ1132" s="526"/>
      <c r="AR1132" s="526"/>
      <c r="AS1132" s="526"/>
      <c r="AT1132" s="1124"/>
      <c r="AU1132" s="526"/>
      <c r="AV1132" s="526"/>
      <c r="AW1132" s="526"/>
      <c r="AX1132" s="526"/>
      <c r="AY1132" s="1124"/>
      <c r="AZ1132" s="526"/>
      <c r="BA1132" s="526"/>
      <c r="BB1132" s="526"/>
      <c r="BC1132" s="526"/>
      <c r="BD1132" s="1124"/>
      <c r="BE1132" s="526"/>
      <c r="BF1132" s="526"/>
      <c r="BG1132" s="526"/>
      <c r="BH1132" s="526"/>
      <c r="BI1132" s="1123">
        <v>313.48</v>
      </c>
      <c r="BJ1132" s="526"/>
      <c r="BK1132" s="526"/>
      <c r="BL1132" s="526"/>
      <c r="BM1132" s="526"/>
      <c r="BN1132" s="1123">
        <v>313.48</v>
      </c>
      <c r="BO1132" s="526"/>
      <c r="BP1132" s="526"/>
      <c r="BQ1132" s="526"/>
      <c r="BR1132" s="526"/>
      <c r="BS1132" s="1124"/>
      <c r="BT1132" s="729"/>
      <c r="BU1132" s="526"/>
      <c r="BV1132" s="526"/>
      <c r="BW1132" s="526"/>
      <c r="BX1132" s="1124"/>
      <c r="BY1132" s="526"/>
      <c r="BZ1132" s="526"/>
      <c r="CA1132" s="526"/>
      <c r="CB1132" s="526"/>
      <c r="CC1132" s="1124"/>
      <c r="CD1132" s="1124"/>
      <c r="CE1132" s="1124"/>
      <c r="CF1132" s="1124"/>
      <c r="CG1132" s="533"/>
    </row>
    <row r="1133" spans="1:85" s="616" customFormat="1" x14ac:dyDescent="0.3">
      <c r="A1133" s="522"/>
      <c r="B1133" s="527"/>
      <c r="C1133" s="1124"/>
      <c r="D1133" s="1124"/>
      <c r="E1133" s="1124"/>
      <c r="F1133" s="1124"/>
      <c r="G1133" s="526"/>
      <c r="H1133" s="526"/>
      <c r="I1133" s="526"/>
      <c r="J1133" s="526"/>
      <c r="K1133" s="1124"/>
      <c r="L1133" s="526"/>
      <c r="M1133" s="526"/>
      <c r="N1133" s="526"/>
      <c r="O1133" s="526"/>
      <c r="P1133" s="1124"/>
      <c r="Q1133" s="526"/>
      <c r="R1133" s="526"/>
      <c r="S1133" s="526"/>
      <c r="T1133" s="526"/>
      <c r="U1133" s="1124"/>
      <c r="V1133" s="526"/>
      <c r="W1133" s="526"/>
      <c r="X1133" s="526"/>
      <c r="Y1133" s="526"/>
      <c r="Z1133" s="1124"/>
      <c r="AA1133" s="526"/>
      <c r="AB1133" s="526"/>
      <c r="AC1133" s="526"/>
      <c r="AD1133" s="526"/>
      <c r="AE1133" s="1124"/>
      <c r="AF1133" s="526"/>
      <c r="AG1133" s="526"/>
      <c r="AH1133" s="526"/>
      <c r="AI1133" s="526"/>
      <c r="AJ1133" s="1124"/>
      <c r="AK1133" s="526"/>
      <c r="AL1133" s="526"/>
      <c r="AM1133" s="526"/>
      <c r="AN1133" s="526"/>
      <c r="AO1133" s="1124"/>
      <c r="AP1133" s="526"/>
      <c r="AQ1133" s="526"/>
      <c r="AR1133" s="526"/>
      <c r="AS1133" s="526"/>
      <c r="AT1133" s="1124"/>
      <c r="AU1133" s="526"/>
      <c r="AV1133" s="526"/>
      <c r="AW1133" s="526"/>
      <c r="AX1133" s="526"/>
      <c r="AY1133" s="1124"/>
      <c r="AZ1133" s="526"/>
      <c r="BA1133" s="526"/>
      <c r="BB1133" s="526"/>
      <c r="BC1133" s="526"/>
      <c r="BD1133" s="1124"/>
      <c r="BE1133" s="526"/>
      <c r="BF1133" s="526"/>
      <c r="BG1133" s="526"/>
      <c r="BH1133" s="526"/>
      <c r="BI1133" s="1124"/>
      <c r="BJ1133" s="526"/>
      <c r="BK1133" s="526"/>
      <c r="BL1133" s="526"/>
      <c r="BM1133" s="526"/>
      <c r="BN1133" s="1124"/>
      <c r="BO1133" s="526"/>
      <c r="BP1133" s="526"/>
      <c r="BQ1133" s="526"/>
      <c r="BR1133" s="526"/>
      <c r="BS1133" s="1124"/>
      <c r="BT1133" s="729"/>
      <c r="BU1133" s="526"/>
      <c r="BV1133" s="526"/>
      <c r="BW1133" s="526"/>
      <c r="BX1133" s="1124"/>
      <c r="BY1133" s="526"/>
      <c r="BZ1133" s="526"/>
      <c r="CA1133" s="526"/>
      <c r="CB1133" s="526"/>
      <c r="CC1133" s="1124"/>
      <c r="CD1133" s="1124"/>
      <c r="CE1133" s="1124"/>
      <c r="CF1133" s="1124"/>
      <c r="CG1133" s="533"/>
    </row>
    <row r="1134" spans="1:85" s="613" customFormat="1" x14ac:dyDescent="0.3">
      <c r="A1134" s="478" t="s">
        <v>2059</v>
      </c>
      <c r="B1134" s="523"/>
      <c r="C1134" s="78"/>
      <c r="D1134" s="78"/>
      <c r="E1134" s="78"/>
      <c r="F1134" s="78"/>
      <c r="G1134" s="774"/>
      <c r="H1134" s="774"/>
      <c r="I1134" s="774"/>
      <c r="J1134" s="774"/>
      <c r="K1134" s="78"/>
      <c r="L1134" s="774"/>
      <c r="M1134" s="774"/>
      <c r="N1134" s="774"/>
      <c r="O1134" s="774"/>
      <c r="P1134" s="78"/>
      <c r="Q1134" s="774"/>
      <c r="R1134" s="774"/>
      <c r="S1134" s="774"/>
      <c r="T1134" s="774"/>
      <c r="U1134" s="78"/>
      <c r="V1134" s="774"/>
      <c r="W1134" s="774"/>
      <c r="X1134" s="774"/>
      <c r="Y1134" s="774"/>
      <c r="Z1134" s="78"/>
      <c r="AA1134" s="774"/>
      <c r="AB1134" s="774"/>
      <c r="AC1134" s="774"/>
      <c r="AD1134" s="774"/>
      <c r="AE1134" s="78"/>
      <c r="AF1134" s="774"/>
      <c r="AG1134" s="774"/>
      <c r="AH1134" s="774"/>
      <c r="AI1134" s="774"/>
      <c r="AJ1134" s="78"/>
      <c r="AK1134" s="774"/>
      <c r="AL1134" s="774"/>
      <c r="AM1134" s="774"/>
      <c r="AN1134" s="774"/>
      <c r="AO1134" s="78"/>
      <c r="AP1134" s="774"/>
      <c r="AQ1134" s="774"/>
      <c r="AR1134" s="774"/>
      <c r="AS1134" s="774"/>
      <c r="AT1134" s="78"/>
      <c r="AU1134" s="774"/>
      <c r="AV1134" s="774"/>
      <c r="AW1134" s="774"/>
      <c r="AX1134" s="774"/>
      <c r="AY1134" s="78"/>
      <c r="AZ1134" s="774"/>
      <c r="BA1134" s="774"/>
      <c r="BB1134" s="774"/>
      <c r="BC1134" s="774"/>
      <c r="BD1134" s="78"/>
      <c r="BE1134" s="774"/>
      <c r="BF1134" s="774"/>
      <c r="BG1134" s="774"/>
      <c r="BH1134" s="774"/>
      <c r="BI1134" s="1119">
        <v>4.1870000000000003</v>
      </c>
      <c r="BJ1134" s="774"/>
      <c r="BK1134" s="774"/>
      <c r="BL1134" s="774"/>
      <c r="BM1134" s="774"/>
      <c r="BN1134" s="1119">
        <v>4.1870000000000003</v>
      </c>
      <c r="BO1134" s="774"/>
      <c r="BP1134" s="774"/>
      <c r="BQ1134" s="774"/>
      <c r="BR1134" s="774"/>
      <c r="BS1134" s="78"/>
      <c r="BT1134" s="775"/>
      <c r="BU1134" s="774"/>
      <c r="BV1134" s="774"/>
      <c r="BW1134" s="774"/>
      <c r="BX1134" s="78"/>
      <c r="BY1134" s="774"/>
      <c r="BZ1134" s="774"/>
      <c r="CA1134" s="774"/>
      <c r="CB1134" s="774"/>
      <c r="CC1134" s="78"/>
      <c r="CD1134" s="78"/>
      <c r="CE1134" s="78"/>
      <c r="CF1134" s="78"/>
      <c r="CG1134" s="532"/>
    </row>
    <row r="1135" spans="1:85" s="616" customFormat="1" x14ac:dyDescent="0.3">
      <c r="A1135" s="522" t="s">
        <v>2060</v>
      </c>
      <c r="B1135" s="527"/>
      <c r="C1135" s="1124"/>
      <c r="D1135" s="1124"/>
      <c r="E1135" s="1124"/>
      <c r="F1135" s="1124"/>
      <c r="G1135" s="526"/>
      <c r="H1135" s="526"/>
      <c r="I1135" s="526"/>
      <c r="J1135" s="526"/>
      <c r="K1135" s="1124"/>
      <c r="L1135" s="526"/>
      <c r="M1135" s="526"/>
      <c r="N1135" s="526"/>
      <c r="O1135" s="526"/>
      <c r="P1135" s="1124"/>
      <c r="Q1135" s="526"/>
      <c r="R1135" s="526"/>
      <c r="S1135" s="526"/>
      <c r="T1135" s="526"/>
      <c r="U1135" s="1124"/>
      <c r="V1135" s="526"/>
      <c r="W1135" s="526"/>
      <c r="X1135" s="526"/>
      <c r="Y1135" s="526"/>
      <c r="Z1135" s="1124"/>
      <c r="AA1135" s="526"/>
      <c r="AB1135" s="526"/>
      <c r="AC1135" s="526"/>
      <c r="AD1135" s="526"/>
      <c r="AE1135" s="1124"/>
      <c r="AF1135" s="526"/>
      <c r="AG1135" s="526"/>
      <c r="AH1135" s="526"/>
      <c r="AI1135" s="526"/>
      <c r="AJ1135" s="1124"/>
      <c r="AK1135" s="526"/>
      <c r="AL1135" s="526"/>
      <c r="AM1135" s="526"/>
      <c r="AN1135" s="526"/>
      <c r="AO1135" s="1124"/>
      <c r="AP1135" s="526"/>
      <c r="AQ1135" s="526"/>
      <c r="AR1135" s="526"/>
      <c r="AS1135" s="526"/>
      <c r="AT1135" s="1124"/>
      <c r="AU1135" s="526"/>
      <c r="AV1135" s="526"/>
      <c r="AW1135" s="526"/>
      <c r="AX1135" s="526"/>
      <c r="AY1135" s="1124"/>
      <c r="AZ1135" s="526"/>
      <c r="BA1135" s="526"/>
      <c r="BB1135" s="526"/>
      <c r="BC1135" s="526"/>
      <c r="BD1135" s="1124"/>
      <c r="BE1135" s="526"/>
      <c r="BF1135" s="526"/>
      <c r="BG1135" s="526"/>
      <c r="BH1135" s="526"/>
      <c r="BI1135" s="1123">
        <v>348.28</v>
      </c>
      <c r="BJ1135" s="526"/>
      <c r="BK1135" s="526"/>
      <c r="BL1135" s="526"/>
      <c r="BM1135" s="526"/>
      <c r="BN1135" s="1123">
        <v>348.28</v>
      </c>
      <c r="BO1135" s="526"/>
      <c r="BP1135" s="526"/>
      <c r="BQ1135" s="526"/>
      <c r="BR1135" s="526"/>
      <c r="BS1135" s="1124"/>
      <c r="BT1135" s="729"/>
      <c r="BU1135" s="526"/>
      <c r="BV1135" s="526"/>
      <c r="BW1135" s="526"/>
      <c r="BX1135" s="1124"/>
      <c r="BY1135" s="526"/>
      <c r="BZ1135" s="526"/>
      <c r="CA1135" s="526"/>
      <c r="CB1135" s="526"/>
      <c r="CC1135" s="1124"/>
      <c r="CD1135" s="1124"/>
      <c r="CE1135" s="1124"/>
      <c r="CF1135" s="1124"/>
      <c r="CG1135" s="533"/>
    </row>
    <row r="1136" spans="1:85" s="616" customFormat="1" x14ac:dyDescent="0.3">
      <c r="A1136" s="522"/>
      <c r="B1136" s="527"/>
      <c r="C1136" s="1124"/>
      <c r="D1136" s="1124"/>
      <c r="E1136" s="1124"/>
      <c r="F1136" s="1124"/>
      <c r="G1136" s="526"/>
      <c r="H1136" s="526"/>
      <c r="I1136" s="526"/>
      <c r="J1136" s="526"/>
      <c r="K1136" s="1124"/>
      <c r="L1136" s="526"/>
      <c r="M1136" s="526"/>
      <c r="N1136" s="526"/>
      <c r="O1136" s="526"/>
      <c r="P1136" s="1124"/>
      <c r="Q1136" s="526"/>
      <c r="R1136" s="526"/>
      <c r="S1136" s="526"/>
      <c r="T1136" s="526"/>
      <c r="U1136" s="1124"/>
      <c r="V1136" s="526"/>
      <c r="W1136" s="526"/>
      <c r="X1136" s="526"/>
      <c r="Y1136" s="526"/>
      <c r="Z1136" s="1124"/>
      <c r="AA1136" s="526"/>
      <c r="AB1136" s="526"/>
      <c r="AC1136" s="526"/>
      <c r="AD1136" s="526"/>
      <c r="AE1136" s="1124"/>
      <c r="AF1136" s="526"/>
      <c r="AG1136" s="526"/>
      <c r="AH1136" s="526"/>
      <c r="AI1136" s="526"/>
      <c r="AJ1136" s="1124"/>
      <c r="AK1136" s="526"/>
      <c r="AL1136" s="526"/>
      <c r="AM1136" s="526"/>
      <c r="AN1136" s="526"/>
      <c r="AO1136" s="1124"/>
      <c r="AP1136" s="526"/>
      <c r="AQ1136" s="526"/>
      <c r="AR1136" s="526"/>
      <c r="AS1136" s="526"/>
      <c r="AT1136" s="1124"/>
      <c r="AU1136" s="526"/>
      <c r="AV1136" s="526"/>
      <c r="AW1136" s="526"/>
      <c r="AX1136" s="526"/>
      <c r="AY1136" s="1124"/>
      <c r="AZ1136" s="526"/>
      <c r="BA1136" s="526"/>
      <c r="BB1136" s="526"/>
      <c r="BC1136" s="526"/>
      <c r="BD1136" s="1124"/>
      <c r="BE1136" s="526"/>
      <c r="BF1136" s="526"/>
      <c r="BG1136" s="526"/>
      <c r="BH1136" s="526"/>
      <c r="BI1136" s="1124"/>
      <c r="BJ1136" s="526"/>
      <c r="BK1136" s="526"/>
      <c r="BL1136" s="526"/>
      <c r="BM1136" s="526"/>
      <c r="BN1136" s="1124"/>
      <c r="BO1136" s="526"/>
      <c r="BP1136" s="526"/>
      <c r="BQ1136" s="526"/>
      <c r="BR1136" s="526"/>
      <c r="BS1136" s="1124"/>
      <c r="BT1136" s="729"/>
      <c r="BU1136" s="526"/>
      <c r="BV1136" s="526"/>
      <c r="BW1136" s="526"/>
      <c r="BX1136" s="1124"/>
      <c r="BY1136" s="526"/>
      <c r="BZ1136" s="526"/>
      <c r="CA1136" s="526"/>
      <c r="CB1136" s="526"/>
      <c r="CC1136" s="1124"/>
      <c r="CD1136" s="1124"/>
      <c r="CE1136" s="1124"/>
      <c r="CF1136" s="1124"/>
      <c r="CG1136" s="533"/>
    </row>
    <row r="1137" spans="1:85" s="613" customFormat="1" x14ac:dyDescent="0.3">
      <c r="A1137" s="478" t="s">
        <v>2061</v>
      </c>
      <c r="B1137" s="523"/>
      <c r="C1137" s="78"/>
      <c r="D1137" s="78"/>
      <c r="E1137" s="78"/>
      <c r="F1137" s="78"/>
      <c r="G1137" s="774"/>
      <c r="H1137" s="774"/>
      <c r="I1137" s="774"/>
      <c r="J1137" s="774"/>
      <c r="K1137" s="78"/>
      <c r="L1137" s="774"/>
      <c r="M1137" s="774"/>
      <c r="N1137" s="774"/>
      <c r="O1137" s="774"/>
      <c r="P1137" s="78"/>
      <c r="Q1137" s="774"/>
      <c r="R1137" s="774"/>
      <c r="S1137" s="774"/>
      <c r="T1137" s="774"/>
      <c r="U1137" s="78"/>
      <c r="V1137" s="774"/>
      <c r="W1137" s="774"/>
      <c r="X1137" s="774"/>
      <c r="Y1137" s="774"/>
      <c r="Z1137" s="78"/>
      <c r="AA1137" s="774"/>
      <c r="AB1137" s="774"/>
      <c r="AC1137" s="774"/>
      <c r="AD1137" s="774"/>
      <c r="AE1137" s="78"/>
      <c r="AF1137" s="774"/>
      <c r="AG1137" s="774"/>
      <c r="AH1137" s="774"/>
      <c r="AI1137" s="774"/>
      <c r="AJ1137" s="78"/>
      <c r="AK1137" s="774"/>
      <c r="AL1137" s="774"/>
      <c r="AM1137" s="774"/>
      <c r="AN1137" s="774"/>
      <c r="AO1137" s="78"/>
      <c r="AP1137" s="774"/>
      <c r="AQ1137" s="774"/>
      <c r="AR1137" s="774"/>
      <c r="AS1137" s="774"/>
      <c r="AT1137" s="78"/>
      <c r="AU1137" s="774"/>
      <c r="AV1137" s="774"/>
      <c r="AW1137" s="774"/>
      <c r="AX1137" s="774"/>
      <c r="AY1137" s="78"/>
      <c r="AZ1137" s="774"/>
      <c r="BA1137" s="774"/>
      <c r="BB1137" s="774"/>
      <c r="BC1137" s="774"/>
      <c r="BD1137" s="78"/>
      <c r="BE1137" s="774"/>
      <c r="BF1137" s="774"/>
      <c r="BG1137" s="774"/>
      <c r="BH1137" s="774"/>
      <c r="BI1137" s="1119">
        <v>4.5</v>
      </c>
      <c r="BJ1137" s="774"/>
      <c r="BK1137" s="774"/>
      <c r="BL1137" s="774"/>
      <c r="BM1137" s="774"/>
      <c r="BN1137" s="1119">
        <v>4.5</v>
      </c>
      <c r="BO1137" s="774"/>
      <c r="BP1137" s="774"/>
      <c r="BQ1137" s="774"/>
      <c r="BR1137" s="774"/>
      <c r="BS1137" s="78"/>
      <c r="BT1137" s="775"/>
      <c r="BU1137" s="774"/>
      <c r="BV1137" s="774"/>
      <c r="BW1137" s="774"/>
      <c r="BX1137" s="78"/>
      <c r="BY1137" s="774"/>
      <c r="BZ1137" s="774"/>
      <c r="CA1137" s="774"/>
      <c r="CB1137" s="774"/>
      <c r="CC1137" s="78"/>
      <c r="CD1137" s="78"/>
      <c r="CE1137" s="78"/>
      <c r="CF1137" s="78"/>
      <c r="CG1137" s="532"/>
    </row>
    <row r="1138" spans="1:85" s="616" customFormat="1" x14ac:dyDescent="0.3">
      <c r="A1138" s="522" t="s">
        <v>2062</v>
      </c>
      <c r="B1138" s="527"/>
      <c r="C1138" s="1124"/>
      <c r="D1138" s="1124"/>
      <c r="E1138" s="1124"/>
      <c r="F1138" s="1124"/>
      <c r="G1138" s="526"/>
      <c r="H1138" s="526"/>
      <c r="I1138" s="526"/>
      <c r="J1138" s="526"/>
      <c r="K1138" s="1124"/>
      <c r="L1138" s="526"/>
      <c r="M1138" s="526"/>
      <c r="N1138" s="526"/>
      <c r="O1138" s="526"/>
      <c r="P1138" s="1124"/>
      <c r="Q1138" s="526"/>
      <c r="R1138" s="526"/>
      <c r="S1138" s="526"/>
      <c r="T1138" s="526"/>
      <c r="U1138" s="1124"/>
      <c r="V1138" s="526"/>
      <c r="W1138" s="526"/>
      <c r="X1138" s="526"/>
      <c r="Y1138" s="526"/>
      <c r="Z1138" s="1124"/>
      <c r="AA1138" s="526"/>
      <c r="AB1138" s="526"/>
      <c r="AC1138" s="526"/>
      <c r="AD1138" s="526"/>
      <c r="AE1138" s="1124"/>
      <c r="AF1138" s="526"/>
      <c r="AG1138" s="526"/>
      <c r="AH1138" s="526"/>
      <c r="AI1138" s="526"/>
      <c r="AJ1138" s="1124"/>
      <c r="AK1138" s="526"/>
      <c r="AL1138" s="526"/>
      <c r="AM1138" s="526"/>
      <c r="AN1138" s="526"/>
      <c r="AO1138" s="1124"/>
      <c r="AP1138" s="526"/>
      <c r="AQ1138" s="526"/>
      <c r="AR1138" s="526"/>
      <c r="AS1138" s="526"/>
      <c r="AT1138" s="1124"/>
      <c r="AU1138" s="526"/>
      <c r="AV1138" s="526"/>
      <c r="AW1138" s="526"/>
      <c r="AX1138" s="526"/>
      <c r="AY1138" s="1124"/>
      <c r="AZ1138" s="526"/>
      <c r="BA1138" s="526"/>
      <c r="BB1138" s="526"/>
      <c r="BC1138" s="526"/>
      <c r="BD1138" s="1124"/>
      <c r="BE1138" s="526"/>
      <c r="BF1138" s="526"/>
      <c r="BG1138" s="526"/>
      <c r="BH1138" s="526"/>
      <c r="BI1138" s="1123">
        <v>324.12</v>
      </c>
      <c r="BJ1138" s="526"/>
      <c r="BK1138" s="526"/>
      <c r="BL1138" s="526"/>
      <c r="BM1138" s="526"/>
      <c r="BN1138" s="1123">
        <v>324.12</v>
      </c>
      <c r="BO1138" s="526"/>
      <c r="BP1138" s="526"/>
      <c r="BQ1138" s="526"/>
      <c r="BR1138" s="526"/>
      <c r="BS1138" s="1124"/>
      <c r="BT1138" s="729"/>
      <c r="BU1138" s="526"/>
      <c r="BV1138" s="526"/>
      <c r="BW1138" s="526"/>
      <c r="BX1138" s="1124"/>
      <c r="BY1138" s="526"/>
      <c r="BZ1138" s="526"/>
      <c r="CA1138" s="526"/>
      <c r="CB1138" s="526"/>
      <c r="CC1138" s="1124"/>
      <c r="CD1138" s="1124"/>
      <c r="CE1138" s="1124"/>
      <c r="CF1138" s="1124"/>
      <c r="CG1138" s="533"/>
    </row>
    <row r="1139" spans="1:85" s="616" customFormat="1" x14ac:dyDescent="0.3">
      <c r="A1139" s="522"/>
      <c r="B1139" s="527"/>
      <c r="C1139" s="1124"/>
      <c r="D1139" s="1124"/>
      <c r="E1139" s="1124"/>
      <c r="F1139" s="1124"/>
      <c r="G1139" s="526"/>
      <c r="H1139" s="526"/>
      <c r="I1139" s="526"/>
      <c r="J1139" s="526"/>
      <c r="K1139" s="1124"/>
      <c r="L1139" s="526"/>
      <c r="M1139" s="526"/>
      <c r="N1139" s="526"/>
      <c r="O1139" s="526"/>
      <c r="P1139" s="1124"/>
      <c r="Q1139" s="526"/>
      <c r="R1139" s="526"/>
      <c r="S1139" s="526"/>
      <c r="T1139" s="526"/>
      <c r="U1139" s="1124"/>
      <c r="V1139" s="526"/>
      <c r="W1139" s="526"/>
      <c r="X1139" s="526"/>
      <c r="Y1139" s="526"/>
      <c r="Z1139" s="1124"/>
      <c r="AA1139" s="526"/>
      <c r="AB1139" s="526"/>
      <c r="AC1139" s="526"/>
      <c r="AD1139" s="526"/>
      <c r="AE1139" s="1124"/>
      <c r="AF1139" s="526"/>
      <c r="AG1139" s="526"/>
      <c r="AH1139" s="526"/>
      <c r="AI1139" s="526"/>
      <c r="AJ1139" s="1124"/>
      <c r="AK1139" s="526"/>
      <c r="AL1139" s="526"/>
      <c r="AM1139" s="526"/>
      <c r="AN1139" s="526"/>
      <c r="AO1139" s="1124"/>
      <c r="AP1139" s="526"/>
      <c r="AQ1139" s="526"/>
      <c r="AR1139" s="526"/>
      <c r="AS1139" s="526"/>
      <c r="AT1139" s="1124"/>
      <c r="AU1139" s="526"/>
      <c r="AV1139" s="526"/>
      <c r="AW1139" s="526"/>
      <c r="AX1139" s="526"/>
      <c r="AY1139" s="1124"/>
      <c r="AZ1139" s="526"/>
      <c r="BA1139" s="526"/>
      <c r="BB1139" s="526"/>
      <c r="BC1139" s="526"/>
      <c r="BD1139" s="1124"/>
      <c r="BE1139" s="526"/>
      <c r="BF1139" s="526"/>
      <c r="BG1139" s="526"/>
      <c r="BH1139" s="526"/>
      <c r="BI1139" s="1124"/>
      <c r="BJ1139" s="526"/>
      <c r="BK1139" s="526"/>
      <c r="BL1139" s="526"/>
      <c r="BM1139" s="526"/>
      <c r="BN1139" s="1124"/>
      <c r="BO1139" s="526"/>
      <c r="BP1139" s="526"/>
      <c r="BQ1139" s="526"/>
      <c r="BR1139" s="526"/>
      <c r="BS1139" s="1124"/>
      <c r="BT1139" s="729"/>
      <c r="BU1139" s="526"/>
      <c r="BV1139" s="526"/>
      <c r="BW1139" s="526"/>
      <c r="BX1139" s="1124"/>
      <c r="BY1139" s="526"/>
      <c r="BZ1139" s="526"/>
      <c r="CA1139" s="526"/>
      <c r="CB1139" s="526"/>
      <c r="CC1139" s="1124"/>
      <c r="CD1139" s="1124"/>
      <c r="CE1139" s="1124"/>
      <c r="CF1139" s="1124"/>
      <c r="CG1139" s="533"/>
    </row>
    <row r="1140" spans="1:85" s="613" customFormat="1" x14ac:dyDescent="0.3">
      <c r="A1140" s="478" t="s">
        <v>2063</v>
      </c>
      <c r="B1140" s="523"/>
      <c r="C1140" s="78"/>
      <c r="D1140" s="78"/>
      <c r="E1140" s="78"/>
      <c r="F1140" s="78"/>
      <c r="G1140" s="774"/>
      <c r="H1140" s="774"/>
      <c r="I1140" s="774"/>
      <c r="J1140" s="774"/>
      <c r="K1140" s="78"/>
      <c r="L1140" s="774"/>
      <c r="M1140" s="774"/>
      <c r="N1140" s="774"/>
      <c r="O1140" s="774"/>
      <c r="P1140" s="78"/>
      <c r="Q1140" s="774"/>
      <c r="R1140" s="774"/>
      <c r="S1140" s="774"/>
      <c r="T1140" s="774"/>
      <c r="U1140" s="78"/>
      <c r="V1140" s="774"/>
      <c r="W1140" s="774"/>
      <c r="X1140" s="774"/>
      <c r="Y1140" s="774"/>
      <c r="Z1140" s="78"/>
      <c r="AA1140" s="774"/>
      <c r="AB1140" s="774"/>
      <c r="AC1140" s="774"/>
      <c r="AD1140" s="774"/>
      <c r="AE1140" s="78"/>
      <c r="AF1140" s="774"/>
      <c r="AG1140" s="774"/>
      <c r="AH1140" s="774"/>
      <c r="AI1140" s="774"/>
      <c r="AJ1140" s="78"/>
      <c r="AK1140" s="774"/>
      <c r="AL1140" s="774"/>
      <c r="AM1140" s="774"/>
      <c r="AN1140" s="774"/>
      <c r="AO1140" s="78"/>
      <c r="AP1140" s="774"/>
      <c r="AQ1140" s="774"/>
      <c r="AR1140" s="774"/>
      <c r="AS1140" s="774"/>
      <c r="AT1140" s="78"/>
      <c r="AU1140" s="774"/>
      <c r="AV1140" s="774"/>
      <c r="AW1140" s="774"/>
      <c r="AX1140" s="774"/>
      <c r="AY1140" s="78"/>
      <c r="AZ1140" s="774"/>
      <c r="BA1140" s="774"/>
      <c r="BB1140" s="774"/>
      <c r="BC1140" s="774"/>
      <c r="BD1140" s="78"/>
      <c r="BE1140" s="774"/>
      <c r="BF1140" s="774"/>
      <c r="BG1140" s="774"/>
      <c r="BH1140" s="774"/>
      <c r="BI1140" s="1119">
        <v>3.617</v>
      </c>
      <c r="BJ1140" s="774"/>
      <c r="BK1140" s="774"/>
      <c r="BL1140" s="774"/>
      <c r="BM1140" s="774"/>
      <c r="BN1140" s="1119">
        <v>3.617</v>
      </c>
      <c r="BO1140" s="774"/>
      <c r="BP1140" s="774"/>
      <c r="BQ1140" s="774"/>
      <c r="BR1140" s="774"/>
      <c r="BS1140" s="78"/>
      <c r="BT1140" s="775"/>
      <c r="BU1140" s="774"/>
      <c r="BV1140" s="774"/>
      <c r="BW1140" s="774"/>
      <c r="BX1140" s="78"/>
      <c r="BY1140" s="774"/>
      <c r="BZ1140" s="774"/>
      <c r="CA1140" s="774"/>
      <c r="CB1140" s="774"/>
      <c r="CC1140" s="78"/>
      <c r="CD1140" s="78"/>
      <c r="CE1140" s="78"/>
      <c r="CF1140" s="78"/>
      <c r="CG1140" s="532"/>
    </row>
    <row r="1141" spans="1:85" s="616" customFormat="1" x14ac:dyDescent="0.3">
      <c r="A1141" s="522" t="s">
        <v>2064</v>
      </c>
      <c r="B1141" s="527"/>
      <c r="C1141" s="1124"/>
      <c r="D1141" s="1124"/>
      <c r="E1141" s="1124"/>
      <c r="F1141" s="1124"/>
      <c r="G1141" s="526"/>
      <c r="H1141" s="526"/>
      <c r="I1141" s="526"/>
      <c r="J1141" s="526"/>
      <c r="K1141" s="1124"/>
      <c r="L1141" s="526"/>
      <c r="M1141" s="526"/>
      <c r="N1141" s="526"/>
      <c r="O1141" s="526"/>
      <c r="P1141" s="1124"/>
      <c r="Q1141" s="526"/>
      <c r="R1141" s="526"/>
      <c r="S1141" s="526"/>
      <c r="T1141" s="526"/>
      <c r="U1141" s="1124"/>
      <c r="V1141" s="526"/>
      <c r="W1141" s="526"/>
      <c r="X1141" s="526"/>
      <c r="Y1141" s="526"/>
      <c r="Z1141" s="1124"/>
      <c r="AA1141" s="526"/>
      <c r="AB1141" s="526"/>
      <c r="AC1141" s="526"/>
      <c r="AD1141" s="526"/>
      <c r="AE1141" s="1124"/>
      <c r="AF1141" s="526"/>
      <c r="AG1141" s="526"/>
      <c r="AH1141" s="526"/>
      <c r="AI1141" s="526"/>
      <c r="AJ1141" s="1124"/>
      <c r="AK1141" s="526"/>
      <c r="AL1141" s="526"/>
      <c r="AM1141" s="526"/>
      <c r="AN1141" s="526"/>
      <c r="AO1141" s="1124"/>
      <c r="AP1141" s="526"/>
      <c r="AQ1141" s="526"/>
      <c r="AR1141" s="526"/>
      <c r="AS1141" s="526"/>
      <c r="AT1141" s="1124"/>
      <c r="AU1141" s="526"/>
      <c r="AV1141" s="526"/>
      <c r="AW1141" s="526"/>
      <c r="AX1141" s="526"/>
      <c r="AY1141" s="1124"/>
      <c r="AZ1141" s="526"/>
      <c r="BA1141" s="526"/>
      <c r="BB1141" s="526"/>
      <c r="BC1141" s="526"/>
      <c r="BD1141" s="1124"/>
      <c r="BE1141" s="526"/>
      <c r="BF1141" s="526"/>
      <c r="BG1141" s="526"/>
      <c r="BH1141" s="526"/>
      <c r="BI1141" s="1123">
        <v>403.13</v>
      </c>
      <c r="BJ1141" s="526"/>
      <c r="BK1141" s="526"/>
      <c r="BL1141" s="526"/>
      <c r="BM1141" s="526"/>
      <c r="BN1141" s="1123">
        <v>403.13</v>
      </c>
      <c r="BO1141" s="526"/>
      <c r="BP1141" s="526"/>
      <c r="BQ1141" s="526"/>
      <c r="BR1141" s="526"/>
      <c r="BS1141" s="1124"/>
      <c r="BT1141" s="729"/>
      <c r="BU1141" s="526"/>
      <c r="BV1141" s="526"/>
      <c r="BW1141" s="526"/>
      <c r="BX1141" s="1124"/>
      <c r="BY1141" s="526"/>
      <c r="BZ1141" s="526"/>
      <c r="CA1141" s="526"/>
      <c r="CB1141" s="526"/>
      <c r="CC1141" s="1124"/>
      <c r="CD1141" s="1124"/>
      <c r="CE1141" s="1124"/>
      <c r="CF1141" s="1124"/>
      <c r="CG1141" s="533"/>
    </row>
    <row r="1142" spans="1:85" s="616" customFormat="1" x14ac:dyDescent="0.3">
      <c r="A1142" s="522"/>
      <c r="B1142" s="527"/>
      <c r="C1142" s="1124"/>
      <c r="D1142" s="1124"/>
      <c r="E1142" s="1124"/>
      <c r="F1142" s="1124"/>
      <c r="G1142" s="526"/>
      <c r="H1142" s="526"/>
      <c r="I1142" s="526"/>
      <c r="J1142" s="526"/>
      <c r="K1142" s="1124"/>
      <c r="L1142" s="526"/>
      <c r="M1142" s="526"/>
      <c r="N1142" s="526"/>
      <c r="O1142" s="526"/>
      <c r="P1142" s="1124"/>
      <c r="Q1142" s="526"/>
      <c r="R1142" s="526"/>
      <c r="S1142" s="526"/>
      <c r="T1142" s="526"/>
      <c r="U1142" s="1124"/>
      <c r="V1142" s="526"/>
      <c r="W1142" s="526"/>
      <c r="X1142" s="526"/>
      <c r="Y1142" s="526"/>
      <c r="Z1142" s="1124"/>
      <c r="AA1142" s="526"/>
      <c r="AB1142" s="526"/>
      <c r="AC1142" s="526"/>
      <c r="AD1142" s="526"/>
      <c r="AE1142" s="1124"/>
      <c r="AF1142" s="526"/>
      <c r="AG1142" s="526"/>
      <c r="AH1142" s="526"/>
      <c r="AI1142" s="526"/>
      <c r="AJ1142" s="1124"/>
      <c r="AK1142" s="526"/>
      <c r="AL1142" s="526"/>
      <c r="AM1142" s="526"/>
      <c r="AN1142" s="526"/>
      <c r="AO1142" s="1124"/>
      <c r="AP1142" s="526"/>
      <c r="AQ1142" s="526"/>
      <c r="AR1142" s="526"/>
      <c r="AS1142" s="526"/>
      <c r="AT1142" s="1124"/>
      <c r="AU1142" s="526"/>
      <c r="AV1142" s="526"/>
      <c r="AW1142" s="526"/>
      <c r="AX1142" s="526"/>
      <c r="AY1142" s="1124"/>
      <c r="AZ1142" s="526"/>
      <c r="BA1142" s="526"/>
      <c r="BB1142" s="526"/>
      <c r="BC1142" s="526"/>
      <c r="BD1142" s="1124"/>
      <c r="BE1142" s="526"/>
      <c r="BF1142" s="526"/>
      <c r="BG1142" s="526"/>
      <c r="BH1142" s="526"/>
      <c r="BI1142" s="1124"/>
      <c r="BJ1142" s="526"/>
      <c r="BK1142" s="526"/>
      <c r="BL1142" s="526"/>
      <c r="BM1142" s="526"/>
      <c r="BN1142" s="1124"/>
      <c r="BO1142" s="526"/>
      <c r="BP1142" s="526"/>
      <c r="BQ1142" s="526"/>
      <c r="BR1142" s="526"/>
      <c r="BS1142" s="1124"/>
      <c r="BT1142" s="729"/>
      <c r="BU1142" s="526"/>
      <c r="BV1142" s="526"/>
      <c r="BW1142" s="526"/>
      <c r="BX1142" s="1124"/>
      <c r="BY1142" s="526"/>
      <c r="BZ1142" s="526"/>
      <c r="CA1142" s="526"/>
      <c r="CB1142" s="526"/>
      <c r="CC1142" s="1124"/>
      <c r="CD1142" s="1124"/>
      <c r="CE1142" s="1124"/>
      <c r="CF1142" s="1124"/>
      <c r="CG1142" s="533"/>
    </row>
    <row r="1143" spans="1:85" s="613" customFormat="1" x14ac:dyDescent="0.3">
      <c r="A1143" s="478" t="s">
        <v>2065</v>
      </c>
      <c r="B1143" s="523"/>
      <c r="C1143" s="78"/>
      <c r="D1143" s="78"/>
      <c r="E1143" s="78"/>
      <c r="F1143" s="78"/>
      <c r="G1143" s="774"/>
      <c r="H1143" s="774"/>
      <c r="I1143" s="774"/>
      <c r="J1143" s="774"/>
      <c r="K1143" s="78"/>
      <c r="L1143" s="774"/>
      <c r="M1143" s="774"/>
      <c r="N1143" s="774"/>
      <c r="O1143" s="774"/>
      <c r="P1143" s="78"/>
      <c r="Q1143" s="774"/>
      <c r="R1143" s="774"/>
      <c r="S1143" s="774"/>
      <c r="T1143" s="774"/>
      <c r="U1143" s="78"/>
      <c r="V1143" s="774"/>
      <c r="W1143" s="774"/>
      <c r="X1143" s="774"/>
      <c r="Y1143" s="774"/>
      <c r="Z1143" s="78"/>
      <c r="AA1143" s="774"/>
      <c r="AB1143" s="774"/>
      <c r="AC1143" s="774"/>
      <c r="AD1143" s="774"/>
      <c r="AE1143" s="78"/>
      <c r="AF1143" s="774"/>
      <c r="AG1143" s="774"/>
      <c r="AH1143" s="774"/>
      <c r="AI1143" s="774"/>
      <c r="AJ1143" s="78"/>
      <c r="AK1143" s="774"/>
      <c r="AL1143" s="774"/>
      <c r="AM1143" s="774"/>
      <c r="AN1143" s="774"/>
      <c r="AO1143" s="78"/>
      <c r="AP1143" s="774"/>
      <c r="AQ1143" s="774"/>
      <c r="AR1143" s="774"/>
      <c r="AS1143" s="774"/>
      <c r="AT1143" s="78"/>
      <c r="AU1143" s="774"/>
      <c r="AV1143" s="774"/>
      <c r="AW1143" s="774"/>
      <c r="AX1143" s="774"/>
      <c r="AY1143" s="78"/>
      <c r="AZ1143" s="774"/>
      <c r="BA1143" s="774"/>
      <c r="BB1143" s="774"/>
      <c r="BC1143" s="774"/>
      <c r="BD1143" s="78"/>
      <c r="BE1143" s="774"/>
      <c r="BF1143" s="774"/>
      <c r="BG1143" s="774"/>
      <c r="BH1143" s="774"/>
      <c r="BI1143" s="1119">
        <v>3.3039999999999998</v>
      </c>
      <c r="BJ1143" s="774"/>
      <c r="BK1143" s="774"/>
      <c r="BL1143" s="774"/>
      <c r="BM1143" s="774"/>
      <c r="BN1143" s="1119">
        <v>3.3039999999999998</v>
      </c>
      <c r="BO1143" s="774"/>
      <c r="BP1143" s="774"/>
      <c r="BQ1143" s="774"/>
      <c r="BR1143" s="774"/>
      <c r="BS1143" s="78"/>
      <c r="BT1143" s="775"/>
      <c r="BU1143" s="774"/>
      <c r="BV1143" s="774"/>
      <c r="BW1143" s="774"/>
      <c r="BX1143" s="78"/>
      <c r="BY1143" s="774"/>
      <c r="BZ1143" s="774"/>
      <c r="CA1143" s="774"/>
      <c r="CB1143" s="774"/>
      <c r="CC1143" s="78"/>
      <c r="CD1143" s="78"/>
      <c r="CE1143" s="78"/>
      <c r="CF1143" s="78"/>
      <c r="CG1143" s="532"/>
    </row>
    <row r="1144" spans="1:85" s="616" customFormat="1" x14ac:dyDescent="0.3">
      <c r="A1144" s="522" t="s">
        <v>2066</v>
      </c>
      <c r="B1144" s="527"/>
      <c r="C1144" s="1124"/>
      <c r="D1144" s="1124"/>
      <c r="E1144" s="1124"/>
      <c r="F1144" s="1124"/>
      <c r="G1144" s="526"/>
      <c r="H1144" s="526"/>
      <c r="I1144" s="526"/>
      <c r="J1144" s="526"/>
      <c r="K1144" s="1124"/>
      <c r="L1144" s="526"/>
      <c r="M1144" s="526"/>
      <c r="N1144" s="526"/>
      <c r="O1144" s="526"/>
      <c r="P1144" s="1124"/>
      <c r="Q1144" s="526"/>
      <c r="R1144" s="526"/>
      <c r="S1144" s="526"/>
      <c r="T1144" s="526"/>
      <c r="U1144" s="1124"/>
      <c r="V1144" s="526"/>
      <c r="W1144" s="526"/>
      <c r="X1144" s="526"/>
      <c r="Y1144" s="526"/>
      <c r="Z1144" s="1124"/>
      <c r="AA1144" s="526"/>
      <c r="AB1144" s="526"/>
      <c r="AC1144" s="526"/>
      <c r="AD1144" s="526"/>
      <c r="AE1144" s="1124"/>
      <c r="AF1144" s="526"/>
      <c r="AG1144" s="526"/>
      <c r="AH1144" s="526"/>
      <c r="AI1144" s="526"/>
      <c r="AJ1144" s="1124"/>
      <c r="AK1144" s="526"/>
      <c r="AL1144" s="526"/>
      <c r="AM1144" s="526"/>
      <c r="AN1144" s="526"/>
      <c r="AO1144" s="1124"/>
      <c r="AP1144" s="526"/>
      <c r="AQ1144" s="526"/>
      <c r="AR1144" s="526"/>
      <c r="AS1144" s="526"/>
      <c r="AT1144" s="1124"/>
      <c r="AU1144" s="526"/>
      <c r="AV1144" s="526"/>
      <c r="AW1144" s="526"/>
      <c r="AX1144" s="526"/>
      <c r="AY1144" s="1124"/>
      <c r="AZ1144" s="526"/>
      <c r="BA1144" s="526"/>
      <c r="BB1144" s="526"/>
      <c r="BC1144" s="526"/>
      <c r="BD1144" s="1124"/>
      <c r="BE1144" s="526"/>
      <c r="BF1144" s="526"/>
      <c r="BG1144" s="526"/>
      <c r="BH1144" s="526"/>
      <c r="BI1144" s="1123">
        <v>441.44</v>
      </c>
      <c r="BJ1144" s="526"/>
      <c r="BK1144" s="526"/>
      <c r="BL1144" s="526"/>
      <c r="BM1144" s="526"/>
      <c r="BN1144" s="1123">
        <v>441.44</v>
      </c>
      <c r="BO1144" s="526"/>
      <c r="BP1144" s="526"/>
      <c r="BQ1144" s="526"/>
      <c r="BR1144" s="526"/>
      <c r="BS1144" s="1124"/>
      <c r="BT1144" s="729"/>
      <c r="BU1144" s="526"/>
      <c r="BV1144" s="526"/>
      <c r="BW1144" s="526"/>
      <c r="BX1144" s="1124"/>
      <c r="BY1144" s="526"/>
      <c r="BZ1144" s="526"/>
      <c r="CA1144" s="526"/>
      <c r="CB1144" s="526"/>
      <c r="CC1144" s="1124"/>
      <c r="CD1144" s="1124"/>
      <c r="CE1144" s="1124"/>
      <c r="CF1144" s="1124"/>
      <c r="CG1144" s="533"/>
    </row>
    <row r="1145" spans="1:85" s="616" customFormat="1" x14ac:dyDescent="0.3">
      <c r="A1145" s="522"/>
      <c r="B1145" s="527"/>
      <c r="C1145" s="1124"/>
      <c r="D1145" s="1124"/>
      <c r="E1145" s="1124"/>
      <c r="F1145" s="1124"/>
      <c r="G1145" s="526"/>
      <c r="H1145" s="526"/>
      <c r="I1145" s="526"/>
      <c r="J1145" s="526"/>
      <c r="K1145" s="1124"/>
      <c r="L1145" s="526"/>
      <c r="M1145" s="526"/>
      <c r="N1145" s="526"/>
      <c r="O1145" s="526"/>
      <c r="P1145" s="1124"/>
      <c r="Q1145" s="526"/>
      <c r="R1145" s="526"/>
      <c r="S1145" s="526"/>
      <c r="T1145" s="526"/>
      <c r="U1145" s="1124"/>
      <c r="V1145" s="526"/>
      <c r="W1145" s="526"/>
      <c r="X1145" s="526"/>
      <c r="Y1145" s="526"/>
      <c r="Z1145" s="1124"/>
      <c r="AA1145" s="526"/>
      <c r="AB1145" s="526"/>
      <c r="AC1145" s="526"/>
      <c r="AD1145" s="526"/>
      <c r="AE1145" s="1124"/>
      <c r="AF1145" s="526"/>
      <c r="AG1145" s="526"/>
      <c r="AH1145" s="526"/>
      <c r="AI1145" s="526"/>
      <c r="AJ1145" s="1124"/>
      <c r="AK1145" s="526"/>
      <c r="AL1145" s="526"/>
      <c r="AM1145" s="526"/>
      <c r="AN1145" s="526"/>
      <c r="AO1145" s="1124"/>
      <c r="AP1145" s="526"/>
      <c r="AQ1145" s="526"/>
      <c r="AR1145" s="526"/>
      <c r="AS1145" s="526"/>
      <c r="AT1145" s="1124"/>
      <c r="AU1145" s="526"/>
      <c r="AV1145" s="526"/>
      <c r="AW1145" s="526"/>
      <c r="AX1145" s="526"/>
      <c r="AY1145" s="1124"/>
      <c r="AZ1145" s="526"/>
      <c r="BA1145" s="526"/>
      <c r="BB1145" s="526"/>
      <c r="BC1145" s="526"/>
      <c r="BD1145" s="1124"/>
      <c r="BE1145" s="526"/>
      <c r="BF1145" s="526"/>
      <c r="BG1145" s="526"/>
      <c r="BH1145" s="526"/>
      <c r="BI1145" s="1124"/>
      <c r="BJ1145" s="526"/>
      <c r="BK1145" s="526"/>
      <c r="BL1145" s="526"/>
      <c r="BM1145" s="526"/>
      <c r="BN1145" s="1124"/>
      <c r="BO1145" s="526"/>
      <c r="BP1145" s="526"/>
      <c r="BQ1145" s="526"/>
      <c r="BR1145" s="526"/>
      <c r="BS1145" s="1124"/>
      <c r="BT1145" s="729"/>
      <c r="BU1145" s="526"/>
      <c r="BV1145" s="526"/>
      <c r="BW1145" s="526"/>
      <c r="BX1145" s="1124"/>
      <c r="BY1145" s="526"/>
      <c r="BZ1145" s="526"/>
      <c r="CA1145" s="526"/>
      <c r="CB1145" s="526"/>
      <c r="CC1145" s="1124"/>
      <c r="CD1145" s="1124"/>
      <c r="CE1145" s="1124"/>
      <c r="CF1145" s="1124"/>
      <c r="CG1145" s="533"/>
    </row>
    <row r="1146" spans="1:85" s="613" customFormat="1" x14ac:dyDescent="0.3">
      <c r="A1146" s="478" t="s">
        <v>2067</v>
      </c>
      <c r="B1146" s="523"/>
      <c r="C1146" s="78"/>
      <c r="D1146" s="78"/>
      <c r="E1146" s="78"/>
      <c r="F1146" s="78"/>
      <c r="G1146" s="774"/>
      <c r="H1146" s="774"/>
      <c r="I1146" s="774"/>
      <c r="J1146" s="774"/>
      <c r="K1146" s="78"/>
      <c r="L1146" s="774"/>
      <c r="M1146" s="774"/>
      <c r="N1146" s="774"/>
      <c r="O1146" s="774"/>
      <c r="P1146" s="78"/>
      <c r="Q1146" s="774"/>
      <c r="R1146" s="774"/>
      <c r="S1146" s="774"/>
      <c r="T1146" s="774"/>
      <c r="U1146" s="78"/>
      <c r="V1146" s="774"/>
      <c r="W1146" s="774"/>
      <c r="X1146" s="774"/>
      <c r="Y1146" s="774"/>
      <c r="Z1146" s="78"/>
      <c r="AA1146" s="774"/>
      <c r="AB1146" s="774"/>
      <c r="AC1146" s="774"/>
      <c r="AD1146" s="774"/>
      <c r="AE1146" s="78"/>
      <c r="AF1146" s="774"/>
      <c r="AG1146" s="774"/>
      <c r="AH1146" s="774"/>
      <c r="AI1146" s="774"/>
      <c r="AJ1146" s="78"/>
      <c r="AK1146" s="774"/>
      <c r="AL1146" s="774"/>
      <c r="AM1146" s="774"/>
      <c r="AN1146" s="774"/>
      <c r="AO1146" s="78"/>
      <c r="AP1146" s="774"/>
      <c r="AQ1146" s="774"/>
      <c r="AR1146" s="774"/>
      <c r="AS1146" s="774"/>
      <c r="AT1146" s="78"/>
      <c r="AU1146" s="774"/>
      <c r="AV1146" s="774"/>
      <c r="AW1146" s="774"/>
      <c r="AX1146" s="774"/>
      <c r="AY1146" s="78"/>
      <c r="AZ1146" s="774"/>
      <c r="BA1146" s="774"/>
      <c r="BB1146" s="774"/>
      <c r="BC1146" s="774"/>
      <c r="BD1146" s="78"/>
      <c r="BE1146" s="774"/>
      <c r="BF1146" s="774"/>
      <c r="BG1146" s="774"/>
      <c r="BH1146" s="774"/>
      <c r="BI1146" s="1119">
        <v>3.3239999999999998</v>
      </c>
      <c r="BJ1146" s="774"/>
      <c r="BK1146" s="774"/>
      <c r="BL1146" s="774"/>
      <c r="BM1146" s="774"/>
      <c r="BN1146" s="1119">
        <v>3.3239999999999998</v>
      </c>
      <c r="BO1146" s="774"/>
      <c r="BP1146" s="774"/>
      <c r="BQ1146" s="774"/>
      <c r="BR1146" s="774"/>
      <c r="BS1146" s="78"/>
      <c r="BT1146" s="775"/>
      <c r="BU1146" s="774"/>
      <c r="BV1146" s="774"/>
      <c r="BW1146" s="774"/>
      <c r="BX1146" s="78"/>
      <c r="BY1146" s="774"/>
      <c r="BZ1146" s="774"/>
      <c r="CA1146" s="774"/>
      <c r="CB1146" s="774"/>
      <c r="CC1146" s="78"/>
      <c r="CD1146" s="78"/>
      <c r="CE1146" s="78"/>
      <c r="CF1146" s="78"/>
      <c r="CG1146" s="532"/>
    </row>
    <row r="1147" spans="1:85" s="616" customFormat="1" x14ac:dyDescent="0.3">
      <c r="A1147" s="522" t="s">
        <v>2068</v>
      </c>
      <c r="B1147" s="527"/>
      <c r="C1147" s="1124"/>
      <c r="D1147" s="1124"/>
      <c r="E1147" s="1124"/>
      <c r="F1147" s="1124"/>
      <c r="G1147" s="526"/>
      <c r="H1147" s="526"/>
      <c r="I1147" s="526"/>
      <c r="J1147" s="526"/>
      <c r="K1147" s="1124"/>
      <c r="L1147" s="526"/>
      <c r="M1147" s="526"/>
      <c r="N1147" s="526"/>
      <c r="O1147" s="526"/>
      <c r="P1147" s="1124"/>
      <c r="Q1147" s="526"/>
      <c r="R1147" s="526"/>
      <c r="S1147" s="526"/>
      <c r="T1147" s="526"/>
      <c r="U1147" s="1124"/>
      <c r="V1147" s="526"/>
      <c r="W1147" s="526"/>
      <c r="X1147" s="526"/>
      <c r="Y1147" s="526"/>
      <c r="Z1147" s="1124"/>
      <c r="AA1147" s="526"/>
      <c r="AB1147" s="526"/>
      <c r="AC1147" s="526"/>
      <c r="AD1147" s="526"/>
      <c r="AE1147" s="1124"/>
      <c r="AF1147" s="526"/>
      <c r="AG1147" s="526"/>
      <c r="AH1147" s="526"/>
      <c r="AI1147" s="526"/>
      <c r="AJ1147" s="1124"/>
      <c r="AK1147" s="526"/>
      <c r="AL1147" s="526"/>
      <c r="AM1147" s="526"/>
      <c r="AN1147" s="526"/>
      <c r="AO1147" s="1124"/>
      <c r="AP1147" s="526"/>
      <c r="AQ1147" s="526"/>
      <c r="AR1147" s="526"/>
      <c r="AS1147" s="526"/>
      <c r="AT1147" s="1124"/>
      <c r="AU1147" s="526"/>
      <c r="AV1147" s="526"/>
      <c r="AW1147" s="526"/>
      <c r="AX1147" s="526"/>
      <c r="AY1147" s="1124"/>
      <c r="AZ1147" s="526"/>
      <c r="BA1147" s="526"/>
      <c r="BB1147" s="526"/>
      <c r="BC1147" s="526"/>
      <c r="BD1147" s="1124"/>
      <c r="BE1147" s="526"/>
      <c r="BF1147" s="526"/>
      <c r="BG1147" s="526"/>
      <c r="BH1147" s="526"/>
      <c r="BI1147" s="1123">
        <v>438.62</v>
      </c>
      <c r="BJ1147" s="526"/>
      <c r="BK1147" s="526"/>
      <c r="BL1147" s="526"/>
      <c r="BM1147" s="526"/>
      <c r="BN1147" s="1123">
        <v>438.62</v>
      </c>
      <c r="BO1147" s="526"/>
      <c r="BP1147" s="526"/>
      <c r="BQ1147" s="526"/>
      <c r="BR1147" s="526"/>
      <c r="BS1147" s="1124"/>
      <c r="BT1147" s="729"/>
      <c r="BU1147" s="526"/>
      <c r="BV1147" s="526"/>
      <c r="BW1147" s="526"/>
      <c r="BX1147" s="1124"/>
      <c r="BY1147" s="526"/>
      <c r="BZ1147" s="526"/>
      <c r="CA1147" s="526"/>
      <c r="CB1147" s="526"/>
      <c r="CC1147" s="1124"/>
      <c r="CD1147" s="1124"/>
      <c r="CE1147" s="1124"/>
      <c r="CF1147" s="1124"/>
      <c r="CG1147" s="533"/>
    </row>
    <row r="1148" spans="1:85" s="616" customFormat="1" x14ac:dyDescent="0.3">
      <c r="A1148" s="522"/>
      <c r="B1148" s="527"/>
      <c r="C1148" s="1124"/>
      <c r="D1148" s="1124"/>
      <c r="E1148" s="1124"/>
      <c r="F1148" s="1124"/>
      <c r="G1148" s="526"/>
      <c r="H1148" s="526"/>
      <c r="I1148" s="526"/>
      <c r="J1148" s="526"/>
      <c r="K1148" s="1124"/>
      <c r="L1148" s="526"/>
      <c r="M1148" s="526"/>
      <c r="N1148" s="526"/>
      <c r="O1148" s="526"/>
      <c r="P1148" s="1124"/>
      <c r="Q1148" s="526"/>
      <c r="R1148" s="526"/>
      <c r="S1148" s="526"/>
      <c r="T1148" s="526"/>
      <c r="U1148" s="1124"/>
      <c r="V1148" s="526"/>
      <c r="W1148" s="526"/>
      <c r="X1148" s="526"/>
      <c r="Y1148" s="526"/>
      <c r="Z1148" s="1124"/>
      <c r="AA1148" s="526"/>
      <c r="AB1148" s="526"/>
      <c r="AC1148" s="526"/>
      <c r="AD1148" s="526"/>
      <c r="AE1148" s="1124"/>
      <c r="AF1148" s="526"/>
      <c r="AG1148" s="526"/>
      <c r="AH1148" s="526"/>
      <c r="AI1148" s="526"/>
      <c r="AJ1148" s="1124"/>
      <c r="AK1148" s="526"/>
      <c r="AL1148" s="526"/>
      <c r="AM1148" s="526"/>
      <c r="AN1148" s="526"/>
      <c r="AO1148" s="1124"/>
      <c r="AP1148" s="526"/>
      <c r="AQ1148" s="526"/>
      <c r="AR1148" s="526"/>
      <c r="AS1148" s="526"/>
      <c r="AT1148" s="1124"/>
      <c r="AU1148" s="526"/>
      <c r="AV1148" s="526"/>
      <c r="AW1148" s="526"/>
      <c r="AX1148" s="526"/>
      <c r="AY1148" s="1124"/>
      <c r="AZ1148" s="526"/>
      <c r="BA1148" s="526"/>
      <c r="BB1148" s="526"/>
      <c r="BC1148" s="526"/>
      <c r="BD1148" s="1124"/>
      <c r="BE1148" s="526"/>
      <c r="BF1148" s="526"/>
      <c r="BG1148" s="526"/>
      <c r="BH1148" s="526"/>
      <c r="BI1148" s="1124"/>
      <c r="BJ1148" s="526"/>
      <c r="BK1148" s="526"/>
      <c r="BL1148" s="526"/>
      <c r="BM1148" s="526"/>
      <c r="BN1148" s="1124"/>
      <c r="BO1148" s="526"/>
      <c r="BP1148" s="526"/>
      <c r="BQ1148" s="526"/>
      <c r="BR1148" s="526"/>
      <c r="BS1148" s="1124"/>
      <c r="BT1148" s="729"/>
      <c r="BU1148" s="526"/>
      <c r="BV1148" s="526"/>
      <c r="BW1148" s="526"/>
      <c r="BX1148" s="1124"/>
      <c r="BY1148" s="526"/>
      <c r="BZ1148" s="526"/>
      <c r="CA1148" s="526"/>
      <c r="CB1148" s="526"/>
      <c r="CC1148" s="1124"/>
      <c r="CD1148" s="1124"/>
      <c r="CE1148" s="1124"/>
      <c r="CF1148" s="1124"/>
      <c r="CG1148" s="533"/>
    </row>
    <row r="1149" spans="1:85" s="613" customFormat="1" x14ac:dyDescent="0.3">
      <c r="A1149" s="478" t="s">
        <v>2069</v>
      </c>
      <c r="B1149" s="523"/>
      <c r="C1149" s="78"/>
      <c r="D1149" s="78"/>
      <c r="E1149" s="78"/>
      <c r="F1149" s="78"/>
      <c r="G1149" s="774"/>
      <c r="H1149" s="774"/>
      <c r="I1149" s="774"/>
      <c r="J1149" s="774"/>
      <c r="K1149" s="78"/>
      <c r="L1149" s="774"/>
      <c r="M1149" s="774"/>
      <c r="N1149" s="774"/>
      <c r="O1149" s="774"/>
      <c r="P1149" s="78"/>
      <c r="Q1149" s="774"/>
      <c r="R1149" s="774"/>
      <c r="S1149" s="774"/>
      <c r="T1149" s="774"/>
      <c r="U1149" s="78"/>
      <c r="V1149" s="774"/>
      <c r="W1149" s="774"/>
      <c r="X1149" s="774"/>
      <c r="Y1149" s="774"/>
      <c r="Z1149" s="78"/>
      <c r="AA1149" s="774"/>
      <c r="AB1149" s="774"/>
      <c r="AC1149" s="774"/>
      <c r="AD1149" s="774"/>
      <c r="AE1149" s="78"/>
      <c r="AF1149" s="774"/>
      <c r="AG1149" s="774"/>
      <c r="AH1149" s="774"/>
      <c r="AI1149" s="774"/>
      <c r="AJ1149" s="78"/>
      <c r="AK1149" s="774"/>
      <c r="AL1149" s="774"/>
      <c r="AM1149" s="774"/>
      <c r="AN1149" s="774"/>
      <c r="AO1149" s="78"/>
      <c r="AP1149" s="774"/>
      <c r="AQ1149" s="774"/>
      <c r="AR1149" s="774"/>
      <c r="AS1149" s="774"/>
      <c r="AT1149" s="78"/>
      <c r="AU1149" s="774"/>
      <c r="AV1149" s="774"/>
      <c r="AW1149" s="774"/>
      <c r="AX1149" s="774"/>
      <c r="AY1149" s="78"/>
      <c r="AZ1149" s="774"/>
      <c r="BA1149" s="774"/>
      <c r="BB1149" s="774"/>
      <c r="BC1149" s="774"/>
      <c r="BD1149" s="78"/>
      <c r="BE1149" s="774"/>
      <c r="BF1149" s="774"/>
      <c r="BG1149" s="774"/>
      <c r="BH1149" s="774"/>
      <c r="BI1149" s="1119">
        <v>3.3159999999999998</v>
      </c>
      <c r="BJ1149" s="774"/>
      <c r="BK1149" s="774"/>
      <c r="BL1149" s="774"/>
      <c r="BM1149" s="774"/>
      <c r="BN1149" s="1119">
        <v>3.3159999999999998</v>
      </c>
      <c r="BO1149" s="774"/>
      <c r="BP1149" s="774"/>
      <c r="BQ1149" s="774"/>
      <c r="BR1149" s="774"/>
      <c r="BS1149" s="78"/>
      <c r="BT1149" s="775"/>
      <c r="BU1149" s="774"/>
      <c r="BV1149" s="774"/>
      <c r="BW1149" s="774"/>
      <c r="BX1149" s="78"/>
      <c r="BY1149" s="774"/>
      <c r="BZ1149" s="774"/>
      <c r="CA1149" s="774"/>
      <c r="CB1149" s="774"/>
      <c r="CC1149" s="78"/>
      <c r="CD1149" s="78"/>
      <c r="CE1149" s="78"/>
      <c r="CF1149" s="78"/>
      <c r="CG1149" s="532"/>
    </row>
    <row r="1150" spans="1:85" s="616" customFormat="1" x14ac:dyDescent="0.3">
      <c r="A1150" s="522" t="s">
        <v>2070</v>
      </c>
      <c r="B1150" s="527"/>
      <c r="C1150" s="1124"/>
      <c r="D1150" s="1124"/>
      <c r="E1150" s="1124"/>
      <c r="F1150" s="1124"/>
      <c r="G1150" s="526"/>
      <c r="H1150" s="526"/>
      <c r="I1150" s="526"/>
      <c r="J1150" s="526"/>
      <c r="K1150" s="1124"/>
      <c r="L1150" s="526"/>
      <c r="M1150" s="526"/>
      <c r="N1150" s="526"/>
      <c r="O1150" s="526"/>
      <c r="P1150" s="1124"/>
      <c r="Q1150" s="526"/>
      <c r="R1150" s="526"/>
      <c r="S1150" s="526"/>
      <c r="T1150" s="526"/>
      <c r="U1150" s="1124"/>
      <c r="V1150" s="526"/>
      <c r="W1150" s="526"/>
      <c r="X1150" s="526"/>
      <c r="Y1150" s="526"/>
      <c r="Z1150" s="1124"/>
      <c r="AA1150" s="526"/>
      <c r="AB1150" s="526"/>
      <c r="AC1150" s="526"/>
      <c r="AD1150" s="526"/>
      <c r="AE1150" s="1124"/>
      <c r="AF1150" s="526"/>
      <c r="AG1150" s="526"/>
      <c r="AH1150" s="526"/>
      <c r="AI1150" s="526"/>
      <c r="AJ1150" s="1124"/>
      <c r="AK1150" s="526"/>
      <c r="AL1150" s="526"/>
      <c r="AM1150" s="526"/>
      <c r="AN1150" s="526"/>
      <c r="AO1150" s="1124"/>
      <c r="AP1150" s="526"/>
      <c r="AQ1150" s="526"/>
      <c r="AR1150" s="526"/>
      <c r="AS1150" s="526"/>
      <c r="AT1150" s="1124"/>
      <c r="AU1150" s="526"/>
      <c r="AV1150" s="526"/>
      <c r="AW1150" s="526"/>
      <c r="AX1150" s="526"/>
      <c r="AY1150" s="1124"/>
      <c r="AZ1150" s="526"/>
      <c r="BA1150" s="526"/>
      <c r="BB1150" s="526"/>
      <c r="BC1150" s="526"/>
      <c r="BD1150" s="1124"/>
      <c r="BE1150" s="526"/>
      <c r="BF1150" s="526"/>
      <c r="BG1150" s="526"/>
      <c r="BH1150" s="526"/>
      <c r="BI1150" s="1123">
        <v>439.88</v>
      </c>
      <c r="BJ1150" s="526"/>
      <c r="BK1150" s="526"/>
      <c r="BL1150" s="526"/>
      <c r="BM1150" s="526"/>
      <c r="BN1150" s="1123">
        <v>439.88</v>
      </c>
      <c r="BO1150" s="526"/>
      <c r="BP1150" s="526"/>
      <c r="BQ1150" s="526"/>
      <c r="BR1150" s="526"/>
      <c r="BS1150" s="1124"/>
      <c r="BT1150" s="729"/>
      <c r="BU1150" s="526"/>
      <c r="BV1150" s="526"/>
      <c r="BW1150" s="526"/>
      <c r="BX1150" s="1124"/>
      <c r="BY1150" s="526"/>
      <c r="BZ1150" s="526"/>
      <c r="CA1150" s="526"/>
      <c r="CB1150" s="526"/>
      <c r="CC1150" s="1124"/>
      <c r="CD1150" s="1124"/>
      <c r="CE1150" s="1124"/>
      <c r="CF1150" s="1124"/>
      <c r="CG1150" s="533"/>
    </row>
    <row r="1151" spans="1:85" s="616" customFormat="1" x14ac:dyDescent="0.3">
      <c r="A1151" s="522"/>
      <c r="B1151" s="527"/>
      <c r="C1151" s="1124"/>
      <c r="D1151" s="1124"/>
      <c r="E1151" s="1124"/>
      <c r="F1151" s="1124"/>
      <c r="G1151" s="526"/>
      <c r="H1151" s="526"/>
      <c r="I1151" s="526"/>
      <c r="J1151" s="526"/>
      <c r="K1151" s="1124"/>
      <c r="L1151" s="526"/>
      <c r="M1151" s="526"/>
      <c r="N1151" s="526"/>
      <c r="O1151" s="526"/>
      <c r="P1151" s="1124"/>
      <c r="Q1151" s="526"/>
      <c r="R1151" s="526"/>
      <c r="S1151" s="526"/>
      <c r="T1151" s="526"/>
      <c r="U1151" s="1124"/>
      <c r="V1151" s="526"/>
      <c r="W1151" s="526"/>
      <c r="X1151" s="526"/>
      <c r="Y1151" s="526"/>
      <c r="Z1151" s="1124"/>
      <c r="AA1151" s="526"/>
      <c r="AB1151" s="526"/>
      <c r="AC1151" s="526"/>
      <c r="AD1151" s="526"/>
      <c r="AE1151" s="1124"/>
      <c r="AF1151" s="526"/>
      <c r="AG1151" s="526"/>
      <c r="AH1151" s="526"/>
      <c r="AI1151" s="526"/>
      <c r="AJ1151" s="1124"/>
      <c r="AK1151" s="526"/>
      <c r="AL1151" s="526"/>
      <c r="AM1151" s="526"/>
      <c r="AN1151" s="526"/>
      <c r="AO1151" s="1124"/>
      <c r="AP1151" s="526"/>
      <c r="AQ1151" s="526"/>
      <c r="AR1151" s="526"/>
      <c r="AS1151" s="526"/>
      <c r="AT1151" s="1124"/>
      <c r="AU1151" s="526"/>
      <c r="AV1151" s="526"/>
      <c r="AW1151" s="526"/>
      <c r="AX1151" s="526"/>
      <c r="AY1151" s="1124"/>
      <c r="AZ1151" s="526"/>
      <c r="BA1151" s="526"/>
      <c r="BB1151" s="526"/>
      <c r="BC1151" s="526"/>
      <c r="BD1151" s="1124"/>
      <c r="BE1151" s="526"/>
      <c r="BF1151" s="526"/>
      <c r="BG1151" s="526"/>
      <c r="BH1151" s="526"/>
      <c r="BI1151" s="1124"/>
      <c r="BJ1151" s="526"/>
      <c r="BK1151" s="526"/>
      <c r="BL1151" s="526"/>
      <c r="BM1151" s="526"/>
      <c r="BN1151" s="1124"/>
      <c r="BO1151" s="526"/>
      <c r="BP1151" s="526"/>
      <c r="BQ1151" s="526"/>
      <c r="BR1151" s="526"/>
      <c r="BS1151" s="1124"/>
      <c r="BT1151" s="729"/>
      <c r="BU1151" s="526"/>
      <c r="BV1151" s="526"/>
      <c r="BW1151" s="526"/>
      <c r="BX1151" s="1124"/>
      <c r="BY1151" s="526"/>
      <c r="BZ1151" s="526"/>
      <c r="CA1151" s="526"/>
      <c r="CB1151" s="526"/>
      <c r="CC1151" s="1124"/>
      <c r="CD1151" s="1124"/>
      <c r="CE1151" s="1124"/>
      <c r="CF1151" s="1124"/>
      <c r="CG1151" s="533"/>
    </row>
    <row r="1152" spans="1:85" s="613" customFormat="1" x14ac:dyDescent="0.3">
      <c r="A1152" s="478" t="s">
        <v>2071</v>
      </c>
      <c r="B1152" s="523"/>
      <c r="C1152" s="78"/>
      <c r="D1152" s="78"/>
      <c r="E1152" s="78"/>
      <c r="F1152" s="78"/>
      <c r="G1152" s="774"/>
      <c r="H1152" s="774"/>
      <c r="I1152" s="774"/>
      <c r="J1152" s="774"/>
      <c r="K1152" s="78"/>
      <c r="L1152" s="774"/>
      <c r="M1152" s="774"/>
      <c r="N1152" s="774"/>
      <c r="O1152" s="774"/>
      <c r="P1152" s="78"/>
      <c r="Q1152" s="774"/>
      <c r="R1152" s="774"/>
      <c r="S1152" s="774"/>
      <c r="T1152" s="774"/>
      <c r="U1152" s="78"/>
      <c r="V1152" s="774"/>
      <c r="W1152" s="774"/>
      <c r="X1152" s="774"/>
      <c r="Y1152" s="774"/>
      <c r="Z1152" s="78"/>
      <c r="AA1152" s="774"/>
      <c r="AB1152" s="774"/>
      <c r="AC1152" s="774"/>
      <c r="AD1152" s="774"/>
      <c r="AE1152" s="78"/>
      <c r="AF1152" s="774"/>
      <c r="AG1152" s="774"/>
      <c r="AH1152" s="774"/>
      <c r="AI1152" s="774"/>
      <c r="AJ1152" s="78"/>
      <c r="AK1152" s="774"/>
      <c r="AL1152" s="774"/>
      <c r="AM1152" s="774"/>
      <c r="AN1152" s="774"/>
      <c r="AO1152" s="78"/>
      <c r="AP1152" s="774"/>
      <c r="AQ1152" s="774"/>
      <c r="AR1152" s="774"/>
      <c r="AS1152" s="774"/>
      <c r="AT1152" s="78"/>
      <c r="AU1152" s="774"/>
      <c r="AV1152" s="774"/>
      <c r="AW1152" s="774"/>
      <c r="AX1152" s="774"/>
      <c r="AY1152" s="78"/>
      <c r="AZ1152" s="774"/>
      <c r="BA1152" s="774"/>
      <c r="BB1152" s="774"/>
      <c r="BC1152" s="774"/>
      <c r="BD1152" s="78"/>
      <c r="BE1152" s="774"/>
      <c r="BF1152" s="774"/>
      <c r="BG1152" s="774"/>
      <c r="BH1152" s="774"/>
      <c r="BI1152" s="1119">
        <v>3.8340000000000001</v>
      </c>
      <c r="BJ1152" s="774"/>
      <c r="BK1152" s="774"/>
      <c r="BL1152" s="774"/>
      <c r="BM1152" s="774"/>
      <c r="BN1152" s="1119">
        <v>3.8340000000000001</v>
      </c>
      <c r="BO1152" s="774"/>
      <c r="BP1152" s="774"/>
      <c r="BQ1152" s="774"/>
      <c r="BR1152" s="774"/>
      <c r="BS1152" s="78"/>
      <c r="BT1152" s="775"/>
      <c r="BU1152" s="774"/>
      <c r="BV1152" s="774"/>
      <c r="BW1152" s="774"/>
      <c r="BX1152" s="78"/>
      <c r="BY1152" s="774"/>
      <c r="BZ1152" s="774"/>
      <c r="CA1152" s="774"/>
      <c r="CB1152" s="774"/>
      <c r="CC1152" s="78"/>
      <c r="CD1152" s="78"/>
      <c r="CE1152" s="78"/>
      <c r="CF1152" s="78"/>
      <c r="CG1152" s="532"/>
    </row>
    <row r="1153" spans="1:85" s="616" customFormat="1" x14ac:dyDescent="0.3">
      <c r="A1153" s="522" t="s">
        <v>2072</v>
      </c>
      <c r="B1153" s="527"/>
      <c r="C1153" s="1124"/>
      <c r="D1153" s="1124"/>
      <c r="E1153" s="1124"/>
      <c r="F1153" s="1124"/>
      <c r="G1153" s="526"/>
      <c r="H1153" s="526"/>
      <c r="I1153" s="526"/>
      <c r="J1153" s="526"/>
      <c r="K1153" s="1124"/>
      <c r="L1153" s="526"/>
      <c r="M1153" s="526"/>
      <c r="N1153" s="526"/>
      <c r="O1153" s="526"/>
      <c r="P1153" s="1124"/>
      <c r="Q1153" s="526"/>
      <c r="R1153" s="526"/>
      <c r="S1153" s="526"/>
      <c r="T1153" s="526"/>
      <c r="U1153" s="1124"/>
      <c r="V1153" s="526"/>
      <c r="W1153" s="526"/>
      <c r="X1153" s="526"/>
      <c r="Y1153" s="526"/>
      <c r="Z1153" s="1124"/>
      <c r="AA1153" s="526"/>
      <c r="AB1153" s="526"/>
      <c r="AC1153" s="526"/>
      <c r="AD1153" s="526"/>
      <c r="AE1153" s="1124"/>
      <c r="AF1153" s="526"/>
      <c r="AG1153" s="526"/>
      <c r="AH1153" s="526"/>
      <c r="AI1153" s="526"/>
      <c r="AJ1153" s="1124"/>
      <c r="AK1153" s="526"/>
      <c r="AL1153" s="526"/>
      <c r="AM1153" s="526"/>
      <c r="AN1153" s="526"/>
      <c r="AO1153" s="1124"/>
      <c r="AP1153" s="526"/>
      <c r="AQ1153" s="526"/>
      <c r="AR1153" s="526"/>
      <c r="AS1153" s="526"/>
      <c r="AT1153" s="1124"/>
      <c r="AU1153" s="526"/>
      <c r="AV1153" s="526"/>
      <c r="AW1153" s="526"/>
      <c r="AX1153" s="526"/>
      <c r="AY1153" s="1124"/>
      <c r="AZ1153" s="526"/>
      <c r="BA1153" s="526"/>
      <c r="BB1153" s="526"/>
      <c r="BC1153" s="526"/>
      <c r="BD1153" s="1124"/>
      <c r="BE1153" s="526"/>
      <c r="BF1153" s="526"/>
      <c r="BG1153" s="526"/>
      <c r="BH1153" s="526"/>
      <c r="BI1153" s="1123">
        <v>380.33</v>
      </c>
      <c r="BJ1153" s="526"/>
      <c r="BK1153" s="526"/>
      <c r="BL1153" s="526"/>
      <c r="BM1153" s="526"/>
      <c r="BN1153" s="1123">
        <v>380.33</v>
      </c>
      <c r="BO1153" s="526"/>
      <c r="BP1153" s="526"/>
      <c r="BQ1153" s="526"/>
      <c r="BR1153" s="526"/>
      <c r="BS1153" s="1124"/>
      <c r="BT1153" s="729"/>
      <c r="BU1153" s="526"/>
      <c r="BV1153" s="526"/>
      <c r="BW1153" s="526"/>
      <c r="BX1153" s="1124"/>
      <c r="BY1153" s="526"/>
      <c r="BZ1153" s="526"/>
      <c r="CA1153" s="526"/>
      <c r="CB1153" s="526"/>
      <c r="CC1153" s="1124"/>
      <c r="CD1153" s="1124"/>
      <c r="CE1153" s="1124"/>
      <c r="CF1153" s="1124"/>
      <c r="CG1153" s="533"/>
    </row>
    <row r="1154" spans="1:85" s="616" customFormat="1" x14ac:dyDescent="0.3">
      <c r="A1154" s="522"/>
      <c r="B1154" s="527"/>
      <c r="C1154" s="1124"/>
      <c r="D1154" s="1124"/>
      <c r="E1154" s="1124"/>
      <c r="F1154" s="1124"/>
      <c r="G1154" s="526"/>
      <c r="H1154" s="526"/>
      <c r="I1154" s="526"/>
      <c r="J1154" s="526"/>
      <c r="K1154" s="1124"/>
      <c r="L1154" s="526"/>
      <c r="M1154" s="526"/>
      <c r="N1154" s="526"/>
      <c r="O1154" s="526"/>
      <c r="P1154" s="1124"/>
      <c r="Q1154" s="526"/>
      <c r="R1154" s="526"/>
      <c r="S1154" s="526"/>
      <c r="T1154" s="526"/>
      <c r="U1154" s="1124"/>
      <c r="V1154" s="526"/>
      <c r="W1154" s="526"/>
      <c r="X1154" s="526"/>
      <c r="Y1154" s="526"/>
      <c r="Z1154" s="1124"/>
      <c r="AA1154" s="526"/>
      <c r="AB1154" s="526"/>
      <c r="AC1154" s="526"/>
      <c r="AD1154" s="526"/>
      <c r="AE1154" s="1124"/>
      <c r="AF1154" s="526"/>
      <c r="AG1154" s="526"/>
      <c r="AH1154" s="526"/>
      <c r="AI1154" s="526"/>
      <c r="AJ1154" s="1124"/>
      <c r="AK1154" s="526"/>
      <c r="AL1154" s="526"/>
      <c r="AM1154" s="526"/>
      <c r="AN1154" s="526"/>
      <c r="AO1154" s="1124"/>
      <c r="AP1154" s="526"/>
      <c r="AQ1154" s="526"/>
      <c r="AR1154" s="526"/>
      <c r="AS1154" s="526"/>
      <c r="AT1154" s="1124"/>
      <c r="AU1154" s="526"/>
      <c r="AV1154" s="526"/>
      <c r="AW1154" s="526"/>
      <c r="AX1154" s="526"/>
      <c r="AY1154" s="1124"/>
      <c r="AZ1154" s="526"/>
      <c r="BA1154" s="526"/>
      <c r="BB1154" s="526"/>
      <c r="BC1154" s="526"/>
      <c r="BD1154" s="1124"/>
      <c r="BE1154" s="526"/>
      <c r="BF1154" s="526"/>
      <c r="BG1154" s="526"/>
      <c r="BH1154" s="526"/>
      <c r="BI1154" s="1124"/>
      <c r="BJ1154" s="526"/>
      <c r="BK1154" s="526"/>
      <c r="BL1154" s="526"/>
      <c r="BM1154" s="526"/>
      <c r="BN1154" s="1124"/>
      <c r="BO1154" s="526"/>
      <c r="BP1154" s="526"/>
      <c r="BQ1154" s="526"/>
      <c r="BR1154" s="526"/>
      <c r="BS1154" s="1124"/>
      <c r="BT1154" s="729"/>
      <c r="BU1154" s="526"/>
      <c r="BV1154" s="526"/>
      <c r="BW1154" s="526"/>
      <c r="BX1154" s="1124"/>
      <c r="BY1154" s="526"/>
      <c r="BZ1154" s="526"/>
      <c r="CA1154" s="526"/>
      <c r="CB1154" s="526"/>
      <c r="CC1154" s="1124"/>
      <c r="CD1154" s="1124"/>
      <c r="CE1154" s="1124"/>
      <c r="CF1154" s="1124"/>
      <c r="CG1154" s="533"/>
    </row>
    <row r="1155" spans="1:85" s="613" customFormat="1" x14ac:dyDescent="0.3">
      <c r="A1155" s="478" t="s">
        <v>2073</v>
      </c>
      <c r="B1155" s="523"/>
      <c r="C1155" s="78"/>
      <c r="D1155" s="78"/>
      <c r="E1155" s="78"/>
      <c r="F1155" s="78"/>
      <c r="G1155" s="774"/>
      <c r="H1155" s="774"/>
      <c r="I1155" s="774"/>
      <c r="J1155" s="774"/>
      <c r="K1155" s="78"/>
      <c r="L1155" s="774"/>
      <c r="M1155" s="774"/>
      <c r="N1155" s="774"/>
      <c r="O1155" s="774"/>
      <c r="P1155" s="78"/>
      <c r="Q1155" s="774"/>
      <c r="R1155" s="774"/>
      <c r="S1155" s="774"/>
      <c r="T1155" s="774"/>
      <c r="U1155" s="78"/>
      <c r="V1155" s="774"/>
      <c r="W1155" s="774"/>
      <c r="X1155" s="774"/>
      <c r="Y1155" s="774"/>
      <c r="Z1155" s="78"/>
      <c r="AA1155" s="774"/>
      <c r="AB1155" s="774"/>
      <c r="AC1155" s="774"/>
      <c r="AD1155" s="774"/>
      <c r="AE1155" s="78"/>
      <c r="AF1155" s="774"/>
      <c r="AG1155" s="774"/>
      <c r="AH1155" s="774"/>
      <c r="AI1155" s="774"/>
      <c r="AJ1155" s="78"/>
      <c r="AK1155" s="774"/>
      <c r="AL1155" s="774"/>
      <c r="AM1155" s="774"/>
      <c r="AN1155" s="774"/>
      <c r="AO1155" s="78"/>
      <c r="AP1155" s="774"/>
      <c r="AQ1155" s="774"/>
      <c r="AR1155" s="774"/>
      <c r="AS1155" s="774"/>
      <c r="AT1155" s="78"/>
      <c r="AU1155" s="774"/>
      <c r="AV1155" s="774"/>
      <c r="AW1155" s="774"/>
      <c r="AX1155" s="774"/>
      <c r="AY1155" s="78"/>
      <c r="AZ1155" s="774"/>
      <c r="BA1155" s="774"/>
      <c r="BB1155" s="774"/>
      <c r="BC1155" s="774"/>
      <c r="BD1155" s="78"/>
      <c r="BE1155" s="774"/>
      <c r="BF1155" s="774"/>
      <c r="BG1155" s="774"/>
      <c r="BH1155" s="774"/>
      <c r="BI1155" s="1119">
        <v>3.4710000000000001</v>
      </c>
      <c r="BJ1155" s="774"/>
      <c r="BK1155" s="774"/>
      <c r="BL1155" s="774"/>
      <c r="BM1155" s="774"/>
      <c r="BN1155" s="1119">
        <v>3.4710000000000001</v>
      </c>
      <c r="BO1155" s="774"/>
      <c r="BP1155" s="774"/>
      <c r="BQ1155" s="774"/>
      <c r="BR1155" s="774"/>
      <c r="BS1155" s="78"/>
      <c r="BT1155" s="775"/>
      <c r="BU1155" s="774"/>
      <c r="BV1155" s="774"/>
      <c r="BW1155" s="774"/>
      <c r="BX1155" s="78"/>
      <c r="BY1155" s="774"/>
      <c r="BZ1155" s="774"/>
      <c r="CA1155" s="774"/>
      <c r="CB1155" s="774"/>
      <c r="CC1155" s="78"/>
      <c r="CD1155" s="78"/>
      <c r="CE1155" s="78"/>
      <c r="CF1155" s="78"/>
      <c r="CG1155" s="532"/>
    </row>
    <row r="1156" spans="1:85" s="616" customFormat="1" x14ac:dyDescent="0.3">
      <c r="A1156" s="522" t="s">
        <v>2074</v>
      </c>
      <c r="B1156" s="527"/>
      <c r="C1156" s="1124"/>
      <c r="D1156" s="1124"/>
      <c r="E1156" s="1124"/>
      <c r="F1156" s="1124"/>
      <c r="G1156" s="526"/>
      <c r="H1156" s="526"/>
      <c r="I1156" s="526"/>
      <c r="J1156" s="526"/>
      <c r="K1156" s="1124"/>
      <c r="L1156" s="526"/>
      <c r="M1156" s="526"/>
      <c r="N1156" s="526"/>
      <c r="O1156" s="526"/>
      <c r="P1156" s="1124"/>
      <c r="Q1156" s="526"/>
      <c r="R1156" s="526"/>
      <c r="S1156" s="526"/>
      <c r="T1156" s="526"/>
      <c r="U1156" s="1124"/>
      <c r="V1156" s="526"/>
      <c r="W1156" s="526"/>
      <c r="X1156" s="526"/>
      <c r="Y1156" s="526"/>
      <c r="Z1156" s="1124"/>
      <c r="AA1156" s="526"/>
      <c r="AB1156" s="526"/>
      <c r="AC1156" s="526"/>
      <c r="AD1156" s="526"/>
      <c r="AE1156" s="1124"/>
      <c r="AF1156" s="526"/>
      <c r="AG1156" s="526"/>
      <c r="AH1156" s="526"/>
      <c r="AI1156" s="526"/>
      <c r="AJ1156" s="1124"/>
      <c r="AK1156" s="526"/>
      <c r="AL1156" s="526"/>
      <c r="AM1156" s="526"/>
      <c r="AN1156" s="526"/>
      <c r="AO1156" s="1124"/>
      <c r="AP1156" s="526"/>
      <c r="AQ1156" s="526"/>
      <c r="AR1156" s="526"/>
      <c r="AS1156" s="526"/>
      <c r="AT1156" s="1124"/>
      <c r="AU1156" s="526"/>
      <c r="AV1156" s="526"/>
      <c r="AW1156" s="526"/>
      <c r="AX1156" s="526"/>
      <c r="AY1156" s="1124"/>
      <c r="AZ1156" s="526"/>
      <c r="BA1156" s="526"/>
      <c r="BB1156" s="526"/>
      <c r="BC1156" s="526"/>
      <c r="BD1156" s="1124"/>
      <c r="BE1156" s="526"/>
      <c r="BF1156" s="526"/>
      <c r="BG1156" s="526"/>
      <c r="BH1156" s="526"/>
      <c r="BI1156" s="1123">
        <v>420.19</v>
      </c>
      <c r="BJ1156" s="526"/>
      <c r="BK1156" s="526"/>
      <c r="BL1156" s="526"/>
      <c r="BM1156" s="526"/>
      <c r="BN1156" s="1123">
        <v>420.19</v>
      </c>
      <c r="BO1156" s="526"/>
      <c r="BP1156" s="526"/>
      <c r="BQ1156" s="526"/>
      <c r="BR1156" s="526"/>
      <c r="BS1156" s="1124"/>
      <c r="BT1156" s="729"/>
      <c r="BU1156" s="526"/>
      <c r="BV1156" s="526"/>
      <c r="BW1156" s="526"/>
      <c r="BX1156" s="1124"/>
      <c r="BY1156" s="526"/>
      <c r="BZ1156" s="526"/>
      <c r="CA1156" s="526"/>
      <c r="CB1156" s="526"/>
      <c r="CC1156" s="1124"/>
      <c r="CD1156" s="1124"/>
      <c r="CE1156" s="1124"/>
      <c r="CF1156" s="1124"/>
      <c r="CG1156" s="533"/>
    </row>
    <row r="1157" spans="1:85" s="614" customFormat="1" x14ac:dyDescent="0.3">
      <c r="A1157" s="522"/>
      <c r="B1157" s="352"/>
      <c r="C1157" s="1094"/>
      <c r="D1157" s="1094"/>
      <c r="E1157" s="1094"/>
      <c r="F1157" s="1094"/>
      <c r="G1157" s="197"/>
      <c r="H1157" s="197"/>
      <c r="I1157" s="197"/>
      <c r="J1157" s="197"/>
      <c r="K1157" s="1094"/>
      <c r="L1157" s="197"/>
      <c r="M1157" s="197"/>
      <c r="N1157" s="197"/>
      <c r="O1157" s="197"/>
      <c r="P1157" s="1094"/>
      <c r="Q1157" s="197"/>
      <c r="R1157" s="197"/>
      <c r="S1157" s="197"/>
      <c r="T1157" s="197"/>
      <c r="U1157" s="1094"/>
      <c r="V1157" s="197"/>
      <c r="W1157" s="197"/>
      <c r="X1157" s="197"/>
      <c r="Y1157" s="197"/>
      <c r="Z1157" s="1094"/>
      <c r="AA1157" s="197"/>
      <c r="AB1157" s="197"/>
      <c r="AC1157" s="197"/>
      <c r="AD1157" s="197"/>
      <c r="AE1157" s="1094"/>
      <c r="AF1157" s="197"/>
      <c r="AG1157" s="197"/>
      <c r="AH1157" s="197"/>
      <c r="AI1157" s="197"/>
      <c r="AJ1157" s="1094"/>
      <c r="AK1157" s="197"/>
      <c r="AL1157" s="197"/>
      <c r="AM1157" s="197"/>
      <c r="AN1157" s="197"/>
      <c r="AO1157" s="1094"/>
      <c r="AP1157" s="197"/>
      <c r="AQ1157" s="197"/>
      <c r="AR1157" s="197"/>
      <c r="AS1157" s="197"/>
      <c r="AT1157" s="198"/>
      <c r="AU1157" s="197"/>
      <c r="AV1157" s="197"/>
      <c r="AW1157" s="197"/>
      <c r="AX1157" s="197"/>
      <c r="AY1157" s="198"/>
      <c r="AZ1157" s="197"/>
      <c r="BA1157" s="197"/>
      <c r="BB1157" s="197"/>
      <c r="BC1157" s="197"/>
      <c r="BD1157" s="198"/>
      <c r="BE1157" s="197"/>
      <c r="BF1157" s="197"/>
      <c r="BG1157" s="197"/>
      <c r="BH1157" s="197"/>
      <c r="BI1157" s="1094"/>
      <c r="BJ1157" s="197"/>
      <c r="BK1157" s="197"/>
      <c r="BL1157" s="197"/>
      <c r="BM1157" s="197"/>
      <c r="BN1157" s="1094"/>
      <c r="BO1157" s="197"/>
      <c r="BP1157" s="197"/>
      <c r="BQ1157" s="197"/>
      <c r="BR1157" s="197"/>
      <c r="BS1157" s="1094"/>
      <c r="BT1157" s="727"/>
      <c r="BU1157" s="197"/>
      <c r="BV1157" s="197"/>
      <c r="BW1157" s="197"/>
      <c r="BX1157" s="1094"/>
      <c r="BY1157" s="197"/>
      <c r="BZ1157" s="197"/>
      <c r="CA1157" s="197"/>
      <c r="CB1157" s="197"/>
      <c r="CC1157" s="1094"/>
      <c r="CD1157" s="1094"/>
      <c r="CE1157" s="1094"/>
      <c r="CF1157" s="1094"/>
      <c r="CG1157" s="349"/>
    </row>
    <row r="1158" spans="1:85" s="613" customFormat="1" x14ac:dyDescent="0.3">
      <c r="A1158" s="478" t="s">
        <v>2075</v>
      </c>
      <c r="B1158" s="523"/>
      <c r="C1158" s="78"/>
      <c r="D1158" s="78"/>
      <c r="E1158" s="78"/>
      <c r="F1158" s="78"/>
      <c r="G1158" s="774"/>
      <c r="H1158" s="774"/>
      <c r="I1158" s="774"/>
      <c r="J1158" s="774"/>
      <c r="K1158" s="78"/>
      <c r="L1158" s="774"/>
      <c r="M1158" s="774"/>
      <c r="N1158" s="774"/>
      <c r="O1158" s="774"/>
      <c r="P1158" s="78"/>
      <c r="Q1158" s="774"/>
      <c r="R1158" s="774"/>
      <c r="S1158" s="774"/>
      <c r="T1158" s="774"/>
      <c r="U1158" s="78"/>
      <c r="V1158" s="774"/>
      <c r="W1158" s="774"/>
      <c r="X1158" s="774"/>
      <c r="Y1158" s="774"/>
      <c r="Z1158" s="78"/>
      <c r="AA1158" s="774"/>
      <c r="AB1158" s="774"/>
      <c r="AC1158" s="774"/>
      <c r="AD1158" s="774"/>
      <c r="AE1158" s="78"/>
      <c r="AF1158" s="774"/>
      <c r="AG1158" s="774"/>
      <c r="AH1158" s="774"/>
      <c r="AI1158" s="774"/>
      <c r="AJ1158" s="78"/>
      <c r="AK1158" s="774"/>
      <c r="AL1158" s="774"/>
      <c r="AM1158" s="774"/>
      <c r="AN1158" s="774"/>
      <c r="AO1158" s="78"/>
      <c r="AP1158" s="774"/>
      <c r="AQ1158" s="774"/>
      <c r="AR1158" s="774"/>
      <c r="AS1158" s="774"/>
      <c r="AT1158" s="78"/>
      <c r="AU1158" s="774"/>
      <c r="AV1158" s="774"/>
      <c r="AW1158" s="774"/>
      <c r="AX1158" s="774"/>
      <c r="AY1158" s="78"/>
      <c r="AZ1158" s="774"/>
      <c r="BA1158" s="774"/>
      <c r="BB1158" s="774"/>
      <c r="BC1158" s="774"/>
      <c r="BD1158" s="78"/>
      <c r="BE1158" s="774"/>
      <c r="BF1158" s="774"/>
      <c r="BG1158" s="774"/>
      <c r="BH1158" s="774"/>
      <c r="BI1158" s="1119">
        <v>3.1309999999999998</v>
      </c>
      <c r="BJ1158" s="774"/>
      <c r="BK1158" s="774"/>
      <c r="BL1158" s="774"/>
      <c r="BM1158" s="774"/>
      <c r="BN1158" s="1119">
        <v>3.1309999999999998</v>
      </c>
      <c r="BO1158" s="774"/>
      <c r="BP1158" s="774"/>
      <c r="BQ1158" s="774"/>
      <c r="BR1158" s="774"/>
      <c r="BS1158" s="78"/>
      <c r="BT1158" s="775"/>
      <c r="BU1158" s="774"/>
      <c r="BV1158" s="774"/>
      <c r="BW1158" s="774"/>
      <c r="BX1158" s="78"/>
      <c r="BY1158" s="774"/>
      <c r="BZ1158" s="774"/>
      <c r="CA1158" s="774"/>
      <c r="CB1158" s="774"/>
      <c r="CC1158" s="78"/>
      <c r="CD1158" s="78"/>
      <c r="CE1158" s="78"/>
      <c r="CF1158" s="78"/>
      <c r="CG1158" s="532"/>
    </row>
    <row r="1159" spans="1:85" s="616" customFormat="1" x14ac:dyDescent="0.3">
      <c r="A1159" s="522" t="s">
        <v>2076</v>
      </c>
      <c r="B1159" s="527"/>
      <c r="C1159" s="1124"/>
      <c r="D1159" s="1124"/>
      <c r="E1159" s="1124"/>
      <c r="F1159" s="1124"/>
      <c r="G1159" s="526"/>
      <c r="H1159" s="526"/>
      <c r="I1159" s="526"/>
      <c r="J1159" s="526"/>
      <c r="K1159" s="1124"/>
      <c r="L1159" s="526"/>
      <c r="M1159" s="526"/>
      <c r="N1159" s="526"/>
      <c r="O1159" s="526"/>
      <c r="P1159" s="1124"/>
      <c r="Q1159" s="526"/>
      <c r="R1159" s="526"/>
      <c r="S1159" s="526"/>
      <c r="T1159" s="526"/>
      <c r="U1159" s="1124"/>
      <c r="V1159" s="526"/>
      <c r="W1159" s="526"/>
      <c r="X1159" s="526"/>
      <c r="Y1159" s="526"/>
      <c r="Z1159" s="1124"/>
      <c r="AA1159" s="526"/>
      <c r="AB1159" s="526"/>
      <c r="AC1159" s="526"/>
      <c r="AD1159" s="526"/>
      <c r="AE1159" s="1124"/>
      <c r="AF1159" s="526"/>
      <c r="AG1159" s="526"/>
      <c r="AH1159" s="526"/>
      <c r="AI1159" s="526"/>
      <c r="AJ1159" s="1124"/>
      <c r="AK1159" s="526"/>
      <c r="AL1159" s="526"/>
      <c r="AM1159" s="526"/>
      <c r="AN1159" s="526"/>
      <c r="AO1159" s="1124"/>
      <c r="AP1159" s="526"/>
      <c r="AQ1159" s="526"/>
      <c r="AR1159" s="526"/>
      <c r="AS1159" s="526"/>
      <c r="AT1159" s="1124"/>
      <c r="AU1159" s="526"/>
      <c r="AV1159" s="526"/>
      <c r="AW1159" s="526"/>
      <c r="AX1159" s="526"/>
      <c r="AY1159" s="1124"/>
      <c r="AZ1159" s="526"/>
      <c r="BA1159" s="526"/>
      <c r="BB1159" s="526"/>
      <c r="BC1159" s="526"/>
      <c r="BD1159" s="1124"/>
      <c r="BE1159" s="526"/>
      <c r="BF1159" s="526"/>
      <c r="BG1159" s="526"/>
      <c r="BH1159" s="526"/>
      <c r="BI1159" s="1123">
        <v>465.74</v>
      </c>
      <c r="BJ1159" s="526"/>
      <c r="BK1159" s="526"/>
      <c r="BL1159" s="526"/>
      <c r="BM1159" s="526"/>
      <c r="BN1159" s="1123">
        <v>465.74</v>
      </c>
      <c r="BO1159" s="526"/>
      <c r="BP1159" s="526"/>
      <c r="BQ1159" s="526"/>
      <c r="BR1159" s="526"/>
      <c r="BS1159" s="1124"/>
      <c r="BT1159" s="729"/>
      <c r="BU1159" s="526"/>
      <c r="BV1159" s="526"/>
      <c r="BW1159" s="526"/>
      <c r="BX1159" s="1124"/>
      <c r="BY1159" s="526"/>
      <c r="BZ1159" s="526"/>
      <c r="CA1159" s="526"/>
      <c r="CB1159" s="526"/>
      <c r="CC1159" s="1124"/>
      <c r="CD1159" s="1124"/>
      <c r="CE1159" s="1124"/>
      <c r="CF1159" s="1124"/>
      <c r="CG1159" s="533"/>
    </row>
    <row r="1160" spans="1:85" s="616" customFormat="1" x14ac:dyDescent="0.3">
      <c r="A1160" s="522"/>
      <c r="B1160" s="527"/>
      <c r="C1160" s="1124"/>
      <c r="D1160" s="1124"/>
      <c r="E1160" s="1124"/>
      <c r="F1160" s="1124"/>
      <c r="G1160" s="526"/>
      <c r="H1160" s="526"/>
      <c r="I1160" s="526"/>
      <c r="J1160" s="526"/>
      <c r="K1160" s="1124"/>
      <c r="L1160" s="526"/>
      <c r="M1160" s="526"/>
      <c r="N1160" s="526"/>
      <c r="O1160" s="526"/>
      <c r="P1160" s="1124"/>
      <c r="Q1160" s="526"/>
      <c r="R1160" s="526"/>
      <c r="S1160" s="526"/>
      <c r="T1160" s="526"/>
      <c r="U1160" s="1124"/>
      <c r="V1160" s="526"/>
      <c r="W1160" s="526"/>
      <c r="X1160" s="526"/>
      <c r="Y1160" s="526"/>
      <c r="Z1160" s="1124"/>
      <c r="AA1160" s="526"/>
      <c r="AB1160" s="526"/>
      <c r="AC1160" s="526"/>
      <c r="AD1160" s="526"/>
      <c r="AE1160" s="1124"/>
      <c r="AF1160" s="526"/>
      <c r="AG1160" s="526"/>
      <c r="AH1160" s="526"/>
      <c r="AI1160" s="526"/>
      <c r="AJ1160" s="1124"/>
      <c r="AK1160" s="526"/>
      <c r="AL1160" s="526"/>
      <c r="AM1160" s="526"/>
      <c r="AN1160" s="526"/>
      <c r="AO1160" s="1124"/>
      <c r="AP1160" s="526"/>
      <c r="AQ1160" s="526"/>
      <c r="AR1160" s="526"/>
      <c r="AS1160" s="526"/>
      <c r="AT1160" s="1124"/>
      <c r="AU1160" s="526"/>
      <c r="AV1160" s="526"/>
      <c r="AW1160" s="526"/>
      <c r="AX1160" s="526"/>
      <c r="AY1160" s="1124"/>
      <c r="AZ1160" s="526"/>
      <c r="BA1160" s="526"/>
      <c r="BB1160" s="526"/>
      <c r="BC1160" s="526"/>
      <c r="BD1160" s="1124"/>
      <c r="BE1160" s="526"/>
      <c r="BF1160" s="526"/>
      <c r="BG1160" s="526"/>
      <c r="BH1160" s="526"/>
      <c r="BI1160" s="1124"/>
      <c r="BJ1160" s="526"/>
      <c r="BK1160" s="526"/>
      <c r="BL1160" s="526"/>
      <c r="BM1160" s="526"/>
      <c r="BN1160" s="1124"/>
      <c r="BO1160" s="526"/>
      <c r="BP1160" s="526"/>
      <c r="BQ1160" s="526"/>
      <c r="BR1160" s="526"/>
      <c r="BS1160" s="1124"/>
      <c r="BT1160" s="729"/>
      <c r="BU1160" s="526"/>
      <c r="BV1160" s="526"/>
      <c r="BW1160" s="526"/>
      <c r="BX1160" s="1124"/>
      <c r="BY1160" s="526"/>
      <c r="BZ1160" s="526"/>
      <c r="CA1160" s="526"/>
      <c r="CB1160" s="526"/>
      <c r="CC1160" s="1124"/>
      <c r="CD1160" s="1124"/>
      <c r="CE1160" s="1124"/>
      <c r="CF1160" s="1124"/>
      <c r="CG1160" s="533"/>
    </row>
    <row r="1161" spans="1:85" s="613" customFormat="1" x14ac:dyDescent="0.3">
      <c r="A1161" s="478" t="s">
        <v>2424</v>
      </c>
      <c r="B1161" s="523"/>
      <c r="C1161" s="78"/>
      <c r="D1161" s="78"/>
      <c r="E1161" s="78"/>
      <c r="F1161" s="78"/>
      <c r="G1161" s="774"/>
      <c r="H1161" s="774"/>
      <c r="I1161" s="774"/>
      <c r="J1161" s="774"/>
      <c r="K1161" s="78"/>
      <c r="L1161" s="774"/>
      <c r="M1161" s="774"/>
      <c r="N1161" s="774"/>
      <c r="O1161" s="774"/>
      <c r="P1161" s="78"/>
      <c r="Q1161" s="774"/>
      <c r="R1161" s="774"/>
      <c r="S1161" s="774"/>
      <c r="T1161" s="774"/>
      <c r="U1161" s="78"/>
      <c r="V1161" s="774"/>
      <c r="W1161" s="774"/>
      <c r="X1161" s="774"/>
      <c r="Y1161" s="774"/>
      <c r="Z1161" s="78"/>
      <c r="AA1161" s="774"/>
      <c r="AB1161" s="774"/>
      <c r="AC1161" s="774"/>
      <c r="AD1161" s="774"/>
      <c r="AE1161" s="78"/>
      <c r="AF1161" s="774"/>
      <c r="AG1161" s="774"/>
      <c r="AH1161" s="774"/>
      <c r="AI1161" s="774"/>
      <c r="AJ1161" s="78"/>
      <c r="AK1161" s="774"/>
      <c r="AL1161" s="774"/>
      <c r="AM1161" s="774"/>
      <c r="AN1161" s="774"/>
      <c r="AO1161" s="78"/>
      <c r="AP1161" s="774"/>
      <c r="AQ1161" s="774"/>
      <c r="AR1161" s="774"/>
      <c r="AS1161" s="774"/>
      <c r="AT1161" s="78"/>
      <c r="AU1161" s="774"/>
      <c r="AV1161" s="774"/>
      <c r="AW1161" s="774"/>
      <c r="AX1161" s="774"/>
      <c r="AY1161" s="78"/>
      <c r="AZ1161" s="774"/>
      <c r="BA1161" s="774"/>
      <c r="BB1161" s="774"/>
      <c r="BC1161" s="774"/>
      <c r="BD1161" s="78"/>
      <c r="BE1161" s="774"/>
      <c r="BF1161" s="774"/>
      <c r="BG1161" s="774"/>
      <c r="BH1161" s="774"/>
      <c r="BI1161" s="78"/>
      <c r="BJ1161" s="774"/>
      <c r="BK1161" s="774"/>
      <c r="BL1161" s="774"/>
      <c r="BM1161" s="774"/>
      <c r="BN1161" s="1119">
        <v>3.113</v>
      </c>
      <c r="BO1161" s="774"/>
      <c r="BP1161" s="774"/>
      <c r="BQ1161" s="774"/>
      <c r="BR1161" s="774"/>
      <c r="BS1161" s="78"/>
      <c r="BT1161" s="775"/>
      <c r="BU1161" s="774"/>
      <c r="BV1161" s="774"/>
      <c r="BW1161" s="774"/>
      <c r="BX1161" s="78"/>
      <c r="BY1161" s="774"/>
      <c r="BZ1161" s="774"/>
      <c r="CA1161" s="774"/>
      <c r="CB1161" s="774"/>
      <c r="CC1161" s="78"/>
      <c r="CD1161" s="78"/>
      <c r="CE1161" s="78"/>
      <c r="CF1161" s="78"/>
      <c r="CG1161" s="532"/>
    </row>
    <row r="1162" spans="1:85" s="616" customFormat="1" x14ac:dyDescent="0.3">
      <c r="A1162" s="522" t="s">
        <v>2425</v>
      </c>
      <c r="B1162" s="527"/>
      <c r="C1162" s="1124"/>
      <c r="D1162" s="1124"/>
      <c r="E1162" s="1124"/>
      <c r="F1162" s="1124"/>
      <c r="G1162" s="526"/>
      <c r="H1162" s="526"/>
      <c r="I1162" s="526"/>
      <c r="J1162" s="526"/>
      <c r="K1162" s="1124"/>
      <c r="L1162" s="526"/>
      <c r="M1162" s="526"/>
      <c r="N1162" s="526"/>
      <c r="O1162" s="526"/>
      <c r="P1162" s="1124"/>
      <c r="Q1162" s="526"/>
      <c r="R1162" s="526"/>
      <c r="S1162" s="526"/>
      <c r="T1162" s="526"/>
      <c r="U1162" s="1124"/>
      <c r="V1162" s="526"/>
      <c r="W1162" s="526"/>
      <c r="X1162" s="526"/>
      <c r="Y1162" s="526"/>
      <c r="Z1162" s="1124"/>
      <c r="AA1162" s="526"/>
      <c r="AB1162" s="526"/>
      <c r="AC1162" s="526"/>
      <c r="AD1162" s="526"/>
      <c r="AE1162" s="1124"/>
      <c r="AF1162" s="526"/>
      <c r="AG1162" s="526"/>
      <c r="AH1162" s="526"/>
      <c r="AI1162" s="526"/>
      <c r="AJ1162" s="1124"/>
      <c r="AK1162" s="526"/>
      <c r="AL1162" s="526"/>
      <c r="AM1162" s="526"/>
      <c r="AN1162" s="526"/>
      <c r="AO1162" s="1124"/>
      <c r="AP1162" s="526"/>
      <c r="AQ1162" s="526"/>
      <c r="AR1162" s="526"/>
      <c r="AS1162" s="526"/>
      <c r="AT1162" s="1124"/>
      <c r="AU1162" s="526"/>
      <c r="AV1162" s="526"/>
      <c r="AW1162" s="526"/>
      <c r="AX1162" s="526"/>
      <c r="AY1162" s="1124"/>
      <c r="AZ1162" s="526"/>
      <c r="BA1162" s="526"/>
      <c r="BB1162" s="526"/>
      <c r="BC1162" s="526"/>
      <c r="BD1162" s="1124"/>
      <c r="BE1162" s="526"/>
      <c r="BF1162" s="526"/>
      <c r="BG1162" s="526"/>
      <c r="BH1162" s="526"/>
      <c r="BI1162" s="1124"/>
      <c r="BJ1162" s="526"/>
      <c r="BK1162" s="526"/>
      <c r="BL1162" s="526"/>
      <c r="BM1162" s="526"/>
      <c r="BN1162" s="1123">
        <v>468.5</v>
      </c>
      <c r="BO1162" s="526"/>
      <c r="BP1162" s="526"/>
      <c r="BQ1162" s="526"/>
      <c r="BR1162" s="526"/>
      <c r="BS1162" s="1124"/>
      <c r="BT1162" s="729"/>
      <c r="BU1162" s="526"/>
      <c r="BV1162" s="526"/>
      <c r="BW1162" s="526"/>
      <c r="BX1162" s="1124"/>
      <c r="BY1162" s="526"/>
      <c r="BZ1162" s="526"/>
      <c r="CA1162" s="526"/>
      <c r="CB1162" s="526"/>
      <c r="CC1162" s="1124"/>
      <c r="CD1162" s="1124"/>
      <c r="CE1162" s="1124"/>
      <c r="CF1162" s="1124"/>
      <c r="CG1162" s="533"/>
    </row>
    <row r="1163" spans="1:85" s="614" customFormat="1" x14ac:dyDescent="0.3">
      <c r="A1163" s="522"/>
      <c r="B1163" s="352"/>
      <c r="C1163" s="1094"/>
      <c r="D1163" s="1094"/>
      <c r="E1163" s="1094"/>
      <c r="F1163" s="1094"/>
      <c r="G1163" s="197"/>
      <c r="H1163" s="197"/>
      <c r="I1163" s="197"/>
      <c r="J1163" s="197"/>
      <c r="K1163" s="1094"/>
      <c r="L1163" s="197"/>
      <c r="M1163" s="197"/>
      <c r="N1163" s="197"/>
      <c r="O1163" s="197"/>
      <c r="P1163" s="1094"/>
      <c r="Q1163" s="197"/>
      <c r="R1163" s="197"/>
      <c r="S1163" s="197"/>
      <c r="T1163" s="197"/>
      <c r="U1163" s="1094"/>
      <c r="V1163" s="197"/>
      <c r="W1163" s="197"/>
      <c r="X1163" s="197"/>
      <c r="Y1163" s="197"/>
      <c r="Z1163" s="1094"/>
      <c r="AA1163" s="197"/>
      <c r="AB1163" s="197"/>
      <c r="AC1163" s="197"/>
      <c r="AD1163" s="197"/>
      <c r="AE1163" s="1094"/>
      <c r="AF1163" s="197"/>
      <c r="AG1163" s="197"/>
      <c r="AH1163" s="197"/>
      <c r="AI1163" s="197"/>
      <c r="AJ1163" s="1094"/>
      <c r="AK1163" s="197"/>
      <c r="AL1163" s="197"/>
      <c r="AM1163" s="197"/>
      <c r="AN1163" s="197"/>
      <c r="AO1163" s="1094"/>
      <c r="AP1163" s="197"/>
      <c r="AQ1163" s="197"/>
      <c r="AR1163" s="197"/>
      <c r="AS1163" s="197"/>
      <c r="AT1163" s="198"/>
      <c r="AU1163" s="197"/>
      <c r="AV1163" s="197"/>
      <c r="AW1163" s="197"/>
      <c r="AX1163" s="197"/>
      <c r="AY1163" s="198"/>
      <c r="AZ1163" s="197"/>
      <c r="BA1163" s="197"/>
      <c r="BB1163" s="197"/>
      <c r="BC1163" s="197"/>
      <c r="BD1163" s="198"/>
      <c r="BE1163" s="197"/>
      <c r="BF1163" s="197"/>
      <c r="BG1163" s="197"/>
      <c r="BH1163" s="197"/>
      <c r="BI1163" s="1094"/>
      <c r="BJ1163" s="197"/>
      <c r="BK1163" s="197"/>
      <c r="BL1163" s="197"/>
      <c r="BM1163" s="197"/>
      <c r="BN1163" s="1094"/>
      <c r="BO1163" s="197"/>
      <c r="BP1163" s="197"/>
      <c r="BQ1163" s="197"/>
      <c r="BR1163" s="197"/>
      <c r="BS1163" s="1094"/>
      <c r="BT1163" s="727"/>
      <c r="BU1163" s="197"/>
      <c r="BV1163" s="197"/>
      <c r="BW1163" s="197"/>
      <c r="BX1163" s="1094"/>
      <c r="BY1163" s="197"/>
      <c r="BZ1163" s="197"/>
      <c r="CA1163" s="197"/>
      <c r="CB1163" s="197"/>
      <c r="CC1163" s="1094"/>
      <c r="CD1163" s="1094"/>
      <c r="CE1163" s="1094"/>
      <c r="CF1163" s="1094"/>
      <c r="CG1163" s="349"/>
    </row>
    <row r="1164" spans="1:85" s="612" customFormat="1" x14ac:dyDescent="0.3">
      <c r="A1164" s="106" t="s">
        <v>1346</v>
      </c>
      <c r="B1164" s="514"/>
      <c r="C1164" s="1097"/>
      <c r="D1164" s="1097"/>
      <c r="E1164" s="1097"/>
      <c r="F1164" s="1097"/>
      <c r="G1164" s="772"/>
      <c r="H1164" s="772"/>
      <c r="I1164" s="772"/>
      <c r="J1164" s="772"/>
      <c r="K1164" s="1097"/>
      <c r="L1164" s="772"/>
      <c r="M1164" s="772"/>
      <c r="N1164" s="772"/>
      <c r="O1164" s="772"/>
      <c r="P1164" s="1097"/>
      <c r="Q1164" s="772"/>
      <c r="R1164" s="772"/>
      <c r="S1164" s="772"/>
      <c r="T1164" s="772"/>
      <c r="U1164" s="1097"/>
      <c r="V1164" s="772"/>
      <c r="W1164" s="772"/>
      <c r="X1164" s="772"/>
      <c r="Y1164" s="772"/>
      <c r="Z1164" s="1097"/>
      <c r="AA1164" s="772"/>
      <c r="AB1164" s="772"/>
      <c r="AC1164" s="772"/>
      <c r="AD1164" s="772"/>
      <c r="AE1164" s="1097"/>
      <c r="AF1164" s="772"/>
      <c r="AG1164" s="772"/>
      <c r="AH1164" s="772"/>
      <c r="AI1164" s="772"/>
      <c r="AJ1164" s="1097"/>
      <c r="AK1164" s="772"/>
      <c r="AL1164" s="772"/>
      <c r="AM1164" s="772"/>
      <c r="AN1164" s="772"/>
      <c r="AO1164" s="1097"/>
      <c r="AP1164" s="772"/>
      <c r="AQ1164" s="772"/>
      <c r="AR1164" s="772"/>
      <c r="AS1164" s="772"/>
      <c r="AT1164" s="1125">
        <v>73.474000000000004</v>
      </c>
      <c r="AU1164" s="772"/>
      <c r="AV1164" s="772"/>
      <c r="AW1164" s="772"/>
      <c r="AX1164" s="772"/>
      <c r="AY1164" s="1125">
        <v>102.721</v>
      </c>
      <c r="AZ1164" s="772"/>
      <c r="BA1164" s="772"/>
      <c r="BB1164" s="772"/>
      <c r="BC1164" s="772"/>
      <c r="BD1164" s="1129">
        <v>172.083</v>
      </c>
      <c r="BE1164" s="772"/>
      <c r="BF1164" s="772"/>
      <c r="BG1164" s="772"/>
      <c r="BH1164" s="772"/>
      <c r="BI1164" s="1125">
        <v>204.571</v>
      </c>
      <c r="BJ1164" s="772"/>
      <c r="BK1164" s="772"/>
      <c r="BL1164" s="772"/>
      <c r="BM1164" s="772"/>
      <c r="BN1164" s="1125">
        <v>193.55</v>
      </c>
      <c r="BO1164" s="772"/>
      <c r="BP1164" s="772"/>
      <c r="BQ1164" s="772"/>
      <c r="BR1164" s="772"/>
      <c r="BS1164" s="1097"/>
      <c r="BT1164" s="838"/>
      <c r="BU1164" s="772"/>
      <c r="BV1164" s="772"/>
      <c r="BW1164" s="772"/>
      <c r="BX1164" s="1097"/>
      <c r="BY1164" s="772"/>
      <c r="BZ1164" s="772"/>
      <c r="CA1164" s="772"/>
      <c r="CB1164" s="772"/>
      <c r="CC1164" s="1097"/>
      <c r="CD1164" s="1097"/>
      <c r="CE1164" s="1097"/>
      <c r="CF1164" s="1097"/>
      <c r="CG1164" s="348"/>
    </row>
    <row r="1165" spans="1:85" s="614" customFormat="1" x14ac:dyDescent="0.3">
      <c r="A1165" s="116"/>
      <c r="B1165" s="352"/>
      <c r="C1165" s="1094"/>
      <c r="D1165" s="1094"/>
      <c r="E1165" s="1094"/>
      <c r="F1165" s="1094"/>
      <c r="G1165" s="197"/>
      <c r="H1165" s="197"/>
      <c r="I1165" s="197"/>
      <c r="J1165" s="197"/>
      <c r="K1165" s="1094"/>
      <c r="L1165" s="197"/>
      <c r="M1165" s="197"/>
      <c r="N1165" s="197"/>
      <c r="O1165" s="197"/>
      <c r="P1165" s="1094"/>
      <c r="Q1165" s="197"/>
      <c r="R1165" s="197"/>
      <c r="S1165" s="197"/>
      <c r="T1165" s="197"/>
      <c r="U1165" s="1094"/>
      <c r="V1165" s="197"/>
      <c r="W1165" s="197"/>
      <c r="X1165" s="197"/>
      <c r="Y1165" s="197"/>
      <c r="Z1165" s="1094"/>
      <c r="AA1165" s="197"/>
      <c r="AB1165" s="197"/>
      <c r="AC1165" s="197"/>
      <c r="AD1165" s="197"/>
      <c r="AE1165" s="1094"/>
      <c r="AF1165" s="197"/>
      <c r="AG1165" s="197"/>
      <c r="AH1165" s="197"/>
      <c r="AI1165" s="197"/>
      <c r="AJ1165" s="1094"/>
      <c r="AK1165" s="197"/>
      <c r="AL1165" s="197"/>
      <c r="AM1165" s="197"/>
      <c r="AN1165" s="197"/>
      <c r="AO1165" s="1094"/>
      <c r="AP1165" s="197"/>
      <c r="AQ1165" s="197"/>
      <c r="AR1165" s="197"/>
      <c r="AS1165" s="197"/>
      <c r="AT1165" s="198"/>
      <c r="AU1165" s="197"/>
      <c r="AV1165" s="197"/>
      <c r="AW1165" s="197"/>
      <c r="AX1165" s="197"/>
      <c r="AY1165" s="198"/>
      <c r="AZ1165" s="197"/>
      <c r="BA1165" s="197"/>
      <c r="BB1165" s="197"/>
      <c r="BC1165" s="197"/>
      <c r="BD1165" s="198"/>
      <c r="BE1165" s="197"/>
      <c r="BF1165" s="197"/>
      <c r="BG1165" s="197"/>
      <c r="BH1165" s="197"/>
      <c r="BI1165" s="1094"/>
      <c r="BJ1165" s="197"/>
      <c r="BK1165" s="197"/>
      <c r="BL1165" s="197"/>
      <c r="BM1165" s="197"/>
      <c r="BN1165" s="1094"/>
      <c r="BO1165" s="197"/>
      <c r="BP1165" s="197"/>
      <c r="BQ1165" s="197"/>
      <c r="BR1165" s="197"/>
      <c r="BS1165" s="1094"/>
      <c r="BT1165" s="727"/>
      <c r="BU1165" s="197"/>
      <c r="BV1165" s="197"/>
      <c r="BW1165" s="197"/>
      <c r="BX1165" s="1094"/>
      <c r="BY1165" s="197"/>
      <c r="BZ1165" s="197"/>
      <c r="CA1165" s="197"/>
      <c r="CB1165" s="197"/>
      <c r="CC1165" s="1094"/>
      <c r="CD1165" s="1094"/>
      <c r="CE1165" s="1094"/>
      <c r="CF1165" s="1094"/>
      <c r="CG1165" s="349"/>
    </row>
    <row r="1166" spans="1:85" s="613" customFormat="1" x14ac:dyDescent="0.3">
      <c r="A1166" s="107" t="s">
        <v>1345</v>
      </c>
      <c r="B1166" s="523"/>
      <c r="C1166" s="78"/>
      <c r="D1166" s="78"/>
      <c r="E1166" s="78"/>
      <c r="F1166" s="78"/>
      <c r="G1166" s="774"/>
      <c r="H1166" s="774"/>
      <c r="I1166" s="774"/>
      <c r="J1166" s="774"/>
      <c r="K1166" s="78"/>
      <c r="L1166" s="774"/>
      <c r="M1166" s="774"/>
      <c r="N1166" s="774"/>
      <c r="O1166" s="774"/>
      <c r="P1166" s="78"/>
      <c r="Q1166" s="774"/>
      <c r="R1166" s="774"/>
      <c r="S1166" s="774"/>
      <c r="T1166" s="774"/>
      <c r="U1166" s="78"/>
      <c r="V1166" s="774"/>
      <c r="W1166" s="774"/>
      <c r="X1166" s="774"/>
      <c r="Y1166" s="774"/>
      <c r="Z1166" s="78"/>
      <c r="AA1166" s="774"/>
      <c r="AB1166" s="774"/>
      <c r="AC1166" s="774"/>
      <c r="AD1166" s="774"/>
      <c r="AE1166" s="78"/>
      <c r="AF1166" s="774"/>
      <c r="AG1166" s="774"/>
      <c r="AH1166" s="774"/>
      <c r="AI1166" s="774"/>
      <c r="AJ1166" s="78"/>
      <c r="AK1166" s="774"/>
      <c r="AL1166" s="774"/>
      <c r="AM1166" s="774"/>
      <c r="AN1166" s="774"/>
      <c r="AO1166" s="78"/>
      <c r="AP1166" s="774"/>
      <c r="AQ1166" s="774"/>
      <c r="AR1166" s="774"/>
      <c r="AS1166" s="774"/>
      <c r="AT1166" s="1119">
        <v>5500</v>
      </c>
      <c r="AU1166" s="774"/>
      <c r="AV1166" s="774"/>
      <c r="AW1166" s="774"/>
      <c r="AX1166" s="774"/>
      <c r="AY1166" s="1119">
        <v>4725</v>
      </c>
      <c r="AZ1166" s="774"/>
      <c r="BA1166" s="774"/>
      <c r="BB1166" s="774"/>
      <c r="BC1166" s="774"/>
      <c r="BD1166" s="1126">
        <v>6000</v>
      </c>
      <c r="BE1166" s="774"/>
      <c r="BF1166" s="774"/>
      <c r="BG1166" s="774"/>
      <c r="BH1166" s="774"/>
      <c r="BI1166" s="1119">
        <v>4000</v>
      </c>
      <c r="BJ1166" s="774"/>
      <c r="BK1166" s="774"/>
      <c r="BL1166" s="774"/>
      <c r="BM1166" s="774"/>
      <c r="BN1166" s="1119">
        <v>1500</v>
      </c>
      <c r="BO1166" s="774"/>
      <c r="BP1166" s="774"/>
      <c r="BQ1166" s="774"/>
      <c r="BR1166" s="774"/>
      <c r="BS1166" s="78"/>
      <c r="BT1166" s="775"/>
      <c r="BU1166" s="774"/>
      <c r="BV1166" s="774"/>
      <c r="BW1166" s="774"/>
      <c r="BX1166" s="78"/>
      <c r="BY1166" s="774"/>
      <c r="BZ1166" s="774"/>
      <c r="CA1166" s="774"/>
      <c r="CB1166" s="774"/>
      <c r="CC1166" s="78"/>
      <c r="CD1166" s="78"/>
      <c r="CE1166" s="78"/>
      <c r="CF1166" s="78"/>
      <c r="CG1166" s="532"/>
    </row>
    <row r="1167" spans="1:85" s="613" customFormat="1" x14ac:dyDescent="0.3">
      <c r="A1167" s="107" t="s">
        <v>2426</v>
      </c>
      <c r="B1167" s="523"/>
      <c r="C1167" s="78"/>
      <c r="D1167" s="78"/>
      <c r="E1167" s="78"/>
      <c r="F1167" s="78"/>
      <c r="G1167" s="774"/>
      <c r="H1167" s="774"/>
      <c r="I1167" s="774"/>
      <c r="J1167" s="774"/>
      <c r="K1167" s="78"/>
      <c r="L1167" s="774"/>
      <c r="M1167" s="774"/>
      <c r="N1167" s="774"/>
      <c r="O1167" s="774"/>
      <c r="P1167" s="78"/>
      <c r="Q1167" s="774"/>
      <c r="R1167" s="774"/>
      <c r="S1167" s="774"/>
      <c r="T1167" s="774"/>
      <c r="U1167" s="78"/>
      <c r="V1167" s="774"/>
      <c r="W1167" s="774"/>
      <c r="X1167" s="774"/>
      <c r="Y1167" s="774"/>
      <c r="Z1167" s="78"/>
      <c r="AA1167" s="774"/>
      <c r="AB1167" s="774"/>
      <c r="AC1167" s="774"/>
      <c r="AD1167" s="774"/>
      <c r="AE1167" s="78"/>
      <c r="AF1167" s="774"/>
      <c r="AG1167" s="774"/>
      <c r="AH1167" s="774"/>
      <c r="AI1167" s="774"/>
      <c r="AJ1167" s="78"/>
      <c r="AK1167" s="774"/>
      <c r="AL1167" s="774"/>
      <c r="AM1167" s="774"/>
      <c r="AN1167" s="774"/>
      <c r="AO1167" s="78"/>
      <c r="AP1167" s="774"/>
      <c r="AQ1167" s="774"/>
      <c r="AR1167" s="774"/>
      <c r="AS1167" s="774"/>
      <c r="AT1167" s="78"/>
      <c r="AU1167" s="774"/>
      <c r="AV1167" s="774"/>
      <c r="AW1167" s="774"/>
      <c r="AX1167" s="774"/>
      <c r="AY1167" s="78"/>
      <c r="AZ1167" s="774"/>
      <c r="BA1167" s="774"/>
      <c r="BB1167" s="774"/>
      <c r="BC1167" s="774"/>
      <c r="BD1167" s="1127"/>
      <c r="BE1167" s="774"/>
      <c r="BF1167" s="774"/>
      <c r="BG1167" s="774"/>
      <c r="BH1167" s="774"/>
      <c r="BI1167" s="78"/>
      <c r="BJ1167" s="774"/>
      <c r="BK1167" s="774"/>
      <c r="BL1167" s="774"/>
      <c r="BM1167" s="774"/>
      <c r="BN1167" s="1119">
        <v>8955.5969999999998</v>
      </c>
      <c r="BO1167" s="774"/>
      <c r="BP1167" s="774"/>
      <c r="BQ1167" s="774"/>
      <c r="BR1167" s="774"/>
      <c r="BS1167" s="78"/>
      <c r="BT1167" s="775"/>
      <c r="BU1167" s="774"/>
      <c r="BV1167" s="774"/>
      <c r="BW1167" s="774"/>
      <c r="BX1167" s="78"/>
      <c r="BY1167" s="774"/>
      <c r="BZ1167" s="774"/>
      <c r="CA1167" s="774"/>
      <c r="CB1167" s="774"/>
      <c r="CC1167" s="78"/>
      <c r="CD1167" s="78"/>
      <c r="CE1167" s="78"/>
      <c r="CF1167" s="78"/>
      <c r="CG1167" s="532"/>
    </row>
    <row r="1168" spans="1:85" s="613" customFormat="1" x14ac:dyDescent="0.3">
      <c r="A1168" s="107" t="s">
        <v>1344</v>
      </c>
      <c r="B1168" s="523"/>
      <c r="C1168" s="78"/>
      <c r="D1168" s="78"/>
      <c r="E1168" s="78"/>
      <c r="F1168" s="78"/>
      <c r="G1168" s="774"/>
      <c r="H1168" s="774"/>
      <c r="I1168" s="774"/>
      <c r="J1168" s="774"/>
      <c r="K1168" s="78"/>
      <c r="L1168" s="774"/>
      <c r="M1168" s="774"/>
      <c r="N1168" s="774"/>
      <c r="O1168" s="774"/>
      <c r="P1168" s="78"/>
      <c r="Q1168" s="774"/>
      <c r="R1168" s="774"/>
      <c r="S1168" s="774"/>
      <c r="T1168" s="774"/>
      <c r="U1168" s="78"/>
      <c r="V1168" s="774"/>
      <c r="W1168" s="774"/>
      <c r="X1168" s="774"/>
      <c r="Y1168" s="774"/>
      <c r="Z1168" s="78"/>
      <c r="AA1168" s="774"/>
      <c r="AB1168" s="774"/>
      <c r="AC1168" s="774"/>
      <c r="AD1168" s="774"/>
      <c r="AE1168" s="78"/>
      <c r="AF1168" s="774"/>
      <c r="AG1168" s="774"/>
      <c r="AH1168" s="774"/>
      <c r="AI1168" s="774"/>
      <c r="AJ1168" s="78"/>
      <c r="AK1168" s="774"/>
      <c r="AL1168" s="774"/>
      <c r="AM1168" s="774"/>
      <c r="AN1168" s="774"/>
      <c r="AO1168" s="78"/>
      <c r="AP1168" s="774"/>
      <c r="AQ1168" s="774"/>
      <c r="AR1168" s="774"/>
      <c r="AS1168" s="774"/>
      <c r="AT1168" s="1119">
        <v>4956.0230000000001</v>
      </c>
      <c r="AU1168" s="774"/>
      <c r="AV1168" s="774"/>
      <c r="AW1168" s="774"/>
      <c r="AX1168" s="774"/>
      <c r="AY1168" s="1119">
        <v>5440.8310000000001</v>
      </c>
      <c r="AZ1168" s="774"/>
      <c r="BA1168" s="774"/>
      <c r="BB1168" s="774"/>
      <c r="BC1168" s="774"/>
      <c r="BD1168" s="1119">
        <v>7237.6809999999996</v>
      </c>
      <c r="BE1168" s="774"/>
      <c r="BF1168" s="774"/>
      <c r="BG1168" s="774"/>
      <c r="BH1168" s="774"/>
      <c r="BI1168" s="1119">
        <v>9664.0290000000005</v>
      </c>
      <c r="BJ1168" s="774"/>
      <c r="BK1168" s="774"/>
      <c r="BL1168" s="774"/>
      <c r="BM1168" s="774"/>
      <c r="BN1168" s="1119">
        <v>788.59799999999996</v>
      </c>
      <c r="BO1168" s="774"/>
      <c r="BP1168" s="774"/>
      <c r="BQ1168" s="774"/>
      <c r="BR1168" s="774"/>
      <c r="BS1168" s="78"/>
      <c r="BT1168" s="775"/>
      <c r="BU1168" s="774"/>
      <c r="BV1168" s="774"/>
      <c r="BW1168" s="774"/>
      <c r="BX1168" s="78"/>
      <c r="BY1168" s="774"/>
      <c r="BZ1168" s="774"/>
      <c r="CA1168" s="774"/>
      <c r="CB1168" s="774"/>
      <c r="CC1168" s="78"/>
      <c r="CD1168" s="78"/>
      <c r="CE1168" s="78"/>
      <c r="CF1168" s="78"/>
      <c r="CG1168" s="532"/>
    </row>
    <row r="1169" spans="1:85" s="613" customFormat="1" x14ac:dyDescent="0.3">
      <c r="A1169" s="107" t="s">
        <v>2427</v>
      </c>
      <c r="B1169" s="523"/>
      <c r="C1169" s="78"/>
      <c r="D1169" s="78"/>
      <c r="E1169" s="78"/>
      <c r="F1169" s="78"/>
      <c r="G1169" s="774"/>
      <c r="H1169" s="774"/>
      <c r="I1169" s="774"/>
      <c r="J1169" s="774"/>
      <c r="K1169" s="78"/>
      <c r="L1169" s="774"/>
      <c r="M1169" s="774"/>
      <c r="N1169" s="774"/>
      <c r="O1169" s="774"/>
      <c r="P1169" s="78"/>
      <c r="Q1169" s="774"/>
      <c r="R1169" s="774"/>
      <c r="S1169" s="774"/>
      <c r="T1169" s="774"/>
      <c r="U1169" s="78"/>
      <c r="V1169" s="774"/>
      <c r="W1169" s="774"/>
      <c r="X1169" s="774"/>
      <c r="Y1169" s="774"/>
      <c r="Z1169" s="78"/>
      <c r="AA1169" s="774"/>
      <c r="AB1169" s="774"/>
      <c r="AC1169" s="774"/>
      <c r="AD1169" s="774"/>
      <c r="AE1169" s="78"/>
      <c r="AF1169" s="774"/>
      <c r="AG1169" s="774"/>
      <c r="AH1169" s="774"/>
      <c r="AI1169" s="774"/>
      <c r="AJ1169" s="78"/>
      <c r="AK1169" s="774"/>
      <c r="AL1169" s="774"/>
      <c r="AM1169" s="774"/>
      <c r="AN1169" s="774"/>
      <c r="AO1169" s="78"/>
      <c r="AP1169" s="774"/>
      <c r="AQ1169" s="774"/>
      <c r="AR1169" s="774"/>
      <c r="AS1169" s="774"/>
      <c r="AT1169" s="78"/>
      <c r="AU1169" s="774"/>
      <c r="AV1169" s="774"/>
      <c r="AW1169" s="774"/>
      <c r="AX1169" s="774"/>
      <c r="AY1169" s="78"/>
      <c r="AZ1169" s="774"/>
      <c r="BA1169" s="774"/>
      <c r="BB1169" s="774"/>
      <c r="BC1169" s="774"/>
      <c r="BD1169" s="78"/>
      <c r="BE1169" s="774"/>
      <c r="BF1169" s="774"/>
      <c r="BG1169" s="774"/>
      <c r="BH1169" s="774"/>
      <c r="BI1169" s="78"/>
      <c r="BJ1169" s="774"/>
      <c r="BK1169" s="774"/>
      <c r="BL1169" s="774"/>
      <c r="BM1169" s="774"/>
      <c r="BN1169" s="1119">
        <v>6000</v>
      </c>
      <c r="BO1169" s="774"/>
      <c r="BP1169" s="774"/>
      <c r="BQ1169" s="774"/>
      <c r="BR1169" s="774"/>
      <c r="BS1169" s="78"/>
      <c r="BT1169" s="775"/>
      <c r="BU1169" s="774"/>
      <c r="BV1169" s="774"/>
      <c r="BW1169" s="774"/>
      <c r="BX1169" s="78"/>
      <c r="BY1169" s="774"/>
      <c r="BZ1169" s="774"/>
      <c r="CA1169" s="774"/>
      <c r="CB1169" s="774"/>
      <c r="CC1169" s="78"/>
      <c r="CD1169" s="78"/>
      <c r="CE1169" s="78"/>
      <c r="CF1169" s="78"/>
      <c r="CG1169" s="532"/>
    </row>
    <row r="1170" spans="1:85" s="613" customFormat="1" x14ac:dyDescent="0.3">
      <c r="A1170" s="174" t="s">
        <v>1343</v>
      </c>
      <c r="B1170" s="528"/>
      <c r="C1170" s="1100"/>
      <c r="D1170" s="1100"/>
      <c r="E1170" s="1100"/>
      <c r="F1170" s="1100"/>
      <c r="G1170" s="840"/>
      <c r="H1170" s="840"/>
      <c r="I1170" s="840"/>
      <c r="J1170" s="840"/>
      <c r="K1170" s="1100"/>
      <c r="L1170" s="840"/>
      <c r="M1170" s="840"/>
      <c r="N1170" s="840"/>
      <c r="O1170" s="840"/>
      <c r="P1170" s="1100"/>
      <c r="Q1170" s="840"/>
      <c r="R1170" s="840"/>
      <c r="S1170" s="840"/>
      <c r="T1170" s="840"/>
      <c r="U1170" s="1100"/>
      <c r="V1170" s="840"/>
      <c r="W1170" s="840"/>
      <c r="X1170" s="840"/>
      <c r="Y1170" s="840"/>
      <c r="Z1170" s="1100"/>
      <c r="AA1170" s="840"/>
      <c r="AB1170" s="840"/>
      <c r="AC1170" s="840"/>
      <c r="AD1170" s="840"/>
      <c r="AE1170" s="1100"/>
      <c r="AF1170" s="840"/>
      <c r="AG1170" s="840"/>
      <c r="AH1170" s="840"/>
      <c r="AI1170" s="840"/>
      <c r="AJ1170" s="1100"/>
      <c r="AK1170" s="840"/>
      <c r="AL1170" s="840"/>
      <c r="AM1170" s="840"/>
      <c r="AN1170" s="840"/>
      <c r="AO1170" s="1100"/>
      <c r="AP1170" s="840"/>
      <c r="AQ1170" s="840"/>
      <c r="AR1170" s="840"/>
      <c r="AS1170" s="840"/>
      <c r="AT1170" s="1120">
        <v>13.324</v>
      </c>
      <c r="AU1170" s="840"/>
      <c r="AV1170" s="840"/>
      <c r="AW1170" s="840"/>
      <c r="AX1170" s="840"/>
      <c r="AY1170" s="1120">
        <v>11.742000000000001</v>
      </c>
      <c r="AZ1170" s="840"/>
      <c r="BA1170" s="840"/>
      <c r="BB1170" s="840"/>
      <c r="BC1170" s="840"/>
      <c r="BD1170" s="1120">
        <v>12.971</v>
      </c>
      <c r="BE1170" s="840"/>
      <c r="BF1170" s="840"/>
      <c r="BG1170" s="840"/>
      <c r="BH1170" s="840"/>
      <c r="BI1170" s="1120">
        <v>16.044</v>
      </c>
      <c r="BJ1170" s="840"/>
      <c r="BK1170" s="840"/>
      <c r="BL1170" s="840"/>
      <c r="BM1170" s="840"/>
      <c r="BN1170" s="1120">
        <v>15.647</v>
      </c>
      <c r="BO1170" s="840"/>
      <c r="BP1170" s="840"/>
      <c r="BQ1170" s="840"/>
      <c r="BR1170" s="840"/>
      <c r="BS1170" s="1100"/>
      <c r="BT1170" s="841"/>
      <c r="BU1170" s="840"/>
      <c r="BV1170" s="840"/>
      <c r="BW1170" s="840"/>
      <c r="BX1170" s="1100"/>
      <c r="BY1170" s="840"/>
      <c r="BZ1170" s="840"/>
      <c r="CA1170" s="840"/>
      <c r="CB1170" s="840"/>
      <c r="CC1170" s="1100"/>
      <c r="CD1170" s="1100"/>
      <c r="CE1170" s="1100"/>
      <c r="CF1170" s="1100"/>
      <c r="CG1170" s="532"/>
    </row>
    <row r="1171" spans="1:85" s="612" customFormat="1" x14ac:dyDescent="0.3">
      <c r="A1171" s="106" t="s">
        <v>1342</v>
      </c>
      <c r="B1171" s="514"/>
      <c r="C1171" s="1097"/>
      <c r="D1171" s="1097"/>
      <c r="E1171" s="1097"/>
      <c r="F1171" s="1097"/>
      <c r="G1171" s="772"/>
      <c r="H1171" s="772"/>
      <c r="I1171" s="772"/>
      <c r="J1171" s="772"/>
      <c r="K1171" s="1097"/>
      <c r="L1171" s="772"/>
      <c r="M1171" s="772"/>
      <c r="N1171" s="772"/>
      <c r="O1171" s="772"/>
      <c r="P1171" s="1097"/>
      <c r="Q1171" s="772"/>
      <c r="R1171" s="772"/>
      <c r="S1171" s="772"/>
      <c r="T1171" s="772"/>
      <c r="U1171" s="1097"/>
      <c r="V1171" s="772"/>
      <c r="W1171" s="772"/>
      <c r="X1171" s="772"/>
      <c r="Y1171" s="772"/>
      <c r="Z1171" s="1097"/>
      <c r="AA1171" s="772"/>
      <c r="AB1171" s="772"/>
      <c r="AC1171" s="772"/>
      <c r="AD1171" s="772"/>
      <c r="AE1171" s="1097"/>
      <c r="AF1171" s="772"/>
      <c r="AG1171" s="772"/>
      <c r="AH1171" s="772"/>
      <c r="AI1171" s="772"/>
      <c r="AJ1171" s="1097"/>
      <c r="AK1171" s="772"/>
      <c r="AL1171" s="772"/>
      <c r="AM1171" s="772"/>
      <c r="AN1171" s="772"/>
      <c r="AO1171" s="1097"/>
      <c r="AP1171" s="772"/>
      <c r="AQ1171" s="772"/>
      <c r="AR1171" s="772"/>
      <c r="AS1171" s="772"/>
      <c r="AT1171" s="1097">
        <f>SUM(AT1166:AT1170)</f>
      </c>
      <c r="AU1171" s="772"/>
      <c r="AV1171" s="772"/>
      <c r="AW1171" s="772"/>
      <c r="AX1171" s="772"/>
      <c r="AY1171" s="1097">
        <f>SUM(AY1166:AY1170)</f>
      </c>
      <c r="AZ1171" s="772"/>
      <c r="BA1171" s="772"/>
      <c r="BB1171" s="772"/>
      <c r="BC1171" s="772"/>
      <c r="BD1171" s="1097">
        <f>SUM(BD1166:BD1170)</f>
      </c>
      <c r="BE1171" s="772"/>
      <c r="BF1171" s="772"/>
      <c r="BG1171" s="772"/>
      <c r="BH1171" s="772"/>
      <c r="BI1171" s="1097">
        <f>SUM(BI1166:BI1170)</f>
      </c>
      <c r="BJ1171" s="772"/>
      <c r="BK1171" s="772"/>
      <c r="BL1171" s="772"/>
      <c r="BM1171" s="772"/>
      <c r="BN1171" s="1097">
        <f>SUM(BN1166:BN1170)</f>
      </c>
      <c r="BO1171" s="772"/>
      <c r="BP1171" s="772"/>
      <c r="BQ1171" s="772"/>
      <c r="BR1171" s="772"/>
      <c r="BS1171" s="1097"/>
      <c r="BT1171" s="838"/>
      <c r="BU1171" s="772"/>
      <c r="BV1171" s="772"/>
      <c r="BW1171" s="772"/>
      <c r="BX1171" s="1097"/>
      <c r="BY1171" s="772"/>
      <c r="BZ1171" s="772"/>
      <c r="CA1171" s="772"/>
      <c r="CB1171" s="772"/>
      <c r="CC1171" s="1097"/>
      <c r="CD1171" s="1097"/>
      <c r="CE1171" s="1097"/>
      <c r="CF1171" s="1097"/>
      <c r="CG1171" s="348"/>
    </row>
    <row r="1172" spans="1:85" s="617" customFormat="1" x14ac:dyDescent="0.3">
      <c r="A1172" s="116" t="s">
        <v>1341</v>
      </c>
      <c r="B1172" s="525"/>
      <c r="C1172" s="1099"/>
      <c r="D1172" s="1099"/>
      <c r="E1172" s="1099"/>
      <c r="F1172" s="1099"/>
      <c r="G1172" s="185"/>
      <c r="H1172" s="185"/>
      <c r="I1172" s="185"/>
      <c r="J1172" s="185"/>
      <c r="K1172" s="1099"/>
      <c r="L1172" s="185"/>
      <c r="M1172" s="185"/>
      <c r="N1172" s="185"/>
      <c r="O1172" s="185"/>
      <c r="P1172" s="1099"/>
      <c r="Q1172" s="185"/>
      <c r="R1172" s="185"/>
      <c r="S1172" s="185"/>
      <c r="T1172" s="185"/>
      <c r="U1172" s="1099"/>
      <c r="V1172" s="185"/>
      <c r="W1172" s="185"/>
      <c r="X1172" s="185"/>
      <c r="Y1172" s="185"/>
      <c r="Z1172" s="1099"/>
      <c r="AA1172" s="185"/>
      <c r="AB1172" s="185"/>
      <c r="AC1172" s="185"/>
      <c r="AD1172" s="185"/>
      <c r="AE1172" s="1099"/>
      <c r="AF1172" s="185"/>
      <c r="AG1172" s="185"/>
      <c r="AH1172" s="185"/>
      <c r="AI1172" s="185"/>
      <c r="AJ1172" s="1099"/>
      <c r="AK1172" s="185"/>
      <c r="AL1172" s="185"/>
      <c r="AM1172" s="185"/>
      <c r="AN1172" s="185"/>
      <c r="AO1172" s="1099"/>
      <c r="AP1172" s="185"/>
      <c r="AQ1172" s="185"/>
      <c r="AR1172" s="185"/>
      <c r="AS1172" s="185"/>
      <c r="AT1172" s="83">
        <f>SUM(AT1168)/AT1171</f>
      </c>
      <c r="AU1172" s="185"/>
      <c r="AV1172" s="185"/>
      <c r="AW1172" s="185"/>
      <c r="AX1172" s="185"/>
      <c r="AY1172" s="83">
        <f>SUM(AY1168)/AY1171</f>
      </c>
      <c r="AZ1172" s="185"/>
      <c r="BA1172" s="185"/>
      <c r="BB1172" s="185"/>
      <c r="BC1172" s="185"/>
      <c r="BD1172" s="83">
        <f>SUM(BD1168)/BD1171</f>
      </c>
      <c r="BE1172" s="185"/>
      <c r="BF1172" s="185"/>
      <c r="BG1172" s="185"/>
      <c r="BH1172" s="185"/>
      <c r="BI1172" s="83">
        <f>SUM(BI1168)/BI1171</f>
      </c>
      <c r="BJ1172" s="185"/>
      <c r="BK1172" s="185"/>
      <c r="BL1172" s="185"/>
      <c r="BM1172" s="185"/>
      <c r="BN1172" s="83">
        <f>SUM(BN1168)/BN1171</f>
      </c>
      <c r="BO1172" s="185"/>
      <c r="BP1172" s="185"/>
      <c r="BQ1172" s="185"/>
      <c r="BR1172" s="185"/>
      <c r="BS1172" s="83"/>
      <c r="BT1172" s="730"/>
      <c r="BU1172" s="185"/>
      <c r="BV1172" s="185"/>
      <c r="BW1172" s="185"/>
      <c r="BX1172" s="1099"/>
      <c r="BY1172" s="185"/>
      <c r="BZ1172" s="185"/>
      <c r="CA1172" s="185"/>
      <c r="CB1172" s="185"/>
      <c r="CC1172" s="1099"/>
      <c r="CD1172" s="1099"/>
      <c r="CE1172" s="1099"/>
      <c r="CF1172" s="1099"/>
      <c r="CG1172" s="524"/>
    </row>
    <row r="1173" spans="1:85" s="614" customFormat="1" x14ac:dyDescent="0.3">
      <c r="A1173" s="116"/>
      <c r="B1173" s="352"/>
      <c r="C1173" s="1094"/>
      <c r="D1173" s="1094"/>
      <c r="E1173" s="1094"/>
      <c r="F1173" s="1094"/>
      <c r="G1173" s="197"/>
      <c r="H1173" s="197"/>
      <c r="I1173" s="197"/>
      <c r="J1173" s="197"/>
      <c r="K1173" s="1094"/>
      <c r="L1173" s="197"/>
      <c r="M1173" s="197"/>
      <c r="N1173" s="197"/>
      <c r="O1173" s="197"/>
      <c r="P1173" s="1094"/>
      <c r="Q1173" s="197"/>
      <c r="R1173" s="197"/>
      <c r="S1173" s="197"/>
      <c r="T1173" s="197"/>
      <c r="U1173" s="1094"/>
      <c r="V1173" s="197"/>
      <c r="W1173" s="197"/>
      <c r="X1173" s="197"/>
      <c r="Y1173" s="197"/>
      <c r="Z1173" s="1094"/>
      <c r="AA1173" s="197"/>
      <c r="AB1173" s="197"/>
      <c r="AC1173" s="197"/>
      <c r="AD1173" s="197"/>
      <c r="AE1173" s="1094"/>
      <c r="AF1173" s="197"/>
      <c r="AG1173" s="197"/>
      <c r="AH1173" s="197"/>
      <c r="AI1173" s="197"/>
      <c r="AJ1173" s="1094"/>
      <c r="AK1173" s="197"/>
      <c r="AL1173" s="197"/>
      <c r="AM1173" s="197"/>
      <c r="AN1173" s="197"/>
      <c r="AO1173" s="1094"/>
      <c r="AP1173" s="197"/>
      <c r="AQ1173" s="197"/>
      <c r="AR1173" s="197"/>
      <c r="AS1173" s="197"/>
      <c r="AT1173" s="198"/>
      <c r="AU1173" s="197"/>
      <c r="AV1173" s="197"/>
      <c r="AW1173" s="197"/>
      <c r="AX1173" s="197"/>
      <c r="AY1173" s="198"/>
      <c r="AZ1173" s="197"/>
      <c r="BA1173" s="197"/>
      <c r="BB1173" s="197"/>
      <c r="BC1173" s="197"/>
      <c r="BD1173" s="198"/>
      <c r="BE1173" s="197"/>
      <c r="BF1173" s="197"/>
      <c r="BG1173" s="197"/>
      <c r="BH1173" s="197"/>
      <c r="BI1173" s="1094"/>
      <c r="BJ1173" s="197"/>
      <c r="BK1173" s="197"/>
      <c r="BL1173" s="197"/>
      <c r="BM1173" s="197"/>
      <c r="BN1173" s="1094"/>
      <c r="BO1173" s="197"/>
      <c r="BP1173" s="197"/>
      <c r="BQ1173" s="197"/>
      <c r="BR1173" s="197"/>
      <c r="BS1173" s="1094"/>
      <c r="BT1173" s="727"/>
      <c r="BU1173" s="197"/>
      <c r="BV1173" s="197"/>
      <c r="BW1173" s="197"/>
      <c r="BX1173" s="1094"/>
      <c r="BY1173" s="197"/>
      <c r="BZ1173" s="197"/>
      <c r="CA1173" s="197"/>
      <c r="CB1173" s="197"/>
      <c r="CC1173" s="1094"/>
      <c r="CD1173" s="1094"/>
      <c r="CE1173" s="1094"/>
      <c r="CF1173" s="1094"/>
      <c r="CG1173" s="349"/>
    </row>
    <row r="1174" spans="1:85" s="613" customFormat="1" x14ac:dyDescent="0.3">
      <c r="A1174" s="478" t="s">
        <v>1340</v>
      </c>
      <c r="B1174" s="523"/>
      <c r="C1174" s="78"/>
      <c r="D1174" s="78"/>
      <c r="E1174" s="78"/>
      <c r="F1174" s="78"/>
      <c r="G1174" s="774"/>
      <c r="H1174" s="774"/>
      <c r="I1174" s="774"/>
      <c r="J1174" s="774"/>
      <c r="K1174" s="78"/>
      <c r="L1174" s="774"/>
      <c r="M1174" s="774"/>
      <c r="N1174" s="774"/>
      <c r="O1174" s="774"/>
      <c r="P1174" s="78"/>
      <c r="Q1174" s="774"/>
      <c r="R1174" s="774"/>
      <c r="S1174" s="774"/>
      <c r="T1174" s="774"/>
      <c r="U1174" s="78"/>
      <c r="V1174" s="774"/>
      <c r="W1174" s="774"/>
      <c r="X1174" s="774"/>
      <c r="Y1174" s="774"/>
      <c r="Z1174" s="78"/>
      <c r="AA1174" s="774"/>
      <c r="AB1174" s="774"/>
      <c r="AC1174" s="774"/>
      <c r="AD1174" s="774"/>
      <c r="AE1174" s="78"/>
      <c r="AF1174" s="774"/>
      <c r="AG1174" s="774"/>
      <c r="AH1174" s="774"/>
      <c r="AI1174" s="774"/>
      <c r="AJ1174" s="78"/>
      <c r="AK1174" s="774"/>
      <c r="AL1174" s="774"/>
      <c r="AM1174" s="774"/>
      <c r="AN1174" s="774"/>
      <c r="AO1174" s="78"/>
      <c r="AP1174" s="774"/>
      <c r="AQ1174" s="774"/>
      <c r="AR1174" s="774"/>
      <c r="AS1174" s="774"/>
      <c r="AT1174" s="1119">
        <v>6.2720000000000002</v>
      </c>
      <c r="AU1174" s="774"/>
      <c r="AV1174" s="774"/>
      <c r="AW1174" s="774"/>
      <c r="AX1174" s="774"/>
      <c r="AY1174" s="78"/>
      <c r="AZ1174" s="774"/>
      <c r="BA1174" s="774"/>
      <c r="BB1174" s="774"/>
      <c r="BC1174" s="774"/>
      <c r="BD1174" s="78"/>
      <c r="BE1174" s="774"/>
      <c r="BF1174" s="774"/>
      <c r="BG1174" s="774"/>
      <c r="BH1174" s="774"/>
      <c r="BI1174" s="78"/>
      <c r="BJ1174" s="774"/>
      <c r="BK1174" s="774"/>
      <c r="BL1174" s="774"/>
      <c r="BM1174" s="774"/>
      <c r="BN1174" s="78"/>
      <c r="BO1174" s="774"/>
      <c r="BP1174" s="774"/>
      <c r="BQ1174" s="774"/>
      <c r="BR1174" s="774"/>
      <c r="BS1174" s="78"/>
      <c r="BT1174" s="775"/>
      <c r="BU1174" s="774"/>
      <c r="BV1174" s="774"/>
      <c r="BW1174" s="774"/>
      <c r="BX1174" s="78"/>
      <c r="BY1174" s="774"/>
      <c r="BZ1174" s="774"/>
      <c r="CA1174" s="774"/>
      <c r="CB1174" s="774"/>
      <c r="CC1174" s="78"/>
      <c r="CD1174" s="78"/>
      <c r="CE1174" s="78"/>
      <c r="CF1174" s="78"/>
      <c r="CG1174" s="532"/>
    </row>
    <row r="1175" spans="1:85" s="616" customFormat="1" x14ac:dyDescent="0.3">
      <c r="A1175" s="522" t="s">
        <v>1339</v>
      </c>
      <c r="B1175" s="527"/>
      <c r="C1175" s="1124"/>
      <c r="D1175" s="1124"/>
      <c r="E1175" s="1124"/>
      <c r="F1175" s="1124"/>
      <c r="G1175" s="526"/>
      <c r="H1175" s="526"/>
      <c r="I1175" s="526"/>
      <c r="J1175" s="526"/>
      <c r="K1175" s="1124"/>
      <c r="L1175" s="526"/>
      <c r="M1175" s="526"/>
      <c r="N1175" s="526"/>
      <c r="O1175" s="526"/>
      <c r="P1175" s="1124"/>
      <c r="Q1175" s="526"/>
      <c r="R1175" s="526"/>
      <c r="S1175" s="526"/>
      <c r="T1175" s="526"/>
      <c r="U1175" s="1124"/>
      <c r="V1175" s="526"/>
      <c r="W1175" s="526"/>
      <c r="X1175" s="526"/>
      <c r="Y1175" s="526"/>
      <c r="Z1175" s="1124"/>
      <c r="AA1175" s="526"/>
      <c r="AB1175" s="526"/>
      <c r="AC1175" s="526"/>
      <c r="AD1175" s="526"/>
      <c r="AE1175" s="1124"/>
      <c r="AF1175" s="526"/>
      <c r="AG1175" s="526"/>
      <c r="AH1175" s="526"/>
      <c r="AI1175" s="526"/>
      <c r="AJ1175" s="1124"/>
      <c r="AK1175" s="526"/>
      <c r="AL1175" s="526"/>
      <c r="AM1175" s="526"/>
      <c r="AN1175" s="526"/>
      <c r="AO1175" s="1124"/>
      <c r="AP1175" s="526"/>
      <c r="AQ1175" s="526"/>
      <c r="AR1175" s="526"/>
      <c r="AS1175" s="526"/>
      <c r="AT1175" s="1123">
        <v>49.85</v>
      </c>
      <c r="AU1175" s="526"/>
      <c r="AV1175" s="526"/>
      <c r="AW1175" s="526"/>
      <c r="AX1175" s="526"/>
      <c r="AY1175" s="1124"/>
      <c r="AZ1175" s="526"/>
      <c r="BA1175" s="526"/>
      <c r="BB1175" s="526"/>
      <c r="BC1175" s="526"/>
      <c r="BD1175" s="1124"/>
      <c r="BE1175" s="526"/>
      <c r="BF1175" s="526"/>
      <c r="BG1175" s="526"/>
      <c r="BH1175" s="526"/>
      <c r="BI1175" s="1124"/>
      <c r="BJ1175" s="526"/>
      <c r="BK1175" s="526"/>
      <c r="BL1175" s="526"/>
      <c r="BM1175" s="526"/>
      <c r="BN1175" s="1124"/>
      <c r="BO1175" s="526"/>
      <c r="BP1175" s="526"/>
      <c r="BQ1175" s="526"/>
      <c r="BR1175" s="526"/>
      <c r="BS1175" s="1124"/>
      <c r="BT1175" s="729"/>
      <c r="BU1175" s="526"/>
      <c r="BV1175" s="526"/>
      <c r="BW1175" s="526"/>
      <c r="BX1175" s="1124"/>
      <c r="BY1175" s="526"/>
      <c r="BZ1175" s="526"/>
      <c r="CA1175" s="526"/>
      <c r="CB1175" s="526"/>
      <c r="CC1175" s="1124"/>
      <c r="CD1175" s="1124"/>
      <c r="CE1175" s="1124"/>
      <c r="CF1175" s="1124"/>
      <c r="CG1175" s="533"/>
    </row>
    <row r="1176" spans="1:85" s="614" customFormat="1" x14ac:dyDescent="0.3">
      <c r="A1176" s="522"/>
      <c r="B1176" s="352"/>
      <c r="C1176" s="1094"/>
      <c r="D1176" s="1094"/>
      <c r="E1176" s="1094"/>
      <c r="F1176" s="1094"/>
      <c r="G1176" s="197"/>
      <c r="H1176" s="197"/>
      <c r="I1176" s="197"/>
      <c r="J1176" s="197"/>
      <c r="K1176" s="1094"/>
      <c r="L1176" s="197"/>
      <c r="M1176" s="197"/>
      <c r="N1176" s="197"/>
      <c r="O1176" s="197"/>
      <c r="P1176" s="1094"/>
      <c r="Q1176" s="197"/>
      <c r="R1176" s="197"/>
      <c r="S1176" s="197"/>
      <c r="T1176" s="197"/>
      <c r="U1176" s="1094"/>
      <c r="V1176" s="197"/>
      <c r="W1176" s="197"/>
      <c r="X1176" s="197"/>
      <c r="Y1176" s="197"/>
      <c r="Z1176" s="1094"/>
      <c r="AA1176" s="197"/>
      <c r="AB1176" s="197"/>
      <c r="AC1176" s="197"/>
      <c r="AD1176" s="197"/>
      <c r="AE1176" s="1094"/>
      <c r="AF1176" s="197"/>
      <c r="AG1176" s="197"/>
      <c r="AH1176" s="197"/>
      <c r="AI1176" s="197"/>
      <c r="AJ1176" s="1094"/>
      <c r="AK1176" s="197"/>
      <c r="AL1176" s="197"/>
      <c r="AM1176" s="197"/>
      <c r="AN1176" s="197"/>
      <c r="AO1176" s="1094"/>
      <c r="AP1176" s="197"/>
      <c r="AQ1176" s="197"/>
      <c r="AR1176" s="197"/>
      <c r="AS1176" s="197"/>
      <c r="AT1176" s="198"/>
      <c r="AU1176" s="197"/>
      <c r="AV1176" s="197"/>
      <c r="AW1176" s="197"/>
      <c r="AX1176" s="197"/>
      <c r="AY1176" s="198"/>
      <c r="AZ1176" s="197"/>
      <c r="BA1176" s="197"/>
      <c r="BB1176" s="197"/>
      <c r="BC1176" s="197"/>
      <c r="BD1176" s="198"/>
      <c r="BE1176" s="197"/>
      <c r="BF1176" s="197"/>
      <c r="BG1176" s="197"/>
      <c r="BH1176" s="197"/>
      <c r="BI1176" s="1094"/>
      <c r="BJ1176" s="197"/>
      <c r="BK1176" s="197"/>
      <c r="BL1176" s="197"/>
      <c r="BM1176" s="197"/>
      <c r="BN1176" s="1094"/>
      <c r="BO1176" s="197"/>
      <c r="BP1176" s="197"/>
      <c r="BQ1176" s="197"/>
      <c r="BR1176" s="197"/>
      <c r="BS1176" s="1094"/>
      <c r="BT1176" s="727"/>
      <c r="BU1176" s="197"/>
      <c r="BV1176" s="197"/>
      <c r="BW1176" s="197"/>
      <c r="BX1176" s="1094"/>
      <c r="BY1176" s="197"/>
      <c r="BZ1176" s="197"/>
      <c r="CA1176" s="197"/>
      <c r="CB1176" s="197"/>
      <c r="CC1176" s="1094"/>
      <c r="CD1176" s="1094"/>
      <c r="CE1176" s="1094"/>
      <c r="CF1176" s="1094"/>
      <c r="CG1176" s="349"/>
    </row>
    <row r="1177" spans="1:85" s="613" customFormat="1" x14ac:dyDescent="0.3">
      <c r="A1177" s="478" t="s">
        <v>1338</v>
      </c>
      <c r="B1177" s="523"/>
      <c r="C1177" s="78"/>
      <c r="D1177" s="78"/>
      <c r="E1177" s="78"/>
      <c r="F1177" s="78"/>
      <c r="G1177" s="774"/>
      <c r="H1177" s="774"/>
      <c r="I1177" s="774"/>
      <c r="J1177" s="774"/>
      <c r="K1177" s="78"/>
      <c r="L1177" s="774"/>
      <c r="M1177" s="774"/>
      <c r="N1177" s="774"/>
      <c r="O1177" s="774"/>
      <c r="P1177" s="78"/>
      <c r="Q1177" s="774"/>
      <c r="R1177" s="774"/>
      <c r="S1177" s="774"/>
      <c r="T1177" s="774"/>
      <c r="U1177" s="78"/>
      <c r="V1177" s="774"/>
      <c r="W1177" s="774"/>
      <c r="X1177" s="774"/>
      <c r="Y1177" s="774"/>
      <c r="Z1177" s="78"/>
      <c r="AA1177" s="774"/>
      <c r="AB1177" s="774"/>
      <c r="AC1177" s="774"/>
      <c r="AD1177" s="774"/>
      <c r="AE1177" s="78"/>
      <c r="AF1177" s="774"/>
      <c r="AG1177" s="774"/>
      <c r="AH1177" s="774"/>
      <c r="AI1177" s="774"/>
      <c r="AJ1177" s="78"/>
      <c r="AK1177" s="774"/>
      <c r="AL1177" s="774"/>
      <c r="AM1177" s="774"/>
      <c r="AN1177" s="774"/>
      <c r="AO1177" s="78"/>
      <c r="AP1177" s="774"/>
      <c r="AQ1177" s="774"/>
      <c r="AR1177" s="774"/>
      <c r="AS1177" s="774"/>
      <c r="AT1177" s="1119">
        <v>3.9620000000000002</v>
      </c>
      <c r="AU1177" s="774"/>
      <c r="AV1177" s="774"/>
      <c r="AW1177" s="774"/>
      <c r="AX1177" s="774"/>
      <c r="AY1177" s="78"/>
      <c r="AZ1177" s="774"/>
      <c r="BA1177" s="774"/>
      <c r="BB1177" s="774"/>
      <c r="BC1177" s="774"/>
      <c r="BD1177" s="78"/>
      <c r="BE1177" s="774"/>
      <c r="BF1177" s="774"/>
      <c r="BG1177" s="774"/>
      <c r="BH1177" s="774"/>
      <c r="BI1177" s="78"/>
      <c r="BJ1177" s="774"/>
      <c r="BK1177" s="774"/>
      <c r="BL1177" s="774"/>
      <c r="BM1177" s="774"/>
      <c r="BN1177" s="78"/>
      <c r="BO1177" s="774"/>
      <c r="BP1177" s="774"/>
      <c r="BQ1177" s="774"/>
      <c r="BR1177" s="774"/>
      <c r="BS1177" s="78"/>
      <c r="BT1177" s="775"/>
      <c r="BU1177" s="774"/>
      <c r="BV1177" s="774"/>
      <c r="BW1177" s="774"/>
      <c r="BX1177" s="78"/>
      <c r="BY1177" s="774"/>
      <c r="BZ1177" s="774"/>
      <c r="CA1177" s="774"/>
      <c r="CB1177" s="774"/>
      <c r="CC1177" s="78"/>
      <c r="CD1177" s="78"/>
      <c r="CE1177" s="78"/>
      <c r="CF1177" s="78"/>
      <c r="CG1177" s="532"/>
    </row>
    <row r="1178" spans="1:85" s="616" customFormat="1" x14ac:dyDescent="0.3">
      <c r="A1178" s="522" t="s">
        <v>1337</v>
      </c>
      <c r="B1178" s="527"/>
      <c r="C1178" s="1124"/>
      <c r="D1178" s="1124"/>
      <c r="E1178" s="1124"/>
      <c r="F1178" s="1124"/>
      <c r="G1178" s="526"/>
      <c r="H1178" s="526"/>
      <c r="I1178" s="526"/>
      <c r="J1178" s="526"/>
      <c r="K1178" s="1124"/>
      <c r="L1178" s="526"/>
      <c r="M1178" s="526"/>
      <c r="N1178" s="526"/>
      <c r="O1178" s="526"/>
      <c r="P1178" s="1124"/>
      <c r="Q1178" s="526"/>
      <c r="R1178" s="526"/>
      <c r="S1178" s="526"/>
      <c r="T1178" s="526"/>
      <c r="U1178" s="1124"/>
      <c r="V1178" s="526"/>
      <c r="W1178" s="526"/>
      <c r="X1178" s="526"/>
      <c r="Y1178" s="526"/>
      <c r="Z1178" s="1124"/>
      <c r="AA1178" s="526"/>
      <c r="AB1178" s="526"/>
      <c r="AC1178" s="526"/>
      <c r="AD1178" s="526"/>
      <c r="AE1178" s="1124"/>
      <c r="AF1178" s="526"/>
      <c r="AG1178" s="526"/>
      <c r="AH1178" s="526"/>
      <c r="AI1178" s="526"/>
      <c r="AJ1178" s="1124"/>
      <c r="AK1178" s="526"/>
      <c r="AL1178" s="526"/>
      <c r="AM1178" s="526"/>
      <c r="AN1178" s="526"/>
      <c r="AO1178" s="1124"/>
      <c r="AP1178" s="526"/>
      <c r="AQ1178" s="526"/>
      <c r="AR1178" s="526"/>
      <c r="AS1178" s="526"/>
      <c r="AT1178" s="1123">
        <v>63.01</v>
      </c>
      <c r="AU1178" s="526"/>
      <c r="AV1178" s="526"/>
      <c r="AW1178" s="526"/>
      <c r="AX1178" s="526"/>
      <c r="AY1178" s="1124"/>
      <c r="AZ1178" s="526"/>
      <c r="BA1178" s="526"/>
      <c r="BB1178" s="526"/>
      <c r="BC1178" s="526"/>
      <c r="BD1178" s="1124"/>
      <c r="BE1178" s="526"/>
      <c r="BF1178" s="526"/>
      <c r="BG1178" s="526"/>
      <c r="BH1178" s="526"/>
      <c r="BI1178" s="1124"/>
      <c r="BJ1178" s="526"/>
      <c r="BK1178" s="526"/>
      <c r="BL1178" s="526"/>
      <c r="BM1178" s="526"/>
      <c r="BN1178" s="1124"/>
      <c r="BO1178" s="526"/>
      <c r="BP1178" s="526"/>
      <c r="BQ1178" s="526"/>
      <c r="BR1178" s="526"/>
      <c r="BS1178" s="1124"/>
      <c r="BT1178" s="729"/>
      <c r="BU1178" s="526"/>
      <c r="BV1178" s="526"/>
      <c r="BW1178" s="526"/>
      <c r="BX1178" s="1124"/>
      <c r="BY1178" s="526"/>
      <c r="BZ1178" s="526"/>
      <c r="CA1178" s="526"/>
      <c r="CB1178" s="526"/>
      <c r="CC1178" s="1124"/>
      <c r="CD1178" s="1124"/>
      <c r="CE1178" s="1124"/>
      <c r="CF1178" s="1124"/>
      <c r="CG1178" s="533"/>
    </row>
    <row r="1179" spans="1:85" s="614" customFormat="1" x14ac:dyDescent="0.3">
      <c r="A1179" s="522"/>
      <c r="B1179" s="352"/>
      <c r="C1179" s="1094"/>
      <c r="D1179" s="1094"/>
      <c r="E1179" s="1094"/>
      <c r="F1179" s="1094"/>
      <c r="G1179" s="197"/>
      <c r="H1179" s="197"/>
      <c r="I1179" s="197"/>
      <c r="J1179" s="197"/>
      <c r="K1179" s="1094"/>
      <c r="L1179" s="197"/>
      <c r="M1179" s="197"/>
      <c r="N1179" s="197"/>
      <c r="O1179" s="197"/>
      <c r="P1179" s="1094"/>
      <c r="Q1179" s="197"/>
      <c r="R1179" s="197"/>
      <c r="S1179" s="197"/>
      <c r="T1179" s="197"/>
      <c r="U1179" s="1094"/>
      <c r="V1179" s="197"/>
      <c r="W1179" s="197"/>
      <c r="X1179" s="197"/>
      <c r="Y1179" s="197"/>
      <c r="Z1179" s="1094"/>
      <c r="AA1179" s="197"/>
      <c r="AB1179" s="197"/>
      <c r="AC1179" s="197"/>
      <c r="AD1179" s="197"/>
      <c r="AE1179" s="1094"/>
      <c r="AF1179" s="197"/>
      <c r="AG1179" s="197"/>
      <c r="AH1179" s="197"/>
      <c r="AI1179" s="197"/>
      <c r="AJ1179" s="1094"/>
      <c r="AK1179" s="197"/>
      <c r="AL1179" s="197"/>
      <c r="AM1179" s="197"/>
      <c r="AN1179" s="197"/>
      <c r="AO1179" s="1094"/>
      <c r="AP1179" s="197"/>
      <c r="AQ1179" s="197"/>
      <c r="AR1179" s="197"/>
      <c r="AS1179" s="197"/>
      <c r="AT1179" s="198"/>
      <c r="AU1179" s="197"/>
      <c r="AV1179" s="197"/>
      <c r="AW1179" s="197"/>
      <c r="AX1179" s="197"/>
      <c r="AY1179" s="198"/>
      <c r="AZ1179" s="197"/>
      <c r="BA1179" s="197"/>
      <c r="BB1179" s="197"/>
      <c r="BC1179" s="197"/>
      <c r="BD1179" s="198"/>
      <c r="BE1179" s="197"/>
      <c r="BF1179" s="197"/>
      <c r="BG1179" s="197"/>
      <c r="BH1179" s="197"/>
      <c r="BI1179" s="1094"/>
      <c r="BJ1179" s="197"/>
      <c r="BK1179" s="197"/>
      <c r="BL1179" s="197"/>
      <c r="BM1179" s="197"/>
      <c r="BN1179" s="1094"/>
      <c r="BO1179" s="197"/>
      <c r="BP1179" s="197"/>
      <c r="BQ1179" s="197"/>
      <c r="BR1179" s="197"/>
      <c r="BS1179" s="1094"/>
      <c r="BT1179" s="727"/>
      <c r="BU1179" s="197"/>
      <c r="BV1179" s="197"/>
      <c r="BW1179" s="197"/>
      <c r="BX1179" s="1094"/>
      <c r="BY1179" s="197"/>
      <c r="BZ1179" s="197"/>
      <c r="CA1179" s="197"/>
      <c r="CB1179" s="197"/>
      <c r="CC1179" s="1094"/>
      <c r="CD1179" s="1094"/>
      <c r="CE1179" s="1094"/>
      <c r="CF1179" s="1094"/>
      <c r="CG1179" s="349"/>
    </row>
    <row r="1180" spans="1:85" s="613" customFormat="1" x14ac:dyDescent="0.3">
      <c r="A1180" s="478" t="s">
        <v>1336</v>
      </c>
      <c r="B1180" s="523"/>
      <c r="C1180" s="78"/>
      <c r="D1180" s="78"/>
      <c r="E1180" s="78"/>
      <c r="F1180" s="78"/>
      <c r="G1180" s="774"/>
      <c r="H1180" s="774"/>
      <c r="I1180" s="774"/>
      <c r="J1180" s="774"/>
      <c r="K1180" s="78"/>
      <c r="L1180" s="774"/>
      <c r="M1180" s="774"/>
      <c r="N1180" s="774"/>
      <c r="O1180" s="774"/>
      <c r="P1180" s="78"/>
      <c r="Q1180" s="774"/>
      <c r="R1180" s="774"/>
      <c r="S1180" s="774"/>
      <c r="T1180" s="774"/>
      <c r="U1180" s="78"/>
      <c r="V1180" s="774"/>
      <c r="W1180" s="774"/>
      <c r="X1180" s="774"/>
      <c r="Y1180" s="774"/>
      <c r="Z1180" s="78"/>
      <c r="AA1180" s="774"/>
      <c r="AB1180" s="774"/>
      <c r="AC1180" s="774"/>
      <c r="AD1180" s="774"/>
      <c r="AE1180" s="78"/>
      <c r="AF1180" s="774"/>
      <c r="AG1180" s="774"/>
      <c r="AH1180" s="774"/>
      <c r="AI1180" s="774"/>
      <c r="AJ1180" s="78"/>
      <c r="AK1180" s="774"/>
      <c r="AL1180" s="774"/>
      <c r="AM1180" s="774"/>
      <c r="AN1180" s="774"/>
      <c r="AO1180" s="78"/>
      <c r="AP1180" s="774"/>
      <c r="AQ1180" s="774"/>
      <c r="AR1180" s="774"/>
      <c r="AS1180" s="774"/>
      <c r="AT1180" s="1119">
        <v>3.6469999999999998</v>
      </c>
      <c r="AU1180" s="774"/>
      <c r="AV1180" s="774"/>
      <c r="AW1180" s="774"/>
      <c r="AX1180" s="774"/>
      <c r="AY1180" s="78"/>
      <c r="AZ1180" s="774"/>
      <c r="BA1180" s="774"/>
      <c r="BB1180" s="774"/>
      <c r="BC1180" s="774"/>
      <c r="BD1180" s="78"/>
      <c r="BE1180" s="774"/>
      <c r="BF1180" s="774"/>
      <c r="BG1180" s="774"/>
      <c r="BH1180" s="774"/>
      <c r="BI1180" s="78"/>
      <c r="BJ1180" s="774"/>
      <c r="BK1180" s="774"/>
      <c r="BL1180" s="774"/>
      <c r="BM1180" s="774"/>
      <c r="BN1180" s="78"/>
      <c r="BO1180" s="774"/>
      <c r="BP1180" s="774"/>
      <c r="BQ1180" s="774"/>
      <c r="BR1180" s="774"/>
      <c r="BS1180" s="78"/>
      <c r="BT1180" s="775"/>
      <c r="BU1180" s="774"/>
      <c r="BV1180" s="774"/>
      <c r="BW1180" s="774"/>
      <c r="BX1180" s="78"/>
      <c r="BY1180" s="774"/>
      <c r="BZ1180" s="774"/>
      <c r="CA1180" s="774"/>
      <c r="CB1180" s="774"/>
      <c r="CC1180" s="78"/>
      <c r="CD1180" s="78"/>
      <c r="CE1180" s="78"/>
      <c r="CF1180" s="78"/>
      <c r="CG1180" s="532"/>
    </row>
    <row r="1181" spans="1:85" s="616" customFormat="1" x14ac:dyDescent="0.3">
      <c r="A1181" s="522" t="s">
        <v>1335</v>
      </c>
      <c r="B1181" s="527"/>
      <c r="C1181" s="1124"/>
      <c r="D1181" s="1124"/>
      <c r="E1181" s="1124"/>
      <c r="F1181" s="1124"/>
      <c r="G1181" s="526"/>
      <c r="H1181" s="526"/>
      <c r="I1181" s="526"/>
      <c r="J1181" s="526"/>
      <c r="K1181" s="1124"/>
      <c r="L1181" s="526"/>
      <c r="M1181" s="526"/>
      <c r="N1181" s="526"/>
      <c r="O1181" s="526"/>
      <c r="P1181" s="1124"/>
      <c r="Q1181" s="526"/>
      <c r="R1181" s="526"/>
      <c r="S1181" s="526"/>
      <c r="T1181" s="526"/>
      <c r="U1181" s="1124"/>
      <c r="V1181" s="526"/>
      <c r="W1181" s="526"/>
      <c r="X1181" s="526"/>
      <c r="Y1181" s="526"/>
      <c r="Z1181" s="1124"/>
      <c r="AA1181" s="526"/>
      <c r="AB1181" s="526"/>
      <c r="AC1181" s="526"/>
      <c r="AD1181" s="526"/>
      <c r="AE1181" s="1124"/>
      <c r="AF1181" s="526"/>
      <c r="AG1181" s="526"/>
      <c r="AH1181" s="526"/>
      <c r="AI1181" s="526"/>
      <c r="AJ1181" s="1124"/>
      <c r="AK1181" s="526"/>
      <c r="AL1181" s="526"/>
      <c r="AM1181" s="526"/>
      <c r="AN1181" s="526"/>
      <c r="AO1181" s="1124"/>
      <c r="AP1181" s="526"/>
      <c r="AQ1181" s="526"/>
      <c r="AR1181" s="526"/>
      <c r="AS1181" s="526"/>
      <c r="AT1181" s="1123">
        <v>68.61</v>
      </c>
      <c r="AU1181" s="526"/>
      <c r="AV1181" s="526"/>
      <c r="AW1181" s="526"/>
      <c r="AX1181" s="526"/>
      <c r="AY1181" s="1124"/>
      <c r="AZ1181" s="526"/>
      <c r="BA1181" s="526"/>
      <c r="BB1181" s="526"/>
      <c r="BC1181" s="526"/>
      <c r="BD1181" s="1124"/>
      <c r="BE1181" s="526"/>
      <c r="BF1181" s="526"/>
      <c r="BG1181" s="526"/>
      <c r="BH1181" s="526"/>
      <c r="BI1181" s="1124"/>
      <c r="BJ1181" s="526"/>
      <c r="BK1181" s="526"/>
      <c r="BL1181" s="526"/>
      <c r="BM1181" s="526"/>
      <c r="BN1181" s="1124"/>
      <c r="BO1181" s="526"/>
      <c r="BP1181" s="526"/>
      <c r="BQ1181" s="526"/>
      <c r="BR1181" s="526"/>
      <c r="BS1181" s="1124"/>
      <c r="BT1181" s="729"/>
      <c r="BU1181" s="526"/>
      <c r="BV1181" s="526"/>
      <c r="BW1181" s="526"/>
      <c r="BX1181" s="1124"/>
      <c r="BY1181" s="526"/>
      <c r="BZ1181" s="526"/>
      <c r="CA1181" s="526"/>
      <c r="CB1181" s="526"/>
      <c r="CC1181" s="1124"/>
      <c r="CD1181" s="1124"/>
      <c r="CE1181" s="1124"/>
      <c r="CF1181" s="1124"/>
      <c r="CG1181" s="533"/>
    </row>
    <row r="1182" spans="1:85" s="614" customFormat="1" x14ac:dyDescent="0.3">
      <c r="A1182" s="522"/>
      <c r="B1182" s="352"/>
      <c r="C1182" s="1094"/>
      <c r="D1182" s="1094"/>
      <c r="E1182" s="1094"/>
      <c r="F1182" s="1094"/>
      <c r="G1182" s="197"/>
      <c r="H1182" s="197"/>
      <c r="I1182" s="197"/>
      <c r="J1182" s="197"/>
      <c r="K1182" s="1094"/>
      <c r="L1182" s="197"/>
      <c r="M1182" s="197"/>
      <c r="N1182" s="197"/>
      <c r="O1182" s="197"/>
      <c r="P1182" s="1094"/>
      <c r="Q1182" s="197"/>
      <c r="R1182" s="197"/>
      <c r="S1182" s="197"/>
      <c r="T1182" s="197"/>
      <c r="U1182" s="1094"/>
      <c r="V1182" s="197"/>
      <c r="W1182" s="197"/>
      <c r="X1182" s="197"/>
      <c r="Y1182" s="197"/>
      <c r="Z1182" s="1094"/>
      <c r="AA1182" s="197"/>
      <c r="AB1182" s="197"/>
      <c r="AC1182" s="197"/>
      <c r="AD1182" s="197"/>
      <c r="AE1182" s="1094"/>
      <c r="AF1182" s="197"/>
      <c r="AG1182" s="197"/>
      <c r="AH1182" s="197"/>
      <c r="AI1182" s="197"/>
      <c r="AJ1182" s="1094"/>
      <c r="AK1182" s="197"/>
      <c r="AL1182" s="197"/>
      <c r="AM1182" s="197"/>
      <c r="AN1182" s="197"/>
      <c r="AO1182" s="1094"/>
      <c r="AP1182" s="197"/>
      <c r="AQ1182" s="197"/>
      <c r="AR1182" s="197"/>
      <c r="AS1182" s="197"/>
      <c r="AT1182" s="198"/>
      <c r="AU1182" s="197"/>
      <c r="AV1182" s="197"/>
      <c r="AW1182" s="197"/>
      <c r="AX1182" s="197"/>
      <c r="AY1182" s="198"/>
      <c r="AZ1182" s="197"/>
      <c r="BA1182" s="197"/>
      <c r="BB1182" s="197"/>
      <c r="BC1182" s="197"/>
      <c r="BD1182" s="198"/>
      <c r="BE1182" s="197"/>
      <c r="BF1182" s="197"/>
      <c r="BG1182" s="197"/>
      <c r="BH1182" s="197"/>
      <c r="BI1182" s="1094"/>
      <c r="BJ1182" s="197"/>
      <c r="BK1182" s="197"/>
      <c r="BL1182" s="197"/>
      <c r="BM1182" s="197"/>
      <c r="BN1182" s="1094"/>
      <c r="BO1182" s="197"/>
      <c r="BP1182" s="197"/>
      <c r="BQ1182" s="197"/>
      <c r="BR1182" s="197"/>
      <c r="BS1182" s="1094"/>
      <c r="BT1182" s="727"/>
      <c r="BU1182" s="197"/>
      <c r="BV1182" s="197"/>
      <c r="BW1182" s="197"/>
      <c r="BX1182" s="1094"/>
      <c r="BY1182" s="197"/>
      <c r="BZ1182" s="197"/>
      <c r="CA1182" s="197"/>
      <c r="CB1182" s="197"/>
      <c r="CC1182" s="1094"/>
      <c r="CD1182" s="1094"/>
      <c r="CE1182" s="1094"/>
      <c r="CF1182" s="1094"/>
      <c r="CG1182" s="349"/>
    </row>
    <row r="1183" spans="1:85" s="613" customFormat="1" x14ac:dyDescent="0.3">
      <c r="A1183" s="478" t="s">
        <v>1334</v>
      </c>
      <c r="B1183" s="523"/>
      <c r="C1183" s="78"/>
      <c r="D1183" s="78"/>
      <c r="E1183" s="78"/>
      <c r="F1183" s="78"/>
      <c r="G1183" s="774"/>
      <c r="H1183" s="774"/>
      <c r="I1183" s="774"/>
      <c r="J1183" s="774"/>
      <c r="K1183" s="78"/>
      <c r="L1183" s="774"/>
      <c r="M1183" s="774"/>
      <c r="N1183" s="774"/>
      <c r="O1183" s="774"/>
      <c r="P1183" s="78"/>
      <c r="Q1183" s="774"/>
      <c r="R1183" s="774"/>
      <c r="S1183" s="774"/>
      <c r="T1183" s="774"/>
      <c r="U1183" s="78"/>
      <c r="V1183" s="774"/>
      <c r="W1183" s="774"/>
      <c r="X1183" s="774"/>
      <c r="Y1183" s="774"/>
      <c r="Z1183" s="78"/>
      <c r="AA1183" s="774"/>
      <c r="AB1183" s="774"/>
      <c r="AC1183" s="774"/>
      <c r="AD1183" s="774"/>
      <c r="AE1183" s="78"/>
      <c r="AF1183" s="774"/>
      <c r="AG1183" s="774"/>
      <c r="AH1183" s="774"/>
      <c r="AI1183" s="774"/>
      <c r="AJ1183" s="78"/>
      <c r="AK1183" s="774"/>
      <c r="AL1183" s="774"/>
      <c r="AM1183" s="774"/>
      <c r="AN1183" s="774"/>
      <c r="AO1183" s="78"/>
      <c r="AP1183" s="774"/>
      <c r="AQ1183" s="774"/>
      <c r="AR1183" s="774"/>
      <c r="AS1183" s="774"/>
      <c r="AT1183" s="1119">
        <v>4.2350000000000003</v>
      </c>
      <c r="AU1183" s="774"/>
      <c r="AV1183" s="774"/>
      <c r="AW1183" s="774"/>
      <c r="AX1183" s="774"/>
      <c r="AY1183" s="78"/>
      <c r="AZ1183" s="774"/>
      <c r="BA1183" s="774"/>
      <c r="BB1183" s="774"/>
      <c r="BC1183" s="774"/>
      <c r="BD1183" s="78"/>
      <c r="BE1183" s="774"/>
      <c r="BF1183" s="774"/>
      <c r="BG1183" s="774"/>
      <c r="BH1183" s="774"/>
      <c r="BI1183" s="78"/>
      <c r="BJ1183" s="774"/>
      <c r="BK1183" s="774"/>
      <c r="BL1183" s="774"/>
      <c r="BM1183" s="774"/>
      <c r="BN1183" s="78"/>
      <c r="BO1183" s="774"/>
      <c r="BP1183" s="774"/>
      <c r="BQ1183" s="774"/>
      <c r="BR1183" s="774"/>
      <c r="BS1183" s="78"/>
      <c r="BT1183" s="775"/>
      <c r="BU1183" s="774"/>
      <c r="BV1183" s="774"/>
      <c r="BW1183" s="774"/>
      <c r="BX1183" s="78"/>
      <c r="BY1183" s="774"/>
      <c r="BZ1183" s="774"/>
      <c r="CA1183" s="774"/>
      <c r="CB1183" s="774"/>
      <c r="CC1183" s="78"/>
      <c r="CD1183" s="78"/>
      <c r="CE1183" s="78"/>
      <c r="CF1183" s="78"/>
      <c r="CG1183" s="532"/>
    </row>
    <row r="1184" spans="1:85" s="616" customFormat="1" x14ac:dyDescent="0.3">
      <c r="A1184" s="522" t="s">
        <v>1333</v>
      </c>
      <c r="B1184" s="527"/>
      <c r="C1184" s="1124"/>
      <c r="D1184" s="1124"/>
      <c r="E1184" s="1124"/>
      <c r="F1184" s="1124"/>
      <c r="G1184" s="526"/>
      <c r="H1184" s="526"/>
      <c r="I1184" s="526"/>
      <c r="J1184" s="526"/>
      <c r="K1184" s="1124"/>
      <c r="L1184" s="526"/>
      <c r="M1184" s="526"/>
      <c r="N1184" s="526"/>
      <c r="O1184" s="526"/>
      <c r="P1184" s="1124"/>
      <c r="Q1184" s="526"/>
      <c r="R1184" s="526"/>
      <c r="S1184" s="526"/>
      <c r="T1184" s="526"/>
      <c r="U1184" s="1124"/>
      <c r="V1184" s="526"/>
      <c r="W1184" s="526"/>
      <c r="X1184" s="526"/>
      <c r="Y1184" s="526"/>
      <c r="Z1184" s="1124"/>
      <c r="AA1184" s="526"/>
      <c r="AB1184" s="526"/>
      <c r="AC1184" s="526"/>
      <c r="AD1184" s="526"/>
      <c r="AE1184" s="1124"/>
      <c r="AF1184" s="526"/>
      <c r="AG1184" s="526"/>
      <c r="AH1184" s="526"/>
      <c r="AI1184" s="526"/>
      <c r="AJ1184" s="1124"/>
      <c r="AK1184" s="526"/>
      <c r="AL1184" s="526"/>
      <c r="AM1184" s="526"/>
      <c r="AN1184" s="526"/>
      <c r="AO1184" s="1124"/>
      <c r="AP1184" s="526"/>
      <c r="AQ1184" s="526"/>
      <c r="AR1184" s="526"/>
      <c r="AS1184" s="526"/>
      <c r="AT1184" s="1123">
        <v>59.02</v>
      </c>
      <c r="AU1184" s="526"/>
      <c r="AV1184" s="526"/>
      <c r="AW1184" s="526"/>
      <c r="AX1184" s="526"/>
      <c r="AY1184" s="1124"/>
      <c r="AZ1184" s="526"/>
      <c r="BA1184" s="526"/>
      <c r="BB1184" s="526"/>
      <c r="BC1184" s="526"/>
      <c r="BD1184" s="1124"/>
      <c r="BE1184" s="526"/>
      <c r="BF1184" s="526"/>
      <c r="BG1184" s="526"/>
      <c r="BH1184" s="526"/>
      <c r="BI1184" s="1124"/>
      <c r="BJ1184" s="526"/>
      <c r="BK1184" s="526"/>
      <c r="BL1184" s="526"/>
      <c r="BM1184" s="526"/>
      <c r="BN1184" s="1124"/>
      <c r="BO1184" s="526"/>
      <c r="BP1184" s="526"/>
      <c r="BQ1184" s="526"/>
      <c r="BR1184" s="526"/>
      <c r="BS1184" s="1124"/>
      <c r="BT1184" s="729"/>
      <c r="BU1184" s="526"/>
      <c r="BV1184" s="526"/>
      <c r="BW1184" s="526"/>
      <c r="BX1184" s="1124"/>
      <c r="BY1184" s="526"/>
      <c r="BZ1184" s="526"/>
      <c r="CA1184" s="526"/>
      <c r="CB1184" s="526"/>
      <c r="CC1184" s="1124"/>
      <c r="CD1184" s="1124"/>
      <c r="CE1184" s="1124"/>
      <c r="CF1184" s="1124"/>
      <c r="CG1184" s="533"/>
    </row>
    <row r="1185" spans="1:85" s="614" customFormat="1" x14ac:dyDescent="0.3">
      <c r="A1185" s="522"/>
      <c r="B1185" s="352"/>
      <c r="C1185" s="1094"/>
      <c r="D1185" s="1094"/>
      <c r="E1185" s="1094"/>
      <c r="F1185" s="1094"/>
      <c r="G1185" s="197"/>
      <c r="H1185" s="197"/>
      <c r="I1185" s="197"/>
      <c r="J1185" s="197"/>
      <c r="K1185" s="1094"/>
      <c r="L1185" s="197"/>
      <c r="M1185" s="197"/>
      <c r="N1185" s="197"/>
      <c r="O1185" s="197"/>
      <c r="P1185" s="1094"/>
      <c r="Q1185" s="197"/>
      <c r="R1185" s="197"/>
      <c r="S1185" s="197"/>
      <c r="T1185" s="197"/>
      <c r="U1185" s="1094"/>
      <c r="V1185" s="197"/>
      <c r="W1185" s="197"/>
      <c r="X1185" s="197"/>
      <c r="Y1185" s="197"/>
      <c r="Z1185" s="1094"/>
      <c r="AA1185" s="197"/>
      <c r="AB1185" s="197"/>
      <c r="AC1185" s="197"/>
      <c r="AD1185" s="197"/>
      <c r="AE1185" s="1094"/>
      <c r="AF1185" s="197"/>
      <c r="AG1185" s="197"/>
      <c r="AH1185" s="197"/>
      <c r="AI1185" s="197"/>
      <c r="AJ1185" s="1094"/>
      <c r="AK1185" s="197"/>
      <c r="AL1185" s="197"/>
      <c r="AM1185" s="197"/>
      <c r="AN1185" s="197"/>
      <c r="AO1185" s="1094"/>
      <c r="AP1185" s="197"/>
      <c r="AQ1185" s="197"/>
      <c r="AR1185" s="197"/>
      <c r="AS1185" s="197"/>
      <c r="AT1185" s="198"/>
      <c r="AU1185" s="197"/>
      <c r="AV1185" s="197"/>
      <c r="AW1185" s="197"/>
      <c r="AX1185" s="197"/>
      <c r="AY1185" s="198"/>
      <c r="AZ1185" s="197"/>
      <c r="BA1185" s="197"/>
      <c r="BB1185" s="197"/>
      <c r="BC1185" s="197"/>
      <c r="BD1185" s="198"/>
      <c r="BE1185" s="197"/>
      <c r="BF1185" s="197"/>
      <c r="BG1185" s="197"/>
      <c r="BH1185" s="197"/>
      <c r="BI1185" s="1094"/>
      <c r="BJ1185" s="197"/>
      <c r="BK1185" s="197"/>
      <c r="BL1185" s="197"/>
      <c r="BM1185" s="197"/>
      <c r="BN1185" s="1094"/>
      <c r="BO1185" s="197"/>
      <c r="BP1185" s="197"/>
      <c r="BQ1185" s="197"/>
      <c r="BR1185" s="197"/>
      <c r="BS1185" s="1094"/>
      <c r="BT1185" s="727"/>
      <c r="BU1185" s="197"/>
      <c r="BV1185" s="197"/>
      <c r="BW1185" s="197"/>
      <c r="BX1185" s="1094"/>
      <c r="BY1185" s="197"/>
      <c r="BZ1185" s="197"/>
      <c r="CA1185" s="197"/>
      <c r="CB1185" s="197"/>
      <c r="CC1185" s="1094"/>
      <c r="CD1185" s="1094"/>
      <c r="CE1185" s="1094"/>
      <c r="CF1185" s="1094"/>
      <c r="CG1185" s="349"/>
    </row>
    <row r="1186" spans="1:85" s="613" customFormat="1" x14ac:dyDescent="0.3">
      <c r="A1186" s="478" t="s">
        <v>1332</v>
      </c>
      <c r="B1186" s="523"/>
      <c r="C1186" s="78"/>
      <c r="D1186" s="78"/>
      <c r="E1186" s="78"/>
      <c r="F1186" s="78"/>
      <c r="G1186" s="774"/>
      <c r="H1186" s="774"/>
      <c r="I1186" s="774"/>
      <c r="J1186" s="774"/>
      <c r="K1186" s="78"/>
      <c r="L1186" s="774"/>
      <c r="M1186" s="774"/>
      <c r="N1186" s="774"/>
      <c r="O1186" s="774"/>
      <c r="P1186" s="78"/>
      <c r="Q1186" s="774"/>
      <c r="R1186" s="774"/>
      <c r="S1186" s="774"/>
      <c r="T1186" s="774"/>
      <c r="U1186" s="78"/>
      <c r="V1186" s="774"/>
      <c r="W1186" s="774"/>
      <c r="X1186" s="774"/>
      <c r="Y1186" s="774"/>
      <c r="Z1186" s="78"/>
      <c r="AA1186" s="774"/>
      <c r="AB1186" s="774"/>
      <c r="AC1186" s="774"/>
      <c r="AD1186" s="774"/>
      <c r="AE1186" s="78"/>
      <c r="AF1186" s="774"/>
      <c r="AG1186" s="774"/>
      <c r="AH1186" s="774"/>
      <c r="AI1186" s="774"/>
      <c r="AJ1186" s="78"/>
      <c r="AK1186" s="774"/>
      <c r="AL1186" s="774"/>
      <c r="AM1186" s="774"/>
      <c r="AN1186" s="774"/>
      <c r="AO1186" s="78"/>
      <c r="AP1186" s="774"/>
      <c r="AQ1186" s="774"/>
      <c r="AR1186" s="774"/>
      <c r="AS1186" s="774"/>
      <c r="AT1186" s="1119">
        <v>3.1429999999999998</v>
      </c>
      <c r="AU1186" s="774"/>
      <c r="AV1186" s="774"/>
      <c r="AW1186" s="774"/>
      <c r="AX1186" s="774"/>
      <c r="AY1186" s="1119">
        <v>3.1429999999999998</v>
      </c>
      <c r="AZ1186" s="774"/>
      <c r="BA1186" s="774"/>
      <c r="BB1186" s="774"/>
      <c r="BC1186" s="774"/>
      <c r="BD1186" s="1119">
        <v>3.1429999999999998</v>
      </c>
      <c r="BE1186" s="774"/>
      <c r="BF1186" s="774"/>
      <c r="BG1186" s="774"/>
      <c r="BH1186" s="774"/>
      <c r="BI1186" s="78"/>
      <c r="BJ1186" s="774"/>
      <c r="BK1186" s="774"/>
      <c r="BL1186" s="774"/>
      <c r="BM1186" s="774"/>
      <c r="BN1186" s="78"/>
      <c r="BO1186" s="774"/>
      <c r="BP1186" s="774"/>
      <c r="BQ1186" s="774"/>
      <c r="BR1186" s="774"/>
      <c r="BS1186" s="78"/>
      <c r="BT1186" s="775"/>
      <c r="BU1186" s="774"/>
      <c r="BV1186" s="774"/>
      <c r="BW1186" s="774"/>
      <c r="BX1186" s="78"/>
      <c r="BY1186" s="774"/>
      <c r="BZ1186" s="774"/>
      <c r="CA1186" s="774"/>
      <c r="CB1186" s="774"/>
      <c r="CC1186" s="78"/>
      <c r="CD1186" s="78"/>
      <c r="CE1186" s="78"/>
      <c r="CF1186" s="78"/>
      <c r="CG1186" s="532"/>
    </row>
    <row r="1187" spans="1:85" s="616" customFormat="1" x14ac:dyDescent="0.3">
      <c r="A1187" s="522" t="s">
        <v>1331</v>
      </c>
      <c r="B1187" s="527"/>
      <c r="C1187" s="1124"/>
      <c r="D1187" s="1124"/>
      <c r="E1187" s="1124"/>
      <c r="F1187" s="1124"/>
      <c r="G1187" s="526"/>
      <c r="H1187" s="526"/>
      <c r="I1187" s="526"/>
      <c r="J1187" s="526"/>
      <c r="K1187" s="1124"/>
      <c r="L1187" s="526"/>
      <c r="M1187" s="526"/>
      <c r="N1187" s="526"/>
      <c r="O1187" s="526"/>
      <c r="P1187" s="1124"/>
      <c r="Q1187" s="526"/>
      <c r="R1187" s="526"/>
      <c r="S1187" s="526"/>
      <c r="T1187" s="526"/>
      <c r="U1187" s="1124"/>
      <c r="V1187" s="526"/>
      <c r="W1187" s="526"/>
      <c r="X1187" s="526"/>
      <c r="Y1187" s="526"/>
      <c r="Z1187" s="1124"/>
      <c r="AA1187" s="526"/>
      <c r="AB1187" s="526"/>
      <c r="AC1187" s="526"/>
      <c r="AD1187" s="526"/>
      <c r="AE1187" s="1124"/>
      <c r="AF1187" s="526"/>
      <c r="AG1187" s="526"/>
      <c r="AH1187" s="526"/>
      <c r="AI1187" s="526"/>
      <c r="AJ1187" s="1124"/>
      <c r="AK1187" s="526"/>
      <c r="AL1187" s="526"/>
      <c r="AM1187" s="526"/>
      <c r="AN1187" s="526"/>
      <c r="AO1187" s="1124"/>
      <c r="AP1187" s="526"/>
      <c r="AQ1187" s="526"/>
      <c r="AR1187" s="526"/>
      <c r="AS1187" s="526"/>
      <c r="AT1187" s="1123">
        <v>79.58</v>
      </c>
      <c r="AU1187" s="526"/>
      <c r="AV1187" s="526"/>
      <c r="AW1187" s="526"/>
      <c r="AX1187" s="526"/>
      <c r="AY1187" s="1123">
        <v>79.58</v>
      </c>
      <c r="AZ1187" s="526"/>
      <c r="BA1187" s="526"/>
      <c r="BB1187" s="526"/>
      <c r="BC1187" s="526"/>
      <c r="BD1187" s="1123">
        <v>79.58</v>
      </c>
      <c r="BE1187" s="526"/>
      <c r="BF1187" s="526"/>
      <c r="BG1187" s="526"/>
      <c r="BH1187" s="526"/>
      <c r="BI1187" s="1124"/>
      <c r="BJ1187" s="526"/>
      <c r="BK1187" s="526"/>
      <c r="BL1187" s="526"/>
      <c r="BM1187" s="526"/>
      <c r="BN1187" s="1124"/>
      <c r="BO1187" s="526"/>
      <c r="BP1187" s="526"/>
      <c r="BQ1187" s="526"/>
      <c r="BR1187" s="526"/>
      <c r="BS1187" s="1124"/>
      <c r="BT1187" s="729"/>
      <c r="BU1187" s="526"/>
      <c r="BV1187" s="526"/>
      <c r="BW1187" s="526"/>
      <c r="BX1187" s="1124"/>
      <c r="BY1187" s="526"/>
      <c r="BZ1187" s="526"/>
      <c r="CA1187" s="526"/>
      <c r="CB1187" s="526"/>
      <c r="CC1187" s="1124"/>
      <c r="CD1187" s="1124"/>
      <c r="CE1187" s="1124"/>
      <c r="CF1187" s="1124"/>
      <c r="CG1187" s="533"/>
    </row>
    <row r="1188" spans="1:85" s="614" customFormat="1" x14ac:dyDescent="0.3">
      <c r="A1188" s="522"/>
      <c r="B1188" s="352"/>
      <c r="C1188" s="1094"/>
      <c r="D1188" s="1094"/>
      <c r="E1188" s="1094"/>
      <c r="F1188" s="1094"/>
      <c r="G1188" s="197"/>
      <c r="H1188" s="197"/>
      <c r="I1188" s="197"/>
      <c r="J1188" s="197"/>
      <c r="K1188" s="1094"/>
      <c r="L1188" s="197"/>
      <c r="M1188" s="197"/>
      <c r="N1188" s="197"/>
      <c r="O1188" s="197"/>
      <c r="P1188" s="1094"/>
      <c r="Q1188" s="197"/>
      <c r="R1188" s="197"/>
      <c r="S1188" s="197"/>
      <c r="T1188" s="197"/>
      <c r="U1188" s="1094"/>
      <c r="V1188" s="197"/>
      <c r="W1188" s="197"/>
      <c r="X1188" s="197"/>
      <c r="Y1188" s="197"/>
      <c r="Z1188" s="1094"/>
      <c r="AA1188" s="197"/>
      <c r="AB1188" s="197"/>
      <c r="AC1188" s="197"/>
      <c r="AD1188" s="197"/>
      <c r="AE1188" s="1094"/>
      <c r="AF1188" s="197"/>
      <c r="AG1188" s="197"/>
      <c r="AH1188" s="197"/>
      <c r="AI1188" s="197"/>
      <c r="AJ1188" s="1094"/>
      <c r="AK1188" s="197"/>
      <c r="AL1188" s="197"/>
      <c r="AM1188" s="197"/>
      <c r="AN1188" s="197"/>
      <c r="AO1188" s="1094"/>
      <c r="AP1188" s="197"/>
      <c r="AQ1188" s="197"/>
      <c r="AR1188" s="197"/>
      <c r="AS1188" s="197"/>
      <c r="AT1188" s="198"/>
      <c r="AU1188" s="197"/>
      <c r="AV1188" s="197"/>
      <c r="AW1188" s="197"/>
      <c r="AX1188" s="197"/>
      <c r="AY1188" s="198"/>
      <c r="AZ1188" s="197"/>
      <c r="BA1188" s="197"/>
      <c r="BB1188" s="197"/>
      <c r="BC1188" s="197"/>
      <c r="BD1188" s="198"/>
      <c r="BE1188" s="197"/>
      <c r="BF1188" s="197"/>
      <c r="BG1188" s="197"/>
      <c r="BH1188" s="197"/>
      <c r="BI1188" s="1094"/>
      <c r="BJ1188" s="197"/>
      <c r="BK1188" s="197"/>
      <c r="BL1188" s="197"/>
      <c r="BM1188" s="197"/>
      <c r="BN1188" s="1094"/>
      <c r="BO1188" s="197"/>
      <c r="BP1188" s="197"/>
      <c r="BQ1188" s="197"/>
      <c r="BR1188" s="197"/>
      <c r="BS1188" s="1094"/>
      <c r="BT1188" s="727"/>
      <c r="BU1188" s="197"/>
      <c r="BV1188" s="197"/>
      <c r="BW1188" s="197"/>
      <c r="BX1188" s="1094"/>
      <c r="BY1188" s="197"/>
      <c r="BZ1188" s="197"/>
      <c r="CA1188" s="197"/>
      <c r="CB1188" s="197"/>
      <c r="CC1188" s="1094"/>
      <c r="CD1188" s="1094"/>
      <c r="CE1188" s="1094"/>
      <c r="CF1188" s="1094"/>
      <c r="CG1188" s="349"/>
    </row>
    <row r="1189" spans="1:85" s="613" customFormat="1" x14ac:dyDescent="0.3">
      <c r="A1189" s="478" t="s">
        <v>1330</v>
      </c>
      <c r="B1189" s="523"/>
      <c r="C1189" s="78"/>
      <c r="D1189" s="78"/>
      <c r="E1189" s="78"/>
      <c r="F1189" s="78"/>
      <c r="G1189" s="774"/>
      <c r="H1189" s="774"/>
      <c r="I1189" s="774"/>
      <c r="J1189" s="774"/>
      <c r="K1189" s="78"/>
      <c r="L1189" s="774"/>
      <c r="M1189" s="774"/>
      <c r="N1189" s="774"/>
      <c r="O1189" s="774"/>
      <c r="P1189" s="78"/>
      <c r="Q1189" s="774"/>
      <c r="R1189" s="774"/>
      <c r="S1189" s="774"/>
      <c r="T1189" s="774"/>
      <c r="U1189" s="78"/>
      <c r="V1189" s="774"/>
      <c r="W1189" s="774"/>
      <c r="X1189" s="774"/>
      <c r="Y1189" s="774"/>
      <c r="Z1189" s="78"/>
      <c r="AA1189" s="774"/>
      <c r="AB1189" s="774"/>
      <c r="AC1189" s="774"/>
      <c r="AD1189" s="774"/>
      <c r="AE1189" s="78"/>
      <c r="AF1189" s="774"/>
      <c r="AG1189" s="774"/>
      <c r="AH1189" s="774"/>
      <c r="AI1189" s="774"/>
      <c r="AJ1189" s="78"/>
      <c r="AK1189" s="774"/>
      <c r="AL1189" s="774"/>
      <c r="AM1189" s="774"/>
      <c r="AN1189" s="774"/>
      <c r="AO1189" s="78"/>
      <c r="AP1189" s="774"/>
      <c r="AQ1189" s="774"/>
      <c r="AR1189" s="774"/>
      <c r="AS1189" s="774"/>
      <c r="AT1189" s="1119">
        <v>2.8069999999999999</v>
      </c>
      <c r="AU1189" s="774"/>
      <c r="AV1189" s="774"/>
      <c r="AW1189" s="774"/>
      <c r="AX1189" s="774"/>
      <c r="AY1189" s="1119">
        <v>2.8069999999999999</v>
      </c>
      <c r="AZ1189" s="774"/>
      <c r="BA1189" s="774"/>
      <c r="BB1189" s="774"/>
      <c r="BC1189" s="774"/>
      <c r="BD1189" s="1119">
        <v>2.8069999999999999</v>
      </c>
      <c r="BE1189" s="774"/>
      <c r="BF1189" s="774"/>
      <c r="BG1189" s="774"/>
      <c r="BH1189" s="774"/>
      <c r="BI1189" s="78"/>
      <c r="BJ1189" s="774"/>
      <c r="BK1189" s="774"/>
      <c r="BL1189" s="774"/>
      <c r="BM1189" s="774"/>
      <c r="BN1189" s="78"/>
      <c r="BO1189" s="774"/>
      <c r="BP1189" s="774"/>
      <c r="BQ1189" s="774"/>
      <c r="BR1189" s="774"/>
      <c r="BS1189" s="78"/>
      <c r="BT1189" s="775"/>
      <c r="BU1189" s="774"/>
      <c r="BV1189" s="774"/>
      <c r="BW1189" s="774"/>
      <c r="BX1189" s="78"/>
      <c r="BY1189" s="774"/>
      <c r="BZ1189" s="774"/>
      <c r="CA1189" s="774"/>
      <c r="CB1189" s="774"/>
      <c r="CC1189" s="78"/>
      <c r="CD1189" s="78"/>
      <c r="CE1189" s="78"/>
      <c r="CF1189" s="78"/>
      <c r="CG1189" s="532"/>
    </row>
    <row r="1190" spans="1:85" s="616" customFormat="1" x14ac:dyDescent="0.3">
      <c r="A1190" s="522" t="s">
        <v>1329</v>
      </c>
      <c r="B1190" s="527"/>
      <c r="C1190" s="1124"/>
      <c r="D1190" s="1124"/>
      <c r="E1190" s="1124"/>
      <c r="F1190" s="1124"/>
      <c r="G1190" s="526"/>
      <c r="H1190" s="526"/>
      <c r="I1190" s="526"/>
      <c r="J1190" s="526"/>
      <c r="K1190" s="1124"/>
      <c r="L1190" s="526"/>
      <c r="M1190" s="526"/>
      <c r="N1190" s="526"/>
      <c r="O1190" s="526"/>
      <c r="P1190" s="1124"/>
      <c r="Q1190" s="526"/>
      <c r="R1190" s="526"/>
      <c r="S1190" s="526"/>
      <c r="T1190" s="526"/>
      <c r="U1190" s="1124"/>
      <c r="V1190" s="526"/>
      <c r="W1190" s="526"/>
      <c r="X1190" s="526"/>
      <c r="Y1190" s="526"/>
      <c r="Z1190" s="1124"/>
      <c r="AA1190" s="526"/>
      <c r="AB1190" s="526"/>
      <c r="AC1190" s="526"/>
      <c r="AD1190" s="526"/>
      <c r="AE1190" s="1124"/>
      <c r="AF1190" s="526"/>
      <c r="AG1190" s="526"/>
      <c r="AH1190" s="526"/>
      <c r="AI1190" s="526"/>
      <c r="AJ1190" s="1124"/>
      <c r="AK1190" s="526"/>
      <c r="AL1190" s="526"/>
      <c r="AM1190" s="526"/>
      <c r="AN1190" s="526"/>
      <c r="AO1190" s="1124"/>
      <c r="AP1190" s="526"/>
      <c r="AQ1190" s="526"/>
      <c r="AR1190" s="526"/>
      <c r="AS1190" s="526"/>
      <c r="AT1190" s="1123">
        <v>89</v>
      </c>
      <c r="AU1190" s="526"/>
      <c r="AV1190" s="526"/>
      <c r="AW1190" s="526"/>
      <c r="AX1190" s="526"/>
      <c r="AY1190" s="1123">
        <v>89</v>
      </c>
      <c r="AZ1190" s="526"/>
      <c r="BA1190" s="526"/>
      <c r="BB1190" s="526"/>
      <c r="BC1190" s="526"/>
      <c r="BD1190" s="1123">
        <v>89</v>
      </c>
      <c r="BE1190" s="526"/>
      <c r="BF1190" s="526"/>
      <c r="BG1190" s="526"/>
      <c r="BH1190" s="526"/>
      <c r="BI1190" s="1124"/>
      <c r="BJ1190" s="526"/>
      <c r="BK1190" s="526"/>
      <c r="BL1190" s="526"/>
      <c r="BM1190" s="526"/>
      <c r="BN1190" s="1124"/>
      <c r="BO1190" s="526"/>
      <c r="BP1190" s="526"/>
      <c r="BQ1190" s="526"/>
      <c r="BR1190" s="526"/>
      <c r="BS1190" s="1124"/>
      <c r="BT1190" s="729"/>
      <c r="BU1190" s="526"/>
      <c r="BV1190" s="526"/>
      <c r="BW1190" s="526"/>
      <c r="BX1190" s="1124"/>
      <c r="BY1190" s="526"/>
      <c r="BZ1190" s="526"/>
      <c r="CA1190" s="526"/>
      <c r="CB1190" s="526"/>
      <c r="CC1190" s="1124"/>
      <c r="CD1190" s="1124"/>
      <c r="CE1190" s="1124"/>
      <c r="CF1190" s="1124"/>
      <c r="CG1190" s="533"/>
    </row>
    <row r="1191" spans="1:85" s="614" customFormat="1" x14ac:dyDescent="0.3">
      <c r="A1191" s="522"/>
      <c r="B1191" s="352"/>
      <c r="C1191" s="1094"/>
      <c r="D1191" s="1094"/>
      <c r="E1191" s="1094"/>
      <c r="F1191" s="1094"/>
      <c r="G1191" s="197"/>
      <c r="H1191" s="197"/>
      <c r="I1191" s="197"/>
      <c r="J1191" s="197"/>
      <c r="K1191" s="1094"/>
      <c r="L1191" s="197"/>
      <c r="M1191" s="197"/>
      <c r="N1191" s="197"/>
      <c r="O1191" s="197"/>
      <c r="P1191" s="1094"/>
      <c r="Q1191" s="197"/>
      <c r="R1191" s="197"/>
      <c r="S1191" s="197"/>
      <c r="T1191" s="197"/>
      <c r="U1191" s="1094"/>
      <c r="V1191" s="197"/>
      <c r="W1191" s="197"/>
      <c r="X1191" s="197"/>
      <c r="Y1191" s="197"/>
      <c r="Z1191" s="1094"/>
      <c r="AA1191" s="197"/>
      <c r="AB1191" s="197"/>
      <c r="AC1191" s="197"/>
      <c r="AD1191" s="197"/>
      <c r="AE1191" s="1094"/>
      <c r="AF1191" s="197"/>
      <c r="AG1191" s="197"/>
      <c r="AH1191" s="197"/>
      <c r="AI1191" s="197"/>
      <c r="AJ1191" s="1094"/>
      <c r="AK1191" s="197"/>
      <c r="AL1191" s="197"/>
      <c r="AM1191" s="197"/>
      <c r="AN1191" s="197"/>
      <c r="AO1191" s="1094"/>
      <c r="AP1191" s="197"/>
      <c r="AQ1191" s="197"/>
      <c r="AR1191" s="197"/>
      <c r="AS1191" s="197"/>
      <c r="AT1191" s="198"/>
      <c r="AU1191" s="197"/>
      <c r="AV1191" s="197"/>
      <c r="AW1191" s="197"/>
      <c r="AX1191" s="197"/>
      <c r="AY1191" s="198"/>
      <c r="AZ1191" s="197"/>
      <c r="BA1191" s="197"/>
      <c r="BB1191" s="197"/>
      <c r="BC1191" s="197"/>
      <c r="BD1191" s="198"/>
      <c r="BE1191" s="197"/>
      <c r="BF1191" s="197"/>
      <c r="BG1191" s="197"/>
      <c r="BH1191" s="197"/>
      <c r="BI1191" s="1094"/>
      <c r="BJ1191" s="197"/>
      <c r="BK1191" s="197"/>
      <c r="BL1191" s="197"/>
      <c r="BM1191" s="197"/>
      <c r="BN1191" s="1094"/>
      <c r="BO1191" s="197"/>
      <c r="BP1191" s="197"/>
      <c r="BQ1191" s="197"/>
      <c r="BR1191" s="197"/>
      <c r="BS1191" s="1094"/>
      <c r="BT1191" s="727"/>
      <c r="BU1191" s="197"/>
      <c r="BV1191" s="197"/>
      <c r="BW1191" s="197"/>
      <c r="BX1191" s="1094"/>
      <c r="BY1191" s="197"/>
      <c r="BZ1191" s="197"/>
      <c r="CA1191" s="197"/>
      <c r="CB1191" s="197"/>
      <c r="CC1191" s="1094"/>
      <c r="CD1191" s="1094"/>
      <c r="CE1191" s="1094"/>
      <c r="CF1191" s="1094"/>
      <c r="CG1191" s="349"/>
    </row>
    <row r="1192" spans="1:85" s="613" customFormat="1" x14ac:dyDescent="0.3">
      <c r="A1192" s="478" t="s">
        <v>1328</v>
      </c>
      <c r="B1192" s="523"/>
      <c r="C1192" s="78"/>
      <c r="D1192" s="78"/>
      <c r="E1192" s="78"/>
      <c r="F1192" s="78"/>
      <c r="G1192" s="774"/>
      <c r="H1192" s="774"/>
      <c r="I1192" s="774"/>
      <c r="J1192" s="774"/>
      <c r="K1192" s="78"/>
      <c r="L1192" s="774"/>
      <c r="M1192" s="774"/>
      <c r="N1192" s="774"/>
      <c r="O1192" s="774"/>
      <c r="P1192" s="78"/>
      <c r="Q1192" s="774"/>
      <c r="R1192" s="774"/>
      <c r="S1192" s="774"/>
      <c r="T1192" s="774"/>
      <c r="U1192" s="78"/>
      <c r="V1192" s="774"/>
      <c r="W1192" s="774"/>
      <c r="X1192" s="774"/>
      <c r="Y1192" s="774"/>
      <c r="Z1192" s="78"/>
      <c r="AA1192" s="774"/>
      <c r="AB1192" s="774"/>
      <c r="AC1192" s="774"/>
      <c r="AD1192" s="774"/>
      <c r="AE1192" s="78"/>
      <c r="AF1192" s="774"/>
      <c r="AG1192" s="774"/>
      <c r="AH1192" s="774"/>
      <c r="AI1192" s="774"/>
      <c r="AJ1192" s="78"/>
      <c r="AK1192" s="774"/>
      <c r="AL1192" s="774"/>
      <c r="AM1192" s="774"/>
      <c r="AN1192" s="774"/>
      <c r="AO1192" s="78"/>
      <c r="AP1192" s="774"/>
      <c r="AQ1192" s="774"/>
      <c r="AR1192" s="774"/>
      <c r="AS1192" s="774"/>
      <c r="AT1192" s="1119">
        <v>2.6669999999999998</v>
      </c>
      <c r="AU1192" s="774"/>
      <c r="AV1192" s="774"/>
      <c r="AW1192" s="774"/>
      <c r="AX1192" s="774"/>
      <c r="AY1192" s="1119">
        <v>2.6669999999999998</v>
      </c>
      <c r="AZ1192" s="774"/>
      <c r="BA1192" s="774"/>
      <c r="BB1192" s="774"/>
      <c r="BC1192" s="774"/>
      <c r="BD1192" s="1119">
        <v>2.6669999999999998</v>
      </c>
      <c r="BE1192" s="774"/>
      <c r="BF1192" s="774"/>
      <c r="BG1192" s="774"/>
      <c r="BH1192" s="774"/>
      <c r="BI1192" s="78"/>
      <c r="BJ1192" s="774"/>
      <c r="BK1192" s="774"/>
      <c r="BL1192" s="774"/>
      <c r="BM1192" s="774"/>
      <c r="BN1192" s="78"/>
      <c r="BO1192" s="774"/>
      <c r="BP1192" s="774"/>
      <c r="BQ1192" s="774"/>
      <c r="BR1192" s="774"/>
      <c r="BS1192" s="78"/>
      <c r="BT1192" s="775"/>
      <c r="BU1192" s="774"/>
      <c r="BV1192" s="774"/>
      <c r="BW1192" s="774"/>
      <c r="BX1192" s="78"/>
      <c r="BY1192" s="774"/>
      <c r="BZ1192" s="774"/>
      <c r="CA1192" s="774"/>
      <c r="CB1192" s="774"/>
      <c r="CC1192" s="78"/>
      <c r="CD1192" s="78"/>
      <c r="CE1192" s="78"/>
      <c r="CF1192" s="78"/>
      <c r="CG1192" s="532"/>
    </row>
    <row r="1193" spans="1:85" s="616" customFormat="1" x14ac:dyDescent="0.3">
      <c r="A1193" s="522" t="s">
        <v>1327</v>
      </c>
      <c r="B1193" s="527"/>
      <c r="C1193" s="1124"/>
      <c r="D1193" s="1124"/>
      <c r="E1193" s="1124"/>
      <c r="F1193" s="1124"/>
      <c r="G1193" s="526"/>
      <c r="H1193" s="526"/>
      <c r="I1193" s="526"/>
      <c r="J1193" s="526"/>
      <c r="K1193" s="1124"/>
      <c r="L1193" s="526"/>
      <c r="M1193" s="526"/>
      <c r="N1193" s="526"/>
      <c r="O1193" s="526"/>
      <c r="P1193" s="1124"/>
      <c r="Q1193" s="526"/>
      <c r="R1193" s="526"/>
      <c r="S1193" s="526"/>
      <c r="T1193" s="526"/>
      <c r="U1193" s="1124"/>
      <c r="V1193" s="526"/>
      <c r="W1193" s="526"/>
      <c r="X1193" s="526"/>
      <c r="Y1193" s="526"/>
      <c r="Z1193" s="1124"/>
      <c r="AA1193" s="526"/>
      <c r="AB1193" s="526"/>
      <c r="AC1193" s="526"/>
      <c r="AD1193" s="526"/>
      <c r="AE1193" s="1124"/>
      <c r="AF1193" s="526"/>
      <c r="AG1193" s="526"/>
      <c r="AH1193" s="526"/>
      <c r="AI1193" s="526"/>
      <c r="AJ1193" s="1124"/>
      <c r="AK1193" s="526"/>
      <c r="AL1193" s="526"/>
      <c r="AM1193" s="526"/>
      <c r="AN1193" s="526"/>
      <c r="AO1193" s="1124"/>
      <c r="AP1193" s="526"/>
      <c r="AQ1193" s="526"/>
      <c r="AR1193" s="526"/>
      <c r="AS1193" s="526"/>
      <c r="AT1193" s="1123">
        <v>93.64</v>
      </c>
      <c r="AU1193" s="526"/>
      <c r="AV1193" s="526"/>
      <c r="AW1193" s="526"/>
      <c r="AX1193" s="526"/>
      <c r="AY1193" s="1123">
        <v>93.64</v>
      </c>
      <c r="AZ1193" s="526"/>
      <c r="BA1193" s="526"/>
      <c r="BB1193" s="526"/>
      <c r="BC1193" s="526"/>
      <c r="BD1193" s="1123">
        <v>93.64</v>
      </c>
      <c r="BE1193" s="526"/>
      <c r="BF1193" s="526"/>
      <c r="BG1193" s="526"/>
      <c r="BH1193" s="526"/>
      <c r="BI1193" s="1124"/>
      <c r="BJ1193" s="526"/>
      <c r="BK1193" s="526"/>
      <c r="BL1193" s="526"/>
      <c r="BM1193" s="526"/>
      <c r="BN1193" s="1124"/>
      <c r="BO1193" s="526"/>
      <c r="BP1193" s="526"/>
      <c r="BQ1193" s="526"/>
      <c r="BR1193" s="526"/>
      <c r="BS1193" s="1124"/>
      <c r="BT1193" s="729"/>
      <c r="BU1193" s="526"/>
      <c r="BV1193" s="526"/>
      <c r="BW1193" s="526"/>
      <c r="BX1193" s="1124"/>
      <c r="BY1193" s="526"/>
      <c r="BZ1193" s="526"/>
      <c r="CA1193" s="526"/>
      <c r="CB1193" s="526"/>
      <c r="CC1193" s="1124"/>
      <c r="CD1193" s="1124"/>
      <c r="CE1193" s="1124"/>
      <c r="CF1193" s="1124"/>
      <c r="CG1193" s="533"/>
    </row>
    <row r="1194" spans="1:85" s="614" customFormat="1" x14ac:dyDescent="0.3">
      <c r="A1194" s="522"/>
      <c r="B1194" s="352"/>
      <c r="C1194" s="1094"/>
      <c r="D1194" s="1094"/>
      <c r="E1194" s="1094"/>
      <c r="F1194" s="1094"/>
      <c r="G1194" s="197"/>
      <c r="H1194" s="197"/>
      <c r="I1194" s="197"/>
      <c r="J1194" s="197"/>
      <c r="K1194" s="1094"/>
      <c r="L1194" s="197"/>
      <c r="M1194" s="197"/>
      <c r="N1194" s="197"/>
      <c r="O1194" s="197"/>
      <c r="P1194" s="1094"/>
      <c r="Q1194" s="197"/>
      <c r="R1194" s="197"/>
      <c r="S1194" s="197"/>
      <c r="T1194" s="197"/>
      <c r="U1194" s="1094"/>
      <c r="V1194" s="197"/>
      <c r="W1194" s="197"/>
      <c r="X1194" s="197"/>
      <c r="Y1194" s="197"/>
      <c r="Z1194" s="1094"/>
      <c r="AA1194" s="197"/>
      <c r="AB1194" s="197"/>
      <c r="AC1194" s="197"/>
      <c r="AD1194" s="197"/>
      <c r="AE1194" s="1094"/>
      <c r="AF1194" s="197"/>
      <c r="AG1194" s="197"/>
      <c r="AH1194" s="197"/>
      <c r="AI1194" s="197"/>
      <c r="AJ1194" s="1094"/>
      <c r="AK1194" s="197"/>
      <c r="AL1194" s="197"/>
      <c r="AM1194" s="197"/>
      <c r="AN1194" s="197"/>
      <c r="AO1194" s="1094"/>
      <c r="AP1194" s="197"/>
      <c r="AQ1194" s="197"/>
      <c r="AR1194" s="197"/>
      <c r="AS1194" s="197"/>
      <c r="AT1194" s="198"/>
      <c r="AU1194" s="197"/>
      <c r="AV1194" s="197"/>
      <c r="AW1194" s="197"/>
      <c r="AX1194" s="197"/>
      <c r="AY1194" s="198"/>
      <c r="AZ1194" s="197"/>
      <c r="BA1194" s="197"/>
      <c r="BB1194" s="197"/>
      <c r="BC1194" s="197"/>
      <c r="BD1194" s="198"/>
      <c r="BE1194" s="197"/>
      <c r="BF1194" s="197"/>
      <c r="BG1194" s="197"/>
      <c r="BH1194" s="197"/>
      <c r="BI1194" s="1094"/>
      <c r="BJ1194" s="197"/>
      <c r="BK1194" s="197"/>
      <c r="BL1194" s="197"/>
      <c r="BM1194" s="197"/>
      <c r="BN1194" s="1094"/>
      <c r="BO1194" s="197"/>
      <c r="BP1194" s="197"/>
      <c r="BQ1194" s="197"/>
      <c r="BR1194" s="197"/>
      <c r="BS1194" s="1094"/>
      <c r="BT1194" s="727"/>
      <c r="BU1194" s="197"/>
      <c r="BV1194" s="197"/>
      <c r="BW1194" s="197"/>
      <c r="BX1194" s="1094"/>
      <c r="BY1194" s="197"/>
      <c r="BZ1194" s="197"/>
      <c r="CA1194" s="197"/>
      <c r="CB1194" s="197"/>
      <c r="CC1194" s="1094"/>
      <c r="CD1194" s="1094"/>
      <c r="CE1194" s="1094"/>
      <c r="CF1194" s="1094"/>
      <c r="CG1194" s="349"/>
    </row>
    <row r="1195" spans="1:85" s="613" customFormat="1" x14ac:dyDescent="0.3">
      <c r="A1195" s="478" t="s">
        <v>1326</v>
      </c>
      <c r="B1195" s="523"/>
      <c r="C1195" s="78"/>
      <c r="D1195" s="78"/>
      <c r="E1195" s="78"/>
      <c r="F1195" s="78"/>
      <c r="G1195" s="774"/>
      <c r="H1195" s="774"/>
      <c r="I1195" s="774"/>
      <c r="J1195" s="774"/>
      <c r="K1195" s="78"/>
      <c r="L1195" s="774"/>
      <c r="M1195" s="774"/>
      <c r="N1195" s="774"/>
      <c r="O1195" s="774"/>
      <c r="P1195" s="78"/>
      <c r="Q1195" s="774"/>
      <c r="R1195" s="774"/>
      <c r="S1195" s="774"/>
      <c r="T1195" s="774"/>
      <c r="U1195" s="78"/>
      <c r="V1195" s="774"/>
      <c r="W1195" s="774"/>
      <c r="X1195" s="774"/>
      <c r="Y1195" s="774"/>
      <c r="Z1195" s="78"/>
      <c r="AA1195" s="774"/>
      <c r="AB1195" s="774"/>
      <c r="AC1195" s="774"/>
      <c r="AD1195" s="774"/>
      <c r="AE1195" s="78"/>
      <c r="AF1195" s="774"/>
      <c r="AG1195" s="774"/>
      <c r="AH1195" s="774"/>
      <c r="AI1195" s="774"/>
      <c r="AJ1195" s="78"/>
      <c r="AK1195" s="774"/>
      <c r="AL1195" s="774"/>
      <c r="AM1195" s="774"/>
      <c r="AN1195" s="774"/>
      <c r="AO1195" s="78"/>
      <c r="AP1195" s="774"/>
      <c r="AQ1195" s="774"/>
      <c r="AR1195" s="774"/>
      <c r="AS1195" s="774"/>
      <c r="AT1195" s="1119">
        <v>2.2210000000000001</v>
      </c>
      <c r="AU1195" s="774"/>
      <c r="AV1195" s="774"/>
      <c r="AW1195" s="774"/>
      <c r="AX1195" s="774"/>
      <c r="AY1195" s="1119">
        <v>2.2210000000000001</v>
      </c>
      <c r="AZ1195" s="774"/>
      <c r="BA1195" s="774"/>
      <c r="BB1195" s="774"/>
      <c r="BC1195" s="774"/>
      <c r="BD1195" s="1119">
        <v>2.2210000000000001</v>
      </c>
      <c r="BE1195" s="774"/>
      <c r="BF1195" s="774"/>
      <c r="BG1195" s="774"/>
      <c r="BH1195" s="774"/>
      <c r="BI1195" s="78"/>
      <c r="BJ1195" s="774"/>
      <c r="BK1195" s="774"/>
      <c r="BL1195" s="774"/>
      <c r="BM1195" s="774"/>
      <c r="BN1195" s="78"/>
      <c r="BO1195" s="774"/>
      <c r="BP1195" s="774"/>
      <c r="BQ1195" s="774"/>
      <c r="BR1195" s="774"/>
      <c r="BS1195" s="78"/>
      <c r="BT1195" s="775"/>
      <c r="BU1195" s="774"/>
      <c r="BV1195" s="774"/>
      <c r="BW1195" s="774"/>
      <c r="BX1195" s="78"/>
      <c r="BY1195" s="774"/>
      <c r="BZ1195" s="774"/>
      <c r="CA1195" s="774"/>
      <c r="CB1195" s="774"/>
      <c r="CC1195" s="78"/>
      <c r="CD1195" s="78"/>
      <c r="CE1195" s="78"/>
      <c r="CF1195" s="78"/>
      <c r="CG1195" s="532"/>
    </row>
    <row r="1196" spans="1:85" s="616" customFormat="1" x14ac:dyDescent="0.3">
      <c r="A1196" s="522" t="s">
        <v>1325</v>
      </c>
      <c r="B1196" s="527"/>
      <c r="C1196" s="1124"/>
      <c r="D1196" s="1124"/>
      <c r="E1196" s="1124"/>
      <c r="F1196" s="1124"/>
      <c r="G1196" s="526"/>
      <c r="H1196" s="526"/>
      <c r="I1196" s="526"/>
      <c r="J1196" s="526"/>
      <c r="K1196" s="1124"/>
      <c r="L1196" s="526"/>
      <c r="M1196" s="526"/>
      <c r="N1196" s="526"/>
      <c r="O1196" s="526"/>
      <c r="P1196" s="1124"/>
      <c r="Q1196" s="526"/>
      <c r="R1196" s="526"/>
      <c r="S1196" s="526"/>
      <c r="T1196" s="526"/>
      <c r="U1196" s="1124"/>
      <c r="V1196" s="526"/>
      <c r="W1196" s="526"/>
      <c r="X1196" s="526"/>
      <c r="Y1196" s="526"/>
      <c r="Z1196" s="1124"/>
      <c r="AA1196" s="526"/>
      <c r="AB1196" s="526"/>
      <c r="AC1196" s="526"/>
      <c r="AD1196" s="526"/>
      <c r="AE1196" s="1124"/>
      <c r="AF1196" s="526"/>
      <c r="AG1196" s="526"/>
      <c r="AH1196" s="526"/>
      <c r="AI1196" s="526"/>
      <c r="AJ1196" s="1124"/>
      <c r="AK1196" s="526"/>
      <c r="AL1196" s="526"/>
      <c r="AM1196" s="526"/>
      <c r="AN1196" s="526"/>
      <c r="AO1196" s="1124"/>
      <c r="AP1196" s="526"/>
      <c r="AQ1196" s="526"/>
      <c r="AR1196" s="526"/>
      <c r="AS1196" s="526"/>
      <c r="AT1196" s="1123">
        <v>112.56</v>
      </c>
      <c r="AU1196" s="526"/>
      <c r="AV1196" s="526"/>
      <c r="AW1196" s="526"/>
      <c r="AX1196" s="526"/>
      <c r="AY1196" s="1123">
        <v>112.56</v>
      </c>
      <c r="AZ1196" s="526"/>
      <c r="BA1196" s="526"/>
      <c r="BB1196" s="526"/>
      <c r="BC1196" s="526"/>
      <c r="BD1196" s="1123">
        <v>112.56</v>
      </c>
      <c r="BE1196" s="526"/>
      <c r="BF1196" s="526"/>
      <c r="BG1196" s="526"/>
      <c r="BH1196" s="526"/>
      <c r="BI1196" s="1124"/>
      <c r="BJ1196" s="526"/>
      <c r="BK1196" s="526"/>
      <c r="BL1196" s="526"/>
      <c r="BM1196" s="526"/>
      <c r="BN1196" s="1124"/>
      <c r="BO1196" s="526"/>
      <c r="BP1196" s="526"/>
      <c r="BQ1196" s="526"/>
      <c r="BR1196" s="526"/>
      <c r="BS1196" s="1124"/>
      <c r="BT1196" s="729"/>
      <c r="BU1196" s="526"/>
      <c r="BV1196" s="526"/>
      <c r="BW1196" s="526"/>
      <c r="BX1196" s="1124"/>
      <c r="BY1196" s="526"/>
      <c r="BZ1196" s="526"/>
      <c r="CA1196" s="526"/>
      <c r="CB1196" s="526"/>
      <c r="CC1196" s="1124"/>
      <c r="CD1196" s="1124"/>
      <c r="CE1196" s="1124"/>
      <c r="CF1196" s="1124"/>
      <c r="CG1196" s="533"/>
    </row>
    <row r="1197" spans="1:85" s="614" customFormat="1" x14ac:dyDescent="0.3">
      <c r="A1197" s="522"/>
      <c r="B1197" s="352"/>
      <c r="C1197" s="1094"/>
      <c r="D1197" s="1094"/>
      <c r="E1197" s="1094"/>
      <c r="F1197" s="1094"/>
      <c r="G1197" s="197"/>
      <c r="H1197" s="197"/>
      <c r="I1197" s="197"/>
      <c r="J1197" s="197"/>
      <c r="K1197" s="1094"/>
      <c r="L1197" s="197"/>
      <c r="M1197" s="197"/>
      <c r="N1197" s="197"/>
      <c r="O1197" s="197"/>
      <c r="P1197" s="1094"/>
      <c r="Q1197" s="197"/>
      <c r="R1197" s="197"/>
      <c r="S1197" s="197"/>
      <c r="T1197" s="197"/>
      <c r="U1197" s="1094"/>
      <c r="V1197" s="197"/>
      <c r="W1197" s="197"/>
      <c r="X1197" s="197"/>
      <c r="Y1197" s="197"/>
      <c r="Z1197" s="1094"/>
      <c r="AA1197" s="197"/>
      <c r="AB1197" s="197"/>
      <c r="AC1197" s="197"/>
      <c r="AD1197" s="197"/>
      <c r="AE1197" s="1094"/>
      <c r="AF1197" s="197"/>
      <c r="AG1197" s="197"/>
      <c r="AH1197" s="197"/>
      <c r="AI1197" s="197"/>
      <c r="AJ1197" s="1094"/>
      <c r="AK1197" s="197"/>
      <c r="AL1197" s="197"/>
      <c r="AM1197" s="197"/>
      <c r="AN1197" s="197"/>
      <c r="AO1197" s="1094"/>
      <c r="AP1197" s="197"/>
      <c r="AQ1197" s="197"/>
      <c r="AR1197" s="197"/>
      <c r="AS1197" s="197"/>
      <c r="AT1197" s="198"/>
      <c r="AU1197" s="197"/>
      <c r="AV1197" s="197"/>
      <c r="AW1197" s="197"/>
      <c r="AX1197" s="197"/>
      <c r="AY1197" s="198"/>
      <c r="AZ1197" s="197"/>
      <c r="BA1197" s="197"/>
      <c r="BB1197" s="197"/>
      <c r="BC1197" s="197"/>
      <c r="BD1197" s="198"/>
      <c r="BE1197" s="197"/>
      <c r="BF1197" s="197"/>
      <c r="BG1197" s="197"/>
      <c r="BH1197" s="197"/>
      <c r="BI1197" s="1094"/>
      <c r="BJ1197" s="197"/>
      <c r="BK1197" s="197"/>
      <c r="BL1197" s="197"/>
      <c r="BM1197" s="197"/>
      <c r="BN1197" s="1094"/>
      <c r="BO1197" s="197"/>
      <c r="BP1197" s="197"/>
      <c r="BQ1197" s="197"/>
      <c r="BR1197" s="197"/>
      <c r="BS1197" s="1094"/>
      <c r="BT1197" s="727"/>
      <c r="BU1197" s="197"/>
      <c r="BV1197" s="197"/>
      <c r="BW1197" s="197"/>
      <c r="BX1197" s="1094"/>
      <c r="BY1197" s="197"/>
      <c r="BZ1197" s="197"/>
      <c r="CA1197" s="197"/>
      <c r="CB1197" s="197"/>
      <c r="CC1197" s="1094"/>
      <c r="CD1197" s="1094"/>
      <c r="CE1197" s="1094"/>
      <c r="CF1197" s="1094"/>
      <c r="CG1197" s="349"/>
    </row>
    <row r="1198" spans="1:85" s="613" customFormat="1" x14ac:dyDescent="0.3">
      <c r="A1198" s="478" t="s">
        <v>1324</v>
      </c>
      <c r="B1198" s="523"/>
      <c r="C1198" s="78"/>
      <c r="D1198" s="78"/>
      <c r="E1198" s="78"/>
      <c r="F1198" s="78"/>
      <c r="G1198" s="774"/>
      <c r="H1198" s="774"/>
      <c r="I1198" s="774"/>
      <c r="J1198" s="774"/>
      <c r="K1198" s="78"/>
      <c r="L1198" s="774"/>
      <c r="M1198" s="774"/>
      <c r="N1198" s="774"/>
      <c r="O1198" s="774"/>
      <c r="P1198" s="78"/>
      <c r="Q1198" s="774"/>
      <c r="R1198" s="774"/>
      <c r="S1198" s="774"/>
      <c r="T1198" s="774"/>
      <c r="U1198" s="78"/>
      <c r="V1198" s="774"/>
      <c r="W1198" s="774"/>
      <c r="X1198" s="774"/>
      <c r="Y1198" s="774"/>
      <c r="Z1198" s="78"/>
      <c r="AA1198" s="774"/>
      <c r="AB1198" s="774"/>
      <c r="AC1198" s="774"/>
      <c r="AD1198" s="774"/>
      <c r="AE1198" s="78"/>
      <c r="AF1198" s="774"/>
      <c r="AG1198" s="774"/>
      <c r="AH1198" s="774"/>
      <c r="AI1198" s="774"/>
      <c r="AJ1198" s="78"/>
      <c r="AK1198" s="774"/>
      <c r="AL1198" s="774"/>
      <c r="AM1198" s="774"/>
      <c r="AN1198" s="774"/>
      <c r="AO1198" s="78"/>
      <c r="AP1198" s="774"/>
      <c r="AQ1198" s="774"/>
      <c r="AR1198" s="774"/>
      <c r="AS1198" s="774"/>
      <c r="AT1198" s="1119">
        <v>2.363</v>
      </c>
      <c r="AU1198" s="774"/>
      <c r="AV1198" s="774"/>
      <c r="AW1198" s="774"/>
      <c r="AX1198" s="774"/>
      <c r="AY1198" s="1119">
        <v>2.363</v>
      </c>
      <c r="AZ1198" s="774"/>
      <c r="BA1198" s="774"/>
      <c r="BB1198" s="774"/>
      <c r="BC1198" s="774"/>
      <c r="BD1198" s="1119">
        <v>2.363</v>
      </c>
      <c r="BE1198" s="774"/>
      <c r="BF1198" s="774"/>
      <c r="BG1198" s="774"/>
      <c r="BH1198" s="774"/>
      <c r="BI1198" s="78"/>
      <c r="BJ1198" s="774"/>
      <c r="BK1198" s="774"/>
      <c r="BL1198" s="774"/>
      <c r="BM1198" s="774"/>
      <c r="BN1198" s="78"/>
      <c r="BO1198" s="774"/>
      <c r="BP1198" s="774"/>
      <c r="BQ1198" s="774"/>
      <c r="BR1198" s="774"/>
      <c r="BS1198" s="78"/>
      <c r="BT1198" s="775"/>
      <c r="BU1198" s="774"/>
      <c r="BV1198" s="774"/>
      <c r="BW1198" s="774"/>
      <c r="BX1198" s="78"/>
      <c r="BY1198" s="774"/>
      <c r="BZ1198" s="774"/>
      <c r="CA1198" s="774"/>
      <c r="CB1198" s="774"/>
      <c r="CC1198" s="78"/>
      <c r="CD1198" s="78"/>
      <c r="CE1198" s="78"/>
      <c r="CF1198" s="78"/>
      <c r="CG1198" s="532"/>
    </row>
    <row r="1199" spans="1:85" s="616" customFormat="1" x14ac:dyDescent="0.3">
      <c r="A1199" s="522" t="s">
        <v>1323</v>
      </c>
      <c r="B1199" s="527"/>
      <c r="C1199" s="1124"/>
      <c r="D1199" s="1124"/>
      <c r="E1199" s="1124"/>
      <c r="F1199" s="1124"/>
      <c r="G1199" s="526"/>
      <c r="H1199" s="526"/>
      <c r="I1199" s="526"/>
      <c r="J1199" s="526"/>
      <c r="K1199" s="1124"/>
      <c r="L1199" s="526"/>
      <c r="M1199" s="526"/>
      <c r="N1199" s="526"/>
      <c r="O1199" s="526"/>
      <c r="P1199" s="1124"/>
      <c r="Q1199" s="526"/>
      <c r="R1199" s="526"/>
      <c r="S1199" s="526"/>
      <c r="T1199" s="526"/>
      <c r="U1199" s="1124"/>
      <c r="V1199" s="526"/>
      <c r="W1199" s="526"/>
      <c r="X1199" s="526"/>
      <c r="Y1199" s="526"/>
      <c r="Z1199" s="1124"/>
      <c r="AA1199" s="526"/>
      <c r="AB1199" s="526"/>
      <c r="AC1199" s="526"/>
      <c r="AD1199" s="526"/>
      <c r="AE1199" s="1124"/>
      <c r="AF1199" s="526"/>
      <c r="AG1199" s="526"/>
      <c r="AH1199" s="526"/>
      <c r="AI1199" s="526"/>
      <c r="AJ1199" s="1124"/>
      <c r="AK1199" s="526"/>
      <c r="AL1199" s="526"/>
      <c r="AM1199" s="526"/>
      <c r="AN1199" s="526"/>
      <c r="AO1199" s="1124"/>
      <c r="AP1199" s="526"/>
      <c r="AQ1199" s="526"/>
      <c r="AR1199" s="526"/>
      <c r="AS1199" s="526"/>
      <c r="AT1199" s="1123">
        <v>105.79</v>
      </c>
      <c r="AU1199" s="526"/>
      <c r="AV1199" s="526"/>
      <c r="AW1199" s="526"/>
      <c r="AX1199" s="526"/>
      <c r="AY1199" s="1123">
        <v>105.79</v>
      </c>
      <c r="AZ1199" s="526"/>
      <c r="BA1199" s="526"/>
      <c r="BB1199" s="526"/>
      <c r="BC1199" s="526"/>
      <c r="BD1199" s="1123">
        <v>105.79</v>
      </c>
      <c r="BE1199" s="526"/>
      <c r="BF1199" s="526"/>
      <c r="BG1199" s="526"/>
      <c r="BH1199" s="526"/>
      <c r="BI1199" s="1124"/>
      <c r="BJ1199" s="526"/>
      <c r="BK1199" s="526"/>
      <c r="BL1199" s="526"/>
      <c r="BM1199" s="526"/>
      <c r="BN1199" s="1124"/>
      <c r="BO1199" s="526"/>
      <c r="BP1199" s="526"/>
      <c r="BQ1199" s="526"/>
      <c r="BR1199" s="526"/>
      <c r="BS1199" s="1124"/>
      <c r="BT1199" s="729"/>
      <c r="BU1199" s="526"/>
      <c r="BV1199" s="526"/>
      <c r="BW1199" s="526"/>
      <c r="BX1199" s="1124"/>
      <c r="BY1199" s="526"/>
      <c r="BZ1199" s="526"/>
      <c r="CA1199" s="526"/>
      <c r="CB1199" s="526"/>
      <c r="CC1199" s="1124"/>
      <c r="CD1199" s="1124"/>
      <c r="CE1199" s="1124"/>
      <c r="CF1199" s="1124"/>
      <c r="CG1199" s="533"/>
    </row>
    <row r="1200" spans="1:85" s="614" customFormat="1" x14ac:dyDescent="0.3">
      <c r="A1200" s="522"/>
      <c r="B1200" s="352"/>
      <c r="C1200" s="1094"/>
      <c r="D1200" s="1094"/>
      <c r="E1200" s="1094"/>
      <c r="F1200" s="1094"/>
      <c r="G1200" s="197"/>
      <c r="H1200" s="197"/>
      <c r="I1200" s="197"/>
      <c r="J1200" s="197"/>
      <c r="K1200" s="1094"/>
      <c r="L1200" s="197"/>
      <c r="M1200" s="197"/>
      <c r="N1200" s="197"/>
      <c r="O1200" s="197"/>
      <c r="P1200" s="1094"/>
      <c r="Q1200" s="197"/>
      <c r="R1200" s="197"/>
      <c r="S1200" s="197"/>
      <c r="T1200" s="197"/>
      <c r="U1200" s="1094"/>
      <c r="V1200" s="197"/>
      <c r="W1200" s="197"/>
      <c r="X1200" s="197"/>
      <c r="Y1200" s="197"/>
      <c r="Z1200" s="1094"/>
      <c r="AA1200" s="197"/>
      <c r="AB1200" s="197"/>
      <c r="AC1200" s="197"/>
      <c r="AD1200" s="197"/>
      <c r="AE1200" s="1094"/>
      <c r="AF1200" s="197"/>
      <c r="AG1200" s="197"/>
      <c r="AH1200" s="197"/>
      <c r="AI1200" s="197"/>
      <c r="AJ1200" s="1094"/>
      <c r="AK1200" s="197"/>
      <c r="AL1200" s="197"/>
      <c r="AM1200" s="197"/>
      <c r="AN1200" s="197"/>
      <c r="AO1200" s="1094"/>
      <c r="AP1200" s="197"/>
      <c r="AQ1200" s="197"/>
      <c r="AR1200" s="197"/>
      <c r="AS1200" s="197"/>
      <c r="AT1200" s="198"/>
      <c r="AU1200" s="197"/>
      <c r="AV1200" s="197"/>
      <c r="AW1200" s="197"/>
      <c r="AX1200" s="197"/>
      <c r="AY1200" s="198"/>
      <c r="AZ1200" s="197"/>
      <c r="BA1200" s="197"/>
      <c r="BB1200" s="197"/>
      <c r="BC1200" s="197"/>
      <c r="BD1200" s="198"/>
      <c r="BE1200" s="197"/>
      <c r="BF1200" s="197"/>
      <c r="BG1200" s="197"/>
      <c r="BH1200" s="197"/>
      <c r="BI1200" s="1094"/>
      <c r="BJ1200" s="197"/>
      <c r="BK1200" s="197"/>
      <c r="BL1200" s="197"/>
      <c r="BM1200" s="197"/>
      <c r="BN1200" s="1094"/>
      <c r="BO1200" s="197"/>
      <c r="BP1200" s="197"/>
      <c r="BQ1200" s="197"/>
      <c r="BR1200" s="197"/>
      <c r="BS1200" s="1094"/>
      <c r="BT1200" s="727"/>
      <c r="BU1200" s="197"/>
      <c r="BV1200" s="197"/>
      <c r="BW1200" s="197"/>
      <c r="BX1200" s="1094"/>
      <c r="BY1200" s="197"/>
      <c r="BZ1200" s="197"/>
      <c r="CA1200" s="197"/>
      <c r="CB1200" s="197"/>
      <c r="CC1200" s="1094"/>
      <c r="CD1200" s="1094"/>
      <c r="CE1200" s="1094"/>
      <c r="CF1200" s="1094"/>
      <c r="CG1200" s="349"/>
    </row>
    <row r="1201" spans="1:85" s="613" customFormat="1" x14ac:dyDescent="0.3">
      <c r="A1201" s="478" t="s">
        <v>1322</v>
      </c>
      <c r="B1201" s="523"/>
      <c r="C1201" s="78"/>
      <c r="D1201" s="78"/>
      <c r="E1201" s="78"/>
      <c r="F1201" s="78"/>
      <c r="G1201" s="774"/>
      <c r="H1201" s="774"/>
      <c r="I1201" s="774"/>
      <c r="J1201" s="774"/>
      <c r="K1201" s="78"/>
      <c r="L1201" s="774"/>
      <c r="M1201" s="774"/>
      <c r="N1201" s="774"/>
      <c r="O1201" s="774"/>
      <c r="P1201" s="78"/>
      <c r="Q1201" s="774"/>
      <c r="R1201" s="774"/>
      <c r="S1201" s="774"/>
      <c r="T1201" s="774"/>
      <c r="U1201" s="78"/>
      <c r="V1201" s="774"/>
      <c r="W1201" s="774"/>
      <c r="X1201" s="774"/>
      <c r="Y1201" s="774"/>
      <c r="Z1201" s="78"/>
      <c r="AA1201" s="774"/>
      <c r="AB1201" s="774"/>
      <c r="AC1201" s="774"/>
      <c r="AD1201" s="774"/>
      <c r="AE1201" s="78"/>
      <c r="AF1201" s="774"/>
      <c r="AG1201" s="774"/>
      <c r="AH1201" s="774"/>
      <c r="AI1201" s="774"/>
      <c r="AJ1201" s="78"/>
      <c r="AK1201" s="774"/>
      <c r="AL1201" s="774"/>
      <c r="AM1201" s="774"/>
      <c r="AN1201" s="774"/>
      <c r="AO1201" s="78"/>
      <c r="AP1201" s="774"/>
      <c r="AQ1201" s="774"/>
      <c r="AR1201" s="774"/>
      <c r="AS1201" s="774"/>
      <c r="AT1201" s="1119">
        <v>2.359</v>
      </c>
      <c r="AU1201" s="774"/>
      <c r="AV1201" s="774"/>
      <c r="AW1201" s="774"/>
      <c r="AX1201" s="774"/>
      <c r="AY1201" s="1119">
        <v>2.359</v>
      </c>
      <c r="AZ1201" s="774"/>
      <c r="BA1201" s="774"/>
      <c r="BB1201" s="774"/>
      <c r="BC1201" s="774"/>
      <c r="BD1201" s="1119">
        <v>2.359</v>
      </c>
      <c r="BE1201" s="774"/>
      <c r="BF1201" s="774"/>
      <c r="BG1201" s="774"/>
      <c r="BH1201" s="774"/>
      <c r="BI1201" s="78"/>
      <c r="BJ1201" s="774"/>
      <c r="BK1201" s="774"/>
      <c r="BL1201" s="774"/>
      <c r="BM1201" s="774"/>
      <c r="BN1201" s="78"/>
      <c r="BO1201" s="774"/>
      <c r="BP1201" s="774"/>
      <c r="BQ1201" s="774"/>
      <c r="BR1201" s="774"/>
      <c r="BS1201" s="78"/>
      <c r="BT1201" s="775"/>
      <c r="BU1201" s="774"/>
      <c r="BV1201" s="774"/>
      <c r="BW1201" s="774"/>
      <c r="BX1201" s="78"/>
      <c r="BY1201" s="774"/>
      <c r="BZ1201" s="774"/>
      <c r="CA1201" s="774"/>
      <c r="CB1201" s="774"/>
      <c r="CC1201" s="78"/>
      <c r="CD1201" s="78"/>
      <c r="CE1201" s="78"/>
      <c r="CF1201" s="78"/>
      <c r="CG1201" s="532"/>
    </row>
    <row r="1202" spans="1:85" s="616" customFormat="1" x14ac:dyDescent="0.3">
      <c r="A1202" s="522" t="s">
        <v>1321</v>
      </c>
      <c r="B1202" s="527"/>
      <c r="C1202" s="1124"/>
      <c r="D1202" s="1124"/>
      <c r="E1202" s="1124"/>
      <c r="F1202" s="1124"/>
      <c r="G1202" s="526"/>
      <c r="H1202" s="526"/>
      <c r="I1202" s="526"/>
      <c r="J1202" s="526"/>
      <c r="K1202" s="1124"/>
      <c r="L1202" s="526"/>
      <c r="M1202" s="526"/>
      <c r="N1202" s="526"/>
      <c r="O1202" s="526"/>
      <c r="P1202" s="1124"/>
      <c r="Q1202" s="526"/>
      <c r="R1202" s="526"/>
      <c r="S1202" s="526"/>
      <c r="T1202" s="526"/>
      <c r="U1202" s="1124"/>
      <c r="V1202" s="526"/>
      <c r="W1202" s="526"/>
      <c r="X1202" s="526"/>
      <c r="Y1202" s="526"/>
      <c r="Z1202" s="1124"/>
      <c r="AA1202" s="526"/>
      <c r="AB1202" s="526"/>
      <c r="AC1202" s="526"/>
      <c r="AD1202" s="526"/>
      <c r="AE1202" s="1124"/>
      <c r="AF1202" s="526"/>
      <c r="AG1202" s="526"/>
      <c r="AH1202" s="526"/>
      <c r="AI1202" s="526"/>
      <c r="AJ1202" s="1124"/>
      <c r="AK1202" s="526"/>
      <c r="AL1202" s="526"/>
      <c r="AM1202" s="526"/>
      <c r="AN1202" s="526"/>
      <c r="AO1202" s="1124"/>
      <c r="AP1202" s="526"/>
      <c r="AQ1202" s="526"/>
      <c r="AR1202" s="526"/>
      <c r="AS1202" s="526"/>
      <c r="AT1202" s="1123">
        <v>105.98</v>
      </c>
      <c r="AU1202" s="526"/>
      <c r="AV1202" s="526"/>
      <c r="AW1202" s="526"/>
      <c r="AX1202" s="526"/>
      <c r="AY1202" s="1123">
        <v>105.98</v>
      </c>
      <c r="AZ1202" s="526"/>
      <c r="BA1202" s="526"/>
      <c r="BB1202" s="526"/>
      <c r="BC1202" s="526"/>
      <c r="BD1202" s="1123">
        <v>105.98</v>
      </c>
      <c r="BE1202" s="526"/>
      <c r="BF1202" s="526"/>
      <c r="BG1202" s="526"/>
      <c r="BH1202" s="526"/>
      <c r="BI1202" s="1124"/>
      <c r="BJ1202" s="526"/>
      <c r="BK1202" s="526"/>
      <c r="BL1202" s="526"/>
      <c r="BM1202" s="526"/>
      <c r="BN1202" s="1124"/>
      <c r="BO1202" s="526"/>
      <c r="BP1202" s="526"/>
      <c r="BQ1202" s="526"/>
      <c r="BR1202" s="526"/>
      <c r="BS1202" s="1124"/>
      <c r="BT1202" s="729"/>
      <c r="BU1202" s="526"/>
      <c r="BV1202" s="526"/>
      <c r="BW1202" s="526"/>
      <c r="BX1202" s="1124"/>
      <c r="BY1202" s="526"/>
      <c r="BZ1202" s="526"/>
      <c r="CA1202" s="526"/>
      <c r="CB1202" s="526"/>
      <c r="CC1202" s="1124"/>
      <c r="CD1202" s="1124"/>
      <c r="CE1202" s="1124"/>
      <c r="CF1202" s="1124"/>
      <c r="CG1202" s="533"/>
    </row>
    <row r="1203" spans="1:85" s="614" customFormat="1" x14ac:dyDescent="0.3">
      <c r="A1203" s="522"/>
      <c r="B1203" s="352"/>
      <c r="C1203" s="1094"/>
      <c r="D1203" s="1094"/>
      <c r="E1203" s="1094"/>
      <c r="F1203" s="1094"/>
      <c r="G1203" s="197"/>
      <c r="H1203" s="197"/>
      <c r="I1203" s="197"/>
      <c r="J1203" s="197"/>
      <c r="K1203" s="1094"/>
      <c r="L1203" s="197"/>
      <c r="M1203" s="197"/>
      <c r="N1203" s="197"/>
      <c r="O1203" s="197"/>
      <c r="P1203" s="1094"/>
      <c r="Q1203" s="197"/>
      <c r="R1203" s="197"/>
      <c r="S1203" s="197"/>
      <c r="T1203" s="197"/>
      <c r="U1203" s="1094"/>
      <c r="V1203" s="197"/>
      <c r="W1203" s="197"/>
      <c r="X1203" s="197"/>
      <c r="Y1203" s="197"/>
      <c r="Z1203" s="1094"/>
      <c r="AA1203" s="197"/>
      <c r="AB1203" s="197"/>
      <c r="AC1203" s="197"/>
      <c r="AD1203" s="197"/>
      <c r="AE1203" s="1094"/>
      <c r="AF1203" s="197"/>
      <c r="AG1203" s="197"/>
      <c r="AH1203" s="197"/>
      <c r="AI1203" s="197"/>
      <c r="AJ1203" s="1094"/>
      <c r="AK1203" s="197"/>
      <c r="AL1203" s="197"/>
      <c r="AM1203" s="197"/>
      <c r="AN1203" s="197"/>
      <c r="AO1203" s="1094"/>
      <c r="AP1203" s="197"/>
      <c r="AQ1203" s="197"/>
      <c r="AR1203" s="197"/>
      <c r="AS1203" s="197"/>
      <c r="AT1203" s="198"/>
      <c r="AU1203" s="197"/>
      <c r="AV1203" s="197"/>
      <c r="AW1203" s="197"/>
      <c r="AX1203" s="197"/>
      <c r="AY1203" s="198"/>
      <c r="AZ1203" s="197"/>
      <c r="BA1203" s="197"/>
      <c r="BB1203" s="197"/>
      <c r="BC1203" s="197"/>
      <c r="BD1203" s="198"/>
      <c r="BE1203" s="197"/>
      <c r="BF1203" s="197"/>
      <c r="BG1203" s="197"/>
      <c r="BH1203" s="197"/>
      <c r="BI1203" s="1094"/>
      <c r="BJ1203" s="197"/>
      <c r="BK1203" s="197"/>
      <c r="BL1203" s="197"/>
      <c r="BM1203" s="197"/>
      <c r="BN1203" s="1094"/>
      <c r="BO1203" s="197"/>
      <c r="BP1203" s="197"/>
      <c r="BQ1203" s="197"/>
      <c r="BR1203" s="197"/>
      <c r="BS1203" s="1094"/>
      <c r="BT1203" s="727"/>
      <c r="BU1203" s="197"/>
      <c r="BV1203" s="197"/>
      <c r="BW1203" s="197"/>
      <c r="BX1203" s="1094"/>
      <c r="BY1203" s="197"/>
      <c r="BZ1203" s="197"/>
      <c r="CA1203" s="197"/>
      <c r="CB1203" s="197"/>
      <c r="CC1203" s="1094"/>
      <c r="CD1203" s="1094"/>
      <c r="CE1203" s="1094"/>
      <c r="CF1203" s="1094"/>
      <c r="CG1203" s="349"/>
    </row>
    <row r="1204" spans="1:85" s="613" customFormat="1" x14ac:dyDescent="0.3">
      <c r="A1204" s="478" t="s">
        <v>1320</v>
      </c>
      <c r="B1204" s="523"/>
      <c r="C1204" s="78"/>
      <c r="D1204" s="78"/>
      <c r="E1204" s="78"/>
      <c r="F1204" s="78"/>
      <c r="G1204" s="774"/>
      <c r="H1204" s="774"/>
      <c r="I1204" s="774"/>
      <c r="J1204" s="774"/>
      <c r="K1204" s="78"/>
      <c r="L1204" s="774"/>
      <c r="M1204" s="774"/>
      <c r="N1204" s="774"/>
      <c r="O1204" s="774"/>
      <c r="P1204" s="78"/>
      <c r="Q1204" s="774"/>
      <c r="R1204" s="774"/>
      <c r="S1204" s="774"/>
      <c r="T1204" s="774"/>
      <c r="U1204" s="78"/>
      <c r="V1204" s="774"/>
      <c r="W1204" s="774"/>
      <c r="X1204" s="774"/>
      <c r="Y1204" s="774"/>
      <c r="Z1204" s="78"/>
      <c r="AA1204" s="774"/>
      <c r="AB1204" s="774"/>
      <c r="AC1204" s="774"/>
      <c r="AD1204" s="774"/>
      <c r="AE1204" s="78"/>
      <c r="AF1204" s="774"/>
      <c r="AG1204" s="774"/>
      <c r="AH1204" s="774"/>
      <c r="AI1204" s="774"/>
      <c r="AJ1204" s="78"/>
      <c r="AK1204" s="774"/>
      <c r="AL1204" s="774"/>
      <c r="AM1204" s="774"/>
      <c r="AN1204" s="774"/>
      <c r="AO1204" s="78"/>
      <c r="AP1204" s="774"/>
      <c r="AQ1204" s="774"/>
      <c r="AR1204" s="774"/>
      <c r="AS1204" s="774"/>
      <c r="AT1204" s="1119">
        <v>2.3220000000000001</v>
      </c>
      <c r="AU1204" s="774"/>
      <c r="AV1204" s="774"/>
      <c r="AW1204" s="774"/>
      <c r="AX1204" s="774"/>
      <c r="AY1204" s="1119">
        <v>2.3220000000000001</v>
      </c>
      <c r="AZ1204" s="774"/>
      <c r="BA1204" s="774"/>
      <c r="BB1204" s="774"/>
      <c r="BC1204" s="774"/>
      <c r="BD1204" s="1119">
        <v>2.3220000000000001</v>
      </c>
      <c r="BE1204" s="774"/>
      <c r="BF1204" s="774"/>
      <c r="BG1204" s="774"/>
      <c r="BH1204" s="774"/>
      <c r="BI1204" s="78"/>
      <c r="BJ1204" s="774"/>
      <c r="BK1204" s="774"/>
      <c r="BL1204" s="774"/>
      <c r="BM1204" s="774"/>
      <c r="BN1204" s="78"/>
      <c r="BO1204" s="774"/>
      <c r="BP1204" s="774"/>
      <c r="BQ1204" s="774"/>
      <c r="BR1204" s="774"/>
      <c r="BS1204" s="78"/>
      <c r="BT1204" s="775"/>
      <c r="BU1204" s="774"/>
      <c r="BV1204" s="774"/>
      <c r="BW1204" s="774"/>
      <c r="BX1204" s="78"/>
      <c r="BY1204" s="774"/>
      <c r="BZ1204" s="774"/>
      <c r="CA1204" s="774"/>
      <c r="CB1204" s="774"/>
      <c r="CC1204" s="78"/>
      <c r="CD1204" s="78"/>
      <c r="CE1204" s="78"/>
      <c r="CF1204" s="78"/>
      <c r="CG1204" s="532"/>
    </row>
    <row r="1205" spans="1:85" s="616" customFormat="1" x14ac:dyDescent="0.3">
      <c r="A1205" s="522" t="s">
        <v>1319</v>
      </c>
      <c r="B1205" s="527"/>
      <c r="C1205" s="1124"/>
      <c r="D1205" s="1124"/>
      <c r="E1205" s="1124"/>
      <c r="F1205" s="1124"/>
      <c r="G1205" s="526"/>
      <c r="H1205" s="526"/>
      <c r="I1205" s="526"/>
      <c r="J1205" s="526"/>
      <c r="K1205" s="1124"/>
      <c r="L1205" s="526"/>
      <c r="M1205" s="526"/>
      <c r="N1205" s="526"/>
      <c r="O1205" s="526"/>
      <c r="P1205" s="1124"/>
      <c r="Q1205" s="526"/>
      <c r="R1205" s="526"/>
      <c r="S1205" s="526"/>
      <c r="T1205" s="526"/>
      <c r="U1205" s="1124"/>
      <c r="V1205" s="526"/>
      <c r="W1205" s="526"/>
      <c r="X1205" s="526"/>
      <c r="Y1205" s="526"/>
      <c r="Z1205" s="1124"/>
      <c r="AA1205" s="526"/>
      <c r="AB1205" s="526"/>
      <c r="AC1205" s="526"/>
      <c r="AD1205" s="526"/>
      <c r="AE1205" s="1124"/>
      <c r="AF1205" s="526"/>
      <c r="AG1205" s="526"/>
      <c r="AH1205" s="526"/>
      <c r="AI1205" s="526"/>
      <c r="AJ1205" s="1124"/>
      <c r="AK1205" s="526"/>
      <c r="AL1205" s="526"/>
      <c r="AM1205" s="526"/>
      <c r="AN1205" s="526"/>
      <c r="AO1205" s="1124"/>
      <c r="AP1205" s="526"/>
      <c r="AQ1205" s="526"/>
      <c r="AR1205" s="526"/>
      <c r="AS1205" s="526"/>
      <c r="AT1205" s="1123">
        <v>107.64</v>
      </c>
      <c r="AU1205" s="526"/>
      <c r="AV1205" s="526"/>
      <c r="AW1205" s="526"/>
      <c r="AX1205" s="526"/>
      <c r="AY1205" s="1123">
        <v>107.64</v>
      </c>
      <c r="AZ1205" s="526"/>
      <c r="BA1205" s="526"/>
      <c r="BB1205" s="526"/>
      <c r="BC1205" s="526"/>
      <c r="BD1205" s="1123">
        <v>107.64</v>
      </c>
      <c r="BE1205" s="526"/>
      <c r="BF1205" s="526"/>
      <c r="BG1205" s="526"/>
      <c r="BH1205" s="526"/>
      <c r="BI1205" s="1124"/>
      <c r="BJ1205" s="526"/>
      <c r="BK1205" s="526"/>
      <c r="BL1205" s="526"/>
      <c r="BM1205" s="526"/>
      <c r="BN1205" s="1124"/>
      <c r="BO1205" s="526"/>
      <c r="BP1205" s="526"/>
      <c r="BQ1205" s="526"/>
      <c r="BR1205" s="526"/>
      <c r="BS1205" s="1124"/>
      <c r="BT1205" s="729"/>
      <c r="BU1205" s="526"/>
      <c r="BV1205" s="526"/>
      <c r="BW1205" s="526"/>
      <c r="BX1205" s="1124"/>
      <c r="BY1205" s="526"/>
      <c r="BZ1205" s="526"/>
      <c r="CA1205" s="526"/>
      <c r="CB1205" s="526"/>
      <c r="CC1205" s="1124"/>
      <c r="CD1205" s="1124"/>
      <c r="CE1205" s="1124"/>
      <c r="CF1205" s="1124"/>
      <c r="CG1205" s="533"/>
    </row>
    <row r="1206" spans="1:85" s="614" customFormat="1" x14ac:dyDescent="0.3">
      <c r="A1206" s="522"/>
      <c r="B1206" s="352"/>
      <c r="C1206" s="1094"/>
      <c r="D1206" s="1094"/>
      <c r="E1206" s="1094"/>
      <c r="F1206" s="1094"/>
      <c r="G1206" s="197"/>
      <c r="H1206" s="197"/>
      <c r="I1206" s="197"/>
      <c r="J1206" s="197"/>
      <c r="K1206" s="1094"/>
      <c r="L1206" s="197"/>
      <c r="M1206" s="197"/>
      <c r="N1206" s="197"/>
      <c r="O1206" s="197"/>
      <c r="P1206" s="1094"/>
      <c r="Q1206" s="197"/>
      <c r="R1206" s="197"/>
      <c r="S1206" s="197"/>
      <c r="T1206" s="197"/>
      <c r="U1206" s="1094"/>
      <c r="V1206" s="197"/>
      <c r="W1206" s="197"/>
      <c r="X1206" s="197"/>
      <c r="Y1206" s="197"/>
      <c r="Z1206" s="1094"/>
      <c r="AA1206" s="197"/>
      <c r="AB1206" s="197"/>
      <c r="AC1206" s="197"/>
      <c r="AD1206" s="197"/>
      <c r="AE1206" s="1094"/>
      <c r="AF1206" s="197"/>
      <c r="AG1206" s="197"/>
      <c r="AH1206" s="197"/>
      <c r="AI1206" s="197"/>
      <c r="AJ1206" s="1094"/>
      <c r="AK1206" s="197"/>
      <c r="AL1206" s="197"/>
      <c r="AM1206" s="197"/>
      <c r="AN1206" s="197"/>
      <c r="AO1206" s="1094"/>
      <c r="AP1206" s="197"/>
      <c r="AQ1206" s="197"/>
      <c r="AR1206" s="197"/>
      <c r="AS1206" s="197"/>
      <c r="AT1206" s="198"/>
      <c r="AU1206" s="197"/>
      <c r="AV1206" s="197"/>
      <c r="AW1206" s="197"/>
      <c r="AX1206" s="197"/>
      <c r="AY1206" s="198"/>
      <c r="AZ1206" s="197"/>
      <c r="BA1206" s="197"/>
      <c r="BB1206" s="197"/>
      <c r="BC1206" s="197"/>
      <c r="BD1206" s="198"/>
      <c r="BE1206" s="197"/>
      <c r="BF1206" s="197"/>
      <c r="BG1206" s="197"/>
      <c r="BH1206" s="197"/>
      <c r="BI1206" s="1094"/>
      <c r="BJ1206" s="197"/>
      <c r="BK1206" s="197"/>
      <c r="BL1206" s="197"/>
      <c r="BM1206" s="197"/>
      <c r="BN1206" s="1094"/>
      <c r="BO1206" s="197"/>
      <c r="BP1206" s="197"/>
      <c r="BQ1206" s="197"/>
      <c r="BR1206" s="197"/>
      <c r="BS1206" s="1094"/>
      <c r="BT1206" s="727"/>
      <c r="BU1206" s="197"/>
      <c r="BV1206" s="197"/>
      <c r="BW1206" s="197"/>
      <c r="BX1206" s="1094"/>
      <c r="BY1206" s="197"/>
      <c r="BZ1206" s="197"/>
      <c r="CA1206" s="197"/>
      <c r="CB1206" s="197"/>
      <c r="CC1206" s="1094"/>
      <c r="CD1206" s="1094"/>
      <c r="CE1206" s="1094"/>
      <c r="CF1206" s="1094"/>
      <c r="CG1206" s="349"/>
    </row>
    <row r="1207" spans="1:85" s="613" customFormat="1" x14ac:dyDescent="0.3">
      <c r="A1207" s="478" t="s">
        <v>1318</v>
      </c>
      <c r="B1207" s="523"/>
      <c r="C1207" s="78"/>
      <c r="D1207" s="78"/>
      <c r="E1207" s="78"/>
      <c r="F1207" s="78"/>
      <c r="G1207" s="774"/>
      <c r="H1207" s="774"/>
      <c r="I1207" s="774"/>
      <c r="J1207" s="774"/>
      <c r="K1207" s="78"/>
      <c r="L1207" s="774"/>
      <c r="M1207" s="774"/>
      <c r="N1207" s="774"/>
      <c r="O1207" s="774"/>
      <c r="P1207" s="78"/>
      <c r="Q1207" s="774"/>
      <c r="R1207" s="774"/>
      <c r="S1207" s="774"/>
      <c r="T1207" s="774"/>
      <c r="U1207" s="78"/>
      <c r="V1207" s="774"/>
      <c r="W1207" s="774"/>
      <c r="X1207" s="774"/>
      <c r="Y1207" s="774"/>
      <c r="Z1207" s="78"/>
      <c r="AA1207" s="774"/>
      <c r="AB1207" s="774"/>
      <c r="AC1207" s="774"/>
      <c r="AD1207" s="774"/>
      <c r="AE1207" s="78"/>
      <c r="AF1207" s="774"/>
      <c r="AG1207" s="774"/>
      <c r="AH1207" s="774"/>
      <c r="AI1207" s="774"/>
      <c r="AJ1207" s="78"/>
      <c r="AK1207" s="774"/>
      <c r="AL1207" s="774"/>
      <c r="AM1207" s="774"/>
      <c r="AN1207" s="774"/>
      <c r="AO1207" s="78"/>
      <c r="AP1207" s="774"/>
      <c r="AQ1207" s="774"/>
      <c r="AR1207" s="774"/>
      <c r="AS1207" s="774"/>
      <c r="AT1207" s="1119">
        <v>1.994</v>
      </c>
      <c r="AU1207" s="774"/>
      <c r="AV1207" s="774"/>
      <c r="AW1207" s="774"/>
      <c r="AX1207" s="774"/>
      <c r="AY1207" s="1119">
        <v>1.994</v>
      </c>
      <c r="AZ1207" s="774"/>
      <c r="BA1207" s="774"/>
      <c r="BB1207" s="774"/>
      <c r="BC1207" s="774"/>
      <c r="BD1207" s="1119">
        <v>1.994</v>
      </c>
      <c r="BE1207" s="774"/>
      <c r="BF1207" s="774"/>
      <c r="BG1207" s="774"/>
      <c r="BH1207" s="774"/>
      <c r="BI1207" s="78"/>
      <c r="BJ1207" s="774"/>
      <c r="BK1207" s="774"/>
      <c r="BL1207" s="774"/>
      <c r="BM1207" s="774"/>
      <c r="BN1207" s="78"/>
      <c r="BO1207" s="774"/>
      <c r="BP1207" s="774"/>
      <c r="BQ1207" s="774"/>
      <c r="BR1207" s="774"/>
      <c r="BS1207" s="78"/>
      <c r="BT1207" s="775"/>
      <c r="BU1207" s="774"/>
      <c r="BV1207" s="774"/>
      <c r="BW1207" s="774"/>
      <c r="BX1207" s="78"/>
      <c r="BY1207" s="774"/>
      <c r="BZ1207" s="774"/>
      <c r="CA1207" s="774"/>
      <c r="CB1207" s="774"/>
      <c r="CC1207" s="78"/>
      <c r="CD1207" s="78"/>
      <c r="CE1207" s="78"/>
      <c r="CF1207" s="78"/>
      <c r="CG1207" s="532"/>
    </row>
    <row r="1208" spans="1:85" s="616" customFormat="1" x14ac:dyDescent="0.3">
      <c r="A1208" s="522" t="s">
        <v>1317</v>
      </c>
      <c r="B1208" s="527"/>
      <c r="C1208" s="1124"/>
      <c r="D1208" s="1124"/>
      <c r="E1208" s="1124"/>
      <c r="F1208" s="1124"/>
      <c r="G1208" s="526"/>
      <c r="H1208" s="526"/>
      <c r="I1208" s="526"/>
      <c r="J1208" s="526"/>
      <c r="K1208" s="1124"/>
      <c r="L1208" s="526"/>
      <c r="M1208" s="526"/>
      <c r="N1208" s="526"/>
      <c r="O1208" s="526"/>
      <c r="P1208" s="1124"/>
      <c r="Q1208" s="526"/>
      <c r="R1208" s="526"/>
      <c r="S1208" s="526"/>
      <c r="T1208" s="526"/>
      <c r="U1208" s="1124"/>
      <c r="V1208" s="526"/>
      <c r="W1208" s="526"/>
      <c r="X1208" s="526"/>
      <c r="Y1208" s="526"/>
      <c r="Z1208" s="1124"/>
      <c r="AA1208" s="526"/>
      <c r="AB1208" s="526"/>
      <c r="AC1208" s="526"/>
      <c r="AD1208" s="526"/>
      <c r="AE1208" s="1124"/>
      <c r="AF1208" s="526"/>
      <c r="AG1208" s="526"/>
      <c r="AH1208" s="526"/>
      <c r="AI1208" s="526"/>
      <c r="AJ1208" s="1124"/>
      <c r="AK1208" s="526"/>
      <c r="AL1208" s="526"/>
      <c r="AM1208" s="526"/>
      <c r="AN1208" s="526"/>
      <c r="AO1208" s="1124"/>
      <c r="AP1208" s="526"/>
      <c r="AQ1208" s="526"/>
      <c r="AR1208" s="526"/>
      <c r="AS1208" s="526"/>
      <c r="AT1208" s="1123">
        <v>125.37</v>
      </c>
      <c r="AU1208" s="526"/>
      <c r="AV1208" s="526"/>
      <c r="AW1208" s="526"/>
      <c r="AX1208" s="526"/>
      <c r="AY1208" s="1123">
        <v>125.37</v>
      </c>
      <c r="AZ1208" s="526"/>
      <c r="BA1208" s="526"/>
      <c r="BB1208" s="526"/>
      <c r="BC1208" s="526"/>
      <c r="BD1208" s="1123">
        <v>125.37</v>
      </c>
      <c r="BE1208" s="526"/>
      <c r="BF1208" s="526"/>
      <c r="BG1208" s="526"/>
      <c r="BH1208" s="526"/>
      <c r="BI1208" s="1124"/>
      <c r="BJ1208" s="526"/>
      <c r="BK1208" s="526"/>
      <c r="BL1208" s="526"/>
      <c r="BM1208" s="526"/>
      <c r="BN1208" s="1124"/>
      <c r="BO1208" s="526"/>
      <c r="BP1208" s="526"/>
      <c r="BQ1208" s="526"/>
      <c r="BR1208" s="526"/>
      <c r="BS1208" s="1124"/>
      <c r="BT1208" s="729"/>
      <c r="BU1208" s="526"/>
      <c r="BV1208" s="526"/>
      <c r="BW1208" s="526"/>
      <c r="BX1208" s="1124"/>
      <c r="BY1208" s="526"/>
      <c r="BZ1208" s="526"/>
      <c r="CA1208" s="526"/>
      <c r="CB1208" s="526"/>
      <c r="CC1208" s="1124"/>
      <c r="CD1208" s="1124"/>
      <c r="CE1208" s="1124"/>
      <c r="CF1208" s="1124"/>
      <c r="CG1208" s="533"/>
    </row>
    <row r="1209" spans="1:85" s="614" customFormat="1" x14ac:dyDescent="0.3">
      <c r="A1209" s="116"/>
      <c r="B1209" s="352"/>
      <c r="C1209" s="1094"/>
      <c r="D1209" s="1094"/>
      <c r="E1209" s="1094"/>
      <c r="F1209" s="1094"/>
      <c r="G1209" s="197"/>
      <c r="H1209" s="197"/>
      <c r="I1209" s="197"/>
      <c r="J1209" s="197"/>
      <c r="K1209" s="1094"/>
      <c r="L1209" s="197"/>
      <c r="M1209" s="197"/>
      <c r="N1209" s="197"/>
      <c r="O1209" s="197"/>
      <c r="P1209" s="1094"/>
      <c r="Q1209" s="197"/>
      <c r="R1209" s="197"/>
      <c r="S1209" s="197"/>
      <c r="T1209" s="197"/>
      <c r="U1209" s="1094"/>
      <c r="V1209" s="197"/>
      <c r="W1209" s="197"/>
      <c r="X1209" s="197"/>
      <c r="Y1209" s="197"/>
      <c r="Z1209" s="1094"/>
      <c r="AA1209" s="197"/>
      <c r="AB1209" s="197"/>
      <c r="AC1209" s="197"/>
      <c r="AD1209" s="197"/>
      <c r="AE1209" s="1094"/>
      <c r="AF1209" s="197"/>
      <c r="AG1209" s="197"/>
      <c r="AH1209" s="197"/>
      <c r="AI1209" s="197"/>
      <c r="AJ1209" s="1094"/>
      <c r="AK1209" s="197"/>
      <c r="AL1209" s="197"/>
      <c r="AM1209" s="197"/>
      <c r="AN1209" s="197"/>
      <c r="AO1209" s="1094"/>
      <c r="AP1209" s="197"/>
      <c r="AQ1209" s="197"/>
      <c r="AR1209" s="197"/>
      <c r="AS1209" s="197"/>
      <c r="AT1209" s="198"/>
      <c r="AU1209" s="197"/>
      <c r="AV1209" s="197"/>
      <c r="AW1209" s="197"/>
      <c r="AX1209" s="197"/>
      <c r="AY1209" s="198"/>
      <c r="AZ1209" s="197"/>
      <c r="BA1209" s="197"/>
      <c r="BB1209" s="197"/>
      <c r="BC1209" s="197"/>
      <c r="BD1209" s="198"/>
      <c r="BE1209" s="197"/>
      <c r="BF1209" s="197"/>
      <c r="BG1209" s="197"/>
      <c r="BH1209" s="197"/>
      <c r="BI1209" s="1094"/>
      <c r="BJ1209" s="197"/>
      <c r="BK1209" s="197"/>
      <c r="BL1209" s="197"/>
      <c r="BM1209" s="197"/>
      <c r="BN1209" s="1094"/>
      <c r="BO1209" s="197"/>
      <c r="BP1209" s="197"/>
      <c r="BQ1209" s="197"/>
      <c r="BR1209" s="197"/>
      <c r="BS1209" s="1094"/>
      <c r="BT1209" s="727"/>
      <c r="BU1209" s="197"/>
      <c r="BV1209" s="197"/>
      <c r="BW1209" s="197"/>
      <c r="BX1209" s="1094"/>
      <c r="BY1209" s="197"/>
      <c r="BZ1209" s="197"/>
      <c r="CA1209" s="197"/>
      <c r="CB1209" s="197"/>
      <c r="CC1209" s="1094"/>
      <c r="CD1209" s="1094"/>
      <c r="CE1209" s="1094"/>
      <c r="CF1209" s="1094"/>
      <c r="CG1209" s="349"/>
    </row>
    <row r="1210" spans="1:85" s="613" customFormat="1" x14ac:dyDescent="0.3">
      <c r="A1210" s="478" t="s">
        <v>1316</v>
      </c>
      <c r="B1210" s="523"/>
      <c r="C1210" s="78"/>
      <c r="D1210" s="78"/>
      <c r="E1210" s="78"/>
      <c r="F1210" s="78"/>
      <c r="G1210" s="774"/>
      <c r="H1210" s="774"/>
      <c r="I1210" s="774"/>
      <c r="J1210" s="774"/>
      <c r="K1210" s="78"/>
      <c r="L1210" s="774"/>
      <c r="M1210" s="774"/>
      <c r="N1210" s="774"/>
      <c r="O1210" s="774"/>
      <c r="P1210" s="78"/>
      <c r="Q1210" s="774"/>
      <c r="R1210" s="774"/>
      <c r="S1210" s="774"/>
      <c r="T1210" s="774"/>
      <c r="U1210" s="78"/>
      <c r="V1210" s="774"/>
      <c r="W1210" s="774"/>
      <c r="X1210" s="774"/>
      <c r="Y1210" s="774"/>
      <c r="Z1210" s="78"/>
      <c r="AA1210" s="774"/>
      <c r="AB1210" s="774"/>
      <c r="AC1210" s="774"/>
      <c r="AD1210" s="774"/>
      <c r="AE1210" s="78"/>
      <c r="AF1210" s="774"/>
      <c r="AG1210" s="774"/>
      <c r="AH1210" s="774"/>
      <c r="AI1210" s="774"/>
      <c r="AJ1210" s="78"/>
      <c r="AK1210" s="774"/>
      <c r="AL1210" s="774"/>
      <c r="AM1210" s="774"/>
      <c r="AN1210" s="774"/>
      <c r="AO1210" s="78"/>
      <c r="AP1210" s="774"/>
      <c r="AQ1210" s="774"/>
      <c r="AR1210" s="774"/>
      <c r="AS1210" s="774"/>
      <c r="AT1210" s="1119">
        <v>2.274</v>
      </c>
      <c r="AU1210" s="774"/>
      <c r="AV1210" s="774"/>
      <c r="AW1210" s="774"/>
      <c r="AX1210" s="774"/>
      <c r="AY1210" s="1119">
        <v>2.274</v>
      </c>
      <c r="AZ1210" s="774"/>
      <c r="BA1210" s="774"/>
      <c r="BB1210" s="774"/>
      <c r="BC1210" s="774"/>
      <c r="BD1210" s="1119">
        <v>2.274</v>
      </c>
      <c r="BE1210" s="774"/>
      <c r="BF1210" s="774"/>
      <c r="BG1210" s="774"/>
      <c r="BH1210" s="774"/>
      <c r="BI1210" s="1119">
        <v>2.274</v>
      </c>
      <c r="BJ1210" s="774"/>
      <c r="BK1210" s="774"/>
      <c r="BL1210" s="774"/>
      <c r="BM1210" s="774"/>
      <c r="BN1210" s="78"/>
      <c r="BO1210" s="774"/>
      <c r="BP1210" s="774"/>
      <c r="BQ1210" s="774"/>
      <c r="BR1210" s="774"/>
      <c r="BS1210" s="78"/>
      <c r="BT1210" s="775"/>
      <c r="BU1210" s="774"/>
      <c r="BV1210" s="774"/>
      <c r="BW1210" s="774"/>
      <c r="BX1210" s="78"/>
      <c r="BY1210" s="774"/>
      <c r="BZ1210" s="774"/>
      <c r="CA1210" s="774"/>
      <c r="CB1210" s="774"/>
      <c r="CC1210" s="78"/>
      <c r="CD1210" s="78"/>
      <c r="CE1210" s="78"/>
      <c r="CF1210" s="78"/>
      <c r="CG1210" s="532"/>
    </row>
    <row r="1211" spans="1:85" s="616" customFormat="1" x14ac:dyDescent="0.3">
      <c r="A1211" s="522" t="s">
        <v>1315</v>
      </c>
      <c r="B1211" s="527"/>
      <c r="C1211" s="1124"/>
      <c r="D1211" s="1124"/>
      <c r="E1211" s="1124"/>
      <c r="F1211" s="1124"/>
      <c r="G1211" s="526"/>
      <c r="H1211" s="526"/>
      <c r="I1211" s="526"/>
      <c r="J1211" s="526"/>
      <c r="K1211" s="1124"/>
      <c r="L1211" s="526"/>
      <c r="M1211" s="526"/>
      <c r="N1211" s="526"/>
      <c r="O1211" s="526"/>
      <c r="P1211" s="1124"/>
      <c r="Q1211" s="526"/>
      <c r="R1211" s="526"/>
      <c r="S1211" s="526"/>
      <c r="T1211" s="526"/>
      <c r="U1211" s="1124"/>
      <c r="V1211" s="526"/>
      <c r="W1211" s="526"/>
      <c r="X1211" s="526"/>
      <c r="Y1211" s="526"/>
      <c r="Z1211" s="1124"/>
      <c r="AA1211" s="526"/>
      <c r="AB1211" s="526"/>
      <c r="AC1211" s="526"/>
      <c r="AD1211" s="526"/>
      <c r="AE1211" s="1124"/>
      <c r="AF1211" s="526"/>
      <c r="AG1211" s="526"/>
      <c r="AH1211" s="526"/>
      <c r="AI1211" s="526"/>
      <c r="AJ1211" s="1124"/>
      <c r="AK1211" s="526"/>
      <c r="AL1211" s="526"/>
      <c r="AM1211" s="526"/>
      <c r="AN1211" s="526"/>
      <c r="AO1211" s="1124"/>
      <c r="AP1211" s="526"/>
      <c r="AQ1211" s="526"/>
      <c r="AR1211" s="526"/>
      <c r="AS1211" s="526"/>
      <c r="AT1211" s="1123">
        <v>109.96</v>
      </c>
      <c r="AU1211" s="526"/>
      <c r="AV1211" s="526"/>
      <c r="AW1211" s="526"/>
      <c r="AX1211" s="526"/>
      <c r="AY1211" s="1123">
        <v>109.96</v>
      </c>
      <c r="AZ1211" s="526"/>
      <c r="BA1211" s="526"/>
      <c r="BB1211" s="526"/>
      <c r="BC1211" s="526"/>
      <c r="BD1211" s="1123">
        <v>109.96</v>
      </c>
      <c r="BE1211" s="526"/>
      <c r="BF1211" s="526"/>
      <c r="BG1211" s="526"/>
      <c r="BH1211" s="526"/>
      <c r="BI1211" s="1123">
        <v>109.96</v>
      </c>
      <c r="BJ1211" s="526"/>
      <c r="BK1211" s="526"/>
      <c r="BL1211" s="526"/>
      <c r="BM1211" s="526"/>
      <c r="BN1211" s="1124"/>
      <c r="BO1211" s="526"/>
      <c r="BP1211" s="526"/>
      <c r="BQ1211" s="526"/>
      <c r="BR1211" s="526"/>
      <c r="BS1211" s="1124"/>
      <c r="BT1211" s="729"/>
      <c r="BU1211" s="526"/>
      <c r="BV1211" s="526"/>
      <c r="BW1211" s="526"/>
      <c r="BX1211" s="1124"/>
      <c r="BY1211" s="526"/>
      <c r="BZ1211" s="526"/>
      <c r="CA1211" s="526"/>
      <c r="CB1211" s="526"/>
      <c r="CC1211" s="1124"/>
      <c r="CD1211" s="1124"/>
      <c r="CE1211" s="1124"/>
      <c r="CF1211" s="1124"/>
      <c r="CG1211" s="533"/>
    </row>
    <row r="1212" spans="1:85" s="614" customFormat="1" x14ac:dyDescent="0.3">
      <c r="A1212" s="522"/>
      <c r="B1212" s="352"/>
      <c r="C1212" s="1094"/>
      <c r="D1212" s="1094"/>
      <c r="E1212" s="1094"/>
      <c r="F1212" s="1094"/>
      <c r="G1212" s="197"/>
      <c r="H1212" s="197"/>
      <c r="I1212" s="197"/>
      <c r="J1212" s="197"/>
      <c r="K1212" s="1094"/>
      <c r="L1212" s="197"/>
      <c r="M1212" s="197"/>
      <c r="N1212" s="197"/>
      <c r="O1212" s="197"/>
      <c r="P1212" s="1094"/>
      <c r="Q1212" s="197"/>
      <c r="R1212" s="197"/>
      <c r="S1212" s="197"/>
      <c r="T1212" s="197"/>
      <c r="U1212" s="1094"/>
      <c r="V1212" s="197"/>
      <c r="W1212" s="197"/>
      <c r="X1212" s="197"/>
      <c r="Y1212" s="197"/>
      <c r="Z1212" s="1094"/>
      <c r="AA1212" s="197"/>
      <c r="AB1212" s="197"/>
      <c r="AC1212" s="197"/>
      <c r="AD1212" s="197"/>
      <c r="AE1212" s="1094"/>
      <c r="AF1212" s="197"/>
      <c r="AG1212" s="197"/>
      <c r="AH1212" s="197"/>
      <c r="AI1212" s="197"/>
      <c r="AJ1212" s="1094"/>
      <c r="AK1212" s="197"/>
      <c r="AL1212" s="197"/>
      <c r="AM1212" s="197"/>
      <c r="AN1212" s="197"/>
      <c r="AO1212" s="1094"/>
      <c r="AP1212" s="197"/>
      <c r="AQ1212" s="197"/>
      <c r="AR1212" s="197"/>
      <c r="AS1212" s="197"/>
      <c r="AT1212" s="198"/>
      <c r="AU1212" s="197"/>
      <c r="AV1212" s="197"/>
      <c r="AW1212" s="197"/>
      <c r="AX1212" s="197"/>
      <c r="AY1212" s="198"/>
      <c r="AZ1212" s="197"/>
      <c r="BA1212" s="197"/>
      <c r="BB1212" s="197"/>
      <c r="BC1212" s="197"/>
      <c r="BD1212" s="198"/>
      <c r="BE1212" s="197"/>
      <c r="BF1212" s="197"/>
      <c r="BG1212" s="197"/>
      <c r="BH1212" s="197"/>
      <c r="BI1212" s="198"/>
      <c r="BJ1212" s="197"/>
      <c r="BK1212" s="197"/>
      <c r="BL1212" s="197"/>
      <c r="BM1212" s="197"/>
      <c r="BN1212" s="198"/>
      <c r="BO1212" s="197"/>
      <c r="BP1212" s="197"/>
      <c r="BQ1212" s="197"/>
      <c r="BR1212" s="197"/>
      <c r="BS1212" s="198"/>
      <c r="BT1212" s="727"/>
      <c r="BU1212" s="197"/>
      <c r="BV1212" s="197"/>
      <c r="BW1212" s="197"/>
      <c r="BX1212" s="1094"/>
      <c r="BY1212" s="197"/>
      <c r="BZ1212" s="197"/>
      <c r="CA1212" s="197"/>
      <c r="CB1212" s="197"/>
      <c r="CC1212" s="1094"/>
      <c r="CD1212" s="1094"/>
      <c r="CE1212" s="1094"/>
      <c r="CF1212" s="1094"/>
      <c r="CG1212" s="349"/>
    </row>
    <row r="1213" spans="1:85" s="613" customFormat="1" x14ac:dyDescent="0.3">
      <c r="A1213" s="478" t="s">
        <v>1314</v>
      </c>
      <c r="B1213" s="523"/>
      <c r="C1213" s="78"/>
      <c r="D1213" s="78"/>
      <c r="E1213" s="78"/>
      <c r="F1213" s="78"/>
      <c r="G1213" s="774"/>
      <c r="H1213" s="774"/>
      <c r="I1213" s="774"/>
      <c r="J1213" s="774"/>
      <c r="K1213" s="78"/>
      <c r="L1213" s="774"/>
      <c r="M1213" s="774"/>
      <c r="N1213" s="774"/>
      <c r="O1213" s="774"/>
      <c r="P1213" s="78"/>
      <c r="Q1213" s="774"/>
      <c r="R1213" s="774"/>
      <c r="S1213" s="774"/>
      <c r="T1213" s="774"/>
      <c r="U1213" s="78"/>
      <c r="V1213" s="774"/>
      <c r="W1213" s="774"/>
      <c r="X1213" s="774"/>
      <c r="Y1213" s="774"/>
      <c r="Z1213" s="78"/>
      <c r="AA1213" s="774"/>
      <c r="AB1213" s="774"/>
      <c r="AC1213" s="774"/>
      <c r="AD1213" s="774"/>
      <c r="AE1213" s="78"/>
      <c r="AF1213" s="774"/>
      <c r="AG1213" s="774"/>
      <c r="AH1213" s="774"/>
      <c r="AI1213" s="774"/>
      <c r="AJ1213" s="78"/>
      <c r="AK1213" s="774"/>
      <c r="AL1213" s="774"/>
      <c r="AM1213" s="774"/>
      <c r="AN1213" s="774"/>
      <c r="AO1213" s="78"/>
      <c r="AP1213" s="774"/>
      <c r="AQ1213" s="774"/>
      <c r="AR1213" s="774"/>
      <c r="AS1213" s="774"/>
      <c r="AT1213" s="1119">
        <v>4.4390000000000001</v>
      </c>
      <c r="AU1213" s="774"/>
      <c r="AV1213" s="774"/>
      <c r="AW1213" s="774"/>
      <c r="AX1213" s="774"/>
      <c r="AY1213" s="1119">
        <v>4.4390000000000001</v>
      </c>
      <c r="AZ1213" s="774"/>
      <c r="BA1213" s="774"/>
      <c r="BB1213" s="774"/>
      <c r="BC1213" s="774"/>
      <c r="BD1213" s="1119">
        <v>4.4390000000000001</v>
      </c>
      <c r="BE1213" s="774"/>
      <c r="BF1213" s="774"/>
      <c r="BG1213" s="774"/>
      <c r="BH1213" s="774"/>
      <c r="BI1213" s="1119">
        <v>4.4390000000000001</v>
      </c>
      <c r="BJ1213" s="774"/>
      <c r="BK1213" s="774"/>
      <c r="BL1213" s="774"/>
      <c r="BM1213" s="774"/>
      <c r="BN1213" s="78"/>
      <c r="BO1213" s="774"/>
      <c r="BP1213" s="774"/>
      <c r="BQ1213" s="774"/>
      <c r="BR1213" s="774"/>
      <c r="BS1213" s="78"/>
      <c r="BT1213" s="775"/>
      <c r="BU1213" s="774"/>
      <c r="BV1213" s="774"/>
      <c r="BW1213" s="774"/>
      <c r="BX1213" s="78"/>
      <c r="BY1213" s="774"/>
      <c r="BZ1213" s="774"/>
      <c r="CA1213" s="774"/>
      <c r="CB1213" s="774"/>
      <c r="CC1213" s="78"/>
      <c r="CD1213" s="78"/>
      <c r="CE1213" s="78"/>
      <c r="CF1213" s="78"/>
      <c r="CG1213" s="532"/>
    </row>
    <row r="1214" spans="1:85" s="616" customFormat="1" x14ac:dyDescent="0.3">
      <c r="A1214" s="522" t="s">
        <v>1313</v>
      </c>
      <c r="B1214" s="527"/>
      <c r="C1214" s="1124"/>
      <c r="D1214" s="1124"/>
      <c r="E1214" s="1124"/>
      <c r="F1214" s="1124"/>
      <c r="G1214" s="526"/>
      <c r="H1214" s="526"/>
      <c r="I1214" s="526"/>
      <c r="J1214" s="526"/>
      <c r="K1214" s="1124"/>
      <c r="L1214" s="526"/>
      <c r="M1214" s="526"/>
      <c r="N1214" s="526"/>
      <c r="O1214" s="526"/>
      <c r="P1214" s="1124"/>
      <c r="Q1214" s="526"/>
      <c r="R1214" s="526"/>
      <c r="S1214" s="526"/>
      <c r="T1214" s="526"/>
      <c r="U1214" s="1124"/>
      <c r="V1214" s="526"/>
      <c r="W1214" s="526"/>
      <c r="X1214" s="526"/>
      <c r="Y1214" s="526"/>
      <c r="Z1214" s="1124"/>
      <c r="AA1214" s="526"/>
      <c r="AB1214" s="526"/>
      <c r="AC1214" s="526"/>
      <c r="AD1214" s="526"/>
      <c r="AE1214" s="1124"/>
      <c r="AF1214" s="526"/>
      <c r="AG1214" s="526"/>
      <c r="AH1214" s="526"/>
      <c r="AI1214" s="526"/>
      <c r="AJ1214" s="1124"/>
      <c r="AK1214" s="526"/>
      <c r="AL1214" s="526"/>
      <c r="AM1214" s="526"/>
      <c r="AN1214" s="526"/>
      <c r="AO1214" s="1124"/>
      <c r="AP1214" s="526"/>
      <c r="AQ1214" s="526"/>
      <c r="AR1214" s="526"/>
      <c r="AS1214" s="526"/>
      <c r="AT1214" s="1123">
        <v>94.09</v>
      </c>
      <c r="AU1214" s="526"/>
      <c r="AV1214" s="526"/>
      <c r="AW1214" s="526"/>
      <c r="AX1214" s="526"/>
      <c r="AY1214" s="1123">
        <v>94.09</v>
      </c>
      <c r="AZ1214" s="526"/>
      <c r="BA1214" s="526"/>
      <c r="BB1214" s="526"/>
      <c r="BC1214" s="526"/>
      <c r="BD1214" s="1123">
        <v>94.09</v>
      </c>
      <c r="BE1214" s="526"/>
      <c r="BF1214" s="526"/>
      <c r="BG1214" s="526"/>
      <c r="BH1214" s="526"/>
      <c r="BI1214" s="1123">
        <v>94.09</v>
      </c>
      <c r="BJ1214" s="526"/>
      <c r="BK1214" s="526"/>
      <c r="BL1214" s="526"/>
      <c r="BM1214" s="526"/>
      <c r="BN1214" s="1124"/>
      <c r="BO1214" s="526"/>
      <c r="BP1214" s="526"/>
      <c r="BQ1214" s="526"/>
      <c r="BR1214" s="526"/>
      <c r="BS1214" s="1124"/>
      <c r="BT1214" s="729"/>
      <c r="BU1214" s="526"/>
      <c r="BV1214" s="526"/>
      <c r="BW1214" s="526"/>
      <c r="BX1214" s="1124"/>
      <c r="BY1214" s="526"/>
      <c r="BZ1214" s="526"/>
      <c r="CA1214" s="526"/>
      <c r="CB1214" s="526"/>
      <c r="CC1214" s="1124"/>
      <c r="CD1214" s="1124"/>
      <c r="CE1214" s="1124"/>
      <c r="CF1214" s="1124"/>
      <c r="CG1214" s="533"/>
    </row>
    <row r="1215" spans="1:85" s="614" customFormat="1" x14ac:dyDescent="0.3">
      <c r="A1215" s="522"/>
      <c r="B1215" s="352"/>
      <c r="C1215" s="1094"/>
      <c r="D1215" s="1094"/>
      <c r="E1215" s="1094"/>
      <c r="F1215" s="1094"/>
      <c r="G1215" s="197"/>
      <c r="H1215" s="197"/>
      <c r="I1215" s="197"/>
      <c r="J1215" s="197"/>
      <c r="K1215" s="1094"/>
      <c r="L1215" s="197"/>
      <c r="M1215" s="197"/>
      <c r="N1215" s="197"/>
      <c r="O1215" s="197"/>
      <c r="P1215" s="1094"/>
      <c r="Q1215" s="197"/>
      <c r="R1215" s="197"/>
      <c r="S1215" s="197"/>
      <c r="T1215" s="197"/>
      <c r="U1215" s="1094"/>
      <c r="V1215" s="197"/>
      <c r="W1215" s="197"/>
      <c r="X1215" s="197"/>
      <c r="Y1215" s="197"/>
      <c r="Z1215" s="1094"/>
      <c r="AA1215" s="197"/>
      <c r="AB1215" s="197"/>
      <c r="AC1215" s="197"/>
      <c r="AD1215" s="197"/>
      <c r="AE1215" s="1094"/>
      <c r="AF1215" s="197"/>
      <c r="AG1215" s="197"/>
      <c r="AH1215" s="197"/>
      <c r="AI1215" s="197"/>
      <c r="AJ1215" s="1094"/>
      <c r="AK1215" s="197"/>
      <c r="AL1215" s="197"/>
      <c r="AM1215" s="197"/>
      <c r="AN1215" s="197"/>
      <c r="AO1215" s="1094"/>
      <c r="AP1215" s="197"/>
      <c r="AQ1215" s="197"/>
      <c r="AR1215" s="197"/>
      <c r="AS1215" s="197"/>
      <c r="AT1215" s="198"/>
      <c r="AU1215" s="197"/>
      <c r="AV1215" s="197"/>
      <c r="AW1215" s="197"/>
      <c r="AX1215" s="197"/>
      <c r="AY1215" s="198"/>
      <c r="AZ1215" s="197"/>
      <c r="BA1215" s="197"/>
      <c r="BB1215" s="197"/>
      <c r="BC1215" s="197"/>
      <c r="BD1215" s="198"/>
      <c r="BE1215" s="197"/>
      <c r="BF1215" s="197"/>
      <c r="BG1215" s="197"/>
      <c r="BH1215" s="197"/>
      <c r="BI1215" s="198"/>
      <c r="BJ1215" s="197"/>
      <c r="BK1215" s="197"/>
      <c r="BL1215" s="197"/>
      <c r="BM1215" s="197"/>
      <c r="BN1215" s="198"/>
      <c r="BO1215" s="197"/>
      <c r="BP1215" s="197"/>
      <c r="BQ1215" s="197"/>
      <c r="BR1215" s="197"/>
      <c r="BS1215" s="198"/>
      <c r="BT1215" s="727"/>
      <c r="BU1215" s="197"/>
      <c r="BV1215" s="197"/>
      <c r="BW1215" s="197"/>
      <c r="BX1215" s="1094"/>
      <c r="BY1215" s="197"/>
      <c r="BZ1215" s="197"/>
      <c r="CA1215" s="197"/>
      <c r="CB1215" s="197"/>
      <c r="CC1215" s="1094"/>
      <c r="CD1215" s="1094"/>
      <c r="CE1215" s="1094"/>
      <c r="CF1215" s="1094"/>
      <c r="CG1215" s="349"/>
    </row>
    <row r="1216" spans="1:85" s="613" customFormat="1" x14ac:dyDescent="0.3">
      <c r="A1216" s="478" t="s">
        <v>1312</v>
      </c>
      <c r="B1216" s="523"/>
      <c r="C1216" s="78"/>
      <c r="D1216" s="78"/>
      <c r="E1216" s="78"/>
      <c r="F1216" s="78"/>
      <c r="G1216" s="774"/>
      <c r="H1216" s="774"/>
      <c r="I1216" s="774"/>
      <c r="J1216" s="774"/>
      <c r="K1216" s="78"/>
      <c r="L1216" s="774"/>
      <c r="M1216" s="774"/>
      <c r="N1216" s="774"/>
      <c r="O1216" s="774"/>
      <c r="P1216" s="78"/>
      <c r="Q1216" s="774"/>
      <c r="R1216" s="774"/>
      <c r="S1216" s="774"/>
      <c r="T1216" s="774"/>
      <c r="U1216" s="78"/>
      <c r="V1216" s="774"/>
      <c r="W1216" s="774"/>
      <c r="X1216" s="774"/>
      <c r="Y1216" s="774"/>
      <c r="Z1216" s="78"/>
      <c r="AA1216" s="774"/>
      <c r="AB1216" s="774"/>
      <c r="AC1216" s="774"/>
      <c r="AD1216" s="774"/>
      <c r="AE1216" s="78"/>
      <c r="AF1216" s="774"/>
      <c r="AG1216" s="774"/>
      <c r="AH1216" s="774"/>
      <c r="AI1216" s="774"/>
      <c r="AJ1216" s="78"/>
      <c r="AK1216" s="774"/>
      <c r="AL1216" s="774"/>
      <c r="AM1216" s="774"/>
      <c r="AN1216" s="774"/>
      <c r="AO1216" s="78"/>
      <c r="AP1216" s="774"/>
      <c r="AQ1216" s="774"/>
      <c r="AR1216" s="774"/>
      <c r="AS1216" s="774"/>
      <c r="AT1216" s="1119">
        <v>4.2489999999999997</v>
      </c>
      <c r="AU1216" s="774"/>
      <c r="AV1216" s="774"/>
      <c r="AW1216" s="774"/>
      <c r="AX1216" s="774"/>
      <c r="AY1216" s="1119">
        <v>4.2489999999999997</v>
      </c>
      <c r="AZ1216" s="774"/>
      <c r="BA1216" s="774"/>
      <c r="BB1216" s="774"/>
      <c r="BC1216" s="774"/>
      <c r="BD1216" s="1119">
        <v>4.2489999999999997</v>
      </c>
      <c r="BE1216" s="774"/>
      <c r="BF1216" s="774"/>
      <c r="BG1216" s="774"/>
      <c r="BH1216" s="774"/>
      <c r="BI1216" s="1119">
        <v>4.2489999999999997</v>
      </c>
      <c r="BJ1216" s="774"/>
      <c r="BK1216" s="774"/>
      <c r="BL1216" s="774"/>
      <c r="BM1216" s="774"/>
      <c r="BN1216" s="78"/>
      <c r="BO1216" s="774"/>
      <c r="BP1216" s="774"/>
      <c r="BQ1216" s="774"/>
      <c r="BR1216" s="774"/>
      <c r="BS1216" s="78"/>
      <c r="BT1216" s="775"/>
      <c r="BU1216" s="774"/>
      <c r="BV1216" s="774"/>
      <c r="BW1216" s="774"/>
      <c r="BX1216" s="78"/>
      <c r="BY1216" s="774"/>
      <c r="BZ1216" s="774"/>
      <c r="CA1216" s="774"/>
      <c r="CB1216" s="774"/>
      <c r="CC1216" s="78"/>
      <c r="CD1216" s="78"/>
      <c r="CE1216" s="78"/>
      <c r="CF1216" s="78"/>
      <c r="CG1216" s="532"/>
    </row>
    <row r="1217" spans="1:85" s="616" customFormat="1" x14ac:dyDescent="0.3">
      <c r="A1217" s="522" t="s">
        <v>1311</v>
      </c>
      <c r="B1217" s="527"/>
      <c r="C1217" s="1124"/>
      <c r="D1217" s="1124"/>
      <c r="E1217" s="1124"/>
      <c r="F1217" s="1124"/>
      <c r="G1217" s="526"/>
      <c r="H1217" s="526"/>
      <c r="I1217" s="526"/>
      <c r="J1217" s="526"/>
      <c r="K1217" s="1124"/>
      <c r="L1217" s="526"/>
      <c r="M1217" s="526"/>
      <c r="N1217" s="526"/>
      <c r="O1217" s="526"/>
      <c r="P1217" s="1124"/>
      <c r="Q1217" s="526"/>
      <c r="R1217" s="526"/>
      <c r="S1217" s="526"/>
      <c r="T1217" s="526"/>
      <c r="U1217" s="1124"/>
      <c r="V1217" s="526"/>
      <c r="W1217" s="526"/>
      <c r="X1217" s="526"/>
      <c r="Y1217" s="526"/>
      <c r="Z1217" s="1124"/>
      <c r="AA1217" s="526"/>
      <c r="AB1217" s="526"/>
      <c r="AC1217" s="526"/>
      <c r="AD1217" s="526"/>
      <c r="AE1217" s="1124"/>
      <c r="AF1217" s="526"/>
      <c r="AG1217" s="526"/>
      <c r="AH1217" s="526"/>
      <c r="AI1217" s="526"/>
      <c r="AJ1217" s="1124"/>
      <c r="AK1217" s="526"/>
      <c r="AL1217" s="526"/>
      <c r="AM1217" s="526"/>
      <c r="AN1217" s="526"/>
      <c r="AO1217" s="1124"/>
      <c r="AP1217" s="526"/>
      <c r="AQ1217" s="526"/>
      <c r="AR1217" s="526"/>
      <c r="AS1217" s="526"/>
      <c r="AT1217" s="1123">
        <v>98.3</v>
      </c>
      <c r="AU1217" s="526"/>
      <c r="AV1217" s="526"/>
      <c r="AW1217" s="526"/>
      <c r="AX1217" s="526"/>
      <c r="AY1217" s="1123">
        <v>98.3</v>
      </c>
      <c r="AZ1217" s="526"/>
      <c r="BA1217" s="526"/>
      <c r="BB1217" s="526"/>
      <c r="BC1217" s="526"/>
      <c r="BD1217" s="1123">
        <v>98.3</v>
      </c>
      <c r="BE1217" s="526"/>
      <c r="BF1217" s="526"/>
      <c r="BG1217" s="526"/>
      <c r="BH1217" s="526"/>
      <c r="BI1217" s="1123">
        <v>98.3</v>
      </c>
      <c r="BJ1217" s="526"/>
      <c r="BK1217" s="526"/>
      <c r="BL1217" s="526"/>
      <c r="BM1217" s="526"/>
      <c r="BN1217" s="1124"/>
      <c r="BO1217" s="526"/>
      <c r="BP1217" s="526"/>
      <c r="BQ1217" s="526"/>
      <c r="BR1217" s="526"/>
      <c r="BS1217" s="1124"/>
      <c r="BT1217" s="729"/>
      <c r="BU1217" s="526"/>
      <c r="BV1217" s="526"/>
      <c r="BW1217" s="526"/>
      <c r="BX1217" s="1124"/>
      <c r="BY1217" s="526"/>
      <c r="BZ1217" s="526"/>
      <c r="CA1217" s="526"/>
      <c r="CB1217" s="526"/>
      <c r="CC1217" s="1124"/>
      <c r="CD1217" s="1124"/>
      <c r="CE1217" s="1124"/>
      <c r="CF1217" s="1124"/>
      <c r="CG1217" s="533"/>
    </row>
    <row r="1218" spans="1:85" s="614" customFormat="1" x14ac:dyDescent="0.3">
      <c r="A1218" s="522"/>
      <c r="B1218" s="352"/>
      <c r="C1218" s="1094"/>
      <c r="D1218" s="1094"/>
      <c r="E1218" s="1094"/>
      <c r="F1218" s="1094"/>
      <c r="G1218" s="197"/>
      <c r="H1218" s="197"/>
      <c r="I1218" s="197"/>
      <c r="J1218" s="197"/>
      <c r="K1218" s="1094"/>
      <c r="L1218" s="197"/>
      <c r="M1218" s="197"/>
      <c r="N1218" s="197"/>
      <c r="O1218" s="197"/>
      <c r="P1218" s="1094"/>
      <c r="Q1218" s="197"/>
      <c r="R1218" s="197"/>
      <c r="S1218" s="197"/>
      <c r="T1218" s="197"/>
      <c r="U1218" s="1094"/>
      <c r="V1218" s="197"/>
      <c r="W1218" s="197"/>
      <c r="X1218" s="197"/>
      <c r="Y1218" s="197"/>
      <c r="Z1218" s="1094"/>
      <c r="AA1218" s="197"/>
      <c r="AB1218" s="197"/>
      <c r="AC1218" s="197"/>
      <c r="AD1218" s="197"/>
      <c r="AE1218" s="1094"/>
      <c r="AF1218" s="197"/>
      <c r="AG1218" s="197"/>
      <c r="AH1218" s="197"/>
      <c r="AI1218" s="197"/>
      <c r="AJ1218" s="1094"/>
      <c r="AK1218" s="197"/>
      <c r="AL1218" s="197"/>
      <c r="AM1218" s="197"/>
      <c r="AN1218" s="197"/>
      <c r="AO1218" s="1094"/>
      <c r="AP1218" s="197"/>
      <c r="AQ1218" s="197"/>
      <c r="AR1218" s="197"/>
      <c r="AS1218" s="197"/>
      <c r="AT1218" s="198"/>
      <c r="AU1218" s="197"/>
      <c r="AV1218" s="197"/>
      <c r="AW1218" s="197"/>
      <c r="AX1218" s="197"/>
      <c r="AY1218" s="198"/>
      <c r="AZ1218" s="197"/>
      <c r="BA1218" s="197"/>
      <c r="BB1218" s="197"/>
      <c r="BC1218" s="197"/>
      <c r="BD1218" s="198"/>
      <c r="BE1218" s="197"/>
      <c r="BF1218" s="197"/>
      <c r="BG1218" s="197"/>
      <c r="BH1218" s="197"/>
      <c r="BI1218" s="198"/>
      <c r="BJ1218" s="197"/>
      <c r="BK1218" s="197"/>
      <c r="BL1218" s="197"/>
      <c r="BM1218" s="197"/>
      <c r="BN1218" s="198"/>
      <c r="BO1218" s="197"/>
      <c r="BP1218" s="197"/>
      <c r="BQ1218" s="197"/>
      <c r="BR1218" s="197"/>
      <c r="BS1218" s="198"/>
      <c r="BT1218" s="727"/>
      <c r="BU1218" s="197"/>
      <c r="BV1218" s="197"/>
      <c r="BW1218" s="197"/>
      <c r="BX1218" s="1094"/>
      <c r="BY1218" s="197"/>
      <c r="BZ1218" s="197"/>
      <c r="CA1218" s="197"/>
      <c r="CB1218" s="197"/>
      <c r="CC1218" s="1094"/>
      <c r="CD1218" s="1094"/>
      <c r="CE1218" s="1094"/>
      <c r="CF1218" s="1094"/>
      <c r="CG1218" s="349"/>
    </row>
    <row r="1219" spans="1:85" s="613" customFormat="1" x14ac:dyDescent="0.3">
      <c r="A1219" s="478" t="s">
        <v>1310</v>
      </c>
      <c r="B1219" s="523"/>
      <c r="C1219" s="78"/>
      <c r="D1219" s="78"/>
      <c r="E1219" s="78"/>
      <c r="F1219" s="78"/>
      <c r="G1219" s="774"/>
      <c r="H1219" s="774"/>
      <c r="I1219" s="774"/>
      <c r="J1219" s="774"/>
      <c r="K1219" s="78"/>
      <c r="L1219" s="774"/>
      <c r="M1219" s="774"/>
      <c r="N1219" s="774"/>
      <c r="O1219" s="774"/>
      <c r="P1219" s="78"/>
      <c r="Q1219" s="774"/>
      <c r="R1219" s="774"/>
      <c r="S1219" s="774"/>
      <c r="T1219" s="774"/>
      <c r="U1219" s="78"/>
      <c r="V1219" s="774"/>
      <c r="W1219" s="774"/>
      <c r="X1219" s="774"/>
      <c r="Y1219" s="774"/>
      <c r="Z1219" s="78"/>
      <c r="AA1219" s="774"/>
      <c r="AB1219" s="774"/>
      <c r="AC1219" s="774"/>
      <c r="AD1219" s="774"/>
      <c r="AE1219" s="78"/>
      <c r="AF1219" s="774"/>
      <c r="AG1219" s="774"/>
      <c r="AH1219" s="774"/>
      <c r="AI1219" s="774"/>
      <c r="AJ1219" s="78"/>
      <c r="AK1219" s="774"/>
      <c r="AL1219" s="774"/>
      <c r="AM1219" s="774"/>
      <c r="AN1219" s="774"/>
      <c r="AO1219" s="78"/>
      <c r="AP1219" s="774"/>
      <c r="AQ1219" s="774"/>
      <c r="AR1219" s="774"/>
      <c r="AS1219" s="774"/>
      <c r="AT1219" s="1119">
        <v>3.952</v>
      </c>
      <c r="AU1219" s="774"/>
      <c r="AV1219" s="774"/>
      <c r="AW1219" s="774"/>
      <c r="AX1219" s="774"/>
      <c r="AY1219" s="1119">
        <v>3.952</v>
      </c>
      <c r="AZ1219" s="774"/>
      <c r="BA1219" s="774"/>
      <c r="BB1219" s="774"/>
      <c r="BC1219" s="774"/>
      <c r="BD1219" s="1119">
        <v>3.952</v>
      </c>
      <c r="BE1219" s="774"/>
      <c r="BF1219" s="774"/>
      <c r="BG1219" s="774"/>
      <c r="BH1219" s="774"/>
      <c r="BI1219" s="1119">
        <v>3.952</v>
      </c>
      <c r="BJ1219" s="774"/>
      <c r="BK1219" s="774"/>
      <c r="BL1219" s="774"/>
      <c r="BM1219" s="774"/>
      <c r="BN1219" s="78"/>
      <c r="BO1219" s="774"/>
      <c r="BP1219" s="774"/>
      <c r="BQ1219" s="774"/>
      <c r="BR1219" s="774"/>
      <c r="BS1219" s="78"/>
      <c r="BT1219" s="775"/>
      <c r="BU1219" s="774"/>
      <c r="BV1219" s="774"/>
      <c r="BW1219" s="774"/>
      <c r="BX1219" s="78"/>
      <c r="BY1219" s="774"/>
      <c r="BZ1219" s="774"/>
      <c r="CA1219" s="774"/>
      <c r="CB1219" s="774"/>
      <c r="CC1219" s="78"/>
      <c r="CD1219" s="78"/>
      <c r="CE1219" s="78"/>
      <c r="CF1219" s="78"/>
      <c r="CG1219" s="532"/>
    </row>
    <row r="1220" spans="1:85" s="616" customFormat="1" x14ac:dyDescent="0.3">
      <c r="A1220" s="522" t="s">
        <v>1309</v>
      </c>
      <c r="B1220" s="527"/>
      <c r="C1220" s="1124"/>
      <c r="D1220" s="1124"/>
      <c r="E1220" s="1124"/>
      <c r="F1220" s="1124"/>
      <c r="G1220" s="526"/>
      <c r="H1220" s="526"/>
      <c r="I1220" s="526"/>
      <c r="J1220" s="526"/>
      <c r="K1220" s="1124"/>
      <c r="L1220" s="526"/>
      <c r="M1220" s="526"/>
      <c r="N1220" s="526"/>
      <c r="O1220" s="526"/>
      <c r="P1220" s="1124"/>
      <c r="Q1220" s="526"/>
      <c r="R1220" s="526"/>
      <c r="S1220" s="526"/>
      <c r="T1220" s="526"/>
      <c r="U1220" s="1124"/>
      <c r="V1220" s="526"/>
      <c r="W1220" s="526"/>
      <c r="X1220" s="526"/>
      <c r="Y1220" s="526"/>
      <c r="Z1220" s="1124"/>
      <c r="AA1220" s="526"/>
      <c r="AB1220" s="526"/>
      <c r="AC1220" s="526"/>
      <c r="AD1220" s="526"/>
      <c r="AE1220" s="1124"/>
      <c r="AF1220" s="526"/>
      <c r="AG1220" s="526"/>
      <c r="AH1220" s="526"/>
      <c r="AI1220" s="526"/>
      <c r="AJ1220" s="1124"/>
      <c r="AK1220" s="526"/>
      <c r="AL1220" s="526"/>
      <c r="AM1220" s="526"/>
      <c r="AN1220" s="526"/>
      <c r="AO1220" s="1124"/>
      <c r="AP1220" s="526"/>
      <c r="AQ1220" s="526"/>
      <c r="AR1220" s="526"/>
      <c r="AS1220" s="526"/>
      <c r="AT1220" s="1123">
        <v>105.7</v>
      </c>
      <c r="AU1220" s="526"/>
      <c r="AV1220" s="526"/>
      <c r="AW1220" s="526"/>
      <c r="AX1220" s="526"/>
      <c r="AY1220" s="1123">
        <v>105.7</v>
      </c>
      <c r="AZ1220" s="526"/>
      <c r="BA1220" s="526"/>
      <c r="BB1220" s="526"/>
      <c r="BC1220" s="526"/>
      <c r="BD1220" s="1123">
        <v>105.7</v>
      </c>
      <c r="BE1220" s="526"/>
      <c r="BF1220" s="526"/>
      <c r="BG1220" s="526"/>
      <c r="BH1220" s="526"/>
      <c r="BI1220" s="1123">
        <v>105.7</v>
      </c>
      <c r="BJ1220" s="526"/>
      <c r="BK1220" s="526"/>
      <c r="BL1220" s="526"/>
      <c r="BM1220" s="526"/>
      <c r="BN1220" s="1124"/>
      <c r="BO1220" s="526"/>
      <c r="BP1220" s="526"/>
      <c r="BQ1220" s="526"/>
      <c r="BR1220" s="526"/>
      <c r="BS1220" s="1124"/>
      <c r="BT1220" s="729"/>
      <c r="BU1220" s="526"/>
      <c r="BV1220" s="526"/>
      <c r="BW1220" s="526"/>
      <c r="BX1220" s="1124"/>
      <c r="BY1220" s="526"/>
      <c r="BZ1220" s="526"/>
      <c r="CA1220" s="526"/>
      <c r="CB1220" s="526"/>
      <c r="CC1220" s="1124"/>
      <c r="CD1220" s="1124"/>
      <c r="CE1220" s="1124"/>
      <c r="CF1220" s="1124"/>
      <c r="CG1220" s="533"/>
    </row>
    <row r="1221" spans="1:85" s="614" customFormat="1" x14ac:dyDescent="0.3">
      <c r="A1221" s="522"/>
      <c r="B1221" s="352"/>
      <c r="C1221" s="1094"/>
      <c r="D1221" s="1094"/>
      <c r="E1221" s="1094"/>
      <c r="F1221" s="1094"/>
      <c r="G1221" s="197"/>
      <c r="H1221" s="197"/>
      <c r="I1221" s="197"/>
      <c r="J1221" s="197"/>
      <c r="K1221" s="1094"/>
      <c r="L1221" s="197"/>
      <c r="M1221" s="197"/>
      <c r="N1221" s="197"/>
      <c r="O1221" s="197"/>
      <c r="P1221" s="1094"/>
      <c r="Q1221" s="197"/>
      <c r="R1221" s="197"/>
      <c r="S1221" s="197"/>
      <c r="T1221" s="197"/>
      <c r="U1221" s="1094"/>
      <c r="V1221" s="197"/>
      <c r="W1221" s="197"/>
      <c r="X1221" s="197"/>
      <c r="Y1221" s="197"/>
      <c r="Z1221" s="1094"/>
      <c r="AA1221" s="197"/>
      <c r="AB1221" s="197"/>
      <c r="AC1221" s="197"/>
      <c r="AD1221" s="197"/>
      <c r="AE1221" s="1094"/>
      <c r="AF1221" s="197"/>
      <c r="AG1221" s="197"/>
      <c r="AH1221" s="197"/>
      <c r="AI1221" s="197"/>
      <c r="AJ1221" s="1094"/>
      <c r="AK1221" s="197"/>
      <c r="AL1221" s="197"/>
      <c r="AM1221" s="197"/>
      <c r="AN1221" s="197"/>
      <c r="AO1221" s="1094"/>
      <c r="AP1221" s="197"/>
      <c r="AQ1221" s="197"/>
      <c r="AR1221" s="197"/>
      <c r="AS1221" s="197"/>
      <c r="AT1221" s="198"/>
      <c r="AU1221" s="197"/>
      <c r="AV1221" s="197"/>
      <c r="AW1221" s="197"/>
      <c r="AX1221" s="197"/>
      <c r="AY1221" s="198"/>
      <c r="AZ1221" s="197"/>
      <c r="BA1221" s="197"/>
      <c r="BB1221" s="197"/>
      <c r="BC1221" s="197"/>
      <c r="BD1221" s="198"/>
      <c r="BE1221" s="197"/>
      <c r="BF1221" s="197"/>
      <c r="BG1221" s="197"/>
      <c r="BH1221" s="197"/>
      <c r="BI1221" s="198"/>
      <c r="BJ1221" s="197"/>
      <c r="BK1221" s="197"/>
      <c r="BL1221" s="197"/>
      <c r="BM1221" s="197"/>
      <c r="BN1221" s="198"/>
      <c r="BO1221" s="197"/>
      <c r="BP1221" s="197"/>
      <c r="BQ1221" s="197"/>
      <c r="BR1221" s="197"/>
      <c r="BS1221" s="198"/>
      <c r="BT1221" s="727"/>
      <c r="BU1221" s="197"/>
      <c r="BV1221" s="197"/>
      <c r="BW1221" s="197"/>
      <c r="BX1221" s="1094"/>
      <c r="BY1221" s="197"/>
      <c r="BZ1221" s="197"/>
      <c r="CA1221" s="197"/>
      <c r="CB1221" s="197"/>
      <c r="CC1221" s="1094"/>
      <c r="CD1221" s="1094"/>
      <c r="CE1221" s="1094"/>
      <c r="CF1221" s="1094"/>
      <c r="CG1221" s="349"/>
    </row>
    <row r="1222" spans="1:85" s="613" customFormat="1" x14ac:dyDescent="0.3">
      <c r="A1222" s="478" t="s">
        <v>1308</v>
      </c>
      <c r="B1222" s="523"/>
      <c r="C1222" s="78"/>
      <c r="D1222" s="78"/>
      <c r="E1222" s="78"/>
      <c r="F1222" s="78"/>
      <c r="G1222" s="774"/>
      <c r="H1222" s="774"/>
      <c r="I1222" s="774"/>
      <c r="J1222" s="774"/>
      <c r="K1222" s="78"/>
      <c r="L1222" s="774"/>
      <c r="M1222" s="774"/>
      <c r="N1222" s="774"/>
      <c r="O1222" s="774"/>
      <c r="P1222" s="78"/>
      <c r="Q1222" s="774"/>
      <c r="R1222" s="774"/>
      <c r="S1222" s="774"/>
      <c r="T1222" s="774"/>
      <c r="U1222" s="78"/>
      <c r="V1222" s="774"/>
      <c r="W1222" s="774"/>
      <c r="X1222" s="774"/>
      <c r="Y1222" s="774"/>
      <c r="Z1222" s="78"/>
      <c r="AA1222" s="774"/>
      <c r="AB1222" s="774"/>
      <c r="AC1222" s="774"/>
      <c r="AD1222" s="774"/>
      <c r="AE1222" s="78"/>
      <c r="AF1222" s="774"/>
      <c r="AG1222" s="774"/>
      <c r="AH1222" s="774"/>
      <c r="AI1222" s="774"/>
      <c r="AJ1222" s="78"/>
      <c r="AK1222" s="774"/>
      <c r="AL1222" s="774"/>
      <c r="AM1222" s="774"/>
      <c r="AN1222" s="774"/>
      <c r="AO1222" s="78"/>
      <c r="AP1222" s="774"/>
      <c r="AQ1222" s="774"/>
      <c r="AR1222" s="774"/>
      <c r="AS1222" s="774"/>
      <c r="AT1222" s="1119">
        <v>4.4870000000000001</v>
      </c>
      <c r="AU1222" s="774"/>
      <c r="AV1222" s="774"/>
      <c r="AW1222" s="774"/>
      <c r="AX1222" s="774"/>
      <c r="AY1222" s="1119">
        <v>4.4870000000000001</v>
      </c>
      <c r="AZ1222" s="774"/>
      <c r="BA1222" s="774"/>
      <c r="BB1222" s="774"/>
      <c r="BC1222" s="774"/>
      <c r="BD1222" s="1119">
        <v>4.4870000000000001</v>
      </c>
      <c r="BE1222" s="774"/>
      <c r="BF1222" s="774"/>
      <c r="BG1222" s="774"/>
      <c r="BH1222" s="774"/>
      <c r="BI1222" s="1119">
        <v>4.4870000000000001</v>
      </c>
      <c r="BJ1222" s="774"/>
      <c r="BK1222" s="774"/>
      <c r="BL1222" s="774"/>
      <c r="BM1222" s="774"/>
      <c r="BN1222" s="78"/>
      <c r="BO1222" s="774"/>
      <c r="BP1222" s="774"/>
      <c r="BQ1222" s="774"/>
      <c r="BR1222" s="774"/>
      <c r="BS1222" s="78"/>
      <c r="BT1222" s="775"/>
      <c r="BU1222" s="774"/>
      <c r="BV1222" s="774"/>
      <c r="BW1222" s="774"/>
      <c r="BX1222" s="78"/>
      <c r="BY1222" s="774"/>
      <c r="BZ1222" s="774"/>
      <c r="CA1222" s="774"/>
      <c r="CB1222" s="774"/>
      <c r="CC1222" s="78"/>
      <c r="CD1222" s="78"/>
      <c r="CE1222" s="78"/>
      <c r="CF1222" s="78"/>
      <c r="CG1222" s="532"/>
    </row>
    <row r="1223" spans="1:85" s="616" customFormat="1" x14ac:dyDescent="0.3">
      <c r="A1223" s="522" t="s">
        <v>1307</v>
      </c>
      <c r="B1223" s="527"/>
      <c r="C1223" s="1124"/>
      <c r="D1223" s="1124"/>
      <c r="E1223" s="1124"/>
      <c r="F1223" s="1124"/>
      <c r="G1223" s="526"/>
      <c r="H1223" s="526"/>
      <c r="I1223" s="526"/>
      <c r="J1223" s="526"/>
      <c r="K1223" s="1124"/>
      <c r="L1223" s="526"/>
      <c r="M1223" s="526"/>
      <c r="N1223" s="526"/>
      <c r="O1223" s="526"/>
      <c r="P1223" s="1124"/>
      <c r="Q1223" s="526"/>
      <c r="R1223" s="526"/>
      <c r="S1223" s="526"/>
      <c r="T1223" s="526"/>
      <c r="U1223" s="1124"/>
      <c r="V1223" s="526"/>
      <c r="W1223" s="526"/>
      <c r="X1223" s="526"/>
      <c r="Y1223" s="526"/>
      <c r="Z1223" s="1124"/>
      <c r="AA1223" s="526"/>
      <c r="AB1223" s="526"/>
      <c r="AC1223" s="526"/>
      <c r="AD1223" s="526"/>
      <c r="AE1223" s="1124"/>
      <c r="AF1223" s="526"/>
      <c r="AG1223" s="526"/>
      <c r="AH1223" s="526"/>
      <c r="AI1223" s="526"/>
      <c r="AJ1223" s="1124"/>
      <c r="AK1223" s="526"/>
      <c r="AL1223" s="526"/>
      <c r="AM1223" s="526"/>
      <c r="AN1223" s="526"/>
      <c r="AO1223" s="1124"/>
      <c r="AP1223" s="526"/>
      <c r="AQ1223" s="526"/>
      <c r="AR1223" s="526"/>
      <c r="AS1223" s="526"/>
      <c r="AT1223" s="1123">
        <v>93.11</v>
      </c>
      <c r="AU1223" s="526"/>
      <c r="AV1223" s="526"/>
      <c r="AW1223" s="526"/>
      <c r="AX1223" s="526"/>
      <c r="AY1223" s="1123">
        <v>93.11</v>
      </c>
      <c r="AZ1223" s="526"/>
      <c r="BA1223" s="526"/>
      <c r="BB1223" s="526"/>
      <c r="BC1223" s="526"/>
      <c r="BD1223" s="1123">
        <v>93.11</v>
      </c>
      <c r="BE1223" s="526"/>
      <c r="BF1223" s="526"/>
      <c r="BG1223" s="526"/>
      <c r="BH1223" s="526"/>
      <c r="BI1223" s="1123">
        <v>93.11</v>
      </c>
      <c r="BJ1223" s="526"/>
      <c r="BK1223" s="526"/>
      <c r="BL1223" s="526"/>
      <c r="BM1223" s="526"/>
      <c r="BN1223" s="1124"/>
      <c r="BO1223" s="526"/>
      <c r="BP1223" s="526"/>
      <c r="BQ1223" s="526"/>
      <c r="BR1223" s="526"/>
      <c r="BS1223" s="1124"/>
      <c r="BT1223" s="729"/>
      <c r="BU1223" s="526"/>
      <c r="BV1223" s="526"/>
      <c r="BW1223" s="526"/>
      <c r="BX1223" s="1124"/>
      <c r="BY1223" s="526"/>
      <c r="BZ1223" s="526"/>
      <c r="CA1223" s="526"/>
      <c r="CB1223" s="526"/>
      <c r="CC1223" s="1124"/>
      <c r="CD1223" s="1124"/>
      <c r="CE1223" s="1124"/>
      <c r="CF1223" s="1124"/>
      <c r="CG1223" s="533"/>
    </row>
    <row r="1224" spans="1:85" s="614" customFormat="1" x14ac:dyDescent="0.3">
      <c r="A1224" s="522"/>
      <c r="B1224" s="352"/>
      <c r="C1224" s="1094"/>
      <c r="D1224" s="1094"/>
      <c r="E1224" s="1094"/>
      <c r="F1224" s="1094"/>
      <c r="G1224" s="197"/>
      <c r="H1224" s="197"/>
      <c r="I1224" s="197"/>
      <c r="J1224" s="197"/>
      <c r="K1224" s="1094"/>
      <c r="L1224" s="197"/>
      <c r="M1224" s="197"/>
      <c r="N1224" s="197"/>
      <c r="O1224" s="197"/>
      <c r="P1224" s="1094"/>
      <c r="Q1224" s="197"/>
      <c r="R1224" s="197"/>
      <c r="S1224" s="197"/>
      <c r="T1224" s="197"/>
      <c r="U1224" s="1094"/>
      <c r="V1224" s="197"/>
      <c r="W1224" s="197"/>
      <c r="X1224" s="197"/>
      <c r="Y1224" s="197"/>
      <c r="Z1224" s="1094"/>
      <c r="AA1224" s="197"/>
      <c r="AB1224" s="197"/>
      <c r="AC1224" s="197"/>
      <c r="AD1224" s="197"/>
      <c r="AE1224" s="1094"/>
      <c r="AF1224" s="197"/>
      <c r="AG1224" s="197"/>
      <c r="AH1224" s="197"/>
      <c r="AI1224" s="197"/>
      <c r="AJ1224" s="1094"/>
      <c r="AK1224" s="197"/>
      <c r="AL1224" s="197"/>
      <c r="AM1224" s="197"/>
      <c r="AN1224" s="197"/>
      <c r="AO1224" s="1094"/>
      <c r="AP1224" s="197"/>
      <c r="AQ1224" s="197"/>
      <c r="AR1224" s="197"/>
      <c r="AS1224" s="197"/>
      <c r="AT1224" s="198"/>
      <c r="AU1224" s="197"/>
      <c r="AV1224" s="197"/>
      <c r="AW1224" s="197"/>
      <c r="AX1224" s="197"/>
      <c r="AY1224" s="198"/>
      <c r="AZ1224" s="197"/>
      <c r="BA1224" s="197"/>
      <c r="BB1224" s="197"/>
      <c r="BC1224" s="197"/>
      <c r="BD1224" s="198"/>
      <c r="BE1224" s="197"/>
      <c r="BF1224" s="197"/>
      <c r="BG1224" s="197"/>
      <c r="BH1224" s="197"/>
      <c r="BI1224" s="198"/>
      <c r="BJ1224" s="197"/>
      <c r="BK1224" s="197"/>
      <c r="BL1224" s="197"/>
      <c r="BM1224" s="197"/>
      <c r="BN1224" s="198"/>
      <c r="BO1224" s="197"/>
      <c r="BP1224" s="197"/>
      <c r="BQ1224" s="197"/>
      <c r="BR1224" s="197"/>
      <c r="BS1224" s="198"/>
      <c r="BT1224" s="727"/>
      <c r="BU1224" s="197"/>
      <c r="BV1224" s="197"/>
      <c r="BW1224" s="197"/>
      <c r="BX1224" s="1094"/>
      <c r="BY1224" s="197"/>
      <c r="BZ1224" s="197"/>
      <c r="CA1224" s="197"/>
      <c r="CB1224" s="197"/>
      <c r="CC1224" s="1094"/>
      <c r="CD1224" s="1094"/>
      <c r="CE1224" s="1094"/>
      <c r="CF1224" s="1094"/>
      <c r="CG1224" s="349"/>
    </row>
    <row r="1225" spans="1:85" s="613" customFormat="1" x14ac:dyDescent="0.3">
      <c r="A1225" s="478" t="s">
        <v>1306</v>
      </c>
      <c r="B1225" s="523"/>
      <c r="C1225" s="78"/>
      <c r="D1225" s="78"/>
      <c r="E1225" s="78"/>
      <c r="F1225" s="78"/>
      <c r="G1225" s="774"/>
      <c r="H1225" s="774"/>
      <c r="I1225" s="774"/>
      <c r="J1225" s="774"/>
      <c r="K1225" s="78"/>
      <c r="L1225" s="774"/>
      <c r="M1225" s="774"/>
      <c r="N1225" s="774"/>
      <c r="O1225" s="774"/>
      <c r="P1225" s="78"/>
      <c r="Q1225" s="774"/>
      <c r="R1225" s="774"/>
      <c r="S1225" s="774"/>
      <c r="T1225" s="774"/>
      <c r="U1225" s="78"/>
      <c r="V1225" s="774"/>
      <c r="W1225" s="774"/>
      <c r="X1225" s="774"/>
      <c r="Y1225" s="774"/>
      <c r="Z1225" s="78"/>
      <c r="AA1225" s="774"/>
      <c r="AB1225" s="774"/>
      <c r="AC1225" s="774"/>
      <c r="AD1225" s="774"/>
      <c r="AE1225" s="78"/>
      <c r="AF1225" s="774"/>
      <c r="AG1225" s="774"/>
      <c r="AH1225" s="774"/>
      <c r="AI1225" s="774"/>
      <c r="AJ1225" s="78"/>
      <c r="AK1225" s="774"/>
      <c r="AL1225" s="774"/>
      <c r="AM1225" s="774"/>
      <c r="AN1225" s="774"/>
      <c r="AO1225" s="78"/>
      <c r="AP1225" s="774"/>
      <c r="AQ1225" s="774"/>
      <c r="AR1225" s="774"/>
      <c r="AS1225" s="774"/>
      <c r="AT1225" s="1119">
        <v>4.1150000000000002</v>
      </c>
      <c r="AU1225" s="774"/>
      <c r="AV1225" s="774"/>
      <c r="AW1225" s="774"/>
      <c r="AX1225" s="774"/>
      <c r="AY1225" s="1119">
        <v>4.1150000000000002</v>
      </c>
      <c r="AZ1225" s="774"/>
      <c r="BA1225" s="774"/>
      <c r="BB1225" s="774"/>
      <c r="BC1225" s="774"/>
      <c r="BD1225" s="1119">
        <v>4.1150000000000002</v>
      </c>
      <c r="BE1225" s="774"/>
      <c r="BF1225" s="774"/>
      <c r="BG1225" s="774"/>
      <c r="BH1225" s="774"/>
      <c r="BI1225" s="1119">
        <v>4.1150000000000002</v>
      </c>
      <c r="BJ1225" s="774"/>
      <c r="BK1225" s="774"/>
      <c r="BL1225" s="774"/>
      <c r="BM1225" s="774"/>
      <c r="BN1225" s="78"/>
      <c r="BO1225" s="774"/>
      <c r="BP1225" s="774"/>
      <c r="BQ1225" s="774"/>
      <c r="BR1225" s="774"/>
      <c r="BS1225" s="78"/>
      <c r="BT1225" s="775"/>
      <c r="BU1225" s="774"/>
      <c r="BV1225" s="774"/>
      <c r="BW1225" s="774"/>
      <c r="BX1225" s="78"/>
      <c r="BY1225" s="774"/>
      <c r="BZ1225" s="774"/>
      <c r="CA1225" s="774"/>
      <c r="CB1225" s="774"/>
      <c r="CC1225" s="78"/>
      <c r="CD1225" s="78"/>
      <c r="CE1225" s="78"/>
      <c r="CF1225" s="78"/>
      <c r="CG1225" s="532"/>
    </row>
    <row r="1226" spans="1:85" s="616" customFormat="1" x14ac:dyDescent="0.3">
      <c r="A1226" s="522" t="s">
        <v>1305</v>
      </c>
      <c r="B1226" s="527"/>
      <c r="C1226" s="1124"/>
      <c r="D1226" s="1124"/>
      <c r="E1226" s="1124"/>
      <c r="F1226" s="1124"/>
      <c r="G1226" s="526"/>
      <c r="H1226" s="526"/>
      <c r="I1226" s="526"/>
      <c r="J1226" s="526"/>
      <c r="K1226" s="1124"/>
      <c r="L1226" s="526"/>
      <c r="M1226" s="526"/>
      <c r="N1226" s="526"/>
      <c r="O1226" s="526"/>
      <c r="P1226" s="1124"/>
      <c r="Q1226" s="526"/>
      <c r="R1226" s="526"/>
      <c r="S1226" s="526"/>
      <c r="T1226" s="526"/>
      <c r="U1226" s="1124"/>
      <c r="V1226" s="526"/>
      <c r="W1226" s="526"/>
      <c r="X1226" s="526"/>
      <c r="Y1226" s="526"/>
      <c r="Z1226" s="1124"/>
      <c r="AA1226" s="526"/>
      <c r="AB1226" s="526"/>
      <c r="AC1226" s="526"/>
      <c r="AD1226" s="526"/>
      <c r="AE1226" s="1124"/>
      <c r="AF1226" s="526"/>
      <c r="AG1226" s="526"/>
      <c r="AH1226" s="526"/>
      <c r="AI1226" s="526"/>
      <c r="AJ1226" s="1124"/>
      <c r="AK1226" s="526"/>
      <c r="AL1226" s="526"/>
      <c r="AM1226" s="526"/>
      <c r="AN1226" s="526"/>
      <c r="AO1226" s="1124"/>
      <c r="AP1226" s="526"/>
      <c r="AQ1226" s="526"/>
      <c r="AR1226" s="526"/>
      <c r="AS1226" s="526"/>
      <c r="AT1226" s="1123">
        <v>101.51</v>
      </c>
      <c r="AU1226" s="526"/>
      <c r="AV1226" s="526"/>
      <c r="AW1226" s="526"/>
      <c r="AX1226" s="526"/>
      <c r="AY1226" s="1123">
        <v>101.51</v>
      </c>
      <c r="AZ1226" s="526"/>
      <c r="BA1226" s="526"/>
      <c r="BB1226" s="526"/>
      <c r="BC1226" s="526"/>
      <c r="BD1226" s="1123">
        <v>101.51</v>
      </c>
      <c r="BE1226" s="526"/>
      <c r="BF1226" s="526"/>
      <c r="BG1226" s="526"/>
      <c r="BH1226" s="526"/>
      <c r="BI1226" s="1123">
        <v>101.51</v>
      </c>
      <c r="BJ1226" s="526"/>
      <c r="BK1226" s="526"/>
      <c r="BL1226" s="526"/>
      <c r="BM1226" s="526"/>
      <c r="BN1226" s="1124"/>
      <c r="BO1226" s="526"/>
      <c r="BP1226" s="526"/>
      <c r="BQ1226" s="526"/>
      <c r="BR1226" s="526"/>
      <c r="BS1226" s="1124"/>
      <c r="BT1226" s="729"/>
      <c r="BU1226" s="526"/>
      <c r="BV1226" s="526"/>
      <c r="BW1226" s="526"/>
      <c r="BX1226" s="1124"/>
      <c r="BY1226" s="526"/>
      <c r="BZ1226" s="526"/>
      <c r="CA1226" s="526"/>
      <c r="CB1226" s="526"/>
      <c r="CC1226" s="1124"/>
      <c r="CD1226" s="1124"/>
      <c r="CE1226" s="1124"/>
      <c r="CF1226" s="1124"/>
      <c r="CG1226" s="533"/>
    </row>
    <row r="1227" spans="1:85" s="614" customFormat="1" x14ac:dyDescent="0.3">
      <c r="A1227" s="522"/>
      <c r="B1227" s="352"/>
      <c r="C1227" s="1094"/>
      <c r="D1227" s="1094"/>
      <c r="E1227" s="1094"/>
      <c r="F1227" s="1094"/>
      <c r="G1227" s="197"/>
      <c r="H1227" s="197"/>
      <c r="I1227" s="197"/>
      <c r="J1227" s="197"/>
      <c r="K1227" s="1094"/>
      <c r="L1227" s="197"/>
      <c r="M1227" s="197"/>
      <c r="N1227" s="197"/>
      <c r="O1227" s="197"/>
      <c r="P1227" s="1094"/>
      <c r="Q1227" s="197"/>
      <c r="R1227" s="197"/>
      <c r="S1227" s="197"/>
      <c r="T1227" s="197"/>
      <c r="U1227" s="1094"/>
      <c r="V1227" s="197"/>
      <c r="W1227" s="197"/>
      <c r="X1227" s="197"/>
      <c r="Y1227" s="197"/>
      <c r="Z1227" s="1094"/>
      <c r="AA1227" s="197"/>
      <c r="AB1227" s="197"/>
      <c r="AC1227" s="197"/>
      <c r="AD1227" s="197"/>
      <c r="AE1227" s="1094"/>
      <c r="AF1227" s="197"/>
      <c r="AG1227" s="197"/>
      <c r="AH1227" s="197"/>
      <c r="AI1227" s="197"/>
      <c r="AJ1227" s="1094"/>
      <c r="AK1227" s="197"/>
      <c r="AL1227" s="197"/>
      <c r="AM1227" s="197"/>
      <c r="AN1227" s="197"/>
      <c r="AO1227" s="1094"/>
      <c r="AP1227" s="197"/>
      <c r="AQ1227" s="197"/>
      <c r="AR1227" s="197"/>
      <c r="AS1227" s="197"/>
      <c r="AT1227" s="198"/>
      <c r="AU1227" s="197"/>
      <c r="AV1227" s="197"/>
      <c r="AW1227" s="197"/>
      <c r="AX1227" s="197"/>
      <c r="AY1227" s="198"/>
      <c r="AZ1227" s="197"/>
      <c r="BA1227" s="197"/>
      <c r="BB1227" s="197"/>
      <c r="BC1227" s="197"/>
      <c r="BD1227" s="198"/>
      <c r="BE1227" s="197"/>
      <c r="BF1227" s="197"/>
      <c r="BG1227" s="197"/>
      <c r="BH1227" s="197"/>
      <c r="BI1227" s="198"/>
      <c r="BJ1227" s="197"/>
      <c r="BK1227" s="197"/>
      <c r="BL1227" s="197"/>
      <c r="BM1227" s="197"/>
      <c r="BN1227" s="198"/>
      <c r="BO1227" s="197"/>
      <c r="BP1227" s="197"/>
      <c r="BQ1227" s="197"/>
      <c r="BR1227" s="197"/>
      <c r="BS1227" s="198"/>
      <c r="BT1227" s="727"/>
      <c r="BU1227" s="197"/>
      <c r="BV1227" s="197"/>
      <c r="BW1227" s="197"/>
      <c r="BX1227" s="1094"/>
      <c r="BY1227" s="197"/>
      <c r="BZ1227" s="197"/>
      <c r="CA1227" s="197"/>
      <c r="CB1227" s="197"/>
      <c r="CC1227" s="1094"/>
      <c r="CD1227" s="1094"/>
      <c r="CE1227" s="1094"/>
      <c r="CF1227" s="1094"/>
      <c r="CG1227" s="349"/>
    </row>
    <row r="1228" spans="1:85" s="613" customFormat="1" x14ac:dyDescent="0.3">
      <c r="A1228" s="478" t="s">
        <v>1304</v>
      </c>
      <c r="B1228" s="523"/>
      <c r="C1228" s="78"/>
      <c r="D1228" s="78"/>
      <c r="E1228" s="78"/>
      <c r="F1228" s="78"/>
      <c r="G1228" s="774"/>
      <c r="H1228" s="774"/>
      <c r="I1228" s="774"/>
      <c r="J1228" s="774"/>
      <c r="K1228" s="78"/>
      <c r="L1228" s="774"/>
      <c r="M1228" s="774"/>
      <c r="N1228" s="774"/>
      <c r="O1228" s="774"/>
      <c r="P1228" s="78"/>
      <c r="Q1228" s="774"/>
      <c r="R1228" s="774"/>
      <c r="S1228" s="774"/>
      <c r="T1228" s="774"/>
      <c r="U1228" s="78"/>
      <c r="V1228" s="774"/>
      <c r="W1228" s="774"/>
      <c r="X1228" s="774"/>
      <c r="Y1228" s="774"/>
      <c r="Z1228" s="78"/>
      <c r="AA1228" s="774"/>
      <c r="AB1228" s="774"/>
      <c r="AC1228" s="774"/>
      <c r="AD1228" s="774"/>
      <c r="AE1228" s="78"/>
      <c r="AF1228" s="774"/>
      <c r="AG1228" s="774"/>
      <c r="AH1228" s="774"/>
      <c r="AI1228" s="774"/>
      <c r="AJ1228" s="78"/>
      <c r="AK1228" s="774"/>
      <c r="AL1228" s="774"/>
      <c r="AM1228" s="774"/>
      <c r="AN1228" s="774"/>
      <c r="AO1228" s="78"/>
      <c r="AP1228" s="774"/>
      <c r="AQ1228" s="774"/>
      <c r="AR1228" s="774"/>
      <c r="AS1228" s="774"/>
      <c r="AT1228" s="1119">
        <v>4.3209999999999997</v>
      </c>
      <c r="AU1228" s="774"/>
      <c r="AV1228" s="774"/>
      <c r="AW1228" s="774"/>
      <c r="AX1228" s="774"/>
      <c r="AY1228" s="1119">
        <v>4.3209999999999997</v>
      </c>
      <c r="AZ1228" s="774"/>
      <c r="BA1228" s="774"/>
      <c r="BB1228" s="774"/>
      <c r="BC1228" s="774"/>
      <c r="BD1228" s="1119">
        <v>4.3209999999999997</v>
      </c>
      <c r="BE1228" s="774"/>
      <c r="BF1228" s="774"/>
      <c r="BG1228" s="774"/>
      <c r="BH1228" s="774"/>
      <c r="BI1228" s="1119">
        <v>4.3209999999999997</v>
      </c>
      <c r="BJ1228" s="774"/>
      <c r="BK1228" s="774"/>
      <c r="BL1228" s="774"/>
      <c r="BM1228" s="774"/>
      <c r="BN1228" s="78"/>
      <c r="BO1228" s="774"/>
      <c r="BP1228" s="774"/>
      <c r="BQ1228" s="774"/>
      <c r="BR1228" s="774"/>
      <c r="BS1228" s="78"/>
      <c r="BT1228" s="775"/>
      <c r="BU1228" s="774"/>
      <c r="BV1228" s="774"/>
      <c r="BW1228" s="774"/>
      <c r="BX1228" s="78"/>
      <c r="BY1228" s="774"/>
      <c r="BZ1228" s="774"/>
      <c r="CA1228" s="774"/>
      <c r="CB1228" s="774"/>
      <c r="CC1228" s="78"/>
      <c r="CD1228" s="78"/>
      <c r="CE1228" s="78"/>
      <c r="CF1228" s="78"/>
      <c r="CG1228" s="532"/>
    </row>
    <row r="1229" spans="1:85" s="616" customFormat="1" x14ac:dyDescent="0.3">
      <c r="A1229" s="522" t="s">
        <v>1303</v>
      </c>
      <c r="B1229" s="527"/>
      <c r="C1229" s="1124"/>
      <c r="D1229" s="1124"/>
      <c r="E1229" s="1124"/>
      <c r="F1229" s="1124"/>
      <c r="G1229" s="526"/>
      <c r="H1229" s="526"/>
      <c r="I1229" s="526"/>
      <c r="J1229" s="526"/>
      <c r="K1229" s="1124"/>
      <c r="L1229" s="526"/>
      <c r="M1229" s="526"/>
      <c r="N1229" s="526"/>
      <c r="O1229" s="526"/>
      <c r="P1229" s="1124"/>
      <c r="Q1229" s="526"/>
      <c r="R1229" s="526"/>
      <c r="S1229" s="526"/>
      <c r="T1229" s="526"/>
      <c r="U1229" s="1124"/>
      <c r="V1229" s="526"/>
      <c r="W1229" s="526"/>
      <c r="X1229" s="526"/>
      <c r="Y1229" s="526"/>
      <c r="Z1229" s="1124"/>
      <c r="AA1229" s="526"/>
      <c r="AB1229" s="526"/>
      <c r="AC1229" s="526"/>
      <c r="AD1229" s="526"/>
      <c r="AE1229" s="1124"/>
      <c r="AF1229" s="526"/>
      <c r="AG1229" s="526"/>
      <c r="AH1229" s="526"/>
      <c r="AI1229" s="526"/>
      <c r="AJ1229" s="1124"/>
      <c r="AK1229" s="526"/>
      <c r="AL1229" s="526"/>
      <c r="AM1229" s="526"/>
      <c r="AN1229" s="526"/>
      <c r="AO1229" s="1124"/>
      <c r="AP1229" s="526"/>
      <c r="AQ1229" s="526"/>
      <c r="AR1229" s="526"/>
      <c r="AS1229" s="526"/>
      <c r="AT1229" s="1123">
        <v>96.67</v>
      </c>
      <c r="AU1229" s="526"/>
      <c r="AV1229" s="526"/>
      <c r="AW1229" s="526"/>
      <c r="AX1229" s="526"/>
      <c r="AY1229" s="1123">
        <v>96.67</v>
      </c>
      <c r="AZ1229" s="526"/>
      <c r="BA1229" s="526"/>
      <c r="BB1229" s="526"/>
      <c r="BC1229" s="526"/>
      <c r="BD1229" s="1123">
        <v>96.67</v>
      </c>
      <c r="BE1229" s="526"/>
      <c r="BF1229" s="526"/>
      <c r="BG1229" s="526"/>
      <c r="BH1229" s="526"/>
      <c r="BI1229" s="1123">
        <v>96.67</v>
      </c>
      <c r="BJ1229" s="526"/>
      <c r="BK1229" s="526"/>
      <c r="BL1229" s="526"/>
      <c r="BM1229" s="526"/>
      <c r="BN1229" s="1124"/>
      <c r="BO1229" s="526"/>
      <c r="BP1229" s="526"/>
      <c r="BQ1229" s="526"/>
      <c r="BR1229" s="526"/>
      <c r="BS1229" s="1124"/>
      <c r="BT1229" s="729"/>
      <c r="BU1229" s="526"/>
      <c r="BV1229" s="526"/>
      <c r="BW1229" s="526"/>
      <c r="BX1229" s="1124"/>
      <c r="BY1229" s="526"/>
      <c r="BZ1229" s="526"/>
      <c r="CA1229" s="526"/>
      <c r="CB1229" s="526"/>
      <c r="CC1229" s="1124"/>
      <c r="CD1229" s="1124"/>
      <c r="CE1229" s="1124"/>
      <c r="CF1229" s="1124"/>
      <c r="CG1229" s="533"/>
    </row>
    <row r="1230" spans="1:85" s="614" customFormat="1" x14ac:dyDescent="0.3">
      <c r="A1230" s="522"/>
      <c r="B1230" s="352"/>
      <c r="C1230" s="1094"/>
      <c r="D1230" s="1094"/>
      <c r="E1230" s="1094"/>
      <c r="F1230" s="1094"/>
      <c r="G1230" s="197"/>
      <c r="H1230" s="197"/>
      <c r="I1230" s="197"/>
      <c r="J1230" s="197"/>
      <c r="K1230" s="1094"/>
      <c r="L1230" s="197"/>
      <c r="M1230" s="197"/>
      <c r="N1230" s="197"/>
      <c r="O1230" s="197"/>
      <c r="P1230" s="1094"/>
      <c r="Q1230" s="197"/>
      <c r="R1230" s="197"/>
      <c r="S1230" s="197"/>
      <c r="T1230" s="197"/>
      <c r="U1230" s="1094"/>
      <c r="V1230" s="197"/>
      <c r="W1230" s="197"/>
      <c r="X1230" s="197"/>
      <c r="Y1230" s="197"/>
      <c r="Z1230" s="1094"/>
      <c r="AA1230" s="197"/>
      <c r="AB1230" s="197"/>
      <c r="AC1230" s="197"/>
      <c r="AD1230" s="197"/>
      <c r="AE1230" s="1094"/>
      <c r="AF1230" s="197"/>
      <c r="AG1230" s="197"/>
      <c r="AH1230" s="197"/>
      <c r="AI1230" s="197"/>
      <c r="AJ1230" s="1094"/>
      <c r="AK1230" s="197"/>
      <c r="AL1230" s="197"/>
      <c r="AM1230" s="197"/>
      <c r="AN1230" s="197"/>
      <c r="AO1230" s="1094"/>
      <c r="AP1230" s="197"/>
      <c r="AQ1230" s="197"/>
      <c r="AR1230" s="197"/>
      <c r="AS1230" s="197"/>
      <c r="AT1230" s="198"/>
      <c r="AU1230" s="197"/>
      <c r="AV1230" s="197"/>
      <c r="AW1230" s="197"/>
      <c r="AX1230" s="197"/>
      <c r="AY1230" s="198"/>
      <c r="AZ1230" s="197"/>
      <c r="BA1230" s="197"/>
      <c r="BB1230" s="197"/>
      <c r="BC1230" s="197"/>
      <c r="BD1230" s="198"/>
      <c r="BE1230" s="197"/>
      <c r="BF1230" s="197"/>
      <c r="BG1230" s="197"/>
      <c r="BH1230" s="197"/>
      <c r="BI1230" s="198"/>
      <c r="BJ1230" s="197"/>
      <c r="BK1230" s="197"/>
      <c r="BL1230" s="197"/>
      <c r="BM1230" s="197"/>
      <c r="BN1230" s="198"/>
      <c r="BO1230" s="197"/>
      <c r="BP1230" s="197"/>
      <c r="BQ1230" s="197"/>
      <c r="BR1230" s="197"/>
      <c r="BS1230" s="198"/>
      <c r="BT1230" s="727"/>
      <c r="BU1230" s="197"/>
      <c r="BV1230" s="197"/>
      <c r="BW1230" s="197"/>
      <c r="BX1230" s="1094"/>
      <c r="BY1230" s="197"/>
      <c r="BZ1230" s="197"/>
      <c r="CA1230" s="197"/>
      <c r="CB1230" s="197"/>
      <c r="CC1230" s="1094"/>
      <c r="CD1230" s="1094"/>
      <c r="CE1230" s="1094"/>
      <c r="CF1230" s="1094"/>
      <c r="CG1230" s="349"/>
    </row>
    <row r="1231" spans="1:85" s="613" customFormat="1" x14ac:dyDescent="0.3">
      <c r="A1231" s="478" t="s">
        <v>1302</v>
      </c>
      <c r="B1231" s="523"/>
      <c r="C1231" s="78"/>
      <c r="D1231" s="78"/>
      <c r="E1231" s="78"/>
      <c r="F1231" s="78"/>
      <c r="G1231" s="774"/>
      <c r="H1231" s="774"/>
      <c r="I1231" s="774"/>
      <c r="J1231" s="774"/>
      <c r="K1231" s="78"/>
      <c r="L1231" s="774"/>
      <c r="M1231" s="774"/>
      <c r="N1231" s="774"/>
      <c r="O1231" s="774"/>
      <c r="P1231" s="78"/>
      <c r="Q1231" s="774"/>
      <c r="R1231" s="774"/>
      <c r="S1231" s="774"/>
      <c r="T1231" s="774"/>
      <c r="U1231" s="78"/>
      <c r="V1231" s="774"/>
      <c r="W1231" s="774"/>
      <c r="X1231" s="774"/>
      <c r="Y1231" s="774"/>
      <c r="Z1231" s="78"/>
      <c r="AA1231" s="774"/>
      <c r="AB1231" s="774"/>
      <c r="AC1231" s="774"/>
      <c r="AD1231" s="774"/>
      <c r="AE1231" s="78"/>
      <c r="AF1231" s="774"/>
      <c r="AG1231" s="774"/>
      <c r="AH1231" s="774"/>
      <c r="AI1231" s="774"/>
      <c r="AJ1231" s="78"/>
      <c r="AK1231" s="774"/>
      <c r="AL1231" s="774"/>
      <c r="AM1231" s="774"/>
      <c r="AN1231" s="774"/>
      <c r="AO1231" s="78"/>
      <c r="AP1231" s="774"/>
      <c r="AQ1231" s="774"/>
      <c r="AR1231" s="774"/>
      <c r="AS1231" s="774"/>
      <c r="AT1231" s="1119">
        <v>4.4260000000000002</v>
      </c>
      <c r="AU1231" s="774"/>
      <c r="AV1231" s="774"/>
      <c r="AW1231" s="774"/>
      <c r="AX1231" s="774"/>
      <c r="AY1231" s="1119">
        <v>4.4260000000000002</v>
      </c>
      <c r="AZ1231" s="774"/>
      <c r="BA1231" s="774"/>
      <c r="BB1231" s="774"/>
      <c r="BC1231" s="774"/>
      <c r="BD1231" s="1119">
        <v>4.4260000000000002</v>
      </c>
      <c r="BE1231" s="774"/>
      <c r="BF1231" s="774"/>
      <c r="BG1231" s="774"/>
      <c r="BH1231" s="774"/>
      <c r="BI1231" s="1119">
        <v>4.4260000000000002</v>
      </c>
      <c r="BJ1231" s="774"/>
      <c r="BK1231" s="774"/>
      <c r="BL1231" s="774"/>
      <c r="BM1231" s="774"/>
      <c r="BN1231" s="78"/>
      <c r="BO1231" s="774"/>
      <c r="BP1231" s="774"/>
      <c r="BQ1231" s="774"/>
      <c r="BR1231" s="774"/>
      <c r="BS1231" s="78"/>
      <c r="BT1231" s="775"/>
      <c r="BU1231" s="774"/>
      <c r="BV1231" s="774"/>
      <c r="BW1231" s="774"/>
      <c r="BX1231" s="78"/>
      <c r="BY1231" s="774"/>
      <c r="BZ1231" s="774"/>
      <c r="CA1231" s="774"/>
      <c r="CB1231" s="774"/>
      <c r="CC1231" s="78"/>
      <c r="CD1231" s="78"/>
      <c r="CE1231" s="78"/>
      <c r="CF1231" s="78"/>
      <c r="CG1231" s="532"/>
    </row>
    <row r="1232" spans="1:85" s="616" customFormat="1" x14ac:dyDescent="0.3">
      <c r="A1232" s="522" t="s">
        <v>1301</v>
      </c>
      <c r="B1232" s="527"/>
      <c r="C1232" s="1124"/>
      <c r="D1232" s="1124"/>
      <c r="E1232" s="1124"/>
      <c r="F1232" s="1124"/>
      <c r="G1232" s="526"/>
      <c r="H1232" s="526"/>
      <c r="I1232" s="526"/>
      <c r="J1232" s="526"/>
      <c r="K1232" s="1124"/>
      <c r="L1232" s="526"/>
      <c r="M1232" s="526"/>
      <c r="N1232" s="526"/>
      <c r="O1232" s="526"/>
      <c r="P1232" s="1124"/>
      <c r="Q1232" s="526"/>
      <c r="R1232" s="526"/>
      <c r="S1232" s="526"/>
      <c r="T1232" s="526"/>
      <c r="U1232" s="1124"/>
      <c r="V1232" s="526"/>
      <c r="W1232" s="526"/>
      <c r="X1232" s="526"/>
      <c r="Y1232" s="526"/>
      <c r="Z1232" s="1124"/>
      <c r="AA1232" s="526"/>
      <c r="AB1232" s="526"/>
      <c r="AC1232" s="526"/>
      <c r="AD1232" s="526"/>
      <c r="AE1232" s="1124"/>
      <c r="AF1232" s="526"/>
      <c r="AG1232" s="526"/>
      <c r="AH1232" s="526"/>
      <c r="AI1232" s="526"/>
      <c r="AJ1232" s="1124"/>
      <c r="AK1232" s="526"/>
      <c r="AL1232" s="526"/>
      <c r="AM1232" s="526"/>
      <c r="AN1232" s="526"/>
      <c r="AO1232" s="1124"/>
      <c r="AP1232" s="526"/>
      <c r="AQ1232" s="526"/>
      <c r="AR1232" s="526"/>
      <c r="AS1232" s="526"/>
      <c r="AT1232" s="1123">
        <v>94.37</v>
      </c>
      <c r="AU1232" s="526"/>
      <c r="AV1232" s="526"/>
      <c r="AW1232" s="526"/>
      <c r="AX1232" s="526"/>
      <c r="AY1232" s="1123">
        <v>94.37</v>
      </c>
      <c r="AZ1232" s="526"/>
      <c r="BA1232" s="526"/>
      <c r="BB1232" s="526"/>
      <c r="BC1232" s="526"/>
      <c r="BD1232" s="1123">
        <v>94.37</v>
      </c>
      <c r="BE1232" s="526"/>
      <c r="BF1232" s="526"/>
      <c r="BG1232" s="526"/>
      <c r="BH1232" s="526"/>
      <c r="BI1232" s="1123">
        <v>94.37</v>
      </c>
      <c r="BJ1232" s="526"/>
      <c r="BK1232" s="526"/>
      <c r="BL1232" s="526"/>
      <c r="BM1232" s="526"/>
      <c r="BN1232" s="1124"/>
      <c r="BO1232" s="526"/>
      <c r="BP1232" s="526"/>
      <c r="BQ1232" s="526"/>
      <c r="BR1232" s="526"/>
      <c r="BS1232" s="1124"/>
      <c r="BT1232" s="729"/>
      <c r="BU1232" s="526"/>
      <c r="BV1232" s="526"/>
      <c r="BW1232" s="526"/>
      <c r="BX1232" s="1124"/>
      <c r="BY1232" s="526"/>
      <c r="BZ1232" s="526"/>
      <c r="CA1232" s="526"/>
      <c r="CB1232" s="526"/>
      <c r="CC1232" s="1124"/>
      <c r="CD1232" s="1124"/>
      <c r="CE1232" s="1124"/>
      <c r="CF1232" s="1124"/>
      <c r="CG1232" s="533"/>
    </row>
    <row r="1233" spans="1:85" s="614" customFormat="1" x14ac:dyDescent="0.3">
      <c r="A1233" s="522"/>
      <c r="B1233" s="352"/>
      <c r="C1233" s="1094"/>
      <c r="D1233" s="1094"/>
      <c r="E1233" s="1094"/>
      <c r="F1233" s="1094"/>
      <c r="G1233" s="197"/>
      <c r="H1233" s="197"/>
      <c r="I1233" s="197"/>
      <c r="J1233" s="197"/>
      <c r="K1233" s="1094"/>
      <c r="L1233" s="197"/>
      <c r="M1233" s="197"/>
      <c r="N1233" s="197"/>
      <c r="O1233" s="197"/>
      <c r="P1233" s="1094"/>
      <c r="Q1233" s="197"/>
      <c r="R1233" s="197"/>
      <c r="S1233" s="197"/>
      <c r="T1233" s="197"/>
      <c r="U1233" s="1094"/>
      <c r="V1233" s="197"/>
      <c r="W1233" s="197"/>
      <c r="X1233" s="197"/>
      <c r="Y1233" s="197"/>
      <c r="Z1233" s="1094"/>
      <c r="AA1233" s="197"/>
      <c r="AB1233" s="197"/>
      <c r="AC1233" s="197"/>
      <c r="AD1233" s="197"/>
      <c r="AE1233" s="1094"/>
      <c r="AF1233" s="197"/>
      <c r="AG1233" s="197"/>
      <c r="AH1233" s="197"/>
      <c r="AI1233" s="197"/>
      <c r="AJ1233" s="1094"/>
      <c r="AK1233" s="197"/>
      <c r="AL1233" s="197"/>
      <c r="AM1233" s="197"/>
      <c r="AN1233" s="197"/>
      <c r="AO1233" s="1094"/>
      <c r="AP1233" s="197"/>
      <c r="AQ1233" s="197"/>
      <c r="AR1233" s="197"/>
      <c r="AS1233" s="197"/>
      <c r="AT1233" s="198"/>
      <c r="AU1233" s="197"/>
      <c r="AV1233" s="197"/>
      <c r="AW1233" s="197"/>
      <c r="AX1233" s="197"/>
      <c r="AY1233" s="198"/>
      <c r="AZ1233" s="197"/>
      <c r="BA1233" s="197"/>
      <c r="BB1233" s="197"/>
      <c r="BC1233" s="197"/>
      <c r="BD1233" s="198"/>
      <c r="BE1233" s="197"/>
      <c r="BF1233" s="197"/>
      <c r="BG1233" s="197"/>
      <c r="BH1233" s="197"/>
      <c r="BI1233" s="198"/>
      <c r="BJ1233" s="197"/>
      <c r="BK1233" s="197"/>
      <c r="BL1233" s="197"/>
      <c r="BM1233" s="197"/>
      <c r="BN1233" s="198"/>
      <c r="BO1233" s="197"/>
      <c r="BP1233" s="197"/>
      <c r="BQ1233" s="197"/>
      <c r="BR1233" s="197"/>
      <c r="BS1233" s="198"/>
      <c r="BT1233" s="727"/>
      <c r="BU1233" s="197"/>
      <c r="BV1233" s="197"/>
      <c r="BW1233" s="197"/>
      <c r="BX1233" s="1094"/>
      <c r="BY1233" s="197"/>
      <c r="BZ1233" s="197"/>
      <c r="CA1233" s="197"/>
      <c r="CB1233" s="197"/>
      <c r="CC1233" s="1094"/>
      <c r="CD1233" s="1094"/>
      <c r="CE1233" s="1094"/>
      <c r="CF1233" s="1094"/>
      <c r="CG1233" s="349"/>
    </row>
    <row r="1234" spans="1:85" s="613" customFormat="1" x14ac:dyDescent="0.3">
      <c r="A1234" s="478" t="s">
        <v>1300</v>
      </c>
      <c r="B1234" s="523"/>
      <c r="C1234" s="78"/>
      <c r="D1234" s="78"/>
      <c r="E1234" s="78"/>
      <c r="F1234" s="78"/>
      <c r="G1234" s="774"/>
      <c r="H1234" s="774"/>
      <c r="I1234" s="774"/>
      <c r="J1234" s="774"/>
      <c r="K1234" s="78"/>
      <c r="L1234" s="774"/>
      <c r="M1234" s="774"/>
      <c r="N1234" s="774"/>
      <c r="O1234" s="774"/>
      <c r="P1234" s="78"/>
      <c r="Q1234" s="774"/>
      <c r="R1234" s="774"/>
      <c r="S1234" s="774"/>
      <c r="T1234" s="774"/>
      <c r="U1234" s="78"/>
      <c r="V1234" s="774"/>
      <c r="W1234" s="774"/>
      <c r="X1234" s="774"/>
      <c r="Y1234" s="774"/>
      <c r="Z1234" s="78"/>
      <c r="AA1234" s="774"/>
      <c r="AB1234" s="774"/>
      <c r="AC1234" s="774"/>
      <c r="AD1234" s="774"/>
      <c r="AE1234" s="78"/>
      <c r="AF1234" s="774"/>
      <c r="AG1234" s="774"/>
      <c r="AH1234" s="774"/>
      <c r="AI1234" s="774"/>
      <c r="AJ1234" s="78"/>
      <c r="AK1234" s="774"/>
      <c r="AL1234" s="774"/>
      <c r="AM1234" s="774"/>
      <c r="AN1234" s="774"/>
      <c r="AO1234" s="78"/>
      <c r="AP1234" s="774"/>
      <c r="AQ1234" s="774"/>
      <c r="AR1234" s="774"/>
      <c r="AS1234" s="774"/>
      <c r="AT1234" s="1119">
        <v>4.29</v>
      </c>
      <c r="AU1234" s="774"/>
      <c r="AV1234" s="774"/>
      <c r="AW1234" s="774"/>
      <c r="AX1234" s="774"/>
      <c r="AY1234" s="1119">
        <v>4.29</v>
      </c>
      <c r="AZ1234" s="774"/>
      <c r="BA1234" s="774"/>
      <c r="BB1234" s="774"/>
      <c r="BC1234" s="774"/>
      <c r="BD1234" s="1119">
        <v>4.29</v>
      </c>
      <c r="BE1234" s="774"/>
      <c r="BF1234" s="774"/>
      <c r="BG1234" s="774"/>
      <c r="BH1234" s="774"/>
      <c r="BI1234" s="1119">
        <v>4.29</v>
      </c>
      <c r="BJ1234" s="774"/>
      <c r="BK1234" s="774"/>
      <c r="BL1234" s="774"/>
      <c r="BM1234" s="774"/>
      <c r="BN1234" s="78"/>
      <c r="BO1234" s="774"/>
      <c r="BP1234" s="774"/>
      <c r="BQ1234" s="774"/>
      <c r="BR1234" s="774"/>
      <c r="BS1234" s="78"/>
      <c r="BT1234" s="775"/>
      <c r="BU1234" s="774"/>
      <c r="BV1234" s="774"/>
      <c r="BW1234" s="774"/>
      <c r="BX1234" s="78"/>
      <c r="BY1234" s="774"/>
      <c r="BZ1234" s="774"/>
      <c r="CA1234" s="774"/>
      <c r="CB1234" s="774"/>
      <c r="CC1234" s="78"/>
      <c r="CD1234" s="78"/>
      <c r="CE1234" s="78"/>
      <c r="CF1234" s="78"/>
      <c r="CG1234" s="532"/>
    </row>
    <row r="1235" spans="1:85" s="616" customFormat="1" x14ac:dyDescent="0.3">
      <c r="A1235" s="522" t="s">
        <v>1299</v>
      </c>
      <c r="B1235" s="527"/>
      <c r="C1235" s="1124"/>
      <c r="D1235" s="1124"/>
      <c r="E1235" s="1124"/>
      <c r="F1235" s="1124"/>
      <c r="G1235" s="526"/>
      <c r="H1235" s="526"/>
      <c r="I1235" s="526"/>
      <c r="J1235" s="526"/>
      <c r="K1235" s="1124"/>
      <c r="L1235" s="526"/>
      <c r="M1235" s="526"/>
      <c r="N1235" s="526"/>
      <c r="O1235" s="526"/>
      <c r="P1235" s="1124"/>
      <c r="Q1235" s="526"/>
      <c r="R1235" s="526"/>
      <c r="S1235" s="526"/>
      <c r="T1235" s="526"/>
      <c r="U1235" s="1124"/>
      <c r="V1235" s="526"/>
      <c r="W1235" s="526"/>
      <c r="X1235" s="526"/>
      <c r="Y1235" s="526"/>
      <c r="Z1235" s="1124"/>
      <c r="AA1235" s="526"/>
      <c r="AB1235" s="526"/>
      <c r="AC1235" s="526"/>
      <c r="AD1235" s="526"/>
      <c r="AE1235" s="1124"/>
      <c r="AF1235" s="526"/>
      <c r="AG1235" s="526"/>
      <c r="AH1235" s="526"/>
      <c r="AI1235" s="526"/>
      <c r="AJ1235" s="1124"/>
      <c r="AK1235" s="526"/>
      <c r="AL1235" s="526"/>
      <c r="AM1235" s="526"/>
      <c r="AN1235" s="526"/>
      <c r="AO1235" s="1124"/>
      <c r="AP1235" s="526"/>
      <c r="AQ1235" s="526"/>
      <c r="AR1235" s="526"/>
      <c r="AS1235" s="526"/>
      <c r="AT1235" s="1123">
        <v>97.38</v>
      </c>
      <c r="AU1235" s="526"/>
      <c r="AV1235" s="526"/>
      <c r="AW1235" s="526"/>
      <c r="AX1235" s="526"/>
      <c r="AY1235" s="1123">
        <v>97.38</v>
      </c>
      <c r="AZ1235" s="526"/>
      <c r="BA1235" s="526"/>
      <c r="BB1235" s="526"/>
      <c r="BC1235" s="526"/>
      <c r="BD1235" s="1123">
        <v>97.38</v>
      </c>
      <c r="BE1235" s="526"/>
      <c r="BF1235" s="526"/>
      <c r="BG1235" s="526"/>
      <c r="BH1235" s="526"/>
      <c r="BI1235" s="1123">
        <v>97.38</v>
      </c>
      <c r="BJ1235" s="526"/>
      <c r="BK1235" s="526"/>
      <c r="BL1235" s="526"/>
      <c r="BM1235" s="526"/>
      <c r="BN1235" s="1124"/>
      <c r="BO1235" s="526"/>
      <c r="BP1235" s="526"/>
      <c r="BQ1235" s="526"/>
      <c r="BR1235" s="526"/>
      <c r="BS1235" s="1124"/>
      <c r="BT1235" s="729"/>
      <c r="BU1235" s="526"/>
      <c r="BV1235" s="526"/>
      <c r="BW1235" s="526"/>
      <c r="BX1235" s="1124"/>
      <c r="BY1235" s="526"/>
      <c r="BZ1235" s="526"/>
      <c r="CA1235" s="526"/>
      <c r="CB1235" s="526"/>
      <c r="CC1235" s="1124"/>
      <c r="CD1235" s="1124"/>
      <c r="CE1235" s="1124"/>
      <c r="CF1235" s="1124"/>
      <c r="CG1235" s="533"/>
    </row>
    <row r="1236" spans="1:85" s="614" customFormat="1" x14ac:dyDescent="0.3">
      <c r="A1236" s="522"/>
      <c r="B1236" s="352"/>
      <c r="C1236" s="1094"/>
      <c r="D1236" s="1094"/>
      <c r="E1236" s="1094"/>
      <c r="F1236" s="1094"/>
      <c r="G1236" s="197"/>
      <c r="H1236" s="197"/>
      <c r="I1236" s="197"/>
      <c r="J1236" s="197"/>
      <c r="K1236" s="1094"/>
      <c r="L1236" s="197"/>
      <c r="M1236" s="197"/>
      <c r="N1236" s="197"/>
      <c r="O1236" s="197"/>
      <c r="P1236" s="1094"/>
      <c r="Q1236" s="197"/>
      <c r="R1236" s="197"/>
      <c r="S1236" s="197"/>
      <c r="T1236" s="197"/>
      <c r="U1236" s="1094"/>
      <c r="V1236" s="197"/>
      <c r="W1236" s="197"/>
      <c r="X1236" s="197"/>
      <c r="Y1236" s="197"/>
      <c r="Z1236" s="1094"/>
      <c r="AA1236" s="197"/>
      <c r="AB1236" s="197"/>
      <c r="AC1236" s="197"/>
      <c r="AD1236" s="197"/>
      <c r="AE1236" s="1094"/>
      <c r="AF1236" s="197"/>
      <c r="AG1236" s="197"/>
      <c r="AH1236" s="197"/>
      <c r="AI1236" s="197"/>
      <c r="AJ1236" s="1094"/>
      <c r="AK1236" s="197"/>
      <c r="AL1236" s="197"/>
      <c r="AM1236" s="197"/>
      <c r="AN1236" s="197"/>
      <c r="AO1236" s="1094"/>
      <c r="AP1236" s="197"/>
      <c r="AQ1236" s="197"/>
      <c r="AR1236" s="197"/>
      <c r="AS1236" s="197"/>
      <c r="AT1236" s="198"/>
      <c r="AU1236" s="197"/>
      <c r="AV1236" s="197"/>
      <c r="AW1236" s="197"/>
      <c r="AX1236" s="197"/>
      <c r="AY1236" s="198"/>
      <c r="AZ1236" s="197"/>
      <c r="BA1236" s="197"/>
      <c r="BB1236" s="197"/>
      <c r="BC1236" s="197"/>
      <c r="BD1236" s="198"/>
      <c r="BE1236" s="197"/>
      <c r="BF1236" s="197"/>
      <c r="BG1236" s="197"/>
      <c r="BH1236" s="197"/>
      <c r="BI1236" s="198"/>
      <c r="BJ1236" s="197"/>
      <c r="BK1236" s="197"/>
      <c r="BL1236" s="197"/>
      <c r="BM1236" s="197"/>
      <c r="BN1236" s="198"/>
      <c r="BO1236" s="197"/>
      <c r="BP1236" s="197"/>
      <c r="BQ1236" s="197"/>
      <c r="BR1236" s="197"/>
      <c r="BS1236" s="198"/>
      <c r="BT1236" s="727"/>
      <c r="BU1236" s="197"/>
      <c r="BV1236" s="197"/>
      <c r="BW1236" s="197"/>
      <c r="BX1236" s="1094"/>
      <c r="BY1236" s="197"/>
      <c r="BZ1236" s="197"/>
      <c r="CA1236" s="197"/>
      <c r="CB1236" s="197"/>
      <c r="CC1236" s="1094"/>
      <c r="CD1236" s="1094"/>
      <c r="CE1236" s="1094"/>
      <c r="CF1236" s="1094"/>
      <c r="CG1236" s="349"/>
    </row>
    <row r="1237" spans="1:85" s="613" customFormat="1" x14ac:dyDescent="0.3">
      <c r="A1237" s="478" t="s">
        <v>1298</v>
      </c>
      <c r="B1237" s="523"/>
      <c r="C1237" s="78"/>
      <c r="D1237" s="78"/>
      <c r="E1237" s="78"/>
      <c r="F1237" s="78"/>
      <c r="G1237" s="774"/>
      <c r="H1237" s="774"/>
      <c r="I1237" s="774"/>
      <c r="J1237" s="774"/>
      <c r="K1237" s="78"/>
      <c r="L1237" s="774"/>
      <c r="M1237" s="774"/>
      <c r="N1237" s="774"/>
      <c r="O1237" s="774"/>
      <c r="P1237" s="78"/>
      <c r="Q1237" s="774"/>
      <c r="R1237" s="774"/>
      <c r="S1237" s="774"/>
      <c r="T1237" s="774"/>
      <c r="U1237" s="78"/>
      <c r="V1237" s="774"/>
      <c r="W1237" s="774"/>
      <c r="X1237" s="774"/>
      <c r="Y1237" s="774"/>
      <c r="Z1237" s="78"/>
      <c r="AA1237" s="774"/>
      <c r="AB1237" s="774"/>
      <c r="AC1237" s="774"/>
      <c r="AD1237" s="774"/>
      <c r="AE1237" s="78"/>
      <c r="AF1237" s="774"/>
      <c r="AG1237" s="774"/>
      <c r="AH1237" s="774"/>
      <c r="AI1237" s="774"/>
      <c r="AJ1237" s="78"/>
      <c r="AK1237" s="774"/>
      <c r="AL1237" s="774"/>
      <c r="AM1237" s="774"/>
      <c r="AN1237" s="774"/>
      <c r="AO1237" s="78"/>
      <c r="AP1237" s="774"/>
      <c r="AQ1237" s="774"/>
      <c r="AR1237" s="774"/>
      <c r="AS1237" s="774"/>
      <c r="AT1237" s="1119">
        <v>4.07</v>
      </c>
      <c r="AU1237" s="774"/>
      <c r="AV1237" s="774"/>
      <c r="AW1237" s="774"/>
      <c r="AX1237" s="774"/>
      <c r="AY1237" s="1119">
        <v>4.07</v>
      </c>
      <c r="AZ1237" s="774"/>
      <c r="BA1237" s="774"/>
      <c r="BB1237" s="774"/>
      <c r="BC1237" s="774"/>
      <c r="BD1237" s="1119">
        <v>4.07</v>
      </c>
      <c r="BE1237" s="774"/>
      <c r="BF1237" s="774"/>
      <c r="BG1237" s="774"/>
      <c r="BH1237" s="774"/>
      <c r="BI1237" s="1119">
        <v>4.07</v>
      </c>
      <c r="BJ1237" s="774"/>
      <c r="BK1237" s="774"/>
      <c r="BL1237" s="774"/>
      <c r="BM1237" s="774"/>
      <c r="BN1237" s="78"/>
      <c r="BO1237" s="774"/>
      <c r="BP1237" s="774"/>
      <c r="BQ1237" s="774"/>
      <c r="BR1237" s="774"/>
      <c r="BS1237" s="78"/>
      <c r="BT1237" s="775"/>
      <c r="BU1237" s="774"/>
      <c r="BV1237" s="774"/>
      <c r="BW1237" s="774"/>
      <c r="BX1237" s="78"/>
      <c r="BY1237" s="774"/>
      <c r="BZ1237" s="774"/>
      <c r="CA1237" s="774"/>
      <c r="CB1237" s="774"/>
      <c r="CC1237" s="78"/>
      <c r="CD1237" s="78"/>
      <c r="CE1237" s="78"/>
      <c r="CF1237" s="78"/>
      <c r="CG1237" s="532"/>
    </row>
    <row r="1238" spans="1:85" s="616" customFormat="1" x14ac:dyDescent="0.3">
      <c r="A1238" s="522" t="s">
        <v>1297</v>
      </c>
      <c r="B1238" s="527"/>
      <c r="C1238" s="1124"/>
      <c r="D1238" s="1124"/>
      <c r="E1238" s="1124"/>
      <c r="F1238" s="1124"/>
      <c r="G1238" s="526"/>
      <c r="H1238" s="526"/>
      <c r="I1238" s="526"/>
      <c r="J1238" s="526"/>
      <c r="K1238" s="1124"/>
      <c r="L1238" s="526"/>
      <c r="M1238" s="526"/>
      <c r="N1238" s="526"/>
      <c r="O1238" s="526"/>
      <c r="P1238" s="1124"/>
      <c r="Q1238" s="526"/>
      <c r="R1238" s="526"/>
      <c r="S1238" s="526"/>
      <c r="T1238" s="526"/>
      <c r="U1238" s="1124"/>
      <c r="V1238" s="526"/>
      <c r="W1238" s="526"/>
      <c r="X1238" s="526"/>
      <c r="Y1238" s="526"/>
      <c r="Z1238" s="1124"/>
      <c r="AA1238" s="526"/>
      <c r="AB1238" s="526"/>
      <c r="AC1238" s="526"/>
      <c r="AD1238" s="526"/>
      <c r="AE1238" s="1124"/>
      <c r="AF1238" s="526"/>
      <c r="AG1238" s="526"/>
      <c r="AH1238" s="526"/>
      <c r="AI1238" s="526"/>
      <c r="AJ1238" s="1124"/>
      <c r="AK1238" s="526"/>
      <c r="AL1238" s="526"/>
      <c r="AM1238" s="526"/>
      <c r="AN1238" s="526"/>
      <c r="AO1238" s="1124"/>
      <c r="AP1238" s="526"/>
      <c r="AQ1238" s="526"/>
      <c r="AR1238" s="526"/>
      <c r="AS1238" s="526"/>
      <c r="AT1238" s="1123">
        <v>102.63</v>
      </c>
      <c r="AU1238" s="526"/>
      <c r="AV1238" s="526"/>
      <c r="AW1238" s="526"/>
      <c r="AX1238" s="526"/>
      <c r="AY1238" s="1123">
        <v>102.63</v>
      </c>
      <c r="AZ1238" s="526"/>
      <c r="BA1238" s="526"/>
      <c r="BB1238" s="526"/>
      <c r="BC1238" s="526"/>
      <c r="BD1238" s="1123">
        <v>102.63</v>
      </c>
      <c r="BE1238" s="526"/>
      <c r="BF1238" s="526"/>
      <c r="BG1238" s="526"/>
      <c r="BH1238" s="526"/>
      <c r="BI1238" s="1123">
        <v>102.63</v>
      </c>
      <c r="BJ1238" s="526"/>
      <c r="BK1238" s="526"/>
      <c r="BL1238" s="526"/>
      <c r="BM1238" s="526"/>
      <c r="BN1238" s="1124"/>
      <c r="BO1238" s="526"/>
      <c r="BP1238" s="526"/>
      <c r="BQ1238" s="526"/>
      <c r="BR1238" s="526"/>
      <c r="BS1238" s="1124"/>
      <c r="BT1238" s="729"/>
      <c r="BU1238" s="526"/>
      <c r="BV1238" s="526"/>
      <c r="BW1238" s="526"/>
      <c r="BX1238" s="1124"/>
      <c r="BY1238" s="526"/>
      <c r="BZ1238" s="526"/>
      <c r="CA1238" s="526"/>
      <c r="CB1238" s="526"/>
      <c r="CC1238" s="1124"/>
      <c r="CD1238" s="1124"/>
      <c r="CE1238" s="1124"/>
      <c r="CF1238" s="1124"/>
      <c r="CG1238" s="533"/>
    </row>
    <row r="1239" spans="1:85" s="614" customFormat="1" x14ac:dyDescent="0.3">
      <c r="A1239" s="522"/>
      <c r="B1239" s="352"/>
      <c r="C1239" s="1094"/>
      <c r="D1239" s="1094"/>
      <c r="E1239" s="1094"/>
      <c r="F1239" s="1094"/>
      <c r="G1239" s="197"/>
      <c r="H1239" s="197"/>
      <c r="I1239" s="197"/>
      <c r="J1239" s="197"/>
      <c r="K1239" s="1094"/>
      <c r="L1239" s="197"/>
      <c r="M1239" s="197"/>
      <c r="N1239" s="197"/>
      <c r="O1239" s="197"/>
      <c r="P1239" s="1094"/>
      <c r="Q1239" s="197"/>
      <c r="R1239" s="197"/>
      <c r="S1239" s="197"/>
      <c r="T1239" s="197"/>
      <c r="U1239" s="1094"/>
      <c r="V1239" s="197"/>
      <c r="W1239" s="197"/>
      <c r="X1239" s="197"/>
      <c r="Y1239" s="197"/>
      <c r="Z1239" s="1094"/>
      <c r="AA1239" s="197"/>
      <c r="AB1239" s="197"/>
      <c r="AC1239" s="197"/>
      <c r="AD1239" s="197"/>
      <c r="AE1239" s="1094"/>
      <c r="AF1239" s="197"/>
      <c r="AG1239" s="197"/>
      <c r="AH1239" s="197"/>
      <c r="AI1239" s="197"/>
      <c r="AJ1239" s="1094"/>
      <c r="AK1239" s="197"/>
      <c r="AL1239" s="197"/>
      <c r="AM1239" s="197"/>
      <c r="AN1239" s="197"/>
      <c r="AO1239" s="1094"/>
      <c r="AP1239" s="197"/>
      <c r="AQ1239" s="197"/>
      <c r="AR1239" s="197"/>
      <c r="AS1239" s="197"/>
      <c r="AT1239" s="198"/>
      <c r="AU1239" s="197"/>
      <c r="AV1239" s="197"/>
      <c r="AW1239" s="197"/>
      <c r="AX1239" s="197"/>
      <c r="AY1239" s="198"/>
      <c r="AZ1239" s="197"/>
      <c r="BA1239" s="197"/>
      <c r="BB1239" s="197"/>
      <c r="BC1239" s="197"/>
      <c r="BD1239" s="198"/>
      <c r="BE1239" s="197"/>
      <c r="BF1239" s="197"/>
      <c r="BG1239" s="197"/>
      <c r="BH1239" s="197"/>
      <c r="BI1239" s="198"/>
      <c r="BJ1239" s="197"/>
      <c r="BK1239" s="197"/>
      <c r="BL1239" s="197"/>
      <c r="BM1239" s="197"/>
      <c r="BN1239" s="198"/>
      <c r="BO1239" s="197"/>
      <c r="BP1239" s="197"/>
      <c r="BQ1239" s="197"/>
      <c r="BR1239" s="197"/>
      <c r="BS1239" s="198"/>
      <c r="BT1239" s="727"/>
      <c r="BU1239" s="197"/>
      <c r="BV1239" s="197"/>
      <c r="BW1239" s="197"/>
      <c r="BX1239" s="1094"/>
      <c r="BY1239" s="197"/>
      <c r="BZ1239" s="197"/>
      <c r="CA1239" s="197"/>
      <c r="CB1239" s="197"/>
      <c r="CC1239" s="1094"/>
      <c r="CD1239" s="1094"/>
      <c r="CE1239" s="1094"/>
      <c r="CF1239" s="1094"/>
      <c r="CG1239" s="349"/>
    </row>
    <row r="1240" spans="1:85" s="613" customFormat="1" x14ac:dyDescent="0.3">
      <c r="A1240" s="478" t="s">
        <v>1296</v>
      </c>
      <c r="B1240" s="523"/>
      <c r="C1240" s="78"/>
      <c r="D1240" s="78"/>
      <c r="E1240" s="78"/>
      <c r="F1240" s="78"/>
      <c r="G1240" s="774"/>
      <c r="H1240" s="774"/>
      <c r="I1240" s="774"/>
      <c r="J1240" s="774"/>
      <c r="K1240" s="78"/>
      <c r="L1240" s="774"/>
      <c r="M1240" s="774"/>
      <c r="N1240" s="774"/>
      <c r="O1240" s="774"/>
      <c r="P1240" s="78"/>
      <c r="Q1240" s="774"/>
      <c r="R1240" s="774"/>
      <c r="S1240" s="774"/>
      <c r="T1240" s="774"/>
      <c r="U1240" s="78"/>
      <c r="V1240" s="774"/>
      <c r="W1240" s="774"/>
      <c r="X1240" s="774"/>
      <c r="Y1240" s="774"/>
      <c r="Z1240" s="78"/>
      <c r="AA1240" s="774"/>
      <c r="AB1240" s="774"/>
      <c r="AC1240" s="774"/>
      <c r="AD1240" s="774"/>
      <c r="AE1240" s="78"/>
      <c r="AF1240" s="774"/>
      <c r="AG1240" s="774"/>
      <c r="AH1240" s="774"/>
      <c r="AI1240" s="774"/>
      <c r="AJ1240" s="78"/>
      <c r="AK1240" s="774"/>
      <c r="AL1240" s="774"/>
      <c r="AM1240" s="774"/>
      <c r="AN1240" s="774"/>
      <c r="AO1240" s="78"/>
      <c r="AP1240" s="774"/>
      <c r="AQ1240" s="774"/>
      <c r="AR1240" s="774"/>
      <c r="AS1240" s="774"/>
      <c r="AT1240" s="1119">
        <v>3.387</v>
      </c>
      <c r="AU1240" s="774"/>
      <c r="AV1240" s="774"/>
      <c r="AW1240" s="774"/>
      <c r="AX1240" s="774"/>
      <c r="AY1240" s="1119">
        <v>3.387</v>
      </c>
      <c r="AZ1240" s="774"/>
      <c r="BA1240" s="774"/>
      <c r="BB1240" s="774"/>
      <c r="BC1240" s="774"/>
      <c r="BD1240" s="1119">
        <v>3.387</v>
      </c>
      <c r="BE1240" s="774"/>
      <c r="BF1240" s="774"/>
      <c r="BG1240" s="774"/>
      <c r="BH1240" s="774"/>
      <c r="BI1240" s="1119">
        <v>3.387</v>
      </c>
      <c r="BJ1240" s="774"/>
      <c r="BK1240" s="774"/>
      <c r="BL1240" s="774"/>
      <c r="BM1240" s="774"/>
      <c r="BN1240" s="78"/>
      <c r="BO1240" s="774"/>
      <c r="BP1240" s="774"/>
      <c r="BQ1240" s="774"/>
      <c r="BR1240" s="774"/>
      <c r="BS1240" s="78"/>
      <c r="BT1240" s="775"/>
      <c r="BU1240" s="774"/>
      <c r="BV1240" s="774"/>
      <c r="BW1240" s="774"/>
      <c r="BX1240" s="78"/>
      <c r="BY1240" s="774"/>
      <c r="BZ1240" s="774"/>
      <c r="CA1240" s="774"/>
      <c r="CB1240" s="774"/>
      <c r="CC1240" s="78"/>
      <c r="CD1240" s="78"/>
      <c r="CE1240" s="78"/>
      <c r="CF1240" s="78"/>
      <c r="CG1240" s="532"/>
    </row>
    <row r="1241" spans="1:85" s="616" customFormat="1" x14ac:dyDescent="0.3">
      <c r="A1241" s="522" t="s">
        <v>1295</v>
      </c>
      <c r="B1241" s="527"/>
      <c r="C1241" s="1124"/>
      <c r="D1241" s="1124"/>
      <c r="E1241" s="1124"/>
      <c r="F1241" s="1124"/>
      <c r="G1241" s="526"/>
      <c r="H1241" s="526"/>
      <c r="I1241" s="526"/>
      <c r="J1241" s="526"/>
      <c r="K1241" s="1124"/>
      <c r="L1241" s="526"/>
      <c r="M1241" s="526"/>
      <c r="N1241" s="526"/>
      <c r="O1241" s="526"/>
      <c r="P1241" s="1124"/>
      <c r="Q1241" s="526"/>
      <c r="R1241" s="526"/>
      <c r="S1241" s="526"/>
      <c r="T1241" s="526"/>
      <c r="U1241" s="1124"/>
      <c r="V1241" s="526"/>
      <c r="W1241" s="526"/>
      <c r="X1241" s="526"/>
      <c r="Y1241" s="526"/>
      <c r="Z1241" s="1124"/>
      <c r="AA1241" s="526"/>
      <c r="AB1241" s="526"/>
      <c r="AC1241" s="526"/>
      <c r="AD1241" s="526"/>
      <c r="AE1241" s="1124"/>
      <c r="AF1241" s="526"/>
      <c r="AG1241" s="526"/>
      <c r="AH1241" s="526"/>
      <c r="AI1241" s="526"/>
      <c r="AJ1241" s="1124"/>
      <c r="AK1241" s="526"/>
      <c r="AL1241" s="526"/>
      <c r="AM1241" s="526"/>
      <c r="AN1241" s="526"/>
      <c r="AO1241" s="1124"/>
      <c r="AP1241" s="526"/>
      <c r="AQ1241" s="526"/>
      <c r="AR1241" s="526"/>
      <c r="AS1241" s="526"/>
      <c r="AT1241" s="1123">
        <v>123.3</v>
      </c>
      <c r="AU1241" s="526"/>
      <c r="AV1241" s="526"/>
      <c r="AW1241" s="526"/>
      <c r="AX1241" s="526"/>
      <c r="AY1241" s="1123">
        <v>123.3</v>
      </c>
      <c r="AZ1241" s="526"/>
      <c r="BA1241" s="526"/>
      <c r="BB1241" s="526"/>
      <c r="BC1241" s="526"/>
      <c r="BD1241" s="1123">
        <v>123.3</v>
      </c>
      <c r="BE1241" s="526"/>
      <c r="BF1241" s="526"/>
      <c r="BG1241" s="526"/>
      <c r="BH1241" s="526"/>
      <c r="BI1241" s="1123">
        <v>123.3</v>
      </c>
      <c r="BJ1241" s="526"/>
      <c r="BK1241" s="526"/>
      <c r="BL1241" s="526"/>
      <c r="BM1241" s="526"/>
      <c r="BN1241" s="1124"/>
      <c r="BO1241" s="526"/>
      <c r="BP1241" s="526"/>
      <c r="BQ1241" s="526"/>
      <c r="BR1241" s="526"/>
      <c r="BS1241" s="1124"/>
      <c r="BT1241" s="729"/>
      <c r="BU1241" s="526"/>
      <c r="BV1241" s="526"/>
      <c r="BW1241" s="526"/>
      <c r="BX1241" s="1124"/>
      <c r="BY1241" s="526"/>
      <c r="BZ1241" s="526"/>
      <c r="CA1241" s="526"/>
      <c r="CB1241" s="526"/>
      <c r="CC1241" s="1124"/>
      <c r="CD1241" s="1124"/>
      <c r="CE1241" s="1124"/>
      <c r="CF1241" s="1124"/>
      <c r="CG1241" s="533"/>
    </row>
    <row r="1242" spans="1:85" s="614" customFormat="1" x14ac:dyDescent="0.3">
      <c r="A1242" s="522"/>
      <c r="B1242" s="352"/>
      <c r="C1242" s="1094"/>
      <c r="D1242" s="1094"/>
      <c r="E1242" s="1094"/>
      <c r="F1242" s="1094"/>
      <c r="G1242" s="197"/>
      <c r="H1242" s="197"/>
      <c r="I1242" s="197"/>
      <c r="J1242" s="197"/>
      <c r="K1242" s="1094"/>
      <c r="L1242" s="197"/>
      <c r="M1242" s="197"/>
      <c r="N1242" s="197"/>
      <c r="O1242" s="197"/>
      <c r="P1242" s="1094"/>
      <c r="Q1242" s="197"/>
      <c r="R1242" s="197"/>
      <c r="S1242" s="197"/>
      <c r="T1242" s="197"/>
      <c r="U1242" s="1094"/>
      <c r="V1242" s="197"/>
      <c r="W1242" s="197"/>
      <c r="X1242" s="197"/>
      <c r="Y1242" s="197"/>
      <c r="Z1242" s="1094"/>
      <c r="AA1242" s="197"/>
      <c r="AB1242" s="197"/>
      <c r="AC1242" s="197"/>
      <c r="AD1242" s="197"/>
      <c r="AE1242" s="1094"/>
      <c r="AF1242" s="197"/>
      <c r="AG1242" s="197"/>
      <c r="AH1242" s="197"/>
      <c r="AI1242" s="197"/>
      <c r="AJ1242" s="1094"/>
      <c r="AK1242" s="197"/>
      <c r="AL1242" s="197"/>
      <c r="AM1242" s="197"/>
      <c r="AN1242" s="197"/>
      <c r="AO1242" s="1094"/>
      <c r="AP1242" s="197"/>
      <c r="AQ1242" s="197"/>
      <c r="AR1242" s="197"/>
      <c r="AS1242" s="197"/>
      <c r="AT1242" s="198"/>
      <c r="AU1242" s="197"/>
      <c r="AV1242" s="197"/>
      <c r="AW1242" s="197"/>
      <c r="AX1242" s="197"/>
      <c r="AY1242" s="198"/>
      <c r="AZ1242" s="197"/>
      <c r="BA1242" s="197"/>
      <c r="BB1242" s="197"/>
      <c r="BC1242" s="197"/>
      <c r="BD1242" s="198"/>
      <c r="BE1242" s="197"/>
      <c r="BF1242" s="197"/>
      <c r="BG1242" s="197"/>
      <c r="BH1242" s="197"/>
      <c r="BI1242" s="198"/>
      <c r="BJ1242" s="197"/>
      <c r="BK1242" s="197"/>
      <c r="BL1242" s="197"/>
      <c r="BM1242" s="197"/>
      <c r="BN1242" s="198"/>
      <c r="BO1242" s="197"/>
      <c r="BP1242" s="197"/>
      <c r="BQ1242" s="197"/>
      <c r="BR1242" s="197"/>
      <c r="BS1242" s="198"/>
      <c r="BT1242" s="727"/>
      <c r="BU1242" s="197"/>
      <c r="BV1242" s="197"/>
      <c r="BW1242" s="197"/>
      <c r="BX1242" s="1094"/>
      <c r="BY1242" s="197"/>
      <c r="BZ1242" s="197"/>
      <c r="CA1242" s="197"/>
      <c r="CB1242" s="197"/>
      <c r="CC1242" s="1094"/>
      <c r="CD1242" s="1094"/>
      <c r="CE1242" s="1094"/>
      <c r="CF1242" s="1094"/>
      <c r="CG1242" s="349"/>
    </row>
    <row r="1243" spans="1:85" s="613" customFormat="1" x14ac:dyDescent="0.3">
      <c r="A1243" s="478" t="s">
        <v>1294</v>
      </c>
      <c r="B1243" s="523"/>
      <c r="C1243" s="78"/>
      <c r="D1243" s="78"/>
      <c r="E1243" s="78"/>
      <c r="F1243" s="78"/>
      <c r="G1243" s="774"/>
      <c r="H1243" s="774"/>
      <c r="I1243" s="774"/>
      <c r="J1243" s="774"/>
      <c r="K1243" s="78"/>
      <c r="L1243" s="774"/>
      <c r="M1243" s="774"/>
      <c r="N1243" s="774"/>
      <c r="O1243" s="774"/>
      <c r="P1243" s="78"/>
      <c r="Q1243" s="774"/>
      <c r="R1243" s="774"/>
      <c r="S1243" s="774"/>
      <c r="T1243" s="774"/>
      <c r="U1243" s="78"/>
      <c r="V1243" s="774"/>
      <c r="W1243" s="774"/>
      <c r="X1243" s="774"/>
      <c r="Y1243" s="774"/>
      <c r="Z1243" s="78"/>
      <c r="AA1243" s="774"/>
      <c r="AB1243" s="774"/>
      <c r="AC1243" s="774"/>
      <c r="AD1243" s="774"/>
      <c r="AE1243" s="78"/>
      <c r="AF1243" s="774"/>
      <c r="AG1243" s="774"/>
      <c r="AH1243" s="774"/>
      <c r="AI1243" s="774"/>
      <c r="AJ1243" s="78"/>
      <c r="AK1243" s="774"/>
      <c r="AL1243" s="774"/>
      <c r="AM1243" s="774"/>
      <c r="AN1243" s="774"/>
      <c r="AO1243" s="78"/>
      <c r="AP1243" s="774"/>
      <c r="AQ1243" s="774"/>
      <c r="AR1243" s="774"/>
      <c r="AS1243" s="774"/>
      <c r="AT1243" s="1119">
        <v>3.5640000000000001</v>
      </c>
      <c r="AU1243" s="774"/>
      <c r="AV1243" s="774"/>
      <c r="AW1243" s="774"/>
      <c r="AX1243" s="774"/>
      <c r="AY1243" s="1119">
        <v>3.5640000000000001</v>
      </c>
      <c r="AZ1243" s="774"/>
      <c r="BA1243" s="774"/>
      <c r="BB1243" s="774"/>
      <c r="BC1243" s="774"/>
      <c r="BD1243" s="1119">
        <v>3.5640000000000001</v>
      </c>
      <c r="BE1243" s="774"/>
      <c r="BF1243" s="774"/>
      <c r="BG1243" s="774"/>
      <c r="BH1243" s="774"/>
      <c r="BI1243" s="1119">
        <v>3.5640000000000001</v>
      </c>
      <c r="BJ1243" s="774"/>
      <c r="BK1243" s="774"/>
      <c r="BL1243" s="774"/>
      <c r="BM1243" s="774"/>
      <c r="BN1243" s="78"/>
      <c r="BO1243" s="774"/>
      <c r="BP1243" s="774"/>
      <c r="BQ1243" s="774"/>
      <c r="BR1243" s="774"/>
      <c r="BS1243" s="78"/>
      <c r="BT1243" s="775"/>
      <c r="BU1243" s="774"/>
      <c r="BV1243" s="774"/>
      <c r="BW1243" s="774"/>
      <c r="BX1243" s="78"/>
      <c r="BY1243" s="774"/>
      <c r="BZ1243" s="774"/>
      <c r="CA1243" s="774"/>
      <c r="CB1243" s="774"/>
      <c r="CC1243" s="78"/>
      <c r="CD1243" s="78"/>
      <c r="CE1243" s="78"/>
      <c r="CF1243" s="78"/>
      <c r="CG1243" s="532"/>
    </row>
    <row r="1244" spans="1:85" s="616" customFormat="1" x14ac:dyDescent="0.3">
      <c r="A1244" s="522" t="s">
        <v>1293</v>
      </c>
      <c r="B1244" s="527"/>
      <c r="C1244" s="1124"/>
      <c r="D1244" s="1124"/>
      <c r="E1244" s="1124"/>
      <c r="F1244" s="1124"/>
      <c r="G1244" s="526"/>
      <c r="H1244" s="526"/>
      <c r="I1244" s="526"/>
      <c r="J1244" s="526"/>
      <c r="K1244" s="1124"/>
      <c r="L1244" s="526"/>
      <c r="M1244" s="526"/>
      <c r="N1244" s="526"/>
      <c r="O1244" s="526"/>
      <c r="P1244" s="1124"/>
      <c r="Q1244" s="526"/>
      <c r="R1244" s="526"/>
      <c r="S1244" s="526"/>
      <c r="T1244" s="526"/>
      <c r="U1244" s="1124"/>
      <c r="V1244" s="526"/>
      <c r="W1244" s="526"/>
      <c r="X1244" s="526"/>
      <c r="Y1244" s="526"/>
      <c r="Z1244" s="1124"/>
      <c r="AA1244" s="526"/>
      <c r="AB1244" s="526"/>
      <c r="AC1244" s="526"/>
      <c r="AD1244" s="526"/>
      <c r="AE1244" s="1124"/>
      <c r="AF1244" s="526"/>
      <c r="AG1244" s="526"/>
      <c r="AH1244" s="526"/>
      <c r="AI1244" s="526"/>
      <c r="AJ1244" s="1124"/>
      <c r="AK1244" s="526"/>
      <c r="AL1244" s="526"/>
      <c r="AM1244" s="526"/>
      <c r="AN1244" s="526"/>
      <c r="AO1244" s="1124"/>
      <c r="AP1244" s="526"/>
      <c r="AQ1244" s="526"/>
      <c r="AR1244" s="526"/>
      <c r="AS1244" s="526"/>
      <c r="AT1244" s="1123">
        <v>117.22</v>
      </c>
      <c r="AU1244" s="526"/>
      <c r="AV1244" s="526"/>
      <c r="AW1244" s="526"/>
      <c r="AX1244" s="526"/>
      <c r="AY1244" s="1123">
        <v>117.22</v>
      </c>
      <c r="AZ1244" s="526"/>
      <c r="BA1244" s="526"/>
      <c r="BB1244" s="526"/>
      <c r="BC1244" s="526"/>
      <c r="BD1244" s="1123">
        <v>117.22</v>
      </c>
      <c r="BE1244" s="526"/>
      <c r="BF1244" s="526"/>
      <c r="BG1244" s="526"/>
      <c r="BH1244" s="526"/>
      <c r="BI1244" s="1123">
        <v>117.22</v>
      </c>
      <c r="BJ1244" s="526"/>
      <c r="BK1244" s="526"/>
      <c r="BL1244" s="526"/>
      <c r="BM1244" s="526"/>
      <c r="BN1244" s="1124"/>
      <c r="BO1244" s="526"/>
      <c r="BP1244" s="526"/>
      <c r="BQ1244" s="526"/>
      <c r="BR1244" s="526"/>
      <c r="BS1244" s="1124"/>
      <c r="BT1244" s="729"/>
      <c r="BU1244" s="526"/>
      <c r="BV1244" s="526"/>
      <c r="BW1244" s="526"/>
      <c r="BX1244" s="1124"/>
      <c r="BY1244" s="526"/>
      <c r="BZ1244" s="526"/>
      <c r="CA1244" s="526"/>
      <c r="CB1244" s="526"/>
      <c r="CC1244" s="1124"/>
      <c r="CD1244" s="1124"/>
      <c r="CE1244" s="1124"/>
      <c r="CF1244" s="1124"/>
      <c r="CG1244" s="533"/>
    </row>
    <row r="1245" spans="1:85" s="614" customFormat="1" x14ac:dyDescent="0.3">
      <c r="A1245" s="224"/>
      <c r="B1245" s="352"/>
      <c r="C1245" s="1094"/>
      <c r="D1245" s="1094"/>
      <c r="E1245" s="1094"/>
      <c r="F1245" s="1094"/>
      <c r="G1245" s="197"/>
      <c r="H1245" s="197"/>
      <c r="I1245" s="197"/>
      <c r="J1245" s="197"/>
      <c r="K1245" s="1094"/>
      <c r="L1245" s="197"/>
      <c r="M1245" s="197"/>
      <c r="N1245" s="197"/>
      <c r="O1245" s="197"/>
      <c r="P1245" s="1094"/>
      <c r="Q1245" s="197"/>
      <c r="R1245" s="197"/>
      <c r="S1245" s="197"/>
      <c r="T1245" s="197"/>
      <c r="U1245" s="1094"/>
      <c r="V1245" s="197"/>
      <c r="W1245" s="197"/>
      <c r="X1245" s="197"/>
      <c r="Y1245" s="197"/>
      <c r="Z1245" s="1094"/>
      <c r="AA1245" s="197"/>
      <c r="AB1245" s="197"/>
      <c r="AC1245" s="197"/>
      <c r="AD1245" s="197"/>
      <c r="AE1245" s="1094"/>
      <c r="AF1245" s="197"/>
      <c r="AG1245" s="197"/>
      <c r="AH1245" s="197"/>
      <c r="AI1245" s="197"/>
      <c r="AJ1245" s="1094"/>
      <c r="AK1245" s="197"/>
      <c r="AL1245" s="197"/>
      <c r="AM1245" s="197"/>
      <c r="AN1245" s="197"/>
      <c r="AO1245" s="1094"/>
      <c r="AP1245" s="197"/>
      <c r="AQ1245" s="197"/>
      <c r="AR1245" s="197"/>
      <c r="AS1245" s="197"/>
      <c r="AT1245" s="198"/>
      <c r="AU1245" s="197"/>
      <c r="AV1245" s="197"/>
      <c r="AW1245" s="197"/>
      <c r="AX1245" s="197"/>
      <c r="AY1245" s="198"/>
      <c r="AZ1245" s="197"/>
      <c r="BA1245" s="197"/>
      <c r="BB1245" s="197"/>
      <c r="BC1245" s="197"/>
      <c r="BD1245" s="198"/>
      <c r="BE1245" s="197"/>
      <c r="BF1245" s="197"/>
      <c r="BG1245" s="197"/>
      <c r="BH1245" s="197"/>
      <c r="BI1245" s="198"/>
      <c r="BJ1245" s="197"/>
      <c r="BK1245" s="197"/>
      <c r="BL1245" s="197"/>
      <c r="BM1245" s="197"/>
      <c r="BN1245" s="198"/>
      <c r="BO1245" s="197"/>
      <c r="BP1245" s="197"/>
      <c r="BQ1245" s="197"/>
      <c r="BR1245" s="197"/>
      <c r="BS1245" s="198"/>
      <c r="BT1245" s="727"/>
      <c r="BU1245" s="197"/>
      <c r="BV1245" s="197"/>
      <c r="BW1245" s="197"/>
      <c r="BX1245" s="1094"/>
      <c r="BY1245" s="197"/>
      <c r="BZ1245" s="197"/>
      <c r="CA1245" s="197"/>
      <c r="CB1245" s="197"/>
      <c r="CC1245" s="1094"/>
      <c r="CD1245" s="1094"/>
      <c r="CE1245" s="1094"/>
      <c r="CF1245" s="1094"/>
      <c r="CG1245" s="349"/>
    </row>
    <row r="1246" spans="1:85" s="613" customFormat="1" x14ac:dyDescent="0.3">
      <c r="A1246" s="478" t="s">
        <v>1292</v>
      </c>
      <c r="B1246" s="523"/>
      <c r="C1246" s="78"/>
      <c r="D1246" s="78"/>
      <c r="E1246" s="78"/>
      <c r="F1246" s="78"/>
      <c r="G1246" s="774"/>
      <c r="H1246" s="774"/>
      <c r="I1246" s="774"/>
      <c r="J1246" s="774"/>
      <c r="K1246" s="78"/>
      <c r="L1246" s="774"/>
      <c r="M1246" s="774"/>
      <c r="N1246" s="774"/>
      <c r="O1246" s="774"/>
      <c r="P1246" s="78"/>
      <c r="Q1246" s="774"/>
      <c r="R1246" s="774"/>
      <c r="S1246" s="774"/>
      <c r="T1246" s="774"/>
      <c r="U1246" s="78"/>
      <c r="V1246" s="774"/>
      <c r="W1246" s="774"/>
      <c r="X1246" s="774"/>
      <c r="Y1246" s="774"/>
      <c r="Z1246" s="78"/>
      <c r="AA1246" s="774"/>
      <c r="AB1246" s="774"/>
      <c r="AC1246" s="774"/>
      <c r="AD1246" s="774"/>
      <c r="AE1246" s="78"/>
      <c r="AF1246" s="774"/>
      <c r="AG1246" s="774"/>
      <c r="AH1246" s="774"/>
      <c r="AI1246" s="774"/>
      <c r="AJ1246" s="78"/>
      <c r="AK1246" s="774"/>
      <c r="AL1246" s="774"/>
      <c r="AM1246" s="774"/>
      <c r="AN1246" s="774"/>
      <c r="AO1246" s="78"/>
      <c r="AP1246" s="774"/>
      <c r="AQ1246" s="774"/>
      <c r="AR1246" s="774"/>
      <c r="AS1246" s="774"/>
      <c r="AT1246" s="1119">
        <v>3.2759999999999998</v>
      </c>
      <c r="AU1246" s="774"/>
      <c r="AV1246" s="774"/>
      <c r="AW1246" s="774"/>
      <c r="AX1246" s="774"/>
      <c r="AY1246" s="1119">
        <v>3.2759999999999998</v>
      </c>
      <c r="AZ1246" s="774"/>
      <c r="BA1246" s="774"/>
      <c r="BB1246" s="774"/>
      <c r="BC1246" s="774"/>
      <c r="BD1246" s="1119">
        <v>3.2759999999999998</v>
      </c>
      <c r="BE1246" s="774"/>
      <c r="BF1246" s="774"/>
      <c r="BG1246" s="774"/>
      <c r="BH1246" s="774"/>
      <c r="BI1246" s="1119">
        <v>3.2759999999999998</v>
      </c>
      <c r="BJ1246" s="774"/>
      <c r="BK1246" s="774"/>
      <c r="BL1246" s="774"/>
      <c r="BM1246" s="774"/>
      <c r="BN1246" s="78"/>
      <c r="BO1246" s="774"/>
      <c r="BP1246" s="774"/>
      <c r="BQ1246" s="774"/>
      <c r="BR1246" s="774"/>
      <c r="BS1246" s="78"/>
      <c r="BT1246" s="775"/>
      <c r="BU1246" s="774"/>
      <c r="BV1246" s="774"/>
      <c r="BW1246" s="774"/>
      <c r="BX1246" s="78"/>
      <c r="BY1246" s="774"/>
      <c r="BZ1246" s="774"/>
      <c r="CA1246" s="774"/>
      <c r="CB1246" s="774"/>
      <c r="CC1246" s="78"/>
      <c r="CD1246" s="78"/>
      <c r="CE1246" s="78"/>
      <c r="CF1246" s="78"/>
      <c r="CG1246" s="532"/>
    </row>
    <row r="1247" spans="1:85" s="616" customFormat="1" x14ac:dyDescent="0.3">
      <c r="A1247" s="522" t="s">
        <v>1291</v>
      </c>
      <c r="B1247" s="527"/>
      <c r="C1247" s="1124"/>
      <c r="D1247" s="1124"/>
      <c r="E1247" s="1124"/>
      <c r="F1247" s="1124"/>
      <c r="G1247" s="526"/>
      <c r="H1247" s="526"/>
      <c r="I1247" s="526"/>
      <c r="J1247" s="526"/>
      <c r="K1247" s="1124"/>
      <c r="L1247" s="526"/>
      <c r="M1247" s="526"/>
      <c r="N1247" s="526"/>
      <c r="O1247" s="526"/>
      <c r="P1247" s="1124"/>
      <c r="Q1247" s="526"/>
      <c r="R1247" s="526"/>
      <c r="S1247" s="526"/>
      <c r="T1247" s="526"/>
      <c r="U1247" s="1124"/>
      <c r="V1247" s="526"/>
      <c r="W1247" s="526"/>
      <c r="X1247" s="526"/>
      <c r="Y1247" s="526"/>
      <c r="Z1247" s="1124"/>
      <c r="AA1247" s="526"/>
      <c r="AB1247" s="526"/>
      <c r="AC1247" s="526"/>
      <c r="AD1247" s="526"/>
      <c r="AE1247" s="1124"/>
      <c r="AF1247" s="526"/>
      <c r="AG1247" s="526"/>
      <c r="AH1247" s="526"/>
      <c r="AI1247" s="526"/>
      <c r="AJ1247" s="1124"/>
      <c r="AK1247" s="526"/>
      <c r="AL1247" s="526"/>
      <c r="AM1247" s="526"/>
      <c r="AN1247" s="526"/>
      <c r="AO1247" s="1124"/>
      <c r="AP1247" s="526"/>
      <c r="AQ1247" s="526"/>
      <c r="AR1247" s="526"/>
      <c r="AS1247" s="526"/>
      <c r="AT1247" s="1123">
        <v>127.49</v>
      </c>
      <c r="AU1247" s="526"/>
      <c r="AV1247" s="526"/>
      <c r="AW1247" s="526"/>
      <c r="AX1247" s="526"/>
      <c r="AY1247" s="1123">
        <v>127.49</v>
      </c>
      <c r="AZ1247" s="526"/>
      <c r="BA1247" s="526"/>
      <c r="BB1247" s="526"/>
      <c r="BC1247" s="526"/>
      <c r="BD1247" s="1123">
        <v>127.49</v>
      </c>
      <c r="BE1247" s="526"/>
      <c r="BF1247" s="526"/>
      <c r="BG1247" s="526"/>
      <c r="BH1247" s="526"/>
      <c r="BI1247" s="1123">
        <v>127.49</v>
      </c>
      <c r="BJ1247" s="526"/>
      <c r="BK1247" s="526"/>
      <c r="BL1247" s="526"/>
      <c r="BM1247" s="526"/>
      <c r="BN1247" s="1124"/>
      <c r="BO1247" s="526"/>
      <c r="BP1247" s="526"/>
      <c r="BQ1247" s="526"/>
      <c r="BR1247" s="526"/>
      <c r="BS1247" s="1124"/>
      <c r="BT1247" s="729"/>
      <c r="BU1247" s="526"/>
      <c r="BV1247" s="526"/>
      <c r="BW1247" s="526"/>
      <c r="BX1247" s="1124"/>
      <c r="BY1247" s="526"/>
      <c r="BZ1247" s="526"/>
      <c r="CA1247" s="526"/>
      <c r="CB1247" s="526"/>
      <c r="CC1247" s="1124"/>
      <c r="CD1247" s="1124"/>
      <c r="CE1247" s="1124"/>
      <c r="CF1247" s="1124"/>
      <c r="CG1247" s="533"/>
    </row>
    <row r="1248" spans="1:85" s="614" customFormat="1" x14ac:dyDescent="0.3">
      <c r="A1248" s="522"/>
      <c r="B1248" s="352"/>
      <c r="C1248" s="1094"/>
      <c r="D1248" s="1094"/>
      <c r="E1248" s="1094"/>
      <c r="F1248" s="1094"/>
      <c r="G1248" s="197"/>
      <c r="H1248" s="197"/>
      <c r="I1248" s="197"/>
      <c r="J1248" s="197"/>
      <c r="K1248" s="1094"/>
      <c r="L1248" s="197"/>
      <c r="M1248" s="197"/>
      <c r="N1248" s="197"/>
      <c r="O1248" s="197"/>
      <c r="P1248" s="1094"/>
      <c r="Q1248" s="197"/>
      <c r="R1248" s="197"/>
      <c r="S1248" s="197"/>
      <c r="T1248" s="197"/>
      <c r="U1248" s="1094"/>
      <c r="V1248" s="197"/>
      <c r="W1248" s="197"/>
      <c r="X1248" s="197"/>
      <c r="Y1248" s="197"/>
      <c r="Z1248" s="1094"/>
      <c r="AA1248" s="197"/>
      <c r="AB1248" s="197"/>
      <c r="AC1248" s="197"/>
      <c r="AD1248" s="197"/>
      <c r="AE1248" s="1094"/>
      <c r="AF1248" s="197"/>
      <c r="AG1248" s="197"/>
      <c r="AH1248" s="197"/>
      <c r="AI1248" s="197"/>
      <c r="AJ1248" s="1094"/>
      <c r="AK1248" s="197"/>
      <c r="AL1248" s="197"/>
      <c r="AM1248" s="197"/>
      <c r="AN1248" s="197"/>
      <c r="AO1248" s="1094"/>
      <c r="AP1248" s="197"/>
      <c r="AQ1248" s="197"/>
      <c r="AR1248" s="197"/>
      <c r="AS1248" s="197"/>
      <c r="AT1248" s="198"/>
      <c r="AU1248" s="197"/>
      <c r="AV1248" s="197"/>
      <c r="AW1248" s="197"/>
      <c r="AX1248" s="197"/>
      <c r="AY1248" s="198"/>
      <c r="AZ1248" s="197"/>
      <c r="BA1248" s="197"/>
      <c r="BB1248" s="197"/>
      <c r="BC1248" s="197"/>
      <c r="BD1248" s="198"/>
      <c r="BE1248" s="197"/>
      <c r="BF1248" s="197"/>
      <c r="BG1248" s="197"/>
      <c r="BH1248" s="197"/>
      <c r="BI1248" s="198"/>
      <c r="BJ1248" s="197"/>
      <c r="BK1248" s="197"/>
      <c r="BL1248" s="197"/>
      <c r="BM1248" s="197"/>
      <c r="BN1248" s="198"/>
      <c r="BO1248" s="197"/>
      <c r="BP1248" s="197"/>
      <c r="BQ1248" s="197"/>
      <c r="BR1248" s="197"/>
      <c r="BS1248" s="198"/>
      <c r="BT1248" s="727"/>
      <c r="BU1248" s="197"/>
      <c r="BV1248" s="197"/>
      <c r="BW1248" s="197"/>
      <c r="BX1248" s="1094"/>
      <c r="BY1248" s="197"/>
      <c r="BZ1248" s="197"/>
      <c r="CA1248" s="197"/>
      <c r="CB1248" s="197"/>
      <c r="CC1248" s="1094"/>
      <c r="CD1248" s="1094"/>
      <c r="CE1248" s="1094"/>
      <c r="CF1248" s="1094"/>
      <c r="CG1248" s="349"/>
    </row>
    <row r="1249" spans="1:85" s="613" customFormat="1" x14ac:dyDescent="0.3">
      <c r="A1249" s="478" t="s">
        <v>1290</v>
      </c>
      <c r="B1249" s="523"/>
      <c r="C1249" s="78"/>
      <c r="D1249" s="78"/>
      <c r="E1249" s="78"/>
      <c r="F1249" s="78"/>
      <c r="G1249" s="774"/>
      <c r="H1249" s="774"/>
      <c r="I1249" s="774"/>
      <c r="J1249" s="774"/>
      <c r="K1249" s="78"/>
      <c r="L1249" s="774"/>
      <c r="M1249" s="774"/>
      <c r="N1249" s="774"/>
      <c r="O1249" s="774"/>
      <c r="P1249" s="78"/>
      <c r="Q1249" s="774"/>
      <c r="R1249" s="774"/>
      <c r="S1249" s="774"/>
      <c r="T1249" s="774"/>
      <c r="U1249" s="78"/>
      <c r="V1249" s="774"/>
      <c r="W1249" s="774"/>
      <c r="X1249" s="774"/>
      <c r="Y1249" s="774"/>
      <c r="Z1249" s="78"/>
      <c r="AA1249" s="774"/>
      <c r="AB1249" s="774"/>
      <c r="AC1249" s="774"/>
      <c r="AD1249" s="774"/>
      <c r="AE1249" s="78"/>
      <c r="AF1249" s="774"/>
      <c r="AG1249" s="774"/>
      <c r="AH1249" s="774"/>
      <c r="AI1249" s="774"/>
      <c r="AJ1249" s="78"/>
      <c r="AK1249" s="774"/>
      <c r="AL1249" s="774"/>
      <c r="AM1249" s="774"/>
      <c r="AN1249" s="774"/>
      <c r="AO1249" s="78"/>
      <c r="AP1249" s="774"/>
      <c r="AQ1249" s="774"/>
      <c r="AR1249" s="774"/>
      <c r="AS1249" s="774"/>
      <c r="AT1249" s="1119">
        <v>1.798</v>
      </c>
      <c r="AU1249" s="774"/>
      <c r="AV1249" s="774"/>
      <c r="AW1249" s="774"/>
      <c r="AX1249" s="774"/>
      <c r="AY1249" s="1119">
        <v>1.798</v>
      </c>
      <c r="AZ1249" s="774"/>
      <c r="BA1249" s="774"/>
      <c r="BB1249" s="774"/>
      <c r="BC1249" s="774"/>
      <c r="BD1249" s="1119">
        <v>1.798</v>
      </c>
      <c r="BE1249" s="774"/>
      <c r="BF1249" s="774"/>
      <c r="BG1249" s="774"/>
      <c r="BH1249" s="774"/>
      <c r="BI1249" s="1119">
        <v>1.798</v>
      </c>
      <c r="BJ1249" s="774"/>
      <c r="BK1249" s="774"/>
      <c r="BL1249" s="774"/>
      <c r="BM1249" s="774"/>
      <c r="BN1249" s="78"/>
      <c r="BO1249" s="774"/>
      <c r="BP1249" s="774"/>
      <c r="BQ1249" s="774"/>
      <c r="BR1249" s="774"/>
      <c r="BS1249" s="78"/>
      <c r="BT1249" s="775"/>
      <c r="BU1249" s="774"/>
      <c r="BV1249" s="774"/>
      <c r="BW1249" s="774"/>
      <c r="BX1249" s="78"/>
      <c r="BY1249" s="774"/>
      <c r="BZ1249" s="774"/>
      <c r="CA1249" s="774"/>
      <c r="CB1249" s="774"/>
      <c r="CC1249" s="78"/>
      <c r="CD1249" s="78"/>
      <c r="CE1249" s="78"/>
      <c r="CF1249" s="78"/>
      <c r="CG1249" s="532"/>
    </row>
    <row r="1250" spans="1:85" s="616" customFormat="1" x14ac:dyDescent="0.3">
      <c r="A1250" s="522" t="s">
        <v>1289</v>
      </c>
      <c r="B1250" s="527"/>
      <c r="C1250" s="1124"/>
      <c r="D1250" s="1124"/>
      <c r="E1250" s="1124"/>
      <c r="F1250" s="1124"/>
      <c r="G1250" s="526"/>
      <c r="H1250" s="526"/>
      <c r="I1250" s="526"/>
      <c r="J1250" s="526"/>
      <c r="K1250" s="1124"/>
      <c r="L1250" s="526"/>
      <c r="M1250" s="526"/>
      <c r="N1250" s="526"/>
      <c r="O1250" s="526"/>
      <c r="P1250" s="1124"/>
      <c r="Q1250" s="526"/>
      <c r="R1250" s="526"/>
      <c r="S1250" s="526"/>
      <c r="T1250" s="526"/>
      <c r="U1250" s="1124"/>
      <c r="V1250" s="526"/>
      <c r="W1250" s="526"/>
      <c r="X1250" s="526"/>
      <c r="Y1250" s="526"/>
      <c r="Z1250" s="1124"/>
      <c r="AA1250" s="526"/>
      <c r="AB1250" s="526"/>
      <c r="AC1250" s="526"/>
      <c r="AD1250" s="526"/>
      <c r="AE1250" s="1124"/>
      <c r="AF1250" s="526"/>
      <c r="AG1250" s="526"/>
      <c r="AH1250" s="526"/>
      <c r="AI1250" s="526"/>
      <c r="AJ1250" s="1124"/>
      <c r="AK1250" s="526"/>
      <c r="AL1250" s="526"/>
      <c r="AM1250" s="526"/>
      <c r="AN1250" s="526"/>
      <c r="AO1250" s="1124"/>
      <c r="AP1250" s="526"/>
      <c r="AQ1250" s="526"/>
      <c r="AR1250" s="526"/>
      <c r="AS1250" s="526"/>
      <c r="AT1250" s="1123">
        <v>140.78</v>
      </c>
      <c r="AU1250" s="526"/>
      <c r="AV1250" s="526"/>
      <c r="AW1250" s="526"/>
      <c r="AX1250" s="526"/>
      <c r="AY1250" s="1123">
        <v>140.78</v>
      </c>
      <c r="AZ1250" s="526"/>
      <c r="BA1250" s="526"/>
      <c r="BB1250" s="526"/>
      <c r="BC1250" s="526"/>
      <c r="BD1250" s="1123">
        <v>140.78</v>
      </c>
      <c r="BE1250" s="526"/>
      <c r="BF1250" s="526"/>
      <c r="BG1250" s="526"/>
      <c r="BH1250" s="526"/>
      <c r="BI1250" s="1123">
        <v>140.78</v>
      </c>
      <c r="BJ1250" s="526"/>
      <c r="BK1250" s="526"/>
      <c r="BL1250" s="526"/>
      <c r="BM1250" s="526"/>
      <c r="BN1250" s="1124"/>
      <c r="BO1250" s="526"/>
      <c r="BP1250" s="526"/>
      <c r="BQ1250" s="526"/>
      <c r="BR1250" s="526"/>
      <c r="BS1250" s="1124"/>
      <c r="BT1250" s="729"/>
      <c r="BU1250" s="526"/>
      <c r="BV1250" s="526"/>
      <c r="BW1250" s="526"/>
      <c r="BX1250" s="1124"/>
      <c r="BY1250" s="526"/>
      <c r="BZ1250" s="526"/>
      <c r="CA1250" s="526"/>
      <c r="CB1250" s="526"/>
      <c r="CC1250" s="1124"/>
      <c r="CD1250" s="1124"/>
      <c r="CE1250" s="1124"/>
      <c r="CF1250" s="1124"/>
      <c r="CG1250" s="533"/>
    </row>
    <row r="1251" spans="1:85" s="614" customFormat="1" x14ac:dyDescent="0.3">
      <c r="A1251" s="522"/>
      <c r="B1251" s="352"/>
      <c r="C1251" s="1094"/>
      <c r="D1251" s="1094"/>
      <c r="E1251" s="1094"/>
      <c r="F1251" s="1094"/>
      <c r="G1251" s="197"/>
      <c r="H1251" s="197"/>
      <c r="I1251" s="197"/>
      <c r="J1251" s="197"/>
      <c r="K1251" s="1094"/>
      <c r="L1251" s="197"/>
      <c r="M1251" s="197"/>
      <c r="N1251" s="197"/>
      <c r="O1251" s="197"/>
      <c r="P1251" s="1094"/>
      <c r="Q1251" s="197"/>
      <c r="R1251" s="197"/>
      <c r="S1251" s="197"/>
      <c r="T1251" s="197"/>
      <c r="U1251" s="1094"/>
      <c r="V1251" s="197"/>
      <c r="W1251" s="197"/>
      <c r="X1251" s="197"/>
      <c r="Y1251" s="197"/>
      <c r="Z1251" s="1094"/>
      <c r="AA1251" s="197"/>
      <c r="AB1251" s="197"/>
      <c r="AC1251" s="197"/>
      <c r="AD1251" s="197"/>
      <c r="AE1251" s="1094"/>
      <c r="AF1251" s="197"/>
      <c r="AG1251" s="197"/>
      <c r="AH1251" s="197"/>
      <c r="AI1251" s="197"/>
      <c r="AJ1251" s="1094"/>
      <c r="AK1251" s="197"/>
      <c r="AL1251" s="197"/>
      <c r="AM1251" s="197"/>
      <c r="AN1251" s="197"/>
      <c r="AO1251" s="1094"/>
      <c r="AP1251" s="197"/>
      <c r="AQ1251" s="197"/>
      <c r="AR1251" s="197"/>
      <c r="AS1251" s="197"/>
      <c r="AT1251" s="198"/>
      <c r="AU1251" s="197"/>
      <c r="AV1251" s="197"/>
      <c r="AW1251" s="197"/>
      <c r="AX1251" s="197"/>
      <c r="AY1251" s="198"/>
      <c r="AZ1251" s="197"/>
      <c r="BA1251" s="197"/>
      <c r="BB1251" s="197"/>
      <c r="BC1251" s="197"/>
      <c r="BD1251" s="198"/>
      <c r="BE1251" s="197"/>
      <c r="BF1251" s="197"/>
      <c r="BG1251" s="197"/>
      <c r="BH1251" s="197"/>
      <c r="BI1251" s="198"/>
      <c r="BJ1251" s="197"/>
      <c r="BK1251" s="197"/>
      <c r="BL1251" s="197"/>
      <c r="BM1251" s="197"/>
      <c r="BN1251" s="198"/>
      <c r="BO1251" s="197"/>
      <c r="BP1251" s="197"/>
      <c r="BQ1251" s="197"/>
      <c r="BR1251" s="197"/>
      <c r="BS1251" s="198"/>
      <c r="BT1251" s="727"/>
      <c r="BU1251" s="197"/>
      <c r="BV1251" s="197"/>
      <c r="BW1251" s="197"/>
      <c r="BX1251" s="1094"/>
      <c r="BY1251" s="197"/>
      <c r="BZ1251" s="197"/>
      <c r="CA1251" s="197"/>
      <c r="CB1251" s="197"/>
      <c r="CC1251" s="1094"/>
      <c r="CD1251" s="1094"/>
      <c r="CE1251" s="1094"/>
      <c r="CF1251" s="1094"/>
      <c r="CG1251" s="349"/>
    </row>
    <row r="1252" spans="1:85" s="613" customFormat="1" x14ac:dyDescent="0.3">
      <c r="A1252" s="478" t="s">
        <v>1288</v>
      </c>
      <c r="B1252" s="523"/>
      <c r="C1252" s="78"/>
      <c r="D1252" s="78"/>
      <c r="E1252" s="78"/>
      <c r="F1252" s="78"/>
      <c r="G1252" s="774"/>
      <c r="H1252" s="774"/>
      <c r="I1252" s="774"/>
      <c r="J1252" s="774"/>
      <c r="K1252" s="78"/>
      <c r="L1252" s="774"/>
      <c r="M1252" s="774"/>
      <c r="N1252" s="774"/>
      <c r="O1252" s="774"/>
      <c r="P1252" s="78"/>
      <c r="Q1252" s="774"/>
      <c r="R1252" s="774"/>
      <c r="S1252" s="774"/>
      <c r="T1252" s="774"/>
      <c r="U1252" s="78"/>
      <c r="V1252" s="774"/>
      <c r="W1252" s="774"/>
      <c r="X1252" s="774"/>
      <c r="Y1252" s="774"/>
      <c r="Z1252" s="78"/>
      <c r="AA1252" s="774"/>
      <c r="AB1252" s="774"/>
      <c r="AC1252" s="774"/>
      <c r="AD1252" s="774"/>
      <c r="AE1252" s="78"/>
      <c r="AF1252" s="774"/>
      <c r="AG1252" s="774"/>
      <c r="AH1252" s="774"/>
      <c r="AI1252" s="774"/>
      <c r="AJ1252" s="78"/>
      <c r="AK1252" s="774"/>
      <c r="AL1252" s="774"/>
      <c r="AM1252" s="774"/>
      <c r="AN1252" s="774"/>
      <c r="AO1252" s="78"/>
      <c r="AP1252" s="774"/>
      <c r="AQ1252" s="774"/>
      <c r="AR1252" s="774"/>
      <c r="AS1252" s="774"/>
      <c r="AT1252" s="1119">
        <v>1.7749999999999999</v>
      </c>
      <c r="AU1252" s="774"/>
      <c r="AV1252" s="774"/>
      <c r="AW1252" s="774"/>
      <c r="AX1252" s="774"/>
      <c r="AY1252" s="1119">
        <v>1.7749999999999999</v>
      </c>
      <c r="AZ1252" s="774"/>
      <c r="BA1252" s="774"/>
      <c r="BB1252" s="774"/>
      <c r="BC1252" s="774"/>
      <c r="BD1252" s="1119">
        <v>1.7749999999999999</v>
      </c>
      <c r="BE1252" s="774"/>
      <c r="BF1252" s="774"/>
      <c r="BG1252" s="774"/>
      <c r="BH1252" s="774"/>
      <c r="BI1252" s="1119">
        <v>1.7749999999999999</v>
      </c>
      <c r="BJ1252" s="774"/>
      <c r="BK1252" s="774"/>
      <c r="BL1252" s="774"/>
      <c r="BM1252" s="774"/>
      <c r="BN1252" s="78"/>
      <c r="BO1252" s="774"/>
      <c r="BP1252" s="774"/>
      <c r="BQ1252" s="774"/>
      <c r="BR1252" s="774"/>
      <c r="BS1252" s="78"/>
      <c r="BT1252" s="775"/>
      <c r="BU1252" s="774"/>
      <c r="BV1252" s="774"/>
      <c r="BW1252" s="774"/>
      <c r="BX1252" s="78"/>
      <c r="BY1252" s="774"/>
      <c r="BZ1252" s="774"/>
      <c r="CA1252" s="774"/>
      <c r="CB1252" s="774"/>
      <c r="CC1252" s="78"/>
      <c r="CD1252" s="78"/>
      <c r="CE1252" s="78"/>
      <c r="CF1252" s="78"/>
      <c r="CG1252" s="532"/>
    </row>
    <row r="1253" spans="1:85" s="616" customFormat="1" x14ac:dyDescent="0.3">
      <c r="A1253" s="522" t="s">
        <v>1287</v>
      </c>
      <c r="B1253" s="527"/>
      <c r="C1253" s="1124"/>
      <c r="D1253" s="1124"/>
      <c r="E1253" s="1124"/>
      <c r="F1253" s="1124"/>
      <c r="G1253" s="526"/>
      <c r="H1253" s="526"/>
      <c r="I1253" s="526"/>
      <c r="J1253" s="526"/>
      <c r="K1253" s="1124"/>
      <c r="L1253" s="526"/>
      <c r="M1253" s="526"/>
      <c r="N1253" s="526"/>
      <c r="O1253" s="526"/>
      <c r="P1253" s="1124"/>
      <c r="Q1253" s="526"/>
      <c r="R1253" s="526"/>
      <c r="S1253" s="526"/>
      <c r="T1253" s="526"/>
      <c r="U1253" s="1124"/>
      <c r="V1253" s="526"/>
      <c r="W1253" s="526"/>
      <c r="X1253" s="526"/>
      <c r="Y1253" s="526"/>
      <c r="Z1253" s="1124"/>
      <c r="AA1253" s="526"/>
      <c r="AB1253" s="526"/>
      <c r="AC1253" s="526"/>
      <c r="AD1253" s="526"/>
      <c r="AE1253" s="1124"/>
      <c r="AF1253" s="526"/>
      <c r="AG1253" s="526"/>
      <c r="AH1253" s="526"/>
      <c r="AI1253" s="526"/>
      <c r="AJ1253" s="1124"/>
      <c r="AK1253" s="526"/>
      <c r="AL1253" s="526"/>
      <c r="AM1253" s="526"/>
      <c r="AN1253" s="526"/>
      <c r="AO1253" s="1124"/>
      <c r="AP1253" s="526"/>
      <c r="AQ1253" s="526"/>
      <c r="AR1253" s="526"/>
      <c r="AS1253" s="526"/>
      <c r="AT1253" s="1123">
        <v>142.65</v>
      </c>
      <c r="AU1253" s="526"/>
      <c r="AV1253" s="526"/>
      <c r="AW1253" s="526"/>
      <c r="AX1253" s="526"/>
      <c r="AY1253" s="1123">
        <v>142.65</v>
      </c>
      <c r="AZ1253" s="526"/>
      <c r="BA1253" s="526"/>
      <c r="BB1253" s="526"/>
      <c r="BC1253" s="526"/>
      <c r="BD1253" s="1123">
        <v>142.65</v>
      </c>
      <c r="BE1253" s="526"/>
      <c r="BF1253" s="526"/>
      <c r="BG1253" s="526"/>
      <c r="BH1253" s="526"/>
      <c r="BI1253" s="1123">
        <v>142.65</v>
      </c>
      <c r="BJ1253" s="526"/>
      <c r="BK1253" s="526"/>
      <c r="BL1253" s="526"/>
      <c r="BM1253" s="526"/>
      <c r="BN1253" s="1124"/>
      <c r="BO1253" s="526"/>
      <c r="BP1253" s="526"/>
      <c r="BQ1253" s="526"/>
      <c r="BR1253" s="526"/>
      <c r="BS1253" s="1124"/>
      <c r="BT1253" s="729"/>
      <c r="BU1253" s="526"/>
      <c r="BV1253" s="526"/>
      <c r="BW1253" s="526"/>
      <c r="BX1253" s="1124"/>
      <c r="BY1253" s="526"/>
      <c r="BZ1253" s="526"/>
      <c r="CA1253" s="526"/>
      <c r="CB1253" s="526"/>
      <c r="CC1253" s="1124"/>
      <c r="CD1253" s="1124"/>
      <c r="CE1253" s="1124"/>
      <c r="CF1253" s="1124"/>
      <c r="CG1253" s="533"/>
    </row>
    <row r="1254" spans="1:85" s="614" customFormat="1" x14ac:dyDescent="0.3">
      <c r="A1254" s="522"/>
      <c r="B1254" s="352"/>
      <c r="C1254" s="1094"/>
      <c r="D1254" s="1094"/>
      <c r="E1254" s="1094"/>
      <c r="F1254" s="1094"/>
      <c r="G1254" s="197"/>
      <c r="H1254" s="197"/>
      <c r="I1254" s="197"/>
      <c r="J1254" s="197"/>
      <c r="K1254" s="1094"/>
      <c r="L1254" s="197"/>
      <c r="M1254" s="197"/>
      <c r="N1254" s="197"/>
      <c r="O1254" s="197"/>
      <c r="P1254" s="1094"/>
      <c r="Q1254" s="197"/>
      <c r="R1254" s="197"/>
      <c r="S1254" s="197"/>
      <c r="T1254" s="197"/>
      <c r="U1254" s="1094"/>
      <c r="V1254" s="197"/>
      <c r="W1254" s="197"/>
      <c r="X1254" s="197"/>
      <c r="Y1254" s="197"/>
      <c r="Z1254" s="1094"/>
      <c r="AA1254" s="197"/>
      <c r="AB1254" s="197"/>
      <c r="AC1254" s="197"/>
      <c r="AD1254" s="197"/>
      <c r="AE1254" s="1094"/>
      <c r="AF1254" s="197"/>
      <c r="AG1254" s="197"/>
      <c r="AH1254" s="197"/>
      <c r="AI1254" s="197"/>
      <c r="AJ1254" s="1094"/>
      <c r="AK1254" s="197"/>
      <c r="AL1254" s="197"/>
      <c r="AM1254" s="197"/>
      <c r="AN1254" s="197"/>
      <c r="AO1254" s="1094"/>
      <c r="AP1254" s="197"/>
      <c r="AQ1254" s="197"/>
      <c r="AR1254" s="197"/>
      <c r="AS1254" s="197"/>
      <c r="AT1254" s="198"/>
      <c r="AU1254" s="197"/>
      <c r="AV1254" s="197"/>
      <c r="AW1254" s="197"/>
      <c r="AX1254" s="197"/>
      <c r="AY1254" s="198"/>
      <c r="AZ1254" s="197"/>
      <c r="BA1254" s="197"/>
      <c r="BB1254" s="197"/>
      <c r="BC1254" s="197"/>
      <c r="BD1254" s="198"/>
      <c r="BE1254" s="197"/>
      <c r="BF1254" s="197"/>
      <c r="BG1254" s="197"/>
      <c r="BH1254" s="197"/>
      <c r="BI1254" s="198"/>
      <c r="BJ1254" s="197"/>
      <c r="BK1254" s="197"/>
      <c r="BL1254" s="197"/>
      <c r="BM1254" s="197"/>
      <c r="BN1254" s="198"/>
      <c r="BO1254" s="197"/>
      <c r="BP1254" s="197"/>
      <c r="BQ1254" s="197"/>
      <c r="BR1254" s="197"/>
      <c r="BS1254" s="198"/>
      <c r="BT1254" s="727"/>
      <c r="BU1254" s="197"/>
      <c r="BV1254" s="197"/>
      <c r="BW1254" s="197"/>
      <c r="BX1254" s="1094"/>
      <c r="BY1254" s="197"/>
      <c r="BZ1254" s="197"/>
      <c r="CA1254" s="197"/>
      <c r="CB1254" s="197"/>
      <c r="CC1254" s="1094"/>
      <c r="CD1254" s="1094"/>
      <c r="CE1254" s="1094"/>
      <c r="CF1254" s="1094"/>
      <c r="CG1254" s="349"/>
    </row>
    <row r="1255" spans="1:85" s="613" customFormat="1" x14ac:dyDescent="0.3">
      <c r="A1255" s="478" t="s">
        <v>1286</v>
      </c>
      <c r="B1255" s="523"/>
      <c r="C1255" s="78"/>
      <c r="D1255" s="78"/>
      <c r="E1255" s="78"/>
      <c r="F1255" s="78"/>
      <c r="G1255" s="774"/>
      <c r="H1255" s="774"/>
      <c r="I1255" s="774"/>
      <c r="J1255" s="774"/>
      <c r="K1255" s="78"/>
      <c r="L1255" s="774"/>
      <c r="M1255" s="774"/>
      <c r="N1255" s="774"/>
      <c r="O1255" s="774"/>
      <c r="P1255" s="78"/>
      <c r="Q1255" s="774"/>
      <c r="R1255" s="774"/>
      <c r="S1255" s="774"/>
      <c r="T1255" s="774"/>
      <c r="U1255" s="78"/>
      <c r="V1255" s="774"/>
      <c r="W1255" s="774"/>
      <c r="X1255" s="774"/>
      <c r="Y1255" s="774"/>
      <c r="Z1255" s="78"/>
      <c r="AA1255" s="774"/>
      <c r="AB1255" s="774"/>
      <c r="AC1255" s="774"/>
      <c r="AD1255" s="774"/>
      <c r="AE1255" s="78"/>
      <c r="AF1255" s="774"/>
      <c r="AG1255" s="774"/>
      <c r="AH1255" s="774"/>
      <c r="AI1255" s="774"/>
      <c r="AJ1255" s="78"/>
      <c r="AK1255" s="774"/>
      <c r="AL1255" s="774"/>
      <c r="AM1255" s="774"/>
      <c r="AN1255" s="774"/>
      <c r="AO1255" s="78"/>
      <c r="AP1255" s="774"/>
      <c r="AQ1255" s="774"/>
      <c r="AR1255" s="774"/>
      <c r="AS1255" s="774"/>
      <c r="AT1255" s="1119">
        <v>1.722</v>
      </c>
      <c r="AU1255" s="774"/>
      <c r="AV1255" s="774"/>
      <c r="AW1255" s="774"/>
      <c r="AX1255" s="774"/>
      <c r="AY1255" s="1119">
        <v>1.722</v>
      </c>
      <c r="AZ1255" s="774"/>
      <c r="BA1255" s="774"/>
      <c r="BB1255" s="774"/>
      <c r="BC1255" s="774"/>
      <c r="BD1255" s="1119">
        <v>1.722</v>
      </c>
      <c r="BE1255" s="774"/>
      <c r="BF1255" s="774"/>
      <c r="BG1255" s="774"/>
      <c r="BH1255" s="774"/>
      <c r="BI1255" s="1119">
        <v>1.722</v>
      </c>
      <c r="BJ1255" s="774"/>
      <c r="BK1255" s="774"/>
      <c r="BL1255" s="774"/>
      <c r="BM1255" s="774"/>
      <c r="BN1255" s="78"/>
      <c r="BO1255" s="774"/>
      <c r="BP1255" s="774"/>
      <c r="BQ1255" s="774"/>
      <c r="BR1255" s="774"/>
      <c r="BS1255" s="78"/>
      <c r="BT1255" s="775"/>
      <c r="BU1255" s="774"/>
      <c r="BV1255" s="774"/>
      <c r="BW1255" s="774"/>
      <c r="BX1255" s="78"/>
      <c r="BY1255" s="774"/>
      <c r="BZ1255" s="774"/>
      <c r="CA1255" s="774"/>
      <c r="CB1255" s="774"/>
      <c r="CC1255" s="78"/>
      <c r="CD1255" s="78"/>
      <c r="CE1255" s="78"/>
      <c r="CF1255" s="78"/>
      <c r="CG1255" s="532"/>
    </row>
    <row r="1256" spans="1:85" s="616" customFormat="1" x14ac:dyDescent="0.3">
      <c r="A1256" s="522" t="s">
        <v>1285</v>
      </c>
      <c r="B1256" s="527"/>
      <c r="C1256" s="1124"/>
      <c r="D1256" s="1124"/>
      <c r="E1256" s="1124"/>
      <c r="F1256" s="1124"/>
      <c r="G1256" s="526"/>
      <c r="H1256" s="526"/>
      <c r="I1256" s="526"/>
      <c r="J1256" s="526"/>
      <c r="K1256" s="1124"/>
      <c r="L1256" s="526"/>
      <c r="M1256" s="526"/>
      <c r="N1256" s="526"/>
      <c r="O1256" s="526"/>
      <c r="P1256" s="1124"/>
      <c r="Q1256" s="526"/>
      <c r="R1256" s="526"/>
      <c r="S1256" s="526"/>
      <c r="T1256" s="526"/>
      <c r="U1256" s="1124"/>
      <c r="V1256" s="526"/>
      <c r="W1256" s="526"/>
      <c r="X1256" s="526"/>
      <c r="Y1256" s="526"/>
      <c r="Z1256" s="1124"/>
      <c r="AA1256" s="526"/>
      <c r="AB1256" s="526"/>
      <c r="AC1256" s="526"/>
      <c r="AD1256" s="526"/>
      <c r="AE1256" s="1124"/>
      <c r="AF1256" s="526"/>
      <c r="AG1256" s="526"/>
      <c r="AH1256" s="526"/>
      <c r="AI1256" s="526"/>
      <c r="AJ1256" s="1124"/>
      <c r="AK1256" s="526"/>
      <c r="AL1256" s="526"/>
      <c r="AM1256" s="526"/>
      <c r="AN1256" s="526"/>
      <c r="AO1256" s="1124"/>
      <c r="AP1256" s="526"/>
      <c r="AQ1256" s="526"/>
      <c r="AR1256" s="526"/>
      <c r="AS1256" s="526"/>
      <c r="AT1256" s="1123">
        <v>146.91999999999999</v>
      </c>
      <c r="AU1256" s="526"/>
      <c r="AV1256" s="526"/>
      <c r="AW1256" s="526"/>
      <c r="AX1256" s="526"/>
      <c r="AY1256" s="1123">
        <v>146.91999999999999</v>
      </c>
      <c r="AZ1256" s="526"/>
      <c r="BA1256" s="526"/>
      <c r="BB1256" s="526"/>
      <c r="BC1256" s="526"/>
      <c r="BD1256" s="1123">
        <v>146.91999999999999</v>
      </c>
      <c r="BE1256" s="526"/>
      <c r="BF1256" s="526"/>
      <c r="BG1256" s="526"/>
      <c r="BH1256" s="526"/>
      <c r="BI1256" s="1123">
        <v>146.91999999999999</v>
      </c>
      <c r="BJ1256" s="526"/>
      <c r="BK1256" s="526"/>
      <c r="BL1256" s="526"/>
      <c r="BM1256" s="526"/>
      <c r="BN1256" s="1124"/>
      <c r="BO1256" s="526"/>
      <c r="BP1256" s="526"/>
      <c r="BQ1256" s="526"/>
      <c r="BR1256" s="526"/>
      <c r="BS1256" s="1124"/>
      <c r="BT1256" s="729"/>
      <c r="BU1256" s="526"/>
      <c r="BV1256" s="526"/>
      <c r="BW1256" s="526"/>
      <c r="BX1256" s="1124"/>
      <c r="BY1256" s="526"/>
      <c r="BZ1256" s="526"/>
      <c r="CA1256" s="526"/>
      <c r="CB1256" s="526"/>
      <c r="CC1256" s="1124"/>
      <c r="CD1256" s="1124"/>
      <c r="CE1256" s="1124"/>
      <c r="CF1256" s="1124"/>
      <c r="CG1256" s="533"/>
    </row>
    <row r="1257" spans="1:85" s="614" customFormat="1" x14ac:dyDescent="0.3">
      <c r="A1257" s="522"/>
      <c r="B1257" s="352"/>
      <c r="C1257" s="1094"/>
      <c r="D1257" s="1094"/>
      <c r="E1257" s="1094"/>
      <c r="F1257" s="1094"/>
      <c r="G1257" s="197"/>
      <c r="H1257" s="197"/>
      <c r="I1257" s="197"/>
      <c r="J1257" s="197"/>
      <c r="K1257" s="1094"/>
      <c r="L1257" s="197"/>
      <c r="M1257" s="197"/>
      <c r="N1257" s="197"/>
      <c r="O1257" s="197"/>
      <c r="P1257" s="1094"/>
      <c r="Q1257" s="197"/>
      <c r="R1257" s="197"/>
      <c r="S1257" s="197"/>
      <c r="T1257" s="197"/>
      <c r="U1257" s="1094"/>
      <c r="V1257" s="197"/>
      <c r="W1257" s="197"/>
      <c r="X1257" s="197"/>
      <c r="Y1257" s="197"/>
      <c r="Z1257" s="1094"/>
      <c r="AA1257" s="197"/>
      <c r="AB1257" s="197"/>
      <c r="AC1257" s="197"/>
      <c r="AD1257" s="197"/>
      <c r="AE1257" s="1094"/>
      <c r="AF1257" s="197"/>
      <c r="AG1257" s="197"/>
      <c r="AH1257" s="197"/>
      <c r="AI1257" s="197"/>
      <c r="AJ1257" s="1094"/>
      <c r="AK1257" s="197"/>
      <c r="AL1257" s="197"/>
      <c r="AM1257" s="197"/>
      <c r="AN1257" s="197"/>
      <c r="AO1257" s="1094"/>
      <c r="AP1257" s="197"/>
      <c r="AQ1257" s="197"/>
      <c r="AR1257" s="197"/>
      <c r="AS1257" s="197"/>
      <c r="AT1257" s="198"/>
      <c r="AU1257" s="197"/>
      <c r="AV1257" s="197"/>
      <c r="AW1257" s="197"/>
      <c r="AX1257" s="197"/>
      <c r="AY1257" s="198"/>
      <c r="AZ1257" s="197"/>
      <c r="BA1257" s="197"/>
      <c r="BB1257" s="197"/>
      <c r="BC1257" s="197"/>
      <c r="BD1257" s="198"/>
      <c r="BE1257" s="197"/>
      <c r="BF1257" s="197"/>
      <c r="BG1257" s="197"/>
      <c r="BH1257" s="197"/>
      <c r="BI1257" s="198"/>
      <c r="BJ1257" s="197"/>
      <c r="BK1257" s="197"/>
      <c r="BL1257" s="197"/>
      <c r="BM1257" s="197"/>
      <c r="BN1257" s="198"/>
      <c r="BO1257" s="197"/>
      <c r="BP1257" s="197"/>
      <c r="BQ1257" s="197"/>
      <c r="BR1257" s="197"/>
      <c r="BS1257" s="198"/>
      <c r="BT1257" s="727"/>
      <c r="BU1257" s="197"/>
      <c r="BV1257" s="197"/>
      <c r="BW1257" s="197"/>
      <c r="BX1257" s="1094"/>
      <c r="BY1257" s="197"/>
      <c r="BZ1257" s="197"/>
      <c r="CA1257" s="197"/>
      <c r="CB1257" s="197"/>
      <c r="CC1257" s="1094"/>
      <c r="CD1257" s="1094"/>
      <c r="CE1257" s="1094"/>
      <c r="CF1257" s="1094"/>
      <c r="CG1257" s="349"/>
    </row>
    <row r="1258" spans="1:85" s="613" customFormat="1" x14ac:dyDescent="0.3">
      <c r="A1258" s="478" t="s">
        <v>1284</v>
      </c>
      <c r="B1258" s="523"/>
      <c r="C1258" s="78"/>
      <c r="D1258" s="78"/>
      <c r="E1258" s="78"/>
      <c r="F1258" s="78"/>
      <c r="G1258" s="774"/>
      <c r="H1258" s="774"/>
      <c r="I1258" s="774"/>
      <c r="J1258" s="774"/>
      <c r="K1258" s="78"/>
      <c r="L1258" s="774"/>
      <c r="M1258" s="774"/>
      <c r="N1258" s="774"/>
      <c r="O1258" s="774"/>
      <c r="P1258" s="78"/>
      <c r="Q1258" s="774"/>
      <c r="R1258" s="774"/>
      <c r="S1258" s="774"/>
      <c r="T1258" s="774"/>
      <c r="U1258" s="78"/>
      <c r="V1258" s="774"/>
      <c r="W1258" s="774"/>
      <c r="X1258" s="774"/>
      <c r="Y1258" s="774"/>
      <c r="Z1258" s="78"/>
      <c r="AA1258" s="774"/>
      <c r="AB1258" s="774"/>
      <c r="AC1258" s="774"/>
      <c r="AD1258" s="774"/>
      <c r="AE1258" s="78"/>
      <c r="AF1258" s="774"/>
      <c r="AG1258" s="774"/>
      <c r="AH1258" s="774"/>
      <c r="AI1258" s="774"/>
      <c r="AJ1258" s="78"/>
      <c r="AK1258" s="774"/>
      <c r="AL1258" s="774"/>
      <c r="AM1258" s="774"/>
      <c r="AN1258" s="774"/>
      <c r="AO1258" s="78"/>
      <c r="AP1258" s="774"/>
      <c r="AQ1258" s="774"/>
      <c r="AR1258" s="774"/>
      <c r="AS1258" s="774"/>
      <c r="AT1258" s="1119">
        <v>1.63</v>
      </c>
      <c r="AU1258" s="774"/>
      <c r="AV1258" s="774"/>
      <c r="AW1258" s="774"/>
      <c r="AX1258" s="774"/>
      <c r="AY1258" s="1119">
        <v>1.63</v>
      </c>
      <c r="AZ1258" s="774"/>
      <c r="BA1258" s="774"/>
      <c r="BB1258" s="774"/>
      <c r="BC1258" s="774"/>
      <c r="BD1258" s="1119">
        <v>1.63</v>
      </c>
      <c r="BE1258" s="774"/>
      <c r="BF1258" s="774"/>
      <c r="BG1258" s="774"/>
      <c r="BH1258" s="774"/>
      <c r="BI1258" s="1119">
        <v>1.63</v>
      </c>
      <c r="BJ1258" s="774"/>
      <c r="BK1258" s="774"/>
      <c r="BL1258" s="774"/>
      <c r="BM1258" s="774"/>
      <c r="BN1258" s="78"/>
      <c r="BO1258" s="774"/>
      <c r="BP1258" s="774"/>
      <c r="BQ1258" s="774"/>
      <c r="BR1258" s="774"/>
      <c r="BS1258" s="78"/>
      <c r="BT1258" s="775"/>
      <c r="BU1258" s="774"/>
      <c r="BV1258" s="774"/>
      <c r="BW1258" s="774"/>
      <c r="BX1258" s="78"/>
      <c r="BY1258" s="774"/>
      <c r="BZ1258" s="774"/>
      <c r="CA1258" s="774"/>
      <c r="CB1258" s="774"/>
      <c r="CC1258" s="78"/>
      <c r="CD1258" s="78"/>
      <c r="CE1258" s="78"/>
      <c r="CF1258" s="78"/>
      <c r="CG1258" s="532"/>
    </row>
    <row r="1259" spans="1:85" s="616" customFormat="1" x14ac:dyDescent="0.3">
      <c r="A1259" s="522" t="s">
        <v>1283</v>
      </c>
      <c r="B1259" s="527"/>
      <c r="C1259" s="1124"/>
      <c r="D1259" s="1124"/>
      <c r="E1259" s="1124"/>
      <c r="F1259" s="1124"/>
      <c r="G1259" s="526"/>
      <c r="H1259" s="526"/>
      <c r="I1259" s="526"/>
      <c r="J1259" s="526"/>
      <c r="K1259" s="1124"/>
      <c r="L1259" s="526"/>
      <c r="M1259" s="526"/>
      <c r="N1259" s="526"/>
      <c r="O1259" s="526"/>
      <c r="P1259" s="1124"/>
      <c r="Q1259" s="526"/>
      <c r="R1259" s="526"/>
      <c r="S1259" s="526"/>
      <c r="T1259" s="526"/>
      <c r="U1259" s="1124"/>
      <c r="V1259" s="526"/>
      <c r="W1259" s="526"/>
      <c r="X1259" s="526"/>
      <c r="Y1259" s="526"/>
      <c r="Z1259" s="1124"/>
      <c r="AA1259" s="526"/>
      <c r="AB1259" s="526"/>
      <c r="AC1259" s="526"/>
      <c r="AD1259" s="526"/>
      <c r="AE1259" s="1124"/>
      <c r="AF1259" s="526"/>
      <c r="AG1259" s="526"/>
      <c r="AH1259" s="526"/>
      <c r="AI1259" s="526"/>
      <c r="AJ1259" s="1124"/>
      <c r="AK1259" s="526"/>
      <c r="AL1259" s="526"/>
      <c r="AM1259" s="526"/>
      <c r="AN1259" s="526"/>
      <c r="AO1259" s="1124"/>
      <c r="AP1259" s="526"/>
      <c r="AQ1259" s="526"/>
      <c r="AR1259" s="526"/>
      <c r="AS1259" s="526"/>
      <c r="AT1259" s="1123">
        <v>155.35</v>
      </c>
      <c r="AU1259" s="526"/>
      <c r="AV1259" s="526"/>
      <c r="AW1259" s="526"/>
      <c r="AX1259" s="526"/>
      <c r="AY1259" s="1123">
        <v>155.35</v>
      </c>
      <c r="AZ1259" s="526"/>
      <c r="BA1259" s="526"/>
      <c r="BB1259" s="526"/>
      <c r="BC1259" s="526"/>
      <c r="BD1259" s="1123">
        <v>155.35</v>
      </c>
      <c r="BE1259" s="526"/>
      <c r="BF1259" s="526"/>
      <c r="BG1259" s="526"/>
      <c r="BH1259" s="526"/>
      <c r="BI1259" s="1123">
        <v>155.35</v>
      </c>
      <c r="BJ1259" s="526"/>
      <c r="BK1259" s="526"/>
      <c r="BL1259" s="526"/>
      <c r="BM1259" s="526"/>
      <c r="BN1259" s="1124"/>
      <c r="BO1259" s="526"/>
      <c r="BP1259" s="526"/>
      <c r="BQ1259" s="526"/>
      <c r="BR1259" s="526"/>
      <c r="BS1259" s="1124"/>
      <c r="BT1259" s="729"/>
      <c r="BU1259" s="526"/>
      <c r="BV1259" s="526"/>
      <c r="BW1259" s="526"/>
      <c r="BX1259" s="1124"/>
      <c r="BY1259" s="526"/>
      <c r="BZ1259" s="526"/>
      <c r="CA1259" s="526"/>
      <c r="CB1259" s="526"/>
      <c r="CC1259" s="1124"/>
      <c r="CD1259" s="1124"/>
      <c r="CE1259" s="1124"/>
      <c r="CF1259" s="1124"/>
      <c r="CG1259" s="533"/>
    </row>
    <row r="1260" spans="1:85" s="614" customFormat="1" x14ac:dyDescent="0.3">
      <c r="A1260" s="522"/>
      <c r="B1260" s="352"/>
      <c r="C1260" s="1094"/>
      <c r="D1260" s="1094"/>
      <c r="E1260" s="1094"/>
      <c r="F1260" s="1094"/>
      <c r="G1260" s="197"/>
      <c r="H1260" s="197"/>
      <c r="I1260" s="197"/>
      <c r="J1260" s="197"/>
      <c r="K1260" s="1094"/>
      <c r="L1260" s="197"/>
      <c r="M1260" s="197"/>
      <c r="N1260" s="197"/>
      <c r="O1260" s="197"/>
      <c r="P1260" s="1094"/>
      <c r="Q1260" s="197"/>
      <c r="R1260" s="197"/>
      <c r="S1260" s="197"/>
      <c r="T1260" s="197"/>
      <c r="U1260" s="1094"/>
      <c r="V1260" s="197"/>
      <c r="W1260" s="197"/>
      <c r="X1260" s="197"/>
      <c r="Y1260" s="197"/>
      <c r="Z1260" s="1094"/>
      <c r="AA1260" s="197"/>
      <c r="AB1260" s="197"/>
      <c r="AC1260" s="197"/>
      <c r="AD1260" s="197"/>
      <c r="AE1260" s="1094"/>
      <c r="AF1260" s="197"/>
      <c r="AG1260" s="197"/>
      <c r="AH1260" s="197"/>
      <c r="AI1260" s="197"/>
      <c r="AJ1260" s="1094"/>
      <c r="AK1260" s="197"/>
      <c r="AL1260" s="197"/>
      <c r="AM1260" s="197"/>
      <c r="AN1260" s="197"/>
      <c r="AO1260" s="1094"/>
      <c r="AP1260" s="197"/>
      <c r="AQ1260" s="197"/>
      <c r="AR1260" s="197"/>
      <c r="AS1260" s="197"/>
      <c r="AT1260" s="198"/>
      <c r="AU1260" s="197"/>
      <c r="AV1260" s="197"/>
      <c r="AW1260" s="197"/>
      <c r="AX1260" s="197"/>
      <c r="AY1260" s="198"/>
      <c r="AZ1260" s="197"/>
      <c r="BA1260" s="197"/>
      <c r="BB1260" s="197"/>
      <c r="BC1260" s="197"/>
      <c r="BD1260" s="198"/>
      <c r="BE1260" s="197"/>
      <c r="BF1260" s="197"/>
      <c r="BG1260" s="197"/>
      <c r="BH1260" s="197"/>
      <c r="BI1260" s="198"/>
      <c r="BJ1260" s="197"/>
      <c r="BK1260" s="197"/>
      <c r="BL1260" s="197"/>
      <c r="BM1260" s="197"/>
      <c r="BN1260" s="198"/>
      <c r="BO1260" s="197"/>
      <c r="BP1260" s="197"/>
      <c r="BQ1260" s="197"/>
      <c r="BR1260" s="197"/>
      <c r="BS1260" s="198"/>
      <c r="BT1260" s="727"/>
      <c r="BU1260" s="197"/>
      <c r="BV1260" s="197"/>
      <c r="BW1260" s="197"/>
      <c r="BX1260" s="1094"/>
      <c r="BY1260" s="197"/>
      <c r="BZ1260" s="197"/>
      <c r="CA1260" s="197"/>
      <c r="CB1260" s="197"/>
      <c r="CC1260" s="1094"/>
      <c r="CD1260" s="1094"/>
      <c r="CE1260" s="1094"/>
      <c r="CF1260" s="1094"/>
      <c r="CG1260" s="349"/>
    </row>
    <row r="1261" spans="1:85" s="613" customFormat="1" x14ac:dyDescent="0.3">
      <c r="A1261" s="478" t="s">
        <v>1282</v>
      </c>
      <c r="B1261" s="523"/>
      <c r="C1261" s="78"/>
      <c r="D1261" s="78"/>
      <c r="E1261" s="78"/>
      <c r="F1261" s="78"/>
      <c r="G1261" s="774"/>
      <c r="H1261" s="774"/>
      <c r="I1261" s="774"/>
      <c r="J1261" s="774"/>
      <c r="K1261" s="78"/>
      <c r="L1261" s="774"/>
      <c r="M1261" s="774"/>
      <c r="N1261" s="774"/>
      <c r="O1261" s="774"/>
      <c r="P1261" s="78"/>
      <c r="Q1261" s="774"/>
      <c r="R1261" s="774"/>
      <c r="S1261" s="774"/>
      <c r="T1261" s="774"/>
      <c r="U1261" s="78"/>
      <c r="V1261" s="774"/>
      <c r="W1261" s="774"/>
      <c r="X1261" s="774"/>
      <c r="Y1261" s="774"/>
      <c r="Z1261" s="78"/>
      <c r="AA1261" s="774"/>
      <c r="AB1261" s="774"/>
      <c r="AC1261" s="774"/>
      <c r="AD1261" s="774"/>
      <c r="AE1261" s="78"/>
      <c r="AF1261" s="774"/>
      <c r="AG1261" s="774"/>
      <c r="AH1261" s="774"/>
      <c r="AI1261" s="774"/>
      <c r="AJ1261" s="78"/>
      <c r="AK1261" s="774"/>
      <c r="AL1261" s="774"/>
      <c r="AM1261" s="774"/>
      <c r="AN1261" s="774"/>
      <c r="AO1261" s="78"/>
      <c r="AP1261" s="774"/>
      <c r="AQ1261" s="774"/>
      <c r="AR1261" s="774"/>
      <c r="AS1261" s="774"/>
      <c r="AT1261" s="1119">
        <v>1.5529999999999999</v>
      </c>
      <c r="AU1261" s="774"/>
      <c r="AV1261" s="774"/>
      <c r="AW1261" s="774"/>
      <c r="AX1261" s="774"/>
      <c r="AY1261" s="1119">
        <v>1.5529999999999999</v>
      </c>
      <c r="AZ1261" s="774"/>
      <c r="BA1261" s="774"/>
      <c r="BB1261" s="774"/>
      <c r="BC1261" s="774"/>
      <c r="BD1261" s="1119">
        <v>1.5529999999999999</v>
      </c>
      <c r="BE1261" s="774"/>
      <c r="BF1261" s="774"/>
      <c r="BG1261" s="774"/>
      <c r="BH1261" s="774"/>
      <c r="BI1261" s="1119">
        <v>1.5529999999999999</v>
      </c>
      <c r="BJ1261" s="774"/>
      <c r="BK1261" s="774"/>
      <c r="BL1261" s="774"/>
      <c r="BM1261" s="774"/>
      <c r="BN1261" s="78"/>
      <c r="BO1261" s="774"/>
      <c r="BP1261" s="774"/>
      <c r="BQ1261" s="774"/>
      <c r="BR1261" s="774"/>
      <c r="BS1261" s="78"/>
      <c r="BT1261" s="775"/>
      <c r="BU1261" s="774"/>
      <c r="BV1261" s="774"/>
      <c r="BW1261" s="774"/>
      <c r="BX1261" s="78"/>
      <c r="BY1261" s="774"/>
      <c r="BZ1261" s="774"/>
      <c r="CA1261" s="774"/>
      <c r="CB1261" s="774"/>
      <c r="CC1261" s="78"/>
      <c r="CD1261" s="78"/>
      <c r="CE1261" s="78"/>
      <c r="CF1261" s="78"/>
      <c r="CG1261" s="532"/>
    </row>
    <row r="1262" spans="1:85" s="616" customFormat="1" x14ac:dyDescent="0.3">
      <c r="A1262" s="522" t="s">
        <v>1281</v>
      </c>
      <c r="B1262" s="527"/>
      <c r="C1262" s="1124"/>
      <c r="D1262" s="1124"/>
      <c r="E1262" s="1124"/>
      <c r="F1262" s="1124"/>
      <c r="G1262" s="526"/>
      <c r="H1262" s="526"/>
      <c r="I1262" s="526"/>
      <c r="J1262" s="526"/>
      <c r="K1262" s="1124"/>
      <c r="L1262" s="526"/>
      <c r="M1262" s="526"/>
      <c r="N1262" s="526"/>
      <c r="O1262" s="526"/>
      <c r="P1262" s="1124"/>
      <c r="Q1262" s="526"/>
      <c r="R1262" s="526"/>
      <c r="S1262" s="526"/>
      <c r="T1262" s="526"/>
      <c r="U1262" s="1124"/>
      <c r="V1262" s="526"/>
      <c r="W1262" s="526"/>
      <c r="X1262" s="526"/>
      <c r="Y1262" s="526"/>
      <c r="Z1262" s="1124"/>
      <c r="AA1262" s="526"/>
      <c r="AB1262" s="526"/>
      <c r="AC1262" s="526"/>
      <c r="AD1262" s="526"/>
      <c r="AE1262" s="1124"/>
      <c r="AF1262" s="526"/>
      <c r="AG1262" s="526"/>
      <c r="AH1262" s="526"/>
      <c r="AI1262" s="526"/>
      <c r="AJ1262" s="1124"/>
      <c r="AK1262" s="526"/>
      <c r="AL1262" s="526"/>
      <c r="AM1262" s="526"/>
      <c r="AN1262" s="526"/>
      <c r="AO1262" s="1124"/>
      <c r="AP1262" s="526"/>
      <c r="AQ1262" s="526"/>
      <c r="AR1262" s="526"/>
      <c r="AS1262" s="526"/>
      <c r="AT1262" s="1123">
        <v>162.99</v>
      </c>
      <c r="AU1262" s="526"/>
      <c r="AV1262" s="526"/>
      <c r="AW1262" s="526"/>
      <c r="AX1262" s="526"/>
      <c r="AY1262" s="1123">
        <v>162.99</v>
      </c>
      <c r="AZ1262" s="526"/>
      <c r="BA1262" s="526"/>
      <c r="BB1262" s="526"/>
      <c r="BC1262" s="526"/>
      <c r="BD1262" s="1123">
        <v>162.99</v>
      </c>
      <c r="BE1262" s="526"/>
      <c r="BF1262" s="526"/>
      <c r="BG1262" s="526"/>
      <c r="BH1262" s="526"/>
      <c r="BI1262" s="1123">
        <v>162.99</v>
      </c>
      <c r="BJ1262" s="526"/>
      <c r="BK1262" s="526"/>
      <c r="BL1262" s="526"/>
      <c r="BM1262" s="526"/>
      <c r="BN1262" s="1124"/>
      <c r="BO1262" s="526"/>
      <c r="BP1262" s="526"/>
      <c r="BQ1262" s="526"/>
      <c r="BR1262" s="526"/>
      <c r="BS1262" s="1124"/>
      <c r="BT1262" s="729"/>
      <c r="BU1262" s="526"/>
      <c r="BV1262" s="526"/>
      <c r="BW1262" s="526"/>
      <c r="BX1262" s="1124"/>
      <c r="BY1262" s="526"/>
      <c r="BZ1262" s="526"/>
      <c r="CA1262" s="526"/>
      <c r="CB1262" s="526"/>
      <c r="CC1262" s="1124"/>
      <c r="CD1262" s="1124"/>
      <c r="CE1262" s="1124"/>
      <c r="CF1262" s="1124"/>
      <c r="CG1262" s="533"/>
    </row>
    <row r="1263" spans="1:85" s="614" customFormat="1" x14ac:dyDescent="0.3">
      <c r="A1263" s="522"/>
      <c r="B1263" s="352"/>
      <c r="C1263" s="1094"/>
      <c r="D1263" s="1094"/>
      <c r="E1263" s="1094"/>
      <c r="F1263" s="1094"/>
      <c r="G1263" s="197"/>
      <c r="H1263" s="197"/>
      <c r="I1263" s="197"/>
      <c r="J1263" s="197"/>
      <c r="K1263" s="1094"/>
      <c r="L1263" s="197"/>
      <c r="M1263" s="197"/>
      <c r="N1263" s="197"/>
      <c r="O1263" s="197"/>
      <c r="P1263" s="1094"/>
      <c r="Q1263" s="197"/>
      <c r="R1263" s="197"/>
      <c r="S1263" s="197"/>
      <c r="T1263" s="197"/>
      <c r="U1263" s="1094"/>
      <c r="V1263" s="197"/>
      <c r="W1263" s="197"/>
      <c r="X1263" s="197"/>
      <c r="Y1263" s="197"/>
      <c r="Z1263" s="1094"/>
      <c r="AA1263" s="197"/>
      <c r="AB1263" s="197"/>
      <c r="AC1263" s="197"/>
      <c r="AD1263" s="197"/>
      <c r="AE1263" s="1094"/>
      <c r="AF1263" s="197"/>
      <c r="AG1263" s="197"/>
      <c r="AH1263" s="197"/>
      <c r="AI1263" s="197"/>
      <c r="AJ1263" s="1094"/>
      <c r="AK1263" s="197"/>
      <c r="AL1263" s="197"/>
      <c r="AM1263" s="197"/>
      <c r="AN1263" s="197"/>
      <c r="AO1263" s="1094"/>
      <c r="AP1263" s="197"/>
      <c r="AQ1263" s="197"/>
      <c r="AR1263" s="197"/>
      <c r="AS1263" s="197"/>
      <c r="AT1263" s="198"/>
      <c r="AU1263" s="197"/>
      <c r="AV1263" s="197"/>
      <c r="AW1263" s="197"/>
      <c r="AX1263" s="197"/>
      <c r="AY1263" s="198"/>
      <c r="AZ1263" s="197"/>
      <c r="BA1263" s="197"/>
      <c r="BB1263" s="197"/>
      <c r="BC1263" s="197"/>
      <c r="BD1263" s="198"/>
      <c r="BE1263" s="197"/>
      <c r="BF1263" s="197"/>
      <c r="BG1263" s="197"/>
      <c r="BH1263" s="197"/>
      <c r="BI1263" s="198"/>
      <c r="BJ1263" s="197"/>
      <c r="BK1263" s="197"/>
      <c r="BL1263" s="197"/>
      <c r="BM1263" s="197"/>
      <c r="BN1263" s="198"/>
      <c r="BO1263" s="197"/>
      <c r="BP1263" s="197"/>
      <c r="BQ1263" s="197"/>
      <c r="BR1263" s="197"/>
      <c r="BS1263" s="198"/>
      <c r="BT1263" s="727"/>
      <c r="BU1263" s="197"/>
      <c r="BV1263" s="197"/>
      <c r="BW1263" s="197"/>
      <c r="BX1263" s="1094"/>
      <c r="BY1263" s="197"/>
      <c r="BZ1263" s="197"/>
      <c r="CA1263" s="197"/>
      <c r="CB1263" s="197"/>
      <c r="CC1263" s="1094"/>
      <c r="CD1263" s="1094"/>
      <c r="CE1263" s="1094"/>
      <c r="CF1263" s="1094"/>
      <c r="CG1263" s="349"/>
    </row>
    <row r="1264" spans="1:85" s="613" customFormat="1" x14ac:dyDescent="0.3">
      <c r="A1264" s="478" t="s">
        <v>1280</v>
      </c>
      <c r="B1264" s="523"/>
      <c r="C1264" s="78"/>
      <c r="D1264" s="78"/>
      <c r="E1264" s="78"/>
      <c r="F1264" s="78"/>
      <c r="G1264" s="774"/>
      <c r="H1264" s="774"/>
      <c r="I1264" s="774"/>
      <c r="J1264" s="774"/>
      <c r="K1264" s="78"/>
      <c r="L1264" s="774"/>
      <c r="M1264" s="774"/>
      <c r="N1264" s="774"/>
      <c r="O1264" s="774"/>
      <c r="P1264" s="78"/>
      <c r="Q1264" s="774"/>
      <c r="R1264" s="774"/>
      <c r="S1264" s="774"/>
      <c r="T1264" s="774"/>
      <c r="U1264" s="78"/>
      <c r="V1264" s="774"/>
      <c r="W1264" s="774"/>
      <c r="X1264" s="774"/>
      <c r="Y1264" s="774"/>
      <c r="Z1264" s="78"/>
      <c r="AA1264" s="774"/>
      <c r="AB1264" s="774"/>
      <c r="AC1264" s="774"/>
      <c r="AD1264" s="774"/>
      <c r="AE1264" s="78"/>
      <c r="AF1264" s="774"/>
      <c r="AG1264" s="774"/>
      <c r="AH1264" s="774"/>
      <c r="AI1264" s="774"/>
      <c r="AJ1264" s="78"/>
      <c r="AK1264" s="774"/>
      <c r="AL1264" s="774"/>
      <c r="AM1264" s="774"/>
      <c r="AN1264" s="774"/>
      <c r="AO1264" s="78"/>
      <c r="AP1264" s="774"/>
      <c r="AQ1264" s="774"/>
      <c r="AR1264" s="774"/>
      <c r="AS1264" s="774"/>
      <c r="AT1264" s="1119">
        <v>1.732</v>
      </c>
      <c r="AU1264" s="774"/>
      <c r="AV1264" s="774"/>
      <c r="AW1264" s="774"/>
      <c r="AX1264" s="774"/>
      <c r="AY1264" s="1119">
        <v>1.732</v>
      </c>
      <c r="AZ1264" s="774"/>
      <c r="BA1264" s="774"/>
      <c r="BB1264" s="774"/>
      <c r="BC1264" s="774"/>
      <c r="BD1264" s="1119">
        <v>1.732</v>
      </c>
      <c r="BE1264" s="774"/>
      <c r="BF1264" s="774"/>
      <c r="BG1264" s="774"/>
      <c r="BH1264" s="774"/>
      <c r="BI1264" s="1119">
        <v>1.732</v>
      </c>
      <c r="BJ1264" s="774"/>
      <c r="BK1264" s="774"/>
      <c r="BL1264" s="774"/>
      <c r="BM1264" s="774"/>
      <c r="BN1264" s="78"/>
      <c r="BO1264" s="774"/>
      <c r="BP1264" s="774"/>
      <c r="BQ1264" s="774"/>
      <c r="BR1264" s="774"/>
      <c r="BS1264" s="78"/>
      <c r="BT1264" s="775"/>
      <c r="BU1264" s="774"/>
      <c r="BV1264" s="774"/>
      <c r="BW1264" s="774"/>
      <c r="BX1264" s="78"/>
      <c r="BY1264" s="774"/>
      <c r="BZ1264" s="774"/>
      <c r="CA1264" s="774"/>
      <c r="CB1264" s="774"/>
      <c r="CC1264" s="78"/>
      <c r="CD1264" s="78"/>
      <c r="CE1264" s="78"/>
      <c r="CF1264" s="78"/>
      <c r="CG1264" s="532"/>
    </row>
    <row r="1265" spans="1:85" s="616" customFormat="1" x14ac:dyDescent="0.3">
      <c r="A1265" s="522" t="s">
        <v>1279</v>
      </c>
      <c r="B1265" s="527"/>
      <c r="C1265" s="1124"/>
      <c r="D1265" s="1124"/>
      <c r="E1265" s="1124"/>
      <c r="F1265" s="1124"/>
      <c r="G1265" s="526"/>
      <c r="H1265" s="526"/>
      <c r="I1265" s="526"/>
      <c r="J1265" s="526"/>
      <c r="K1265" s="1124"/>
      <c r="L1265" s="526"/>
      <c r="M1265" s="526"/>
      <c r="N1265" s="526"/>
      <c r="O1265" s="526"/>
      <c r="P1265" s="1124"/>
      <c r="Q1265" s="526"/>
      <c r="R1265" s="526"/>
      <c r="S1265" s="526"/>
      <c r="T1265" s="526"/>
      <c r="U1265" s="1124"/>
      <c r="V1265" s="526"/>
      <c r="W1265" s="526"/>
      <c r="X1265" s="526"/>
      <c r="Y1265" s="526"/>
      <c r="Z1265" s="1124"/>
      <c r="AA1265" s="526"/>
      <c r="AB1265" s="526"/>
      <c r="AC1265" s="526"/>
      <c r="AD1265" s="526"/>
      <c r="AE1265" s="1124"/>
      <c r="AF1265" s="526"/>
      <c r="AG1265" s="526"/>
      <c r="AH1265" s="526"/>
      <c r="AI1265" s="526"/>
      <c r="AJ1265" s="1124"/>
      <c r="AK1265" s="526"/>
      <c r="AL1265" s="526"/>
      <c r="AM1265" s="526"/>
      <c r="AN1265" s="526"/>
      <c r="AO1265" s="1124"/>
      <c r="AP1265" s="526"/>
      <c r="AQ1265" s="526"/>
      <c r="AR1265" s="526"/>
      <c r="AS1265" s="526"/>
      <c r="AT1265" s="1123">
        <v>146.16999999999999</v>
      </c>
      <c r="AU1265" s="526"/>
      <c r="AV1265" s="526"/>
      <c r="AW1265" s="526"/>
      <c r="AX1265" s="526"/>
      <c r="AY1265" s="1123">
        <v>146.16999999999999</v>
      </c>
      <c r="AZ1265" s="526"/>
      <c r="BA1265" s="526"/>
      <c r="BB1265" s="526"/>
      <c r="BC1265" s="526"/>
      <c r="BD1265" s="1123">
        <v>146.16999999999999</v>
      </c>
      <c r="BE1265" s="526"/>
      <c r="BF1265" s="526"/>
      <c r="BG1265" s="526"/>
      <c r="BH1265" s="526"/>
      <c r="BI1265" s="1123">
        <v>146.16999999999999</v>
      </c>
      <c r="BJ1265" s="526"/>
      <c r="BK1265" s="526"/>
      <c r="BL1265" s="526"/>
      <c r="BM1265" s="526"/>
      <c r="BN1265" s="1124"/>
      <c r="BO1265" s="526"/>
      <c r="BP1265" s="526"/>
      <c r="BQ1265" s="526"/>
      <c r="BR1265" s="526"/>
      <c r="BS1265" s="1124"/>
      <c r="BT1265" s="729"/>
      <c r="BU1265" s="526"/>
      <c r="BV1265" s="526"/>
      <c r="BW1265" s="526"/>
      <c r="BX1265" s="1124"/>
      <c r="BY1265" s="526"/>
      <c r="BZ1265" s="526"/>
      <c r="CA1265" s="526"/>
      <c r="CB1265" s="526"/>
      <c r="CC1265" s="1124"/>
      <c r="CD1265" s="1124"/>
      <c r="CE1265" s="1124"/>
      <c r="CF1265" s="1124"/>
      <c r="CG1265" s="533"/>
    </row>
    <row r="1266" spans="1:85" s="614" customFormat="1" x14ac:dyDescent="0.3">
      <c r="A1266" s="522"/>
      <c r="B1266" s="352"/>
      <c r="C1266" s="1094"/>
      <c r="D1266" s="1094"/>
      <c r="E1266" s="1094"/>
      <c r="F1266" s="1094"/>
      <c r="G1266" s="197"/>
      <c r="H1266" s="197"/>
      <c r="I1266" s="197"/>
      <c r="J1266" s="197"/>
      <c r="K1266" s="1094"/>
      <c r="L1266" s="197"/>
      <c r="M1266" s="197"/>
      <c r="N1266" s="197"/>
      <c r="O1266" s="197"/>
      <c r="P1266" s="1094"/>
      <c r="Q1266" s="197"/>
      <c r="R1266" s="197"/>
      <c r="S1266" s="197"/>
      <c r="T1266" s="197"/>
      <c r="U1266" s="1094"/>
      <c r="V1266" s="197"/>
      <c r="W1266" s="197"/>
      <c r="X1266" s="197"/>
      <c r="Y1266" s="197"/>
      <c r="Z1266" s="1094"/>
      <c r="AA1266" s="197"/>
      <c r="AB1266" s="197"/>
      <c r="AC1266" s="197"/>
      <c r="AD1266" s="197"/>
      <c r="AE1266" s="1094"/>
      <c r="AF1266" s="197"/>
      <c r="AG1266" s="197"/>
      <c r="AH1266" s="197"/>
      <c r="AI1266" s="197"/>
      <c r="AJ1266" s="1094"/>
      <c r="AK1266" s="197"/>
      <c r="AL1266" s="197"/>
      <c r="AM1266" s="197"/>
      <c r="AN1266" s="197"/>
      <c r="AO1266" s="1094"/>
      <c r="AP1266" s="197"/>
      <c r="AQ1266" s="197"/>
      <c r="AR1266" s="197"/>
      <c r="AS1266" s="197"/>
      <c r="AT1266" s="198"/>
      <c r="AU1266" s="197"/>
      <c r="AV1266" s="197"/>
      <c r="AW1266" s="197"/>
      <c r="AX1266" s="197"/>
      <c r="AY1266" s="198"/>
      <c r="AZ1266" s="197"/>
      <c r="BA1266" s="197"/>
      <c r="BB1266" s="197"/>
      <c r="BC1266" s="197"/>
      <c r="BD1266" s="198"/>
      <c r="BE1266" s="197"/>
      <c r="BF1266" s="197"/>
      <c r="BG1266" s="197"/>
      <c r="BH1266" s="197"/>
      <c r="BI1266" s="198"/>
      <c r="BJ1266" s="197"/>
      <c r="BK1266" s="197"/>
      <c r="BL1266" s="197"/>
      <c r="BM1266" s="197"/>
      <c r="BN1266" s="198"/>
      <c r="BO1266" s="197"/>
      <c r="BP1266" s="197"/>
      <c r="BQ1266" s="197"/>
      <c r="BR1266" s="197"/>
      <c r="BS1266" s="198"/>
      <c r="BT1266" s="727"/>
      <c r="BU1266" s="197"/>
      <c r="BV1266" s="197"/>
      <c r="BW1266" s="197"/>
      <c r="BX1266" s="1094"/>
      <c r="BY1266" s="197"/>
      <c r="BZ1266" s="197"/>
      <c r="CA1266" s="197"/>
      <c r="CB1266" s="197"/>
      <c r="CC1266" s="1094"/>
      <c r="CD1266" s="1094"/>
      <c r="CE1266" s="1094"/>
      <c r="CF1266" s="1094"/>
      <c r="CG1266" s="349"/>
    </row>
    <row r="1267" spans="1:85" s="613" customFormat="1" x14ac:dyDescent="0.3">
      <c r="A1267" s="478" t="s">
        <v>1278</v>
      </c>
      <c r="B1267" s="523"/>
      <c r="C1267" s="78"/>
      <c r="D1267" s="78"/>
      <c r="E1267" s="78"/>
      <c r="F1267" s="78"/>
      <c r="G1267" s="774"/>
      <c r="H1267" s="774"/>
      <c r="I1267" s="774"/>
      <c r="J1267" s="774"/>
      <c r="K1267" s="78"/>
      <c r="L1267" s="774"/>
      <c r="M1267" s="774"/>
      <c r="N1267" s="774"/>
      <c r="O1267" s="774"/>
      <c r="P1267" s="78"/>
      <c r="Q1267" s="774"/>
      <c r="R1267" s="774"/>
      <c r="S1267" s="774"/>
      <c r="T1267" s="774"/>
      <c r="U1267" s="78"/>
      <c r="V1267" s="774"/>
      <c r="W1267" s="774"/>
      <c r="X1267" s="774"/>
      <c r="Y1267" s="774"/>
      <c r="Z1267" s="78"/>
      <c r="AA1267" s="774"/>
      <c r="AB1267" s="774"/>
      <c r="AC1267" s="774"/>
      <c r="AD1267" s="774"/>
      <c r="AE1267" s="78"/>
      <c r="AF1267" s="774"/>
      <c r="AG1267" s="774"/>
      <c r="AH1267" s="774"/>
      <c r="AI1267" s="774"/>
      <c r="AJ1267" s="78"/>
      <c r="AK1267" s="774"/>
      <c r="AL1267" s="774"/>
      <c r="AM1267" s="774"/>
      <c r="AN1267" s="774"/>
      <c r="AO1267" s="78"/>
      <c r="AP1267" s="774"/>
      <c r="AQ1267" s="774"/>
      <c r="AR1267" s="774"/>
      <c r="AS1267" s="774"/>
      <c r="AT1267" s="1119">
        <v>1.39</v>
      </c>
      <c r="AU1267" s="774"/>
      <c r="AV1267" s="774"/>
      <c r="AW1267" s="774"/>
      <c r="AX1267" s="774"/>
      <c r="AY1267" s="1119">
        <v>1.39</v>
      </c>
      <c r="AZ1267" s="774"/>
      <c r="BA1267" s="774"/>
      <c r="BB1267" s="774"/>
      <c r="BC1267" s="774"/>
      <c r="BD1267" s="1119">
        <v>1.39</v>
      </c>
      <c r="BE1267" s="774"/>
      <c r="BF1267" s="774"/>
      <c r="BG1267" s="774"/>
      <c r="BH1267" s="774"/>
      <c r="BI1267" s="1119">
        <v>1.39</v>
      </c>
      <c r="BJ1267" s="774"/>
      <c r="BK1267" s="774"/>
      <c r="BL1267" s="774"/>
      <c r="BM1267" s="774"/>
      <c r="BN1267" s="78"/>
      <c r="BO1267" s="774"/>
      <c r="BP1267" s="774"/>
      <c r="BQ1267" s="774"/>
      <c r="BR1267" s="774"/>
      <c r="BS1267" s="78"/>
      <c r="BT1267" s="775"/>
      <c r="BU1267" s="774"/>
      <c r="BV1267" s="774"/>
      <c r="BW1267" s="774"/>
      <c r="BX1267" s="78"/>
      <c r="BY1267" s="774"/>
      <c r="BZ1267" s="774"/>
      <c r="CA1267" s="774"/>
      <c r="CB1267" s="774"/>
      <c r="CC1267" s="78"/>
      <c r="CD1267" s="78"/>
      <c r="CE1267" s="78"/>
      <c r="CF1267" s="78"/>
      <c r="CG1267" s="532"/>
    </row>
    <row r="1268" spans="1:85" s="616" customFormat="1" x14ac:dyDescent="0.3">
      <c r="A1268" s="522" t="s">
        <v>1277</v>
      </c>
      <c r="B1268" s="527"/>
      <c r="C1268" s="1124"/>
      <c r="D1268" s="1124"/>
      <c r="E1268" s="1124"/>
      <c r="F1268" s="1124"/>
      <c r="G1268" s="526"/>
      <c r="H1268" s="526"/>
      <c r="I1268" s="526"/>
      <c r="J1268" s="526"/>
      <c r="K1268" s="1124"/>
      <c r="L1268" s="526"/>
      <c r="M1268" s="526"/>
      <c r="N1268" s="526"/>
      <c r="O1268" s="526"/>
      <c r="P1268" s="1124"/>
      <c r="Q1268" s="526"/>
      <c r="R1268" s="526"/>
      <c r="S1268" s="526"/>
      <c r="T1268" s="526"/>
      <c r="U1268" s="1124"/>
      <c r="V1268" s="526"/>
      <c r="W1268" s="526"/>
      <c r="X1268" s="526"/>
      <c r="Y1268" s="526"/>
      <c r="Z1268" s="1124"/>
      <c r="AA1268" s="526"/>
      <c r="AB1268" s="526"/>
      <c r="AC1268" s="526"/>
      <c r="AD1268" s="526"/>
      <c r="AE1268" s="1124"/>
      <c r="AF1268" s="526"/>
      <c r="AG1268" s="526"/>
      <c r="AH1268" s="526"/>
      <c r="AI1268" s="526"/>
      <c r="AJ1268" s="1124"/>
      <c r="AK1268" s="526"/>
      <c r="AL1268" s="526"/>
      <c r="AM1268" s="526"/>
      <c r="AN1268" s="526"/>
      <c r="AO1268" s="1124"/>
      <c r="AP1268" s="526"/>
      <c r="AQ1268" s="526"/>
      <c r="AR1268" s="526"/>
      <c r="AS1268" s="526"/>
      <c r="AT1268" s="1123">
        <v>182.03</v>
      </c>
      <c r="AU1268" s="526"/>
      <c r="AV1268" s="526"/>
      <c r="AW1268" s="526"/>
      <c r="AX1268" s="526"/>
      <c r="AY1268" s="1123">
        <v>182.03</v>
      </c>
      <c r="AZ1268" s="526"/>
      <c r="BA1268" s="526"/>
      <c r="BB1268" s="526"/>
      <c r="BC1268" s="526"/>
      <c r="BD1268" s="1123">
        <v>182.03</v>
      </c>
      <c r="BE1268" s="526"/>
      <c r="BF1268" s="526"/>
      <c r="BG1268" s="526"/>
      <c r="BH1268" s="526"/>
      <c r="BI1268" s="1123">
        <v>182.03</v>
      </c>
      <c r="BJ1268" s="526"/>
      <c r="BK1268" s="526"/>
      <c r="BL1268" s="526"/>
      <c r="BM1268" s="526"/>
      <c r="BN1268" s="1124"/>
      <c r="BO1268" s="526"/>
      <c r="BP1268" s="526"/>
      <c r="BQ1268" s="526"/>
      <c r="BR1268" s="526"/>
      <c r="BS1268" s="1124"/>
      <c r="BT1268" s="729"/>
      <c r="BU1268" s="526"/>
      <c r="BV1268" s="526"/>
      <c r="BW1268" s="526"/>
      <c r="BX1268" s="1124"/>
      <c r="BY1268" s="526"/>
      <c r="BZ1268" s="526"/>
      <c r="CA1268" s="526"/>
      <c r="CB1268" s="526"/>
      <c r="CC1268" s="1124"/>
      <c r="CD1268" s="1124"/>
      <c r="CE1268" s="1124"/>
      <c r="CF1268" s="1124"/>
      <c r="CG1268" s="533"/>
    </row>
    <row r="1269" spans="1:85" s="614" customFormat="1" x14ac:dyDescent="0.3">
      <c r="A1269" s="522"/>
      <c r="B1269" s="352"/>
      <c r="C1269" s="1094"/>
      <c r="D1269" s="1094"/>
      <c r="E1269" s="1094"/>
      <c r="F1269" s="1094"/>
      <c r="G1269" s="197"/>
      <c r="H1269" s="197"/>
      <c r="I1269" s="197"/>
      <c r="J1269" s="197"/>
      <c r="K1269" s="1094"/>
      <c r="L1269" s="197"/>
      <c r="M1269" s="197"/>
      <c r="N1269" s="197"/>
      <c r="O1269" s="197"/>
      <c r="P1269" s="1094"/>
      <c r="Q1269" s="197"/>
      <c r="R1269" s="197"/>
      <c r="S1269" s="197"/>
      <c r="T1269" s="197"/>
      <c r="U1269" s="1094"/>
      <c r="V1269" s="197"/>
      <c r="W1269" s="197"/>
      <c r="X1269" s="197"/>
      <c r="Y1269" s="197"/>
      <c r="Z1269" s="1094"/>
      <c r="AA1269" s="197"/>
      <c r="AB1269" s="197"/>
      <c r="AC1269" s="197"/>
      <c r="AD1269" s="197"/>
      <c r="AE1269" s="1094"/>
      <c r="AF1269" s="197"/>
      <c r="AG1269" s="197"/>
      <c r="AH1269" s="197"/>
      <c r="AI1269" s="197"/>
      <c r="AJ1269" s="1094"/>
      <c r="AK1269" s="197"/>
      <c r="AL1269" s="197"/>
      <c r="AM1269" s="197"/>
      <c r="AN1269" s="197"/>
      <c r="AO1269" s="1094"/>
      <c r="AP1269" s="197"/>
      <c r="AQ1269" s="197"/>
      <c r="AR1269" s="197"/>
      <c r="AS1269" s="197"/>
      <c r="AT1269" s="198"/>
      <c r="AU1269" s="197"/>
      <c r="AV1269" s="197"/>
      <c r="AW1269" s="197"/>
      <c r="AX1269" s="197"/>
      <c r="AY1269" s="198"/>
      <c r="AZ1269" s="197"/>
      <c r="BA1269" s="197"/>
      <c r="BB1269" s="197"/>
      <c r="BC1269" s="197"/>
      <c r="BD1269" s="198"/>
      <c r="BE1269" s="197"/>
      <c r="BF1269" s="197"/>
      <c r="BG1269" s="197"/>
      <c r="BH1269" s="197"/>
      <c r="BI1269" s="198"/>
      <c r="BJ1269" s="197"/>
      <c r="BK1269" s="197"/>
      <c r="BL1269" s="197"/>
      <c r="BM1269" s="197"/>
      <c r="BN1269" s="198"/>
      <c r="BO1269" s="197"/>
      <c r="BP1269" s="197"/>
      <c r="BQ1269" s="197"/>
      <c r="BR1269" s="197"/>
      <c r="BS1269" s="198"/>
      <c r="BT1269" s="727"/>
      <c r="BU1269" s="197"/>
      <c r="BV1269" s="197"/>
      <c r="BW1269" s="197"/>
      <c r="BX1269" s="1094"/>
      <c r="BY1269" s="197"/>
      <c r="BZ1269" s="197"/>
      <c r="CA1269" s="197"/>
      <c r="CB1269" s="197"/>
      <c r="CC1269" s="1094"/>
      <c r="CD1269" s="1094"/>
      <c r="CE1269" s="1094"/>
      <c r="CF1269" s="1094"/>
      <c r="CG1269" s="349"/>
    </row>
    <row r="1270" spans="1:85" s="613" customFormat="1" x14ac:dyDescent="0.3">
      <c r="A1270" s="478" t="s">
        <v>1276</v>
      </c>
      <c r="B1270" s="523"/>
      <c r="C1270" s="78"/>
      <c r="D1270" s="78"/>
      <c r="E1270" s="78"/>
      <c r="F1270" s="78"/>
      <c r="G1270" s="774"/>
      <c r="H1270" s="774"/>
      <c r="I1270" s="774"/>
      <c r="J1270" s="774"/>
      <c r="K1270" s="78"/>
      <c r="L1270" s="774"/>
      <c r="M1270" s="774"/>
      <c r="N1270" s="774"/>
      <c r="O1270" s="774"/>
      <c r="P1270" s="78"/>
      <c r="Q1270" s="774"/>
      <c r="R1270" s="774"/>
      <c r="S1270" s="774"/>
      <c r="T1270" s="774"/>
      <c r="U1270" s="78"/>
      <c r="V1270" s="774"/>
      <c r="W1270" s="774"/>
      <c r="X1270" s="774"/>
      <c r="Y1270" s="774"/>
      <c r="Z1270" s="78"/>
      <c r="AA1270" s="774"/>
      <c r="AB1270" s="774"/>
      <c r="AC1270" s="774"/>
      <c r="AD1270" s="774"/>
      <c r="AE1270" s="78"/>
      <c r="AF1270" s="774"/>
      <c r="AG1270" s="774"/>
      <c r="AH1270" s="774"/>
      <c r="AI1270" s="774"/>
      <c r="AJ1270" s="78"/>
      <c r="AK1270" s="774"/>
      <c r="AL1270" s="774"/>
      <c r="AM1270" s="774"/>
      <c r="AN1270" s="774"/>
      <c r="AO1270" s="78"/>
      <c r="AP1270" s="774"/>
      <c r="AQ1270" s="774"/>
      <c r="AR1270" s="774"/>
      <c r="AS1270" s="774"/>
      <c r="AT1270" s="1119">
        <v>1.4490000000000001</v>
      </c>
      <c r="AU1270" s="774"/>
      <c r="AV1270" s="774"/>
      <c r="AW1270" s="774"/>
      <c r="AX1270" s="774"/>
      <c r="AY1270" s="1119">
        <v>1.4490000000000001</v>
      </c>
      <c r="AZ1270" s="774"/>
      <c r="BA1270" s="774"/>
      <c r="BB1270" s="774"/>
      <c r="BC1270" s="774"/>
      <c r="BD1270" s="1119">
        <v>1.4490000000000001</v>
      </c>
      <c r="BE1270" s="774"/>
      <c r="BF1270" s="774"/>
      <c r="BG1270" s="774"/>
      <c r="BH1270" s="774"/>
      <c r="BI1270" s="1119">
        <v>1.4490000000000001</v>
      </c>
      <c r="BJ1270" s="774"/>
      <c r="BK1270" s="774"/>
      <c r="BL1270" s="774"/>
      <c r="BM1270" s="774"/>
      <c r="BN1270" s="78"/>
      <c r="BO1270" s="774"/>
      <c r="BP1270" s="774"/>
      <c r="BQ1270" s="774"/>
      <c r="BR1270" s="774"/>
      <c r="BS1270" s="78"/>
      <c r="BT1270" s="775"/>
      <c r="BU1270" s="774"/>
      <c r="BV1270" s="774"/>
      <c r="BW1270" s="774"/>
      <c r="BX1270" s="78"/>
      <c r="BY1270" s="774"/>
      <c r="BZ1270" s="774"/>
      <c r="CA1270" s="774"/>
      <c r="CB1270" s="774"/>
      <c r="CC1270" s="78"/>
      <c r="CD1270" s="78"/>
      <c r="CE1270" s="78"/>
      <c r="CF1270" s="78"/>
      <c r="CG1270" s="532"/>
    </row>
    <row r="1271" spans="1:85" s="616" customFormat="1" x14ac:dyDescent="0.3">
      <c r="A1271" s="522" t="s">
        <v>1275</v>
      </c>
      <c r="B1271" s="527"/>
      <c r="C1271" s="1124"/>
      <c r="D1271" s="1124"/>
      <c r="E1271" s="1124"/>
      <c r="F1271" s="1124"/>
      <c r="G1271" s="526"/>
      <c r="H1271" s="526"/>
      <c r="I1271" s="526"/>
      <c r="J1271" s="526"/>
      <c r="K1271" s="1124"/>
      <c r="L1271" s="526"/>
      <c r="M1271" s="526"/>
      <c r="N1271" s="526"/>
      <c r="O1271" s="526"/>
      <c r="P1271" s="1124"/>
      <c r="Q1271" s="526"/>
      <c r="R1271" s="526"/>
      <c r="S1271" s="526"/>
      <c r="T1271" s="526"/>
      <c r="U1271" s="1124"/>
      <c r="V1271" s="526"/>
      <c r="W1271" s="526"/>
      <c r="X1271" s="526"/>
      <c r="Y1271" s="526"/>
      <c r="Z1271" s="1124"/>
      <c r="AA1271" s="526"/>
      <c r="AB1271" s="526"/>
      <c r="AC1271" s="526"/>
      <c r="AD1271" s="526"/>
      <c r="AE1271" s="1124"/>
      <c r="AF1271" s="526"/>
      <c r="AG1271" s="526"/>
      <c r="AH1271" s="526"/>
      <c r="AI1271" s="526"/>
      <c r="AJ1271" s="1124"/>
      <c r="AK1271" s="526"/>
      <c r="AL1271" s="526"/>
      <c r="AM1271" s="526"/>
      <c r="AN1271" s="526"/>
      <c r="AO1271" s="1124"/>
      <c r="AP1271" s="526"/>
      <c r="AQ1271" s="526"/>
      <c r="AR1271" s="526"/>
      <c r="AS1271" s="526"/>
      <c r="AT1271" s="1123">
        <v>174.74</v>
      </c>
      <c r="AU1271" s="526"/>
      <c r="AV1271" s="526"/>
      <c r="AW1271" s="526"/>
      <c r="AX1271" s="526"/>
      <c r="AY1271" s="1123">
        <v>174.74</v>
      </c>
      <c r="AZ1271" s="526"/>
      <c r="BA1271" s="526"/>
      <c r="BB1271" s="526"/>
      <c r="BC1271" s="526"/>
      <c r="BD1271" s="1123">
        <v>174.74</v>
      </c>
      <c r="BE1271" s="526"/>
      <c r="BF1271" s="526"/>
      <c r="BG1271" s="526"/>
      <c r="BH1271" s="526"/>
      <c r="BI1271" s="1123">
        <v>174.74</v>
      </c>
      <c r="BJ1271" s="526"/>
      <c r="BK1271" s="526"/>
      <c r="BL1271" s="526"/>
      <c r="BM1271" s="526"/>
      <c r="BN1271" s="1124"/>
      <c r="BO1271" s="526"/>
      <c r="BP1271" s="526"/>
      <c r="BQ1271" s="526"/>
      <c r="BR1271" s="526"/>
      <c r="BS1271" s="1124"/>
      <c r="BT1271" s="729"/>
      <c r="BU1271" s="526"/>
      <c r="BV1271" s="526"/>
      <c r="BW1271" s="526"/>
      <c r="BX1271" s="1124"/>
      <c r="BY1271" s="526"/>
      <c r="BZ1271" s="526"/>
      <c r="CA1271" s="526"/>
      <c r="CB1271" s="526"/>
      <c r="CC1271" s="1124"/>
      <c r="CD1271" s="1124"/>
      <c r="CE1271" s="1124"/>
      <c r="CF1271" s="1124"/>
      <c r="CG1271" s="533"/>
    </row>
    <row r="1272" spans="1:85" s="614" customFormat="1" x14ac:dyDescent="0.3">
      <c r="A1272" s="522"/>
      <c r="B1272" s="352"/>
      <c r="C1272" s="1094"/>
      <c r="D1272" s="1094"/>
      <c r="E1272" s="1094"/>
      <c r="F1272" s="1094"/>
      <c r="G1272" s="197"/>
      <c r="H1272" s="197"/>
      <c r="I1272" s="197"/>
      <c r="J1272" s="197"/>
      <c r="K1272" s="1094"/>
      <c r="L1272" s="197"/>
      <c r="M1272" s="197"/>
      <c r="N1272" s="197"/>
      <c r="O1272" s="197"/>
      <c r="P1272" s="1094"/>
      <c r="Q1272" s="197"/>
      <c r="R1272" s="197"/>
      <c r="S1272" s="197"/>
      <c r="T1272" s="197"/>
      <c r="U1272" s="1094"/>
      <c r="V1272" s="197"/>
      <c r="W1272" s="197"/>
      <c r="X1272" s="197"/>
      <c r="Y1272" s="197"/>
      <c r="Z1272" s="1094"/>
      <c r="AA1272" s="197"/>
      <c r="AB1272" s="197"/>
      <c r="AC1272" s="197"/>
      <c r="AD1272" s="197"/>
      <c r="AE1272" s="1094"/>
      <c r="AF1272" s="197"/>
      <c r="AG1272" s="197"/>
      <c r="AH1272" s="197"/>
      <c r="AI1272" s="197"/>
      <c r="AJ1272" s="1094"/>
      <c r="AK1272" s="197"/>
      <c r="AL1272" s="197"/>
      <c r="AM1272" s="197"/>
      <c r="AN1272" s="197"/>
      <c r="AO1272" s="1094"/>
      <c r="AP1272" s="197"/>
      <c r="AQ1272" s="197"/>
      <c r="AR1272" s="197"/>
      <c r="AS1272" s="197"/>
      <c r="AT1272" s="198"/>
      <c r="AU1272" s="197"/>
      <c r="AV1272" s="197"/>
      <c r="AW1272" s="197"/>
      <c r="AX1272" s="197"/>
      <c r="AY1272" s="198"/>
      <c r="AZ1272" s="197"/>
      <c r="BA1272" s="197"/>
      <c r="BB1272" s="197"/>
      <c r="BC1272" s="197"/>
      <c r="BD1272" s="198"/>
      <c r="BE1272" s="197"/>
      <c r="BF1272" s="197"/>
      <c r="BG1272" s="197"/>
      <c r="BH1272" s="197"/>
      <c r="BI1272" s="198"/>
      <c r="BJ1272" s="197"/>
      <c r="BK1272" s="197"/>
      <c r="BL1272" s="197"/>
      <c r="BM1272" s="197"/>
      <c r="BN1272" s="198"/>
      <c r="BO1272" s="197"/>
      <c r="BP1272" s="197"/>
      <c r="BQ1272" s="197"/>
      <c r="BR1272" s="197"/>
      <c r="BS1272" s="198"/>
      <c r="BT1272" s="727"/>
      <c r="BU1272" s="197"/>
      <c r="BV1272" s="197"/>
      <c r="BW1272" s="197"/>
      <c r="BX1272" s="1094"/>
      <c r="BY1272" s="197"/>
      <c r="BZ1272" s="197"/>
      <c r="CA1272" s="197"/>
      <c r="CB1272" s="197"/>
      <c r="CC1272" s="1094"/>
      <c r="CD1272" s="1094"/>
      <c r="CE1272" s="1094"/>
      <c r="CF1272" s="1094"/>
      <c r="CG1272" s="349"/>
    </row>
    <row r="1273" spans="1:85" s="613" customFormat="1" x14ac:dyDescent="0.3">
      <c r="A1273" s="478" t="s">
        <v>1274</v>
      </c>
      <c r="B1273" s="523"/>
      <c r="C1273" s="78"/>
      <c r="D1273" s="78"/>
      <c r="E1273" s="78"/>
      <c r="F1273" s="78"/>
      <c r="G1273" s="774"/>
      <c r="H1273" s="774"/>
      <c r="I1273" s="774"/>
      <c r="J1273" s="774"/>
      <c r="K1273" s="78"/>
      <c r="L1273" s="774"/>
      <c r="M1273" s="774"/>
      <c r="N1273" s="774"/>
      <c r="O1273" s="774"/>
      <c r="P1273" s="78"/>
      <c r="Q1273" s="774"/>
      <c r="R1273" s="774"/>
      <c r="S1273" s="774"/>
      <c r="T1273" s="774"/>
      <c r="U1273" s="78"/>
      <c r="V1273" s="774"/>
      <c r="W1273" s="774"/>
      <c r="X1273" s="774"/>
      <c r="Y1273" s="774"/>
      <c r="Z1273" s="78"/>
      <c r="AA1273" s="774"/>
      <c r="AB1273" s="774"/>
      <c r="AC1273" s="774"/>
      <c r="AD1273" s="774"/>
      <c r="AE1273" s="78"/>
      <c r="AF1273" s="774"/>
      <c r="AG1273" s="774"/>
      <c r="AH1273" s="774"/>
      <c r="AI1273" s="774"/>
      <c r="AJ1273" s="78"/>
      <c r="AK1273" s="774"/>
      <c r="AL1273" s="774"/>
      <c r="AM1273" s="774"/>
      <c r="AN1273" s="774"/>
      <c r="AO1273" s="78"/>
      <c r="AP1273" s="774"/>
      <c r="AQ1273" s="774"/>
      <c r="AR1273" s="774"/>
      <c r="AS1273" s="774"/>
      <c r="AT1273" s="1119">
        <v>1.43</v>
      </c>
      <c r="AU1273" s="774"/>
      <c r="AV1273" s="774"/>
      <c r="AW1273" s="774"/>
      <c r="AX1273" s="774"/>
      <c r="AY1273" s="1119">
        <v>1.43</v>
      </c>
      <c r="AZ1273" s="774"/>
      <c r="BA1273" s="774"/>
      <c r="BB1273" s="774"/>
      <c r="BC1273" s="774"/>
      <c r="BD1273" s="1119">
        <v>1.43</v>
      </c>
      <c r="BE1273" s="774"/>
      <c r="BF1273" s="774"/>
      <c r="BG1273" s="774"/>
      <c r="BH1273" s="774"/>
      <c r="BI1273" s="1119">
        <v>1.43</v>
      </c>
      <c r="BJ1273" s="774"/>
      <c r="BK1273" s="774"/>
      <c r="BL1273" s="774"/>
      <c r="BM1273" s="774"/>
      <c r="BN1273" s="78"/>
      <c r="BO1273" s="774"/>
      <c r="BP1273" s="774"/>
      <c r="BQ1273" s="774"/>
      <c r="BR1273" s="774"/>
      <c r="BS1273" s="78"/>
      <c r="BT1273" s="775"/>
      <c r="BU1273" s="774"/>
      <c r="BV1273" s="774"/>
      <c r="BW1273" s="774"/>
      <c r="BX1273" s="78"/>
      <c r="BY1273" s="774"/>
      <c r="BZ1273" s="774"/>
      <c r="CA1273" s="774"/>
      <c r="CB1273" s="774"/>
      <c r="CC1273" s="78"/>
      <c r="CD1273" s="78"/>
      <c r="CE1273" s="78"/>
      <c r="CF1273" s="78"/>
      <c r="CG1273" s="532"/>
    </row>
    <row r="1274" spans="1:85" s="616" customFormat="1" x14ac:dyDescent="0.3">
      <c r="A1274" s="522" t="s">
        <v>1273</v>
      </c>
      <c r="B1274" s="527"/>
      <c r="C1274" s="1124"/>
      <c r="D1274" s="1124"/>
      <c r="E1274" s="1124"/>
      <c r="F1274" s="1124"/>
      <c r="G1274" s="526"/>
      <c r="H1274" s="526"/>
      <c r="I1274" s="526"/>
      <c r="J1274" s="526"/>
      <c r="K1274" s="1124"/>
      <c r="L1274" s="526"/>
      <c r="M1274" s="526"/>
      <c r="N1274" s="526"/>
      <c r="O1274" s="526"/>
      <c r="P1274" s="1124"/>
      <c r="Q1274" s="526"/>
      <c r="R1274" s="526"/>
      <c r="S1274" s="526"/>
      <c r="T1274" s="526"/>
      <c r="U1274" s="1124"/>
      <c r="V1274" s="526"/>
      <c r="W1274" s="526"/>
      <c r="X1274" s="526"/>
      <c r="Y1274" s="526"/>
      <c r="Z1274" s="1124"/>
      <c r="AA1274" s="526"/>
      <c r="AB1274" s="526"/>
      <c r="AC1274" s="526"/>
      <c r="AD1274" s="526"/>
      <c r="AE1274" s="1124"/>
      <c r="AF1274" s="526"/>
      <c r="AG1274" s="526"/>
      <c r="AH1274" s="526"/>
      <c r="AI1274" s="526"/>
      <c r="AJ1274" s="1124"/>
      <c r="AK1274" s="526"/>
      <c r="AL1274" s="526"/>
      <c r="AM1274" s="526"/>
      <c r="AN1274" s="526"/>
      <c r="AO1274" s="1124"/>
      <c r="AP1274" s="526"/>
      <c r="AQ1274" s="526"/>
      <c r="AR1274" s="526"/>
      <c r="AS1274" s="526"/>
      <c r="AT1274" s="1123">
        <v>177.01</v>
      </c>
      <c r="AU1274" s="526"/>
      <c r="AV1274" s="526"/>
      <c r="AW1274" s="526"/>
      <c r="AX1274" s="526"/>
      <c r="AY1274" s="1123">
        <v>177.01</v>
      </c>
      <c r="AZ1274" s="526"/>
      <c r="BA1274" s="526"/>
      <c r="BB1274" s="526"/>
      <c r="BC1274" s="526"/>
      <c r="BD1274" s="1123">
        <v>177.01</v>
      </c>
      <c r="BE1274" s="526"/>
      <c r="BF1274" s="526"/>
      <c r="BG1274" s="526"/>
      <c r="BH1274" s="526"/>
      <c r="BI1274" s="1123">
        <v>177.01</v>
      </c>
      <c r="BJ1274" s="526"/>
      <c r="BK1274" s="526"/>
      <c r="BL1274" s="526"/>
      <c r="BM1274" s="526"/>
      <c r="BN1274" s="1124"/>
      <c r="BO1274" s="526"/>
      <c r="BP1274" s="526"/>
      <c r="BQ1274" s="526"/>
      <c r="BR1274" s="526"/>
      <c r="BS1274" s="1124"/>
      <c r="BT1274" s="729"/>
      <c r="BU1274" s="526"/>
      <c r="BV1274" s="526"/>
      <c r="BW1274" s="526"/>
      <c r="BX1274" s="1124"/>
      <c r="BY1274" s="526"/>
      <c r="BZ1274" s="526"/>
      <c r="CA1274" s="526"/>
      <c r="CB1274" s="526"/>
      <c r="CC1274" s="1124"/>
      <c r="CD1274" s="1124"/>
      <c r="CE1274" s="1124"/>
      <c r="CF1274" s="1124"/>
      <c r="CG1274" s="533"/>
    </row>
    <row r="1275" spans="1:85" s="614" customFormat="1" x14ac:dyDescent="0.3">
      <c r="A1275" s="522"/>
      <c r="B1275" s="352"/>
      <c r="C1275" s="1094"/>
      <c r="D1275" s="1094"/>
      <c r="E1275" s="1094"/>
      <c r="F1275" s="1094"/>
      <c r="G1275" s="197"/>
      <c r="H1275" s="197"/>
      <c r="I1275" s="197"/>
      <c r="J1275" s="197"/>
      <c r="K1275" s="1094"/>
      <c r="L1275" s="197"/>
      <c r="M1275" s="197"/>
      <c r="N1275" s="197"/>
      <c r="O1275" s="197"/>
      <c r="P1275" s="1094"/>
      <c r="Q1275" s="197"/>
      <c r="R1275" s="197"/>
      <c r="S1275" s="197"/>
      <c r="T1275" s="197"/>
      <c r="U1275" s="1094"/>
      <c r="V1275" s="197"/>
      <c r="W1275" s="197"/>
      <c r="X1275" s="197"/>
      <c r="Y1275" s="197"/>
      <c r="Z1275" s="1094"/>
      <c r="AA1275" s="197"/>
      <c r="AB1275" s="197"/>
      <c r="AC1275" s="197"/>
      <c r="AD1275" s="197"/>
      <c r="AE1275" s="1094"/>
      <c r="AF1275" s="197"/>
      <c r="AG1275" s="197"/>
      <c r="AH1275" s="197"/>
      <c r="AI1275" s="197"/>
      <c r="AJ1275" s="1094"/>
      <c r="AK1275" s="197"/>
      <c r="AL1275" s="197"/>
      <c r="AM1275" s="197"/>
      <c r="AN1275" s="197"/>
      <c r="AO1275" s="1094"/>
      <c r="AP1275" s="197"/>
      <c r="AQ1275" s="197"/>
      <c r="AR1275" s="197"/>
      <c r="AS1275" s="197"/>
      <c r="AT1275" s="198"/>
      <c r="AU1275" s="197"/>
      <c r="AV1275" s="197"/>
      <c r="AW1275" s="197"/>
      <c r="AX1275" s="197"/>
      <c r="AY1275" s="198"/>
      <c r="AZ1275" s="197"/>
      <c r="BA1275" s="197"/>
      <c r="BB1275" s="197"/>
      <c r="BC1275" s="197"/>
      <c r="BD1275" s="198"/>
      <c r="BE1275" s="197"/>
      <c r="BF1275" s="197"/>
      <c r="BG1275" s="197"/>
      <c r="BH1275" s="197"/>
      <c r="BI1275" s="198"/>
      <c r="BJ1275" s="197"/>
      <c r="BK1275" s="197"/>
      <c r="BL1275" s="197"/>
      <c r="BM1275" s="197"/>
      <c r="BN1275" s="198"/>
      <c r="BO1275" s="197"/>
      <c r="BP1275" s="197"/>
      <c r="BQ1275" s="197"/>
      <c r="BR1275" s="197"/>
      <c r="BS1275" s="198"/>
      <c r="BT1275" s="727"/>
      <c r="BU1275" s="197"/>
      <c r="BV1275" s="197"/>
      <c r="BW1275" s="197"/>
      <c r="BX1275" s="1094"/>
      <c r="BY1275" s="197"/>
      <c r="BZ1275" s="197"/>
      <c r="CA1275" s="197"/>
      <c r="CB1275" s="197"/>
      <c r="CC1275" s="1094"/>
      <c r="CD1275" s="1094"/>
      <c r="CE1275" s="1094"/>
      <c r="CF1275" s="1094"/>
      <c r="CG1275" s="349"/>
    </row>
    <row r="1276" spans="1:85" s="613" customFormat="1" x14ac:dyDescent="0.3">
      <c r="A1276" s="478" t="s">
        <v>1272</v>
      </c>
      <c r="B1276" s="523"/>
      <c r="C1276" s="78"/>
      <c r="D1276" s="78"/>
      <c r="E1276" s="78"/>
      <c r="F1276" s="78"/>
      <c r="G1276" s="774"/>
      <c r="H1276" s="774"/>
      <c r="I1276" s="774"/>
      <c r="J1276" s="774"/>
      <c r="K1276" s="78"/>
      <c r="L1276" s="774"/>
      <c r="M1276" s="774"/>
      <c r="N1276" s="774"/>
      <c r="O1276" s="774"/>
      <c r="P1276" s="78"/>
      <c r="Q1276" s="774"/>
      <c r="R1276" s="774"/>
      <c r="S1276" s="774"/>
      <c r="T1276" s="774"/>
      <c r="U1276" s="78"/>
      <c r="V1276" s="774"/>
      <c r="W1276" s="774"/>
      <c r="X1276" s="774"/>
      <c r="Y1276" s="774"/>
      <c r="Z1276" s="78"/>
      <c r="AA1276" s="774"/>
      <c r="AB1276" s="774"/>
      <c r="AC1276" s="774"/>
      <c r="AD1276" s="774"/>
      <c r="AE1276" s="78"/>
      <c r="AF1276" s="774"/>
      <c r="AG1276" s="774"/>
      <c r="AH1276" s="774"/>
      <c r="AI1276" s="774"/>
      <c r="AJ1276" s="78"/>
      <c r="AK1276" s="774"/>
      <c r="AL1276" s="774"/>
      <c r="AM1276" s="774"/>
      <c r="AN1276" s="774"/>
      <c r="AO1276" s="78"/>
      <c r="AP1276" s="774"/>
      <c r="AQ1276" s="774"/>
      <c r="AR1276" s="774"/>
      <c r="AS1276" s="774"/>
      <c r="AT1276" s="1119">
        <v>1.278</v>
      </c>
      <c r="AU1276" s="774"/>
      <c r="AV1276" s="774"/>
      <c r="AW1276" s="774"/>
      <c r="AX1276" s="774"/>
      <c r="AY1276" s="1119">
        <v>1.278</v>
      </c>
      <c r="AZ1276" s="774"/>
      <c r="BA1276" s="774"/>
      <c r="BB1276" s="774"/>
      <c r="BC1276" s="774"/>
      <c r="BD1276" s="1119">
        <v>1.278</v>
      </c>
      <c r="BE1276" s="774"/>
      <c r="BF1276" s="774"/>
      <c r="BG1276" s="774"/>
      <c r="BH1276" s="774"/>
      <c r="BI1276" s="1119">
        <v>1.278</v>
      </c>
      <c r="BJ1276" s="774"/>
      <c r="BK1276" s="774"/>
      <c r="BL1276" s="774"/>
      <c r="BM1276" s="774"/>
      <c r="BN1276" s="78"/>
      <c r="BO1276" s="774"/>
      <c r="BP1276" s="774"/>
      <c r="BQ1276" s="774"/>
      <c r="BR1276" s="774"/>
      <c r="BS1276" s="78"/>
      <c r="BT1276" s="775"/>
      <c r="BU1276" s="774"/>
      <c r="BV1276" s="774"/>
      <c r="BW1276" s="774"/>
      <c r="BX1276" s="78"/>
      <c r="BY1276" s="774"/>
      <c r="BZ1276" s="774"/>
      <c r="CA1276" s="774"/>
      <c r="CB1276" s="774"/>
      <c r="CC1276" s="78"/>
      <c r="CD1276" s="78"/>
      <c r="CE1276" s="78"/>
      <c r="CF1276" s="78"/>
      <c r="CG1276" s="532"/>
    </row>
    <row r="1277" spans="1:85" s="616" customFormat="1" x14ac:dyDescent="0.3">
      <c r="A1277" s="522" t="s">
        <v>1271</v>
      </c>
      <c r="B1277" s="527"/>
      <c r="C1277" s="1124"/>
      <c r="D1277" s="1124"/>
      <c r="E1277" s="1124"/>
      <c r="F1277" s="1124"/>
      <c r="G1277" s="526"/>
      <c r="H1277" s="526"/>
      <c r="I1277" s="526"/>
      <c r="J1277" s="526"/>
      <c r="K1277" s="1124"/>
      <c r="L1277" s="526"/>
      <c r="M1277" s="526"/>
      <c r="N1277" s="526"/>
      <c r="O1277" s="526"/>
      <c r="P1277" s="1124"/>
      <c r="Q1277" s="526"/>
      <c r="R1277" s="526"/>
      <c r="S1277" s="526"/>
      <c r="T1277" s="526"/>
      <c r="U1277" s="1124"/>
      <c r="V1277" s="526"/>
      <c r="W1277" s="526"/>
      <c r="X1277" s="526"/>
      <c r="Y1277" s="526"/>
      <c r="Z1277" s="1124"/>
      <c r="AA1277" s="526"/>
      <c r="AB1277" s="526"/>
      <c r="AC1277" s="526"/>
      <c r="AD1277" s="526"/>
      <c r="AE1277" s="1124"/>
      <c r="AF1277" s="526"/>
      <c r="AG1277" s="526"/>
      <c r="AH1277" s="526"/>
      <c r="AI1277" s="526"/>
      <c r="AJ1277" s="1124"/>
      <c r="AK1277" s="526"/>
      <c r="AL1277" s="526"/>
      <c r="AM1277" s="526"/>
      <c r="AN1277" s="526"/>
      <c r="AO1277" s="1124"/>
      <c r="AP1277" s="526"/>
      <c r="AQ1277" s="526"/>
      <c r="AR1277" s="526"/>
      <c r="AS1277" s="526"/>
      <c r="AT1277" s="1123">
        <v>198</v>
      </c>
      <c r="AU1277" s="526"/>
      <c r="AV1277" s="526"/>
      <c r="AW1277" s="526"/>
      <c r="AX1277" s="526"/>
      <c r="AY1277" s="1123">
        <v>198</v>
      </c>
      <c r="AZ1277" s="526"/>
      <c r="BA1277" s="526"/>
      <c r="BB1277" s="526"/>
      <c r="BC1277" s="526"/>
      <c r="BD1277" s="1123">
        <v>198</v>
      </c>
      <c r="BE1277" s="526"/>
      <c r="BF1277" s="526"/>
      <c r="BG1277" s="526"/>
      <c r="BH1277" s="526"/>
      <c r="BI1277" s="1123">
        <v>198</v>
      </c>
      <c r="BJ1277" s="526"/>
      <c r="BK1277" s="526"/>
      <c r="BL1277" s="526"/>
      <c r="BM1277" s="526"/>
      <c r="BN1277" s="1124"/>
      <c r="BO1277" s="526"/>
      <c r="BP1277" s="526"/>
      <c r="BQ1277" s="526"/>
      <c r="BR1277" s="526"/>
      <c r="BS1277" s="1124"/>
      <c r="BT1277" s="729"/>
      <c r="BU1277" s="526"/>
      <c r="BV1277" s="526"/>
      <c r="BW1277" s="526"/>
      <c r="BX1277" s="1124"/>
      <c r="BY1277" s="526"/>
      <c r="BZ1277" s="526"/>
      <c r="CA1277" s="526"/>
      <c r="CB1277" s="526"/>
      <c r="CC1277" s="1124"/>
      <c r="CD1277" s="1124"/>
      <c r="CE1277" s="1124"/>
      <c r="CF1277" s="1124"/>
      <c r="CG1277" s="533"/>
    </row>
    <row r="1278" spans="1:85" s="614" customFormat="1" x14ac:dyDescent="0.3">
      <c r="A1278" s="522"/>
      <c r="B1278" s="352"/>
      <c r="C1278" s="1094"/>
      <c r="D1278" s="1094"/>
      <c r="E1278" s="1094"/>
      <c r="F1278" s="1094"/>
      <c r="G1278" s="197"/>
      <c r="H1278" s="197"/>
      <c r="I1278" s="197"/>
      <c r="J1278" s="197"/>
      <c r="K1278" s="1094"/>
      <c r="L1278" s="197"/>
      <c r="M1278" s="197"/>
      <c r="N1278" s="197"/>
      <c r="O1278" s="197"/>
      <c r="P1278" s="1094"/>
      <c r="Q1278" s="197"/>
      <c r="R1278" s="197"/>
      <c r="S1278" s="197"/>
      <c r="T1278" s="197"/>
      <c r="U1278" s="1094"/>
      <c r="V1278" s="197"/>
      <c r="W1278" s="197"/>
      <c r="X1278" s="197"/>
      <c r="Y1278" s="197"/>
      <c r="Z1278" s="1094"/>
      <c r="AA1278" s="197"/>
      <c r="AB1278" s="197"/>
      <c r="AC1278" s="197"/>
      <c r="AD1278" s="197"/>
      <c r="AE1278" s="1094"/>
      <c r="AF1278" s="197"/>
      <c r="AG1278" s="197"/>
      <c r="AH1278" s="197"/>
      <c r="AI1278" s="197"/>
      <c r="AJ1278" s="1094"/>
      <c r="AK1278" s="197"/>
      <c r="AL1278" s="197"/>
      <c r="AM1278" s="197"/>
      <c r="AN1278" s="197"/>
      <c r="AO1278" s="1094"/>
      <c r="AP1278" s="197"/>
      <c r="AQ1278" s="197"/>
      <c r="AR1278" s="197"/>
      <c r="AS1278" s="197"/>
      <c r="AT1278" s="198"/>
      <c r="AU1278" s="197"/>
      <c r="AV1278" s="197"/>
      <c r="AW1278" s="197"/>
      <c r="AX1278" s="197"/>
      <c r="AY1278" s="198"/>
      <c r="AZ1278" s="197"/>
      <c r="BA1278" s="197"/>
      <c r="BB1278" s="197"/>
      <c r="BC1278" s="197"/>
      <c r="BD1278" s="198"/>
      <c r="BE1278" s="197"/>
      <c r="BF1278" s="197"/>
      <c r="BG1278" s="197"/>
      <c r="BH1278" s="197"/>
      <c r="BI1278" s="198"/>
      <c r="BJ1278" s="197"/>
      <c r="BK1278" s="197"/>
      <c r="BL1278" s="197"/>
      <c r="BM1278" s="197"/>
      <c r="BN1278" s="198"/>
      <c r="BO1278" s="197"/>
      <c r="BP1278" s="197"/>
      <c r="BQ1278" s="197"/>
      <c r="BR1278" s="197"/>
      <c r="BS1278" s="198"/>
      <c r="BT1278" s="727"/>
      <c r="BU1278" s="197"/>
      <c r="BV1278" s="197"/>
      <c r="BW1278" s="197"/>
      <c r="BX1278" s="1094"/>
      <c r="BY1278" s="197"/>
      <c r="BZ1278" s="197"/>
      <c r="CA1278" s="197"/>
      <c r="CB1278" s="197"/>
      <c r="CC1278" s="1094"/>
      <c r="CD1278" s="1094"/>
      <c r="CE1278" s="1094"/>
      <c r="CF1278" s="1094"/>
      <c r="CG1278" s="349"/>
    </row>
    <row r="1279" spans="1:85" s="613" customFormat="1" x14ac:dyDescent="0.3">
      <c r="A1279" s="478" t="s">
        <v>1270</v>
      </c>
      <c r="B1279" s="523"/>
      <c r="C1279" s="78"/>
      <c r="D1279" s="78"/>
      <c r="E1279" s="78"/>
      <c r="F1279" s="78"/>
      <c r="G1279" s="774"/>
      <c r="H1279" s="774"/>
      <c r="I1279" s="774"/>
      <c r="J1279" s="774"/>
      <c r="K1279" s="78"/>
      <c r="L1279" s="774"/>
      <c r="M1279" s="774"/>
      <c r="N1279" s="774"/>
      <c r="O1279" s="774"/>
      <c r="P1279" s="78"/>
      <c r="Q1279" s="774"/>
      <c r="R1279" s="774"/>
      <c r="S1279" s="774"/>
      <c r="T1279" s="774"/>
      <c r="U1279" s="78"/>
      <c r="V1279" s="774"/>
      <c r="W1279" s="774"/>
      <c r="X1279" s="774"/>
      <c r="Y1279" s="774"/>
      <c r="Z1279" s="78"/>
      <c r="AA1279" s="774"/>
      <c r="AB1279" s="774"/>
      <c r="AC1279" s="774"/>
      <c r="AD1279" s="774"/>
      <c r="AE1279" s="78"/>
      <c r="AF1279" s="774"/>
      <c r="AG1279" s="774"/>
      <c r="AH1279" s="774"/>
      <c r="AI1279" s="774"/>
      <c r="AJ1279" s="78"/>
      <c r="AK1279" s="774"/>
      <c r="AL1279" s="774"/>
      <c r="AM1279" s="774"/>
      <c r="AN1279" s="774"/>
      <c r="AO1279" s="78"/>
      <c r="AP1279" s="774"/>
      <c r="AQ1279" s="774"/>
      <c r="AR1279" s="774"/>
      <c r="AS1279" s="774"/>
      <c r="AT1279" s="1119">
        <v>1.355</v>
      </c>
      <c r="AU1279" s="774"/>
      <c r="AV1279" s="774"/>
      <c r="AW1279" s="774"/>
      <c r="AX1279" s="774"/>
      <c r="AY1279" s="1119">
        <v>1.355</v>
      </c>
      <c r="AZ1279" s="774"/>
      <c r="BA1279" s="774"/>
      <c r="BB1279" s="774"/>
      <c r="BC1279" s="774"/>
      <c r="BD1279" s="1119">
        <v>1.355</v>
      </c>
      <c r="BE1279" s="774"/>
      <c r="BF1279" s="774"/>
      <c r="BG1279" s="774"/>
      <c r="BH1279" s="774"/>
      <c r="BI1279" s="1119">
        <v>1.355</v>
      </c>
      <c r="BJ1279" s="774"/>
      <c r="BK1279" s="774"/>
      <c r="BL1279" s="774"/>
      <c r="BM1279" s="774"/>
      <c r="BN1279" s="78"/>
      <c r="BO1279" s="774"/>
      <c r="BP1279" s="774"/>
      <c r="BQ1279" s="774"/>
      <c r="BR1279" s="774"/>
      <c r="BS1279" s="78"/>
      <c r="BT1279" s="775"/>
      <c r="BU1279" s="774"/>
      <c r="BV1279" s="774"/>
      <c r="BW1279" s="774"/>
      <c r="BX1279" s="78"/>
      <c r="BY1279" s="774"/>
      <c r="BZ1279" s="774"/>
      <c r="CA1279" s="774"/>
      <c r="CB1279" s="774"/>
      <c r="CC1279" s="78"/>
      <c r="CD1279" s="78"/>
      <c r="CE1279" s="78"/>
      <c r="CF1279" s="78"/>
      <c r="CG1279" s="532"/>
    </row>
    <row r="1280" spans="1:85" s="616" customFormat="1" x14ac:dyDescent="0.3">
      <c r="A1280" s="522" t="s">
        <v>1269</v>
      </c>
      <c r="B1280" s="527"/>
      <c r="C1280" s="1124"/>
      <c r="D1280" s="1124"/>
      <c r="E1280" s="1124"/>
      <c r="F1280" s="1124"/>
      <c r="G1280" s="526"/>
      <c r="H1280" s="526"/>
      <c r="I1280" s="526"/>
      <c r="J1280" s="526"/>
      <c r="K1280" s="1124"/>
      <c r="L1280" s="526"/>
      <c r="M1280" s="526"/>
      <c r="N1280" s="526"/>
      <c r="O1280" s="526"/>
      <c r="P1280" s="1124"/>
      <c r="Q1280" s="526"/>
      <c r="R1280" s="526"/>
      <c r="S1280" s="526"/>
      <c r="T1280" s="526"/>
      <c r="U1280" s="1124"/>
      <c r="V1280" s="526"/>
      <c r="W1280" s="526"/>
      <c r="X1280" s="526"/>
      <c r="Y1280" s="526"/>
      <c r="Z1280" s="1124"/>
      <c r="AA1280" s="526"/>
      <c r="AB1280" s="526"/>
      <c r="AC1280" s="526"/>
      <c r="AD1280" s="526"/>
      <c r="AE1280" s="1124"/>
      <c r="AF1280" s="526"/>
      <c r="AG1280" s="526"/>
      <c r="AH1280" s="526"/>
      <c r="AI1280" s="526"/>
      <c r="AJ1280" s="1124"/>
      <c r="AK1280" s="526"/>
      <c r="AL1280" s="526"/>
      <c r="AM1280" s="526"/>
      <c r="AN1280" s="526"/>
      <c r="AO1280" s="1124"/>
      <c r="AP1280" s="526"/>
      <c r="AQ1280" s="526"/>
      <c r="AR1280" s="526"/>
      <c r="AS1280" s="526"/>
      <c r="AT1280" s="1123">
        <v>186.82</v>
      </c>
      <c r="AU1280" s="526"/>
      <c r="AV1280" s="526"/>
      <c r="AW1280" s="526"/>
      <c r="AX1280" s="526"/>
      <c r="AY1280" s="1123">
        <v>186.82</v>
      </c>
      <c r="AZ1280" s="526"/>
      <c r="BA1280" s="526"/>
      <c r="BB1280" s="526"/>
      <c r="BC1280" s="526"/>
      <c r="BD1280" s="1123">
        <v>186.82</v>
      </c>
      <c r="BE1280" s="526"/>
      <c r="BF1280" s="526"/>
      <c r="BG1280" s="526"/>
      <c r="BH1280" s="526"/>
      <c r="BI1280" s="1123">
        <v>186.82</v>
      </c>
      <c r="BJ1280" s="526"/>
      <c r="BK1280" s="526"/>
      <c r="BL1280" s="526"/>
      <c r="BM1280" s="526"/>
      <c r="BN1280" s="1124"/>
      <c r="BO1280" s="526"/>
      <c r="BP1280" s="526"/>
      <c r="BQ1280" s="526"/>
      <c r="BR1280" s="526"/>
      <c r="BS1280" s="1124"/>
      <c r="BT1280" s="729"/>
      <c r="BU1280" s="526"/>
      <c r="BV1280" s="526"/>
      <c r="BW1280" s="526"/>
      <c r="BX1280" s="1124"/>
      <c r="BY1280" s="526"/>
      <c r="BZ1280" s="526"/>
      <c r="CA1280" s="526"/>
      <c r="CB1280" s="526"/>
      <c r="CC1280" s="1124"/>
      <c r="CD1280" s="1124"/>
      <c r="CE1280" s="1124"/>
      <c r="CF1280" s="1124"/>
      <c r="CG1280" s="533"/>
    </row>
    <row r="1281" spans="1:85" s="614" customFormat="1" x14ac:dyDescent="0.3">
      <c r="A1281" s="224"/>
      <c r="B1281" s="352"/>
      <c r="C1281" s="1094"/>
      <c r="D1281" s="1094"/>
      <c r="E1281" s="1094"/>
      <c r="F1281" s="1094"/>
      <c r="G1281" s="197"/>
      <c r="H1281" s="197"/>
      <c r="I1281" s="197"/>
      <c r="J1281" s="197"/>
      <c r="K1281" s="1094"/>
      <c r="L1281" s="197"/>
      <c r="M1281" s="197"/>
      <c r="N1281" s="197"/>
      <c r="O1281" s="197"/>
      <c r="P1281" s="1094"/>
      <c r="Q1281" s="197"/>
      <c r="R1281" s="197"/>
      <c r="S1281" s="197"/>
      <c r="T1281" s="197"/>
      <c r="U1281" s="1094"/>
      <c r="V1281" s="197"/>
      <c r="W1281" s="197"/>
      <c r="X1281" s="197"/>
      <c r="Y1281" s="197"/>
      <c r="Z1281" s="1094"/>
      <c r="AA1281" s="197"/>
      <c r="AB1281" s="197"/>
      <c r="AC1281" s="197"/>
      <c r="AD1281" s="197"/>
      <c r="AE1281" s="1094"/>
      <c r="AF1281" s="197"/>
      <c r="AG1281" s="197"/>
      <c r="AH1281" s="197"/>
      <c r="AI1281" s="197"/>
      <c r="AJ1281" s="1094"/>
      <c r="AK1281" s="197"/>
      <c r="AL1281" s="197"/>
      <c r="AM1281" s="197"/>
      <c r="AN1281" s="197"/>
      <c r="AO1281" s="1094"/>
      <c r="AP1281" s="197"/>
      <c r="AQ1281" s="197"/>
      <c r="AR1281" s="197"/>
      <c r="AS1281" s="197"/>
      <c r="AT1281" s="198"/>
      <c r="AU1281" s="197"/>
      <c r="AV1281" s="197"/>
      <c r="AW1281" s="197"/>
      <c r="AX1281" s="197"/>
      <c r="AY1281" s="198"/>
      <c r="AZ1281" s="197"/>
      <c r="BA1281" s="197"/>
      <c r="BB1281" s="197"/>
      <c r="BC1281" s="197"/>
      <c r="BD1281" s="198"/>
      <c r="BE1281" s="197"/>
      <c r="BF1281" s="197"/>
      <c r="BG1281" s="197"/>
      <c r="BH1281" s="197"/>
      <c r="BI1281" s="198"/>
      <c r="BJ1281" s="197"/>
      <c r="BK1281" s="197"/>
      <c r="BL1281" s="197"/>
      <c r="BM1281" s="197"/>
      <c r="BN1281" s="198"/>
      <c r="BO1281" s="197"/>
      <c r="BP1281" s="197"/>
      <c r="BQ1281" s="197"/>
      <c r="BR1281" s="197"/>
      <c r="BS1281" s="198"/>
      <c r="BT1281" s="727"/>
      <c r="BU1281" s="197"/>
      <c r="BV1281" s="197"/>
      <c r="BW1281" s="197"/>
      <c r="BX1281" s="1094"/>
      <c r="BY1281" s="197"/>
      <c r="BZ1281" s="197"/>
      <c r="CA1281" s="197"/>
      <c r="CB1281" s="197"/>
      <c r="CC1281" s="1094"/>
      <c r="CD1281" s="1094"/>
      <c r="CE1281" s="1094"/>
      <c r="CF1281" s="1094"/>
      <c r="CG1281" s="349"/>
    </row>
    <row r="1282" spans="1:85" s="613" customFormat="1" x14ac:dyDescent="0.3">
      <c r="A1282" s="478" t="s">
        <v>1268</v>
      </c>
      <c r="B1282" s="523"/>
      <c r="C1282" s="78"/>
      <c r="D1282" s="78"/>
      <c r="E1282" s="78"/>
      <c r="F1282" s="78"/>
      <c r="G1282" s="774"/>
      <c r="H1282" s="774"/>
      <c r="I1282" s="774"/>
      <c r="J1282" s="774"/>
      <c r="K1282" s="78"/>
      <c r="L1282" s="774"/>
      <c r="M1282" s="774"/>
      <c r="N1282" s="774"/>
      <c r="O1282" s="774"/>
      <c r="P1282" s="78"/>
      <c r="Q1282" s="774"/>
      <c r="R1282" s="774"/>
      <c r="S1282" s="774"/>
      <c r="T1282" s="774"/>
      <c r="U1282" s="78"/>
      <c r="V1282" s="774"/>
      <c r="W1282" s="774"/>
      <c r="X1282" s="774"/>
      <c r="Y1282" s="774"/>
      <c r="Z1282" s="78"/>
      <c r="AA1282" s="774"/>
      <c r="AB1282" s="774"/>
      <c r="AC1282" s="774"/>
      <c r="AD1282" s="774"/>
      <c r="AE1282" s="78"/>
      <c r="AF1282" s="774"/>
      <c r="AG1282" s="774"/>
      <c r="AH1282" s="774"/>
      <c r="AI1282" s="774"/>
      <c r="AJ1282" s="78"/>
      <c r="AK1282" s="774"/>
      <c r="AL1282" s="774"/>
      <c r="AM1282" s="774"/>
      <c r="AN1282" s="774"/>
      <c r="AO1282" s="78"/>
      <c r="AP1282" s="774"/>
      <c r="AQ1282" s="774"/>
      <c r="AR1282" s="774"/>
      <c r="AS1282" s="774"/>
      <c r="AT1282" s="1119">
        <v>1.2589999999999999</v>
      </c>
      <c r="AU1282" s="774"/>
      <c r="AV1282" s="774"/>
      <c r="AW1282" s="774"/>
      <c r="AX1282" s="774"/>
      <c r="AY1282" s="1119">
        <v>1.2589999999999999</v>
      </c>
      <c r="AZ1282" s="774"/>
      <c r="BA1282" s="774"/>
      <c r="BB1282" s="774"/>
      <c r="BC1282" s="774"/>
      <c r="BD1282" s="1119">
        <v>1.2589999999999999</v>
      </c>
      <c r="BE1282" s="774"/>
      <c r="BF1282" s="774"/>
      <c r="BG1282" s="774"/>
      <c r="BH1282" s="774"/>
      <c r="BI1282" s="1119">
        <v>1.2589999999999999</v>
      </c>
      <c r="BJ1282" s="774"/>
      <c r="BK1282" s="774"/>
      <c r="BL1282" s="774"/>
      <c r="BM1282" s="774"/>
      <c r="BN1282" s="78"/>
      <c r="BO1282" s="774"/>
      <c r="BP1282" s="774"/>
      <c r="BQ1282" s="774"/>
      <c r="BR1282" s="774"/>
      <c r="BS1282" s="78"/>
      <c r="BT1282" s="775"/>
      <c r="BU1282" s="774"/>
      <c r="BV1282" s="774"/>
      <c r="BW1282" s="774"/>
      <c r="BX1282" s="78"/>
      <c r="BY1282" s="774"/>
      <c r="BZ1282" s="774"/>
      <c r="CA1282" s="774"/>
      <c r="CB1282" s="774"/>
      <c r="CC1282" s="78"/>
      <c r="CD1282" s="78"/>
      <c r="CE1282" s="78"/>
      <c r="CF1282" s="78"/>
      <c r="CG1282" s="532"/>
    </row>
    <row r="1283" spans="1:85" s="616" customFormat="1" x14ac:dyDescent="0.3">
      <c r="A1283" s="522" t="s">
        <v>1267</v>
      </c>
      <c r="B1283" s="527"/>
      <c r="C1283" s="1124"/>
      <c r="D1283" s="1124"/>
      <c r="E1283" s="1124"/>
      <c r="F1283" s="1124"/>
      <c r="G1283" s="526"/>
      <c r="H1283" s="526"/>
      <c r="I1283" s="526"/>
      <c r="J1283" s="526"/>
      <c r="K1283" s="1124"/>
      <c r="L1283" s="526"/>
      <c r="M1283" s="526"/>
      <c r="N1283" s="526"/>
      <c r="O1283" s="526"/>
      <c r="P1283" s="1124"/>
      <c r="Q1283" s="526"/>
      <c r="R1283" s="526"/>
      <c r="S1283" s="526"/>
      <c r="T1283" s="526"/>
      <c r="U1283" s="1124"/>
      <c r="V1283" s="526"/>
      <c r="W1283" s="526"/>
      <c r="X1283" s="526"/>
      <c r="Y1283" s="526"/>
      <c r="Z1283" s="1124"/>
      <c r="AA1283" s="526"/>
      <c r="AB1283" s="526"/>
      <c r="AC1283" s="526"/>
      <c r="AD1283" s="526"/>
      <c r="AE1283" s="1124"/>
      <c r="AF1283" s="526"/>
      <c r="AG1283" s="526"/>
      <c r="AH1283" s="526"/>
      <c r="AI1283" s="526"/>
      <c r="AJ1283" s="1124"/>
      <c r="AK1283" s="526"/>
      <c r="AL1283" s="526"/>
      <c r="AM1283" s="526"/>
      <c r="AN1283" s="526"/>
      <c r="AO1283" s="1124"/>
      <c r="AP1283" s="526"/>
      <c r="AQ1283" s="526"/>
      <c r="AR1283" s="526"/>
      <c r="AS1283" s="526"/>
      <c r="AT1283" s="1123">
        <v>201.07</v>
      </c>
      <c r="AU1283" s="526"/>
      <c r="AV1283" s="526"/>
      <c r="AW1283" s="526"/>
      <c r="AX1283" s="526"/>
      <c r="AY1283" s="1123">
        <v>201.07</v>
      </c>
      <c r="AZ1283" s="526"/>
      <c r="BA1283" s="526"/>
      <c r="BB1283" s="526"/>
      <c r="BC1283" s="526"/>
      <c r="BD1283" s="1123">
        <v>201.07</v>
      </c>
      <c r="BE1283" s="526"/>
      <c r="BF1283" s="526"/>
      <c r="BG1283" s="526"/>
      <c r="BH1283" s="526"/>
      <c r="BI1283" s="1123">
        <v>201.07</v>
      </c>
      <c r="BJ1283" s="526"/>
      <c r="BK1283" s="526"/>
      <c r="BL1283" s="526"/>
      <c r="BM1283" s="526"/>
      <c r="BN1283" s="1124"/>
      <c r="BO1283" s="526"/>
      <c r="BP1283" s="526"/>
      <c r="BQ1283" s="526"/>
      <c r="BR1283" s="526"/>
      <c r="BS1283" s="1124"/>
      <c r="BT1283" s="729"/>
      <c r="BU1283" s="526"/>
      <c r="BV1283" s="526"/>
      <c r="BW1283" s="526"/>
      <c r="BX1283" s="1124"/>
      <c r="BY1283" s="526"/>
      <c r="BZ1283" s="526"/>
      <c r="CA1283" s="526"/>
      <c r="CB1283" s="526"/>
      <c r="CC1283" s="1124"/>
      <c r="CD1283" s="1124"/>
      <c r="CE1283" s="1124"/>
      <c r="CF1283" s="1124"/>
      <c r="CG1283" s="533"/>
    </row>
    <row r="1284" spans="1:85" s="614" customFormat="1" x14ac:dyDescent="0.3">
      <c r="A1284" s="522"/>
      <c r="B1284" s="352"/>
      <c r="C1284" s="1094"/>
      <c r="D1284" s="1094"/>
      <c r="E1284" s="1094"/>
      <c r="F1284" s="1094"/>
      <c r="G1284" s="197"/>
      <c r="H1284" s="197"/>
      <c r="I1284" s="197"/>
      <c r="J1284" s="197"/>
      <c r="K1284" s="1094"/>
      <c r="L1284" s="197"/>
      <c r="M1284" s="197"/>
      <c r="N1284" s="197"/>
      <c r="O1284" s="197"/>
      <c r="P1284" s="1094"/>
      <c r="Q1284" s="197"/>
      <c r="R1284" s="197"/>
      <c r="S1284" s="197"/>
      <c r="T1284" s="197"/>
      <c r="U1284" s="1094"/>
      <c r="V1284" s="197"/>
      <c r="W1284" s="197"/>
      <c r="X1284" s="197"/>
      <c r="Y1284" s="197"/>
      <c r="Z1284" s="1094"/>
      <c r="AA1284" s="197"/>
      <c r="AB1284" s="197"/>
      <c r="AC1284" s="197"/>
      <c r="AD1284" s="197"/>
      <c r="AE1284" s="1094"/>
      <c r="AF1284" s="197"/>
      <c r="AG1284" s="197"/>
      <c r="AH1284" s="197"/>
      <c r="AI1284" s="197"/>
      <c r="AJ1284" s="1094"/>
      <c r="AK1284" s="197"/>
      <c r="AL1284" s="197"/>
      <c r="AM1284" s="197"/>
      <c r="AN1284" s="197"/>
      <c r="AO1284" s="1094"/>
      <c r="AP1284" s="197"/>
      <c r="AQ1284" s="197"/>
      <c r="AR1284" s="197"/>
      <c r="AS1284" s="197"/>
      <c r="AT1284" s="198"/>
      <c r="AU1284" s="197"/>
      <c r="AV1284" s="197"/>
      <c r="AW1284" s="197"/>
      <c r="AX1284" s="197"/>
      <c r="AY1284" s="198"/>
      <c r="AZ1284" s="197"/>
      <c r="BA1284" s="197"/>
      <c r="BB1284" s="197"/>
      <c r="BC1284" s="197"/>
      <c r="BD1284" s="198"/>
      <c r="BE1284" s="197"/>
      <c r="BF1284" s="197"/>
      <c r="BG1284" s="197"/>
      <c r="BH1284" s="197"/>
      <c r="BI1284" s="198"/>
      <c r="BJ1284" s="197"/>
      <c r="BK1284" s="197"/>
      <c r="BL1284" s="197"/>
      <c r="BM1284" s="197"/>
      <c r="BN1284" s="198"/>
      <c r="BO1284" s="197"/>
      <c r="BP1284" s="197"/>
      <c r="BQ1284" s="197"/>
      <c r="BR1284" s="197"/>
      <c r="BS1284" s="198"/>
      <c r="BT1284" s="727"/>
      <c r="BU1284" s="197"/>
      <c r="BV1284" s="197"/>
      <c r="BW1284" s="197"/>
      <c r="BX1284" s="1094"/>
      <c r="BY1284" s="197"/>
      <c r="BZ1284" s="197"/>
      <c r="CA1284" s="197"/>
      <c r="CB1284" s="197"/>
      <c r="CC1284" s="1094"/>
      <c r="CD1284" s="1094"/>
      <c r="CE1284" s="1094"/>
      <c r="CF1284" s="1094"/>
      <c r="CG1284" s="349"/>
    </row>
    <row r="1285" spans="1:85" s="613" customFormat="1" x14ac:dyDescent="0.3">
      <c r="A1285" s="478" t="s">
        <v>1266</v>
      </c>
      <c r="B1285" s="523"/>
      <c r="C1285" s="78"/>
      <c r="D1285" s="78"/>
      <c r="E1285" s="78"/>
      <c r="F1285" s="78"/>
      <c r="G1285" s="774"/>
      <c r="H1285" s="774"/>
      <c r="I1285" s="774"/>
      <c r="J1285" s="774"/>
      <c r="K1285" s="78"/>
      <c r="L1285" s="774"/>
      <c r="M1285" s="774"/>
      <c r="N1285" s="774"/>
      <c r="O1285" s="774"/>
      <c r="P1285" s="78"/>
      <c r="Q1285" s="774"/>
      <c r="R1285" s="774"/>
      <c r="S1285" s="774"/>
      <c r="T1285" s="774"/>
      <c r="U1285" s="78"/>
      <c r="V1285" s="774"/>
      <c r="W1285" s="774"/>
      <c r="X1285" s="774"/>
      <c r="Y1285" s="774"/>
      <c r="Z1285" s="78"/>
      <c r="AA1285" s="774"/>
      <c r="AB1285" s="774"/>
      <c r="AC1285" s="774"/>
      <c r="AD1285" s="774"/>
      <c r="AE1285" s="78"/>
      <c r="AF1285" s="774"/>
      <c r="AG1285" s="774"/>
      <c r="AH1285" s="774"/>
      <c r="AI1285" s="774"/>
      <c r="AJ1285" s="78"/>
      <c r="AK1285" s="774"/>
      <c r="AL1285" s="774"/>
      <c r="AM1285" s="774"/>
      <c r="AN1285" s="774"/>
      <c r="AO1285" s="78"/>
      <c r="AP1285" s="774"/>
      <c r="AQ1285" s="774"/>
      <c r="AR1285" s="774"/>
      <c r="AS1285" s="774"/>
      <c r="AT1285" s="1119">
        <v>2.5739999999999998</v>
      </c>
      <c r="AU1285" s="774"/>
      <c r="AV1285" s="774"/>
      <c r="AW1285" s="774"/>
      <c r="AX1285" s="774"/>
      <c r="AY1285" s="1119">
        <v>2.5739999999999998</v>
      </c>
      <c r="AZ1285" s="774"/>
      <c r="BA1285" s="774"/>
      <c r="BB1285" s="774"/>
      <c r="BC1285" s="774"/>
      <c r="BD1285" s="1119">
        <v>2.5739999999999998</v>
      </c>
      <c r="BE1285" s="774"/>
      <c r="BF1285" s="774"/>
      <c r="BG1285" s="774"/>
      <c r="BH1285" s="774"/>
      <c r="BI1285" s="1119">
        <v>2.5739999999999998</v>
      </c>
      <c r="BJ1285" s="774"/>
      <c r="BK1285" s="774"/>
      <c r="BL1285" s="774"/>
      <c r="BM1285" s="774"/>
      <c r="BN1285" s="78"/>
      <c r="BO1285" s="774"/>
      <c r="BP1285" s="774"/>
      <c r="BQ1285" s="774"/>
      <c r="BR1285" s="774"/>
      <c r="BS1285" s="78"/>
      <c r="BT1285" s="775"/>
      <c r="BU1285" s="774"/>
      <c r="BV1285" s="774"/>
      <c r="BW1285" s="774"/>
      <c r="BX1285" s="78"/>
      <c r="BY1285" s="774"/>
      <c r="BZ1285" s="774"/>
      <c r="CA1285" s="774"/>
      <c r="CB1285" s="774"/>
      <c r="CC1285" s="78"/>
      <c r="CD1285" s="78"/>
      <c r="CE1285" s="78"/>
      <c r="CF1285" s="78"/>
      <c r="CG1285" s="532"/>
    </row>
    <row r="1286" spans="1:85" s="616" customFormat="1" x14ac:dyDescent="0.3">
      <c r="A1286" s="522" t="s">
        <v>1265</v>
      </c>
      <c r="B1286" s="527"/>
      <c r="C1286" s="1124"/>
      <c r="D1286" s="1124"/>
      <c r="E1286" s="1124"/>
      <c r="F1286" s="1124"/>
      <c r="G1286" s="526"/>
      <c r="H1286" s="526"/>
      <c r="I1286" s="526"/>
      <c r="J1286" s="526"/>
      <c r="K1286" s="1124"/>
      <c r="L1286" s="526"/>
      <c r="M1286" s="526"/>
      <c r="N1286" s="526"/>
      <c r="O1286" s="526"/>
      <c r="P1286" s="1124"/>
      <c r="Q1286" s="526"/>
      <c r="R1286" s="526"/>
      <c r="S1286" s="526"/>
      <c r="T1286" s="526"/>
      <c r="U1286" s="1124"/>
      <c r="V1286" s="526"/>
      <c r="W1286" s="526"/>
      <c r="X1286" s="526"/>
      <c r="Y1286" s="526"/>
      <c r="Z1286" s="1124"/>
      <c r="AA1286" s="526"/>
      <c r="AB1286" s="526"/>
      <c r="AC1286" s="526"/>
      <c r="AD1286" s="526"/>
      <c r="AE1286" s="1124"/>
      <c r="AF1286" s="526"/>
      <c r="AG1286" s="526"/>
      <c r="AH1286" s="526"/>
      <c r="AI1286" s="526"/>
      <c r="AJ1286" s="1124"/>
      <c r="AK1286" s="526"/>
      <c r="AL1286" s="526"/>
      <c r="AM1286" s="526"/>
      <c r="AN1286" s="526"/>
      <c r="AO1286" s="1124"/>
      <c r="AP1286" s="526"/>
      <c r="AQ1286" s="526"/>
      <c r="AR1286" s="526"/>
      <c r="AS1286" s="526"/>
      <c r="AT1286" s="1123">
        <v>265.07</v>
      </c>
      <c r="AU1286" s="526"/>
      <c r="AV1286" s="526"/>
      <c r="AW1286" s="526"/>
      <c r="AX1286" s="526"/>
      <c r="AY1286" s="1123">
        <v>265.07</v>
      </c>
      <c r="AZ1286" s="526"/>
      <c r="BA1286" s="526"/>
      <c r="BB1286" s="526"/>
      <c r="BC1286" s="526"/>
      <c r="BD1286" s="1123">
        <v>265.07</v>
      </c>
      <c r="BE1286" s="526"/>
      <c r="BF1286" s="526"/>
      <c r="BG1286" s="526"/>
      <c r="BH1286" s="526"/>
      <c r="BI1286" s="1123">
        <v>265.07</v>
      </c>
      <c r="BJ1286" s="526"/>
      <c r="BK1286" s="526"/>
      <c r="BL1286" s="526"/>
      <c r="BM1286" s="526"/>
      <c r="BN1286" s="1124"/>
      <c r="BO1286" s="526"/>
      <c r="BP1286" s="526"/>
      <c r="BQ1286" s="526"/>
      <c r="BR1286" s="526"/>
      <c r="BS1286" s="1124"/>
      <c r="BT1286" s="729"/>
      <c r="BU1286" s="526"/>
      <c r="BV1286" s="526"/>
      <c r="BW1286" s="526"/>
      <c r="BX1286" s="1124"/>
      <c r="BY1286" s="526"/>
      <c r="BZ1286" s="526"/>
      <c r="CA1286" s="526"/>
      <c r="CB1286" s="526"/>
      <c r="CC1286" s="1124"/>
      <c r="CD1286" s="1124"/>
      <c r="CE1286" s="1124"/>
      <c r="CF1286" s="1124"/>
      <c r="CG1286" s="533"/>
    </row>
    <row r="1287" spans="1:85" s="614" customFormat="1" x14ac:dyDescent="0.3">
      <c r="A1287" s="522"/>
      <c r="B1287" s="352"/>
      <c r="C1287" s="1094"/>
      <c r="D1287" s="1094"/>
      <c r="E1287" s="1094"/>
      <c r="F1287" s="1094"/>
      <c r="G1287" s="197"/>
      <c r="H1287" s="197"/>
      <c r="I1287" s="197"/>
      <c r="J1287" s="197"/>
      <c r="K1287" s="1094"/>
      <c r="L1287" s="197"/>
      <c r="M1287" s="197"/>
      <c r="N1287" s="197"/>
      <c r="O1287" s="197"/>
      <c r="P1287" s="1094"/>
      <c r="Q1287" s="197"/>
      <c r="R1287" s="197"/>
      <c r="S1287" s="197"/>
      <c r="T1287" s="197"/>
      <c r="U1287" s="1094"/>
      <c r="V1287" s="197"/>
      <c r="W1287" s="197"/>
      <c r="X1287" s="197"/>
      <c r="Y1287" s="197"/>
      <c r="Z1287" s="1094"/>
      <c r="AA1287" s="197"/>
      <c r="AB1287" s="197"/>
      <c r="AC1287" s="197"/>
      <c r="AD1287" s="197"/>
      <c r="AE1287" s="1094"/>
      <c r="AF1287" s="197"/>
      <c r="AG1287" s="197"/>
      <c r="AH1287" s="197"/>
      <c r="AI1287" s="197"/>
      <c r="AJ1287" s="1094"/>
      <c r="AK1287" s="197"/>
      <c r="AL1287" s="197"/>
      <c r="AM1287" s="197"/>
      <c r="AN1287" s="197"/>
      <c r="AO1287" s="1094"/>
      <c r="AP1287" s="197"/>
      <c r="AQ1287" s="197"/>
      <c r="AR1287" s="197"/>
      <c r="AS1287" s="197"/>
      <c r="AT1287" s="198"/>
      <c r="AU1287" s="197"/>
      <c r="AV1287" s="197"/>
      <c r="AW1287" s="197"/>
      <c r="AX1287" s="197"/>
      <c r="AY1287" s="198"/>
      <c r="AZ1287" s="197"/>
      <c r="BA1287" s="197"/>
      <c r="BB1287" s="197"/>
      <c r="BC1287" s="197"/>
      <c r="BD1287" s="198"/>
      <c r="BE1287" s="197"/>
      <c r="BF1287" s="197"/>
      <c r="BG1287" s="197"/>
      <c r="BH1287" s="197"/>
      <c r="BI1287" s="198"/>
      <c r="BJ1287" s="197"/>
      <c r="BK1287" s="197"/>
      <c r="BL1287" s="197"/>
      <c r="BM1287" s="197"/>
      <c r="BN1287" s="198"/>
      <c r="BO1287" s="197"/>
      <c r="BP1287" s="197"/>
      <c r="BQ1287" s="197"/>
      <c r="BR1287" s="197"/>
      <c r="BS1287" s="198"/>
      <c r="BT1287" s="727"/>
      <c r="BU1287" s="197"/>
      <c r="BV1287" s="197"/>
      <c r="BW1287" s="197"/>
      <c r="BX1287" s="1094"/>
      <c r="BY1287" s="197"/>
      <c r="BZ1287" s="197"/>
      <c r="CA1287" s="197"/>
      <c r="CB1287" s="197"/>
      <c r="CC1287" s="1094"/>
      <c r="CD1287" s="1094"/>
      <c r="CE1287" s="1094"/>
      <c r="CF1287" s="1094"/>
      <c r="CG1287" s="349"/>
    </row>
    <row r="1288" spans="1:85" s="613" customFormat="1" x14ac:dyDescent="0.3">
      <c r="A1288" s="478" t="s">
        <v>1264</v>
      </c>
      <c r="B1288" s="523"/>
      <c r="C1288" s="78"/>
      <c r="D1288" s="78"/>
      <c r="E1288" s="78"/>
      <c r="F1288" s="78"/>
      <c r="G1288" s="774"/>
      <c r="H1288" s="774"/>
      <c r="I1288" s="774"/>
      <c r="J1288" s="774"/>
      <c r="K1288" s="78"/>
      <c r="L1288" s="774"/>
      <c r="M1288" s="774"/>
      <c r="N1288" s="774"/>
      <c r="O1288" s="774"/>
      <c r="P1288" s="78"/>
      <c r="Q1288" s="774"/>
      <c r="R1288" s="774"/>
      <c r="S1288" s="774"/>
      <c r="T1288" s="774"/>
      <c r="U1288" s="78"/>
      <c r="V1288" s="774"/>
      <c r="W1288" s="774"/>
      <c r="X1288" s="774"/>
      <c r="Y1288" s="774"/>
      <c r="Z1288" s="78"/>
      <c r="AA1288" s="774"/>
      <c r="AB1288" s="774"/>
      <c r="AC1288" s="774"/>
      <c r="AD1288" s="774"/>
      <c r="AE1288" s="78"/>
      <c r="AF1288" s="774"/>
      <c r="AG1288" s="774"/>
      <c r="AH1288" s="774"/>
      <c r="AI1288" s="774"/>
      <c r="AJ1288" s="78"/>
      <c r="AK1288" s="774"/>
      <c r="AL1288" s="774"/>
      <c r="AM1288" s="774"/>
      <c r="AN1288" s="774"/>
      <c r="AO1288" s="78"/>
      <c r="AP1288" s="774"/>
      <c r="AQ1288" s="774"/>
      <c r="AR1288" s="774"/>
      <c r="AS1288" s="774"/>
      <c r="AT1288" s="1119">
        <v>2.3490000000000002</v>
      </c>
      <c r="AU1288" s="774"/>
      <c r="AV1288" s="774"/>
      <c r="AW1288" s="774"/>
      <c r="AX1288" s="774"/>
      <c r="AY1288" s="1119">
        <v>2.3490000000000002</v>
      </c>
      <c r="AZ1288" s="774"/>
      <c r="BA1288" s="774"/>
      <c r="BB1288" s="774"/>
      <c r="BC1288" s="774"/>
      <c r="BD1288" s="1119">
        <v>2.3490000000000002</v>
      </c>
      <c r="BE1288" s="774"/>
      <c r="BF1288" s="774"/>
      <c r="BG1288" s="774"/>
      <c r="BH1288" s="774"/>
      <c r="BI1288" s="1119">
        <v>2.3490000000000002</v>
      </c>
      <c r="BJ1288" s="774"/>
      <c r="BK1288" s="774"/>
      <c r="BL1288" s="774"/>
      <c r="BM1288" s="774"/>
      <c r="BN1288" s="78"/>
      <c r="BO1288" s="774"/>
      <c r="BP1288" s="774"/>
      <c r="BQ1288" s="774"/>
      <c r="BR1288" s="774"/>
      <c r="BS1288" s="78"/>
      <c r="BT1288" s="775"/>
      <c r="BU1288" s="774"/>
      <c r="BV1288" s="774"/>
      <c r="BW1288" s="774"/>
      <c r="BX1288" s="78"/>
      <c r="BY1288" s="774"/>
      <c r="BZ1288" s="774"/>
      <c r="CA1288" s="774"/>
      <c r="CB1288" s="774"/>
      <c r="CC1288" s="78"/>
      <c r="CD1288" s="78"/>
      <c r="CE1288" s="78"/>
      <c r="CF1288" s="78"/>
      <c r="CG1288" s="532"/>
    </row>
    <row r="1289" spans="1:85" s="616" customFormat="1" x14ac:dyDescent="0.3">
      <c r="A1289" s="522" t="s">
        <v>1263</v>
      </c>
      <c r="B1289" s="527"/>
      <c r="C1289" s="1124"/>
      <c r="D1289" s="1124"/>
      <c r="E1289" s="1124"/>
      <c r="F1289" s="1124"/>
      <c r="G1289" s="526"/>
      <c r="H1289" s="526"/>
      <c r="I1289" s="526"/>
      <c r="J1289" s="526"/>
      <c r="K1289" s="1124"/>
      <c r="L1289" s="526"/>
      <c r="M1289" s="526"/>
      <c r="N1289" s="526"/>
      <c r="O1289" s="526"/>
      <c r="P1289" s="1124"/>
      <c r="Q1289" s="526"/>
      <c r="R1289" s="526"/>
      <c r="S1289" s="526"/>
      <c r="T1289" s="526"/>
      <c r="U1289" s="1124"/>
      <c r="V1289" s="526"/>
      <c r="W1289" s="526"/>
      <c r="X1289" s="526"/>
      <c r="Y1289" s="526"/>
      <c r="Z1289" s="1124"/>
      <c r="AA1289" s="526"/>
      <c r="AB1289" s="526"/>
      <c r="AC1289" s="526"/>
      <c r="AD1289" s="526"/>
      <c r="AE1289" s="1124"/>
      <c r="AF1289" s="526"/>
      <c r="AG1289" s="526"/>
      <c r="AH1289" s="526"/>
      <c r="AI1289" s="526"/>
      <c r="AJ1289" s="1124"/>
      <c r="AK1289" s="526"/>
      <c r="AL1289" s="526"/>
      <c r="AM1289" s="526"/>
      <c r="AN1289" s="526"/>
      <c r="AO1289" s="1124"/>
      <c r="AP1289" s="526"/>
      <c r="AQ1289" s="526"/>
      <c r="AR1289" s="526"/>
      <c r="AS1289" s="526"/>
      <c r="AT1289" s="1123">
        <v>290.39</v>
      </c>
      <c r="AU1289" s="526"/>
      <c r="AV1289" s="526"/>
      <c r="AW1289" s="526"/>
      <c r="AX1289" s="526"/>
      <c r="AY1289" s="1123">
        <v>290.39</v>
      </c>
      <c r="AZ1289" s="526"/>
      <c r="BA1289" s="526"/>
      <c r="BB1289" s="526"/>
      <c r="BC1289" s="526"/>
      <c r="BD1289" s="1123">
        <v>290.39</v>
      </c>
      <c r="BE1289" s="526"/>
      <c r="BF1289" s="526"/>
      <c r="BG1289" s="526"/>
      <c r="BH1289" s="526"/>
      <c r="BI1289" s="1123">
        <v>290.39</v>
      </c>
      <c r="BJ1289" s="526"/>
      <c r="BK1289" s="526"/>
      <c r="BL1289" s="526"/>
      <c r="BM1289" s="526"/>
      <c r="BN1289" s="1124"/>
      <c r="BO1289" s="526"/>
      <c r="BP1289" s="526"/>
      <c r="BQ1289" s="526"/>
      <c r="BR1289" s="526"/>
      <c r="BS1289" s="1124"/>
      <c r="BT1289" s="729"/>
      <c r="BU1289" s="526"/>
      <c r="BV1289" s="526"/>
      <c r="BW1289" s="526"/>
      <c r="BX1289" s="1124"/>
      <c r="BY1289" s="526"/>
      <c r="BZ1289" s="526"/>
      <c r="CA1289" s="526"/>
      <c r="CB1289" s="526"/>
      <c r="CC1289" s="1124"/>
      <c r="CD1289" s="1124"/>
      <c r="CE1289" s="1124"/>
      <c r="CF1289" s="1124"/>
      <c r="CG1289" s="533"/>
    </row>
    <row r="1290" spans="1:85" s="614" customFormat="1" x14ac:dyDescent="0.3">
      <c r="A1290" s="522"/>
      <c r="B1290" s="352"/>
      <c r="C1290" s="1094"/>
      <c r="D1290" s="1094"/>
      <c r="E1290" s="1094"/>
      <c r="F1290" s="1094"/>
      <c r="G1290" s="197"/>
      <c r="H1290" s="197"/>
      <c r="I1290" s="197"/>
      <c r="J1290" s="197"/>
      <c r="K1290" s="1094"/>
      <c r="L1290" s="197"/>
      <c r="M1290" s="197"/>
      <c r="N1290" s="197"/>
      <c r="O1290" s="197"/>
      <c r="P1290" s="1094"/>
      <c r="Q1290" s="197"/>
      <c r="R1290" s="197"/>
      <c r="S1290" s="197"/>
      <c r="T1290" s="197"/>
      <c r="U1290" s="1094"/>
      <c r="V1290" s="197"/>
      <c r="W1290" s="197"/>
      <c r="X1290" s="197"/>
      <c r="Y1290" s="197"/>
      <c r="Z1290" s="1094"/>
      <c r="AA1290" s="197"/>
      <c r="AB1290" s="197"/>
      <c r="AC1290" s="197"/>
      <c r="AD1290" s="197"/>
      <c r="AE1290" s="1094"/>
      <c r="AF1290" s="197"/>
      <c r="AG1290" s="197"/>
      <c r="AH1290" s="197"/>
      <c r="AI1290" s="197"/>
      <c r="AJ1290" s="1094"/>
      <c r="AK1290" s="197"/>
      <c r="AL1290" s="197"/>
      <c r="AM1290" s="197"/>
      <c r="AN1290" s="197"/>
      <c r="AO1290" s="1094"/>
      <c r="AP1290" s="197"/>
      <c r="AQ1290" s="197"/>
      <c r="AR1290" s="197"/>
      <c r="AS1290" s="197"/>
      <c r="AT1290" s="198"/>
      <c r="AU1290" s="197"/>
      <c r="AV1290" s="197"/>
      <c r="AW1290" s="197"/>
      <c r="AX1290" s="197"/>
      <c r="AY1290" s="198"/>
      <c r="AZ1290" s="197"/>
      <c r="BA1290" s="197"/>
      <c r="BB1290" s="197"/>
      <c r="BC1290" s="197"/>
      <c r="BD1290" s="198"/>
      <c r="BE1290" s="197"/>
      <c r="BF1290" s="197"/>
      <c r="BG1290" s="197"/>
      <c r="BH1290" s="197"/>
      <c r="BI1290" s="198"/>
      <c r="BJ1290" s="197"/>
      <c r="BK1290" s="197"/>
      <c r="BL1290" s="197"/>
      <c r="BM1290" s="197"/>
      <c r="BN1290" s="198"/>
      <c r="BO1290" s="197"/>
      <c r="BP1290" s="197"/>
      <c r="BQ1290" s="197"/>
      <c r="BR1290" s="197"/>
      <c r="BS1290" s="198"/>
      <c r="BT1290" s="727"/>
      <c r="BU1290" s="197"/>
      <c r="BV1290" s="197"/>
      <c r="BW1290" s="197"/>
      <c r="BX1290" s="1094"/>
      <c r="BY1290" s="197"/>
      <c r="BZ1290" s="197"/>
      <c r="CA1290" s="197"/>
      <c r="CB1290" s="197"/>
      <c r="CC1290" s="1094"/>
      <c r="CD1290" s="1094"/>
      <c r="CE1290" s="1094"/>
      <c r="CF1290" s="1094"/>
      <c r="CG1290" s="349"/>
    </row>
    <row r="1291" spans="1:85" s="613" customFormat="1" x14ac:dyDescent="0.3">
      <c r="A1291" s="478" t="s">
        <v>1262</v>
      </c>
      <c r="B1291" s="523"/>
      <c r="C1291" s="78"/>
      <c r="D1291" s="78"/>
      <c r="E1291" s="78"/>
      <c r="F1291" s="78"/>
      <c r="G1291" s="774"/>
      <c r="H1291" s="774"/>
      <c r="I1291" s="774"/>
      <c r="J1291" s="774"/>
      <c r="K1291" s="78"/>
      <c r="L1291" s="774"/>
      <c r="M1291" s="774"/>
      <c r="N1291" s="774"/>
      <c r="O1291" s="774"/>
      <c r="P1291" s="78"/>
      <c r="Q1291" s="774"/>
      <c r="R1291" s="774"/>
      <c r="S1291" s="774"/>
      <c r="T1291" s="774"/>
      <c r="U1291" s="78"/>
      <c r="V1291" s="774"/>
      <c r="W1291" s="774"/>
      <c r="X1291" s="774"/>
      <c r="Y1291" s="774"/>
      <c r="Z1291" s="78"/>
      <c r="AA1291" s="774"/>
      <c r="AB1291" s="774"/>
      <c r="AC1291" s="774"/>
      <c r="AD1291" s="774"/>
      <c r="AE1291" s="78"/>
      <c r="AF1291" s="774"/>
      <c r="AG1291" s="774"/>
      <c r="AH1291" s="774"/>
      <c r="AI1291" s="774"/>
      <c r="AJ1291" s="78"/>
      <c r="AK1291" s="774"/>
      <c r="AL1291" s="774"/>
      <c r="AM1291" s="774"/>
      <c r="AN1291" s="774"/>
      <c r="AO1291" s="78"/>
      <c r="AP1291" s="774"/>
      <c r="AQ1291" s="774"/>
      <c r="AR1291" s="774"/>
      <c r="AS1291" s="774"/>
      <c r="AT1291" s="1119">
        <v>2.4350000000000001</v>
      </c>
      <c r="AU1291" s="774"/>
      <c r="AV1291" s="774"/>
      <c r="AW1291" s="774"/>
      <c r="AX1291" s="774"/>
      <c r="AY1291" s="1119">
        <v>2.4350000000000001</v>
      </c>
      <c r="AZ1291" s="774"/>
      <c r="BA1291" s="774"/>
      <c r="BB1291" s="774"/>
      <c r="BC1291" s="774"/>
      <c r="BD1291" s="1119">
        <v>2.4350000000000001</v>
      </c>
      <c r="BE1291" s="774"/>
      <c r="BF1291" s="774"/>
      <c r="BG1291" s="774"/>
      <c r="BH1291" s="774"/>
      <c r="BI1291" s="1119">
        <v>2.4350000000000001</v>
      </c>
      <c r="BJ1291" s="774"/>
      <c r="BK1291" s="774"/>
      <c r="BL1291" s="774"/>
      <c r="BM1291" s="774"/>
      <c r="BN1291" s="78"/>
      <c r="BO1291" s="774"/>
      <c r="BP1291" s="774"/>
      <c r="BQ1291" s="774"/>
      <c r="BR1291" s="774"/>
      <c r="BS1291" s="78"/>
      <c r="BT1291" s="775"/>
      <c r="BU1291" s="774"/>
      <c r="BV1291" s="774"/>
      <c r="BW1291" s="774"/>
      <c r="BX1291" s="78"/>
      <c r="BY1291" s="774"/>
      <c r="BZ1291" s="774"/>
      <c r="CA1291" s="774"/>
      <c r="CB1291" s="774"/>
      <c r="CC1291" s="78"/>
      <c r="CD1291" s="78"/>
      <c r="CE1291" s="78"/>
      <c r="CF1291" s="78"/>
      <c r="CG1291" s="532"/>
    </row>
    <row r="1292" spans="1:85" s="616" customFormat="1" x14ac:dyDescent="0.3">
      <c r="A1292" s="522" t="s">
        <v>1261</v>
      </c>
      <c r="B1292" s="527"/>
      <c r="C1292" s="1124"/>
      <c r="D1292" s="1124"/>
      <c r="E1292" s="1124"/>
      <c r="F1292" s="1124"/>
      <c r="G1292" s="526"/>
      <c r="H1292" s="526"/>
      <c r="I1292" s="526"/>
      <c r="J1292" s="526"/>
      <c r="K1292" s="1124"/>
      <c r="L1292" s="526"/>
      <c r="M1292" s="526"/>
      <c r="N1292" s="526"/>
      <c r="O1292" s="526"/>
      <c r="P1292" s="1124"/>
      <c r="Q1292" s="526"/>
      <c r="R1292" s="526"/>
      <c r="S1292" s="526"/>
      <c r="T1292" s="526"/>
      <c r="U1292" s="1124"/>
      <c r="V1292" s="526"/>
      <c r="W1292" s="526"/>
      <c r="X1292" s="526"/>
      <c r="Y1292" s="526"/>
      <c r="Z1292" s="1124"/>
      <c r="AA1292" s="526"/>
      <c r="AB1292" s="526"/>
      <c r="AC1292" s="526"/>
      <c r="AD1292" s="526"/>
      <c r="AE1292" s="1124"/>
      <c r="AF1292" s="526"/>
      <c r="AG1292" s="526"/>
      <c r="AH1292" s="526"/>
      <c r="AI1292" s="526"/>
      <c r="AJ1292" s="1124"/>
      <c r="AK1292" s="526"/>
      <c r="AL1292" s="526"/>
      <c r="AM1292" s="526"/>
      <c r="AN1292" s="526"/>
      <c r="AO1292" s="1124"/>
      <c r="AP1292" s="526"/>
      <c r="AQ1292" s="526"/>
      <c r="AR1292" s="526"/>
      <c r="AS1292" s="526"/>
      <c r="AT1292" s="1123">
        <v>280.29000000000002</v>
      </c>
      <c r="AU1292" s="526"/>
      <c r="AV1292" s="526"/>
      <c r="AW1292" s="526"/>
      <c r="AX1292" s="526"/>
      <c r="AY1292" s="1123">
        <v>280.29000000000002</v>
      </c>
      <c r="AZ1292" s="526"/>
      <c r="BA1292" s="526"/>
      <c r="BB1292" s="526"/>
      <c r="BC1292" s="526"/>
      <c r="BD1292" s="1123">
        <v>280.29000000000002</v>
      </c>
      <c r="BE1292" s="526"/>
      <c r="BF1292" s="526"/>
      <c r="BG1292" s="526"/>
      <c r="BH1292" s="526"/>
      <c r="BI1292" s="1123">
        <v>280.29000000000002</v>
      </c>
      <c r="BJ1292" s="526"/>
      <c r="BK1292" s="526"/>
      <c r="BL1292" s="526"/>
      <c r="BM1292" s="526"/>
      <c r="BN1292" s="1124"/>
      <c r="BO1292" s="526"/>
      <c r="BP1292" s="526"/>
      <c r="BQ1292" s="526"/>
      <c r="BR1292" s="526"/>
      <c r="BS1292" s="1124"/>
      <c r="BT1292" s="729"/>
      <c r="BU1292" s="526"/>
      <c r="BV1292" s="526"/>
      <c r="BW1292" s="526"/>
      <c r="BX1292" s="1124"/>
      <c r="BY1292" s="526"/>
      <c r="BZ1292" s="526"/>
      <c r="CA1292" s="526"/>
      <c r="CB1292" s="526"/>
      <c r="CC1292" s="1124"/>
      <c r="CD1292" s="1124"/>
      <c r="CE1292" s="1124"/>
      <c r="CF1292" s="1124"/>
      <c r="CG1292" s="533"/>
    </row>
    <row r="1293" spans="1:85" s="614" customFormat="1" x14ac:dyDescent="0.3">
      <c r="A1293" s="522"/>
      <c r="B1293" s="352"/>
      <c r="C1293" s="1094"/>
      <c r="D1293" s="1094"/>
      <c r="E1293" s="1094"/>
      <c r="F1293" s="1094"/>
      <c r="G1293" s="197"/>
      <c r="H1293" s="197"/>
      <c r="I1293" s="197"/>
      <c r="J1293" s="197"/>
      <c r="K1293" s="1094"/>
      <c r="L1293" s="197"/>
      <c r="M1293" s="197"/>
      <c r="N1293" s="197"/>
      <c r="O1293" s="197"/>
      <c r="P1293" s="1094"/>
      <c r="Q1293" s="197"/>
      <c r="R1293" s="197"/>
      <c r="S1293" s="197"/>
      <c r="T1293" s="197"/>
      <c r="U1293" s="1094"/>
      <c r="V1293" s="197"/>
      <c r="W1293" s="197"/>
      <c r="X1293" s="197"/>
      <c r="Y1293" s="197"/>
      <c r="Z1293" s="1094"/>
      <c r="AA1293" s="197"/>
      <c r="AB1293" s="197"/>
      <c r="AC1293" s="197"/>
      <c r="AD1293" s="197"/>
      <c r="AE1293" s="1094"/>
      <c r="AF1293" s="197"/>
      <c r="AG1293" s="197"/>
      <c r="AH1293" s="197"/>
      <c r="AI1293" s="197"/>
      <c r="AJ1293" s="1094"/>
      <c r="AK1293" s="197"/>
      <c r="AL1293" s="197"/>
      <c r="AM1293" s="197"/>
      <c r="AN1293" s="197"/>
      <c r="AO1293" s="1094"/>
      <c r="AP1293" s="197"/>
      <c r="AQ1293" s="197"/>
      <c r="AR1293" s="197"/>
      <c r="AS1293" s="197"/>
      <c r="AT1293" s="198"/>
      <c r="AU1293" s="197"/>
      <c r="AV1293" s="197"/>
      <c r="AW1293" s="197"/>
      <c r="AX1293" s="197"/>
      <c r="AY1293" s="198"/>
      <c r="AZ1293" s="197"/>
      <c r="BA1293" s="197"/>
      <c r="BB1293" s="197"/>
      <c r="BC1293" s="197"/>
      <c r="BD1293" s="198"/>
      <c r="BE1293" s="197"/>
      <c r="BF1293" s="197"/>
      <c r="BG1293" s="197"/>
      <c r="BH1293" s="197"/>
      <c r="BI1293" s="198"/>
      <c r="BJ1293" s="197"/>
      <c r="BK1293" s="197"/>
      <c r="BL1293" s="197"/>
      <c r="BM1293" s="197"/>
      <c r="BN1293" s="198"/>
      <c r="BO1293" s="197"/>
      <c r="BP1293" s="197"/>
      <c r="BQ1293" s="197"/>
      <c r="BR1293" s="197"/>
      <c r="BS1293" s="198"/>
      <c r="BT1293" s="727"/>
      <c r="BU1293" s="197"/>
      <c r="BV1293" s="197"/>
      <c r="BW1293" s="197"/>
      <c r="BX1293" s="1094"/>
      <c r="BY1293" s="197"/>
      <c r="BZ1293" s="197"/>
      <c r="CA1293" s="197"/>
      <c r="CB1293" s="197"/>
      <c r="CC1293" s="1094"/>
      <c r="CD1293" s="1094"/>
      <c r="CE1293" s="1094"/>
      <c r="CF1293" s="1094"/>
      <c r="CG1293" s="349"/>
    </row>
    <row r="1294" spans="1:85" s="613" customFormat="1" x14ac:dyDescent="0.3">
      <c r="A1294" s="478" t="s">
        <v>1260</v>
      </c>
      <c r="B1294" s="523"/>
      <c r="C1294" s="78"/>
      <c r="D1294" s="78"/>
      <c r="E1294" s="78"/>
      <c r="F1294" s="78"/>
      <c r="G1294" s="774"/>
      <c r="H1294" s="774"/>
      <c r="I1294" s="774"/>
      <c r="J1294" s="774"/>
      <c r="K1294" s="78"/>
      <c r="L1294" s="774"/>
      <c r="M1294" s="774"/>
      <c r="N1294" s="774"/>
      <c r="O1294" s="774"/>
      <c r="P1294" s="78"/>
      <c r="Q1294" s="774"/>
      <c r="R1294" s="774"/>
      <c r="S1294" s="774"/>
      <c r="T1294" s="774"/>
      <c r="U1294" s="78"/>
      <c r="V1294" s="774"/>
      <c r="W1294" s="774"/>
      <c r="X1294" s="774"/>
      <c r="Y1294" s="774"/>
      <c r="Z1294" s="78"/>
      <c r="AA1294" s="774"/>
      <c r="AB1294" s="774"/>
      <c r="AC1294" s="774"/>
      <c r="AD1294" s="774"/>
      <c r="AE1294" s="78"/>
      <c r="AF1294" s="774"/>
      <c r="AG1294" s="774"/>
      <c r="AH1294" s="774"/>
      <c r="AI1294" s="774"/>
      <c r="AJ1294" s="78"/>
      <c r="AK1294" s="774"/>
      <c r="AL1294" s="774"/>
      <c r="AM1294" s="774"/>
      <c r="AN1294" s="774"/>
      <c r="AO1294" s="78"/>
      <c r="AP1294" s="774"/>
      <c r="AQ1294" s="774"/>
      <c r="AR1294" s="774"/>
      <c r="AS1294" s="774"/>
      <c r="AT1294" s="1119">
        <v>2.177</v>
      </c>
      <c r="AU1294" s="774"/>
      <c r="AV1294" s="774"/>
      <c r="AW1294" s="774"/>
      <c r="AX1294" s="774"/>
      <c r="AY1294" s="1119">
        <v>2.177</v>
      </c>
      <c r="AZ1294" s="774"/>
      <c r="BA1294" s="774"/>
      <c r="BB1294" s="774"/>
      <c r="BC1294" s="774"/>
      <c r="BD1294" s="1119">
        <v>2.177</v>
      </c>
      <c r="BE1294" s="774"/>
      <c r="BF1294" s="774"/>
      <c r="BG1294" s="774"/>
      <c r="BH1294" s="774"/>
      <c r="BI1294" s="1119">
        <v>2.177</v>
      </c>
      <c r="BJ1294" s="774"/>
      <c r="BK1294" s="774"/>
      <c r="BL1294" s="774"/>
      <c r="BM1294" s="774"/>
      <c r="BN1294" s="78"/>
      <c r="BO1294" s="774"/>
      <c r="BP1294" s="774"/>
      <c r="BQ1294" s="774"/>
      <c r="BR1294" s="774"/>
      <c r="BS1294" s="78"/>
      <c r="BT1294" s="775"/>
      <c r="BU1294" s="774"/>
      <c r="BV1294" s="774"/>
      <c r="BW1294" s="774"/>
      <c r="BX1294" s="78"/>
      <c r="BY1294" s="774"/>
      <c r="BZ1294" s="774"/>
      <c r="CA1294" s="774"/>
      <c r="CB1294" s="774"/>
      <c r="CC1294" s="78"/>
      <c r="CD1294" s="78"/>
      <c r="CE1294" s="78"/>
      <c r="CF1294" s="78"/>
      <c r="CG1294" s="532"/>
    </row>
    <row r="1295" spans="1:85" s="616" customFormat="1" x14ac:dyDescent="0.3">
      <c r="A1295" s="522" t="s">
        <v>1259</v>
      </c>
      <c r="B1295" s="527"/>
      <c r="C1295" s="1124"/>
      <c r="D1295" s="1124"/>
      <c r="E1295" s="1124"/>
      <c r="F1295" s="1124"/>
      <c r="G1295" s="526"/>
      <c r="H1295" s="526"/>
      <c r="I1295" s="526"/>
      <c r="J1295" s="526"/>
      <c r="K1295" s="1124"/>
      <c r="L1295" s="526"/>
      <c r="M1295" s="526"/>
      <c r="N1295" s="526"/>
      <c r="O1295" s="526"/>
      <c r="P1295" s="1124"/>
      <c r="Q1295" s="526"/>
      <c r="R1295" s="526"/>
      <c r="S1295" s="526"/>
      <c r="T1295" s="526"/>
      <c r="U1295" s="1124"/>
      <c r="V1295" s="526"/>
      <c r="W1295" s="526"/>
      <c r="X1295" s="526"/>
      <c r="Y1295" s="526"/>
      <c r="Z1295" s="1124"/>
      <c r="AA1295" s="526"/>
      <c r="AB1295" s="526"/>
      <c r="AC1295" s="526"/>
      <c r="AD1295" s="526"/>
      <c r="AE1295" s="1124"/>
      <c r="AF1295" s="526"/>
      <c r="AG1295" s="526"/>
      <c r="AH1295" s="526"/>
      <c r="AI1295" s="526"/>
      <c r="AJ1295" s="1124"/>
      <c r="AK1295" s="526"/>
      <c r="AL1295" s="526"/>
      <c r="AM1295" s="526"/>
      <c r="AN1295" s="526"/>
      <c r="AO1295" s="1124"/>
      <c r="AP1295" s="526"/>
      <c r="AQ1295" s="526"/>
      <c r="AR1295" s="526"/>
      <c r="AS1295" s="526"/>
      <c r="AT1295" s="1123">
        <v>313.3</v>
      </c>
      <c r="AU1295" s="526"/>
      <c r="AV1295" s="526"/>
      <c r="AW1295" s="526"/>
      <c r="AX1295" s="526"/>
      <c r="AY1295" s="1123">
        <v>313.3</v>
      </c>
      <c r="AZ1295" s="526"/>
      <c r="BA1295" s="526"/>
      <c r="BB1295" s="526"/>
      <c r="BC1295" s="526"/>
      <c r="BD1295" s="1123">
        <v>313.3</v>
      </c>
      <c r="BE1295" s="526"/>
      <c r="BF1295" s="526"/>
      <c r="BG1295" s="526"/>
      <c r="BH1295" s="526"/>
      <c r="BI1295" s="1123">
        <v>313.3</v>
      </c>
      <c r="BJ1295" s="526"/>
      <c r="BK1295" s="526"/>
      <c r="BL1295" s="526"/>
      <c r="BM1295" s="526"/>
      <c r="BN1295" s="1124"/>
      <c r="BO1295" s="526"/>
      <c r="BP1295" s="526"/>
      <c r="BQ1295" s="526"/>
      <c r="BR1295" s="526"/>
      <c r="BS1295" s="1124"/>
      <c r="BT1295" s="729"/>
      <c r="BU1295" s="526"/>
      <c r="BV1295" s="526"/>
      <c r="BW1295" s="526"/>
      <c r="BX1295" s="1124"/>
      <c r="BY1295" s="526"/>
      <c r="BZ1295" s="526"/>
      <c r="CA1295" s="526"/>
      <c r="CB1295" s="526"/>
      <c r="CC1295" s="1124"/>
      <c r="CD1295" s="1124"/>
      <c r="CE1295" s="1124"/>
      <c r="CF1295" s="1124"/>
      <c r="CG1295" s="533"/>
    </row>
    <row r="1296" spans="1:85" s="614" customFormat="1" x14ac:dyDescent="0.3">
      <c r="A1296" s="522"/>
      <c r="B1296" s="352"/>
      <c r="C1296" s="1094"/>
      <c r="D1296" s="1094"/>
      <c r="E1296" s="1094"/>
      <c r="F1296" s="1094"/>
      <c r="G1296" s="197"/>
      <c r="H1296" s="197"/>
      <c r="I1296" s="197"/>
      <c r="J1296" s="197"/>
      <c r="K1296" s="1094"/>
      <c r="L1296" s="197"/>
      <c r="M1296" s="197"/>
      <c r="N1296" s="197"/>
      <c r="O1296" s="197"/>
      <c r="P1296" s="1094"/>
      <c r="Q1296" s="197"/>
      <c r="R1296" s="197"/>
      <c r="S1296" s="197"/>
      <c r="T1296" s="197"/>
      <c r="U1296" s="1094"/>
      <c r="V1296" s="197"/>
      <c r="W1296" s="197"/>
      <c r="X1296" s="197"/>
      <c r="Y1296" s="197"/>
      <c r="Z1296" s="1094"/>
      <c r="AA1296" s="197"/>
      <c r="AB1296" s="197"/>
      <c r="AC1296" s="197"/>
      <c r="AD1296" s="197"/>
      <c r="AE1296" s="1094"/>
      <c r="AF1296" s="197"/>
      <c r="AG1296" s="197"/>
      <c r="AH1296" s="197"/>
      <c r="AI1296" s="197"/>
      <c r="AJ1296" s="1094"/>
      <c r="AK1296" s="197"/>
      <c r="AL1296" s="197"/>
      <c r="AM1296" s="197"/>
      <c r="AN1296" s="197"/>
      <c r="AO1296" s="1094"/>
      <c r="AP1296" s="197"/>
      <c r="AQ1296" s="197"/>
      <c r="AR1296" s="197"/>
      <c r="AS1296" s="197"/>
      <c r="AT1296" s="198"/>
      <c r="AU1296" s="197"/>
      <c r="AV1296" s="197"/>
      <c r="AW1296" s="197"/>
      <c r="AX1296" s="197"/>
      <c r="AY1296" s="198"/>
      <c r="AZ1296" s="197"/>
      <c r="BA1296" s="197"/>
      <c r="BB1296" s="197"/>
      <c r="BC1296" s="197"/>
      <c r="BD1296" s="198"/>
      <c r="BE1296" s="197"/>
      <c r="BF1296" s="197"/>
      <c r="BG1296" s="197"/>
      <c r="BH1296" s="197"/>
      <c r="BI1296" s="198"/>
      <c r="BJ1296" s="197"/>
      <c r="BK1296" s="197"/>
      <c r="BL1296" s="197"/>
      <c r="BM1296" s="197"/>
      <c r="BN1296" s="198"/>
      <c r="BO1296" s="197"/>
      <c r="BP1296" s="197"/>
      <c r="BQ1296" s="197"/>
      <c r="BR1296" s="197"/>
      <c r="BS1296" s="198"/>
      <c r="BT1296" s="727"/>
      <c r="BU1296" s="197"/>
      <c r="BV1296" s="197"/>
      <c r="BW1296" s="197"/>
      <c r="BX1296" s="1094"/>
      <c r="BY1296" s="197"/>
      <c r="BZ1296" s="197"/>
      <c r="CA1296" s="197"/>
      <c r="CB1296" s="197"/>
      <c r="CC1296" s="1094"/>
      <c r="CD1296" s="1094"/>
      <c r="CE1296" s="1094"/>
      <c r="CF1296" s="1094"/>
      <c r="CG1296" s="349"/>
    </row>
    <row r="1297" spans="1:85" s="613" customFormat="1" x14ac:dyDescent="0.3">
      <c r="A1297" s="478" t="s">
        <v>1258</v>
      </c>
      <c r="B1297" s="523"/>
      <c r="C1297" s="78"/>
      <c r="D1297" s="78"/>
      <c r="E1297" s="78"/>
      <c r="F1297" s="78"/>
      <c r="G1297" s="774"/>
      <c r="H1297" s="774"/>
      <c r="I1297" s="774"/>
      <c r="J1297" s="774"/>
      <c r="K1297" s="78"/>
      <c r="L1297" s="774"/>
      <c r="M1297" s="774"/>
      <c r="N1297" s="774"/>
      <c r="O1297" s="774"/>
      <c r="P1297" s="78"/>
      <c r="Q1297" s="774"/>
      <c r="R1297" s="774"/>
      <c r="S1297" s="774"/>
      <c r="T1297" s="774"/>
      <c r="U1297" s="78"/>
      <c r="V1297" s="774"/>
      <c r="W1297" s="774"/>
      <c r="X1297" s="774"/>
      <c r="Y1297" s="774"/>
      <c r="Z1297" s="78"/>
      <c r="AA1297" s="774"/>
      <c r="AB1297" s="774"/>
      <c r="AC1297" s="774"/>
      <c r="AD1297" s="774"/>
      <c r="AE1297" s="78"/>
      <c r="AF1297" s="774"/>
      <c r="AG1297" s="774"/>
      <c r="AH1297" s="774"/>
      <c r="AI1297" s="774"/>
      <c r="AJ1297" s="78"/>
      <c r="AK1297" s="774"/>
      <c r="AL1297" s="774"/>
      <c r="AM1297" s="774"/>
      <c r="AN1297" s="774"/>
      <c r="AO1297" s="78"/>
      <c r="AP1297" s="774"/>
      <c r="AQ1297" s="774"/>
      <c r="AR1297" s="774"/>
      <c r="AS1297" s="774"/>
      <c r="AT1297" s="1119">
        <v>1.8959999999999999</v>
      </c>
      <c r="AU1297" s="774"/>
      <c r="AV1297" s="774"/>
      <c r="AW1297" s="774"/>
      <c r="AX1297" s="774"/>
      <c r="AY1297" s="1119">
        <v>1.8959999999999999</v>
      </c>
      <c r="AZ1297" s="774"/>
      <c r="BA1297" s="774"/>
      <c r="BB1297" s="774"/>
      <c r="BC1297" s="774"/>
      <c r="BD1297" s="1119">
        <v>1.8959999999999999</v>
      </c>
      <c r="BE1297" s="774"/>
      <c r="BF1297" s="774"/>
      <c r="BG1297" s="774"/>
      <c r="BH1297" s="774"/>
      <c r="BI1297" s="1119">
        <v>1.8959999999999999</v>
      </c>
      <c r="BJ1297" s="774"/>
      <c r="BK1297" s="774"/>
      <c r="BL1297" s="774"/>
      <c r="BM1297" s="774"/>
      <c r="BN1297" s="78"/>
      <c r="BO1297" s="774"/>
      <c r="BP1297" s="774"/>
      <c r="BQ1297" s="774"/>
      <c r="BR1297" s="774"/>
      <c r="BS1297" s="78"/>
      <c r="BT1297" s="775"/>
      <c r="BU1297" s="774"/>
      <c r="BV1297" s="774"/>
      <c r="BW1297" s="774"/>
      <c r="BX1297" s="78"/>
      <c r="BY1297" s="774"/>
      <c r="BZ1297" s="774"/>
      <c r="CA1297" s="774"/>
      <c r="CB1297" s="774"/>
      <c r="CC1297" s="78"/>
      <c r="CD1297" s="78"/>
      <c r="CE1297" s="78"/>
      <c r="CF1297" s="78"/>
      <c r="CG1297" s="532"/>
    </row>
    <row r="1298" spans="1:85" s="616" customFormat="1" x14ac:dyDescent="0.3">
      <c r="A1298" s="522" t="s">
        <v>1257</v>
      </c>
      <c r="B1298" s="527"/>
      <c r="C1298" s="1124"/>
      <c r="D1298" s="1124"/>
      <c r="E1298" s="1124"/>
      <c r="F1298" s="1124"/>
      <c r="G1298" s="526"/>
      <c r="H1298" s="526"/>
      <c r="I1298" s="526"/>
      <c r="J1298" s="526"/>
      <c r="K1298" s="1124"/>
      <c r="L1298" s="526"/>
      <c r="M1298" s="526"/>
      <c r="N1298" s="526"/>
      <c r="O1298" s="526"/>
      <c r="P1298" s="1124"/>
      <c r="Q1298" s="526"/>
      <c r="R1298" s="526"/>
      <c r="S1298" s="526"/>
      <c r="T1298" s="526"/>
      <c r="U1298" s="1124"/>
      <c r="V1298" s="526"/>
      <c r="W1298" s="526"/>
      <c r="X1298" s="526"/>
      <c r="Y1298" s="526"/>
      <c r="Z1298" s="1124"/>
      <c r="AA1298" s="526"/>
      <c r="AB1298" s="526"/>
      <c r="AC1298" s="526"/>
      <c r="AD1298" s="526"/>
      <c r="AE1298" s="1124"/>
      <c r="AF1298" s="526"/>
      <c r="AG1298" s="526"/>
      <c r="AH1298" s="526"/>
      <c r="AI1298" s="526"/>
      <c r="AJ1298" s="1124"/>
      <c r="AK1298" s="526"/>
      <c r="AL1298" s="526"/>
      <c r="AM1298" s="526"/>
      <c r="AN1298" s="526"/>
      <c r="AO1298" s="1124"/>
      <c r="AP1298" s="526"/>
      <c r="AQ1298" s="526"/>
      <c r="AR1298" s="526"/>
      <c r="AS1298" s="526"/>
      <c r="AT1298" s="1123">
        <v>359.93</v>
      </c>
      <c r="AU1298" s="526"/>
      <c r="AV1298" s="526"/>
      <c r="AW1298" s="526"/>
      <c r="AX1298" s="526"/>
      <c r="AY1298" s="1123">
        <v>359.93</v>
      </c>
      <c r="AZ1298" s="526"/>
      <c r="BA1298" s="526"/>
      <c r="BB1298" s="526"/>
      <c r="BC1298" s="526"/>
      <c r="BD1298" s="1123">
        <v>359.93</v>
      </c>
      <c r="BE1298" s="526"/>
      <c r="BF1298" s="526"/>
      <c r="BG1298" s="526"/>
      <c r="BH1298" s="526"/>
      <c r="BI1298" s="1123">
        <v>359.93</v>
      </c>
      <c r="BJ1298" s="526"/>
      <c r="BK1298" s="526"/>
      <c r="BL1298" s="526"/>
      <c r="BM1298" s="526"/>
      <c r="BN1298" s="1124"/>
      <c r="BO1298" s="526"/>
      <c r="BP1298" s="526"/>
      <c r="BQ1298" s="526"/>
      <c r="BR1298" s="526"/>
      <c r="BS1298" s="1124"/>
      <c r="BT1298" s="729"/>
      <c r="BU1298" s="526"/>
      <c r="BV1298" s="526"/>
      <c r="BW1298" s="526"/>
      <c r="BX1298" s="1124"/>
      <c r="BY1298" s="526"/>
      <c r="BZ1298" s="526"/>
      <c r="CA1298" s="526"/>
      <c r="CB1298" s="526"/>
      <c r="CC1298" s="1124"/>
      <c r="CD1298" s="1124"/>
      <c r="CE1298" s="1124"/>
      <c r="CF1298" s="1124"/>
      <c r="CG1298" s="533"/>
    </row>
    <row r="1299" spans="1:85" s="614" customFormat="1" x14ac:dyDescent="0.3">
      <c r="A1299" s="522"/>
      <c r="B1299" s="352"/>
      <c r="C1299" s="1094"/>
      <c r="D1299" s="1094"/>
      <c r="E1299" s="1094"/>
      <c r="F1299" s="1094"/>
      <c r="G1299" s="197"/>
      <c r="H1299" s="197"/>
      <c r="I1299" s="197"/>
      <c r="J1299" s="197"/>
      <c r="K1299" s="1094"/>
      <c r="L1299" s="197"/>
      <c r="M1299" s="197"/>
      <c r="N1299" s="197"/>
      <c r="O1299" s="197"/>
      <c r="P1299" s="1094"/>
      <c r="Q1299" s="197"/>
      <c r="R1299" s="197"/>
      <c r="S1299" s="197"/>
      <c r="T1299" s="197"/>
      <c r="U1299" s="1094"/>
      <c r="V1299" s="197"/>
      <c r="W1299" s="197"/>
      <c r="X1299" s="197"/>
      <c r="Y1299" s="197"/>
      <c r="Z1299" s="1094"/>
      <c r="AA1299" s="197"/>
      <c r="AB1299" s="197"/>
      <c r="AC1299" s="197"/>
      <c r="AD1299" s="197"/>
      <c r="AE1299" s="1094"/>
      <c r="AF1299" s="197"/>
      <c r="AG1299" s="197"/>
      <c r="AH1299" s="197"/>
      <c r="AI1299" s="197"/>
      <c r="AJ1299" s="1094"/>
      <c r="AK1299" s="197"/>
      <c r="AL1299" s="197"/>
      <c r="AM1299" s="197"/>
      <c r="AN1299" s="197"/>
      <c r="AO1299" s="1094"/>
      <c r="AP1299" s="197"/>
      <c r="AQ1299" s="197"/>
      <c r="AR1299" s="197"/>
      <c r="AS1299" s="197"/>
      <c r="AT1299" s="198"/>
      <c r="AU1299" s="197"/>
      <c r="AV1299" s="197"/>
      <c r="AW1299" s="197"/>
      <c r="AX1299" s="197"/>
      <c r="AY1299" s="198"/>
      <c r="AZ1299" s="197"/>
      <c r="BA1299" s="197"/>
      <c r="BB1299" s="197"/>
      <c r="BC1299" s="197"/>
      <c r="BD1299" s="198"/>
      <c r="BE1299" s="197"/>
      <c r="BF1299" s="197"/>
      <c r="BG1299" s="197"/>
      <c r="BH1299" s="197"/>
      <c r="BI1299" s="198"/>
      <c r="BJ1299" s="197"/>
      <c r="BK1299" s="197"/>
      <c r="BL1299" s="197"/>
      <c r="BM1299" s="197"/>
      <c r="BN1299" s="198"/>
      <c r="BO1299" s="197"/>
      <c r="BP1299" s="197"/>
      <c r="BQ1299" s="197"/>
      <c r="BR1299" s="197"/>
      <c r="BS1299" s="198"/>
      <c r="BT1299" s="727"/>
      <c r="BU1299" s="197"/>
      <c r="BV1299" s="197"/>
      <c r="BW1299" s="197"/>
      <c r="BX1299" s="1094"/>
      <c r="BY1299" s="197"/>
      <c r="BZ1299" s="197"/>
      <c r="CA1299" s="197"/>
      <c r="CB1299" s="197"/>
      <c r="CC1299" s="1094"/>
      <c r="CD1299" s="1094"/>
      <c r="CE1299" s="1094"/>
      <c r="CF1299" s="1094"/>
      <c r="CG1299" s="349"/>
    </row>
    <row r="1300" spans="1:85" s="613" customFormat="1" x14ac:dyDescent="0.3">
      <c r="A1300" s="478" t="s">
        <v>1256</v>
      </c>
      <c r="B1300" s="523"/>
      <c r="C1300" s="78"/>
      <c r="D1300" s="78"/>
      <c r="E1300" s="78"/>
      <c r="F1300" s="78"/>
      <c r="G1300" s="774"/>
      <c r="H1300" s="774"/>
      <c r="I1300" s="774"/>
      <c r="J1300" s="774"/>
      <c r="K1300" s="78"/>
      <c r="L1300" s="774"/>
      <c r="M1300" s="774"/>
      <c r="N1300" s="774"/>
      <c r="O1300" s="774"/>
      <c r="P1300" s="78"/>
      <c r="Q1300" s="774"/>
      <c r="R1300" s="774"/>
      <c r="S1300" s="774"/>
      <c r="T1300" s="774"/>
      <c r="U1300" s="78"/>
      <c r="V1300" s="774"/>
      <c r="W1300" s="774"/>
      <c r="X1300" s="774"/>
      <c r="Y1300" s="774"/>
      <c r="Z1300" s="78"/>
      <c r="AA1300" s="774"/>
      <c r="AB1300" s="774"/>
      <c r="AC1300" s="774"/>
      <c r="AD1300" s="774"/>
      <c r="AE1300" s="78"/>
      <c r="AF1300" s="774"/>
      <c r="AG1300" s="774"/>
      <c r="AH1300" s="774"/>
      <c r="AI1300" s="774"/>
      <c r="AJ1300" s="78"/>
      <c r="AK1300" s="774"/>
      <c r="AL1300" s="774"/>
      <c r="AM1300" s="774"/>
      <c r="AN1300" s="774"/>
      <c r="AO1300" s="78"/>
      <c r="AP1300" s="774"/>
      <c r="AQ1300" s="774"/>
      <c r="AR1300" s="774"/>
      <c r="AS1300" s="774"/>
      <c r="AT1300" s="1119">
        <v>1.7130000000000001</v>
      </c>
      <c r="AU1300" s="774"/>
      <c r="AV1300" s="774"/>
      <c r="AW1300" s="774"/>
      <c r="AX1300" s="774"/>
      <c r="AY1300" s="1119">
        <v>1.7130000000000001</v>
      </c>
      <c r="AZ1300" s="774"/>
      <c r="BA1300" s="774"/>
      <c r="BB1300" s="774"/>
      <c r="BC1300" s="774"/>
      <c r="BD1300" s="1119">
        <v>1.7130000000000001</v>
      </c>
      <c r="BE1300" s="774"/>
      <c r="BF1300" s="774"/>
      <c r="BG1300" s="774"/>
      <c r="BH1300" s="774"/>
      <c r="BI1300" s="1119">
        <v>1.7130000000000001</v>
      </c>
      <c r="BJ1300" s="774"/>
      <c r="BK1300" s="774"/>
      <c r="BL1300" s="774"/>
      <c r="BM1300" s="774"/>
      <c r="BN1300" s="78"/>
      <c r="BO1300" s="774"/>
      <c r="BP1300" s="774"/>
      <c r="BQ1300" s="774"/>
      <c r="BR1300" s="774"/>
      <c r="BS1300" s="78"/>
      <c r="BT1300" s="775"/>
      <c r="BU1300" s="774"/>
      <c r="BV1300" s="774"/>
      <c r="BW1300" s="774"/>
      <c r="BX1300" s="78"/>
      <c r="BY1300" s="774"/>
      <c r="BZ1300" s="774"/>
      <c r="CA1300" s="774"/>
      <c r="CB1300" s="774"/>
      <c r="CC1300" s="78"/>
      <c r="CD1300" s="78"/>
      <c r="CE1300" s="78"/>
      <c r="CF1300" s="78"/>
      <c r="CG1300" s="532"/>
    </row>
    <row r="1301" spans="1:85" s="616" customFormat="1" x14ac:dyDescent="0.3">
      <c r="A1301" s="522" t="s">
        <v>1255</v>
      </c>
      <c r="B1301" s="527"/>
      <c r="C1301" s="1124"/>
      <c r="D1301" s="1124"/>
      <c r="E1301" s="1124"/>
      <c r="F1301" s="1124"/>
      <c r="G1301" s="526"/>
      <c r="H1301" s="526"/>
      <c r="I1301" s="526"/>
      <c r="J1301" s="526"/>
      <c r="K1301" s="1124"/>
      <c r="L1301" s="526"/>
      <c r="M1301" s="526"/>
      <c r="N1301" s="526"/>
      <c r="O1301" s="526"/>
      <c r="P1301" s="1124"/>
      <c r="Q1301" s="526"/>
      <c r="R1301" s="526"/>
      <c r="S1301" s="526"/>
      <c r="T1301" s="526"/>
      <c r="U1301" s="1124"/>
      <c r="V1301" s="526"/>
      <c r="W1301" s="526"/>
      <c r="X1301" s="526"/>
      <c r="Y1301" s="526"/>
      <c r="Z1301" s="1124"/>
      <c r="AA1301" s="526"/>
      <c r="AB1301" s="526"/>
      <c r="AC1301" s="526"/>
      <c r="AD1301" s="526"/>
      <c r="AE1301" s="1124"/>
      <c r="AF1301" s="526"/>
      <c r="AG1301" s="526"/>
      <c r="AH1301" s="526"/>
      <c r="AI1301" s="526"/>
      <c r="AJ1301" s="1124"/>
      <c r="AK1301" s="526"/>
      <c r="AL1301" s="526"/>
      <c r="AM1301" s="526"/>
      <c r="AN1301" s="526"/>
      <c r="AO1301" s="1124"/>
      <c r="AP1301" s="526"/>
      <c r="AQ1301" s="526"/>
      <c r="AR1301" s="526"/>
      <c r="AS1301" s="526"/>
      <c r="AT1301" s="1123">
        <v>398.18</v>
      </c>
      <c r="AU1301" s="526"/>
      <c r="AV1301" s="526"/>
      <c r="AW1301" s="526"/>
      <c r="AX1301" s="526"/>
      <c r="AY1301" s="1123">
        <v>398.18</v>
      </c>
      <c r="AZ1301" s="526"/>
      <c r="BA1301" s="526"/>
      <c r="BB1301" s="526"/>
      <c r="BC1301" s="526"/>
      <c r="BD1301" s="1123">
        <v>398.18</v>
      </c>
      <c r="BE1301" s="526"/>
      <c r="BF1301" s="526"/>
      <c r="BG1301" s="526"/>
      <c r="BH1301" s="526"/>
      <c r="BI1301" s="1123">
        <v>398.18</v>
      </c>
      <c r="BJ1301" s="526"/>
      <c r="BK1301" s="526"/>
      <c r="BL1301" s="526"/>
      <c r="BM1301" s="526"/>
      <c r="BN1301" s="1124"/>
      <c r="BO1301" s="526"/>
      <c r="BP1301" s="526"/>
      <c r="BQ1301" s="526"/>
      <c r="BR1301" s="526"/>
      <c r="BS1301" s="1124"/>
      <c r="BT1301" s="729"/>
      <c r="BU1301" s="526"/>
      <c r="BV1301" s="526"/>
      <c r="BW1301" s="526"/>
      <c r="BX1301" s="1124"/>
      <c r="BY1301" s="526"/>
      <c r="BZ1301" s="526"/>
      <c r="CA1301" s="526"/>
      <c r="CB1301" s="526"/>
      <c r="CC1301" s="1124"/>
      <c r="CD1301" s="1124"/>
      <c r="CE1301" s="1124"/>
      <c r="CF1301" s="1124"/>
      <c r="CG1301" s="533"/>
    </row>
    <row r="1302" spans="1:85" s="614" customFormat="1" x14ac:dyDescent="0.3">
      <c r="A1302" s="522"/>
      <c r="B1302" s="352"/>
      <c r="C1302" s="1094"/>
      <c r="D1302" s="1094"/>
      <c r="E1302" s="1094"/>
      <c r="F1302" s="1094"/>
      <c r="G1302" s="197"/>
      <c r="H1302" s="197"/>
      <c r="I1302" s="197"/>
      <c r="J1302" s="197"/>
      <c r="K1302" s="1094"/>
      <c r="L1302" s="197"/>
      <c r="M1302" s="197"/>
      <c r="N1302" s="197"/>
      <c r="O1302" s="197"/>
      <c r="P1302" s="1094"/>
      <c r="Q1302" s="197"/>
      <c r="R1302" s="197"/>
      <c r="S1302" s="197"/>
      <c r="T1302" s="197"/>
      <c r="U1302" s="1094"/>
      <c r="V1302" s="197"/>
      <c r="W1302" s="197"/>
      <c r="X1302" s="197"/>
      <c r="Y1302" s="197"/>
      <c r="Z1302" s="1094"/>
      <c r="AA1302" s="197"/>
      <c r="AB1302" s="197"/>
      <c r="AC1302" s="197"/>
      <c r="AD1302" s="197"/>
      <c r="AE1302" s="1094"/>
      <c r="AF1302" s="197"/>
      <c r="AG1302" s="197"/>
      <c r="AH1302" s="197"/>
      <c r="AI1302" s="197"/>
      <c r="AJ1302" s="1094"/>
      <c r="AK1302" s="197"/>
      <c r="AL1302" s="197"/>
      <c r="AM1302" s="197"/>
      <c r="AN1302" s="197"/>
      <c r="AO1302" s="1094"/>
      <c r="AP1302" s="197"/>
      <c r="AQ1302" s="197"/>
      <c r="AR1302" s="197"/>
      <c r="AS1302" s="197"/>
      <c r="AT1302" s="198"/>
      <c r="AU1302" s="197"/>
      <c r="AV1302" s="197"/>
      <c r="AW1302" s="197"/>
      <c r="AX1302" s="197"/>
      <c r="AY1302" s="198"/>
      <c r="AZ1302" s="197"/>
      <c r="BA1302" s="197"/>
      <c r="BB1302" s="197"/>
      <c r="BC1302" s="197"/>
      <c r="BD1302" s="198"/>
      <c r="BE1302" s="197"/>
      <c r="BF1302" s="197"/>
      <c r="BG1302" s="197"/>
      <c r="BH1302" s="197"/>
      <c r="BI1302" s="198"/>
      <c r="BJ1302" s="197"/>
      <c r="BK1302" s="197"/>
      <c r="BL1302" s="197"/>
      <c r="BM1302" s="197"/>
      <c r="BN1302" s="198"/>
      <c r="BO1302" s="197"/>
      <c r="BP1302" s="197"/>
      <c r="BQ1302" s="197"/>
      <c r="BR1302" s="197"/>
      <c r="BS1302" s="198"/>
      <c r="BT1302" s="727"/>
      <c r="BU1302" s="197"/>
      <c r="BV1302" s="197"/>
      <c r="BW1302" s="197"/>
      <c r="BX1302" s="1094"/>
      <c r="BY1302" s="197"/>
      <c r="BZ1302" s="197"/>
      <c r="CA1302" s="197"/>
      <c r="CB1302" s="197"/>
      <c r="CC1302" s="1094"/>
      <c r="CD1302" s="1094"/>
      <c r="CE1302" s="1094"/>
      <c r="CF1302" s="1094"/>
      <c r="CG1302" s="349"/>
    </row>
    <row r="1303" spans="1:85" s="613" customFormat="1" x14ac:dyDescent="0.3">
      <c r="A1303" s="478" t="s">
        <v>1254</v>
      </c>
      <c r="B1303" s="523"/>
      <c r="C1303" s="78"/>
      <c r="D1303" s="78"/>
      <c r="E1303" s="78"/>
      <c r="F1303" s="78"/>
      <c r="G1303" s="774"/>
      <c r="H1303" s="774"/>
      <c r="I1303" s="774"/>
      <c r="J1303" s="774"/>
      <c r="K1303" s="78"/>
      <c r="L1303" s="774"/>
      <c r="M1303" s="774"/>
      <c r="N1303" s="774"/>
      <c r="O1303" s="774"/>
      <c r="P1303" s="78"/>
      <c r="Q1303" s="774"/>
      <c r="R1303" s="774"/>
      <c r="S1303" s="774"/>
      <c r="T1303" s="774"/>
      <c r="U1303" s="78"/>
      <c r="V1303" s="774"/>
      <c r="W1303" s="774"/>
      <c r="X1303" s="774"/>
      <c r="Y1303" s="774"/>
      <c r="Z1303" s="78"/>
      <c r="AA1303" s="774"/>
      <c r="AB1303" s="774"/>
      <c r="AC1303" s="774"/>
      <c r="AD1303" s="774"/>
      <c r="AE1303" s="78"/>
      <c r="AF1303" s="774"/>
      <c r="AG1303" s="774"/>
      <c r="AH1303" s="774"/>
      <c r="AI1303" s="774"/>
      <c r="AJ1303" s="78"/>
      <c r="AK1303" s="774"/>
      <c r="AL1303" s="774"/>
      <c r="AM1303" s="774"/>
      <c r="AN1303" s="774"/>
      <c r="AO1303" s="78"/>
      <c r="AP1303" s="774"/>
      <c r="AQ1303" s="774"/>
      <c r="AR1303" s="774"/>
      <c r="AS1303" s="774"/>
      <c r="AT1303" s="1119">
        <v>2.0169999999999999</v>
      </c>
      <c r="AU1303" s="774"/>
      <c r="AV1303" s="774"/>
      <c r="AW1303" s="774"/>
      <c r="AX1303" s="774"/>
      <c r="AY1303" s="1119">
        <v>2.0169999999999999</v>
      </c>
      <c r="AZ1303" s="774"/>
      <c r="BA1303" s="774"/>
      <c r="BB1303" s="774"/>
      <c r="BC1303" s="774"/>
      <c r="BD1303" s="1119">
        <v>2.0169999999999999</v>
      </c>
      <c r="BE1303" s="774"/>
      <c r="BF1303" s="774"/>
      <c r="BG1303" s="774"/>
      <c r="BH1303" s="774"/>
      <c r="BI1303" s="1119">
        <v>2.0169999999999999</v>
      </c>
      <c r="BJ1303" s="774"/>
      <c r="BK1303" s="774"/>
      <c r="BL1303" s="774"/>
      <c r="BM1303" s="774"/>
      <c r="BN1303" s="78"/>
      <c r="BO1303" s="774"/>
      <c r="BP1303" s="774"/>
      <c r="BQ1303" s="774"/>
      <c r="BR1303" s="774"/>
      <c r="BS1303" s="78"/>
      <c r="BT1303" s="775"/>
      <c r="BU1303" s="774"/>
      <c r="BV1303" s="774"/>
      <c r="BW1303" s="774"/>
      <c r="BX1303" s="78"/>
      <c r="BY1303" s="774"/>
      <c r="BZ1303" s="774"/>
      <c r="CA1303" s="774"/>
      <c r="CB1303" s="774"/>
      <c r="CC1303" s="78"/>
      <c r="CD1303" s="78"/>
      <c r="CE1303" s="78"/>
      <c r="CF1303" s="78"/>
      <c r="CG1303" s="532"/>
    </row>
    <row r="1304" spans="1:85" s="616" customFormat="1" x14ac:dyDescent="0.3">
      <c r="A1304" s="522" t="s">
        <v>1253</v>
      </c>
      <c r="B1304" s="527"/>
      <c r="C1304" s="1124"/>
      <c r="D1304" s="1124"/>
      <c r="E1304" s="1124"/>
      <c r="F1304" s="1124"/>
      <c r="G1304" s="526"/>
      <c r="H1304" s="526"/>
      <c r="I1304" s="526"/>
      <c r="J1304" s="526"/>
      <c r="K1304" s="1124"/>
      <c r="L1304" s="526"/>
      <c r="M1304" s="526"/>
      <c r="N1304" s="526"/>
      <c r="O1304" s="526"/>
      <c r="P1304" s="1124"/>
      <c r="Q1304" s="526"/>
      <c r="R1304" s="526"/>
      <c r="S1304" s="526"/>
      <c r="T1304" s="526"/>
      <c r="U1304" s="1124"/>
      <c r="V1304" s="526"/>
      <c r="W1304" s="526"/>
      <c r="X1304" s="526"/>
      <c r="Y1304" s="526"/>
      <c r="Z1304" s="1124"/>
      <c r="AA1304" s="526"/>
      <c r="AB1304" s="526"/>
      <c r="AC1304" s="526"/>
      <c r="AD1304" s="526"/>
      <c r="AE1304" s="1124"/>
      <c r="AF1304" s="526"/>
      <c r="AG1304" s="526"/>
      <c r="AH1304" s="526"/>
      <c r="AI1304" s="526"/>
      <c r="AJ1304" s="1124"/>
      <c r="AK1304" s="526"/>
      <c r="AL1304" s="526"/>
      <c r="AM1304" s="526"/>
      <c r="AN1304" s="526"/>
      <c r="AO1304" s="1124"/>
      <c r="AP1304" s="526"/>
      <c r="AQ1304" s="526"/>
      <c r="AR1304" s="526"/>
      <c r="AS1304" s="526"/>
      <c r="AT1304" s="1123">
        <v>338.38</v>
      </c>
      <c r="AU1304" s="526"/>
      <c r="AV1304" s="526"/>
      <c r="AW1304" s="526"/>
      <c r="AX1304" s="526"/>
      <c r="AY1304" s="1123">
        <v>338.38</v>
      </c>
      <c r="AZ1304" s="526"/>
      <c r="BA1304" s="526"/>
      <c r="BB1304" s="526"/>
      <c r="BC1304" s="526"/>
      <c r="BD1304" s="1123">
        <v>338.38</v>
      </c>
      <c r="BE1304" s="526"/>
      <c r="BF1304" s="526"/>
      <c r="BG1304" s="526"/>
      <c r="BH1304" s="526"/>
      <c r="BI1304" s="1123">
        <v>338.38</v>
      </c>
      <c r="BJ1304" s="526"/>
      <c r="BK1304" s="526"/>
      <c r="BL1304" s="526"/>
      <c r="BM1304" s="526"/>
      <c r="BN1304" s="1124"/>
      <c r="BO1304" s="526"/>
      <c r="BP1304" s="526"/>
      <c r="BQ1304" s="526"/>
      <c r="BR1304" s="526"/>
      <c r="BS1304" s="1124"/>
      <c r="BT1304" s="729"/>
      <c r="BU1304" s="526"/>
      <c r="BV1304" s="526"/>
      <c r="BW1304" s="526"/>
      <c r="BX1304" s="1124"/>
      <c r="BY1304" s="526"/>
      <c r="BZ1304" s="526"/>
      <c r="CA1304" s="526"/>
      <c r="CB1304" s="526"/>
      <c r="CC1304" s="1124"/>
      <c r="CD1304" s="1124"/>
      <c r="CE1304" s="1124"/>
      <c r="CF1304" s="1124"/>
      <c r="CG1304" s="533"/>
    </row>
    <row r="1305" spans="1:85" s="614" customFormat="1" x14ac:dyDescent="0.3">
      <c r="A1305" s="522"/>
      <c r="B1305" s="352"/>
      <c r="C1305" s="1094"/>
      <c r="D1305" s="1094"/>
      <c r="E1305" s="1094"/>
      <c r="F1305" s="1094"/>
      <c r="G1305" s="197"/>
      <c r="H1305" s="197"/>
      <c r="I1305" s="197"/>
      <c r="J1305" s="197"/>
      <c r="K1305" s="1094"/>
      <c r="L1305" s="197"/>
      <c r="M1305" s="197"/>
      <c r="N1305" s="197"/>
      <c r="O1305" s="197"/>
      <c r="P1305" s="1094"/>
      <c r="Q1305" s="197"/>
      <c r="R1305" s="197"/>
      <c r="S1305" s="197"/>
      <c r="T1305" s="197"/>
      <c r="U1305" s="1094"/>
      <c r="V1305" s="197"/>
      <c r="W1305" s="197"/>
      <c r="X1305" s="197"/>
      <c r="Y1305" s="197"/>
      <c r="Z1305" s="1094"/>
      <c r="AA1305" s="197"/>
      <c r="AB1305" s="197"/>
      <c r="AC1305" s="197"/>
      <c r="AD1305" s="197"/>
      <c r="AE1305" s="1094"/>
      <c r="AF1305" s="197"/>
      <c r="AG1305" s="197"/>
      <c r="AH1305" s="197"/>
      <c r="AI1305" s="197"/>
      <c r="AJ1305" s="1094"/>
      <c r="AK1305" s="197"/>
      <c r="AL1305" s="197"/>
      <c r="AM1305" s="197"/>
      <c r="AN1305" s="197"/>
      <c r="AO1305" s="1094"/>
      <c r="AP1305" s="197"/>
      <c r="AQ1305" s="197"/>
      <c r="AR1305" s="197"/>
      <c r="AS1305" s="197"/>
      <c r="AT1305" s="198"/>
      <c r="AU1305" s="197"/>
      <c r="AV1305" s="197"/>
      <c r="AW1305" s="197"/>
      <c r="AX1305" s="197"/>
      <c r="AY1305" s="198"/>
      <c r="AZ1305" s="197"/>
      <c r="BA1305" s="197"/>
      <c r="BB1305" s="197"/>
      <c r="BC1305" s="197"/>
      <c r="BD1305" s="198"/>
      <c r="BE1305" s="197"/>
      <c r="BF1305" s="197"/>
      <c r="BG1305" s="197"/>
      <c r="BH1305" s="197"/>
      <c r="BI1305" s="198"/>
      <c r="BJ1305" s="197"/>
      <c r="BK1305" s="197"/>
      <c r="BL1305" s="197"/>
      <c r="BM1305" s="197"/>
      <c r="BN1305" s="198"/>
      <c r="BO1305" s="197"/>
      <c r="BP1305" s="197"/>
      <c r="BQ1305" s="197"/>
      <c r="BR1305" s="197"/>
      <c r="BS1305" s="198"/>
      <c r="BT1305" s="727"/>
      <c r="BU1305" s="197"/>
      <c r="BV1305" s="197"/>
      <c r="BW1305" s="197"/>
      <c r="BX1305" s="1094"/>
      <c r="BY1305" s="197"/>
      <c r="BZ1305" s="197"/>
      <c r="CA1305" s="197"/>
      <c r="CB1305" s="197"/>
      <c r="CC1305" s="1094"/>
      <c r="CD1305" s="1094"/>
      <c r="CE1305" s="1094"/>
      <c r="CF1305" s="1094"/>
      <c r="CG1305" s="349"/>
    </row>
    <row r="1306" spans="1:85" s="613" customFormat="1" x14ac:dyDescent="0.3">
      <c r="A1306" s="478" t="s">
        <v>1252</v>
      </c>
      <c r="B1306" s="523"/>
      <c r="C1306" s="78"/>
      <c r="D1306" s="78"/>
      <c r="E1306" s="78"/>
      <c r="F1306" s="78"/>
      <c r="G1306" s="774"/>
      <c r="H1306" s="774"/>
      <c r="I1306" s="774"/>
      <c r="J1306" s="774"/>
      <c r="K1306" s="78"/>
      <c r="L1306" s="774"/>
      <c r="M1306" s="774"/>
      <c r="N1306" s="774"/>
      <c r="O1306" s="774"/>
      <c r="P1306" s="78"/>
      <c r="Q1306" s="774"/>
      <c r="R1306" s="774"/>
      <c r="S1306" s="774"/>
      <c r="T1306" s="774"/>
      <c r="U1306" s="78"/>
      <c r="V1306" s="774"/>
      <c r="W1306" s="774"/>
      <c r="X1306" s="774"/>
      <c r="Y1306" s="774"/>
      <c r="Z1306" s="78"/>
      <c r="AA1306" s="774"/>
      <c r="AB1306" s="774"/>
      <c r="AC1306" s="774"/>
      <c r="AD1306" s="774"/>
      <c r="AE1306" s="78"/>
      <c r="AF1306" s="774"/>
      <c r="AG1306" s="774"/>
      <c r="AH1306" s="774"/>
      <c r="AI1306" s="774"/>
      <c r="AJ1306" s="78"/>
      <c r="AK1306" s="774"/>
      <c r="AL1306" s="774"/>
      <c r="AM1306" s="774"/>
      <c r="AN1306" s="774"/>
      <c r="AO1306" s="78"/>
      <c r="AP1306" s="774"/>
      <c r="AQ1306" s="774"/>
      <c r="AR1306" s="774"/>
      <c r="AS1306" s="774"/>
      <c r="AT1306" s="1119">
        <v>1.8759999999999999</v>
      </c>
      <c r="AU1306" s="774"/>
      <c r="AV1306" s="774"/>
      <c r="AW1306" s="774"/>
      <c r="AX1306" s="774"/>
      <c r="AY1306" s="1119">
        <v>1.8759999999999999</v>
      </c>
      <c r="AZ1306" s="774"/>
      <c r="BA1306" s="774"/>
      <c r="BB1306" s="774"/>
      <c r="BC1306" s="774"/>
      <c r="BD1306" s="1119">
        <v>1.8759999999999999</v>
      </c>
      <c r="BE1306" s="774"/>
      <c r="BF1306" s="774"/>
      <c r="BG1306" s="774"/>
      <c r="BH1306" s="774"/>
      <c r="BI1306" s="1119">
        <v>1.8759999999999999</v>
      </c>
      <c r="BJ1306" s="774"/>
      <c r="BK1306" s="774"/>
      <c r="BL1306" s="774"/>
      <c r="BM1306" s="774"/>
      <c r="BN1306" s="78"/>
      <c r="BO1306" s="774"/>
      <c r="BP1306" s="774"/>
      <c r="BQ1306" s="774"/>
      <c r="BR1306" s="774"/>
      <c r="BS1306" s="78"/>
      <c r="BT1306" s="775"/>
      <c r="BU1306" s="774"/>
      <c r="BV1306" s="774"/>
      <c r="BW1306" s="774"/>
      <c r="BX1306" s="78"/>
      <c r="BY1306" s="774"/>
      <c r="BZ1306" s="774"/>
      <c r="CA1306" s="774"/>
      <c r="CB1306" s="774"/>
      <c r="CC1306" s="78"/>
      <c r="CD1306" s="78"/>
      <c r="CE1306" s="78"/>
      <c r="CF1306" s="78"/>
      <c r="CG1306" s="532"/>
    </row>
    <row r="1307" spans="1:85" s="616" customFormat="1" x14ac:dyDescent="0.3">
      <c r="A1307" s="522" t="s">
        <v>1251</v>
      </c>
      <c r="B1307" s="527"/>
      <c r="C1307" s="1124"/>
      <c r="D1307" s="1124"/>
      <c r="E1307" s="1124"/>
      <c r="F1307" s="1124"/>
      <c r="G1307" s="526"/>
      <c r="H1307" s="526"/>
      <c r="I1307" s="526"/>
      <c r="J1307" s="526"/>
      <c r="K1307" s="1124"/>
      <c r="L1307" s="526"/>
      <c r="M1307" s="526"/>
      <c r="N1307" s="526"/>
      <c r="O1307" s="526"/>
      <c r="P1307" s="1124"/>
      <c r="Q1307" s="526"/>
      <c r="R1307" s="526"/>
      <c r="S1307" s="526"/>
      <c r="T1307" s="526"/>
      <c r="U1307" s="1124"/>
      <c r="V1307" s="526"/>
      <c r="W1307" s="526"/>
      <c r="X1307" s="526"/>
      <c r="Y1307" s="526"/>
      <c r="Z1307" s="1124"/>
      <c r="AA1307" s="526"/>
      <c r="AB1307" s="526"/>
      <c r="AC1307" s="526"/>
      <c r="AD1307" s="526"/>
      <c r="AE1307" s="1124"/>
      <c r="AF1307" s="526"/>
      <c r="AG1307" s="526"/>
      <c r="AH1307" s="526"/>
      <c r="AI1307" s="526"/>
      <c r="AJ1307" s="1124"/>
      <c r="AK1307" s="526"/>
      <c r="AL1307" s="526"/>
      <c r="AM1307" s="526"/>
      <c r="AN1307" s="526"/>
      <c r="AO1307" s="1124"/>
      <c r="AP1307" s="526"/>
      <c r="AQ1307" s="526"/>
      <c r="AR1307" s="526"/>
      <c r="AS1307" s="526"/>
      <c r="AT1307" s="1123">
        <v>363.6</v>
      </c>
      <c r="AU1307" s="526"/>
      <c r="AV1307" s="526"/>
      <c r="AW1307" s="526"/>
      <c r="AX1307" s="526"/>
      <c r="AY1307" s="1123">
        <v>363.6</v>
      </c>
      <c r="AZ1307" s="526"/>
      <c r="BA1307" s="526"/>
      <c r="BB1307" s="526"/>
      <c r="BC1307" s="526"/>
      <c r="BD1307" s="1123">
        <v>363.6</v>
      </c>
      <c r="BE1307" s="526"/>
      <c r="BF1307" s="526"/>
      <c r="BG1307" s="526"/>
      <c r="BH1307" s="526"/>
      <c r="BI1307" s="1123">
        <v>363.6</v>
      </c>
      <c r="BJ1307" s="526"/>
      <c r="BK1307" s="526"/>
      <c r="BL1307" s="526"/>
      <c r="BM1307" s="526"/>
      <c r="BN1307" s="1124"/>
      <c r="BO1307" s="526"/>
      <c r="BP1307" s="526"/>
      <c r="BQ1307" s="526"/>
      <c r="BR1307" s="526"/>
      <c r="BS1307" s="1124"/>
      <c r="BT1307" s="729"/>
      <c r="BU1307" s="526"/>
      <c r="BV1307" s="526"/>
      <c r="BW1307" s="526"/>
      <c r="BX1307" s="1124"/>
      <c r="BY1307" s="526"/>
      <c r="BZ1307" s="526"/>
      <c r="CA1307" s="526"/>
      <c r="CB1307" s="526"/>
      <c r="CC1307" s="1124"/>
      <c r="CD1307" s="1124"/>
      <c r="CE1307" s="1124"/>
      <c r="CF1307" s="1124"/>
      <c r="CG1307" s="533"/>
    </row>
    <row r="1308" spans="1:85" s="614" customFormat="1" x14ac:dyDescent="0.3">
      <c r="A1308" s="522"/>
      <c r="B1308" s="352"/>
      <c r="C1308" s="1094"/>
      <c r="D1308" s="1094"/>
      <c r="E1308" s="1094"/>
      <c r="F1308" s="1094"/>
      <c r="G1308" s="197"/>
      <c r="H1308" s="197"/>
      <c r="I1308" s="197"/>
      <c r="J1308" s="197"/>
      <c r="K1308" s="1094"/>
      <c r="L1308" s="197"/>
      <c r="M1308" s="197"/>
      <c r="N1308" s="197"/>
      <c r="O1308" s="197"/>
      <c r="P1308" s="1094"/>
      <c r="Q1308" s="197"/>
      <c r="R1308" s="197"/>
      <c r="S1308" s="197"/>
      <c r="T1308" s="197"/>
      <c r="U1308" s="1094"/>
      <c r="V1308" s="197"/>
      <c r="W1308" s="197"/>
      <c r="X1308" s="197"/>
      <c r="Y1308" s="197"/>
      <c r="Z1308" s="1094"/>
      <c r="AA1308" s="197"/>
      <c r="AB1308" s="197"/>
      <c r="AC1308" s="197"/>
      <c r="AD1308" s="197"/>
      <c r="AE1308" s="1094"/>
      <c r="AF1308" s="197"/>
      <c r="AG1308" s="197"/>
      <c r="AH1308" s="197"/>
      <c r="AI1308" s="197"/>
      <c r="AJ1308" s="1094"/>
      <c r="AK1308" s="197"/>
      <c r="AL1308" s="197"/>
      <c r="AM1308" s="197"/>
      <c r="AN1308" s="197"/>
      <c r="AO1308" s="1094"/>
      <c r="AP1308" s="197"/>
      <c r="AQ1308" s="197"/>
      <c r="AR1308" s="197"/>
      <c r="AS1308" s="197"/>
      <c r="AT1308" s="198"/>
      <c r="AU1308" s="197"/>
      <c r="AV1308" s="197"/>
      <c r="AW1308" s="197"/>
      <c r="AX1308" s="197"/>
      <c r="AY1308" s="198"/>
      <c r="AZ1308" s="197"/>
      <c r="BA1308" s="197"/>
      <c r="BB1308" s="197"/>
      <c r="BC1308" s="197"/>
      <c r="BD1308" s="198"/>
      <c r="BE1308" s="197"/>
      <c r="BF1308" s="197"/>
      <c r="BG1308" s="197"/>
      <c r="BH1308" s="197"/>
      <c r="BI1308" s="198"/>
      <c r="BJ1308" s="197"/>
      <c r="BK1308" s="197"/>
      <c r="BL1308" s="197"/>
      <c r="BM1308" s="197"/>
      <c r="BN1308" s="198"/>
      <c r="BO1308" s="197"/>
      <c r="BP1308" s="197"/>
      <c r="BQ1308" s="197"/>
      <c r="BR1308" s="197"/>
      <c r="BS1308" s="198"/>
      <c r="BT1308" s="727"/>
      <c r="BU1308" s="197"/>
      <c r="BV1308" s="197"/>
      <c r="BW1308" s="197"/>
      <c r="BX1308" s="1094"/>
      <c r="BY1308" s="197"/>
      <c r="BZ1308" s="197"/>
      <c r="CA1308" s="197"/>
      <c r="CB1308" s="197"/>
      <c r="CC1308" s="1094"/>
      <c r="CD1308" s="1094"/>
      <c r="CE1308" s="1094"/>
      <c r="CF1308" s="1094"/>
      <c r="CG1308" s="349"/>
    </row>
    <row r="1309" spans="1:85" s="613" customFormat="1" x14ac:dyDescent="0.3">
      <c r="A1309" s="478" t="s">
        <v>1250</v>
      </c>
      <c r="B1309" s="523"/>
      <c r="C1309" s="78"/>
      <c r="D1309" s="78"/>
      <c r="E1309" s="78"/>
      <c r="F1309" s="78"/>
      <c r="G1309" s="774"/>
      <c r="H1309" s="774"/>
      <c r="I1309" s="774"/>
      <c r="J1309" s="774"/>
      <c r="K1309" s="78"/>
      <c r="L1309" s="774"/>
      <c r="M1309" s="774"/>
      <c r="N1309" s="774"/>
      <c r="O1309" s="774"/>
      <c r="P1309" s="78"/>
      <c r="Q1309" s="774"/>
      <c r="R1309" s="774"/>
      <c r="S1309" s="774"/>
      <c r="T1309" s="774"/>
      <c r="U1309" s="78"/>
      <c r="V1309" s="774"/>
      <c r="W1309" s="774"/>
      <c r="X1309" s="774"/>
      <c r="Y1309" s="774"/>
      <c r="Z1309" s="78"/>
      <c r="AA1309" s="774"/>
      <c r="AB1309" s="774"/>
      <c r="AC1309" s="774"/>
      <c r="AD1309" s="774"/>
      <c r="AE1309" s="78"/>
      <c r="AF1309" s="774"/>
      <c r="AG1309" s="774"/>
      <c r="AH1309" s="774"/>
      <c r="AI1309" s="774"/>
      <c r="AJ1309" s="78"/>
      <c r="AK1309" s="774"/>
      <c r="AL1309" s="774"/>
      <c r="AM1309" s="774"/>
      <c r="AN1309" s="774"/>
      <c r="AO1309" s="78"/>
      <c r="AP1309" s="774"/>
      <c r="AQ1309" s="774"/>
      <c r="AR1309" s="774"/>
      <c r="AS1309" s="774"/>
      <c r="AT1309" s="1119">
        <v>1.7889999999999999</v>
      </c>
      <c r="AU1309" s="774"/>
      <c r="AV1309" s="774"/>
      <c r="AW1309" s="774"/>
      <c r="AX1309" s="774"/>
      <c r="AY1309" s="1119">
        <v>1.7889999999999999</v>
      </c>
      <c r="AZ1309" s="774"/>
      <c r="BA1309" s="774"/>
      <c r="BB1309" s="774"/>
      <c r="BC1309" s="774"/>
      <c r="BD1309" s="1119">
        <v>1.7889999999999999</v>
      </c>
      <c r="BE1309" s="774"/>
      <c r="BF1309" s="774"/>
      <c r="BG1309" s="774"/>
      <c r="BH1309" s="774"/>
      <c r="BI1309" s="1119">
        <v>1.7889999999999999</v>
      </c>
      <c r="BJ1309" s="774"/>
      <c r="BK1309" s="774"/>
      <c r="BL1309" s="774"/>
      <c r="BM1309" s="774"/>
      <c r="BN1309" s="78"/>
      <c r="BO1309" s="774"/>
      <c r="BP1309" s="774"/>
      <c r="BQ1309" s="774"/>
      <c r="BR1309" s="774"/>
      <c r="BS1309" s="78"/>
      <c r="BT1309" s="775"/>
      <c r="BU1309" s="774"/>
      <c r="BV1309" s="774"/>
      <c r="BW1309" s="774"/>
      <c r="BX1309" s="78"/>
      <c r="BY1309" s="774"/>
      <c r="BZ1309" s="774"/>
      <c r="CA1309" s="774"/>
      <c r="CB1309" s="774"/>
      <c r="CC1309" s="78"/>
      <c r="CD1309" s="78"/>
      <c r="CE1309" s="78"/>
      <c r="CF1309" s="78"/>
      <c r="CG1309" s="532"/>
    </row>
    <row r="1310" spans="1:85" s="616" customFormat="1" x14ac:dyDescent="0.3">
      <c r="A1310" s="522" t="s">
        <v>1249</v>
      </c>
      <c r="B1310" s="527"/>
      <c r="C1310" s="1124"/>
      <c r="D1310" s="1124"/>
      <c r="E1310" s="1124"/>
      <c r="F1310" s="1124"/>
      <c r="G1310" s="526"/>
      <c r="H1310" s="526"/>
      <c r="I1310" s="526"/>
      <c r="J1310" s="526"/>
      <c r="K1310" s="1124"/>
      <c r="L1310" s="526"/>
      <c r="M1310" s="526"/>
      <c r="N1310" s="526"/>
      <c r="O1310" s="526"/>
      <c r="P1310" s="1124"/>
      <c r="Q1310" s="526"/>
      <c r="R1310" s="526"/>
      <c r="S1310" s="526"/>
      <c r="T1310" s="526"/>
      <c r="U1310" s="1124"/>
      <c r="V1310" s="526"/>
      <c r="W1310" s="526"/>
      <c r="X1310" s="526"/>
      <c r="Y1310" s="526"/>
      <c r="Z1310" s="1124"/>
      <c r="AA1310" s="526"/>
      <c r="AB1310" s="526"/>
      <c r="AC1310" s="526"/>
      <c r="AD1310" s="526"/>
      <c r="AE1310" s="1124"/>
      <c r="AF1310" s="526"/>
      <c r="AG1310" s="526"/>
      <c r="AH1310" s="526"/>
      <c r="AI1310" s="526"/>
      <c r="AJ1310" s="1124"/>
      <c r="AK1310" s="526"/>
      <c r="AL1310" s="526"/>
      <c r="AM1310" s="526"/>
      <c r="AN1310" s="526"/>
      <c r="AO1310" s="1124"/>
      <c r="AP1310" s="526"/>
      <c r="AQ1310" s="526"/>
      <c r="AR1310" s="526"/>
      <c r="AS1310" s="526"/>
      <c r="AT1310" s="1123">
        <v>381.43</v>
      </c>
      <c r="AU1310" s="526"/>
      <c r="AV1310" s="526"/>
      <c r="AW1310" s="526"/>
      <c r="AX1310" s="526"/>
      <c r="AY1310" s="1123">
        <v>381.43</v>
      </c>
      <c r="AZ1310" s="526"/>
      <c r="BA1310" s="526"/>
      <c r="BB1310" s="526"/>
      <c r="BC1310" s="526"/>
      <c r="BD1310" s="1123">
        <v>381.43</v>
      </c>
      <c r="BE1310" s="526"/>
      <c r="BF1310" s="526"/>
      <c r="BG1310" s="526"/>
      <c r="BH1310" s="526"/>
      <c r="BI1310" s="1123">
        <v>381.43</v>
      </c>
      <c r="BJ1310" s="526"/>
      <c r="BK1310" s="526"/>
      <c r="BL1310" s="526"/>
      <c r="BM1310" s="526"/>
      <c r="BN1310" s="1124"/>
      <c r="BO1310" s="526"/>
      <c r="BP1310" s="526"/>
      <c r="BQ1310" s="526"/>
      <c r="BR1310" s="526"/>
      <c r="BS1310" s="1124"/>
      <c r="BT1310" s="729"/>
      <c r="BU1310" s="526"/>
      <c r="BV1310" s="526"/>
      <c r="BW1310" s="526"/>
      <c r="BX1310" s="1124"/>
      <c r="BY1310" s="526"/>
      <c r="BZ1310" s="526"/>
      <c r="CA1310" s="526"/>
      <c r="CB1310" s="526"/>
      <c r="CC1310" s="1124"/>
      <c r="CD1310" s="1124"/>
      <c r="CE1310" s="1124"/>
      <c r="CF1310" s="1124"/>
      <c r="CG1310" s="533"/>
    </row>
    <row r="1311" spans="1:85" s="614" customFormat="1" x14ac:dyDescent="0.3">
      <c r="A1311" s="522"/>
      <c r="B1311" s="352"/>
      <c r="C1311" s="1094"/>
      <c r="D1311" s="1094"/>
      <c r="E1311" s="1094"/>
      <c r="F1311" s="1094"/>
      <c r="G1311" s="197"/>
      <c r="H1311" s="197"/>
      <c r="I1311" s="197"/>
      <c r="J1311" s="197"/>
      <c r="K1311" s="1094"/>
      <c r="L1311" s="197"/>
      <c r="M1311" s="197"/>
      <c r="N1311" s="197"/>
      <c r="O1311" s="197"/>
      <c r="P1311" s="1094"/>
      <c r="Q1311" s="197"/>
      <c r="R1311" s="197"/>
      <c r="S1311" s="197"/>
      <c r="T1311" s="197"/>
      <c r="U1311" s="1094"/>
      <c r="V1311" s="197"/>
      <c r="W1311" s="197"/>
      <c r="X1311" s="197"/>
      <c r="Y1311" s="197"/>
      <c r="Z1311" s="1094"/>
      <c r="AA1311" s="197"/>
      <c r="AB1311" s="197"/>
      <c r="AC1311" s="197"/>
      <c r="AD1311" s="197"/>
      <c r="AE1311" s="1094"/>
      <c r="AF1311" s="197"/>
      <c r="AG1311" s="197"/>
      <c r="AH1311" s="197"/>
      <c r="AI1311" s="197"/>
      <c r="AJ1311" s="1094"/>
      <c r="AK1311" s="197"/>
      <c r="AL1311" s="197"/>
      <c r="AM1311" s="197"/>
      <c r="AN1311" s="197"/>
      <c r="AO1311" s="1094"/>
      <c r="AP1311" s="197"/>
      <c r="AQ1311" s="197"/>
      <c r="AR1311" s="197"/>
      <c r="AS1311" s="197"/>
      <c r="AT1311" s="198"/>
      <c r="AU1311" s="197"/>
      <c r="AV1311" s="197"/>
      <c r="AW1311" s="197"/>
      <c r="AX1311" s="197"/>
      <c r="AY1311" s="198"/>
      <c r="AZ1311" s="197"/>
      <c r="BA1311" s="197"/>
      <c r="BB1311" s="197"/>
      <c r="BC1311" s="197"/>
      <c r="BD1311" s="198"/>
      <c r="BE1311" s="197"/>
      <c r="BF1311" s="197"/>
      <c r="BG1311" s="197"/>
      <c r="BH1311" s="197"/>
      <c r="BI1311" s="198"/>
      <c r="BJ1311" s="197"/>
      <c r="BK1311" s="197"/>
      <c r="BL1311" s="197"/>
      <c r="BM1311" s="197"/>
      <c r="BN1311" s="198"/>
      <c r="BO1311" s="197"/>
      <c r="BP1311" s="197"/>
      <c r="BQ1311" s="197"/>
      <c r="BR1311" s="197"/>
      <c r="BS1311" s="198"/>
      <c r="BT1311" s="727"/>
      <c r="BU1311" s="197"/>
      <c r="BV1311" s="197"/>
      <c r="BW1311" s="197"/>
      <c r="BX1311" s="1094"/>
      <c r="BY1311" s="197"/>
      <c r="BZ1311" s="197"/>
      <c r="CA1311" s="197"/>
      <c r="CB1311" s="197"/>
      <c r="CC1311" s="1094"/>
      <c r="CD1311" s="1094"/>
      <c r="CE1311" s="1094"/>
      <c r="CF1311" s="1094"/>
      <c r="CG1311" s="349"/>
    </row>
    <row r="1312" spans="1:85" s="613" customFormat="1" x14ac:dyDescent="0.3">
      <c r="A1312" s="478" t="s">
        <v>1248</v>
      </c>
      <c r="B1312" s="523"/>
      <c r="C1312" s="78"/>
      <c r="D1312" s="78"/>
      <c r="E1312" s="78"/>
      <c r="F1312" s="78"/>
      <c r="G1312" s="774"/>
      <c r="H1312" s="774"/>
      <c r="I1312" s="774"/>
      <c r="J1312" s="774"/>
      <c r="K1312" s="78"/>
      <c r="L1312" s="774"/>
      <c r="M1312" s="774"/>
      <c r="N1312" s="774"/>
      <c r="O1312" s="774"/>
      <c r="P1312" s="78"/>
      <c r="Q1312" s="774"/>
      <c r="R1312" s="774"/>
      <c r="S1312" s="774"/>
      <c r="T1312" s="774"/>
      <c r="U1312" s="78"/>
      <c r="V1312" s="774"/>
      <c r="W1312" s="774"/>
      <c r="X1312" s="774"/>
      <c r="Y1312" s="774"/>
      <c r="Z1312" s="78"/>
      <c r="AA1312" s="774"/>
      <c r="AB1312" s="774"/>
      <c r="AC1312" s="774"/>
      <c r="AD1312" s="774"/>
      <c r="AE1312" s="78"/>
      <c r="AF1312" s="774"/>
      <c r="AG1312" s="774"/>
      <c r="AH1312" s="774"/>
      <c r="AI1312" s="774"/>
      <c r="AJ1312" s="78"/>
      <c r="AK1312" s="774"/>
      <c r="AL1312" s="774"/>
      <c r="AM1312" s="774"/>
      <c r="AN1312" s="774"/>
      <c r="AO1312" s="78"/>
      <c r="AP1312" s="774"/>
      <c r="AQ1312" s="774"/>
      <c r="AR1312" s="774"/>
      <c r="AS1312" s="774"/>
      <c r="AT1312" s="1119">
        <v>2.15</v>
      </c>
      <c r="AU1312" s="774"/>
      <c r="AV1312" s="774"/>
      <c r="AW1312" s="774"/>
      <c r="AX1312" s="774"/>
      <c r="AY1312" s="1119">
        <v>2.15</v>
      </c>
      <c r="AZ1312" s="774"/>
      <c r="BA1312" s="774"/>
      <c r="BB1312" s="774"/>
      <c r="BC1312" s="774"/>
      <c r="BD1312" s="1119">
        <v>2.15</v>
      </c>
      <c r="BE1312" s="774"/>
      <c r="BF1312" s="774"/>
      <c r="BG1312" s="774"/>
      <c r="BH1312" s="774"/>
      <c r="BI1312" s="1119">
        <v>2.15</v>
      </c>
      <c r="BJ1312" s="774"/>
      <c r="BK1312" s="774"/>
      <c r="BL1312" s="774"/>
      <c r="BM1312" s="774"/>
      <c r="BN1312" s="78"/>
      <c r="BO1312" s="774"/>
      <c r="BP1312" s="774"/>
      <c r="BQ1312" s="774"/>
      <c r="BR1312" s="774"/>
      <c r="BS1312" s="78"/>
      <c r="BT1312" s="775"/>
      <c r="BU1312" s="774"/>
      <c r="BV1312" s="774"/>
      <c r="BW1312" s="774"/>
      <c r="BX1312" s="78"/>
      <c r="BY1312" s="774"/>
      <c r="BZ1312" s="774"/>
      <c r="CA1312" s="774"/>
      <c r="CB1312" s="774"/>
      <c r="CC1312" s="78"/>
      <c r="CD1312" s="78"/>
      <c r="CE1312" s="78"/>
      <c r="CF1312" s="78"/>
      <c r="CG1312" s="532"/>
    </row>
    <row r="1313" spans="1:85" s="616" customFormat="1" x14ac:dyDescent="0.3">
      <c r="A1313" s="522" t="s">
        <v>1247</v>
      </c>
      <c r="B1313" s="527"/>
      <c r="C1313" s="1124"/>
      <c r="D1313" s="1124"/>
      <c r="E1313" s="1124"/>
      <c r="F1313" s="1124"/>
      <c r="G1313" s="526"/>
      <c r="H1313" s="526"/>
      <c r="I1313" s="526"/>
      <c r="J1313" s="526"/>
      <c r="K1313" s="1124"/>
      <c r="L1313" s="526"/>
      <c r="M1313" s="526"/>
      <c r="N1313" s="526"/>
      <c r="O1313" s="526"/>
      <c r="P1313" s="1124"/>
      <c r="Q1313" s="526"/>
      <c r="R1313" s="526"/>
      <c r="S1313" s="526"/>
      <c r="T1313" s="526"/>
      <c r="U1313" s="1124"/>
      <c r="V1313" s="526"/>
      <c r="W1313" s="526"/>
      <c r="X1313" s="526"/>
      <c r="Y1313" s="526"/>
      <c r="Z1313" s="1124"/>
      <c r="AA1313" s="526"/>
      <c r="AB1313" s="526"/>
      <c r="AC1313" s="526"/>
      <c r="AD1313" s="526"/>
      <c r="AE1313" s="1124"/>
      <c r="AF1313" s="526"/>
      <c r="AG1313" s="526"/>
      <c r="AH1313" s="526"/>
      <c r="AI1313" s="526"/>
      <c r="AJ1313" s="1124"/>
      <c r="AK1313" s="526"/>
      <c r="AL1313" s="526"/>
      <c r="AM1313" s="526"/>
      <c r="AN1313" s="526"/>
      <c r="AO1313" s="1124"/>
      <c r="AP1313" s="526"/>
      <c r="AQ1313" s="526"/>
      <c r="AR1313" s="526"/>
      <c r="AS1313" s="526"/>
      <c r="AT1313" s="1123">
        <v>317.38</v>
      </c>
      <c r="AU1313" s="526"/>
      <c r="AV1313" s="526"/>
      <c r="AW1313" s="526"/>
      <c r="AX1313" s="526"/>
      <c r="AY1313" s="1123">
        <v>317.38</v>
      </c>
      <c r="AZ1313" s="526"/>
      <c r="BA1313" s="526"/>
      <c r="BB1313" s="526"/>
      <c r="BC1313" s="526"/>
      <c r="BD1313" s="1123">
        <v>317.38</v>
      </c>
      <c r="BE1313" s="526"/>
      <c r="BF1313" s="526"/>
      <c r="BG1313" s="526"/>
      <c r="BH1313" s="526"/>
      <c r="BI1313" s="1123">
        <v>317.38</v>
      </c>
      <c r="BJ1313" s="526"/>
      <c r="BK1313" s="526"/>
      <c r="BL1313" s="526"/>
      <c r="BM1313" s="526"/>
      <c r="BN1313" s="1124"/>
      <c r="BO1313" s="526"/>
      <c r="BP1313" s="526"/>
      <c r="BQ1313" s="526"/>
      <c r="BR1313" s="526"/>
      <c r="BS1313" s="1124"/>
      <c r="BT1313" s="729"/>
      <c r="BU1313" s="526"/>
      <c r="BV1313" s="526"/>
      <c r="BW1313" s="526"/>
      <c r="BX1313" s="1124"/>
      <c r="BY1313" s="526"/>
      <c r="BZ1313" s="526"/>
      <c r="CA1313" s="526"/>
      <c r="CB1313" s="526"/>
      <c r="CC1313" s="1124"/>
      <c r="CD1313" s="1124"/>
      <c r="CE1313" s="1124"/>
      <c r="CF1313" s="1124"/>
      <c r="CG1313" s="533"/>
    </row>
    <row r="1314" spans="1:85" s="614" customFormat="1" x14ac:dyDescent="0.3">
      <c r="A1314" s="522"/>
      <c r="B1314" s="352"/>
      <c r="C1314" s="1094"/>
      <c r="D1314" s="1094"/>
      <c r="E1314" s="1094"/>
      <c r="F1314" s="1094"/>
      <c r="G1314" s="197"/>
      <c r="H1314" s="197"/>
      <c r="I1314" s="197"/>
      <c r="J1314" s="197"/>
      <c r="K1314" s="1094"/>
      <c r="L1314" s="197"/>
      <c r="M1314" s="197"/>
      <c r="N1314" s="197"/>
      <c r="O1314" s="197"/>
      <c r="P1314" s="1094"/>
      <c r="Q1314" s="197"/>
      <c r="R1314" s="197"/>
      <c r="S1314" s="197"/>
      <c r="T1314" s="197"/>
      <c r="U1314" s="1094"/>
      <c r="V1314" s="197"/>
      <c r="W1314" s="197"/>
      <c r="X1314" s="197"/>
      <c r="Y1314" s="197"/>
      <c r="Z1314" s="1094"/>
      <c r="AA1314" s="197"/>
      <c r="AB1314" s="197"/>
      <c r="AC1314" s="197"/>
      <c r="AD1314" s="197"/>
      <c r="AE1314" s="1094"/>
      <c r="AF1314" s="197"/>
      <c r="AG1314" s="197"/>
      <c r="AH1314" s="197"/>
      <c r="AI1314" s="197"/>
      <c r="AJ1314" s="1094"/>
      <c r="AK1314" s="197"/>
      <c r="AL1314" s="197"/>
      <c r="AM1314" s="197"/>
      <c r="AN1314" s="197"/>
      <c r="AO1314" s="1094"/>
      <c r="AP1314" s="197"/>
      <c r="AQ1314" s="197"/>
      <c r="AR1314" s="197"/>
      <c r="AS1314" s="197"/>
      <c r="AT1314" s="198"/>
      <c r="AU1314" s="197"/>
      <c r="AV1314" s="197"/>
      <c r="AW1314" s="197"/>
      <c r="AX1314" s="197"/>
      <c r="AY1314" s="198"/>
      <c r="AZ1314" s="197"/>
      <c r="BA1314" s="197"/>
      <c r="BB1314" s="197"/>
      <c r="BC1314" s="197"/>
      <c r="BD1314" s="198"/>
      <c r="BE1314" s="197"/>
      <c r="BF1314" s="197"/>
      <c r="BG1314" s="197"/>
      <c r="BH1314" s="197"/>
      <c r="BI1314" s="198"/>
      <c r="BJ1314" s="197"/>
      <c r="BK1314" s="197"/>
      <c r="BL1314" s="197"/>
      <c r="BM1314" s="197"/>
      <c r="BN1314" s="198"/>
      <c r="BO1314" s="197"/>
      <c r="BP1314" s="197"/>
      <c r="BQ1314" s="197"/>
      <c r="BR1314" s="197"/>
      <c r="BS1314" s="198"/>
      <c r="BT1314" s="727"/>
      <c r="BU1314" s="197"/>
      <c r="BV1314" s="197"/>
      <c r="BW1314" s="197"/>
      <c r="BX1314" s="1094"/>
      <c r="BY1314" s="197"/>
      <c r="BZ1314" s="197"/>
      <c r="CA1314" s="197"/>
      <c r="CB1314" s="197"/>
      <c r="CC1314" s="1094"/>
      <c r="CD1314" s="1094"/>
      <c r="CE1314" s="1094"/>
      <c r="CF1314" s="1094"/>
      <c r="CG1314" s="349"/>
    </row>
    <row r="1315" spans="1:85" s="613" customFormat="1" x14ac:dyDescent="0.3">
      <c r="A1315" s="478" t="s">
        <v>1246</v>
      </c>
      <c r="B1315" s="523"/>
      <c r="C1315" s="78"/>
      <c r="D1315" s="78"/>
      <c r="E1315" s="78"/>
      <c r="F1315" s="78"/>
      <c r="G1315" s="774"/>
      <c r="H1315" s="774"/>
      <c r="I1315" s="774"/>
      <c r="J1315" s="774"/>
      <c r="K1315" s="78"/>
      <c r="L1315" s="774"/>
      <c r="M1315" s="774"/>
      <c r="N1315" s="774"/>
      <c r="O1315" s="774"/>
      <c r="P1315" s="78"/>
      <c r="Q1315" s="774"/>
      <c r="R1315" s="774"/>
      <c r="S1315" s="774"/>
      <c r="T1315" s="774"/>
      <c r="U1315" s="78"/>
      <c r="V1315" s="774"/>
      <c r="W1315" s="774"/>
      <c r="X1315" s="774"/>
      <c r="Y1315" s="774"/>
      <c r="Z1315" s="78"/>
      <c r="AA1315" s="774"/>
      <c r="AB1315" s="774"/>
      <c r="AC1315" s="774"/>
      <c r="AD1315" s="774"/>
      <c r="AE1315" s="78"/>
      <c r="AF1315" s="774"/>
      <c r="AG1315" s="774"/>
      <c r="AH1315" s="774"/>
      <c r="AI1315" s="774"/>
      <c r="AJ1315" s="78"/>
      <c r="AK1315" s="774"/>
      <c r="AL1315" s="774"/>
      <c r="AM1315" s="774"/>
      <c r="AN1315" s="774"/>
      <c r="AO1315" s="78"/>
      <c r="AP1315" s="774"/>
      <c r="AQ1315" s="774"/>
      <c r="AR1315" s="774"/>
      <c r="AS1315" s="774"/>
      <c r="AT1315" s="1119">
        <v>2.35</v>
      </c>
      <c r="AU1315" s="774"/>
      <c r="AV1315" s="774"/>
      <c r="AW1315" s="774"/>
      <c r="AX1315" s="774"/>
      <c r="AY1315" s="1119">
        <v>2.35</v>
      </c>
      <c r="AZ1315" s="774"/>
      <c r="BA1315" s="774"/>
      <c r="BB1315" s="774"/>
      <c r="BC1315" s="774"/>
      <c r="BD1315" s="1119">
        <v>2.35</v>
      </c>
      <c r="BE1315" s="774"/>
      <c r="BF1315" s="774"/>
      <c r="BG1315" s="774"/>
      <c r="BH1315" s="774"/>
      <c r="BI1315" s="1119">
        <v>2.35</v>
      </c>
      <c r="BJ1315" s="774"/>
      <c r="BK1315" s="774"/>
      <c r="BL1315" s="774"/>
      <c r="BM1315" s="774"/>
      <c r="BN1315" s="78"/>
      <c r="BO1315" s="774"/>
      <c r="BP1315" s="774"/>
      <c r="BQ1315" s="774"/>
      <c r="BR1315" s="774"/>
      <c r="BS1315" s="78"/>
      <c r="BT1315" s="775"/>
      <c r="BU1315" s="774"/>
      <c r="BV1315" s="774"/>
      <c r="BW1315" s="774"/>
      <c r="BX1315" s="78"/>
      <c r="BY1315" s="774"/>
      <c r="BZ1315" s="774"/>
      <c r="CA1315" s="774"/>
      <c r="CB1315" s="774"/>
      <c r="CC1315" s="78"/>
      <c r="CD1315" s="78"/>
      <c r="CE1315" s="78"/>
      <c r="CF1315" s="78"/>
      <c r="CG1315" s="532"/>
    </row>
    <row r="1316" spans="1:85" s="616" customFormat="1" x14ac:dyDescent="0.3">
      <c r="A1316" s="522" t="s">
        <v>1245</v>
      </c>
      <c r="B1316" s="527"/>
      <c r="C1316" s="1124"/>
      <c r="D1316" s="1124"/>
      <c r="E1316" s="1124"/>
      <c r="F1316" s="1124"/>
      <c r="G1316" s="526"/>
      <c r="H1316" s="526"/>
      <c r="I1316" s="526"/>
      <c r="J1316" s="526"/>
      <c r="K1316" s="1124"/>
      <c r="L1316" s="526"/>
      <c r="M1316" s="526"/>
      <c r="N1316" s="526"/>
      <c r="O1316" s="526"/>
      <c r="P1316" s="1124"/>
      <c r="Q1316" s="526"/>
      <c r="R1316" s="526"/>
      <c r="S1316" s="526"/>
      <c r="T1316" s="526"/>
      <c r="U1316" s="1124"/>
      <c r="V1316" s="526"/>
      <c r="W1316" s="526"/>
      <c r="X1316" s="526"/>
      <c r="Y1316" s="526"/>
      <c r="Z1316" s="1124"/>
      <c r="AA1316" s="526"/>
      <c r="AB1316" s="526"/>
      <c r="AC1316" s="526"/>
      <c r="AD1316" s="526"/>
      <c r="AE1316" s="1124"/>
      <c r="AF1316" s="526"/>
      <c r="AG1316" s="526"/>
      <c r="AH1316" s="526"/>
      <c r="AI1316" s="526"/>
      <c r="AJ1316" s="1124"/>
      <c r="AK1316" s="526"/>
      <c r="AL1316" s="526"/>
      <c r="AM1316" s="526"/>
      <c r="AN1316" s="526"/>
      <c r="AO1316" s="1124"/>
      <c r="AP1316" s="526"/>
      <c r="AQ1316" s="526"/>
      <c r="AR1316" s="526"/>
      <c r="AS1316" s="526"/>
      <c r="AT1316" s="1123">
        <v>290.3</v>
      </c>
      <c r="AU1316" s="526"/>
      <c r="AV1316" s="526"/>
      <c r="AW1316" s="526"/>
      <c r="AX1316" s="526"/>
      <c r="AY1316" s="1123">
        <v>290.3</v>
      </c>
      <c r="AZ1316" s="526"/>
      <c r="BA1316" s="526"/>
      <c r="BB1316" s="526"/>
      <c r="BC1316" s="526"/>
      <c r="BD1316" s="1123">
        <v>290.3</v>
      </c>
      <c r="BE1316" s="526"/>
      <c r="BF1316" s="526"/>
      <c r="BG1316" s="526"/>
      <c r="BH1316" s="526"/>
      <c r="BI1316" s="1123">
        <v>290.3</v>
      </c>
      <c r="BJ1316" s="526"/>
      <c r="BK1316" s="526"/>
      <c r="BL1316" s="526"/>
      <c r="BM1316" s="526"/>
      <c r="BN1316" s="1124"/>
      <c r="BO1316" s="526"/>
      <c r="BP1316" s="526"/>
      <c r="BQ1316" s="526"/>
      <c r="BR1316" s="526"/>
      <c r="BS1316" s="1124"/>
      <c r="BT1316" s="729"/>
      <c r="BU1316" s="526"/>
      <c r="BV1316" s="526"/>
      <c r="BW1316" s="526"/>
      <c r="BX1316" s="1124"/>
      <c r="BY1316" s="526"/>
      <c r="BZ1316" s="526"/>
      <c r="CA1316" s="526"/>
      <c r="CB1316" s="526"/>
      <c r="CC1316" s="1124"/>
      <c r="CD1316" s="1124"/>
      <c r="CE1316" s="1124"/>
      <c r="CF1316" s="1124"/>
      <c r="CG1316" s="533"/>
    </row>
    <row r="1317" spans="1:85" s="614" customFormat="1" x14ac:dyDescent="0.3">
      <c r="A1317" s="116"/>
      <c r="B1317" s="352"/>
      <c r="C1317" s="1094"/>
      <c r="D1317" s="1094"/>
      <c r="E1317" s="1094"/>
      <c r="F1317" s="1094"/>
      <c r="G1317" s="197"/>
      <c r="H1317" s="197"/>
      <c r="I1317" s="197"/>
      <c r="J1317" s="197"/>
      <c r="K1317" s="1094"/>
      <c r="L1317" s="197"/>
      <c r="M1317" s="197"/>
      <c r="N1317" s="197"/>
      <c r="O1317" s="197"/>
      <c r="P1317" s="1094"/>
      <c r="Q1317" s="197"/>
      <c r="R1317" s="197"/>
      <c r="S1317" s="197"/>
      <c r="T1317" s="197"/>
      <c r="U1317" s="1094"/>
      <c r="V1317" s="197"/>
      <c r="W1317" s="197"/>
      <c r="X1317" s="197"/>
      <c r="Y1317" s="197"/>
      <c r="Z1317" s="1094"/>
      <c r="AA1317" s="197"/>
      <c r="AB1317" s="197"/>
      <c r="AC1317" s="197"/>
      <c r="AD1317" s="197"/>
      <c r="AE1317" s="1094"/>
      <c r="AF1317" s="197"/>
      <c r="AG1317" s="197"/>
      <c r="AH1317" s="197"/>
      <c r="AI1317" s="197"/>
      <c r="AJ1317" s="1094"/>
      <c r="AK1317" s="197"/>
      <c r="AL1317" s="197"/>
      <c r="AM1317" s="197"/>
      <c r="AN1317" s="197"/>
      <c r="AO1317" s="1094"/>
      <c r="AP1317" s="197"/>
      <c r="AQ1317" s="197"/>
      <c r="AR1317" s="197"/>
      <c r="AS1317" s="197"/>
      <c r="AT1317" s="198"/>
      <c r="AU1317" s="197"/>
      <c r="AV1317" s="197"/>
      <c r="AW1317" s="197"/>
      <c r="AX1317" s="197"/>
      <c r="AY1317" s="198"/>
      <c r="AZ1317" s="197"/>
      <c r="BA1317" s="197"/>
      <c r="BB1317" s="197"/>
      <c r="BC1317" s="197"/>
      <c r="BD1317" s="198"/>
      <c r="BE1317" s="197"/>
      <c r="BF1317" s="197"/>
      <c r="BG1317" s="197"/>
      <c r="BH1317" s="197"/>
      <c r="BI1317" s="198"/>
      <c r="BJ1317" s="197"/>
      <c r="BK1317" s="197"/>
      <c r="BL1317" s="197"/>
      <c r="BM1317" s="197"/>
      <c r="BN1317" s="198"/>
      <c r="BO1317" s="197"/>
      <c r="BP1317" s="197"/>
      <c r="BQ1317" s="197"/>
      <c r="BR1317" s="197"/>
      <c r="BS1317" s="198"/>
      <c r="BT1317" s="727"/>
      <c r="BU1317" s="197"/>
      <c r="BV1317" s="197"/>
      <c r="BW1317" s="197"/>
      <c r="BX1317" s="1094"/>
      <c r="BY1317" s="197"/>
      <c r="BZ1317" s="197"/>
      <c r="CA1317" s="197"/>
      <c r="CB1317" s="197"/>
      <c r="CC1317" s="1094"/>
      <c r="CD1317" s="1094"/>
      <c r="CE1317" s="1094"/>
      <c r="CF1317" s="1094"/>
      <c r="CG1317" s="349"/>
    </row>
    <row r="1318" spans="1:85" s="613" customFormat="1" x14ac:dyDescent="0.3">
      <c r="A1318" s="478" t="s">
        <v>1244</v>
      </c>
      <c r="B1318" s="523"/>
      <c r="C1318" s="78"/>
      <c r="D1318" s="78"/>
      <c r="E1318" s="78"/>
      <c r="F1318" s="78"/>
      <c r="G1318" s="774"/>
      <c r="H1318" s="774"/>
      <c r="I1318" s="774"/>
      <c r="J1318" s="774"/>
      <c r="K1318" s="78"/>
      <c r="L1318" s="774"/>
      <c r="M1318" s="774"/>
      <c r="N1318" s="774"/>
      <c r="O1318" s="774"/>
      <c r="P1318" s="78"/>
      <c r="Q1318" s="774"/>
      <c r="R1318" s="774"/>
      <c r="S1318" s="774"/>
      <c r="T1318" s="774"/>
      <c r="U1318" s="78"/>
      <c r="V1318" s="774"/>
      <c r="W1318" s="774"/>
      <c r="X1318" s="774"/>
      <c r="Y1318" s="774"/>
      <c r="Z1318" s="78"/>
      <c r="AA1318" s="774"/>
      <c r="AB1318" s="774"/>
      <c r="AC1318" s="774"/>
      <c r="AD1318" s="774"/>
      <c r="AE1318" s="78"/>
      <c r="AF1318" s="774"/>
      <c r="AG1318" s="774"/>
      <c r="AH1318" s="774"/>
      <c r="AI1318" s="774"/>
      <c r="AJ1318" s="78"/>
      <c r="AK1318" s="774"/>
      <c r="AL1318" s="774"/>
      <c r="AM1318" s="774"/>
      <c r="AN1318" s="774"/>
      <c r="AO1318" s="78"/>
      <c r="AP1318" s="774"/>
      <c r="AQ1318" s="774"/>
      <c r="AR1318" s="774"/>
      <c r="AS1318" s="774"/>
      <c r="AT1318" s="1119">
        <v>2.5489999999999999</v>
      </c>
      <c r="AU1318" s="774"/>
      <c r="AV1318" s="774"/>
      <c r="AW1318" s="774"/>
      <c r="AX1318" s="774"/>
      <c r="AY1318" s="1119">
        <v>2.5489999999999999</v>
      </c>
      <c r="AZ1318" s="774"/>
      <c r="BA1318" s="774"/>
      <c r="BB1318" s="774"/>
      <c r="BC1318" s="774"/>
      <c r="BD1318" s="1119">
        <v>2.5489999999999999</v>
      </c>
      <c r="BE1318" s="774"/>
      <c r="BF1318" s="774"/>
      <c r="BG1318" s="774"/>
      <c r="BH1318" s="774"/>
      <c r="BI1318" s="1119">
        <v>2.5489999999999999</v>
      </c>
      <c r="BJ1318" s="774"/>
      <c r="BK1318" s="774"/>
      <c r="BL1318" s="774"/>
      <c r="BM1318" s="774"/>
      <c r="BN1318" s="1119">
        <v>2.5489999999999999</v>
      </c>
      <c r="BO1318" s="774"/>
      <c r="BP1318" s="774"/>
      <c r="BQ1318" s="774"/>
      <c r="BR1318" s="774"/>
      <c r="BS1318" s="78"/>
      <c r="BT1318" s="775"/>
      <c r="BU1318" s="774"/>
      <c r="BV1318" s="774"/>
      <c r="BW1318" s="774"/>
      <c r="BX1318" s="78"/>
      <c r="BY1318" s="774"/>
      <c r="BZ1318" s="774"/>
      <c r="CA1318" s="774"/>
      <c r="CB1318" s="774"/>
      <c r="CC1318" s="78"/>
      <c r="CD1318" s="78"/>
      <c r="CE1318" s="78"/>
      <c r="CF1318" s="78"/>
      <c r="CG1318" s="532"/>
    </row>
    <row r="1319" spans="1:85" s="616" customFormat="1" x14ac:dyDescent="0.3">
      <c r="A1319" s="522" t="s">
        <v>1243</v>
      </c>
      <c r="B1319" s="527"/>
      <c r="C1319" s="1124"/>
      <c r="D1319" s="1124"/>
      <c r="E1319" s="1124"/>
      <c r="F1319" s="1124"/>
      <c r="G1319" s="526"/>
      <c r="H1319" s="526"/>
      <c r="I1319" s="526"/>
      <c r="J1319" s="526"/>
      <c r="K1319" s="1124"/>
      <c r="L1319" s="526"/>
      <c r="M1319" s="526"/>
      <c r="N1319" s="526"/>
      <c r="O1319" s="526"/>
      <c r="P1319" s="1124"/>
      <c r="Q1319" s="526"/>
      <c r="R1319" s="526"/>
      <c r="S1319" s="526"/>
      <c r="T1319" s="526"/>
      <c r="U1319" s="1124"/>
      <c r="V1319" s="526"/>
      <c r="W1319" s="526"/>
      <c r="X1319" s="526"/>
      <c r="Y1319" s="526"/>
      <c r="Z1319" s="1124"/>
      <c r="AA1319" s="526"/>
      <c r="AB1319" s="526"/>
      <c r="AC1319" s="526"/>
      <c r="AD1319" s="526"/>
      <c r="AE1319" s="1124"/>
      <c r="AF1319" s="526"/>
      <c r="AG1319" s="526"/>
      <c r="AH1319" s="526"/>
      <c r="AI1319" s="526"/>
      <c r="AJ1319" s="1124"/>
      <c r="AK1319" s="526"/>
      <c r="AL1319" s="526"/>
      <c r="AM1319" s="526"/>
      <c r="AN1319" s="526"/>
      <c r="AO1319" s="1124"/>
      <c r="AP1319" s="526"/>
      <c r="AQ1319" s="526"/>
      <c r="AR1319" s="526"/>
      <c r="AS1319" s="526"/>
      <c r="AT1319" s="1123">
        <v>267.66000000000003</v>
      </c>
      <c r="AU1319" s="526"/>
      <c r="AV1319" s="526"/>
      <c r="AW1319" s="526"/>
      <c r="AX1319" s="526"/>
      <c r="AY1319" s="1123">
        <v>267.66000000000003</v>
      </c>
      <c r="AZ1319" s="526"/>
      <c r="BA1319" s="526"/>
      <c r="BB1319" s="526"/>
      <c r="BC1319" s="526"/>
      <c r="BD1319" s="1123">
        <v>267.66000000000003</v>
      </c>
      <c r="BE1319" s="526"/>
      <c r="BF1319" s="526"/>
      <c r="BG1319" s="526"/>
      <c r="BH1319" s="526"/>
      <c r="BI1319" s="1123">
        <v>267.66000000000003</v>
      </c>
      <c r="BJ1319" s="526"/>
      <c r="BK1319" s="526"/>
      <c r="BL1319" s="526"/>
      <c r="BM1319" s="526"/>
      <c r="BN1319" s="1123">
        <v>267.66000000000003</v>
      </c>
      <c r="BO1319" s="526"/>
      <c r="BP1319" s="526"/>
      <c r="BQ1319" s="526"/>
      <c r="BR1319" s="526"/>
      <c r="BS1319" s="1124"/>
      <c r="BT1319" s="729"/>
      <c r="BU1319" s="526"/>
      <c r="BV1319" s="526"/>
      <c r="BW1319" s="526"/>
      <c r="BX1319" s="1124"/>
      <c r="BY1319" s="526"/>
      <c r="BZ1319" s="526"/>
      <c r="CA1319" s="526"/>
      <c r="CB1319" s="526"/>
      <c r="CC1319" s="1124"/>
      <c r="CD1319" s="1124"/>
      <c r="CE1319" s="1124"/>
      <c r="CF1319" s="1124"/>
      <c r="CG1319" s="533"/>
    </row>
    <row r="1320" spans="1:85" s="614" customFormat="1" x14ac:dyDescent="0.3">
      <c r="A1320" s="116"/>
      <c r="B1320" s="352"/>
      <c r="C1320" s="1094"/>
      <c r="D1320" s="1094"/>
      <c r="E1320" s="1094"/>
      <c r="F1320" s="1094"/>
      <c r="G1320" s="197"/>
      <c r="H1320" s="197"/>
      <c r="I1320" s="197"/>
      <c r="J1320" s="197"/>
      <c r="K1320" s="1094"/>
      <c r="L1320" s="197"/>
      <c r="M1320" s="197"/>
      <c r="N1320" s="197"/>
      <c r="O1320" s="197"/>
      <c r="P1320" s="1094"/>
      <c r="Q1320" s="197"/>
      <c r="R1320" s="197"/>
      <c r="S1320" s="197"/>
      <c r="T1320" s="197"/>
      <c r="U1320" s="1094"/>
      <c r="V1320" s="197"/>
      <c r="W1320" s="197"/>
      <c r="X1320" s="197"/>
      <c r="Y1320" s="197"/>
      <c r="Z1320" s="1094"/>
      <c r="AA1320" s="197"/>
      <c r="AB1320" s="197"/>
      <c r="AC1320" s="197"/>
      <c r="AD1320" s="197"/>
      <c r="AE1320" s="1094"/>
      <c r="AF1320" s="197"/>
      <c r="AG1320" s="197"/>
      <c r="AH1320" s="197"/>
      <c r="AI1320" s="197"/>
      <c r="AJ1320" s="1094"/>
      <c r="AK1320" s="197"/>
      <c r="AL1320" s="197"/>
      <c r="AM1320" s="197"/>
      <c r="AN1320" s="197"/>
      <c r="AO1320" s="1094"/>
      <c r="AP1320" s="197"/>
      <c r="AQ1320" s="197"/>
      <c r="AR1320" s="197"/>
      <c r="AS1320" s="197"/>
      <c r="AT1320" s="198"/>
      <c r="AU1320" s="197"/>
      <c r="AV1320" s="197"/>
      <c r="AW1320" s="197"/>
      <c r="AX1320" s="197"/>
      <c r="AY1320" s="198"/>
      <c r="AZ1320" s="197"/>
      <c r="BA1320" s="197"/>
      <c r="BB1320" s="197"/>
      <c r="BC1320" s="197"/>
      <c r="BD1320" s="198"/>
      <c r="BE1320" s="197"/>
      <c r="BF1320" s="197"/>
      <c r="BG1320" s="197"/>
      <c r="BH1320" s="197"/>
      <c r="BI1320" s="198"/>
      <c r="BJ1320" s="197"/>
      <c r="BK1320" s="197"/>
      <c r="BL1320" s="197"/>
      <c r="BM1320" s="197"/>
      <c r="BN1320" s="198"/>
      <c r="BO1320" s="197"/>
      <c r="BP1320" s="197"/>
      <c r="BQ1320" s="197"/>
      <c r="BR1320" s="197"/>
      <c r="BS1320" s="198"/>
      <c r="BT1320" s="727"/>
      <c r="BU1320" s="197"/>
      <c r="BV1320" s="197"/>
      <c r="BW1320" s="197"/>
      <c r="BX1320" s="1094"/>
      <c r="BY1320" s="197"/>
      <c r="BZ1320" s="197"/>
      <c r="CA1320" s="197"/>
      <c r="CB1320" s="197"/>
      <c r="CC1320" s="1094"/>
      <c r="CD1320" s="1094"/>
      <c r="CE1320" s="1094"/>
      <c r="CF1320" s="1094"/>
      <c r="CG1320" s="349"/>
    </row>
    <row r="1321" spans="1:85" s="613" customFormat="1" x14ac:dyDescent="0.3">
      <c r="A1321" s="478" t="s">
        <v>1242</v>
      </c>
      <c r="B1321" s="523"/>
      <c r="C1321" s="78"/>
      <c r="D1321" s="78"/>
      <c r="E1321" s="78"/>
      <c r="F1321" s="78"/>
      <c r="G1321" s="774"/>
      <c r="H1321" s="774"/>
      <c r="I1321" s="774"/>
      <c r="J1321" s="774"/>
      <c r="K1321" s="78"/>
      <c r="L1321" s="774"/>
      <c r="M1321" s="774"/>
      <c r="N1321" s="774"/>
      <c r="O1321" s="774"/>
      <c r="P1321" s="78"/>
      <c r="Q1321" s="774"/>
      <c r="R1321" s="774"/>
      <c r="S1321" s="774"/>
      <c r="T1321" s="774"/>
      <c r="U1321" s="78"/>
      <c r="V1321" s="774"/>
      <c r="W1321" s="774"/>
      <c r="X1321" s="774"/>
      <c r="Y1321" s="774"/>
      <c r="Z1321" s="78"/>
      <c r="AA1321" s="774"/>
      <c r="AB1321" s="774"/>
      <c r="AC1321" s="774"/>
      <c r="AD1321" s="774"/>
      <c r="AE1321" s="78"/>
      <c r="AF1321" s="774"/>
      <c r="AG1321" s="774"/>
      <c r="AH1321" s="774"/>
      <c r="AI1321" s="774"/>
      <c r="AJ1321" s="78"/>
      <c r="AK1321" s="774"/>
      <c r="AL1321" s="774"/>
      <c r="AM1321" s="774"/>
      <c r="AN1321" s="774"/>
      <c r="AO1321" s="78"/>
      <c r="AP1321" s="774"/>
      <c r="AQ1321" s="774"/>
      <c r="AR1321" s="774"/>
      <c r="AS1321" s="774"/>
      <c r="AT1321" s="1119">
        <v>2.36</v>
      </c>
      <c r="AU1321" s="774"/>
      <c r="AV1321" s="774"/>
      <c r="AW1321" s="774"/>
      <c r="AX1321" s="774"/>
      <c r="AY1321" s="1119">
        <v>2.36</v>
      </c>
      <c r="AZ1321" s="774"/>
      <c r="BA1321" s="774"/>
      <c r="BB1321" s="774"/>
      <c r="BC1321" s="774"/>
      <c r="BD1321" s="1119">
        <v>2.36</v>
      </c>
      <c r="BE1321" s="774"/>
      <c r="BF1321" s="774"/>
      <c r="BG1321" s="774"/>
      <c r="BH1321" s="774"/>
      <c r="BI1321" s="1119">
        <v>2.36</v>
      </c>
      <c r="BJ1321" s="774"/>
      <c r="BK1321" s="774"/>
      <c r="BL1321" s="774"/>
      <c r="BM1321" s="774"/>
      <c r="BN1321" s="1119">
        <v>2.36</v>
      </c>
      <c r="BO1321" s="774"/>
      <c r="BP1321" s="774"/>
      <c r="BQ1321" s="774"/>
      <c r="BR1321" s="774"/>
      <c r="BS1321" s="78"/>
      <c r="BT1321" s="775"/>
      <c r="BU1321" s="774"/>
      <c r="BV1321" s="774"/>
      <c r="BW1321" s="774"/>
      <c r="BX1321" s="78"/>
      <c r="BY1321" s="774"/>
      <c r="BZ1321" s="774"/>
      <c r="CA1321" s="774"/>
      <c r="CB1321" s="774"/>
      <c r="CC1321" s="78"/>
      <c r="CD1321" s="78"/>
      <c r="CE1321" s="78"/>
      <c r="CF1321" s="78"/>
      <c r="CG1321" s="532"/>
    </row>
    <row r="1322" spans="1:85" s="616" customFormat="1" x14ac:dyDescent="0.3">
      <c r="A1322" s="522" t="s">
        <v>1241</v>
      </c>
      <c r="B1322" s="527"/>
      <c r="C1322" s="1124"/>
      <c r="D1322" s="1124"/>
      <c r="E1322" s="1124"/>
      <c r="F1322" s="1124"/>
      <c r="G1322" s="526"/>
      <c r="H1322" s="526"/>
      <c r="I1322" s="526"/>
      <c r="J1322" s="526"/>
      <c r="K1322" s="1124"/>
      <c r="L1322" s="526"/>
      <c r="M1322" s="526"/>
      <c r="N1322" s="526"/>
      <c r="O1322" s="526"/>
      <c r="P1322" s="1124"/>
      <c r="Q1322" s="526"/>
      <c r="R1322" s="526"/>
      <c r="S1322" s="526"/>
      <c r="T1322" s="526"/>
      <c r="U1322" s="1124"/>
      <c r="V1322" s="526"/>
      <c r="W1322" s="526"/>
      <c r="X1322" s="526"/>
      <c r="Y1322" s="526"/>
      <c r="Z1322" s="1124"/>
      <c r="AA1322" s="526"/>
      <c r="AB1322" s="526"/>
      <c r="AC1322" s="526"/>
      <c r="AD1322" s="526"/>
      <c r="AE1322" s="1124"/>
      <c r="AF1322" s="526"/>
      <c r="AG1322" s="526"/>
      <c r="AH1322" s="526"/>
      <c r="AI1322" s="526"/>
      <c r="AJ1322" s="1124"/>
      <c r="AK1322" s="526"/>
      <c r="AL1322" s="526"/>
      <c r="AM1322" s="526"/>
      <c r="AN1322" s="526"/>
      <c r="AO1322" s="1124"/>
      <c r="AP1322" s="526"/>
      <c r="AQ1322" s="526"/>
      <c r="AR1322" s="526"/>
      <c r="AS1322" s="526"/>
      <c r="AT1322" s="1123">
        <v>339.85</v>
      </c>
      <c r="AU1322" s="526"/>
      <c r="AV1322" s="526"/>
      <c r="AW1322" s="526"/>
      <c r="AX1322" s="526"/>
      <c r="AY1322" s="1123">
        <v>339.85</v>
      </c>
      <c r="AZ1322" s="526"/>
      <c r="BA1322" s="526"/>
      <c r="BB1322" s="526"/>
      <c r="BC1322" s="526"/>
      <c r="BD1322" s="1123">
        <v>339.85</v>
      </c>
      <c r="BE1322" s="526"/>
      <c r="BF1322" s="526"/>
      <c r="BG1322" s="526"/>
      <c r="BH1322" s="526"/>
      <c r="BI1322" s="1123">
        <v>339.85</v>
      </c>
      <c r="BJ1322" s="526"/>
      <c r="BK1322" s="526"/>
      <c r="BL1322" s="526"/>
      <c r="BM1322" s="526"/>
      <c r="BN1322" s="1123">
        <v>339.85</v>
      </c>
      <c r="BO1322" s="526"/>
      <c r="BP1322" s="526"/>
      <c r="BQ1322" s="526"/>
      <c r="BR1322" s="526"/>
      <c r="BS1322" s="1124"/>
      <c r="BT1322" s="729"/>
      <c r="BU1322" s="526"/>
      <c r="BV1322" s="526"/>
      <c r="BW1322" s="526"/>
      <c r="BX1322" s="1124"/>
      <c r="BY1322" s="526"/>
      <c r="BZ1322" s="526"/>
      <c r="CA1322" s="526"/>
      <c r="CB1322" s="526"/>
      <c r="CC1322" s="1124"/>
      <c r="CD1322" s="1124"/>
      <c r="CE1322" s="1124"/>
      <c r="CF1322" s="1124"/>
      <c r="CG1322" s="533"/>
    </row>
    <row r="1323" spans="1:85" s="614" customFormat="1" x14ac:dyDescent="0.3">
      <c r="A1323" s="522"/>
      <c r="B1323" s="352"/>
      <c r="C1323" s="1094"/>
      <c r="D1323" s="1094"/>
      <c r="E1323" s="1094"/>
      <c r="F1323" s="1094"/>
      <c r="G1323" s="197"/>
      <c r="H1323" s="197"/>
      <c r="I1323" s="197"/>
      <c r="J1323" s="197"/>
      <c r="K1323" s="1094"/>
      <c r="L1323" s="197"/>
      <c r="M1323" s="197"/>
      <c r="N1323" s="197"/>
      <c r="O1323" s="197"/>
      <c r="P1323" s="1094"/>
      <c r="Q1323" s="197"/>
      <c r="R1323" s="197"/>
      <c r="S1323" s="197"/>
      <c r="T1323" s="197"/>
      <c r="U1323" s="1094"/>
      <c r="V1323" s="197"/>
      <c r="W1323" s="197"/>
      <c r="X1323" s="197"/>
      <c r="Y1323" s="197"/>
      <c r="Z1323" s="1094"/>
      <c r="AA1323" s="197"/>
      <c r="AB1323" s="197"/>
      <c r="AC1323" s="197"/>
      <c r="AD1323" s="197"/>
      <c r="AE1323" s="1094"/>
      <c r="AF1323" s="197"/>
      <c r="AG1323" s="197"/>
      <c r="AH1323" s="197"/>
      <c r="AI1323" s="197"/>
      <c r="AJ1323" s="1094"/>
      <c r="AK1323" s="197"/>
      <c r="AL1323" s="197"/>
      <c r="AM1323" s="197"/>
      <c r="AN1323" s="197"/>
      <c r="AO1323" s="1094"/>
      <c r="AP1323" s="197"/>
      <c r="AQ1323" s="197"/>
      <c r="AR1323" s="197"/>
      <c r="AS1323" s="197"/>
      <c r="AT1323" s="198"/>
      <c r="AU1323" s="197"/>
      <c r="AV1323" s="197"/>
      <c r="AW1323" s="197"/>
      <c r="AX1323" s="197"/>
      <c r="AY1323" s="198"/>
      <c r="AZ1323" s="197"/>
      <c r="BA1323" s="197"/>
      <c r="BB1323" s="197"/>
      <c r="BC1323" s="197"/>
      <c r="BD1323" s="198"/>
      <c r="BE1323" s="197"/>
      <c r="BF1323" s="197"/>
      <c r="BG1323" s="197"/>
      <c r="BH1323" s="197"/>
      <c r="BI1323" s="198"/>
      <c r="BJ1323" s="197"/>
      <c r="BK1323" s="197"/>
      <c r="BL1323" s="197"/>
      <c r="BM1323" s="197"/>
      <c r="BN1323" s="198"/>
      <c r="BO1323" s="197"/>
      <c r="BP1323" s="197"/>
      <c r="BQ1323" s="197"/>
      <c r="BR1323" s="197"/>
      <c r="BS1323" s="198"/>
      <c r="BT1323" s="727"/>
      <c r="BU1323" s="197"/>
      <c r="BV1323" s="197"/>
      <c r="BW1323" s="197"/>
      <c r="BX1323" s="1094"/>
      <c r="BY1323" s="197"/>
      <c r="BZ1323" s="197"/>
      <c r="CA1323" s="197"/>
      <c r="CB1323" s="197"/>
      <c r="CC1323" s="1094"/>
      <c r="CD1323" s="1094"/>
      <c r="CE1323" s="1094"/>
      <c r="CF1323" s="1094"/>
      <c r="CG1323" s="349"/>
    </row>
    <row r="1324" spans="1:85" s="613" customFormat="1" x14ac:dyDescent="0.3">
      <c r="A1324" s="478" t="s">
        <v>1240</v>
      </c>
      <c r="B1324" s="523"/>
      <c r="C1324" s="78"/>
      <c r="D1324" s="78"/>
      <c r="E1324" s="78"/>
      <c r="F1324" s="78"/>
      <c r="G1324" s="774"/>
      <c r="H1324" s="774"/>
      <c r="I1324" s="774"/>
      <c r="J1324" s="774"/>
      <c r="K1324" s="78"/>
      <c r="L1324" s="774"/>
      <c r="M1324" s="774"/>
      <c r="N1324" s="774"/>
      <c r="O1324" s="774"/>
      <c r="P1324" s="78"/>
      <c r="Q1324" s="774"/>
      <c r="R1324" s="774"/>
      <c r="S1324" s="774"/>
      <c r="T1324" s="774"/>
      <c r="U1324" s="78"/>
      <c r="V1324" s="774"/>
      <c r="W1324" s="774"/>
      <c r="X1324" s="774"/>
      <c r="Y1324" s="774"/>
      <c r="Z1324" s="78"/>
      <c r="AA1324" s="774"/>
      <c r="AB1324" s="774"/>
      <c r="AC1324" s="774"/>
      <c r="AD1324" s="774"/>
      <c r="AE1324" s="78"/>
      <c r="AF1324" s="774"/>
      <c r="AG1324" s="774"/>
      <c r="AH1324" s="774"/>
      <c r="AI1324" s="774"/>
      <c r="AJ1324" s="78"/>
      <c r="AK1324" s="774"/>
      <c r="AL1324" s="774"/>
      <c r="AM1324" s="774"/>
      <c r="AN1324" s="774"/>
      <c r="AO1324" s="78"/>
      <c r="AP1324" s="774"/>
      <c r="AQ1324" s="774"/>
      <c r="AR1324" s="774"/>
      <c r="AS1324" s="774"/>
      <c r="AT1324" s="1119">
        <v>2.2450000000000001</v>
      </c>
      <c r="AU1324" s="774"/>
      <c r="AV1324" s="774"/>
      <c r="AW1324" s="774"/>
      <c r="AX1324" s="774"/>
      <c r="AY1324" s="1119">
        <v>2.2450000000000001</v>
      </c>
      <c r="AZ1324" s="774"/>
      <c r="BA1324" s="774"/>
      <c r="BB1324" s="774"/>
      <c r="BC1324" s="774"/>
      <c r="BD1324" s="1119">
        <v>2.2450000000000001</v>
      </c>
      <c r="BE1324" s="774"/>
      <c r="BF1324" s="774"/>
      <c r="BG1324" s="774"/>
      <c r="BH1324" s="774"/>
      <c r="BI1324" s="1119">
        <v>2.2450000000000001</v>
      </c>
      <c r="BJ1324" s="774"/>
      <c r="BK1324" s="774"/>
      <c r="BL1324" s="774"/>
      <c r="BM1324" s="774"/>
      <c r="BN1324" s="1119">
        <v>2.2450000000000001</v>
      </c>
      <c r="BO1324" s="774"/>
      <c r="BP1324" s="774"/>
      <c r="BQ1324" s="774"/>
      <c r="BR1324" s="774"/>
      <c r="BS1324" s="78"/>
      <c r="BT1324" s="775"/>
      <c r="BU1324" s="774"/>
      <c r="BV1324" s="774"/>
      <c r="BW1324" s="774"/>
      <c r="BX1324" s="78"/>
      <c r="BY1324" s="774"/>
      <c r="BZ1324" s="774"/>
      <c r="CA1324" s="774"/>
      <c r="CB1324" s="774"/>
      <c r="CC1324" s="78"/>
      <c r="CD1324" s="78"/>
      <c r="CE1324" s="78"/>
      <c r="CF1324" s="78"/>
      <c r="CG1324" s="532"/>
    </row>
    <row r="1325" spans="1:85" s="616" customFormat="1" x14ac:dyDescent="0.3">
      <c r="A1325" s="522" t="s">
        <v>1239</v>
      </c>
      <c r="B1325" s="527"/>
      <c r="C1325" s="1124"/>
      <c r="D1325" s="1124"/>
      <c r="E1325" s="1124"/>
      <c r="F1325" s="1124"/>
      <c r="G1325" s="526"/>
      <c r="H1325" s="526"/>
      <c r="I1325" s="526"/>
      <c r="J1325" s="526"/>
      <c r="K1325" s="1124"/>
      <c r="L1325" s="526"/>
      <c r="M1325" s="526"/>
      <c r="N1325" s="526"/>
      <c r="O1325" s="526"/>
      <c r="P1325" s="1124"/>
      <c r="Q1325" s="526"/>
      <c r="R1325" s="526"/>
      <c r="S1325" s="526"/>
      <c r="T1325" s="526"/>
      <c r="U1325" s="1124"/>
      <c r="V1325" s="526"/>
      <c r="W1325" s="526"/>
      <c r="X1325" s="526"/>
      <c r="Y1325" s="526"/>
      <c r="Z1325" s="1124"/>
      <c r="AA1325" s="526"/>
      <c r="AB1325" s="526"/>
      <c r="AC1325" s="526"/>
      <c r="AD1325" s="526"/>
      <c r="AE1325" s="1124"/>
      <c r="AF1325" s="526"/>
      <c r="AG1325" s="526"/>
      <c r="AH1325" s="526"/>
      <c r="AI1325" s="526"/>
      <c r="AJ1325" s="1124"/>
      <c r="AK1325" s="526"/>
      <c r="AL1325" s="526"/>
      <c r="AM1325" s="526"/>
      <c r="AN1325" s="526"/>
      <c r="AO1325" s="1124"/>
      <c r="AP1325" s="526"/>
      <c r="AQ1325" s="526"/>
      <c r="AR1325" s="526"/>
      <c r="AS1325" s="526"/>
      <c r="AT1325" s="1123">
        <v>357.32</v>
      </c>
      <c r="AU1325" s="526"/>
      <c r="AV1325" s="526"/>
      <c r="AW1325" s="526"/>
      <c r="AX1325" s="526"/>
      <c r="AY1325" s="1123">
        <v>357.32</v>
      </c>
      <c r="AZ1325" s="526"/>
      <c r="BA1325" s="526"/>
      <c r="BB1325" s="526"/>
      <c r="BC1325" s="526"/>
      <c r="BD1325" s="1123">
        <v>357.32</v>
      </c>
      <c r="BE1325" s="526"/>
      <c r="BF1325" s="526"/>
      <c r="BG1325" s="526"/>
      <c r="BH1325" s="526"/>
      <c r="BI1325" s="1123">
        <v>357.32</v>
      </c>
      <c r="BJ1325" s="526"/>
      <c r="BK1325" s="526"/>
      <c r="BL1325" s="526"/>
      <c r="BM1325" s="526"/>
      <c r="BN1325" s="1123">
        <v>357.32</v>
      </c>
      <c r="BO1325" s="526"/>
      <c r="BP1325" s="526"/>
      <c r="BQ1325" s="526"/>
      <c r="BR1325" s="526"/>
      <c r="BS1325" s="1124"/>
      <c r="BT1325" s="729"/>
      <c r="BU1325" s="526"/>
      <c r="BV1325" s="526"/>
      <c r="BW1325" s="526"/>
      <c r="BX1325" s="1124"/>
      <c r="BY1325" s="526"/>
      <c r="BZ1325" s="526"/>
      <c r="CA1325" s="526"/>
      <c r="CB1325" s="526"/>
      <c r="CC1325" s="1124"/>
      <c r="CD1325" s="1124"/>
      <c r="CE1325" s="1124"/>
      <c r="CF1325" s="1124"/>
      <c r="CG1325" s="533"/>
    </row>
    <row r="1326" spans="1:85" s="614" customFormat="1" x14ac:dyDescent="0.3">
      <c r="A1326" s="522"/>
      <c r="B1326" s="352"/>
      <c r="C1326" s="1094"/>
      <c r="D1326" s="1094"/>
      <c r="E1326" s="1094"/>
      <c r="F1326" s="1094"/>
      <c r="G1326" s="197"/>
      <c r="H1326" s="197"/>
      <c r="I1326" s="197"/>
      <c r="J1326" s="197"/>
      <c r="K1326" s="1094"/>
      <c r="L1326" s="197"/>
      <c r="M1326" s="197"/>
      <c r="N1326" s="197"/>
      <c r="O1326" s="197"/>
      <c r="P1326" s="1094"/>
      <c r="Q1326" s="197"/>
      <c r="R1326" s="197"/>
      <c r="S1326" s="197"/>
      <c r="T1326" s="197"/>
      <c r="U1326" s="1094"/>
      <c r="V1326" s="197"/>
      <c r="W1326" s="197"/>
      <c r="X1326" s="197"/>
      <c r="Y1326" s="197"/>
      <c r="Z1326" s="1094"/>
      <c r="AA1326" s="197"/>
      <c r="AB1326" s="197"/>
      <c r="AC1326" s="197"/>
      <c r="AD1326" s="197"/>
      <c r="AE1326" s="1094"/>
      <c r="AF1326" s="197"/>
      <c r="AG1326" s="197"/>
      <c r="AH1326" s="197"/>
      <c r="AI1326" s="197"/>
      <c r="AJ1326" s="1094"/>
      <c r="AK1326" s="197"/>
      <c r="AL1326" s="197"/>
      <c r="AM1326" s="197"/>
      <c r="AN1326" s="197"/>
      <c r="AO1326" s="1094"/>
      <c r="AP1326" s="197"/>
      <c r="AQ1326" s="197"/>
      <c r="AR1326" s="197"/>
      <c r="AS1326" s="197"/>
      <c r="AT1326" s="198"/>
      <c r="AU1326" s="197"/>
      <c r="AV1326" s="197"/>
      <c r="AW1326" s="197"/>
      <c r="AX1326" s="197"/>
      <c r="AY1326" s="198"/>
      <c r="AZ1326" s="197"/>
      <c r="BA1326" s="197"/>
      <c r="BB1326" s="197"/>
      <c r="BC1326" s="197"/>
      <c r="BD1326" s="198"/>
      <c r="BE1326" s="197"/>
      <c r="BF1326" s="197"/>
      <c r="BG1326" s="197"/>
      <c r="BH1326" s="197"/>
      <c r="BI1326" s="198"/>
      <c r="BJ1326" s="197"/>
      <c r="BK1326" s="197"/>
      <c r="BL1326" s="197"/>
      <c r="BM1326" s="197"/>
      <c r="BN1326" s="198"/>
      <c r="BO1326" s="197"/>
      <c r="BP1326" s="197"/>
      <c r="BQ1326" s="197"/>
      <c r="BR1326" s="197"/>
      <c r="BS1326" s="198"/>
      <c r="BT1326" s="727"/>
      <c r="BU1326" s="197"/>
      <c r="BV1326" s="197"/>
      <c r="BW1326" s="197"/>
      <c r="BX1326" s="1094"/>
      <c r="BY1326" s="197"/>
      <c r="BZ1326" s="197"/>
      <c r="CA1326" s="197"/>
      <c r="CB1326" s="197"/>
      <c r="CC1326" s="1094"/>
      <c r="CD1326" s="1094"/>
      <c r="CE1326" s="1094"/>
      <c r="CF1326" s="1094"/>
      <c r="CG1326" s="349"/>
    </row>
    <row r="1327" spans="1:85" s="613" customFormat="1" x14ac:dyDescent="0.3">
      <c r="A1327" s="478" t="s">
        <v>1238</v>
      </c>
      <c r="B1327" s="523"/>
      <c r="C1327" s="78"/>
      <c r="D1327" s="78"/>
      <c r="E1327" s="78"/>
      <c r="F1327" s="78"/>
      <c r="G1327" s="774"/>
      <c r="H1327" s="774"/>
      <c r="I1327" s="774"/>
      <c r="J1327" s="774"/>
      <c r="K1327" s="78"/>
      <c r="L1327" s="774"/>
      <c r="M1327" s="774"/>
      <c r="N1327" s="774"/>
      <c r="O1327" s="774"/>
      <c r="P1327" s="78"/>
      <c r="Q1327" s="774"/>
      <c r="R1327" s="774"/>
      <c r="S1327" s="774"/>
      <c r="T1327" s="774"/>
      <c r="U1327" s="78"/>
      <c r="V1327" s="774"/>
      <c r="W1327" s="774"/>
      <c r="X1327" s="774"/>
      <c r="Y1327" s="774"/>
      <c r="Z1327" s="78"/>
      <c r="AA1327" s="774"/>
      <c r="AB1327" s="774"/>
      <c r="AC1327" s="774"/>
      <c r="AD1327" s="774"/>
      <c r="AE1327" s="78"/>
      <c r="AF1327" s="774"/>
      <c r="AG1327" s="774"/>
      <c r="AH1327" s="774"/>
      <c r="AI1327" s="774"/>
      <c r="AJ1327" s="78"/>
      <c r="AK1327" s="774"/>
      <c r="AL1327" s="774"/>
      <c r="AM1327" s="774"/>
      <c r="AN1327" s="774"/>
      <c r="AO1327" s="78"/>
      <c r="AP1327" s="774"/>
      <c r="AQ1327" s="774"/>
      <c r="AR1327" s="774"/>
      <c r="AS1327" s="774"/>
      <c r="AT1327" s="1119">
        <v>2.1859999999999999</v>
      </c>
      <c r="AU1327" s="774"/>
      <c r="AV1327" s="774"/>
      <c r="AW1327" s="774"/>
      <c r="AX1327" s="774"/>
      <c r="AY1327" s="1119">
        <v>2.1859999999999999</v>
      </c>
      <c r="AZ1327" s="774"/>
      <c r="BA1327" s="774"/>
      <c r="BB1327" s="774"/>
      <c r="BC1327" s="774"/>
      <c r="BD1327" s="1119">
        <v>2.1859999999999999</v>
      </c>
      <c r="BE1327" s="774"/>
      <c r="BF1327" s="774"/>
      <c r="BG1327" s="774"/>
      <c r="BH1327" s="774"/>
      <c r="BI1327" s="1119">
        <v>2.1859999999999999</v>
      </c>
      <c r="BJ1327" s="774"/>
      <c r="BK1327" s="774"/>
      <c r="BL1327" s="774"/>
      <c r="BM1327" s="774"/>
      <c r="BN1327" s="1119">
        <v>2.1859999999999999</v>
      </c>
      <c r="BO1327" s="774"/>
      <c r="BP1327" s="774"/>
      <c r="BQ1327" s="774"/>
      <c r="BR1327" s="774"/>
      <c r="BS1327" s="78"/>
      <c r="BT1327" s="775"/>
      <c r="BU1327" s="774"/>
      <c r="BV1327" s="774"/>
      <c r="BW1327" s="774"/>
      <c r="BX1327" s="78"/>
      <c r="BY1327" s="774"/>
      <c r="BZ1327" s="774"/>
      <c r="CA1327" s="774"/>
      <c r="CB1327" s="774"/>
      <c r="CC1327" s="78"/>
      <c r="CD1327" s="78"/>
      <c r="CE1327" s="78"/>
      <c r="CF1327" s="78"/>
      <c r="CG1327" s="532"/>
    </row>
    <row r="1328" spans="1:85" s="616" customFormat="1" x14ac:dyDescent="0.3">
      <c r="A1328" s="522" t="s">
        <v>1237</v>
      </c>
      <c r="B1328" s="527"/>
      <c r="C1328" s="1124"/>
      <c r="D1328" s="1124"/>
      <c r="E1328" s="1124"/>
      <c r="F1328" s="1124"/>
      <c r="G1328" s="526"/>
      <c r="H1328" s="526"/>
      <c r="I1328" s="526"/>
      <c r="J1328" s="526"/>
      <c r="K1328" s="1124"/>
      <c r="L1328" s="526"/>
      <c r="M1328" s="526"/>
      <c r="N1328" s="526"/>
      <c r="O1328" s="526"/>
      <c r="P1328" s="1124"/>
      <c r="Q1328" s="526"/>
      <c r="R1328" s="526"/>
      <c r="S1328" s="526"/>
      <c r="T1328" s="526"/>
      <c r="U1328" s="1124"/>
      <c r="V1328" s="526"/>
      <c r="W1328" s="526"/>
      <c r="X1328" s="526"/>
      <c r="Y1328" s="526"/>
      <c r="Z1328" s="1124"/>
      <c r="AA1328" s="526"/>
      <c r="AB1328" s="526"/>
      <c r="AC1328" s="526"/>
      <c r="AD1328" s="526"/>
      <c r="AE1328" s="1124"/>
      <c r="AF1328" s="526"/>
      <c r="AG1328" s="526"/>
      <c r="AH1328" s="526"/>
      <c r="AI1328" s="526"/>
      <c r="AJ1328" s="1124"/>
      <c r="AK1328" s="526"/>
      <c r="AL1328" s="526"/>
      <c r="AM1328" s="526"/>
      <c r="AN1328" s="526"/>
      <c r="AO1328" s="1124"/>
      <c r="AP1328" s="526"/>
      <c r="AQ1328" s="526"/>
      <c r="AR1328" s="526"/>
      <c r="AS1328" s="526"/>
      <c r="AT1328" s="1123">
        <v>366.96</v>
      </c>
      <c r="AU1328" s="526"/>
      <c r="AV1328" s="526"/>
      <c r="AW1328" s="526"/>
      <c r="AX1328" s="526"/>
      <c r="AY1328" s="1123">
        <v>366.96</v>
      </c>
      <c r="AZ1328" s="526"/>
      <c r="BA1328" s="526"/>
      <c r="BB1328" s="526"/>
      <c r="BC1328" s="526"/>
      <c r="BD1328" s="1123">
        <v>366.96</v>
      </c>
      <c r="BE1328" s="526"/>
      <c r="BF1328" s="526"/>
      <c r="BG1328" s="526"/>
      <c r="BH1328" s="526"/>
      <c r="BI1328" s="1123">
        <v>366.96</v>
      </c>
      <c r="BJ1328" s="526"/>
      <c r="BK1328" s="526"/>
      <c r="BL1328" s="526"/>
      <c r="BM1328" s="526"/>
      <c r="BN1328" s="1123">
        <v>366.96</v>
      </c>
      <c r="BO1328" s="526"/>
      <c r="BP1328" s="526"/>
      <c r="BQ1328" s="526"/>
      <c r="BR1328" s="526"/>
      <c r="BS1328" s="1124"/>
      <c r="BT1328" s="729"/>
      <c r="BU1328" s="526"/>
      <c r="BV1328" s="526"/>
      <c r="BW1328" s="526"/>
      <c r="BX1328" s="1124"/>
      <c r="BY1328" s="526"/>
      <c r="BZ1328" s="526"/>
      <c r="CA1328" s="526"/>
      <c r="CB1328" s="526"/>
      <c r="CC1328" s="1124"/>
      <c r="CD1328" s="1124"/>
      <c r="CE1328" s="1124"/>
      <c r="CF1328" s="1124"/>
      <c r="CG1328" s="533"/>
    </row>
    <row r="1329" spans="1:85" s="614" customFormat="1" x14ac:dyDescent="0.3">
      <c r="A1329" s="522"/>
      <c r="B1329" s="352"/>
      <c r="C1329" s="1094"/>
      <c r="D1329" s="1094"/>
      <c r="E1329" s="1094"/>
      <c r="F1329" s="1094"/>
      <c r="G1329" s="197"/>
      <c r="H1329" s="197"/>
      <c r="I1329" s="197"/>
      <c r="J1329" s="197"/>
      <c r="K1329" s="1094"/>
      <c r="L1329" s="197"/>
      <c r="M1329" s="197"/>
      <c r="N1329" s="197"/>
      <c r="O1329" s="197"/>
      <c r="P1329" s="1094"/>
      <c r="Q1329" s="197"/>
      <c r="R1329" s="197"/>
      <c r="S1329" s="197"/>
      <c r="T1329" s="197"/>
      <c r="U1329" s="1094"/>
      <c r="V1329" s="197"/>
      <c r="W1329" s="197"/>
      <c r="X1329" s="197"/>
      <c r="Y1329" s="197"/>
      <c r="Z1329" s="1094"/>
      <c r="AA1329" s="197"/>
      <c r="AB1329" s="197"/>
      <c r="AC1329" s="197"/>
      <c r="AD1329" s="197"/>
      <c r="AE1329" s="1094"/>
      <c r="AF1329" s="197"/>
      <c r="AG1329" s="197"/>
      <c r="AH1329" s="197"/>
      <c r="AI1329" s="197"/>
      <c r="AJ1329" s="1094"/>
      <c r="AK1329" s="197"/>
      <c r="AL1329" s="197"/>
      <c r="AM1329" s="197"/>
      <c r="AN1329" s="197"/>
      <c r="AO1329" s="1094"/>
      <c r="AP1329" s="197"/>
      <c r="AQ1329" s="197"/>
      <c r="AR1329" s="197"/>
      <c r="AS1329" s="197"/>
      <c r="AT1329" s="198"/>
      <c r="AU1329" s="197"/>
      <c r="AV1329" s="197"/>
      <c r="AW1329" s="197"/>
      <c r="AX1329" s="197"/>
      <c r="AY1329" s="198"/>
      <c r="AZ1329" s="197"/>
      <c r="BA1329" s="197"/>
      <c r="BB1329" s="197"/>
      <c r="BC1329" s="197"/>
      <c r="BD1329" s="198"/>
      <c r="BE1329" s="197"/>
      <c r="BF1329" s="197"/>
      <c r="BG1329" s="197"/>
      <c r="BH1329" s="197"/>
      <c r="BI1329" s="198"/>
      <c r="BJ1329" s="197"/>
      <c r="BK1329" s="197"/>
      <c r="BL1329" s="197"/>
      <c r="BM1329" s="197"/>
      <c r="BN1329" s="198"/>
      <c r="BO1329" s="197"/>
      <c r="BP1329" s="197"/>
      <c r="BQ1329" s="197"/>
      <c r="BR1329" s="197"/>
      <c r="BS1329" s="198"/>
      <c r="BT1329" s="727"/>
      <c r="BU1329" s="197"/>
      <c r="BV1329" s="197"/>
      <c r="BW1329" s="197"/>
      <c r="BX1329" s="1094"/>
      <c r="BY1329" s="197"/>
      <c r="BZ1329" s="197"/>
      <c r="CA1329" s="197"/>
      <c r="CB1329" s="197"/>
      <c r="CC1329" s="1094"/>
      <c r="CD1329" s="1094"/>
      <c r="CE1329" s="1094"/>
      <c r="CF1329" s="1094"/>
      <c r="CG1329" s="349"/>
    </row>
    <row r="1330" spans="1:85" s="613" customFormat="1" x14ac:dyDescent="0.3">
      <c r="A1330" s="478" t="s">
        <v>1236</v>
      </c>
      <c r="B1330" s="523"/>
      <c r="C1330" s="78"/>
      <c r="D1330" s="78"/>
      <c r="E1330" s="78"/>
      <c r="F1330" s="78"/>
      <c r="G1330" s="774"/>
      <c r="H1330" s="774"/>
      <c r="I1330" s="774"/>
      <c r="J1330" s="774"/>
      <c r="K1330" s="78"/>
      <c r="L1330" s="774"/>
      <c r="M1330" s="774"/>
      <c r="N1330" s="774"/>
      <c r="O1330" s="774"/>
      <c r="P1330" s="78"/>
      <c r="Q1330" s="774"/>
      <c r="R1330" s="774"/>
      <c r="S1330" s="774"/>
      <c r="T1330" s="774"/>
      <c r="U1330" s="78"/>
      <c r="V1330" s="774"/>
      <c r="W1330" s="774"/>
      <c r="X1330" s="774"/>
      <c r="Y1330" s="774"/>
      <c r="Z1330" s="78"/>
      <c r="AA1330" s="774"/>
      <c r="AB1330" s="774"/>
      <c r="AC1330" s="774"/>
      <c r="AD1330" s="774"/>
      <c r="AE1330" s="78"/>
      <c r="AF1330" s="774"/>
      <c r="AG1330" s="774"/>
      <c r="AH1330" s="774"/>
      <c r="AI1330" s="774"/>
      <c r="AJ1330" s="78"/>
      <c r="AK1330" s="774"/>
      <c r="AL1330" s="774"/>
      <c r="AM1330" s="774"/>
      <c r="AN1330" s="774"/>
      <c r="AO1330" s="78"/>
      <c r="AP1330" s="774"/>
      <c r="AQ1330" s="774"/>
      <c r="AR1330" s="774"/>
      <c r="AS1330" s="774"/>
      <c r="AT1330" s="1119">
        <v>2.117</v>
      </c>
      <c r="AU1330" s="774"/>
      <c r="AV1330" s="774"/>
      <c r="AW1330" s="774"/>
      <c r="AX1330" s="774"/>
      <c r="AY1330" s="1119">
        <v>2.117</v>
      </c>
      <c r="AZ1330" s="774"/>
      <c r="BA1330" s="774"/>
      <c r="BB1330" s="774"/>
      <c r="BC1330" s="774"/>
      <c r="BD1330" s="1119">
        <v>2.117</v>
      </c>
      <c r="BE1330" s="774"/>
      <c r="BF1330" s="774"/>
      <c r="BG1330" s="774"/>
      <c r="BH1330" s="774"/>
      <c r="BI1330" s="1119">
        <v>2.117</v>
      </c>
      <c r="BJ1330" s="774"/>
      <c r="BK1330" s="774"/>
      <c r="BL1330" s="774"/>
      <c r="BM1330" s="774"/>
      <c r="BN1330" s="1119">
        <v>2.117</v>
      </c>
      <c r="BO1330" s="774"/>
      <c r="BP1330" s="774"/>
      <c r="BQ1330" s="774"/>
      <c r="BR1330" s="774"/>
      <c r="BS1330" s="78"/>
      <c r="BT1330" s="775"/>
      <c r="BU1330" s="774"/>
      <c r="BV1330" s="774"/>
      <c r="BW1330" s="774"/>
      <c r="BX1330" s="78"/>
      <c r="BY1330" s="774"/>
      <c r="BZ1330" s="774"/>
      <c r="CA1330" s="774"/>
      <c r="CB1330" s="774"/>
      <c r="CC1330" s="78"/>
      <c r="CD1330" s="78"/>
      <c r="CE1330" s="78"/>
      <c r="CF1330" s="78"/>
      <c r="CG1330" s="532"/>
    </row>
    <row r="1331" spans="1:85" s="616" customFormat="1" x14ac:dyDescent="0.3">
      <c r="A1331" s="522" t="s">
        <v>1235</v>
      </c>
      <c r="B1331" s="527"/>
      <c r="C1331" s="1124"/>
      <c r="D1331" s="1124"/>
      <c r="E1331" s="1124"/>
      <c r="F1331" s="1124"/>
      <c r="G1331" s="526"/>
      <c r="H1331" s="526"/>
      <c r="I1331" s="526"/>
      <c r="J1331" s="526"/>
      <c r="K1331" s="1124"/>
      <c r="L1331" s="526"/>
      <c r="M1331" s="526"/>
      <c r="N1331" s="526"/>
      <c r="O1331" s="526"/>
      <c r="P1331" s="1124"/>
      <c r="Q1331" s="526"/>
      <c r="R1331" s="526"/>
      <c r="S1331" s="526"/>
      <c r="T1331" s="526"/>
      <c r="U1331" s="1124"/>
      <c r="V1331" s="526"/>
      <c r="W1331" s="526"/>
      <c r="X1331" s="526"/>
      <c r="Y1331" s="526"/>
      <c r="Z1331" s="1124"/>
      <c r="AA1331" s="526"/>
      <c r="AB1331" s="526"/>
      <c r="AC1331" s="526"/>
      <c r="AD1331" s="526"/>
      <c r="AE1331" s="1124"/>
      <c r="AF1331" s="526"/>
      <c r="AG1331" s="526"/>
      <c r="AH1331" s="526"/>
      <c r="AI1331" s="526"/>
      <c r="AJ1331" s="1124"/>
      <c r="AK1331" s="526"/>
      <c r="AL1331" s="526"/>
      <c r="AM1331" s="526"/>
      <c r="AN1331" s="526"/>
      <c r="AO1331" s="1124"/>
      <c r="AP1331" s="526"/>
      <c r="AQ1331" s="526"/>
      <c r="AR1331" s="526"/>
      <c r="AS1331" s="526"/>
      <c r="AT1331" s="1123">
        <v>378.81</v>
      </c>
      <c r="AU1331" s="526"/>
      <c r="AV1331" s="526"/>
      <c r="AW1331" s="526"/>
      <c r="AX1331" s="526"/>
      <c r="AY1331" s="1123">
        <v>378.81</v>
      </c>
      <c r="AZ1331" s="526"/>
      <c r="BA1331" s="526"/>
      <c r="BB1331" s="526"/>
      <c r="BC1331" s="526"/>
      <c r="BD1331" s="1123">
        <v>378.81</v>
      </c>
      <c r="BE1331" s="526"/>
      <c r="BF1331" s="526"/>
      <c r="BG1331" s="526"/>
      <c r="BH1331" s="526"/>
      <c r="BI1331" s="1123">
        <v>378.81</v>
      </c>
      <c r="BJ1331" s="526"/>
      <c r="BK1331" s="526"/>
      <c r="BL1331" s="526"/>
      <c r="BM1331" s="526"/>
      <c r="BN1331" s="1123">
        <v>378.81</v>
      </c>
      <c r="BO1331" s="526"/>
      <c r="BP1331" s="526"/>
      <c r="BQ1331" s="526"/>
      <c r="BR1331" s="526"/>
      <c r="BS1331" s="1124"/>
      <c r="BT1331" s="729"/>
      <c r="BU1331" s="526"/>
      <c r="BV1331" s="526"/>
      <c r="BW1331" s="526"/>
      <c r="BX1331" s="1124"/>
      <c r="BY1331" s="526"/>
      <c r="BZ1331" s="526"/>
      <c r="CA1331" s="526"/>
      <c r="CB1331" s="526"/>
      <c r="CC1331" s="1124"/>
      <c r="CD1331" s="1124"/>
      <c r="CE1331" s="1124"/>
      <c r="CF1331" s="1124"/>
      <c r="CG1331" s="533"/>
    </row>
    <row r="1332" spans="1:85" s="614" customFormat="1" x14ac:dyDescent="0.3">
      <c r="A1332" s="522"/>
      <c r="B1332" s="352"/>
      <c r="C1332" s="1094"/>
      <c r="D1332" s="1094"/>
      <c r="E1332" s="1094"/>
      <c r="F1332" s="1094"/>
      <c r="G1332" s="197"/>
      <c r="H1332" s="197"/>
      <c r="I1332" s="197"/>
      <c r="J1332" s="197"/>
      <c r="K1332" s="1094"/>
      <c r="L1332" s="197"/>
      <c r="M1332" s="197"/>
      <c r="N1332" s="197"/>
      <c r="O1332" s="197"/>
      <c r="P1332" s="1094"/>
      <c r="Q1332" s="197"/>
      <c r="R1332" s="197"/>
      <c r="S1332" s="197"/>
      <c r="T1332" s="197"/>
      <c r="U1332" s="1094"/>
      <c r="V1332" s="197"/>
      <c r="W1332" s="197"/>
      <c r="X1332" s="197"/>
      <c r="Y1332" s="197"/>
      <c r="Z1332" s="1094"/>
      <c r="AA1332" s="197"/>
      <c r="AB1332" s="197"/>
      <c r="AC1332" s="197"/>
      <c r="AD1332" s="197"/>
      <c r="AE1332" s="1094"/>
      <c r="AF1332" s="197"/>
      <c r="AG1332" s="197"/>
      <c r="AH1332" s="197"/>
      <c r="AI1332" s="197"/>
      <c r="AJ1332" s="1094"/>
      <c r="AK1332" s="197"/>
      <c r="AL1332" s="197"/>
      <c r="AM1332" s="197"/>
      <c r="AN1332" s="197"/>
      <c r="AO1332" s="1094"/>
      <c r="AP1332" s="197"/>
      <c r="AQ1332" s="197"/>
      <c r="AR1332" s="197"/>
      <c r="AS1332" s="197"/>
      <c r="AT1332" s="198"/>
      <c r="AU1332" s="197"/>
      <c r="AV1332" s="197"/>
      <c r="AW1332" s="197"/>
      <c r="AX1332" s="197"/>
      <c r="AY1332" s="198"/>
      <c r="AZ1332" s="197"/>
      <c r="BA1332" s="197"/>
      <c r="BB1332" s="197"/>
      <c r="BC1332" s="197"/>
      <c r="BD1332" s="198"/>
      <c r="BE1332" s="197"/>
      <c r="BF1332" s="197"/>
      <c r="BG1332" s="197"/>
      <c r="BH1332" s="197"/>
      <c r="BI1332" s="198"/>
      <c r="BJ1332" s="197"/>
      <c r="BK1332" s="197"/>
      <c r="BL1332" s="197"/>
      <c r="BM1332" s="197"/>
      <c r="BN1332" s="198"/>
      <c r="BO1332" s="197"/>
      <c r="BP1332" s="197"/>
      <c r="BQ1332" s="197"/>
      <c r="BR1332" s="197"/>
      <c r="BS1332" s="198"/>
      <c r="BT1332" s="727"/>
      <c r="BU1332" s="197"/>
      <c r="BV1332" s="197"/>
      <c r="BW1332" s="197"/>
      <c r="BX1332" s="1094"/>
      <c r="BY1332" s="197"/>
      <c r="BZ1332" s="197"/>
      <c r="CA1332" s="197"/>
      <c r="CB1332" s="197"/>
      <c r="CC1332" s="1094"/>
      <c r="CD1332" s="1094"/>
      <c r="CE1332" s="1094"/>
      <c r="CF1332" s="1094"/>
      <c r="CG1332" s="349"/>
    </row>
    <row r="1333" spans="1:85" s="613" customFormat="1" x14ac:dyDescent="0.3">
      <c r="A1333" s="478" t="s">
        <v>1234</v>
      </c>
      <c r="B1333" s="523"/>
      <c r="C1333" s="78"/>
      <c r="D1333" s="78"/>
      <c r="E1333" s="78"/>
      <c r="F1333" s="78"/>
      <c r="G1333" s="774"/>
      <c r="H1333" s="774"/>
      <c r="I1333" s="774"/>
      <c r="J1333" s="774"/>
      <c r="K1333" s="78"/>
      <c r="L1333" s="774"/>
      <c r="M1333" s="774"/>
      <c r="N1333" s="774"/>
      <c r="O1333" s="774"/>
      <c r="P1333" s="78"/>
      <c r="Q1333" s="774"/>
      <c r="R1333" s="774"/>
      <c r="S1333" s="774"/>
      <c r="T1333" s="774"/>
      <c r="U1333" s="78"/>
      <c r="V1333" s="774"/>
      <c r="W1333" s="774"/>
      <c r="X1333" s="774"/>
      <c r="Y1333" s="774"/>
      <c r="Z1333" s="78"/>
      <c r="AA1333" s="774"/>
      <c r="AB1333" s="774"/>
      <c r="AC1333" s="774"/>
      <c r="AD1333" s="774"/>
      <c r="AE1333" s="78"/>
      <c r="AF1333" s="774"/>
      <c r="AG1333" s="774"/>
      <c r="AH1333" s="774"/>
      <c r="AI1333" s="774"/>
      <c r="AJ1333" s="78"/>
      <c r="AK1333" s="774"/>
      <c r="AL1333" s="774"/>
      <c r="AM1333" s="774"/>
      <c r="AN1333" s="774"/>
      <c r="AO1333" s="78"/>
      <c r="AP1333" s="774"/>
      <c r="AQ1333" s="774"/>
      <c r="AR1333" s="774"/>
      <c r="AS1333" s="774"/>
      <c r="AT1333" s="1119">
        <v>2.383</v>
      </c>
      <c r="AU1333" s="774"/>
      <c r="AV1333" s="774"/>
      <c r="AW1333" s="774"/>
      <c r="AX1333" s="774"/>
      <c r="AY1333" s="1119">
        <v>2.383</v>
      </c>
      <c r="AZ1333" s="774"/>
      <c r="BA1333" s="774"/>
      <c r="BB1333" s="774"/>
      <c r="BC1333" s="774"/>
      <c r="BD1333" s="1119">
        <v>2.383</v>
      </c>
      <c r="BE1333" s="774"/>
      <c r="BF1333" s="774"/>
      <c r="BG1333" s="774"/>
      <c r="BH1333" s="774"/>
      <c r="BI1333" s="1119">
        <v>2.383</v>
      </c>
      <c r="BJ1333" s="774"/>
      <c r="BK1333" s="774"/>
      <c r="BL1333" s="774"/>
      <c r="BM1333" s="774"/>
      <c r="BN1333" s="1119">
        <v>2.383</v>
      </c>
      <c r="BO1333" s="774"/>
      <c r="BP1333" s="774"/>
      <c r="BQ1333" s="774"/>
      <c r="BR1333" s="774"/>
      <c r="BS1333" s="78"/>
      <c r="BT1333" s="775"/>
      <c r="BU1333" s="774"/>
      <c r="BV1333" s="774"/>
      <c r="BW1333" s="774"/>
      <c r="BX1333" s="78"/>
      <c r="BY1333" s="774"/>
      <c r="BZ1333" s="774"/>
      <c r="CA1333" s="774"/>
      <c r="CB1333" s="774"/>
      <c r="CC1333" s="78"/>
      <c r="CD1333" s="78"/>
      <c r="CE1333" s="78"/>
      <c r="CF1333" s="78"/>
      <c r="CG1333" s="532"/>
    </row>
    <row r="1334" spans="1:85" s="616" customFormat="1" x14ac:dyDescent="0.3">
      <c r="A1334" s="522" t="s">
        <v>1233</v>
      </c>
      <c r="B1334" s="527"/>
      <c r="C1334" s="1124"/>
      <c r="D1334" s="1124"/>
      <c r="E1334" s="1124"/>
      <c r="F1334" s="1124"/>
      <c r="G1334" s="526"/>
      <c r="H1334" s="526"/>
      <c r="I1334" s="526"/>
      <c r="J1334" s="526"/>
      <c r="K1334" s="1124"/>
      <c r="L1334" s="526"/>
      <c r="M1334" s="526"/>
      <c r="N1334" s="526"/>
      <c r="O1334" s="526"/>
      <c r="P1334" s="1124"/>
      <c r="Q1334" s="526"/>
      <c r="R1334" s="526"/>
      <c r="S1334" s="526"/>
      <c r="T1334" s="526"/>
      <c r="U1334" s="1124"/>
      <c r="V1334" s="526"/>
      <c r="W1334" s="526"/>
      <c r="X1334" s="526"/>
      <c r="Y1334" s="526"/>
      <c r="Z1334" s="1124"/>
      <c r="AA1334" s="526"/>
      <c r="AB1334" s="526"/>
      <c r="AC1334" s="526"/>
      <c r="AD1334" s="526"/>
      <c r="AE1334" s="1124"/>
      <c r="AF1334" s="526"/>
      <c r="AG1334" s="526"/>
      <c r="AH1334" s="526"/>
      <c r="AI1334" s="526"/>
      <c r="AJ1334" s="1124"/>
      <c r="AK1334" s="526"/>
      <c r="AL1334" s="526"/>
      <c r="AM1334" s="526"/>
      <c r="AN1334" s="526"/>
      <c r="AO1334" s="1124"/>
      <c r="AP1334" s="526"/>
      <c r="AQ1334" s="526"/>
      <c r="AR1334" s="526"/>
      <c r="AS1334" s="526"/>
      <c r="AT1334" s="1123">
        <v>336.63</v>
      </c>
      <c r="AU1334" s="526"/>
      <c r="AV1334" s="526"/>
      <c r="AW1334" s="526"/>
      <c r="AX1334" s="526"/>
      <c r="AY1334" s="1123">
        <v>336.63</v>
      </c>
      <c r="AZ1334" s="526"/>
      <c r="BA1334" s="526"/>
      <c r="BB1334" s="526"/>
      <c r="BC1334" s="526"/>
      <c r="BD1334" s="1123">
        <v>336.63</v>
      </c>
      <c r="BE1334" s="526"/>
      <c r="BF1334" s="526"/>
      <c r="BG1334" s="526"/>
      <c r="BH1334" s="526"/>
      <c r="BI1334" s="1123">
        <v>336.63</v>
      </c>
      <c r="BJ1334" s="526"/>
      <c r="BK1334" s="526"/>
      <c r="BL1334" s="526"/>
      <c r="BM1334" s="526"/>
      <c r="BN1334" s="1123">
        <v>336.63</v>
      </c>
      <c r="BO1334" s="526"/>
      <c r="BP1334" s="526"/>
      <c r="BQ1334" s="526"/>
      <c r="BR1334" s="526"/>
      <c r="BS1334" s="1124"/>
      <c r="BT1334" s="729"/>
      <c r="BU1334" s="526"/>
      <c r="BV1334" s="526"/>
      <c r="BW1334" s="526"/>
      <c r="BX1334" s="1124"/>
      <c r="BY1334" s="526"/>
      <c r="BZ1334" s="526"/>
      <c r="CA1334" s="526"/>
      <c r="CB1334" s="526"/>
      <c r="CC1334" s="1124"/>
      <c r="CD1334" s="1124"/>
      <c r="CE1334" s="1124"/>
      <c r="CF1334" s="1124"/>
      <c r="CG1334" s="533"/>
    </row>
    <row r="1335" spans="1:85" s="614" customFormat="1" x14ac:dyDescent="0.3">
      <c r="A1335" s="522"/>
      <c r="B1335" s="352"/>
      <c r="C1335" s="1094"/>
      <c r="D1335" s="1094"/>
      <c r="E1335" s="1094"/>
      <c r="F1335" s="1094"/>
      <c r="G1335" s="197"/>
      <c r="H1335" s="197"/>
      <c r="I1335" s="197"/>
      <c r="J1335" s="197"/>
      <c r="K1335" s="1094"/>
      <c r="L1335" s="197"/>
      <c r="M1335" s="197"/>
      <c r="N1335" s="197"/>
      <c r="O1335" s="197"/>
      <c r="P1335" s="1094"/>
      <c r="Q1335" s="197"/>
      <c r="R1335" s="197"/>
      <c r="S1335" s="197"/>
      <c r="T1335" s="197"/>
      <c r="U1335" s="1094"/>
      <c r="V1335" s="197"/>
      <c r="W1335" s="197"/>
      <c r="X1335" s="197"/>
      <c r="Y1335" s="197"/>
      <c r="Z1335" s="1094"/>
      <c r="AA1335" s="197"/>
      <c r="AB1335" s="197"/>
      <c r="AC1335" s="197"/>
      <c r="AD1335" s="197"/>
      <c r="AE1335" s="1094"/>
      <c r="AF1335" s="197"/>
      <c r="AG1335" s="197"/>
      <c r="AH1335" s="197"/>
      <c r="AI1335" s="197"/>
      <c r="AJ1335" s="1094"/>
      <c r="AK1335" s="197"/>
      <c r="AL1335" s="197"/>
      <c r="AM1335" s="197"/>
      <c r="AN1335" s="197"/>
      <c r="AO1335" s="1094"/>
      <c r="AP1335" s="197"/>
      <c r="AQ1335" s="197"/>
      <c r="AR1335" s="197"/>
      <c r="AS1335" s="197"/>
      <c r="AT1335" s="198"/>
      <c r="AU1335" s="197"/>
      <c r="AV1335" s="197"/>
      <c r="AW1335" s="197"/>
      <c r="AX1335" s="197"/>
      <c r="AY1335" s="198"/>
      <c r="AZ1335" s="197"/>
      <c r="BA1335" s="197"/>
      <c r="BB1335" s="197"/>
      <c r="BC1335" s="197"/>
      <c r="BD1335" s="198"/>
      <c r="BE1335" s="197"/>
      <c r="BF1335" s="197"/>
      <c r="BG1335" s="197"/>
      <c r="BH1335" s="197"/>
      <c r="BI1335" s="198"/>
      <c r="BJ1335" s="197"/>
      <c r="BK1335" s="197"/>
      <c r="BL1335" s="197"/>
      <c r="BM1335" s="197"/>
      <c r="BN1335" s="198"/>
      <c r="BO1335" s="197"/>
      <c r="BP1335" s="197"/>
      <c r="BQ1335" s="197"/>
      <c r="BR1335" s="197"/>
      <c r="BS1335" s="198"/>
      <c r="BT1335" s="727"/>
      <c r="BU1335" s="197"/>
      <c r="BV1335" s="197"/>
      <c r="BW1335" s="197"/>
      <c r="BX1335" s="1094"/>
      <c r="BY1335" s="197"/>
      <c r="BZ1335" s="197"/>
      <c r="CA1335" s="197"/>
      <c r="CB1335" s="197"/>
      <c r="CC1335" s="1094"/>
      <c r="CD1335" s="1094"/>
      <c r="CE1335" s="1094"/>
      <c r="CF1335" s="1094"/>
      <c r="CG1335" s="349"/>
    </row>
    <row r="1336" spans="1:85" s="613" customFormat="1" x14ac:dyDescent="0.3">
      <c r="A1336" s="478" t="s">
        <v>1232</v>
      </c>
      <c r="B1336" s="523"/>
      <c r="C1336" s="78"/>
      <c r="D1336" s="78"/>
      <c r="E1336" s="78"/>
      <c r="F1336" s="78"/>
      <c r="G1336" s="774"/>
      <c r="H1336" s="774"/>
      <c r="I1336" s="774"/>
      <c r="J1336" s="774"/>
      <c r="K1336" s="78"/>
      <c r="L1336" s="774"/>
      <c r="M1336" s="774"/>
      <c r="N1336" s="774"/>
      <c r="O1336" s="774"/>
      <c r="P1336" s="78"/>
      <c r="Q1336" s="774"/>
      <c r="R1336" s="774"/>
      <c r="S1336" s="774"/>
      <c r="T1336" s="774"/>
      <c r="U1336" s="78"/>
      <c r="V1336" s="774"/>
      <c r="W1336" s="774"/>
      <c r="X1336" s="774"/>
      <c r="Y1336" s="774"/>
      <c r="Z1336" s="78"/>
      <c r="AA1336" s="774"/>
      <c r="AB1336" s="774"/>
      <c r="AC1336" s="774"/>
      <c r="AD1336" s="774"/>
      <c r="AE1336" s="78"/>
      <c r="AF1336" s="774"/>
      <c r="AG1336" s="774"/>
      <c r="AH1336" s="774"/>
      <c r="AI1336" s="774"/>
      <c r="AJ1336" s="78"/>
      <c r="AK1336" s="774"/>
      <c r="AL1336" s="774"/>
      <c r="AM1336" s="774"/>
      <c r="AN1336" s="774"/>
      <c r="AO1336" s="78"/>
      <c r="AP1336" s="774"/>
      <c r="AQ1336" s="774"/>
      <c r="AR1336" s="774"/>
      <c r="AS1336" s="774"/>
      <c r="AT1336" s="1119">
        <v>2.141</v>
      </c>
      <c r="AU1336" s="774"/>
      <c r="AV1336" s="774"/>
      <c r="AW1336" s="774"/>
      <c r="AX1336" s="774"/>
      <c r="AY1336" s="1119">
        <v>2.141</v>
      </c>
      <c r="AZ1336" s="774"/>
      <c r="BA1336" s="774"/>
      <c r="BB1336" s="774"/>
      <c r="BC1336" s="774"/>
      <c r="BD1336" s="1119">
        <v>2.141</v>
      </c>
      <c r="BE1336" s="774"/>
      <c r="BF1336" s="774"/>
      <c r="BG1336" s="774"/>
      <c r="BH1336" s="774"/>
      <c r="BI1336" s="1119">
        <v>2.141</v>
      </c>
      <c r="BJ1336" s="774"/>
      <c r="BK1336" s="774"/>
      <c r="BL1336" s="774"/>
      <c r="BM1336" s="774"/>
      <c r="BN1336" s="1119">
        <v>2.141</v>
      </c>
      <c r="BO1336" s="774"/>
      <c r="BP1336" s="774"/>
      <c r="BQ1336" s="774"/>
      <c r="BR1336" s="774"/>
      <c r="BS1336" s="78"/>
      <c r="BT1336" s="775"/>
      <c r="BU1336" s="774"/>
      <c r="BV1336" s="774"/>
      <c r="BW1336" s="774"/>
      <c r="BX1336" s="78"/>
      <c r="BY1336" s="774"/>
      <c r="BZ1336" s="774"/>
      <c r="CA1336" s="774"/>
      <c r="CB1336" s="774"/>
      <c r="CC1336" s="78"/>
      <c r="CD1336" s="78"/>
      <c r="CE1336" s="78"/>
      <c r="CF1336" s="78"/>
      <c r="CG1336" s="532"/>
    </row>
    <row r="1337" spans="1:85" s="616" customFormat="1" x14ac:dyDescent="0.3">
      <c r="A1337" s="522" t="s">
        <v>1231</v>
      </c>
      <c r="B1337" s="527"/>
      <c r="C1337" s="1124"/>
      <c r="D1337" s="1124"/>
      <c r="E1337" s="1124"/>
      <c r="F1337" s="1124"/>
      <c r="G1337" s="526"/>
      <c r="H1337" s="526"/>
      <c r="I1337" s="526"/>
      <c r="J1337" s="526"/>
      <c r="K1337" s="1124"/>
      <c r="L1337" s="526"/>
      <c r="M1337" s="526"/>
      <c r="N1337" s="526"/>
      <c r="O1337" s="526"/>
      <c r="P1337" s="1124"/>
      <c r="Q1337" s="526"/>
      <c r="R1337" s="526"/>
      <c r="S1337" s="526"/>
      <c r="T1337" s="526"/>
      <c r="U1337" s="1124"/>
      <c r="V1337" s="526"/>
      <c r="W1337" s="526"/>
      <c r="X1337" s="526"/>
      <c r="Y1337" s="526"/>
      <c r="Z1337" s="1124"/>
      <c r="AA1337" s="526"/>
      <c r="AB1337" s="526"/>
      <c r="AC1337" s="526"/>
      <c r="AD1337" s="526"/>
      <c r="AE1337" s="1124"/>
      <c r="AF1337" s="526"/>
      <c r="AG1337" s="526"/>
      <c r="AH1337" s="526"/>
      <c r="AI1337" s="526"/>
      <c r="AJ1337" s="1124"/>
      <c r="AK1337" s="526"/>
      <c r="AL1337" s="526"/>
      <c r="AM1337" s="526"/>
      <c r="AN1337" s="526"/>
      <c r="AO1337" s="1124"/>
      <c r="AP1337" s="526"/>
      <c r="AQ1337" s="526"/>
      <c r="AR1337" s="526"/>
      <c r="AS1337" s="526"/>
      <c r="AT1337" s="1123">
        <v>374.6</v>
      </c>
      <c r="AU1337" s="526"/>
      <c r="AV1337" s="526"/>
      <c r="AW1337" s="526"/>
      <c r="AX1337" s="526"/>
      <c r="AY1337" s="1123">
        <v>374.6</v>
      </c>
      <c r="AZ1337" s="526"/>
      <c r="BA1337" s="526"/>
      <c r="BB1337" s="526"/>
      <c r="BC1337" s="526"/>
      <c r="BD1337" s="1123">
        <v>374.6</v>
      </c>
      <c r="BE1337" s="526"/>
      <c r="BF1337" s="526"/>
      <c r="BG1337" s="526"/>
      <c r="BH1337" s="526"/>
      <c r="BI1337" s="1123">
        <v>374.6</v>
      </c>
      <c r="BJ1337" s="526"/>
      <c r="BK1337" s="526"/>
      <c r="BL1337" s="526"/>
      <c r="BM1337" s="526"/>
      <c r="BN1337" s="1123">
        <v>374.6</v>
      </c>
      <c r="BO1337" s="526"/>
      <c r="BP1337" s="526"/>
      <c r="BQ1337" s="526"/>
      <c r="BR1337" s="526"/>
      <c r="BS1337" s="1124"/>
      <c r="BT1337" s="729"/>
      <c r="BU1337" s="526"/>
      <c r="BV1337" s="526"/>
      <c r="BW1337" s="526"/>
      <c r="BX1337" s="1124"/>
      <c r="BY1337" s="526"/>
      <c r="BZ1337" s="526"/>
      <c r="CA1337" s="526"/>
      <c r="CB1337" s="526"/>
      <c r="CC1337" s="1124"/>
      <c r="CD1337" s="1124"/>
      <c r="CE1337" s="1124"/>
      <c r="CF1337" s="1124"/>
      <c r="CG1337" s="533"/>
    </row>
    <row r="1338" spans="1:85" s="614" customFormat="1" x14ac:dyDescent="0.3">
      <c r="A1338" s="522"/>
      <c r="B1338" s="352"/>
      <c r="C1338" s="1094"/>
      <c r="D1338" s="1094"/>
      <c r="E1338" s="1094"/>
      <c r="F1338" s="1094"/>
      <c r="G1338" s="197"/>
      <c r="H1338" s="197"/>
      <c r="I1338" s="197"/>
      <c r="J1338" s="197"/>
      <c r="K1338" s="1094"/>
      <c r="L1338" s="197"/>
      <c r="M1338" s="197"/>
      <c r="N1338" s="197"/>
      <c r="O1338" s="197"/>
      <c r="P1338" s="1094"/>
      <c r="Q1338" s="197"/>
      <c r="R1338" s="197"/>
      <c r="S1338" s="197"/>
      <c r="T1338" s="197"/>
      <c r="U1338" s="1094"/>
      <c r="V1338" s="197"/>
      <c r="W1338" s="197"/>
      <c r="X1338" s="197"/>
      <c r="Y1338" s="197"/>
      <c r="Z1338" s="1094"/>
      <c r="AA1338" s="197"/>
      <c r="AB1338" s="197"/>
      <c r="AC1338" s="197"/>
      <c r="AD1338" s="197"/>
      <c r="AE1338" s="1094"/>
      <c r="AF1338" s="197"/>
      <c r="AG1338" s="197"/>
      <c r="AH1338" s="197"/>
      <c r="AI1338" s="197"/>
      <c r="AJ1338" s="1094"/>
      <c r="AK1338" s="197"/>
      <c r="AL1338" s="197"/>
      <c r="AM1338" s="197"/>
      <c r="AN1338" s="197"/>
      <c r="AO1338" s="1094"/>
      <c r="AP1338" s="197"/>
      <c r="AQ1338" s="197"/>
      <c r="AR1338" s="197"/>
      <c r="AS1338" s="197"/>
      <c r="AT1338" s="198"/>
      <c r="AU1338" s="197"/>
      <c r="AV1338" s="197"/>
      <c r="AW1338" s="197"/>
      <c r="AX1338" s="197"/>
      <c r="AY1338" s="198"/>
      <c r="AZ1338" s="197"/>
      <c r="BA1338" s="197"/>
      <c r="BB1338" s="197"/>
      <c r="BC1338" s="197"/>
      <c r="BD1338" s="198"/>
      <c r="BE1338" s="197"/>
      <c r="BF1338" s="197"/>
      <c r="BG1338" s="197"/>
      <c r="BH1338" s="197"/>
      <c r="BI1338" s="198"/>
      <c r="BJ1338" s="197"/>
      <c r="BK1338" s="197"/>
      <c r="BL1338" s="197"/>
      <c r="BM1338" s="197"/>
      <c r="BN1338" s="198"/>
      <c r="BO1338" s="197"/>
      <c r="BP1338" s="197"/>
      <c r="BQ1338" s="197"/>
      <c r="BR1338" s="197"/>
      <c r="BS1338" s="198"/>
      <c r="BT1338" s="727"/>
      <c r="BU1338" s="197"/>
      <c r="BV1338" s="197"/>
      <c r="BW1338" s="197"/>
      <c r="BX1338" s="1094"/>
      <c r="BY1338" s="197"/>
      <c r="BZ1338" s="197"/>
      <c r="CA1338" s="197"/>
      <c r="CB1338" s="197"/>
      <c r="CC1338" s="1094"/>
      <c r="CD1338" s="1094"/>
      <c r="CE1338" s="1094"/>
      <c r="CF1338" s="1094"/>
      <c r="CG1338" s="349"/>
    </row>
    <row r="1339" spans="1:85" s="613" customFormat="1" x14ac:dyDescent="0.3">
      <c r="A1339" s="478" t="s">
        <v>1230</v>
      </c>
      <c r="B1339" s="523"/>
      <c r="C1339" s="78"/>
      <c r="D1339" s="78"/>
      <c r="E1339" s="78"/>
      <c r="F1339" s="78"/>
      <c r="G1339" s="774"/>
      <c r="H1339" s="774"/>
      <c r="I1339" s="774"/>
      <c r="J1339" s="774"/>
      <c r="K1339" s="78"/>
      <c r="L1339" s="774"/>
      <c r="M1339" s="774"/>
      <c r="N1339" s="774"/>
      <c r="O1339" s="774"/>
      <c r="P1339" s="78"/>
      <c r="Q1339" s="774"/>
      <c r="R1339" s="774"/>
      <c r="S1339" s="774"/>
      <c r="T1339" s="774"/>
      <c r="U1339" s="78"/>
      <c r="V1339" s="774"/>
      <c r="W1339" s="774"/>
      <c r="X1339" s="774"/>
      <c r="Y1339" s="774"/>
      <c r="Z1339" s="78"/>
      <c r="AA1339" s="774"/>
      <c r="AB1339" s="774"/>
      <c r="AC1339" s="774"/>
      <c r="AD1339" s="774"/>
      <c r="AE1339" s="78"/>
      <c r="AF1339" s="774"/>
      <c r="AG1339" s="774"/>
      <c r="AH1339" s="774"/>
      <c r="AI1339" s="774"/>
      <c r="AJ1339" s="78"/>
      <c r="AK1339" s="774"/>
      <c r="AL1339" s="774"/>
      <c r="AM1339" s="774"/>
      <c r="AN1339" s="774"/>
      <c r="AO1339" s="78"/>
      <c r="AP1339" s="774"/>
      <c r="AQ1339" s="774"/>
      <c r="AR1339" s="774"/>
      <c r="AS1339" s="774"/>
      <c r="AT1339" s="1119">
        <v>2.5110000000000001</v>
      </c>
      <c r="AU1339" s="774"/>
      <c r="AV1339" s="774"/>
      <c r="AW1339" s="774"/>
      <c r="AX1339" s="774"/>
      <c r="AY1339" s="1119">
        <v>2.5110000000000001</v>
      </c>
      <c r="AZ1339" s="774"/>
      <c r="BA1339" s="774"/>
      <c r="BB1339" s="774"/>
      <c r="BC1339" s="774"/>
      <c r="BD1339" s="1119">
        <v>2.5110000000000001</v>
      </c>
      <c r="BE1339" s="774"/>
      <c r="BF1339" s="774"/>
      <c r="BG1339" s="774"/>
      <c r="BH1339" s="774"/>
      <c r="BI1339" s="1119">
        <v>2.5110000000000001</v>
      </c>
      <c r="BJ1339" s="774"/>
      <c r="BK1339" s="774"/>
      <c r="BL1339" s="774"/>
      <c r="BM1339" s="774"/>
      <c r="BN1339" s="1119">
        <v>2.5110000000000001</v>
      </c>
      <c r="BO1339" s="774"/>
      <c r="BP1339" s="774"/>
      <c r="BQ1339" s="774"/>
      <c r="BR1339" s="774"/>
      <c r="BS1339" s="78"/>
      <c r="BT1339" s="775"/>
      <c r="BU1339" s="774"/>
      <c r="BV1339" s="774"/>
      <c r="BW1339" s="774"/>
      <c r="BX1339" s="78"/>
      <c r="BY1339" s="774"/>
      <c r="BZ1339" s="774"/>
      <c r="CA1339" s="774"/>
      <c r="CB1339" s="774"/>
      <c r="CC1339" s="78"/>
      <c r="CD1339" s="78"/>
      <c r="CE1339" s="78"/>
      <c r="CF1339" s="78"/>
      <c r="CG1339" s="532"/>
    </row>
    <row r="1340" spans="1:85" s="616" customFormat="1" x14ac:dyDescent="0.3">
      <c r="A1340" s="522" t="s">
        <v>1229</v>
      </c>
      <c r="B1340" s="527"/>
      <c r="C1340" s="1124"/>
      <c r="D1340" s="1124"/>
      <c r="E1340" s="1124"/>
      <c r="F1340" s="1124"/>
      <c r="G1340" s="526"/>
      <c r="H1340" s="526"/>
      <c r="I1340" s="526"/>
      <c r="J1340" s="526"/>
      <c r="K1340" s="1124"/>
      <c r="L1340" s="526"/>
      <c r="M1340" s="526"/>
      <c r="N1340" s="526"/>
      <c r="O1340" s="526"/>
      <c r="P1340" s="1124"/>
      <c r="Q1340" s="526"/>
      <c r="R1340" s="526"/>
      <c r="S1340" s="526"/>
      <c r="T1340" s="526"/>
      <c r="U1340" s="1124"/>
      <c r="V1340" s="526"/>
      <c r="W1340" s="526"/>
      <c r="X1340" s="526"/>
      <c r="Y1340" s="526"/>
      <c r="Z1340" s="1124"/>
      <c r="AA1340" s="526"/>
      <c r="AB1340" s="526"/>
      <c r="AC1340" s="526"/>
      <c r="AD1340" s="526"/>
      <c r="AE1340" s="1124"/>
      <c r="AF1340" s="526"/>
      <c r="AG1340" s="526"/>
      <c r="AH1340" s="526"/>
      <c r="AI1340" s="526"/>
      <c r="AJ1340" s="1124"/>
      <c r="AK1340" s="526"/>
      <c r="AL1340" s="526"/>
      <c r="AM1340" s="526"/>
      <c r="AN1340" s="526"/>
      <c r="AO1340" s="1124"/>
      <c r="AP1340" s="526"/>
      <c r="AQ1340" s="526"/>
      <c r="AR1340" s="526"/>
      <c r="AS1340" s="526"/>
      <c r="AT1340" s="1123">
        <v>319.5</v>
      </c>
      <c r="AU1340" s="526"/>
      <c r="AV1340" s="526"/>
      <c r="AW1340" s="526"/>
      <c r="AX1340" s="526"/>
      <c r="AY1340" s="1123">
        <v>319.5</v>
      </c>
      <c r="AZ1340" s="526"/>
      <c r="BA1340" s="526"/>
      <c r="BB1340" s="526"/>
      <c r="BC1340" s="526"/>
      <c r="BD1340" s="1123">
        <v>319.5</v>
      </c>
      <c r="BE1340" s="526"/>
      <c r="BF1340" s="526"/>
      <c r="BG1340" s="526"/>
      <c r="BH1340" s="526"/>
      <c r="BI1340" s="1123">
        <v>319.5</v>
      </c>
      <c r="BJ1340" s="526"/>
      <c r="BK1340" s="526"/>
      <c r="BL1340" s="526"/>
      <c r="BM1340" s="526"/>
      <c r="BN1340" s="1123">
        <v>319.5</v>
      </c>
      <c r="BO1340" s="526"/>
      <c r="BP1340" s="526"/>
      <c r="BQ1340" s="526"/>
      <c r="BR1340" s="526"/>
      <c r="BS1340" s="1124"/>
      <c r="BT1340" s="729"/>
      <c r="BU1340" s="526"/>
      <c r="BV1340" s="526"/>
      <c r="BW1340" s="526"/>
      <c r="BX1340" s="1124"/>
      <c r="BY1340" s="526"/>
      <c r="BZ1340" s="526"/>
      <c r="CA1340" s="526"/>
      <c r="CB1340" s="526"/>
      <c r="CC1340" s="1124"/>
      <c r="CD1340" s="1124"/>
      <c r="CE1340" s="1124"/>
      <c r="CF1340" s="1124"/>
      <c r="CG1340" s="533"/>
    </row>
    <row r="1341" spans="1:85" s="614" customFormat="1" x14ac:dyDescent="0.3">
      <c r="A1341" s="522"/>
      <c r="B1341" s="352"/>
      <c r="C1341" s="1094"/>
      <c r="D1341" s="1094"/>
      <c r="E1341" s="1094"/>
      <c r="F1341" s="1094"/>
      <c r="G1341" s="197"/>
      <c r="H1341" s="197"/>
      <c r="I1341" s="197"/>
      <c r="J1341" s="197"/>
      <c r="K1341" s="1094"/>
      <c r="L1341" s="197"/>
      <c r="M1341" s="197"/>
      <c r="N1341" s="197"/>
      <c r="O1341" s="197"/>
      <c r="P1341" s="1094"/>
      <c r="Q1341" s="197"/>
      <c r="R1341" s="197"/>
      <c r="S1341" s="197"/>
      <c r="T1341" s="197"/>
      <c r="U1341" s="1094"/>
      <c r="V1341" s="197"/>
      <c r="W1341" s="197"/>
      <c r="X1341" s="197"/>
      <c r="Y1341" s="197"/>
      <c r="Z1341" s="1094"/>
      <c r="AA1341" s="197"/>
      <c r="AB1341" s="197"/>
      <c r="AC1341" s="197"/>
      <c r="AD1341" s="197"/>
      <c r="AE1341" s="1094"/>
      <c r="AF1341" s="197"/>
      <c r="AG1341" s="197"/>
      <c r="AH1341" s="197"/>
      <c r="AI1341" s="197"/>
      <c r="AJ1341" s="1094"/>
      <c r="AK1341" s="197"/>
      <c r="AL1341" s="197"/>
      <c r="AM1341" s="197"/>
      <c r="AN1341" s="197"/>
      <c r="AO1341" s="1094"/>
      <c r="AP1341" s="197"/>
      <c r="AQ1341" s="197"/>
      <c r="AR1341" s="197"/>
      <c r="AS1341" s="197"/>
      <c r="AT1341" s="198"/>
      <c r="AU1341" s="197"/>
      <c r="AV1341" s="197"/>
      <c r="AW1341" s="197"/>
      <c r="AX1341" s="197"/>
      <c r="AY1341" s="198"/>
      <c r="AZ1341" s="197"/>
      <c r="BA1341" s="197"/>
      <c r="BB1341" s="197"/>
      <c r="BC1341" s="197"/>
      <c r="BD1341" s="198"/>
      <c r="BE1341" s="197"/>
      <c r="BF1341" s="197"/>
      <c r="BG1341" s="197"/>
      <c r="BH1341" s="197"/>
      <c r="BI1341" s="198"/>
      <c r="BJ1341" s="197"/>
      <c r="BK1341" s="197"/>
      <c r="BL1341" s="197"/>
      <c r="BM1341" s="197"/>
      <c r="BN1341" s="198"/>
      <c r="BO1341" s="197"/>
      <c r="BP1341" s="197"/>
      <c r="BQ1341" s="197"/>
      <c r="BR1341" s="197"/>
      <c r="BS1341" s="198"/>
      <c r="BT1341" s="727"/>
      <c r="BU1341" s="197"/>
      <c r="BV1341" s="197"/>
      <c r="BW1341" s="197"/>
      <c r="BX1341" s="1094"/>
      <c r="BY1341" s="197"/>
      <c r="BZ1341" s="197"/>
      <c r="CA1341" s="197"/>
      <c r="CB1341" s="197"/>
      <c r="CC1341" s="1094"/>
      <c r="CD1341" s="1094"/>
      <c r="CE1341" s="1094"/>
      <c r="CF1341" s="1094"/>
      <c r="CG1341" s="349"/>
    </row>
    <row r="1342" spans="1:85" s="613" customFormat="1" x14ac:dyDescent="0.3">
      <c r="A1342" s="478" t="s">
        <v>1228</v>
      </c>
      <c r="B1342" s="523"/>
      <c r="C1342" s="78"/>
      <c r="D1342" s="78"/>
      <c r="E1342" s="78"/>
      <c r="F1342" s="78"/>
      <c r="G1342" s="774"/>
      <c r="H1342" s="774"/>
      <c r="I1342" s="774"/>
      <c r="J1342" s="774"/>
      <c r="K1342" s="78"/>
      <c r="L1342" s="774"/>
      <c r="M1342" s="774"/>
      <c r="N1342" s="774"/>
      <c r="O1342" s="774"/>
      <c r="P1342" s="78"/>
      <c r="Q1342" s="774"/>
      <c r="R1342" s="774"/>
      <c r="S1342" s="774"/>
      <c r="T1342" s="774"/>
      <c r="U1342" s="78"/>
      <c r="V1342" s="774"/>
      <c r="W1342" s="774"/>
      <c r="X1342" s="774"/>
      <c r="Y1342" s="774"/>
      <c r="Z1342" s="78"/>
      <c r="AA1342" s="774"/>
      <c r="AB1342" s="774"/>
      <c r="AC1342" s="774"/>
      <c r="AD1342" s="774"/>
      <c r="AE1342" s="78"/>
      <c r="AF1342" s="774"/>
      <c r="AG1342" s="774"/>
      <c r="AH1342" s="774"/>
      <c r="AI1342" s="774"/>
      <c r="AJ1342" s="78"/>
      <c r="AK1342" s="774"/>
      <c r="AL1342" s="774"/>
      <c r="AM1342" s="774"/>
      <c r="AN1342" s="774"/>
      <c r="AO1342" s="78"/>
      <c r="AP1342" s="774"/>
      <c r="AQ1342" s="774"/>
      <c r="AR1342" s="774"/>
      <c r="AS1342" s="774"/>
      <c r="AT1342" s="1119">
        <v>2.7719999999999998</v>
      </c>
      <c r="AU1342" s="774"/>
      <c r="AV1342" s="774"/>
      <c r="AW1342" s="774"/>
      <c r="AX1342" s="774"/>
      <c r="AY1342" s="1119">
        <v>2.7719999999999998</v>
      </c>
      <c r="AZ1342" s="774"/>
      <c r="BA1342" s="774"/>
      <c r="BB1342" s="774"/>
      <c r="BC1342" s="774"/>
      <c r="BD1342" s="1119">
        <v>2.7719999999999998</v>
      </c>
      <c r="BE1342" s="774"/>
      <c r="BF1342" s="774"/>
      <c r="BG1342" s="774"/>
      <c r="BH1342" s="774"/>
      <c r="BI1342" s="1119">
        <v>2.7719999999999998</v>
      </c>
      <c r="BJ1342" s="774"/>
      <c r="BK1342" s="774"/>
      <c r="BL1342" s="774"/>
      <c r="BM1342" s="774"/>
      <c r="BN1342" s="1119">
        <v>2.7719999999999998</v>
      </c>
      <c r="BO1342" s="774"/>
      <c r="BP1342" s="774"/>
      <c r="BQ1342" s="774"/>
      <c r="BR1342" s="774"/>
      <c r="BS1342" s="78"/>
      <c r="BT1342" s="775"/>
      <c r="BU1342" s="774"/>
      <c r="BV1342" s="774"/>
      <c r="BW1342" s="774"/>
      <c r="BX1342" s="78"/>
      <c r="BY1342" s="774"/>
      <c r="BZ1342" s="774"/>
      <c r="CA1342" s="774"/>
      <c r="CB1342" s="774"/>
      <c r="CC1342" s="78"/>
      <c r="CD1342" s="78"/>
      <c r="CE1342" s="78"/>
      <c r="CF1342" s="78"/>
      <c r="CG1342" s="532"/>
    </row>
    <row r="1343" spans="1:85" s="616" customFormat="1" x14ac:dyDescent="0.3">
      <c r="A1343" s="522" t="s">
        <v>1227</v>
      </c>
      <c r="B1343" s="527"/>
      <c r="C1343" s="1124"/>
      <c r="D1343" s="1124"/>
      <c r="E1343" s="1124"/>
      <c r="F1343" s="1124"/>
      <c r="G1343" s="526"/>
      <c r="H1343" s="526"/>
      <c r="I1343" s="526"/>
      <c r="J1343" s="526"/>
      <c r="K1343" s="1124"/>
      <c r="L1343" s="526"/>
      <c r="M1343" s="526"/>
      <c r="N1343" s="526"/>
      <c r="O1343" s="526"/>
      <c r="P1343" s="1124"/>
      <c r="Q1343" s="526"/>
      <c r="R1343" s="526"/>
      <c r="S1343" s="526"/>
      <c r="T1343" s="526"/>
      <c r="U1343" s="1124"/>
      <c r="V1343" s="526"/>
      <c r="W1343" s="526"/>
      <c r="X1343" s="526"/>
      <c r="Y1343" s="526"/>
      <c r="Z1343" s="1124"/>
      <c r="AA1343" s="526"/>
      <c r="AB1343" s="526"/>
      <c r="AC1343" s="526"/>
      <c r="AD1343" s="526"/>
      <c r="AE1343" s="1124"/>
      <c r="AF1343" s="526"/>
      <c r="AG1343" s="526"/>
      <c r="AH1343" s="526"/>
      <c r="AI1343" s="526"/>
      <c r="AJ1343" s="1124"/>
      <c r="AK1343" s="526"/>
      <c r="AL1343" s="526"/>
      <c r="AM1343" s="526"/>
      <c r="AN1343" s="526"/>
      <c r="AO1343" s="1124"/>
      <c r="AP1343" s="526"/>
      <c r="AQ1343" s="526"/>
      <c r="AR1343" s="526"/>
      <c r="AS1343" s="526"/>
      <c r="AT1343" s="1123">
        <v>289.29000000000002</v>
      </c>
      <c r="AU1343" s="526"/>
      <c r="AV1343" s="526"/>
      <c r="AW1343" s="526"/>
      <c r="AX1343" s="526"/>
      <c r="AY1343" s="1123">
        <v>289.29000000000002</v>
      </c>
      <c r="AZ1343" s="526"/>
      <c r="BA1343" s="526"/>
      <c r="BB1343" s="526"/>
      <c r="BC1343" s="526"/>
      <c r="BD1343" s="1123">
        <v>289.29000000000002</v>
      </c>
      <c r="BE1343" s="526"/>
      <c r="BF1343" s="526"/>
      <c r="BG1343" s="526"/>
      <c r="BH1343" s="526"/>
      <c r="BI1343" s="1123">
        <v>289.29000000000002</v>
      </c>
      <c r="BJ1343" s="526"/>
      <c r="BK1343" s="526"/>
      <c r="BL1343" s="526"/>
      <c r="BM1343" s="526"/>
      <c r="BN1343" s="1123">
        <v>289.29000000000002</v>
      </c>
      <c r="BO1343" s="526"/>
      <c r="BP1343" s="526"/>
      <c r="BQ1343" s="526"/>
      <c r="BR1343" s="526"/>
      <c r="BS1343" s="1124"/>
      <c r="BT1343" s="729"/>
      <c r="BU1343" s="526"/>
      <c r="BV1343" s="526"/>
      <c r="BW1343" s="526"/>
      <c r="BX1343" s="1124"/>
      <c r="BY1343" s="526"/>
      <c r="BZ1343" s="526"/>
      <c r="CA1343" s="526"/>
      <c r="CB1343" s="526"/>
      <c r="CC1343" s="1124"/>
      <c r="CD1343" s="1124"/>
      <c r="CE1343" s="1124"/>
      <c r="CF1343" s="1124"/>
      <c r="CG1343" s="533"/>
    </row>
    <row r="1344" spans="1:85" s="614" customFormat="1" x14ac:dyDescent="0.3">
      <c r="A1344" s="522"/>
      <c r="B1344" s="352"/>
      <c r="C1344" s="1094"/>
      <c r="D1344" s="1094"/>
      <c r="E1344" s="1094"/>
      <c r="F1344" s="1094"/>
      <c r="G1344" s="197"/>
      <c r="H1344" s="197"/>
      <c r="I1344" s="197"/>
      <c r="J1344" s="197"/>
      <c r="K1344" s="1094"/>
      <c r="L1344" s="197"/>
      <c r="M1344" s="197"/>
      <c r="N1344" s="197"/>
      <c r="O1344" s="197"/>
      <c r="P1344" s="1094"/>
      <c r="Q1344" s="197"/>
      <c r="R1344" s="197"/>
      <c r="S1344" s="197"/>
      <c r="T1344" s="197"/>
      <c r="U1344" s="1094"/>
      <c r="V1344" s="197"/>
      <c r="W1344" s="197"/>
      <c r="X1344" s="197"/>
      <c r="Y1344" s="197"/>
      <c r="Z1344" s="1094"/>
      <c r="AA1344" s="197"/>
      <c r="AB1344" s="197"/>
      <c r="AC1344" s="197"/>
      <c r="AD1344" s="197"/>
      <c r="AE1344" s="1094"/>
      <c r="AF1344" s="197"/>
      <c r="AG1344" s="197"/>
      <c r="AH1344" s="197"/>
      <c r="AI1344" s="197"/>
      <c r="AJ1344" s="1094"/>
      <c r="AK1344" s="197"/>
      <c r="AL1344" s="197"/>
      <c r="AM1344" s="197"/>
      <c r="AN1344" s="197"/>
      <c r="AO1344" s="1094"/>
      <c r="AP1344" s="197"/>
      <c r="AQ1344" s="197"/>
      <c r="AR1344" s="197"/>
      <c r="AS1344" s="197"/>
      <c r="AT1344" s="198"/>
      <c r="AU1344" s="197"/>
      <c r="AV1344" s="197"/>
      <c r="AW1344" s="197"/>
      <c r="AX1344" s="197"/>
      <c r="AY1344" s="198"/>
      <c r="AZ1344" s="197"/>
      <c r="BA1344" s="197"/>
      <c r="BB1344" s="197"/>
      <c r="BC1344" s="197"/>
      <c r="BD1344" s="198"/>
      <c r="BE1344" s="197"/>
      <c r="BF1344" s="197"/>
      <c r="BG1344" s="197"/>
      <c r="BH1344" s="197"/>
      <c r="BI1344" s="198"/>
      <c r="BJ1344" s="197"/>
      <c r="BK1344" s="197"/>
      <c r="BL1344" s="197"/>
      <c r="BM1344" s="197"/>
      <c r="BN1344" s="198"/>
      <c r="BO1344" s="197"/>
      <c r="BP1344" s="197"/>
      <c r="BQ1344" s="197"/>
      <c r="BR1344" s="197"/>
      <c r="BS1344" s="198"/>
      <c r="BT1344" s="727"/>
      <c r="BU1344" s="197"/>
      <c r="BV1344" s="197"/>
      <c r="BW1344" s="197"/>
      <c r="BX1344" s="1094"/>
      <c r="BY1344" s="197"/>
      <c r="BZ1344" s="197"/>
      <c r="CA1344" s="197"/>
      <c r="CB1344" s="197"/>
      <c r="CC1344" s="1094"/>
      <c r="CD1344" s="1094"/>
      <c r="CE1344" s="1094"/>
      <c r="CF1344" s="1094"/>
      <c r="CG1344" s="349"/>
    </row>
    <row r="1345" spans="1:85" s="613" customFormat="1" x14ac:dyDescent="0.3">
      <c r="A1345" s="478" t="s">
        <v>1226</v>
      </c>
      <c r="B1345" s="523"/>
      <c r="C1345" s="78"/>
      <c r="D1345" s="78"/>
      <c r="E1345" s="78"/>
      <c r="F1345" s="78"/>
      <c r="G1345" s="774"/>
      <c r="H1345" s="774"/>
      <c r="I1345" s="774"/>
      <c r="J1345" s="774"/>
      <c r="K1345" s="78"/>
      <c r="L1345" s="774"/>
      <c r="M1345" s="774"/>
      <c r="N1345" s="774"/>
      <c r="O1345" s="774"/>
      <c r="P1345" s="78"/>
      <c r="Q1345" s="774"/>
      <c r="R1345" s="774"/>
      <c r="S1345" s="774"/>
      <c r="T1345" s="774"/>
      <c r="U1345" s="78"/>
      <c r="V1345" s="774"/>
      <c r="W1345" s="774"/>
      <c r="X1345" s="774"/>
      <c r="Y1345" s="774"/>
      <c r="Z1345" s="78"/>
      <c r="AA1345" s="774"/>
      <c r="AB1345" s="774"/>
      <c r="AC1345" s="774"/>
      <c r="AD1345" s="774"/>
      <c r="AE1345" s="78"/>
      <c r="AF1345" s="774"/>
      <c r="AG1345" s="774"/>
      <c r="AH1345" s="774"/>
      <c r="AI1345" s="774"/>
      <c r="AJ1345" s="78"/>
      <c r="AK1345" s="774"/>
      <c r="AL1345" s="774"/>
      <c r="AM1345" s="774"/>
      <c r="AN1345" s="774"/>
      <c r="AO1345" s="78"/>
      <c r="AP1345" s="774"/>
      <c r="AQ1345" s="774"/>
      <c r="AR1345" s="774"/>
      <c r="AS1345" s="774"/>
      <c r="AT1345" s="1119">
        <v>2.976</v>
      </c>
      <c r="AU1345" s="774"/>
      <c r="AV1345" s="774"/>
      <c r="AW1345" s="774"/>
      <c r="AX1345" s="774"/>
      <c r="AY1345" s="1119">
        <v>2.976</v>
      </c>
      <c r="AZ1345" s="774"/>
      <c r="BA1345" s="774"/>
      <c r="BB1345" s="774"/>
      <c r="BC1345" s="774"/>
      <c r="BD1345" s="1119">
        <v>2.976</v>
      </c>
      <c r="BE1345" s="774"/>
      <c r="BF1345" s="774"/>
      <c r="BG1345" s="774"/>
      <c r="BH1345" s="774"/>
      <c r="BI1345" s="1119">
        <v>2.976</v>
      </c>
      <c r="BJ1345" s="774"/>
      <c r="BK1345" s="774"/>
      <c r="BL1345" s="774"/>
      <c r="BM1345" s="774"/>
      <c r="BN1345" s="1119">
        <v>2.976</v>
      </c>
      <c r="BO1345" s="774"/>
      <c r="BP1345" s="774"/>
      <c r="BQ1345" s="774"/>
      <c r="BR1345" s="774"/>
      <c r="BS1345" s="78"/>
      <c r="BT1345" s="775"/>
      <c r="BU1345" s="774"/>
      <c r="BV1345" s="774"/>
      <c r="BW1345" s="774"/>
      <c r="BX1345" s="78"/>
      <c r="BY1345" s="774"/>
      <c r="BZ1345" s="774"/>
      <c r="CA1345" s="774"/>
      <c r="CB1345" s="774"/>
      <c r="CC1345" s="78"/>
      <c r="CD1345" s="78"/>
      <c r="CE1345" s="78"/>
      <c r="CF1345" s="78"/>
      <c r="CG1345" s="532"/>
    </row>
    <row r="1346" spans="1:85" s="616" customFormat="1" x14ac:dyDescent="0.3">
      <c r="A1346" s="522" t="s">
        <v>1225</v>
      </c>
      <c r="B1346" s="527"/>
      <c r="C1346" s="1124"/>
      <c r="D1346" s="1124"/>
      <c r="E1346" s="1124"/>
      <c r="F1346" s="1124"/>
      <c r="G1346" s="526"/>
      <c r="H1346" s="526"/>
      <c r="I1346" s="526"/>
      <c r="J1346" s="526"/>
      <c r="K1346" s="1124"/>
      <c r="L1346" s="526"/>
      <c r="M1346" s="526"/>
      <c r="N1346" s="526"/>
      <c r="O1346" s="526"/>
      <c r="P1346" s="1124"/>
      <c r="Q1346" s="526"/>
      <c r="R1346" s="526"/>
      <c r="S1346" s="526"/>
      <c r="T1346" s="526"/>
      <c r="U1346" s="1124"/>
      <c r="V1346" s="526"/>
      <c r="W1346" s="526"/>
      <c r="X1346" s="526"/>
      <c r="Y1346" s="526"/>
      <c r="Z1346" s="1124"/>
      <c r="AA1346" s="526"/>
      <c r="AB1346" s="526"/>
      <c r="AC1346" s="526"/>
      <c r="AD1346" s="526"/>
      <c r="AE1346" s="1124"/>
      <c r="AF1346" s="526"/>
      <c r="AG1346" s="526"/>
      <c r="AH1346" s="526"/>
      <c r="AI1346" s="526"/>
      <c r="AJ1346" s="1124"/>
      <c r="AK1346" s="526"/>
      <c r="AL1346" s="526"/>
      <c r="AM1346" s="526"/>
      <c r="AN1346" s="526"/>
      <c r="AO1346" s="1124"/>
      <c r="AP1346" s="526"/>
      <c r="AQ1346" s="526"/>
      <c r="AR1346" s="526"/>
      <c r="AS1346" s="526"/>
      <c r="AT1346" s="1123">
        <v>269.58</v>
      </c>
      <c r="AU1346" s="526"/>
      <c r="AV1346" s="526"/>
      <c r="AW1346" s="526"/>
      <c r="AX1346" s="526"/>
      <c r="AY1346" s="1123">
        <v>269.58</v>
      </c>
      <c r="AZ1346" s="526"/>
      <c r="BA1346" s="526"/>
      <c r="BB1346" s="526"/>
      <c r="BC1346" s="526"/>
      <c r="BD1346" s="1123">
        <v>269.58</v>
      </c>
      <c r="BE1346" s="526"/>
      <c r="BF1346" s="526"/>
      <c r="BG1346" s="526"/>
      <c r="BH1346" s="526"/>
      <c r="BI1346" s="1123">
        <v>269.58</v>
      </c>
      <c r="BJ1346" s="526"/>
      <c r="BK1346" s="526"/>
      <c r="BL1346" s="526"/>
      <c r="BM1346" s="526"/>
      <c r="BN1346" s="1123">
        <v>269.58</v>
      </c>
      <c r="BO1346" s="526"/>
      <c r="BP1346" s="526"/>
      <c r="BQ1346" s="526"/>
      <c r="BR1346" s="526"/>
      <c r="BS1346" s="1124"/>
      <c r="BT1346" s="729"/>
      <c r="BU1346" s="526"/>
      <c r="BV1346" s="526"/>
      <c r="BW1346" s="526"/>
      <c r="BX1346" s="1124"/>
      <c r="BY1346" s="526"/>
      <c r="BZ1346" s="526"/>
      <c r="CA1346" s="526"/>
      <c r="CB1346" s="526"/>
      <c r="CC1346" s="1124"/>
      <c r="CD1346" s="1124"/>
      <c r="CE1346" s="1124"/>
      <c r="CF1346" s="1124"/>
      <c r="CG1346" s="533"/>
    </row>
    <row r="1347" spans="1:85" s="614" customFormat="1" x14ac:dyDescent="0.3">
      <c r="A1347" s="522"/>
      <c r="B1347" s="352"/>
      <c r="C1347" s="1094"/>
      <c r="D1347" s="1094"/>
      <c r="E1347" s="1094"/>
      <c r="F1347" s="1094"/>
      <c r="G1347" s="197"/>
      <c r="H1347" s="197"/>
      <c r="I1347" s="197"/>
      <c r="J1347" s="197"/>
      <c r="K1347" s="1094"/>
      <c r="L1347" s="197"/>
      <c r="M1347" s="197"/>
      <c r="N1347" s="197"/>
      <c r="O1347" s="197"/>
      <c r="P1347" s="1094"/>
      <c r="Q1347" s="197"/>
      <c r="R1347" s="197"/>
      <c r="S1347" s="197"/>
      <c r="T1347" s="197"/>
      <c r="U1347" s="1094"/>
      <c r="V1347" s="197"/>
      <c r="W1347" s="197"/>
      <c r="X1347" s="197"/>
      <c r="Y1347" s="197"/>
      <c r="Z1347" s="1094"/>
      <c r="AA1347" s="197"/>
      <c r="AB1347" s="197"/>
      <c r="AC1347" s="197"/>
      <c r="AD1347" s="197"/>
      <c r="AE1347" s="1094"/>
      <c r="AF1347" s="197"/>
      <c r="AG1347" s="197"/>
      <c r="AH1347" s="197"/>
      <c r="AI1347" s="197"/>
      <c r="AJ1347" s="1094"/>
      <c r="AK1347" s="197"/>
      <c r="AL1347" s="197"/>
      <c r="AM1347" s="197"/>
      <c r="AN1347" s="197"/>
      <c r="AO1347" s="1094"/>
      <c r="AP1347" s="197"/>
      <c r="AQ1347" s="197"/>
      <c r="AR1347" s="197"/>
      <c r="AS1347" s="197"/>
      <c r="AT1347" s="198"/>
      <c r="AU1347" s="197"/>
      <c r="AV1347" s="197"/>
      <c r="AW1347" s="197"/>
      <c r="AX1347" s="197"/>
      <c r="AY1347" s="198"/>
      <c r="AZ1347" s="197"/>
      <c r="BA1347" s="197"/>
      <c r="BB1347" s="197"/>
      <c r="BC1347" s="197"/>
      <c r="BD1347" s="198"/>
      <c r="BE1347" s="197"/>
      <c r="BF1347" s="197"/>
      <c r="BG1347" s="197"/>
      <c r="BH1347" s="197"/>
      <c r="BI1347" s="198"/>
      <c r="BJ1347" s="197"/>
      <c r="BK1347" s="197"/>
      <c r="BL1347" s="197"/>
      <c r="BM1347" s="197"/>
      <c r="BN1347" s="198"/>
      <c r="BO1347" s="197"/>
      <c r="BP1347" s="197"/>
      <c r="BQ1347" s="197"/>
      <c r="BR1347" s="197"/>
      <c r="BS1347" s="198"/>
      <c r="BT1347" s="727"/>
      <c r="BU1347" s="197"/>
      <c r="BV1347" s="197"/>
      <c r="BW1347" s="197"/>
      <c r="BX1347" s="1094"/>
      <c r="BY1347" s="197"/>
      <c r="BZ1347" s="197"/>
      <c r="CA1347" s="197"/>
      <c r="CB1347" s="197"/>
      <c r="CC1347" s="1094"/>
      <c r="CD1347" s="1094"/>
      <c r="CE1347" s="1094"/>
      <c r="CF1347" s="1094"/>
      <c r="CG1347" s="349"/>
    </row>
    <row r="1348" spans="1:85" s="613" customFormat="1" x14ac:dyDescent="0.3">
      <c r="A1348" s="478" t="s">
        <v>1224</v>
      </c>
      <c r="B1348" s="523"/>
      <c r="C1348" s="78"/>
      <c r="D1348" s="78"/>
      <c r="E1348" s="78"/>
      <c r="F1348" s="78"/>
      <c r="G1348" s="774"/>
      <c r="H1348" s="774"/>
      <c r="I1348" s="774"/>
      <c r="J1348" s="774"/>
      <c r="K1348" s="78"/>
      <c r="L1348" s="774"/>
      <c r="M1348" s="774"/>
      <c r="N1348" s="774"/>
      <c r="O1348" s="774"/>
      <c r="P1348" s="78"/>
      <c r="Q1348" s="774"/>
      <c r="R1348" s="774"/>
      <c r="S1348" s="774"/>
      <c r="T1348" s="774"/>
      <c r="U1348" s="78"/>
      <c r="V1348" s="774"/>
      <c r="W1348" s="774"/>
      <c r="X1348" s="774"/>
      <c r="Y1348" s="774"/>
      <c r="Z1348" s="78"/>
      <c r="AA1348" s="774"/>
      <c r="AB1348" s="774"/>
      <c r="AC1348" s="774"/>
      <c r="AD1348" s="774"/>
      <c r="AE1348" s="78"/>
      <c r="AF1348" s="774"/>
      <c r="AG1348" s="774"/>
      <c r="AH1348" s="774"/>
      <c r="AI1348" s="774"/>
      <c r="AJ1348" s="78"/>
      <c r="AK1348" s="774"/>
      <c r="AL1348" s="774"/>
      <c r="AM1348" s="774"/>
      <c r="AN1348" s="774"/>
      <c r="AO1348" s="78"/>
      <c r="AP1348" s="774"/>
      <c r="AQ1348" s="774"/>
      <c r="AR1348" s="774"/>
      <c r="AS1348" s="774"/>
      <c r="AT1348" s="1119">
        <v>2.7959999999999998</v>
      </c>
      <c r="AU1348" s="774"/>
      <c r="AV1348" s="774"/>
      <c r="AW1348" s="774"/>
      <c r="AX1348" s="774"/>
      <c r="AY1348" s="1119">
        <v>2.7959999999999998</v>
      </c>
      <c r="AZ1348" s="774"/>
      <c r="BA1348" s="774"/>
      <c r="BB1348" s="774"/>
      <c r="BC1348" s="774"/>
      <c r="BD1348" s="1119">
        <v>2.7959999999999998</v>
      </c>
      <c r="BE1348" s="774"/>
      <c r="BF1348" s="774"/>
      <c r="BG1348" s="774"/>
      <c r="BH1348" s="774"/>
      <c r="BI1348" s="1119">
        <v>2.7959999999999998</v>
      </c>
      <c r="BJ1348" s="774"/>
      <c r="BK1348" s="774"/>
      <c r="BL1348" s="774"/>
      <c r="BM1348" s="774"/>
      <c r="BN1348" s="1119">
        <v>2.7959999999999998</v>
      </c>
      <c r="BO1348" s="774"/>
      <c r="BP1348" s="774"/>
      <c r="BQ1348" s="774"/>
      <c r="BR1348" s="774"/>
      <c r="BS1348" s="78"/>
      <c r="BT1348" s="775"/>
      <c r="BU1348" s="774"/>
      <c r="BV1348" s="774"/>
      <c r="BW1348" s="774"/>
      <c r="BX1348" s="78"/>
      <c r="BY1348" s="774"/>
      <c r="BZ1348" s="774"/>
      <c r="CA1348" s="774"/>
      <c r="CB1348" s="774"/>
      <c r="CC1348" s="78"/>
      <c r="CD1348" s="78"/>
      <c r="CE1348" s="78"/>
      <c r="CF1348" s="78"/>
      <c r="CG1348" s="532"/>
    </row>
    <row r="1349" spans="1:85" s="616" customFormat="1" x14ac:dyDescent="0.3">
      <c r="A1349" s="522" t="s">
        <v>1223</v>
      </c>
      <c r="B1349" s="527"/>
      <c r="C1349" s="1124"/>
      <c r="D1349" s="1124"/>
      <c r="E1349" s="1124"/>
      <c r="F1349" s="1124"/>
      <c r="G1349" s="526"/>
      <c r="H1349" s="526"/>
      <c r="I1349" s="526"/>
      <c r="J1349" s="526"/>
      <c r="K1349" s="1124"/>
      <c r="L1349" s="526"/>
      <c r="M1349" s="526"/>
      <c r="N1349" s="526"/>
      <c r="O1349" s="526"/>
      <c r="P1349" s="1124"/>
      <c r="Q1349" s="526"/>
      <c r="R1349" s="526"/>
      <c r="S1349" s="526"/>
      <c r="T1349" s="526"/>
      <c r="U1349" s="1124"/>
      <c r="V1349" s="526"/>
      <c r="W1349" s="526"/>
      <c r="X1349" s="526"/>
      <c r="Y1349" s="526"/>
      <c r="Z1349" s="1124"/>
      <c r="AA1349" s="526"/>
      <c r="AB1349" s="526"/>
      <c r="AC1349" s="526"/>
      <c r="AD1349" s="526"/>
      <c r="AE1349" s="1124"/>
      <c r="AF1349" s="526"/>
      <c r="AG1349" s="526"/>
      <c r="AH1349" s="526"/>
      <c r="AI1349" s="526"/>
      <c r="AJ1349" s="1124"/>
      <c r="AK1349" s="526"/>
      <c r="AL1349" s="526"/>
      <c r="AM1349" s="526"/>
      <c r="AN1349" s="526"/>
      <c r="AO1349" s="1124"/>
      <c r="AP1349" s="526"/>
      <c r="AQ1349" s="526"/>
      <c r="AR1349" s="526"/>
      <c r="AS1349" s="526"/>
      <c r="AT1349" s="1123">
        <v>286.81</v>
      </c>
      <c r="AU1349" s="526"/>
      <c r="AV1349" s="526"/>
      <c r="AW1349" s="526"/>
      <c r="AX1349" s="526"/>
      <c r="AY1349" s="1123">
        <v>286.81</v>
      </c>
      <c r="AZ1349" s="526"/>
      <c r="BA1349" s="526"/>
      <c r="BB1349" s="526"/>
      <c r="BC1349" s="526"/>
      <c r="BD1349" s="1123">
        <v>286.81</v>
      </c>
      <c r="BE1349" s="526"/>
      <c r="BF1349" s="526"/>
      <c r="BG1349" s="526"/>
      <c r="BH1349" s="526"/>
      <c r="BI1349" s="1123">
        <v>286.81</v>
      </c>
      <c r="BJ1349" s="526"/>
      <c r="BK1349" s="526"/>
      <c r="BL1349" s="526"/>
      <c r="BM1349" s="526"/>
      <c r="BN1349" s="1123">
        <v>286.81</v>
      </c>
      <c r="BO1349" s="526"/>
      <c r="BP1349" s="526"/>
      <c r="BQ1349" s="526"/>
      <c r="BR1349" s="526"/>
      <c r="BS1349" s="1124"/>
      <c r="BT1349" s="729"/>
      <c r="BU1349" s="526"/>
      <c r="BV1349" s="526"/>
      <c r="BW1349" s="526"/>
      <c r="BX1349" s="1124"/>
      <c r="BY1349" s="526"/>
      <c r="BZ1349" s="526"/>
      <c r="CA1349" s="526"/>
      <c r="CB1349" s="526"/>
      <c r="CC1349" s="1124"/>
      <c r="CD1349" s="1124"/>
      <c r="CE1349" s="1124"/>
      <c r="CF1349" s="1124"/>
      <c r="CG1349" s="533"/>
    </row>
    <row r="1350" spans="1:85" s="614" customFormat="1" x14ac:dyDescent="0.3">
      <c r="A1350" s="522"/>
      <c r="B1350" s="352"/>
      <c r="C1350" s="1094"/>
      <c r="D1350" s="1094"/>
      <c r="E1350" s="1094"/>
      <c r="F1350" s="1094"/>
      <c r="G1350" s="197"/>
      <c r="H1350" s="197"/>
      <c r="I1350" s="197"/>
      <c r="J1350" s="197"/>
      <c r="K1350" s="1094"/>
      <c r="L1350" s="197"/>
      <c r="M1350" s="197"/>
      <c r="N1350" s="197"/>
      <c r="O1350" s="197"/>
      <c r="P1350" s="1094"/>
      <c r="Q1350" s="197"/>
      <c r="R1350" s="197"/>
      <c r="S1350" s="197"/>
      <c r="T1350" s="197"/>
      <c r="U1350" s="1094"/>
      <c r="V1350" s="197"/>
      <c r="W1350" s="197"/>
      <c r="X1350" s="197"/>
      <c r="Y1350" s="197"/>
      <c r="Z1350" s="1094"/>
      <c r="AA1350" s="197"/>
      <c r="AB1350" s="197"/>
      <c r="AC1350" s="197"/>
      <c r="AD1350" s="197"/>
      <c r="AE1350" s="1094"/>
      <c r="AF1350" s="197"/>
      <c r="AG1350" s="197"/>
      <c r="AH1350" s="197"/>
      <c r="AI1350" s="197"/>
      <c r="AJ1350" s="1094"/>
      <c r="AK1350" s="197"/>
      <c r="AL1350" s="197"/>
      <c r="AM1350" s="197"/>
      <c r="AN1350" s="197"/>
      <c r="AO1350" s="1094"/>
      <c r="AP1350" s="197"/>
      <c r="AQ1350" s="197"/>
      <c r="AR1350" s="197"/>
      <c r="AS1350" s="197"/>
      <c r="AT1350" s="198"/>
      <c r="AU1350" s="197"/>
      <c r="AV1350" s="197"/>
      <c r="AW1350" s="197"/>
      <c r="AX1350" s="197"/>
      <c r="AY1350" s="198"/>
      <c r="AZ1350" s="197"/>
      <c r="BA1350" s="197"/>
      <c r="BB1350" s="197"/>
      <c r="BC1350" s="197"/>
      <c r="BD1350" s="198"/>
      <c r="BE1350" s="197"/>
      <c r="BF1350" s="197"/>
      <c r="BG1350" s="197"/>
      <c r="BH1350" s="197"/>
      <c r="BI1350" s="198"/>
      <c r="BJ1350" s="197"/>
      <c r="BK1350" s="197"/>
      <c r="BL1350" s="197"/>
      <c r="BM1350" s="197"/>
      <c r="BN1350" s="198"/>
      <c r="BO1350" s="197"/>
      <c r="BP1350" s="197"/>
      <c r="BQ1350" s="197"/>
      <c r="BR1350" s="197"/>
      <c r="BS1350" s="198"/>
      <c r="BT1350" s="727"/>
      <c r="BU1350" s="197"/>
      <c r="BV1350" s="197"/>
      <c r="BW1350" s="197"/>
      <c r="BX1350" s="1094"/>
      <c r="BY1350" s="197"/>
      <c r="BZ1350" s="197"/>
      <c r="CA1350" s="197"/>
      <c r="CB1350" s="197"/>
      <c r="CC1350" s="1094"/>
      <c r="CD1350" s="1094"/>
      <c r="CE1350" s="1094"/>
      <c r="CF1350" s="1094"/>
      <c r="CG1350" s="349"/>
    </row>
    <row r="1351" spans="1:85" s="613" customFormat="1" x14ac:dyDescent="0.3">
      <c r="A1351" s="478" t="s">
        <v>1222</v>
      </c>
      <c r="B1351" s="523"/>
      <c r="C1351" s="78"/>
      <c r="D1351" s="78"/>
      <c r="E1351" s="78"/>
      <c r="F1351" s="78"/>
      <c r="G1351" s="774"/>
      <c r="H1351" s="774"/>
      <c r="I1351" s="774"/>
      <c r="J1351" s="774"/>
      <c r="K1351" s="78"/>
      <c r="L1351" s="774"/>
      <c r="M1351" s="774"/>
      <c r="N1351" s="774"/>
      <c r="O1351" s="774"/>
      <c r="P1351" s="78"/>
      <c r="Q1351" s="774"/>
      <c r="R1351" s="774"/>
      <c r="S1351" s="774"/>
      <c r="T1351" s="774"/>
      <c r="U1351" s="78"/>
      <c r="V1351" s="774"/>
      <c r="W1351" s="774"/>
      <c r="X1351" s="774"/>
      <c r="Y1351" s="774"/>
      <c r="Z1351" s="78"/>
      <c r="AA1351" s="774"/>
      <c r="AB1351" s="774"/>
      <c r="AC1351" s="774"/>
      <c r="AD1351" s="774"/>
      <c r="AE1351" s="78"/>
      <c r="AF1351" s="774"/>
      <c r="AG1351" s="774"/>
      <c r="AH1351" s="774"/>
      <c r="AI1351" s="774"/>
      <c r="AJ1351" s="78"/>
      <c r="AK1351" s="774"/>
      <c r="AL1351" s="774"/>
      <c r="AM1351" s="774"/>
      <c r="AN1351" s="774"/>
      <c r="AO1351" s="78"/>
      <c r="AP1351" s="774"/>
      <c r="AQ1351" s="774"/>
      <c r="AR1351" s="774"/>
      <c r="AS1351" s="774"/>
      <c r="AT1351" s="1119">
        <v>2.5870000000000002</v>
      </c>
      <c r="AU1351" s="774"/>
      <c r="AV1351" s="774"/>
      <c r="AW1351" s="774"/>
      <c r="AX1351" s="774"/>
      <c r="AY1351" s="1119">
        <v>2.5870000000000002</v>
      </c>
      <c r="AZ1351" s="774"/>
      <c r="BA1351" s="774"/>
      <c r="BB1351" s="774"/>
      <c r="BC1351" s="774"/>
      <c r="BD1351" s="1119">
        <v>2.5870000000000002</v>
      </c>
      <c r="BE1351" s="774"/>
      <c r="BF1351" s="774"/>
      <c r="BG1351" s="774"/>
      <c r="BH1351" s="774"/>
      <c r="BI1351" s="1119">
        <v>2.5870000000000002</v>
      </c>
      <c r="BJ1351" s="774"/>
      <c r="BK1351" s="774"/>
      <c r="BL1351" s="774"/>
      <c r="BM1351" s="774"/>
      <c r="BN1351" s="1119">
        <v>2.5870000000000002</v>
      </c>
      <c r="BO1351" s="774"/>
      <c r="BP1351" s="774"/>
      <c r="BQ1351" s="774"/>
      <c r="BR1351" s="774"/>
      <c r="BS1351" s="78"/>
      <c r="BT1351" s="775"/>
      <c r="BU1351" s="774"/>
      <c r="BV1351" s="774"/>
      <c r="BW1351" s="774"/>
      <c r="BX1351" s="78"/>
      <c r="BY1351" s="774"/>
      <c r="BZ1351" s="774"/>
      <c r="CA1351" s="774"/>
      <c r="CB1351" s="774"/>
      <c r="CC1351" s="78"/>
      <c r="CD1351" s="78"/>
      <c r="CE1351" s="78"/>
      <c r="CF1351" s="78"/>
      <c r="CG1351" s="532"/>
    </row>
    <row r="1352" spans="1:85" s="616" customFormat="1" x14ac:dyDescent="0.3">
      <c r="A1352" s="522" t="s">
        <v>1221</v>
      </c>
      <c r="B1352" s="527"/>
      <c r="C1352" s="1124"/>
      <c r="D1352" s="1124"/>
      <c r="E1352" s="1124"/>
      <c r="F1352" s="1124"/>
      <c r="G1352" s="526"/>
      <c r="H1352" s="526"/>
      <c r="I1352" s="526"/>
      <c r="J1352" s="526"/>
      <c r="K1352" s="1124"/>
      <c r="L1352" s="526"/>
      <c r="M1352" s="526"/>
      <c r="N1352" s="526"/>
      <c r="O1352" s="526"/>
      <c r="P1352" s="1124"/>
      <c r="Q1352" s="526"/>
      <c r="R1352" s="526"/>
      <c r="S1352" s="526"/>
      <c r="T1352" s="526"/>
      <c r="U1352" s="1124"/>
      <c r="V1352" s="526"/>
      <c r="W1352" s="526"/>
      <c r="X1352" s="526"/>
      <c r="Y1352" s="526"/>
      <c r="Z1352" s="1124"/>
      <c r="AA1352" s="526"/>
      <c r="AB1352" s="526"/>
      <c r="AC1352" s="526"/>
      <c r="AD1352" s="526"/>
      <c r="AE1352" s="1124"/>
      <c r="AF1352" s="526"/>
      <c r="AG1352" s="526"/>
      <c r="AH1352" s="526"/>
      <c r="AI1352" s="526"/>
      <c r="AJ1352" s="1124"/>
      <c r="AK1352" s="526"/>
      <c r="AL1352" s="526"/>
      <c r="AM1352" s="526"/>
      <c r="AN1352" s="526"/>
      <c r="AO1352" s="1124"/>
      <c r="AP1352" s="526"/>
      <c r="AQ1352" s="526"/>
      <c r="AR1352" s="526"/>
      <c r="AS1352" s="526"/>
      <c r="AT1352" s="1123">
        <v>309.99</v>
      </c>
      <c r="AU1352" s="526"/>
      <c r="AV1352" s="526"/>
      <c r="AW1352" s="526"/>
      <c r="AX1352" s="526"/>
      <c r="AY1352" s="1123">
        <v>309.99</v>
      </c>
      <c r="AZ1352" s="526"/>
      <c r="BA1352" s="526"/>
      <c r="BB1352" s="526"/>
      <c r="BC1352" s="526"/>
      <c r="BD1352" s="1123">
        <v>309.99</v>
      </c>
      <c r="BE1352" s="526"/>
      <c r="BF1352" s="526"/>
      <c r="BG1352" s="526"/>
      <c r="BH1352" s="526"/>
      <c r="BI1352" s="1123">
        <v>309.99</v>
      </c>
      <c r="BJ1352" s="526"/>
      <c r="BK1352" s="526"/>
      <c r="BL1352" s="526"/>
      <c r="BM1352" s="526"/>
      <c r="BN1352" s="1123">
        <v>309.99</v>
      </c>
      <c r="BO1352" s="526"/>
      <c r="BP1352" s="526"/>
      <c r="BQ1352" s="526"/>
      <c r="BR1352" s="526"/>
      <c r="BS1352" s="1124"/>
      <c r="BT1352" s="729"/>
      <c r="BU1352" s="526"/>
      <c r="BV1352" s="526"/>
      <c r="BW1352" s="526"/>
      <c r="BX1352" s="1124"/>
      <c r="BY1352" s="526"/>
      <c r="BZ1352" s="526"/>
      <c r="CA1352" s="526"/>
      <c r="CB1352" s="526"/>
      <c r="CC1352" s="1124"/>
      <c r="CD1352" s="1124"/>
      <c r="CE1352" s="1124"/>
      <c r="CF1352" s="1124"/>
      <c r="CG1352" s="533"/>
    </row>
    <row r="1353" spans="1:85" s="614" customFormat="1" x14ac:dyDescent="0.3">
      <c r="A1353" s="116"/>
      <c r="B1353" s="352"/>
      <c r="C1353" s="1094"/>
      <c r="D1353" s="1094"/>
      <c r="E1353" s="1094"/>
      <c r="F1353" s="1094"/>
      <c r="G1353" s="197"/>
      <c r="H1353" s="197"/>
      <c r="I1353" s="197"/>
      <c r="J1353" s="197"/>
      <c r="K1353" s="1094"/>
      <c r="L1353" s="197"/>
      <c r="M1353" s="197"/>
      <c r="N1353" s="197"/>
      <c r="O1353" s="197"/>
      <c r="P1353" s="1094"/>
      <c r="Q1353" s="197"/>
      <c r="R1353" s="197"/>
      <c r="S1353" s="197"/>
      <c r="T1353" s="197"/>
      <c r="U1353" s="1094"/>
      <c r="V1353" s="197"/>
      <c r="W1353" s="197"/>
      <c r="X1353" s="197"/>
      <c r="Y1353" s="197"/>
      <c r="Z1353" s="1094"/>
      <c r="AA1353" s="197"/>
      <c r="AB1353" s="197"/>
      <c r="AC1353" s="197"/>
      <c r="AD1353" s="197"/>
      <c r="AE1353" s="1094"/>
      <c r="AF1353" s="197"/>
      <c r="AG1353" s="197"/>
      <c r="AH1353" s="197"/>
      <c r="AI1353" s="197"/>
      <c r="AJ1353" s="1094"/>
      <c r="AK1353" s="197"/>
      <c r="AL1353" s="197"/>
      <c r="AM1353" s="197"/>
      <c r="AN1353" s="197"/>
      <c r="AO1353" s="1094"/>
      <c r="AP1353" s="197"/>
      <c r="AQ1353" s="197"/>
      <c r="AR1353" s="197"/>
      <c r="AS1353" s="197"/>
      <c r="AT1353" s="198"/>
      <c r="AU1353" s="197"/>
      <c r="AV1353" s="197"/>
      <c r="AW1353" s="197"/>
      <c r="AX1353" s="197"/>
      <c r="AY1353" s="198"/>
      <c r="AZ1353" s="197"/>
      <c r="BA1353" s="197"/>
      <c r="BB1353" s="197"/>
      <c r="BC1353" s="197"/>
      <c r="BD1353" s="198"/>
      <c r="BE1353" s="197"/>
      <c r="BF1353" s="197"/>
      <c r="BG1353" s="197"/>
      <c r="BH1353" s="197"/>
      <c r="BI1353" s="198"/>
      <c r="BJ1353" s="197"/>
      <c r="BK1353" s="197"/>
      <c r="BL1353" s="197"/>
      <c r="BM1353" s="197"/>
      <c r="BN1353" s="198"/>
      <c r="BO1353" s="197"/>
      <c r="BP1353" s="197"/>
      <c r="BQ1353" s="197"/>
      <c r="BR1353" s="197"/>
      <c r="BS1353" s="198"/>
      <c r="BT1353" s="727"/>
      <c r="BU1353" s="197"/>
      <c r="BV1353" s="197"/>
      <c r="BW1353" s="197"/>
      <c r="BX1353" s="1094"/>
      <c r="BY1353" s="197"/>
      <c r="BZ1353" s="197"/>
      <c r="CA1353" s="197"/>
      <c r="CB1353" s="197"/>
      <c r="CC1353" s="1094"/>
      <c r="CD1353" s="1094"/>
      <c r="CE1353" s="1094"/>
      <c r="CF1353" s="1094"/>
      <c r="CG1353" s="349"/>
    </row>
    <row r="1354" spans="1:85" s="613" customFormat="1" x14ac:dyDescent="0.3">
      <c r="A1354" s="478" t="s">
        <v>1220</v>
      </c>
      <c r="B1354" s="523"/>
      <c r="C1354" s="78"/>
      <c r="D1354" s="78"/>
      <c r="E1354" s="78"/>
      <c r="F1354" s="78"/>
      <c r="G1354" s="774"/>
      <c r="H1354" s="774"/>
      <c r="I1354" s="774"/>
      <c r="J1354" s="774"/>
      <c r="K1354" s="78"/>
      <c r="L1354" s="774"/>
      <c r="M1354" s="774"/>
      <c r="N1354" s="774"/>
      <c r="O1354" s="774"/>
      <c r="P1354" s="78"/>
      <c r="Q1354" s="774"/>
      <c r="R1354" s="774"/>
      <c r="S1354" s="774"/>
      <c r="T1354" s="774"/>
      <c r="U1354" s="78"/>
      <c r="V1354" s="774"/>
      <c r="W1354" s="774"/>
      <c r="X1354" s="774"/>
      <c r="Y1354" s="774"/>
      <c r="Z1354" s="78"/>
      <c r="AA1354" s="774"/>
      <c r="AB1354" s="774"/>
      <c r="AC1354" s="774"/>
      <c r="AD1354" s="774"/>
      <c r="AE1354" s="78"/>
      <c r="AF1354" s="774"/>
      <c r="AG1354" s="774"/>
      <c r="AH1354" s="774"/>
      <c r="AI1354" s="774"/>
      <c r="AJ1354" s="78"/>
      <c r="AK1354" s="774"/>
      <c r="AL1354" s="774"/>
      <c r="AM1354" s="774"/>
      <c r="AN1354" s="774"/>
      <c r="AO1354" s="78"/>
      <c r="AP1354" s="774"/>
      <c r="AQ1354" s="774"/>
      <c r="AR1354" s="774"/>
      <c r="AS1354" s="774"/>
      <c r="AT1354" s="1119">
        <v>2.4319999999999999</v>
      </c>
      <c r="AU1354" s="774"/>
      <c r="AV1354" s="774"/>
      <c r="AW1354" s="774"/>
      <c r="AX1354" s="774"/>
      <c r="AY1354" s="1119">
        <v>2.4319999999999999</v>
      </c>
      <c r="AZ1354" s="774"/>
      <c r="BA1354" s="774"/>
      <c r="BB1354" s="774"/>
      <c r="BC1354" s="774"/>
      <c r="BD1354" s="1119">
        <v>2.4319999999999999</v>
      </c>
      <c r="BE1354" s="774"/>
      <c r="BF1354" s="774"/>
      <c r="BG1354" s="774"/>
      <c r="BH1354" s="774"/>
      <c r="BI1354" s="1119">
        <v>2.4319999999999999</v>
      </c>
      <c r="BJ1354" s="774"/>
      <c r="BK1354" s="774"/>
      <c r="BL1354" s="774"/>
      <c r="BM1354" s="774"/>
      <c r="BN1354" s="1119">
        <v>2.4319999999999999</v>
      </c>
      <c r="BO1354" s="774"/>
      <c r="BP1354" s="774"/>
      <c r="BQ1354" s="774"/>
      <c r="BR1354" s="774"/>
      <c r="BS1354" s="78"/>
      <c r="BT1354" s="775"/>
      <c r="BU1354" s="774"/>
      <c r="BV1354" s="774"/>
      <c r="BW1354" s="774"/>
      <c r="BX1354" s="78"/>
      <c r="BY1354" s="774"/>
      <c r="BZ1354" s="774"/>
      <c r="CA1354" s="774"/>
      <c r="CB1354" s="774"/>
      <c r="CC1354" s="78"/>
      <c r="CD1354" s="78"/>
      <c r="CE1354" s="78"/>
      <c r="CF1354" s="78"/>
      <c r="CG1354" s="532"/>
    </row>
    <row r="1355" spans="1:85" s="616" customFormat="1" x14ac:dyDescent="0.3">
      <c r="A1355" s="522" t="s">
        <v>1219</v>
      </c>
      <c r="B1355" s="527"/>
      <c r="C1355" s="1124"/>
      <c r="D1355" s="1124"/>
      <c r="E1355" s="1124"/>
      <c r="F1355" s="1124"/>
      <c r="G1355" s="526"/>
      <c r="H1355" s="526"/>
      <c r="I1355" s="526"/>
      <c r="J1355" s="526"/>
      <c r="K1355" s="1124"/>
      <c r="L1355" s="526"/>
      <c r="M1355" s="526"/>
      <c r="N1355" s="526"/>
      <c r="O1355" s="526"/>
      <c r="P1355" s="1124"/>
      <c r="Q1355" s="526"/>
      <c r="R1355" s="526"/>
      <c r="S1355" s="526"/>
      <c r="T1355" s="526"/>
      <c r="U1355" s="1124"/>
      <c r="V1355" s="526"/>
      <c r="W1355" s="526"/>
      <c r="X1355" s="526"/>
      <c r="Y1355" s="526"/>
      <c r="Z1355" s="1124"/>
      <c r="AA1355" s="526"/>
      <c r="AB1355" s="526"/>
      <c r="AC1355" s="526"/>
      <c r="AD1355" s="526"/>
      <c r="AE1355" s="1124"/>
      <c r="AF1355" s="526"/>
      <c r="AG1355" s="526"/>
      <c r="AH1355" s="526"/>
      <c r="AI1355" s="526"/>
      <c r="AJ1355" s="1124"/>
      <c r="AK1355" s="526"/>
      <c r="AL1355" s="526"/>
      <c r="AM1355" s="526"/>
      <c r="AN1355" s="526"/>
      <c r="AO1355" s="1124"/>
      <c r="AP1355" s="526"/>
      <c r="AQ1355" s="526"/>
      <c r="AR1355" s="526"/>
      <c r="AS1355" s="526"/>
      <c r="AT1355" s="1123">
        <v>329.81</v>
      </c>
      <c r="AU1355" s="526"/>
      <c r="AV1355" s="526"/>
      <c r="AW1355" s="526"/>
      <c r="AX1355" s="526"/>
      <c r="AY1355" s="1123">
        <v>329.81</v>
      </c>
      <c r="AZ1355" s="526"/>
      <c r="BA1355" s="526"/>
      <c r="BB1355" s="526"/>
      <c r="BC1355" s="526"/>
      <c r="BD1355" s="1123">
        <v>329.81</v>
      </c>
      <c r="BE1355" s="526"/>
      <c r="BF1355" s="526"/>
      <c r="BG1355" s="526"/>
      <c r="BH1355" s="526"/>
      <c r="BI1355" s="1123">
        <v>329.81</v>
      </c>
      <c r="BJ1355" s="526"/>
      <c r="BK1355" s="526"/>
      <c r="BL1355" s="526"/>
      <c r="BM1355" s="526"/>
      <c r="BN1355" s="1123">
        <v>329.81</v>
      </c>
      <c r="BO1355" s="526"/>
      <c r="BP1355" s="526"/>
      <c r="BQ1355" s="526"/>
      <c r="BR1355" s="526"/>
      <c r="BS1355" s="1124"/>
      <c r="BT1355" s="729"/>
      <c r="BU1355" s="526"/>
      <c r="BV1355" s="526"/>
      <c r="BW1355" s="526"/>
      <c r="BX1355" s="1124"/>
      <c r="BY1355" s="526"/>
      <c r="BZ1355" s="526"/>
      <c r="CA1355" s="526"/>
      <c r="CB1355" s="526"/>
      <c r="CC1355" s="1124"/>
      <c r="CD1355" s="1124"/>
      <c r="CE1355" s="1124"/>
      <c r="CF1355" s="1124"/>
      <c r="CG1355" s="533"/>
    </row>
    <row r="1356" spans="1:85" s="614" customFormat="1" x14ac:dyDescent="0.3">
      <c r="A1356" s="522"/>
      <c r="B1356" s="352"/>
      <c r="C1356" s="1094"/>
      <c r="D1356" s="1094"/>
      <c r="E1356" s="1094"/>
      <c r="F1356" s="1094"/>
      <c r="G1356" s="197"/>
      <c r="H1356" s="197"/>
      <c r="I1356" s="197"/>
      <c r="J1356" s="197"/>
      <c r="K1356" s="1094"/>
      <c r="L1356" s="197"/>
      <c r="M1356" s="197"/>
      <c r="N1356" s="197"/>
      <c r="O1356" s="197"/>
      <c r="P1356" s="1094"/>
      <c r="Q1356" s="197"/>
      <c r="R1356" s="197"/>
      <c r="S1356" s="197"/>
      <c r="T1356" s="197"/>
      <c r="U1356" s="1094"/>
      <c r="V1356" s="197"/>
      <c r="W1356" s="197"/>
      <c r="X1356" s="197"/>
      <c r="Y1356" s="197"/>
      <c r="Z1356" s="1094"/>
      <c r="AA1356" s="197"/>
      <c r="AB1356" s="197"/>
      <c r="AC1356" s="197"/>
      <c r="AD1356" s="197"/>
      <c r="AE1356" s="1094"/>
      <c r="AF1356" s="197"/>
      <c r="AG1356" s="197"/>
      <c r="AH1356" s="197"/>
      <c r="AI1356" s="197"/>
      <c r="AJ1356" s="1094"/>
      <c r="AK1356" s="197"/>
      <c r="AL1356" s="197"/>
      <c r="AM1356" s="197"/>
      <c r="AN1356" s="197"/>
      <c r="AO1356" s="1094"/>
      <c r="AP1356" s="197"/>
      <c r="AQ1356" s="197"/>
      <c r="AR1356" s="197"/>
      <c r="AS1356" s="197"/>
      <c r="AT1356" s="198"/>
      <c r="AU1356" s="197"/>
      <c r="AV1356" s="197"/>
      <c r="AW1356" s="197"/>
      <c r="AX1356" s="197"/>
      <c r="AY1356" s="198"/>
      <c r="AZ1356" s="197"/>
      <c r="BA1356" s="197"/>
      <c r="BB1356" s="197"/>
      <c r="BC1356" s="197"/>
      <c r="BD1356" s="198"/>
      <c r="BE1356" s="197"/>
      <c r="BF1356" s="197"/>
      <c r="BG1356" s="197"/>
      <c r="BH1356" s="197"/>
      <c r="BI1356" s="198"/>
      <c r="BJ1356" s="197"/>
      <c r="BK1356" s="197"/>
      <c r="BL1356" s="197"/>
      <c r="BM1356" s="197"/>
      <c r="BN1356" s="198"/>
      <c r="BO1356" s="197"/>
      <c r="BP1356" s="197"/>
      <c r="BQ1356" s="197"/>
      <c r="BR1356" s="197"/>
      <c r="BS1356" s="198"/>
      <c r="BT1356" s="727"/>
      <c r="BU1356" s="197"/>
      <c r="BV1356" s="197"/>
      <c r="BW1356" s="197"/>
      <c r="BX1356" s="1094"/>
      <c r="BY1356" s="197"/>
      <c r="BZ1356" s="197"/>
      <c r="CA1356" s="197"/>
      <c r="CB1356" s="197"/>
      <c r="CC1356" s="1094"/>
      <c r="CD1356" s="1094"/>
      <c r="CE1356" s="1094"/>
      <c r="CF1356" s="1094"/>
      <c r="CG1356" s="349"/>
    </row>
    <row r="1357" spans="1:85" s="613" customFormat="1" x14ac:dyDescent="0.3">
      <c r="A1357" s="478" t="s">
        <v>1218</v>
      </c>
      <c r="B1357" s="523"/>
      <c r="C1357" s="78"/>
      <c r="D1357" s="78"/>
      <c r="E1357" s="78"/>
      <c r="F1357" s="78"/>
      <c r="G1357" s="774"/>
      <c r="H1357" s="774"/>
      <c r="I1357" s="774"/>
      <c r="J1357" s="774"/>
      <c r="K1357" s="78"/>
      <c r="L1357" s="774"/>
      <c r="M1357" s="774"/>
      <c r="N1357" s="774"/>
      <c r="O1357" s="774"/>
      <c r="P1357" s="78"/>
      <c r="Q1357" s="774"/>
      <c r="R1357" s="774"/>
      <c r="S1357" s="774"/>
      <c r="T1357" s="774"/>
      <c r="U1357" s="78"/>
      <c r="V1357" s="774"/>
      <c r="W1357" s="774"/>
      <c r="X1357" s="774"/>
      <c r="Y1357" s="774"/>
      <c r="Z1357" s="78"/>
      <c r="AA1357" s="774"/>
      <c r="AB1357" s="774"/>
      <c r="AC1357" s="774"/>
      <c r="AD1357" s="774"/>
      <c r="AE1357" s="78"/>
      <c r="AF1357" s="774"/>
      <c r="AG1357" s="774"/>
      <c r="AH1357" s="774"/>
      <c r="AI1357" s="774"/>
      <c r="AJ1357" s="78"/>
      <c r="AK1357" s="774"/>
      <c r="AL1357" s="774"/>
      <c r="AM1357" s="774"/>
      <c r="AN1357" s="774"/>
      <c r="AO1357" s="78"/>
      <c r="AP1357" s="774"/>
      <c r="AQ1357" s="774"/>
      <c r="AR1357" s="774"/>
      <c r="AS1357" s="774"/>
      <c r="AT1357" s="1119">
        <v>2.2989999999999999</v>
      </c>
      <c r="AU1357" s="774"/>
      <c r="AV1357" s="774"/>
      <c r="AW1357" s="774"/>
      <c r="AX1357" s="774"/>
      <c r="AY1357" s="1119">
        <v>2.2989999999999999</v>
      </c>
      <c r="AZ1357" s="774"/>
      <c r="BA1357" s="774"/>
      <c r="BB1357" s="774"/>
      <c r="BC1357" s="774"/>
      <c r="BD1357" s="1119">
        <v>2.2989999999999999</v>
      </c>
      <c r="BE1357" s="774"/>
      <c r="BF1357" s="774"/>
      <c r="BG1357" s="774"/>
      <c r="BH1357" s="774"/>
      <c r="BI1357" s="1119">
        <v>2.2989999999999999</v>
      </c>
      <c r="BJ1357" s="774"/>
      <c r="BK1357" s="774"/>
      <c r="BL1357" s="774"/>
      <c r="BM1357" s="774"/>
      <c r="BN1357" s="1119">
        <v>2.2989999999999999</v>
      </c>
      <c r="BO1357" s="774"/>
      <c r="BP1357" s="774"/>
      <c r="BQ1357" s="774"/>
      <c r="BR1357" s="774"/>
      <c r="BS1357" s="78"/>
      <c r="BT1357" s="775"/>
      <c r="BU1357" s="774"/>
      <c r="BV1357" s="774"/>
      <c r="BW1357" s="774"/>
      <c r="BX1357" s="78"/>
      <c r="BY1357" s="774"/>
      <c r="BZ1357" s="774"/>
      <c r="CA1357" s="774"/>
      <c r="CB1357" s="774"/>
      <c r="CC1357" s="78"/>
      <c r="CD1357" s="78"/>
      <c r="CE1357" s="78"/>
      <c r="CF1357" s="78"/>
      <c r="CG1357" s="532"/>
    </row>
    <row r="1358" spans="1:85" s="616" customFormat="1" x14ac:dyDescent="0.3">
      <c r="A1358" s="522" t="s">
        <v>1217</v>
      </c>
      <c r="B1358" s="527"/>
      <c r="C1358" s="1124"/>
      <c r="D1358" s="1124"/>
      <c r="E1358" s="1124"/>
      <c r="F1358" s="1124"/>
      <c r="G1358" s="526"/>
      <c r="H1358" s="526"/>
      <c r="I1358" s="526"/>
      <c r="J1358" s="526"/>
      <c r="K1358" s="1124"/>
      <c r="L1358" s="526"/>
      <c r="M1358" s="526"/>
      <c r="N1358" s="526"/>
      <c r="O1358" s="526"/>
      <c r="P1358" s="1124"/>
      <c r="Q1358" s="526"/>
      <c r="R1358" s="526"/>
      <c r="S1358" s="526"/>
      <c r="T1358" s="526"/>
      <c r="U1358" s="1124"/>
      <c r="V1358" s="526"/>
      <c r="W1358" s="526"/>
      <c r="X1358" s="526"/>
      <c r="Y1358" s="526"/>
      <c r="Z1358" s="1124"/>
      <c r="AA1358" s="526"/>
      <c r="AB1358" s="526"/>
      <c r="AC1358" s="526"/>
      <c r="AD1358" s="526"/>
      <c r="AE1358" s="1124"/>
      <c r="AF1358" s="526"/>
      <c r="AG1358" s="526"/>
      <c r="AH1358" s="526"/>
      <c r="AI1358" s="526"/>
      <c r="AJ1358" s="1124"/>
      <c r="AK1358" s="526"/>
      <c r="AL1358" s="526"/>
      <c r="AM1358" s="526"/>
      <c r="AN1358" s="526"/>
      <c r="AO1358" s="1124"/>
      <c r="AP1358" s="526"/>
      <c r="AQ1358" s="526"/>
      <c r="AR1358" s="526"/>
      <c r="AS1358" s="526"/>
      <c r="AT1358" s="1123">
        <v>358</v>
      </c>
      <c r="AU1358" s="526"/>
      <c r="AV1358" s="526"/>
      <c r="AW1358" s="526"/>
      <c r="AX1358" s="526"/>
      <c r="AY1358" s="1123">
        <v>358</v>
      </c>
      <c r="AZ1358" s="526"/>
      <c r="BA1358" s="526"/>
      <c r="BB1358" s="526"/>
      <c r="BC1358" s="526"/>
      <c r="BD1358" s="1123">
        <v>358</v>
      </c>
      <c r="BE1358" s="526"/>
      <c r="BF1358" s="526"/>
      <c r="BG1358" s="526"/>
      <c r="BH1358" s="526"/>
      <c r="BI1358" s="1123">
        <v>358</v>
      </c>
      <c r="BJ1358" s="526"/>
      <c r="BK1358" s="526"/>
      <c r="BL1358" s="526"/>
      <c r="BM1358" s="526"/>
      <c r="BN1358" s="1123">
        <v>358</v>
      </c>
      <c r="BO1358" s="526"/>
      <c r="BP1358" s="526"/>
      <c r="BQ1358" s="526"/>
      <c r="BR1358" s="526"/>
      <c r="BS1358" s="1124"/>
      <c r="BT1358" s="729"/>
      <c r="BU1358" s="526"/>
      <c r="BV1358" s="526"/>
      <c r="BW1358" s="526"/>
      <c r="BX1358" s="1124"/>
      <c r="BY1358" s="526"/>
      <c r="BZ1358" s="526"/>
      <c r="CA1358" s="526"/>
      <c r="CB1358" s="526"/>
      <c r="CC1358" s="1124"/>
      <c r="CD1358" s="1124"/>
      <c r="CE1358" s="1124"/>
      <c r="CF1358" s="1124"/>
      <c r="CG1358" s="533"/>
    </row>
    <row r="1359" spans="1:85" s="614" customFormat="1" x14ac:dyDescent="0.3">
      <c r="A1359" s="522"/>
      <c r="B1359" s="352"/>
      <c r="C1359" s="1094"/>
      <c r="D1359" s="1094"/>
      <c r="E1359" s="1094"/>
      <c r="F1359" s="1094"/>
      <c r="G1359" s="197"/>
      <c r="H1359" s="197"/>
      <c r="I1359" s="197"/>
      <c r="J1359" s="197"/>
      <c r="K1359" s="1094"/>
      <c r="L1359" s="197"/>
      <c r="M1359" s="197"/>
      <c r="N1359" s="197"/>
      <c r="O1359" s="197"/>
      <c r="P1359" s="1094"/>
      <c r="Q1359" s="197"/>
      <c r="R1359" s="197"/>
      <c r="S1359" s="197"/>
      <c r="T1359" s="197"/>
      <c r="U1359" s="1094"/>
      <c r="V1359" s="197"/>
      <c r="W1359" s="197"/>
      <c r="X1359" s="197"/>
      <c r="Y1359" s="197"/>
      <c r="Z1359" s="1094"/>
      <c r="AA1359" s="197"/>
      <c r="AB1359" s="197"/>
      <c r="AC1359" s="197"/>
      <c r="AD1359" s="197"/>
      <c r="AE1359" s="1094"/>
      <c r="AF1359" s="197"/>
      <c r="AG1359" s="197"/>
      <c r="AH1359" s="197"/>
      <c r="AI1359" s="197"/>
      <c r="AJ1359" s="1094"/>
      <c r="AK1359" s="197"/>
      <c r="AL1359" s="197"/>
      <c r="AM1359" s="197"/>
      <c r="AN1359" s="197"/>
      <c r="AO1359" s="1094"/>
      <c r="AP1359" s="197"/>
      <c r="AQ1359" s="197"/>
      <c r="AR1359" s="197"/>
      <c r="AS1359" s="197"/>
      <c r="AT1359" s="198"/>
      <c r="AU1359" s="197"/>
      <c r="AV1359" s="197"/>
      <c r="AW1359" s="197"/>
      <c r="AX1359" s="197"/>
      <c r="AY1359" s="198"/>
      <c r="AZ1359" s="197"/>
      <c r="BA1359" s="197"/>
      <c r="BB1359" s="197"/>
      <c r="BC1359" s="197"/>
      <c r="BD1359" s="198"/>
      <c r="BE1359" s="197"/>
      <c r="BF1359" s="197"/>
      <c r="BG1359" s="197"/>
      <c r="BH1359" s="197"/>
      <c r="BI1359" s="198"/>
      <c r="BJ1359" s="197"/>
      <c r="BK1359" s="197"/>
      <c r="BL1359" s="197"/>
      <c r="BM1359" s="197"/>
      <c r="BN1359" s="198"/>
      <c r="BO1359" s="197"/>
      <c r="BP1359" s="197"/>
      <c r="BQ1359" s="197"/>
      <c r="BR1359" s="197"/>
      <c r="BS1359" s="198"/>
      <c r="BT1359" s="727"/>
      <c r="BU1359" s="197"/>
      <c r="BV1359" s="197"/>
      <c r="BW1359" s="197"/>
      <c r="BX1359" s="1094"/>
      <c r="BY1359" s="197"/>
      <c r="BZ1359" s="197"/>
      <c r="CA1359" s="197"/>
      <c r="CB1359" s="197"/>
      <c r="CC1359" s="1094"/>
      <c r="CD1359" s="1094"/>
      <c r="CE1359" s="1094"/>
      <c r="CF1359" s="1094"/>
      <c r="CG1359" s="349"/>
    </row>
    <row r="1360" spans="1:85" s="613" customFormat="1" x14ac:dyDescent="0.3">
      <c r="A1360" s="478" t="s">
        <v>1216</v>
      </c>
      <c r="B1360" s="523"/>
      <c r="C1360" s="78"/>
      <c r="D1360" s="78"/>
      <c r="E1360" s="78"/>
      <c r="F1360" s="78"/>
      <c r="G1360" s="774"/>
      <c r="H1360" s="774"/>
      <c r="I1360" s="774"/>
      <c r="J1360" s="774"/>
      <c r="K1360" s="78"/>
      <c r="L1360" s="774"/>
      <c r="M1360" s="774"/>
      <c r="N1360" s="774"/>
      <c r="O1360" s="774"/>
      <c r="P1360" s="78"/>
      <c r="Q1360" s="774"/>
      <c r="R1360" s="774"/>
      <c r="S1360" s="774"/>
      <c r="T1360" s="774"/>
      <c r="U1360" s="78"/>
      <c r="V1360" s="774"/>
      <c r="W1360" s="774"/>
      <c r="X1360" s="774"/>
      <c r="Y1360" s="774"/>
      <c r="Z1360" s="78"/>
      <c r="AA1360" s="774"/>
      <c r="AB1360" s="774"/>
      <c r="AC1360" s="774"/>
      <c r="AD1360" s="774"/>
      <c r="AE1360" s="78"/>
      <c r="AF1360" s="774"/>
      <c r="AG1360" s="774"/>
      <c r="AH1360" s="774"/>
      <c r="AI1360" s="774"/>
      <c r="AJ1360" s="78"/>
      <c r="AK1360" s="774"/>
      <c r="AL1360" s="774"/>
      <c r="AM1360" s="774"/>
      <c r="AN1360" s="774"/>
      <c r="AO1360" s="78"/>
      <c r="AP1360" s="774"/>
      <c r="AQ1360" s="774"/>
      <c r="AR1360" s="774"/>
      <c r="AS1360" s="774"/>
      <c r="AT1360" s="1119">
        <v>2.16</v>
      </c>
      <c r="AU1360" s="774"/>
      <c r="AV1360" s="774"/>
      <c r="AW1360" s="774"/>
      <c r="AX1360" s="774"/>
      <c r="AY1360" s="1119">
        <v>2.16</v>
      </c>
      <c r="AZ1360" s="774"/>
      <c r="BA1360" s="774"/>
      <c r="BB1360" s="774"/>
      <c r="BC1360" s="774"/>
      <c r="BD1360" s="1119">
        <v>2.16</v>
      </c>
      <c r="BE1360" s="774"/>
      <c r="BF1360" s="774"/>
      <c r="BG1360" s="774"/>
      <c r="BH1360" s="774"/>
      <c r="BI1360" s="1119">
        <v>2.16</v>
      </c>
      <c r="BJ1360" s="774"/>
      <c r="BK1360" s="774"/>
      <c r="BL1360" s="774"/>
      <c r="BM1360" s="774"/>
      <c r="BN1360" s="1119">
        <v>2.16</v>
      </c>
      <c r="BO1360" s="774"/>
      <c r="BP1360" s="774"/>
      <c r="BQ1360" s="774"/>
      <c r="BR1360" s="774"/>
      <c r="BS1360" s="78"/>
      <c r="BT1360" s="775"/>
      <c r="BU1360" s="774"/>
      <c r="BV1360" s="774"/>
      <c r="BW1360" s="774"/>
      <c r="BX1360" s="78"/>
      <c r="BY1360" s="774"/>
      <c r="BZ1360" s="774"/>
      <c r="CA1360" s="774"/>
      <c r="CB1360" s="774"/>
      <c r="CC1360" s="78"/>
      <c r="CD1360" s="78"/>
      <c r="CE1360" s="78"/>
      <c r="CF1360" s="78"/>
      <c r="CG1360" s="532"/>
    </row>
    <row r="1361" spans="1:85" s="616" customFormat="1" x14ac:dyDescent="0.3">
      <c r="A1361" s="522" t="s">
        <v>1215</v>
      </c>
      <c r="B1361" s="527"/>
      <c r="C1361" s="1124"/>
      <c r="D1361" s="1124"/>
      <c r="E1361" s="1124"/>
      <c r="F1361" s="1124"/>
      <c r="G1361" s="526"/>
      <c r="H1361" s="526"/>
      <c r="I1361" s="526"/>
      <c r="J1361" s="526"/>
      <c r="K1361" s="1124"/>
      <c r="L1361" s="526"/>
      <c r="M1361" s="526"/>
      <c r="N1361" s="526"/>
      <c r="O1361" s="526"/>
      <c r="P1361" s="1124"/>
      <c r="Q1361" s="526"/>
      <c r="R1361" s="526"/>
      <c r="S1361" s="526"/>
      <c r="T1361" s="526"/>
      <c r="U1361" s="1124"/>
      <c r="V1361" s="526"/>
      <c r="W1361" s="526"/>
      <c r="X1361" s="526"/>
      <c r="Y1361" s="526"/>
      <c r="Z1361" s="1124"/>
      <c r="AA1361" s="526"/>
      <c r="AB1361" s="526"/>
      <c r="AC1361" s="526"/>
      <c r="AD1361" s="526"/>
      <c r="AE1361" s="1124"/>
      <c r="AF1361" s="526"/>
      <c r="AG1361" s="526"/>
      <c r="AH1361" s="526"/>
      <c r="AI1361" s="526"/>
      <c r="AJ1361" s="1124"/>
      <c r="AK1361" s="526"/>
      <c r="AL1361" s="526"/>
      <c r="AM1361" s="526"/>
      <c r="AN1361" s="526"/>
      <c r="AO1361" s="1124"/>
      <c r="AP1361" s="526"/>
      <c r="AQ1361" s="526"/>
      <c r="AR1361" s="526"/>
      <c r="AS1361" s="526"/>
      <c r="AT1361" s="1123">
        <v>381.05</v>
      </c>
      <c r="AU1361" s="526"/>
      <c r="AV1361" s="526"/>
      <c r="AW1361" s="526"/>
      <c r="AX1361" s="526"/>
      <c r="AY1361" s="1123">
        <v>381.05</v>
      </c>
      <c r="AZ1361" s="526"/>
      <c r="BA1361" s="526"/>
      <c r="BB1361" s="526"/>
      <c r="BC1361" s="526"/>
      <c r="BD1361" s="1123">
        <v>381.05</v>
      </c>
      <c r="BE1361" s="526"/>
      <c r="BF1361" s="526"/>
      <c r="BG1361" s="526"/>
      <c r="BH1361" s="526"/>
      <c r="BI1361" s="1123">
        <v>381.05</v>
      </c>
      <c r="BJ1361" s="526"/>
      <c r="BK1361" s="526"/>
      <c r="BL1361" s="526"/>
      <c r="BM1361" s="526"/>
      <c r="BN1361" s="1123">
        <v>381.05</v>
      </c>
      <c r="BO1361" s="526"/>
      <c r="BP1361" s="526"/>
      <c r="BQ1361" s="526"/>
      <c r="BR1361" s="526"/>
      <c r="BS1361" s="1124"/>
      <c r="BT1361" s="729"/>
      <c r="BU1361" s="526"/>
      <c r="BV1361" s="526"/>
      <c r="BW1361" s="526"/>
      <c r="BX1361" s="1124"/>
      <c r="BY1361" s="526"/>
      <c r="BZ1361" s="526"/>
      <c r="CA1361" s="526"/>
      <c r="CB1361" s="526"/>
      <c r="CC1361" s="1124"/>
      <c r="CD1361" s="1124"/>
      <c r="CE1361" s="1124"/>
      <c r="CF1361" s="1124"/>
      <c r="CG1361" s="533"/>
    </row>
    <row r="1362" spans="1:85" s="614" customFormat="1" x14ac:dyDescent="0.3">
      <c r="A1362" s="522"/>
      <c r="B1362" s="352"/>
      <c r="C1362" s="1094"/>
      <c r="D1362" s="1094"/>
      <c r="E1362" s="1094"/>
      <c r="F1362" s="1094"/>
      <c r="G1362" s="197"/>
      <c r="H1362" s="197"/>
      <c r="I1362" s="197"/>
      <c r="J1362" s="197"/>
      <c r="K1362" s="1094"/>
      <c r="L1362" s="197"/>
      <c r="M1362" s="197"/>
      <c r="N1362" s="197"/>
      <c r="O1362" s="197"/>
      <c r="P1362" s="1094"/>
      <c r="Q1362" s="197"/>
      <c r="R1362" s="197"/>
      <c r="S1362" s="197"/>
      <c r="T1362" s="197"/>
      <c r="U1362" s="1094"/>
      <c r="V1362" s="197"/>
      <c r="W1362" s="197"/>
      <c r="X1362" s="197"/>
      <c r="Y1362" s="197"/>
      <c r="Z1362" s="1094"/>
      <c r="AA1362" s="197"/>
      <c r="AB1362" s="197"/>
      <c r="AC1362" s="197"/>
      <c r="AD1362" s="197"/>
      <c r="AE1362" s="1094"/>
      <c r="AF1362" s="197"/>
      <c r="AG1362" s="197"/>
      <c r="AH1362" s="197"/>
      <c r="AI1362" s="197"/>
      <c r="AJ1362" s="1094"/>
      <c r="AK1362" s="197"/>
      <c r="AL1362" s="197"/>
      <c r="AM1362" s="197"/>
      <c r="AN1362" s="197"/>
      <c r="AO1362" s="1094"/>
      <c r="AP1362" s="197"/>
      <c r="AQ1362" s="197"/>
      <c r="AR1362" s="197"/>
      <c r="AS1362" s="197"/>
      <c r="AT1362" s="198"/>
      <c r="AU1362" s="197"/>
      <c r="AV1362" s="197"/>
      <c r="AW1362" s="197"/>
      <c r="AX1362" s="197"/>
      <c r="AY1362" s="198"/>
      <c r="AZ1362" s="197"/>
      <c r="BA1362" s="197"/>
      <c r="BB1362" s="197"/>
      <c r="BC1362" s="197"/>
      <c r="BD1362" s="198"/>
      <c r="BE1362" s="197"/>
      <c r="BF1362" s="197"/>
      <c r="BG1362" s="197"/>
      <c r="BH1362" s="197"/>
      <c r="BI1362" s="198"/>
      <c r="BJ1362" s="197"/>
      <c r="BK1362" s="197"/>
      <c r="BL1362" s="197"/>
      <c r="BM1362" s="197"/>
      <c r="BN1362" s="198"/>
      <c r="BO1362" s="197"/>
      <c r="BP1362" s="197"/>
      <c r="BQ1362" s="197"/>
      <c r="BR1362" s="197"/>
      <c r="BS1362" s="198"/>
      <c r="BT1362" s="727"/>
      <c r="BU1362" s="197"/>
      <c r="BV1362" s="197"/>
      <c r="BW1362" s="197"/>
      <c r="BX1362" s="1094"/>
      <c r="BY1362" s="197"/>
      <c r="BZ1362" s="197"/>
      <c r="CA1362" s="197"/>
      <c r="CB1362" s="197"/>
      <c r="CC1362" s="1094"/>
      <c r="CD1362" s="1094"/>
      <c r="CE1362" s="1094"/>
      <c r="CF1362" s="1094"/>
      <c r="CG1362" s="349"/>
    </row>
    <row r="1363" spans="1:85" s="613" customFormat="1" x14ac:dyDescent="0.3">
      <c r="A1363" s="478" t="s">
        <v>1214</v>
      </c>
      <c r="B1363" s="523"/>
      <c r="C1363" s="78"/>
      <c r="D1363" s="78"/>
      <c r="E1363" s="78"/>
      <c r="F1363" s="78"/>
      <c r="G1363" s="774"/>
      <c r="H1363" s="774"/>
      <c r="I1363" s="774"/>
      <c r="J1363" s="774"/>
      <c r="K1363" s="78"/>
      <c r="L1363" s="774"/>
      <c r="M1363" s="774"/>
      <c r="N1363" s="774"/>
      <c r="O1363" s="774"/>
      <c r="P1363" s="78"/>
      <c r="Q1363" s="774"/>
      <c r="R1363" s="774"/>
      <c r="S1363" s="774"/>
      <c r="T1363" s="774"/>
      <c r="U1363" s="78"/>
      <c r="V1363" s="774"/>
      <c r="W1363" s="774"/>
      <c r="X1363" s="774"/>
      <c r="Y1363" s="774"/>
      <c r="Z1363" s="78"/>
      <c r="AA1363" s="774"/>
      <c r="AB1363" s="774"/>
      <c r="AC1363" s="774"/>
      <c r="AD1363" s="774"/>
      <c r="AE1363" s="78"/>
      <c r="AF1363" s="774"/>
      <c r="AG1363" s="774"/>
      <c r="AH1363" s="774"/>
      <c r="AI1363" s="774"/>
      <c r="AJ1363" s="78"/>
      <c r="AK1363" s="774"/>
      <c r="AL1363" s="774"/>
      <c r="AM1363" s="774"/>
      <c r="AN1363" s="774"/>
      <c r="AO1363" s="78"/>
      <c r="AP1363" s="774"/>
      <c r="AQ1363" s="774"/>
      <c r="AR1363" s="774"/>
      <c r="AS1363" s="774"/>
      <c r="AT1363" s="1119">
        <v>2.2599999999999998</v>
      </c>
      <c r="AU1363" s="774"/>
      <c r="AV1363" s="774"/>
      <c r="AW1363" s="774"/>
      <c r="AX1363" s="774"/>
      <c r="AY1363" s="1119">
        <v>2.2599999999999998</v>
      </c>
      <c r="AZ1363" s="774"/>
      <c r="BA1363" s="774"/>
      <c r="BB1363" s="774"/>
      <c r="BC1363" s="774"/>
      <c r="BD1363" s="1119">
        <v>2.2599999999999998</v>
      </c>
      <c r="BE1363" s="774"/>
      <c r="BF1363" s="774"/>
      <c r="BG1363" s="774"/>
      <c r="BH1363" s="774"/>
      <c r="BI1363" s="1119">
        <v>2.2599999999999998</v>
      </c>
      <c r="BJ1363" s="774"/>
      <c r="BK1363" s="774"/>
      <c r="BL1363" s="774"/>
      <c r="BM1363" s="774"/>
      <c r="BN1363" s="1119">
        <v>2.2599999999999998</v>
      </c>
      <c r="BO1363" s="774"/>
      <c r="BP1363" s="774"/>
      <c r="BQ1363" s="774"/>
      <c r="BR1363" s="774"/>
      <c r="BS1363" s="78"/>
      <c r="BT1363" s="775"/>
      <c r="BU1363" s="774"/>
      <c r="BV1363" s="774"/>
      <c r="BW1363" s="774"/>
      <c r="BX1363" s="78"/>
      <c r="BY1363" s="774"/>
      <c r="BZ1363" s="774"/>
      <c r="CA1363" s="774"/>
      <c r="CB1363" s="774"/>
      <c r="CC1363" s="78"/>
      <c r="CD1363" s="78"/>
      <c r="CE1363" s="78"/>
      <c r="CF1363" s="78"/>
      <c r="CG1363" s="532"/>
    </row>
    <row r="1364" spans="1:85" s="616" customFormat="1" x14ac:dyDescent="0.3">
      <c r="A1364" s="522" t="s">
        <v>1213</v>
      </c>
      <c r="B1364" s="527"/>
      <c r="C1364" s="1124"/>
      <c r="D1364" s="1124"/>
      <c r="E1364" s="1124"/>
      <c r="F1364" s="1124"/>
      <c r="G1364" s="526"/>
      <c r="H1364" s="526"/>
      <c r="I1364" s="526"/>
      <c r="J1364" s="526"/>
      <c r="K1364" s="1124"/>
      <c r="L1364" s="526"/>
      <c r="M1364" s="526"/>
      <c r="N1364" s="526"/>
      <c r="O1364" s="526"/>
      <c r="P1364" s="1124"/>
      <c r="Q1364" s="526"/>
      <c r="R1364" s="526"/>
      <c r="S1364" s="526"/>
      <c r="T1364" s="526"/>
      <c r="U1364" s="1124"/>
      <c r="V1364" s="526"/>
      <c r="W1364" s="526"/>
      <c r="X1364" s="526"/>
      <c r="Y1364" s="526"/>
      <c r="Z1364" s="1124"/>
      <c r="AA1364" s="526"/>
      <c r="AB1364" s="526"/>
      <c r="AC1364" s="526"/>
      <c r="AD1364" s="526"/>
      <c r="AE1364" s="1124"/>
      <c r="AF1364" s="526"/>
      <c r="AG1364" s="526"/>
      <c r="AH1364" s="526"/>
      <c r="AI1364" s="526"/>
      <c r="AJ1364" s="1124"/>
      <c r="AK1364" s="526"/>
      <c r="AL1364" s="526"/>
      <c r="AM1364" s="526"/>
      <c r="AN1364" s="526"/>
      <c r="AO1364" s="1124"/>
      <c r="AP1364" s="526"/>
      <c r="AQ1364" s="526"/>
      <c r="AR1364" s="526"/>
      <c r="AS1364" s="526"/>
      <c r="AT1364" s="1123">
        <v>364.08</v>
      </c>
      <c r="AU1364" s="526"/>
      <c r="AV1364" s="526"/>
      <c r="AW1364" s="526"/>
      <c r="AX1364" s="526"/>
      <c r="AY1364" s="1123">
        <v>364.08</v>
      </c>
      <c r="AZ1364" s="526"/>
      <c r="BA1364" s="526"/>
      <c r="BB1364" s="526"/>
      <c r="BC1364" s="526"/>
      <c r="BD1364" s="1123">
        <v>364.08</v>
      </c>
      <c r="BE1364" s="526"/>
      <c r="BF1364" s="526"/>
      <c r="BG1364" s="526"/>
      <c r="BH1364" s="526"/>
      <c r="BI1364" s="1123">
        <v>364.08</v>
      </c>
      <c r="BJ1364" s="526"/>
      <c r="BK1364" s="526"/>
      <c r="BL1364" s="526"/>
      <c r="BM1364" s="526"/>
      <c r="BN1364" s="1123">
        <v>364.08</v>
      </c>
      <c r="BO1364" s="526"/>
      <c r="BP1364" s="526"/>
      <c r="BQ1364" s="526"/>
      <c r="BR1364" s="526"/>
      <c r="BS1364" s="1124"/>
      <c r="BT1364" s="729"/>
      <c r="BU1364" s="526"/>
      <c r="BV1364" s="526"/>
      <c r="BW1364" s="526"/>
      <c r="BX1364" s="1124"/>
      <c r="BY1364" s="526"/>
      <c r="BZ1364" s="526"/>
      <c r="CA1364" s="526"/>
      <c r="CB1364" s="526"/>
      <c r="CC1364" s="1124"/>
      <c r="CD1364" s="1124"/>
      <c r="CE1364" s="1124"/>
      <c r="CF1364" s="1124"/>
      <c r="CG1364" s="533"/>
    </row>
    <row r="1365" spans="1:85" s="614" customFormat="1" x14ac:dyDescent="0.3">
      <c r="A1365" s="522"/>
      <c r="B1365" s="352"/>
      <c r="C1365" s="1094"/>
      <c r="D1365" s="1094"/>
      <c r="E1365" s="1094"/>
      <c r="F1365" s="1094"/>
      <c r="G1365" s="197"/>
      <c r="H1365" s="197"/>
      <c r="I1365" s="197"/>
      <c r="J1365" s="197"/>
      <c r="K1365" s="1094"/>
      <c r="L1365" s="197"/>
      <c r="M1365" s="197"/>
      <c r="N1365" s="197"/>
      <c r="O1365" s="197"/>
      <c r="P1365" s="1094"/>
      <c r="Q1365" s="197"/>
      <c r="R1365" s="197"/>
      <c r="S1365" s="197"/>
      <c r="T1365" s="197"/>
      <c r="U1365" s="1094"/>
      <c r="V1365" s="197"/>
      <c r="W1365" s="197"/>
      <c r="X1365" s="197"/>
      <c r="Y1365" s="197"/>
      <c r="Z1365" s="1094"/>
      <c r="AA1365" s="197"/>
      <c r="AB1365" s="197"/>
      <c r="AC1365" s="197"/>
      <c r="AD1365" s="197"/>
      <c r="AE1365" s="1094"/>
      <c r="AF1365" s="197"/>
      <c r="AG1365" s="197"/>
      <c r="AH1365" s="197"/>
      <c r="AI1365" s="197"/>
      <c r="AJ1365" s="1094"/>
      <c r="AK1365" s="197"/>
      <c r="AL1365" s="197"/>
      <c r="AM1365" s="197"/>
      <c r="AN1365" s="197"/>
      <c r="AO1365" s="1094"/>
      <c r="AP1365" s="197"/>
      <c r="AQ1365" s="197"/>
      <c r="AR1365" s="197"/>
      <c r="AS1365" s="197"/>
      <c r="AT1365" s="198"/>
      <c r="AU1365" s="197"/>
      <c r="AV1365" s="197"/>
      <c r="AW1365" s="197"/>
      <c r="AX1365" s="197"/>
      <c r="AY1365" s="198"/>
      <c r="AZ1365" s="197"/>
      <c r="BA1365" s="197"/>
      <c r="BB1365" s="197"/>
      <c r="BC1365" s="197"/>
      <c r="BD1365" s="198"/>
      <c r="BE1365" s="197"/>
      <c r="BF1365" s="197"/>
      <c r="BG1365" s="197"/>
      <c r="BH1365" s="197"/>
      <c r="BI1365" s="198"/>
      <c r="BJ1365" s="197"/>
      <c r="BK1365" s="197"/>
      <c r="BL1365" s="197"/>
      <c r="BM1365" s="197"/>
      <c r="BN1365" s="198"/>
      <c r="BO1365" s="197"/>
      <c r="BP1365" s="197"/>
      <c r="BQ1365" s="197"/>
      <c r="BR1365" s="197"/>
      <c r="BS1365" s="198"/>
      <c r="BT1365" s="727"/>
      <c r="BU1365" s="197"/>
      <c r="BV1365" s="197"/>
      <c r="BW1365" s="197"/>
      <c r="BX1365" s="1094"/>
      <c r="BY1365" s="197"/>
      <c r="BZ1365" s="197"/>
      <c r="CA1365" s="197"/>
      <c r="CB1365" s="197"/>
      <c r="CC1365" s="1094"/>
      <c r="CD1365" s="1094"/>
      <c r="CE1365" s="1094"/>
      <c r="CF1365" s="1094"/>
      <c r="CG1365" s="349"/>
    </row>
    <row r="1366" spans="1:85" s="613" customFormat="1" x14ac:dyDescent="0.3">
      <c r="A1366" s="478" t="s">
        <v>1212</v>
      </c>
      <c r="B1366" s="523"/>
      <c r="C1366" s="78"/>
      <c r="D1366" s="78"/>
      <c r="E1366" s="78"/>
      <c r="F1366" s="78"/>
      <c r="G1366" s="774"/>
      <c r="H1366" s="774"/>
      <c r="I1366" s="774"/>
      <c r="J1366" s="774"/>
      <c r="K1366" s="78"/>
      <c r="L1366" s="774"/>
      <c r="M1366" s="774"/>
      <c r="N1366" s="774"/>
      <c r="O1366" s="774"/>
      <c r="P1366" s="78"/>
      <c r="Q1366" s="774"/>
      <c r="R1366" s="774"/>
      <c r="S1366" s="774"/>
      <c r="T1366" s="774"/>
      <c r="U1366" s="78"/>
      <c r="V1366" s="774"/>
      <c r="W1366" s="774"/>
      <c r="X1366" s="774"/>
      <c r="Y1366" s="774"/>
      <c r="Z1366" s="78"/>
      <c r="AA1366" s="774"/>
      <c r="AB1366" s="774"/>
      <c r="AC1366" s="774"/>
      <c r="AD1366" s="774"/>
      <c r="AE1366" s="78"/>
      <c r="AF1366" s="774"/>
      <c r="AG1366" s="774"/>
      <c r="AH1366" s="774"/>
      <c r="AI1366" s="774"/>
      <c r="AJ1366" s="78"/>
      <c r="AK1366" s="774"/>
      <c r="AL1366" s="774"/>
      <c r="AM1366" s="774"/>
      <c r="AN1366" s="774"/>
      <c r="AO1366" s="78"/>
      <c r="AP1366" s="774"/>
      <c r="AQ1366" s="774"/>
      <c r="AR1366" s="774"/>
      <c r="AS1366" s="774"/>
      <c r="AT1366" s="1119">
        <v>1.9810000000000001</v>
      </c>
      <c r="AU1366" s="774"/>
      <c r="AV1366" s="774"/>
      <c r="AW1366" s="774"/>
      <c r="AX1366" s="774"/>
      <c r="AY1366" s="1119">
        <v>1.9810000000000001</v>
      </c>
      <c r="AZ1366" s="774"/>
      <c r="BA1366" s="774"/>
      <c r="BB1366" s="774"/>
      <c r="BC1366" s="774"/>
      <c r="BD1366" s="1119">
        <v>1.9810000000000001</v>
      </c>
      <c r="BE1366" s="774"/>
      <c r="BF1366" s="774"/>
      <c r="BG1366" s="774"/>
      <c r="BH1366" s="774"/>
      <c r="BI1366" s="1119">
        <v>1.9810000000000001</v>
      </c>
      <c r="BJ1366" s="774"/>
      <c r="BK1366" s="774"/>
      <c r="BL1366" s="774"/>
      <c r="BM1366" s="774"/>
      <c r="BN1366" s="1119">
        <v>1.9810000000000001</v>
      </c>
      <c r="BO1366" s="774"/>
      <c r="BP1366" s="774"/>
      <c r="BQ1366" s="774"/>
      <c r="BR1366" s="774"/>
      <c r="BS1366" s="78"/>
      <c r="BT1366" s="775"/>
      <c r="BU1366" s="774"/>
      <c r="BV1366" s="774"/>
      <c r="BW1366" s="774"/>
      <c r="BX1366" s="78"/>
      <c r="BY1366" s="774"/>
      <c r="BZ1366" s="774"/>
      <c r="CA1366" s="774"/>
      <c r="CB1366" s="774"/>
      <c r="CC1366" s="78"/>
      <c r="CD1366" s="78"/>
      <c r="CE1366" s="78"/>
      <c r="CF1366" s="78"/>
      <c r="CG1366" s="532"/>
    </row>
    <row r="1367" spans="1:85" s="616" customFormat="1" x14ac:dyDescent="0.3">
      <c r="A1367" s="522" t="s">
        <v>1211</v>
      </c>
      <c r="B1367" s="527"/>
      <c r="C1367" s="1124"/>
      <c r="D1367" s="1124"/>
      <c r="E1367" s="1124"/>
      <c r="F1367" s="1124"/>
      <c r="G1367" s="526"/>
      <c r="H1367" s="526"/>
      <c r="I1367" s="526"/>
      <c r="J1367" s="526"/>
      <c r="K1367" s="1124"/>
      <c r="L1367" s="526"/>
      <c r="M1367" s="526"/>
      <c r="N1367" s="526"/>
      <c r="O1367" s="526"/>
      <c r="P1367" s="1124"/>
      <c r="Q1367" s="526"/>
      <c r="R1367" s="526"/>
      <c r="S1367" s="526"/>
      <c r="T1367" s="526"/>
      <c r="U1367" s="1124"/>
      <c r="V1367" s="526"/>
      <c r="W1367" s="526"/>
      <c r="X1367" s="526"/>
      <c r="Y1367" s="526"/>
      <c r="Z1367" s="1124"/>
      <c r="AA1367" s="526"/>
      <c r="AB1367" s="526"/>
      <c r="AC1367" s="526"/>
      <c r="AD1367" s="526"/>
      <c r="AE1367" s="1124"/>
      <c r="AF1367" s="526"/>
      <c r="AG1367" s="526"/>
      <c r="AH1367" s="526"/>
      <c r="AI1367" s="526"/>
      <c r="AJ1367" s="1124"/>
      <c r="AK1367" s="526"/>
      <c r="AL1367" s="526"/>
      <c r="AM1367" s="526"/>
      <c r="AN1367" s="526"/>
      <c r="AO1367" s="1124"/>
      <c r="AP1367" s="526"/>
      <c r="AQ1367" s="526"/>
      <c r="AR1367" s="526"/>
      <c r="AS1367" s="526"/>
      <c r="AT1367" s="1123">
        <v>415.27</v>
      </c>
      <c r="AU1367" s="526"/>
      <c r="AV1367" s="526"/>
      <c r="AW1367" s="526"/>
      <c r="AX1367" s="526"/>
      <c r="AY1367" s="1123">
        <v>415.27</v>
      </c>
      <c r="AZ1367" s="526"/>
      <c r="BA1367" s="526"/>
      <c r="BB1367" s="526"/>
      <c r="BC1367" s="526"/>
      <c r="BD1367" s="1123">
        <v>415.27</v>
      </c>
      <c r="BE1367" s="526"/>
      <c r="BF1367" s="526"/>
      <c r="BG1367" s="526"/>
      <c r="BH1367" s="526"/>
      <c r="BI1367" s="1123">
        <v>415.27</v>
      </c>
      <c r="BJ1367" s="526"/>
      <c r="BK1367" s="526"/>
      <c r="BL1367" s="526"/>
      <c r="BM1367" s="526"/>
      <c r="BN1367" s="1123">
        <v>415.27</v>
      </c>
      <c r="BO1367" s="526"/>
      <c r="BP1367" s="526"/>
      <c r="BQ1367" s="526"/>
      <c r="BR1367" s="526"/>
      <c r="BS1367" s="1124"/>
      <c r="BT1367" s="729"/>
      <c r="BU1367" s="526"/>
      <c r="BV1367" s="526"/>
      <c r="BW1367" s="526"/>
      <c r="BX1367" s="1124"/>
      <c r="BY1367" s="526"/>
      <c r="BZ1367" s="526"/>
      <c r="CA1367" s="526"/>
      <c r="CB1367" s="526"/>
      <c r="CC1367" s="1124"/>
      <c r="CD1367" s="1124"/>
      <c r="CE1367" s="1124"/>
      <c r="CF1367" s="1124"/>
      <c r="CG1367" s="533"/>
    </row>
    <row r="1368" spans="1:85" s="614" customFormat="1" x14ac:dyDescent="0.3">
      <c r="A1368" s="522"/>
      <c r="B1368" s="352"/>
      <c r="C1368" s="1094"/>
      <c r="D1368" s="1094"/>
      <c r="E1368" s="1094"/>
      <c r="F1368" s="1094"/>
      <c r="G1368" s="197"/>
      <c r="H1368" s="197"/>
      <c r="I1368" s="197"/>
      <c r="J1368" s="197"/>
      <c r="K1368" s="1094"/>
      <c r="L1368" s="197"/>
      <c r="M1368" s="197"/>
      <c r="N1368" s="197"/>
      <c r="O1368" s="197"/>
      <c r="P1368" s="1094"/>
      <c r="Q1368" s="197"/>
      <c r="R1368" s="197"/>
      <c r="S1368" s="197"/>
      <c r="T1368" s="197"/>
      <c r="U1368" s="1094"/>
      <c r="V1368" s="197"/>
      <c r="W1368" s="197"/>
      <c r="X1368" s="197"/>
      <c r="Y1368" s="197"/>
      <c r="Z1368" s="1094"/>
      <c r="AA1368" s="197"/>
      <c r="AB1368" s="197"/>
      <c r="AC1368" s="197"/>
      <c r="AD1368" s="197"/>
      <c r="AE1368" s="1094"/>
      <c r="AF1368" s="197"/>
      <c r="AG1368" s="197"/>
      <c r="AH1368" s="197"/>
      <c r="AI1368" s="197"/>
      <c r="AJ1368" s="1094"/>
      <c r="AK1368" s="197"/>
      <c r="AL1368" s="197"/>
      <c r="AM1368" s="197"/>
      <c r="AN1368" s="197"/>
      <c r="AO1368" s="1094"/>
      <c r="AP1368" s="197"/>
      <c r="AQ1368" s="197"/>
      <c r="AR1368" s="197"/>
      <c r="AS1368" s="197"/>
      <c r="AT1368" s="198"/>
      <c r="AU1368" s="197"/>
      <c r="AV1368" s="197"/>
      <c r="AW1368" s="197"/>
      <c r="AX1368" s="197"/>
      <c r="AY1368" s="198"/>
      <c r="AZ1368" s="197"/>
      <c r="BA1368" s="197"/>
      <c r="BB1368" s="197"/>
      <c r="BC1368" s="197"/>
      <c r="BD1368" s="198"/>
      <c r="BE1368" s="197"/>
      <c r="BF1368" s="197"/>
      <c r="BG1368" s="197"/>
      <c r="BH1368" s="197"/>
      <c r="BI1368" s="198"/>
      <c r="BJ1368" s="197"/>
      <c r="BK1368" s="197"/>
      <c r="BL1368" s="197"/>
      <c r="BM1368" s="197"/>
      <c r="BN1368" s="198"/>
      <c r="BO1368" s="197"/>
      <c r="BP1368" s="197"/>
      <c r="BQ1368" s="197"/>
      <c r="BR1368" s="197"/>
      <c r="BS1368" s="198"/>
      <c r="BT1368" s="727"/>
      <c r="BU1368" s="197"/>
      <c r="BV1368" s="197"/>
      <c r="BW1368" s="197"/>
      <c r="BX1368" s="1094"/>
      <c r="BY1368" s="197"/>
      <c r="BZ1368" s="197"/>
      <c r="CA1368" s="197"/>
      <c r="CB1368" s="197"/>
      <c r="CC1368" s="1094"/>
      <c r="CD1368" s="1094"/>
      <c r="CE1368" s="1094"/>
      <c r="CF1368" s="1094"/>
      <c r="CG1368" s="349"/>
    </row>
    <row r="1369" spans="1:85" s="613" customFormat="1" x14ac:dyDescent="0.3">
      <c r="A1369" s="478" t="s">
        <v>1210</v>
      </c>
      <c r="B1369" s="523"/>
      <c r="C1369" s="78"/>
      <c r="D1369" s="78"/>
      <c r="E1369" s="78"/>
      <c r="F1369" s="78"/>
      <c r="G1369" s="774"/>
      <c r="H1369" s="774"/>
      <c r="I1369" s="774"/>
      <c r="J1369" s="774"/>
      <c r="K1369" s="78"/>
      <c r="L1369" s="774"/>
      <c r="M1369" s="774"/>
      <c r="N1369" s="774"/>
      <c r="O1369" s="774"/>
      <c r="P1369" s="78"/>
      <c r="Q1369" s="774"/>
      <c r="R1369" s="774"/>
      <c r="S1369" s="774"/>
      <c r="T1369" s="774"/>
      <c r="U1369" s="78"/>
      <c r="V1369" s="774"/>
      <c r="W1369" s="774"/>
      <c r="X1369" s="774"/>
      <c r="Y1369" s="774"/>
      <c r="Z1369" s="78"/>
      <c r="AA1369" s="774"/>
      <c r="AB1369" s="774"/>
      <c r="AC1369" s="774"/>
      <c r="AD1369" s="774"/>
      <c r="AE1369" s="78"/>
      <c r="AF1369" s="774"/>
      <c r="AG1369" s="774"/>
      <c r="AH1369" s="774"/>
      <c r="AI1369" s="774"/>
      <c r="AJ1369" s="78"/>
      <c r="AK1369" s="774"/>
      <c r="AL1369" s="774"/>
      <c r="AM1369" s="774"/>
      <c r="AN1369" s="774"/>
      <c r="AO1369" s="78"/>
      <c r="AP1369" s="774"/>
      <c r="AQ1369" s="774"/>
      <c r="AR1369" s="774"/>
      <c r="AS1369" s="774"/>
      <c r="AT1369" s="1119">
        <v>1.9319999999999999</v>
      </c>
      <c r="AU1369" s="774"/>
      <c r="AV1369" s="774"/>
      <c r="AW1369" s="774"/>
      <c r="AX1369" s="774"/>
      <c r="AY1369" s="1119">
        <v>1.9319999999999999</v>
      </c>
      <c r="AZ1369" s="774"/>
      <c r="BA1369" s="774"/>
      <c r="BB1369" s="774"/>
      <c r="BC1369" s="774"/>
      <c r="BD1369" s="1119">
        <v>1.9319999999999999</v>
      </c>
      <c r="BE1369" s="774"/>
      <c r="BF1369" s="774"/>
      <c r="BG1369" s="774"/>
      <c r="BH1369" s="774"/>
      <c r="BI1369" s="1119">
        <v>1.9319999999999999</v>
      </c>
      <c r="BJ1369" s="774"/>
      <c r="BK1369" s="774"/>
      <c r="BL1369" s="774"/>
      <c r="BM1369" s="774"/>
      <c r="BN1369" s="1119">
        <v>1.9319999999999999</v>
      </c>
      <c r="BO1369" s="774"/>
      <c r="BP1369" s="774"/>
      <c r="BQ1369" s="774"/>
      <c r="BR1369" s="774"/>
      <c r="BS1369" s="78"/>
      <c r="BT1369" s="775"/>
      <c r="BU1369" s="774"/>
      <c r="BV1369" s="774"/>
      <c r="BW1369" s="774"/>
      <c r="BX1369" s="78"/>
      <c r="BY1369" s="774"/>
      <c r="BZ1369" s="774"/>
      <c r="CA1369" s="774"/>
      <c r="CB1369" s="774"/>
      <c r="CC1369" s="78"/>
      <c r="CD1369" s="78"/>
      <c r="CE1369" s="78"/>
      <c r="CF1369" s="78"/>
      <c r="CG1369" s="532"/>
    </row>
    <row r="1370" spans="1:85" s="616" customFormat="1" x14ac:dyDescent="0.3">
      <c r="A1370" s="522" t="s">
        <v>1209</v>
      </c>
      <c r="B1370" s="527"/>
      <c r="C1370" s="1124"/>
      <c r="D1370" s="1124"/>
      <c r="E1370" s="1124"/>
      <c r="F1370" s="1124"/>
      <c r="G1370" s="526"/>
      <c r="H1370" s="526"/>
      <c r="I1370" s="526"/>
      <c r="J1370" s="526"/>
      <c r="K1370" s="1124"/>
      <c r="L1370" s="526"/>
      <c r="M1370" s="526"/>
      <c r="N1370" s="526"/>
      <c r="O1370" s="526"/>
      <c r="P1370" s="1124"/>
      <c r="Q1370" s="526"/>
      <c r="R1370" s="526"/>
      <c r="S1370" s="526"/>
      <c r="T1370" s="526"/>
      <c r="U1370" s="1124"/>
      <c r="V1370" s="526"/>
      <c r="W1370" s="526"/>
      <c r="X1370" s="526"/>
      <c r="Y1370" s="526"/>
      <c r="Z1370" s="1124"/>
      <c r="AA1370" s="526"/>
      <c r="AB1370" s="526"/>
      <c r="AC1370" s="526"/>
      <c r="AD1370" s="526"/>
      <c r="AE1370" s="1124"/>
      <c r="AF1370" s="526"/>
      <c r="AG1370" s="526"/>
      <c r="AH1370" s="526"/>
      <c r="AI1370" s="526"/>
      <c r="AJ1370" s="1124"/>
      <c r="AK1370" s="526"/>
      <c r="AL1370" s="526"/>
      <c r="AM1370" s="526"/>
      <c r="AN1370" s="526"/>
      <c r="AO1370" s="1124"/>
      <c r="AP1370" s="526"/>
      <c r="AQ1370" s="526"/>
      <c r="AR1370" s="526"/>
      <c r="AS1370" s="526"/>
      <c r="AT1370" s="1123">
        <v>425.92</v>
      </c>
      <c r="AU1370" s="526"/>
      <c r="AV1370" s="526"/>
      <c r="AW1370" s="526"/>
      <c r="AX1370" s="526"/>
      <c r="AY1370" s="1123">
        <v>425.92</v>
      </c>
      <c r="AZ1370" s="526"/>
      <c r="BA1370" s="526"/>
      <c r="BB1370" s="526"/>
      <c r="BC1370" s="526"/>
      <c r="BD1370" s="1123">
        <v>425.92</v>
      </c>
      <c r="BE1370" s="526"/>
      <c r="BF1370" s="526"/>
      <c r="BG1370" s="526"/>
      <c r="BH1370" s="526"/>
      <c r="BI1370" s="1123">
        <v>425.92</v>
      </c>
      <c r="BJ1370" s="526"/>
      <c r="BK1370" s="526"/>
      <c r="BL1370" s="526"/>
      <c r="BM1370" s="526"/>
      <c r="BN1370" s="1123">
        <v>425.92</v>
      </c>
      <c r="BO1370" s="526"/>
      <c r="BP1370" s="526"/>
      <c r="BQ1370" s="526"/>
      <c r="BR1370" s="526"/>
      <c r="BS1370" s="1124"/>
      <c r="BT1370" s="729"/>
      <c r="BU1370" s="526"/>
      <c r="BV1370" s="526"/>
      <c r="BW1370" s="526"/>
      <c r="BX1370" s="1124"/>
      <c r="BY1370" s="526"/>
      <c r="BZ1370" s="526"/>
      <c r="CA1370" s="526"/>
      <c r="CB1370" s="526"/>
      <c r="CC1370" s="1124"/>
      <c r="CD1370" s="1124"/>
      <c r="CE1370" s="1124"/>
      <c r="CF1370" s="1124"/>
      <c r="CG1370" s="533"/>
    </row>
    <row r="1371" spans="1:85" s="614" customFormat="1" x14ac:dyDescent="0.3">
      <c r="A1371" s="522"/>
      <c r="B1371" s="352"/>
      <c r="C1371" s="1094"/>
      <c r="D1371" s="1094"/>
      <c r="E1371" s="1094"/>
      <c r="F1371" s="1094"/>
      <c r="G1371" s="197"/>
      <c r="H1371" s="197"/>
      <c r="I1371" s="197"/>
      <c r="J1371" s="197"/>
      <c r="K1371" s="1094"/>
      <c r="L1371" s="197"/>
      <c r="M1371" s="197"/>
      <c r="N1371" s="197"/>
      <c r="O1371" s="197"/>
      <c r="P1371" s="1094"/>
      <c r="Q1371" s="197"/>
      <c r="R1371" s="197"/>
      <c r="S1371" s="197"/>
      <c r="T1371" s="197"/>
      <c r="U1371" s="1094"/>
      <c r="V1371" s="197"/>
      <c r="W1371" s="197"/>
      <c r="X1371" s="197"/>
      <c r="Y1371" s="197"/>
      <c r="Z1371" s="1094"/>
      <c r="AA1371" s="197"/>
      <c r="AB1371" s="197"/>
      <c r="AC1371" s="197"/>
      <c r="AD1371" s="197"/>
      <c r="AE1371" s="1094"/>
      <c r="AF1371" s="197"/>
      <c r="AG1371" s="197"/>
      <c r="AH1371" s="197"/>
      <c r="AI1371" s="197"/>
      <c r="AJ1371" s="1094"/>
      <c r="AK1371" s="197"/>
      <c r="AL1371" s="197"/>
      <c r="AM1371" s="197"/>
      <c r="AN1371" s="197"/>
      <c r="AO1371" s="1094"/>
      <c r="AP1371" s="197"/>
      <c r="AQ1371" s="197"/>
      <c r="AR1371" s="197"/>
      <c r="AS1371" s="197"/>
      <c r="AT1371" s="198"/>
      <c r="AU1371" s="197"/>
      <c r="AV1371" s="197"/>
      <c r="AW1371" s="197"/>
      <c r="AX1371" s="197"/>
      <c r="AY1371" s="198"/>
      <c r="AZ1371" s="197"/>
      <c r="BA1371" s="197"/>
      <c r="BB1371" s="197"/>
      <c r="BC1371" s="197"/>
      <c r="BD1371" s="198"/>
      <c r="BE1371" s="197"/>
      <c r="BF1371" s="197"/>
      <c r="BG1371" s="197"/>
      <c r="BH1371" s="197"/>
      <c r="BI1371" s="198"/>
      <c r="BJ1371" s="197"/>
      <c r="BK1371" s="197"/>
      <c r="BL1371" s="197"/>
      <c r="BM1371" s="197"/>
      <c r="BN1371" s="198"/>
      <c r="BO1371" s="197"/>
      <c r="BP1371" s="197"/>
      <c r="BQ1371" s="197"/>
      <c r="BR1371" s="197"/>
      <c r="BS1371" s="198"/>
      <c r="BT1371" s="727"/>
      <c r="BU1371" s="197"/>
      <c r="BV1371" s="197"/>
      <c r="BW1371" s="197"/>
      <c r="BX1371" s="1094"/>
      <c r="BY1371" s="197"/>
      <c r="BZ1371" s="197"/>
      <c r="CA1371" s="197"/>
      <c r="CB1371" s="197"/>
      <c r="CC1371" s="1094"/>
      <c r="CD1371" s="1094"/>
      <c r="CE1371" s="1094"/>
      <c r="CF1371" s="1094"/>
      <c r="CG1371" s="349"/>
    </row>
    <row r="1372" spans="1:85" s="613" customFormat="1" x14ac:dyDescent="0.3">
      <c r="A1372" s="478" t="s">
        <v>1208</v>
      </c>
      <c r="B1372" s="523"/>
      <c r="C1372" s="78"/>
      <c r="D1372" s="78"/>
      <c r="E1372" s="78"/>
      <c r="F1372" s="78"/>
      <c r="G1372" s="774"/>
      <c r="H1372" s="774"/>
      <c r="I1372" s="774"/>
      <c r="J1372" s="774"/>
      <c r="K1372" s="78"/>
      <c r="L1372" s="774"/>
      <c r="M1372" s="774"/>
      <c r="N1372" s="774"/>
      <c r="O1372" s="774"/>
      <c r="P1372" s="78"/>
      <c r="Q1372" s="774"/>
      <c r="R1372" s="774"/>
      <c r="S1372" s="774"/>
      <c r="T1372" s="774"/>
      <c r="U1372" s="78"/>
      <c r="V1372" s="774"/>
      <c r="W1372" s="774"/>
      <c r="X1372" s="774"/>
      <c r="Y1372" s="774"/>
      <c r="Z1372" s="78"/>
      <c r="AA1372" s="774"/>
      <c r="AB1372" s="774"/>
      <c r="AC1372" s="774"/>
      <c r="AD1372" s="774"/>
      <c r="AE1372" s="78"/>
      <c r="AF1372" s="774"/>
      <c r="AG1372" s="774"/>
      <c r="AH1372" s="774"/>
      <c r="AI1372" s="774"/>
      <c r="AJ1372" s="78"/>
      <c r="AK1372" s="774"/>
      <c r="AL1372" s="774"/>
      <c r="AM1372" s="774"/>
      <c r="AN1372" s="774"/>
      <c r="AO1372" s="78"/>
      <c r="AP1372" s="774"/>
      <c r="AQ1372" s="774"/>
      <c r="AR1372" s="774"/>
      <c r="AS1372" s="774"/>
      <c r="AT1372" s="1119">
        <v>1.6949999999999998</v>
      </c>
      <c r="AU1372" s="774"/>
      <c r="AV1372" s="774"/>
      <c r="AW1372" s="774"/>
      <c r="AX1372" s="774"/>
      <c r="AY1372" s="1119">
        <v>1.6949999999999998</v>
      </c>
      <c r="AZ1372" s="774"/>
      <c r="BA1372" s="774"/>
      <c r="BB1372" s="774"/>
      <c r="BC1372" s="774"/>
      <c r="BD1372" s="1119">
        <v>1.6949999999999998</v>
      </c>
      <c r="BE1372" s="774"/>
      <c r="BF1372" s="774"/>
      <c r="BG1372" s="774"/>
      <c r="BH1372" s="774"/>
      <c r="BI1372" s="1119">
        <v>1.6949999999999998</v>
      </c>
      <c r="BJ1372" s="774"/>
      <c r="BK1372" s="774"/>
      <c r="BL1372" s="774"/>
      <c r="BM1372" s="774"/>
      <c r="BN1372" s="1119">
        <v>1.6950000000000001</v>
      </c>
      <c r="BO1372" s="774"/>
      <c r="BP1372" s="774"/>
      <c r="BQ1372" s="774"/>
      <c r="BR1372" s="774"/>
      <c r="BS1372" s="78"/>
      <c r="BT1372" s="775"/>
      <c r="BU1372" s="774"/>
      <c r="BV1372" s="774"/>
      <c r="BW1372" s="774"/>
      <c r="BX1372" s="78"/>
      <c r="BY1372" s="774"/>
      <c r="BZ1372" s="774"/>
      <c r="CA1372" s="774"/>
      <c r="CB1372" s="774"/>
      <c r="CC1372" s="78"/>
      <c r="CD1372" s="78"/>
      <c r="CE1372" s="78"/>
      <c r="CF1372" s="78"/>
      <c r="CG1372" s="532"/>
    </row>
    <row r="1373" spans="1:85" s="616" customFormat="1" x14ac:dyDescent="0.3">
      <c r="A1373" s="522" t="s">
        <v>1207</v>
      </c>
      <c r="B1373" s="527"/>
      <c r="C1373" s="1124"/>
      <c r="D1373" s="1124"/>
      <c r="E1373" s="1124"/>
      <c r="F1373" s="1124"/>
      <c r="G1373" s="526"/>
      <c r="H1373" s="526"/>
      <c r="I1373" s="526"/>
      <c r="J1373" s="526"/>
      <c r="K1373" s="1124"/>
      <c r="L1373" s="526"/>
      <c r="M1373" s="526"/>
      <c r="N1373" s="526"/>
      <c r="O1373" s="526"/>
      <c r="P1373" s="1124"/>
      <c r="Q1373" s="526"/>
      <c r="R1373" s="526"/>
      <c r="S1373" s="526"/>
      <c r="T1373" s="526"/>
      <c r="U1373" s="1124"/>
      <c r="V1373" s="526"/>
      <c r="W1373" s="526"/>
      <c r="X1373" s="526"/>
      <c r="Y1373" s="526"/>
      <c r="Z1373" s="1124"/>
      <c r="AA1373" s="526"/>
      <c r="AB1373" s="526"/>
      <c r="AC1373" s="526"/>
      <c r="AD1373" s="526"/>
      <c r="AE1373" s="1124"/>
      <c r="AF1373" s="526"/>
      <c r="AG1373" s="526"/>
      <c r="AH1373" s="526"/>
      <c r="AI1373" s="526"/>
      <c r="AJ1373" s="1124"/>
      <c r="AK1373" s="526"/>
      <c r="AL1373" s="526"/>
      <c r="AM1373" s="526"/>
      <c r="AN1373" s="526"/>
      <c r="AO1373" s="1124"/>
      <c r="AP1373" s="526"/>
      <c r="AQ1373" s="526"/>
      <c r="AR1373" s="526"/>
      <c r="AS1373" s="526"/>
      <c r="AT1373" s="1123">
        <v>485.64</v>
      </c>
      <c r="AU1373" s="526"/>
      <c r="AV1373" s="526"/>
      <c r="AW1373" s="526"/>
      <c r="AX1373" s="526"/>
      <c r="AY1373" s="1123">
        <v>485.64</v>
      </c>
      <c r="AZ1373" s="526"/>
      <c r="BA1373" s="526"/>
      <c r="BB1373" s="526"/>
      <c r="BC1373" s="526"/>
      <c r="BD1373" s="1123">
        <v>485.64</v>
      </c>
      <c r="BE1373" s="526"/>
      <c r="BF1373" s="526"/>
      <c r="BG1373" s="526"/>
      <c r="BH1373" s="526"/>
      <c r="BI1373" s="1123">
        <v>485.64</v>
      </c>
      <c r="BJ1373" s="526"/>
      <c r="BK1373" s="526"/>
      <c r="BL1373" s="526"/>
      <c r="BM1373" s="526"/>
      <c r="BN1373" s="1123">
        <v>485.64</v>
      </c>
      <c r="BO1373" s="526"/>
      <c r="BP1373" s="526"/>
      <c r="BQ1373" s="526"/>
      <c r="BR1373" s="526"/>
      <c r="BS1373" s="1124"/>
      <c r="BT1373" s="729"/>
      <c r="BU1373" s="526"/>
      <c r="BV1373" s="526"/>
      <c r="BW1373" s="526"/>
      <c r="BX1373" s="1124"/>
      <c r="BY1373" s="526"/>
      <c r="BZ1373" s="526"/>
      <c r="CA1373" s="526"/>
      <c r="CB1373" s="526"/>
      <c r="CC1373" s="1124"/>
      <c r="CD1373" s="1124"/>
      <c r="CE1373" s="1124"/>
      <c r="CF1373" s="1124"/>
      <c r="CG1373" s="533"/>
    </row>
    <row r="1374" spans="1:85" s="614" customFormat="1" x14ac:dyDescent="0.3">
      <c r="A1374" s="522"/>
      <c r="B1374" s="352"/>
      <c r="C1374" s="1094"/>
      <c r="D1374" s="1094"/>
      <c r="E1374" s="1094"/>
      <c r="F1374" s="1094"/>
      <c r="G1374" s="197"/>
      <c r="H1374" s="197"/>
      <c r="I1374" s="197"/>
      <c r="J1374" s="197"/>
      <c r="K1374" s="1094"/>
      <c r="L1374" s="197"/>
      <c r="M1374" s="197"/>
      <c r="N1374" s="197"/>
      <c r="O1374" s="197"/>
      <c r="P1374" s="1094"/>
      <c r="Q1374" s="197"/>
      <c r="R1374" s="197"/>
      <c r="S1374" s="197"/>
      <c r="T1374" s="197"/>
      <c r="U1374" s="1094"/>
      <c r="V1374" s="197"/>
      <c r="W1374" s="197"/>
      <c r="X1374" s="197"/>
      <c r="Y1374" s="197"/>
      <c r="Z1374" s="1094"/>
      <c r="AA1374" s="197"/>
      <c r="AB1374" s="197"/>
      <c r="AC1374" s="197"/>
      <c r="AD1374" s="197"/>
      <c r="AE1374" s="1094"/>
      <c r="AF1374" s="197"/>
      <c r="AG1374" s="197"/>
      <c r="AH1374" s="197"/>
      <c r="AI1374" s="197"/>
      <c r="AJ1374" s="1094"/>
      <c r="AK1374" s="197"/>
      <c r="AL1374" s="197"/>
      <c r="AM1374" s="197"/>
      <c r="AN1374" s="197"/>
      <c r="AO1374" s="1094"/>
      <c r="AP1374" s="197"/>
      <c r="AQ1374" s="197"/>
      <c r="AR1374" s="197"/>
      <c r="AS1374" s="197"/>
      <c r="AT1374" s="198"/>
      <c r="AU1374" s="197"/>
      <c r="AV1374" s="197"/>
      <c r="AW1374" s="197"/>
      <c r="AX1374" s="197"/>
      <c r="AY1374" s="198"/>
      <c r="AZ1374" s="197"/>
      <c r="BA1374" s="197"/>
      <c r="BB1374" s="197"/>
      <c r="BC1374" s="197"/>
      <c r="BD1374" s="198"/>
      <c r="BE1374" s="197"/>
      <c r="BF1374" s="197"/>
      <c r="BG1374" s="197"/>
      <c r="BH1374" s="197"/>
      <c r="BI1374" s="198"/>
      <c r="BJ1374" s="197"/>
      <c r="BK1374" s="197"/>
      <c r="BL1374" s="197"/>
      <c r="BM1374" s="197"/>
      <c r="BN1374" s="198"/>
      <c r="BO1374" s="197"/>
      <c r="BP1374" s="197"/>
      <c r="BQ1374" s="197"/>
      <c r="BR1374" s="197"/>
      <c r="BS1374" s="198"/>
      <c r="BT1374" s="727"/>
      <c r="BU1374" s="197"/>
      <c r="BV1374" s="197"/>
      <c r="BW1374" s="197"/>
      <c r="BX1374" s="1094"/>
      <c r="BY1374" s="197"/>
      <c r="BZ1374" s="197"/>
      <c r="CA1374" s="197"/>
      <c r="CB1374" s="197"/>
      <c r="CC1374" s="1094"/>
      <c r="CD1374" s="1094"/>
      <c r="CE1374" s="1094"/>
      <c r="CF1374" s="1094"/>
      <c r="CG1374" s="349"/>
    </row>
    <row r="1375" spans="1:85" s="613" customFormat="1" x14ac:dyDescent="0.3">
      <c r="A1375" s="478" t="s">
        <v>1206</v>
      </c>
      <c r="B1375" s="523"/>
      <c r="C1375" s="78"/>
      <c r="D1375" s="78"/>
      <c r="E1375" s="78"/>
      <c r="F1375" s="78"/>
      <c r="G1375" s="774"/>
      <c r="H1375" s="774"/>
      <c r="I1375" s="774"/>
      <c r="J1375" s="774"/>
      <c r="K1375" s="78"/>
      <c r="L1375" s="774"/>
      <c r="M1375" s="774"/>
      <c r="N1375" s="774"/>
      <c r="O1375" s="774"/>
      <c r="P1375" s="78"/>
      <c r="Q1375" s="774"/>
      <c r="R1375" s="774"/>
      <c r="S1375" s="774"/>
      <c r="T1375" s="774"/>
      <c r="U1375" s="78"/>
      <c r="V1375" s="774"/>
      <c r="W1375" s="774"/>
      <c r="X1375" s="774"/>
      <c r="Y1375" s="774"/>
      <c r="Z1375" s="78"/>
      <c r="AA1375" s="774"/>
      <c r="AB1375" s="774"/>
      <c r="AC1375" s="774"/>
      <c r="AD1375" s="774"/>
      <c r="AE1375" s="78"/>
      <c r="AF1375" s="774"/>
      <c r="AG1375" s="774"/>
      <c r="AH1375" s="774"/>
      <c r="AI1375" s="774"/>
      <c r="AJ1375" s="78"/>
      <c r="AK1375" s="774"/>
      <c r="AL1375" s="774"/>
      <c r="AM1375" s="774"/>
      <c r="AN1375" s="774"/>
      <c r="AO1375" s="78"/>
      <c r="AP1375" s="774"/>
      <c r="AQ1375" s="774"/>
      <c r="AR1375" s="774"/>
      <c r="AS1375" s="774"/>
      <c r="AT1375" s="1119">
        <v>1.65</v>
      </c>
      <c r="AU1375" s="774"/>
      <c r="AV1375" s="774"/>
      <c r="AW1375" s="774"/>
      <c r="AX1375" s="774"/>
      <c r="AY1375" s="1119">
        <v>1.65</v>
      </c>
      <c r="AZ1375" s="774"/>
      <c r="BA1375" s="774"/>
      <c r="BB1375" s="774"/>
      <c r="BC1375" s="774"/>
      <c r="BD1375" s="1119">
        <v>1.65</v>
      </c>
      <c r="BE1375" s="774"/>
      <c r="BF1375" s="774"/>
      <c r="BG1375" s="774"/>
      <c r="BH1375" s="774"/>
      <c r="BI1375" s="1119">
        <v>1.65</v>
      </c>
      <c r="BJ1375" s="774"/>
      <c r="BK1375" s="774"/>
      <c r="BL1375" s="774"/>
      <c r="BM1375" s="774"/>
      <c r="BN1375" s="1119">
        <v>1.65</v>
      </c>
      <c r="BO1375" s="774"/>
      <c r="BP1375" s="774"/>
      <c r="BQ1375" s="774"/>
      <c r="BR1375" s="774"/>
      <c r="BS1375" s="78"/>
      <c r="BT1375" s="775"/>
      <c r="BU1375" s="774"/>
      <c r="BV1375" s="774"/>
      <c r="BW1375" s="774"/>
      <c r="BX1375" s="78"/>
      <c r="BY1375" s="774"/>
      <c r="BZ1375" s="774"/>
      <c r="CA1375" s="774"/>
      <c r="CB1375" s="774"/>
      <c r="CC1375" s="78"/>
      <c r="CD1375" s="78"/>
      <c r="CE1375" s="78"/>
      <c r="CF1375" s="78"/>
      <c r="CG1375" s="532"/>
    </row>
    <row r="1376" spans="1:85" s="616" customFormat="1" x14ac:dyDescent="0.3">
      <c r="A1376" s="522" t="s">
        <v>1205</v>
      </c>
      <c r="B1376" s="527"/>
      <c r="C1376" s="1124"/>
      <c r="D1376" s="1124"/>
      <c r="E1376" s="1124"/>
      <c r="F1376" s="1124"/>
      <c r="G1376" s="526"/>
      <c r="H1376" s="526"/>
      <c r="I1376" s="526"/>
      <c r="J1376" s="526"/>
      <c r="K1376" s="1124"/>
      <c r="L1376" s="526"/>
      <c r="M1376" s="526"/>
      <c r="N1376" s="526"/>
      <c r="O1376" s="526"/>
      <c r="P1376" s="1124"/>
      <c r="Q1376" s="526"/>
      <c r="R1376" s="526"/>
      <c r="S1376" s="526"/>
      <c r="T1376" s="526"/>
      <c r="U1376" s="1124"/>
      <c r="V1376" s="526"/>
      <c r="W1376" s="526"/>
      <c r="X1376" s="526"/>
      <c r="Y1376" s="526"/>
      <c r="Z1376" s="1124"/>
      <c r="AA1376" s="526"/>
      <c r="AB1376" s="526"/>
      <c r="AC1376" s="526"/>
      <c r="AD1376" s="526"/>
      <c r="AE1376" s="1124"/>
      <c r="AF1376" s="526"/>
      <c r="AG1376" s="526"/>
      <c r="AH1376" s="526"/>
      <c r="AI1376" s="526"/>
      <c r="AJ1376" s="1124"/>
      <c r="AK1376" s="526"/>
      <c r="AL1376" s="526"/>
      <c r="AM1376" s="526"/>
      <c r="AN1376" s="526"/>
      <c r="AO1376" s="1124"/>
      <c r="AP1376" s="526"/>
      <c r="AQ1376" s="526"/>
      <c r="AR1376" s="526"/>
      <c r="AS1376" s="526"/>
      <c r="AT1376" s="1123">
        <v>498.62</v>
      </c>
      <c r="AU1376" s="526"/>
      <c r="AV1376" s="526"/>
      <c r="AW1376" s="526"/>
      <c r="AX1376" s="526"/>
      <c r="AY1376" s="1123">
        <v>498.62</v>
      </c>
      <c r="AZ1376" s="526"/>
      <c r="BA1376" s="526"/>
      <c r="BB1376" s="526"/>
      <c r="BC1376" s="526"/>
      <c r="BD1376" s="1123">
        <v>498.62</v>
      </c>
      <c r="BE1376" s="526"/>
      <c r="BF1376" s="526"/>
      <c r="BG1376" s="526"/>
      <c r="BH1376" s="526"/>
      <c r="BI1376" s="1123">
        <v>498.62</v>
      </c>
      <c r="BJ1376" s="526"/>
      <c r="BK1376" s="526"/>
      <c r="BL1376" s="526"/>
      <c r="BM1376" s="526"/>
      <c r="BN1376" s="1123">
        <v>498.62</v>
      </c>
      <c r="BO1376" s="526"/>
      <c r="BP1376" s="526"/>
      <c r="BQ1376" s="526"/>
      <c r="BR1376" s="526"/>
      <c r="BS1376" s="1124"/>
      <c r="BT1376" s="729"/>
      <c r="BU1376" s="526"/>
      <c r="BV1376" s="526"/>
      <c r="BW1376" s="526"/>
      <c r="BX1376" s="1124"/>
      <c r="BY1376" s="526"/>
      <c r="BZ1376" s="526"/>
      <c r="CA1376" s="526"/>
      <c r="CB1376" s="526"/>
      <c r="CC1376" s="1124"/>
      <c r="CD1376" s="1124"/>
      <c r="CE1376" s="1124"/>
      <c r="CF1376" s="1124"/>
      <c r="CG1376" s="533"/>
    </row>
    <row r="1377" spans="1:85" s="614" customFormat="1" x14ac:dyDescent="0.3">
      <c r="A1377" s="522"/>
      <c r="B1377" s="352"/>
      <c r="C1377" s="1094"/>
      <c r="D1377" s="1094"/>
      <c r="E1377" s="1094"/>
      <c r="F1377" s="1094"/>
      <c r="G1377" s="197"/>
      <c r="H1377" s="197"/>
      <c r="I1377" s="197"/>
      <c r="J1377" s="197"/>
      <c r="K1377" s="1094"/>
      <c r="L1377" s="197"/>
      <c r="M1377" s="197"/>
      <c r="N1377" s="197"/>
      <c r="O1377" s="197"/>
      <c r="P1377" s="1094"/>
      <c r="Q1377" s="197"/>
      <c r="R1377" s="197"/>
      <c r="S1377" s="197"/>
      <c r="T1377" s="197"/>
      <c r="U1377" s="1094"/>
      <c r="V1377" s="197"/>
      <c r="W1377" s="197"/>
      <c r="X1377" s="197"/>
      <c r="Y1377" s="197"/>
      <c r="Z1377" s="1094"/>
      <c r="AA1377" s="197"/>
      <c r="AB1377" s="197"/>
      <c r="AC1377" s="197"/>
      <c r="AD1377" s="197"/>
      <c r="AE1377" s="1094"/>
      <c r="AF1377" s="197"/>
      <c r="AG1377" s="197"/>
      <c r="AH1377" s="197"/>
      <c r="AI1377" s="197"/>
      <c r="AJ1377" s="1094"/>
      <c r="AK1377" s="197"/>
      <c r="AL1377" s="197"/>
      <c r="AM1377" s="197"/>
      <c r="AN1377" s="197"/>
      <c r="AO1377" s="1094"/>
      <c r="AP1377" s="197"/>
      <c r="AQ1377" s="197"/>
      <c r="AR1377" s="197"/>
      <c r="AS1377" s="197"/>
      <c r="AT1377" s="198"/>
      <c r="AU1377" s="197"/>
      <c r="AV1377" s="197"/>
      <c r="AW1377" s="197"/>
      <c r="AX1377" s="197"/>
      <c r="AY1377" s="198"/>
      <c r="AZ1377" s="197"/>
      <c r="BA1377" s="197"/>
      <c r="BB1377" s="197"/>
      <c r="BC1377" s="197"/>
      <c r="BD1377" s="198"/>
      <c r="BE1377" s="197"/>
      <c r="BF1377" s="197"/>
      <c r="BG1377" s="197"/>
      <c r="BH1377" s="197"/>
      <c r="BI1377" s="198"/>
      <c r="BJ1377" s="197"/>
      <c r="BK1377" s="197"/>
      <c r="BL1377" s="197"/>
      <c r="BM1377" s="197"/>
      <c r="BN1377" s="198"/>
      <c r="BO1377" s="197"/>
      <c r="BP1377" s="197"/>
      <c r="BQ1377" s="197"/>
      <c r="BR1377" s="197"/>
      <c r="BS1377" s="198"/>
      <c r="BT1377" s="727"/>
      <c r="BU1377" s="197"/>
      <c r="BV1377" s="197"/>
      <c r="BW1377" s="197"/>
      <c r="BX1377" s="1094"/>
      <c r="BY1377" s="197"/>
      <c r="BZ1377" s="197"/>
      <c r="CA1377" s="197"/>
      <c r="CB1377" s="197"/>
      <c r="CC1377" s="1094"/>
      <c r="CD1377" s="1094"/>
      <c r="CE1377" s="1094"/>
      <c r="CF1377" s="1094"/>
      <c r="CG1377" s="349"/>
    </row>
    <row r="1378" spans="1:85" s="613" customFormat="1" x14ac:dyDescent="0.3">
      <c r="A1378" s="478" t="s">
        <v>1204</v>
      </c>
      <c r="B1378" s="523"/>
      <c r="C1378" s="78"/>
      <c r="D1378" s="78"/>
      <c r="E1378" s="78"/>
      <c r="F1378" s="78"/>
      <c r="G1378" s="774"/>
      <c r="H1378" s="774"/>
      <c r="I1378" s="774"/>
      <c r="J1378" s="774"/>
      <c r="K1378" s="78"/>
      <c r="L1378" s="774"/>
      <c r="M1378" s="774"/>
      <c r="N1378" s="774"/>
      <c r="O1378" s="774"/>
      <c r="P1378" s="78"/>
      <c r="Q1378" s="774"/>
      <c r="R1378" s="774"/>
      <c r="S1378" s="774"/>
      <c r="T1378" s="774"/>
      <c r="U1378" s="78"/>
      <c r="V1378" s="774"/>
      <c r="W1378" s="774"/>
      <c r="X1378" s="774"/>
      <c r="Y1378" s="774"/>
      <c r="Z1378" s="78"/>
      <c r="AA1378" s="774"/>
      <c r="AB1378" s="774"/>
      <c r="AC1378" s="774"/>
      <c r="AD1378" s="774"/>
      <c r="AE1378" s="78"/>
      <c r="AF1378" s="774"/>
      <c r="AG1378" s="774"/>
      <c r="AH1378" s="774"/>
      <c r="AI1378" s="774"/>
      <c r="AJ1378" s="78"/>
      <c r="AK1378" s="774"/>
      <c r="AL1378" s="774"/>
      <c r="AM1378" s="774"/>
      <c r="AN1378" s="774"/>
      <c r="AO1378" s="78"/>
      <c r="AP1378" s="774"/>
      <c r="AQ1378" s="774"/>
      <c r="AR1378" s="774"/>
      <c r="AS1378" s="774"/>
      <c r="AT1378" s="1119">
        <v>1.4790000000000001</v>
      </c>
      <c r="AU1378" s="774"/>
      <c r="AV1378" s="774"/>
      <c r="AW1378" s="774"/>
      <c r="AX1378" s="774"/>
      <c r="AY1378" s="1119">
        <v>1.4790000000000001</v>
      </c>
      <c r="AZ1378" s="774"/>
      <c r="BA1378" s="774"/>
      <c r="BB1378" s="774"/>
      <c r="BC1378" s="774"/>
      <c r="BD1378" s="1119">
        <v>1.4790000000000001</v>
      </c>
      <c r="BE1378" s="774"/>
      <c r="BF1378" s="774"/>
      <c r="BG1378" s="774"/>
      <c r="BH1378" s="774"/>
      <c r="BI1378" s="1119">
        <v>1.4790000000000001</v>
      </c>
      <c r="BJ1378" s="774"/>
      <c r="BK1378" s="774"/>
      <c r="BL1378" s="774"/>
      <c r="BM1378" s="774"/>
      <c r="BN1378" s="1119">
        <v>1.4790000000000001</v>
      </c>
      <c r="BO1378" s="774"/>
      <c r="BP1378" s="774"/>
      <c r="BQ1378" s="774"/>
      <c r="BR1378" s="774"/>
      <c r="BS1378" s="78"/>
      <c r="BT1378" s="775"/>
      <c r="BU1378" s="774"/>
      <c r="BV1378" s="774"/>
      <c r="BW1378" s="774"/>
      <c r="BX1378" s="78"/>
      <c r="BY1378" s="774"/>
      <c r="BZ1378" s="774"/>
      <c r="CA1378" s="774"/>
      <c r="CB1378" s="774"/>
      <c r="CC1378" s="78"/>
      <c r="CD1378" s="78"/>
      <c r="CE1378" s="78"/>
      <c r="CF1378" s="78"/>
      <c r="CG1378" s="532"/>
    </row>
    <row r="1379" spans="1:85" s="616" customFormat="1" x14ac:dyDescent="0.3">
      <c r="A1379" s="522" t="s">
        <v>1203</v>
      </c>
      <c r="B1379" s="527"/>
      <c r="C1379" s="1124"/>
      <c r="D1379" s="1124"/>
      <c r="E1379" s="1124"/>
      <c r="F1379" s="1124"/>
      <c r="G1379" s="526"/>
      <c r="H1379" s="526"/>
      <c r="I1379" s="526"/>
      <c r="J1379" s="526"/>
      <c r="K1379" s="1124"/>
      <c r="L1379" s="526"/>
      <c r="M1379" s="526"/>
      <c r="N1379" s="526"/>
      <c r="O1379" s="526"/>
      <c r="P1379" s="1124"/>
      <c r="Q1379" s="526"/>
      <c r="R1379" s="526"/>
      <c r="S1379" s="526"/>
      <c r="T1379" s="526"/>
      <c r="U1379" s="1124"/>
      <c r="V1379" s="526"/>
      <c r="W1379" s="526"/>
      <c r="X1379" s="526"/>
      <c r="Y1379" s="526"/>
      <c r="Z1379" s="1124"/>
      <c r="AA1379" s="526"/>
      <c r="AB1379" s="526"/>
      <c r="AC1379" s="526"/>
      <c r="AD1379" s="526"/>
      <c r="AE1379" s="1124"/>
      <c r="AF1379" s="526"/>
      <c r="AG1379" s="526"/>
      <c r="AH1379" s="526"/>
      <c r="AI1379" s="526"/>
      <c r="AJ1379" s="1124"/>
      <c r="AK1379" s="526"/>
      <c r="AL1379" s="526"/>
      <c r="AM1379" s="526"/>
      <c r="AN1379" s="526"/>
      <c r="AO1379" s="1124"/>
      <c r="AP1379" s="526"/>
      <c r="AQ1379" s="526"/>
      <c r="AR1379" s="526"/>
      <c r="AS1379" s="526"/>
      <c r="AT1379" s="1123">
        <v>556.54999999999995</v>
      </c>
      <c r="AU1379" s="526"/>
      <c r="AV1379" s="526"/>
      <c r="AW1379" s="526"/>
      <c r="AX1379" s="526"/>
      <c r="AY1379" s="1123">
        <v>556.54999999999995</v>
      </c>
      <c r="AZ1379" s="526"/>
      <c r="BA1379" s="526"/>
      <c r="BB1379" s="526"/>
      <c r="BC1379" s="526"/>
      <c r="BD1379" s="1123">
        <v>556.54999999999995</v>
      </c>
      <c r="BE1379" s="526"/>
      <c r="BF1379" s="526"/>
      <c r="BG1379" s="526"/>
      <c r="BH1379" s="526"/>
      <c r="BI1379" s="1123">
        <v>556.54999999999995</v>
      </c>
      <c r="BJ1379" s="526"/>
      <c r="BK1379" s="526"/>
      <c r="BL1379" s="526"/>
      <c r="BM1379" s="526"/>
      <c r="BN1379" s="1123">
        <v>556.54999999999995</v>
      </c>
      <c r="BO1379" s="526"/>
      <c r="BP1379" s="526"/>
      <c r="BQ1379" s="526"/>
      <c r="BR1379" s="526"/>
      <c r="BS1379" s="1124"/>
      <c r="BT1379" s="729"/>
      <c r="BU1379" s="526"/>
      <c r="BV1379" s="526"/>
      <c r="BW1379" s="526"/>
      <c r="BX1379" s="1124"/>
      <c r="BY1379" s="526"/>
      <c r="BZ1379" s="526"/>
      <c r="CA1379" s="526"/>
      <c r="CB1379" s="526"/>
      <c r="CC1379" s="1124"/>
      <c r="CD1379" s="1124"/>
      <c r="CE1379" s="1124"/>
      <c r="CF1379" s="1124"/>
      <c r="CG1379" s="533"/>
    </row>
    <row r="1380" spans="1:85" s="614" customFormat="1" x14ac:dyDescent="0.3">
      <c r="A1380" s="522"/>
      <c r="B1380" s="352"/>
      <c r="C1380" s="1094"/>
      <c r="D1380" s="1094"/>
      <c r="E1380" s="1094"/>
      <c r="F1380" s="1094"/>
      <c r="G1380" s="197"/>
      <c r="H1380" s="197"/>
      <c r="I1380" s="197"/>
      <c r="J1380" s="197"/>
      <c r="K1380" s="1094"/>
      <c r="L1380" s="197"/>
      <c r="M1380" s="197"/>
      <c r="N1380" s="197"/>
      <c r="O1380" s="197"/>
      <c r="P1380" s="1094"/>
      <c r="Q1380" s="197"/>
      <c r="R1380" s="197"/>
      <c r="S1380" s="197"/>
      <c r="T1380" s="197"/>
      <c r="U1380" s="1094"/>
      <c r="V1380" s="197"/>
      <c r="W1380" s="197"/>
      <c r="X1380" s="197"/>
      <c r="Y1380" s="197"/>
      <c r="Z1380" s="1094"/>
      <c r="AA1380" s="197"/>
      <c r="AB1380" s="197"/>
      <c r="AC1380" s="197"/>
      <c r="AD1380" s="197"/>
      <c r="AE1380" s="1094"/>
      <c r="AF1380" s="197"/>
      <c r="AG1380" s="197"/>
      <c r="AH1380" s="197"/>
      <c r="AI1380" s="197"/>
      <c r="AJ1380" s="1094"/>
      <c r="AK1380" s="197"/>
      <c r="AL1380" s="197"/>
      <c r="AM1380" s="197"/>
      <c r="AN1380" s="197"/>
      <c r="AO1380" s="1094"/>
      <c r="AP1380" s="197"/>
      <c r="AQ1380" s="197"/>
      <c r="AR1380" s="197"/>
      <c r="AS1380" s="197"/>
      <c r="AT1380" s="198"/>
      <c r="AU1380" s="197"/>
      <c r="AV1380" s="197"/>
      <c r="AW1380" s="197"/>
      <c r="AX1380" s="197"/>
      <c r="AY1380" s="198"/>
      <c r="AZ1380" s="197"/>
      <c r="BA1380" s="197"/>
      <c r="BB1380" s="197"/>
      <c r="BC1380" s="197"/>
      <c r="BD1380" s="198"/>
      <c r="BE1380" s="197"/>
      <c r="BF1380" s="197"/>
      <c r="BG1380" s="197"/>
      <c r="BH1380" s="197"/>
      <c r="BI1380" s="198"/>
      <c r="BJ1380" s="197"/>
      <c r="BK1380" s="197"/>
      <c r="BL1380" s="197"/>
      <c r="BM1380" s="197"/>
      <c r="BN1380" s="198"/>
      <c r="BO1380" s="197"/>
      <c r="BP1380" s="197"/>
      <c r="BQ1380" s="197"/>
      <c r="BR1380" s="197"/>
      <c r="BS1380" s="198"/>
      <c r="BT1380" s="727"/>
      <c r="BU1380" s="197"/>
      <c r="BV1380" s="197"/>
      <c r="BW1380" s="197"/>
      <c r="BX1380" s="1094"/>
      <c r="BY1380" s="197"/>
      <c r="BZ1380" s="197"/>
      <c r="CA1380" s="197"/>
      <c r="CB1380" s="197"/>
      <c r="CC1380" s="1094"/>
      <c r="CD1380" s="1094"/>
      <c r="CE1380" s="1094"/>
      <c r="CF1380" s="1094"/>
      <c r="CG1380" s="349"/>
    </row>
    <row r="1381" spans="1:85" s="613" customFormat="1" x14ac:dyDescent="0.3">
      <c r="A1381" s="478" t="s">
        <v>1202</v>
      </c>
      <c r="B1381" s="523"/>
      <c r="C1381" s="78"/>
      <c r="D1381" s="78"/>
      <c r="E1381" s="78"/>
      <c r="F1381" s="78"/>
      <c r="G1381" s="774"/>
      <c r="H1381" s="774"/>
      <c r="I1381" s="774"/>
      <c r="J1381" s="774"/>
      <c r="K1381" s="78"/>
      <c r="L1381" s="774"/>
      <c r="M1381" s="774"/>
      <c r="N1381" s="774"/>
      <c r="O1381" s="774"/>
      <c r="P1381" s="78"/>
      <c r="Q1381" s="774"/>
      <c r="R1381" s="774"/>
      <c r="S1381" s="774"/>
      <c r="T1381" s="774"/>
      <c r="U1381" s="78"/>
      <c r="V1381" s="774"/>
      <c r="W1381" s="774"/>
      <c r="X1381" s="774"/>
      <c r="Y1381" s="774"/>
      <c r="Z1381" s="78"/>
      <c r="AA1381" s="774"/>
      <c r="AB1381" s="774"/>
      <c r="AC1381" s="774"/>
      <c r="AD1381" s="774"/>
      <c r="AE1381" s="78"/>
      <c r="AF1381" s="774"/>
      <c r="AG1381" s="774"/>
      <c r="AH1381" s="774"/>
      <c r="AI1381" s="774"/>
      <c r="AJ1381" s="78"/>
      <c r="AK1381" s="774"/>
      <c r="AL1381" s="774"/>
      <c r="AM1381" s="774"/>
      <c r="AN1381" s="774"/>
      <c r="AO1381" s="78"/>
      <c r="AP1381" s="774"/>
      <c r="AQ1381" s="774"/>
      <c r="AR1381" s="774"/>
      <c r="AS1381" s="774"/>
      <c r="AT1381" s="1119">
        <v>1.56</v>
      </c>
      <c r="AU1381" s="774"/>
      <c r="AV1381" s="774"/>
      <c r="AW1381" s="774"/>
      <c r="AX1381" s="774"/>
      <c r="AY1381" s="1119">
        <v>1.56</v>
      </c>
      <c r="AZ1381" s="774"/>
      <c r="BA1381" s="774"/>
      <c r="BB1381" s="774"/>
      <c r="BC1381" s="774"/>
      <c r="BD1381" s="1119">
        <v>1.56</v>
      </c>
      <c r="BE1381" s="774"/>
      <c r="BF1381" s="774"/>
      <c r="BG1381" s="774"/>
      <c r="BH1381" s="774"/>
      <c r="BI1381" s="1119">
        <v>1.56</v>
      </c>
      <c r="BJ1381" s="774"/>
      <c r="BK1381" s="774"/>
      <c r="BL1381" s="774"/>
      <c r="BM1381" s="774"/>
      <c r="BN1381" s="1119">
        <v>1.56</v>
      </c>
      <c r="BO1381" s="774"/>
      <c r="BP1381" s="774"/>
      <c r="BQ1381" s="774"/>
      <c r="BR1381" s="774"/>
      <c r="BS1381" s="78"/>
      <c r="BT1381" s="775"/>
      <c r="BU1381" s="774"/>
      <c r="BV1381" s="774"/>
      <c r="BW1381" s="774"/>
      <c r="BX1381" s="78"/>
      <c r="BY1381" s="774"/>
      <c r="BZ1381" s="774"/>
      <c r="CA1381" s="774"/>
      <c r="CB1381" s="774"/>
      <c r="CC1381" s="78"/>
      <c r="CD1381" s="78"/>
      <c r="CE1381" s="78"/>
      <c r="CF1381" s="78"/>
      <c r="CG1381" s="532"/>
    </row>
    <row r="1382" spans="1:85" s="616" customFormat="1" x14ac:dyDescent="0.3">
      <c r="A1382" s="522" t="s">
        <v>1201</v>
      </c>
      <c r="B1382" s="527"/>
      <c r="C1382" s="1124"/>
      <c r="D1382" s="1124"/>
      <c r="E1382" s="1124"/>
      <c r="F1382" s="1124"/>
      <c r="G1382" s="526"/>
      <c r="H1382" s="526"/>
      <c r="I1382" s="526"/>
      <c r="J1382" s="526"/>
      <c r="K1382" s="1124"/>
      <c r="L1382" s="526"/>
      <c r="M1382" s="526"/>
      <c r="N1382" s="526"/>
      <c r="O1382" s="526"/>
      <c r="P1382" s="1124"/>
      <c r="Q1382" s="526"/>
      <c r="R1382" s="526"/>
      <c r="S1382" s="526"/>
      <c r="T1382" s="526"/>
      <c r="U1382" s="1124"/>
      <c r="V1382" s="526"/>
      <c r="W1382" s="526"/>
      <c r="X1382" s="526"/>
      <c r="Y1382" s="526"/>
      <c r="Z1382" s="1124"/>
      <c r="AA1382" s="526"/>
      <c r="AB1382" s="526"/>
      <c r="AC1382" s="526"/>
      <c r="AD1382" s="526"/>
      <c r="AE1382" s="1124"/>
      <c r="AF1382" s="526"/>
      <c r="AG1382" s="526"/>
      <c r="AH1382" s="526"/>
      <c r="AI1382" s="526"/>
      <c r="AJ1382" s="1124"/>
      <c r="AK1382" s="526"/>
      <c r="AL1382" s="526"/>
      <c r="AM1382" s="526"/>
      <c r="AN1382" s="526"/>
      <c r="AO1382" s="1124"/>
      <c r="AP1382" s="526"/>
      <c r="AQ1382" s="526"/>
      <c r="AR1382" s="526"/>
      <c r="AS1382" s="526"/>
      <c r="AT1382" s="1123">
        <v>527.51</v>
      </c>
      <c r="AU1382" s="526"/>
      <c r="AV1382" s="526"/>
      <c r="AW1382" s="526"/>
      <c r="AX1382" s="526"/>
      <c r="AY1382" s="1123">
        <v>527.51</v>
      </c>
      <c r="AZ1382" s="526"/>
      <c r="BA1382" s="526"/>
      <c r="BB1382" s="526"/>
      <c r="BC1382" s="526"/>
      <c r="BD1382" s="1123">
        <v>527.51</v>
      </c>
      <c r="BE1382" s="526"/>
      <c r="BF1382" s="526"/>
      <c r="BG1382" s="526"/>
      <c r="BH1382" s="526"/>
      <c r="BI1382" s="1123">
        <v>527.51</v>
      </c>
      <c r="BJ1382" s="526"/>
      <c r="BK1382" s="526"/>
      <c r="BL1382" s="526"/>
      <c r="BM1382" s="526"/>
      <c r="BN1382" s="1123">
        <v>527.51</v>
      </c>
      <c r="BO1382" s="526"/>
      <c r="BP1382" s="526"/>
      <c r="BQ1382" s="526"/>
      <c r="BR1382" s="526"/>
      <c r="BS1382" s="1124"/>
      <c r="BT1382" s="729"/>
      <c r="BU1382" s="526"/>
      <c r="BV1382" s="526"/>
      <c r="BW1382" s="526"/>
      <c r="BX1382" s="1124"/>
      <c r="BY1382" s="526"/>
      <c r="BZ1382" s="526"/>
      <c r="CA1382" s="526"/>
      <c r="CB1382" s="526"/>
      <c r="CC1382" s="1124"/>
      <c r="CD1382" s="1124"/>
      <c r="CE1382" s="1124"/>
      <c r="CF1382" s="1124"/>
      <c r="CG1382" s="533"/>
    </row>
    <row r="1383" spans="1:85" s="614" customFormat="1" x14ac:dyDescent="0.3">
      <c r="A1383" s="522"/>
      <c r="B1383" s="352"/>
      <c r="C1383" s="1094"/>
      <c r="D1383" s="1094"/>
      <c r="E1383" s="1094"/>
      <c r="F1383" s="1094"/>
      <c r="G1383" s="197"/>
      <c r="H1383" s="197"/>
      <c r="I1383" s="197"/>
      <c r="J1383" s="197"/>
      <c r="K1383" s="1094"/>
      <c r="L1383" s="197"/>
      <c r="M1383" s="197"/>
      <c r="N1383" s="197"/>
      <c r="O1383" s="197"/>
      <c r="P1383" s="1094"/>
      <c r="Q1383" s="197"/>
      <c r="R1383" s="197"/>
      <c r="S1383" s="197"/>
      <c r="T1383" s="197"/>
      <c r="U1383" s="1094"/>
      <c r="V1383" s="197"/>
      <c r="W1383" s="197"/>
      <c r="X1383" s="197"/>
      <c r="Y1383" s="197"/>
      <c r="Z1383" s="1094"/>
      <c r="AA1383" s="197"/>
      <c r="AB1383" s="197"/>
      <c r="AC1383" s="197"/>
      <c r="AD1383" s="197"/>
      <c r="AE1383" s="1094"/>
      <c r="AF1383" s="197"/>
      <c r="AG1383" s="197"/>
      <c r="AH1383" s="197"/>
      <c r="AI1383" s="197"/>
      <c r="AJ1383" s="1094"/>
      <c r="AK1383" s="197"/>
      <c r="AL1383" s="197"/>
      <c r="AM1383" s="197"/>
      <c r="AN1383" s="197"/>
      <c r="AO1383" s="1094"/>
      <c r="AP1383" s="197"/>
      <c r="AQ1383" s="197"/>
      <c r="AR1383" s="197"/>
      <c r="AS1383" s="197"/>
      <c r="AT1383" s="198"/>
      <c r="AU1383" s="197"/>
      <c r="AV1383" s="197"/>
      <c r="AW1383" s="197"/>
      <c r="AX1383" s="197"/>
      <c r="AY1383" s="198"/>
      <c r="AZ1383" s="197"/>
      <c r="BA1383" s="197"/>
      <c r="BB1383" s="197"/>
      <c r="BC1383" s="197"/>
      <c r="BD1383" s="198"/>
      <c r="BE1383" s="197"/>
      <c r="BF1383" s="197"/>
      <c r="BG1383" s="197"/>
      <c r="BH1383" s="197"/>
      <c r="BI1383" s="198"/>
      <c r="BJ1383" s="197"/>
      <c r="BK1383" s="197"/>
      <c r="BL1383" s="197"/>
      <c r="BM1383" s="197"/>
      <c r="BN1383" s="198"/>
      <c r="BO1383" s="197"/>
      <c r="BP1383" s="197"/>
      <c r="BQ1383" s="197"/>
      <c r="BR1383" s="197"/>
      <c r="BS1383" s="198"/>
      <c r="BT1383" s="727"/>
      <c r="BU1383" s="197"/>
      <c r="BV1383" s="197"/>
      <c r="BW1383" s="197"/>
      <c r="BX1383" s="1094"/>
      <c r="BY1383" s="197"/>
      <c r="BZ1383" s="197"/>
      <c r="CA1383" s="197"/>
      <c r="CB1383" s="197"/>
      <c r="CC1383" s="1094"/>
      <c r="CD1383" s="1094"/>
      <c r="CE1383" s="1094"/>
      <c r="CF1383" s="1094"/>
      <c r="CG1383" s="349"/>
    </row>
    <row r="1384" spans="1:85" s="613" customFormat="1" x14ac:dyDescent="0.3">
      <c r="A1384" s="478" t="s">
        <v>1200</v>
      </c>
      <c r="B1384" s="523"/>
      <c r="C1384" s="78"/>
      <c r="D1384" s="78"/>
      <c r="E1384" s="78"/>
      <c r="F1384" s="78"/>
      <c r="G1384" s="774"/>
      <c r="H1384" s="774"/>
      <c r="I1384" s="774"/>
      <c r="J1384" s="774"/>
      <c r="K1384" s="78"/>
      <c r="L1384" s="774"/>
      <c r="M1384" s="774"/>
      <c r="N1384" s="774"/>
      <c r="O1384" s="774"/>
      <c r="P1384" s="78"/>
      <c r="Q1384" s="774"/>
      <c r="R1384" s="774"/>
      <c r="S1384" s="774"/>
      <c r="T1384" s="774"/>
      <c r="U1384" s="78"/>
      <c r="V1384" s="774"/>
      <c r="W1384" s="774"/>
      <c r="X1384" s="774"/>
      <c r="Y1384" s="774"/>
      <c r="Z1384" s="78"/>
      <c r="AA1384" s="774"/>
      <c r="AB1384" s="774"/>
      <c r="AC1384" s="774"/>
      <c r="AD1384" s="774"/>
      <c r="AE1384" s="78"/>
      <c r="AF1384" s="774"/>
      <c r="AG1384" s="774"/>
      <c r="AH1384" s="774"/>
      <c r="AI1384" s="774"/>
      <c r="AJ1384" s="78"/>
      <c r="AK1384" s="774"/>
      <c r="AL1384" s="774"/>
      <c r="AM1384" s="774"/>
      <c r="AN1384" s="774"/>
      <c r="AO1384" s="78"/>
      <c r="AP1384" s="774"/>
      <c r="AQ1384" s="774"/>
      <c r="AR1384" s="774"/>
      <c r="AS1384" s="774"/>
      <c r="AT1384" s="1119">
        <v>1.7</v>
      </c>
      <c r="AU1384" s="774"/>
      <c r="AV1384" s="774"/>
      <c r="AW1384" s="774"/>
      <c r="AX1384" s="774"/>
      <c r="AY1384" s="1119">
        <v>1.7</v>
      </c>
      <c r="AZ1384" s="774"/>
      <c r="BA1384" s="774"/>
      <c r="BB1384" s="774"/>
      <c r="BC1384" s="774"/>
      <c r="BD1384" s="1119">
        <v>1.7</v>
      </c>
      <c r="BE1384" s="774"/>
      <c r="BF1384" s="774"/>
      <c r="BG1384" s="774"/>
      <c r="BH1384" s="774"/>
      <c r="BI1384" s="1119">
        <v>1.7</v>
      </c>
      <c r="BJ1384" s="774"/>
      <c r="BK1384" s="774"/>
      <c r="BL1384" s="774"/>
      <c r="BM1384" s="774"/>
      <c r="BN1384" s="1119">
        <v>1.7</v>
      </c>
      <c r="BO1384" s="774"/>
      <c r="BP1384" s="774"/>
      <c r="BQ1384" s="774"/>
      <c r="BR1384" s="774"/>
      <c r="BS1384" s="78"/>
      <c r="BT1384" s="775"/>
      <c r="BU1384" s="774"/>
      <c r="BV1384" s="774"/>
      <c r="BW1384" s="774"/>
      <c r="BX1384" s="78"/>
      <c r="BY1384" s="774"/>
      <c r="BZ1384" s="774"/>
      <c r="CA1384" s="774"/>
      <c r="CB1384" s="774"/>
      <c r="CC1384" s="78"/>
      <c r="CD1384" s="78"/>
      <c r="CE1384" s="78"/>
      <c r="CF1384" s="78"/>
      <c r="CG1384" s="532"/>
    </row>
    <row r="1385" spans="1:85" s="616" customFormat="1" x14ac:dyDescent="0.3">
      <c r="A1385" s="522" t="s">
        <v>1199</v>
      </c>
      <c r="B1385" s="527"/>
      <c r="C1385" s="1124"/>
      <c r="D1385" s="1124"/>
      <c r="E1385" s="1124"/>
      <c r="F1385" s="1124"/>
      <c r="G1385" s="526"/>
      <c r="H1385" s="526"/>
      <c r="I1385" s="526"/>
      <c r="J1385" s="526"/>
      <c r="K1385" s="1124"/>
      <c r="L1385" s="526"/>
      <c r="M1385" s="526"/>
      <c r="N1385" s="526"/>
      <c r="O1385" s="526"/>
      <c r="P1385" s="1124"/>
      <c r="Q1385" s="526"/>
      <c r="R1385" s="526"/>
      <c r="S1385" s="526"/>
      <c r="T1385" s="526"/>
      <c r="U1385" s="1124"/>
      <c r="V1385" s="526"/>
      <c r="W1385" s="526"/>
      <c r="X1385" s="526"/>
      <c r="Y1385" s="526"/>
      <c r="Z1385" s="1124"/>
      <c r="AA1385" s="526"/>
      <c r="AB1385" s="526"/>
      <c r="AC1385" s="526"/>
      <c r="AD1385" s="526"/>
      <c r="AE1385" s="1124"/>
      <c r="AF1385" s="526"/>
      <c r="AG1385" s="526"/>
      <c r="AH1385" s="526"/>
      <c r="AI1385" s="526"/>
      <c r="AJ1385" s="1124"/>
      <c r="AK1385" s="526"/>
      <c r="AL1385" s="526"/>
      <c r="AM1385" s="526"/>
      <c r="AN1385" s="526"/>
      <c r="AO1385" s="1124"/>
      <c r="AP1385" s="526"/>
      <c r="AQ1385" s="526"/>
      <c r="AR1385" s="526"/>
      <c r="AS1385" s="526"/>
      <c r="AT1385" s="1123">
        <v>484.12</v>
      </c>
      <c r="AU1385" s="526"/>
      <c r="AV1385" s="526"/>
      <c r="AW1385" s="526"/>
      <c r="AX1385" s="526"/>
      <c r="AY1385" s="1123">
        <v>484.12</v>
      </c>
      <c r="AZ1385" s="526"/>
      <c r="BA1385" s="526"/>
      <c r="BB1385" s="526"/>
      <c r="BC1385" s="526"/>
      <c r="BD1385" s="1123">
        <v>484.12</v>
      </c>
      <c r="BE1385" s="526"/>
      <c r="BF1385" s="526"/>
      <c r="BG1385" s="526"/>
      <c r="BH1385" s="526"/>
      <c r="BI1385" s="1123">
        <v>484.12</v>
      </c>
      <c r="BJ1385" s="526"/>
      <c r="BK1385" s="526"/>
      <c r="BL1385" s="526"/>
      <c r="BM1385" s="526"/>
      <c r="BN1385" s="1123">
        <v>484.12</v>
      </c>
      <c r="BO1385" s="526"/>
      <c r="BP1385" s="526"/>
      <c r="BQ1385" s="526"/>
      <c r="BR1385" s="526"/>
      <c r="BS1385" s="1124"/>
      <c r="BT1385" s="729"/>
      <c r="BU1385" s="526"/>
      <c r="BV1385" s="526"/>
      <c r="BW1385" s="526"/>
      <c r="BX1385" s="1124"/>
      <c r="BY1385" s="526"/>
      <c r="BZ1385" s="526"/>
      <c r="CA1385" s="526"/>
      <c r="CB1385" s="526"/>
      <c r="CC1385" s="1124"/>
      <c r="CD1385" s="1124"/>
      <c r="CE1385" s="1124"/>
      <c r="CF1385" s="1124"/>
      <c r="CG1385" s="533"/>
    </row>
    <row r="1386" spans="1:85" s="614" customFormat="1" x14ac:dyDescent="0.3">
      <c r="A1386" s="522"/>
      <c r="B1386" s="352"/>
      <c r="C1386" s="1094"/>
      <c r="D1386" s="1094"/>
      <c r="E1386" s="1094"/>
      <c r="F1386" s="1094"/>
      <c r="G1386" s="197"/>
      <c r="H1386" s="197"/>
      <c r="I1386" s="197"/>
      <c r="J1386" s="197"/>
      <c r="K1386" s="1094"/>
      <c r="L1386" s="197"/>
      <c r="M1386" s="197"/>
      <c r="N1386" s="197"/>
      <c r="O1386" s="197"/>
      <c r="P1386" s="1094"/>
      <c r="Q1386" s="197"/>
      <c r="R1386" s="197"/>
      <c r="S1386" s="197"/>
      <c r="T1386" s="197"/>
      <c r="U1386" s="1094"/>
      <c r="V1386" s="197"/>
      <c r="W1386" s="197"/>
      <c r="X1386" s="197"/>
      <c r="Y1386" s="197"/>
      <c r="Z1386" s="1094"/>
      <c r="AA1386" s="197"/>
      <c r="AB1386" s="197"/>
      <c r="AC1386" s="197"/>
      <c r="AD1386" s="197"/>
      <c r="AE1386" s="1094"/>
      <c r="AF1386" s="197"/>
      <c r="AG1386" s="197"/>
      <c r="AH1386" s="197"/>
      <c r="AI1386" s="197"/>
      <c r="AJ1386" s="1094"/>
      <c r="AK1386" s="197"/>
      <c r="AL1386" s="197"/>
      <c r="AM1386" s="197"/>
      <c r="AN1386" s="197"/>
      <c r="AO1386" s="1094"/>
      <c r="AP1386" s="197"/>
      <c r="AQ1386" s="197"/>
      <c r="AR1386" s="197"/>
      <c r="AS1386" s="197"/>
      <c r="AT1386" s="198"/>
      <c r="AU1386" s="197"/>
      <c r="AV1386" s="197"/>
      <c r="AW1386" s="197"/>
      <c r="AX1386" s="197"/>
      <c r="AY1386" s="198"/>
      <c r="AZ1386" s="197"/>
      <c r="BA1386" s="197"/>
      <c r="BB1386" s="197"/>
      <c r="BC1386" s="197"/>
      <c r="BD1386" s="198"/>
      <c r="BE1386" s="197"/>
      <c r="BF1386" s="197"/>
      <c r="BG1386" s="197"/>
      <c r="BH1386" s="197"/>
      <c r="BI1386" s="198"/>
      <c r="BJ1386" s="197"/>
      <c r="BK1386" s="197"/>
      <c r="BL1386" s="197"/>
      <c r="BM1386" s="197"/>
      <c r="BN1386" s="198"/>
      <c r="BO1386" s="197"/>
      <c r="BP1386" s="197"/>
      <c r="BQ1386" s="197"/>
      <c r="BR1386" s="197"/>
      <c r="BS1386" s="198"/>
      <c r="BT1386" s="727"/>
      <c r="BU1386" s="197"/>
      <c r="BV1386" s="197"/>
      <c r="BW1386" s="197"/>
      <c r="BX1386" s="1094"/>
      <c r="BY1386" s="197"/>
      <c r="BZ1386" s="197"/>
      <c r="CA1386" s="197"/>
      <c r="CB1386" s="197"/>
      <c r="CC1386" s="1094"/>
      <c r="CD1386" s="1094"/>
      <c r="CE1386" s="1094"/>
      <c r="CF1386" s="1094"/>
      <c r="CG1386" s="349"/>
    </row>
    <row r="1387" spans="1:85" s="613" customFormat="1" x14ac:dyDescent="0.3">
      <c r="A1387" s="478" t="s">
        <v>1198</v>
      </c>
      <c r="B1387" s="523"/>
      <c r="C1387" s="78"/>
      <c r="D1387" s="78"/>
      <c r="E1387" s="78"/>
      <c r="F1387" s="78"/>
      <c r="G1387" s="774"/>
      <c r="H1387" s="774"/>
      <c r="I1387" s="774"/>
      <c r="J1387" s="774"/>
      <c r="K1387" s="78"/>
      <c r="L1387" s="774"/>
      <c r="M1387" s="774"/>
      <c r="N1387" s="774"/>
      <c r="O1387" s="774"/>
      <c r="P1387" s="78"/>
      <c r="Q1387" s="774"/>
      <c r="R1387" s="774"/>
      <c r="S1387" s="774"/>
      <c r="T1387" s="774"/>
      <c r="U1387" s="78"/>
      <c r="V1387" s="774"/>
      <c r="W1387" s="774"/>
      <c r="X1387" s="774"/>
      <c r="Y1387" s="774"/>
      <c r="Z1387" s="78"/>
      <c r="AA1387" s="774"/>
      <c r="AB1387" s="774"/>
      <c r="AC1387" s="774"/>
      <c r="AD1387" s="774"/>
      <c r="AE1387" s="78"/>
      <c r="AF1387" s="774"/>
      <c r="AG1387" s="774"/>
      <c r="AH1387" s="774"/>
      <c r="AI1387" s="774"/>
      <c r="AJ1387" s="78"/>
      <c r="AK1387" s="774"/>
      <c r="AL1387" s="774"/>
      <c r="AM1387" s="774"/>
      <c r="AN1387" s="774"/>
      <c r="AO1387" s="78"/>
      <c r="AP1387" s="774"/>
      <c r="AQ1387" s="774"/>
      <c r="AR1387" s="774"/>
      <c r="AS1387" s="774"/>
      <c r="AT1387" s="1119">
        <v>1.631</v>
      </c>
      <c r="AU1387" s="774"/>
      <c r="AV1387" s="774"/>
      <c r="AW1387" s="774"/>
      <c r="AX1387" s="774"/>
      <c r="AY1387" s="1119">
        <v>1.631</v>
      </c>
      <c r="AZ1387" s="774"/>
      <c r="BA1387" s="774"/>
      <c r="BB1387" s="774"/>
      <c r="BC1387" s="774"/>
      <c r="BD1387" s="1119">
        <v>1.631</v>
      </c>
      <c r="BE1387" s="774"/>
      <c r="BF1387" s="774"/>
      <c r="BG1387" s="774"/>
      <c r="BH1387" s="774"/>
      <c r="BI1387" s="1119">
        <v>1.631</v>
      </c>
      <c r="BJ1387" s="774"/>
      <c r="BK1387" s="774"/>
      <c r="BL1387" s="774"/>
      <c r="BM1387" s="774"/>
      <c r="BN1387" s="1119">
        <v>1.631</v>
      </c>
      <c r="BO1387" s="774"/>
      <c r="BP1387" s="774"/>
      <c r="BQ1387" s="774"/>
      <c r="BR1387" s="774"/>
      <c r="BS1387" s="78"/>
      <c r="BT1387" s="775"/>
      <c r="BU1387" s="774"/>
      <c r="BV1387" s="774"/>
      <c r="BW1387" s="774"/>
      <c r="BX1387" s="78"/>
      <c r="BY1387" s="774"/>
      <c r="BZ1387" s="774"/>
      <c r="CA1387" s="774"/>
      <c r="CB1387" s="774"/>
      <c r="CC1387" s="78"/>
      <c r="CD1387" s="78"/>
      <c r="CE1387" s="78"/>
      <c r="CF1387" s="78"/>
      <c r="CG1387" s="532"/>
    </row>
    <row r="1388" spans="1:85" s="616" customFormat="1" x14ac:dyDescent="0.3">
      <c r="A1388" s="522" t="s">
        <v>1197</v>
      </c>
      <c r="B1388" s="527"/>
      <c r="C1388" s="1124"/>
      <c r="D1388" s="1124"/>
      <c r="E1388" s="1124"/>
      <c r="F1388" s="1124"/>
      <c r="G1388" s="526"/>
      <c r="H1388" s="526"/>
      <c r="I1388" s="526"/>
      <c r="J1388" s="526"/>
      <c r="K1388" s="1124"/>
      <c r="L1388" s="526"/>
      <c r="M1388" s="526"/>
      <c r="N1388" s="526"/>
      <c r="O1388" s="526"/>
      <c r="P1388" s="1124"/>
      <c r="Q1388" s="526"/>
      <c r="R1388" s="526"/>
      <c r="S1388" s="526"/>
      <c r="T1388" s="526"/>
      <c r="U1388" s="1124"/>
      <c r="V1388" s="526"/>
      <c r="W1388" s="526"/>
      <c r="X1388" s="526"/>
      <c r="Y1388" s="526"/>
      <c r="Z1388" s="1124"/>
      <c r="AA1388" s="526"/>
      <c r="AB1388" s="526"/>
      <c r="AC1388" s="526"/>
      <c r="AD1388" s="526"/>
      <c r="AE1388" s="1124"/>
      <c r="AF1388" s="526"/>
      <c r="AG1388" s="526"/>
      <c r="AH1388" s="526"/>
      <c r="AI1388" s="526"/>
      <c r="AJ1388" s="1124"/>
      <c r="AK1388" s="526"/>
      <c r="AL1388" s="526"/>
      <c r="AM1388" s="526"/>
      <c r="AN1388" s="526"/>
      <c r="AO1388" s="1124"/>
      <c r="AP1388" s="526"/>
      <c r="AQ1388" s="526"/>
      <c r="AR1388" s="526"/>
      <c r="AS1388" s="526"/>
      <c r="AT1388" s="1123">
        <v>504.58</v>
      </c>
      <c r="AU1388" s="526"/>
      <c r="AV1388" s="526"/>
      <c r="AW1388" s="526"/>
      <c r="AX1388" s="526"/>
      <c r="AY1388" s="1123">
        <v>504.58</v>
      </c>
      <c r="AZ1388" s="526"/>
      <c r="BA1388" s="526"/>
      <c r="BB1388" s="526"/>
      <c r="BC1388" s="526"/>
      <c r="BD1388" s="1123">
        <v>504.58</v>
      </c>
      <c r="BE1388" s="526"/>
      <c r="BF1388" s="526"/>
      <c r="BG1388" s="526"/>
      <c r="BH1388" s="526"/>
      <c r="BI1388" s="1123">
        <v>504.58</v>
      </c>
      <c r="BJ1388" s="526"/>
      <c r="BK1388" s="526"/>
      <c r="BL1388" s="526"/>
      <c r="BM1388" s="526"/>
      <c r="BN1388" s="1123">
        <v>504.58</v>
      </c>
      <c r="BO1388" s="526"/>
      <c r="BP1388" s="526"/>
      <c r="BQ1388" s="526"/>
      <c r="BR1388" s="526"/>
      <c r="BS1388" s="1124"/>
      <c r="BT1388" s="729"/>
      <c r="BU1388" s="526"/>
      <c r="BV1388" s="526"/>
      <c r="BW1388" s="526"/>
      <c r="BX1388" s="1124"/>
      <c r="BY1388" s="526"/>
      <c r="BZ1388" s="526"/>
      <c r="CA1388" s="526"/>
      <c r="CB1388" s="526"/>
      <c r="CC1388" s="1124"/>
      <c r="CD1388" s="1124"/>
      <c r="CE1388" s="1124"/>
      <c r="CF1388" s="1124"/>
      <c r="CG1388" s="533"/>
    </row>
    <row r="1389" spans="1:85" s="614" customFormat="1" x14ac:dyDescent="0.3">
      <c r="A1389" s="116"/>
      <c r="B1389" s="352"/>
      <c r="C1389" s="1094"/>
      <c r="D1389" s="1094"/>
      <c r="E1389" s="1094"/>
      <c r="F1389" s="1094"/>
      <c r="G1389" s="197"/>
      <c r="H1389" s="197"/>
      <c r="I1389" s="197"/>
      <c r="J1389" s="197"/>
      <c r="K1389" s="1094"/>
      <c r="L1389" s="197"/>
      <c r="M1389" s="197"/>
      <c r="N1389" s="197"/>
      <c r="O1389" s="197"/>
      <c r="P1389" s="1094"/>
      <c r="Q1389" s="197"/>
      <c r="R1389" s="197"/>
      <c r="S1389" s="197"/>
      <c r="T1389" s="197"/>
      <c r="U1389" s="1094"/>
      <c r="V1389" s="197"/>
      <c r="W1389" s="197"/>
      <c r="X1389" s="197"/>
      <c r="Y1389" s="197"/>
      <c r="Z1389" s="1094"/>
      <c r="AA1389" s="197"/>
      <c r="AB1389" s="197"/>
      <c r="AC1389" s="197"/>
      <c r="AD1389" s="197"/>
      <c r="AE1389" s="1094"/>
      <c r="AF1389" s="197"/>
      <c r="AG1389" s="197"/>
      <c r="AH1389" s="197"/>
      <c r="AI1389" s="197"/>
      <c r="AJ1389" s="1094"/>
      <c r="AK1389" s="197"/>
      <c r="AL1389" s="197"/>
      <c r="AM1389" s="197"/>
      <c r="AN1389" s="197"/>
      <c r="AO1389" s="1094"/>
      <c r="AP1389" s="197"/>
      <c r="AQ1389" s="197"/>
      <c r="AR1389" s="197"/>
      <c r="AS1389" s="197"/>
      <c r="AT1389" s="198"/>
      <c r="AU1389" s="197"/>
      <c r="AV1389" s="197"/>
      <c r="AW1389" s="197"/>
      <c r="AX1389" s="197"/>
      <c r="AY1389" s="198"/>
      <c r="AZ1389" s="197"/>
      <c r="BA1389" s="197"/>
      <c r="BB1389" s="197"/>
      <c r="BC1389" s="197"/>
      <c r="BD1389" s="198"/>
      <c r="BE1389" s="197"/>
      <c r="BF1389" s="197"/>
      <c r="BG1389" s="197"/>
      <c r="BH1389" s="197"/>
      <c r="BI1389" s="198"/>
      <c r="BJ1389" s="197"/>
      <c r="BK1389" s="197"/>
      <c r="BL1389" s="197"/>
      <c r="BM1389" s="197"/>
      <c r="BN1389" s="198"/>
      <c r="BO1389" s="197"/>
      <c r="BP1389" s="197"/>
      <c r="BQ1389" s="197"/>
      <c r="BR1389" s="197"/>
      <c r="BS1389" s="198"/>
      <c r="BT1389" s="727"/>
      <c r="BU1389" s="197"/>
      <c r="BV1389" s="197"/>
      <c r="BW1389" s="197"/>
      <c r="BX1389" s="1094"/>
      <c r="BY1389" s="197"/>
      <c r="BZ1389" s="197"/>
      <c r="CA1389" s="197"/>
      <c r="CB1389" s="197"/>
      <c r="CC1389" s="1094"/>
      <c r="CD1389" s="1094"/>
      <c r="CE1389" s="1094"/>
      <c r="CF1389" s="1094"/>
      <c r="CG1389" s="349"/>
    </row>
    <row r="1390" spans="1:85" s="613" customFormat="1" x14ac:dyDescent="0.3">
      <c r="A1390" s="478" t="s">
        <v>1196</v>
      </c>
      <c r="B1390" s="523"/>
      <c r="C1390" s="78"/>
      <c r="D1390" s="78"/>
      <c r="E1390" s="78"/>
      <c r="F1390" s="78"/>
      <c r="G1390" s="774"/>
      <c r="H1390" s="774"/>
      <c r="I1390" s="774"/>
      <c r="J1390" s="774"/>
      <c r="K1390" s="78"/>
      <c r="L1390" s="774"/>
      <c r="M1390" s="774"/>
      <c r="N1390" s="774"/>
      <c r="O1390" s="774"/>
      <c r="P1390" s="78"/>
      <c r="Q1390" s="774"/>
      <c r="R1390" s="774"/>
      <c r="S1390" s="774"/>
      <c r="T1390" s="774"/>
      <c r="U1390" s="78"/>
      <c r="V1390" s="774"/>
      <c r="W1390" s="774"/>
      <c r="X1390" s="774"/>
      <c r="Y1390" s="774"/>
      <c r="Z1390" s="78"/>
      <c r="AA1390" s="774"/>
      <c r="AB1390" s="774"/>
      <c r="AC1390" s="774"/>
      <c r="AD1390" s="774"/>
      <c r="AE1390" s="78"/>
      <c r="AF1390" s="774"/>
      <c r="AG1390" s="774"/>
      <c r="AH1390" s="774"/>
      <c r="AI1390" s="774"/>
      <c r="AJ1390" s="78"/>
      <c r="AK1390" s="774"/>
      <c r="AL1390" s="774"/>
      <c r="AM1390" s="774"/>
      <c r="AN1390" s="774"/>
      <c r="AO1390" s="78"/>
      <c r="AP1390" s="774"/>
      <c r="AQ1390" s="774"/>
      <c r="AR1390" s="774"/>
      <c r="AS1390" s="774"/>
      <c r="AT1390" s="78"/>
      <c r="AU1390" s="774"/>
      <c r="AV1390" s="774"/>
      <c r="AW1390" s="774"/>
      <c r="AX1390" s="774"/>
      <c r="AY1390" s="1119">
        <v>1.573</v>
      </c>
      <c r="AZ1390" s="774"/>
      <c r="BA1390" s="774"/>
      <c r="BB1390" s="774"/>
      <c r="BC1390" s="774"/>
      <c r="BD1390" s="1119">
        <v>1.573</v>
      </c>
      <c r="BE1390" s="774"/>
      <c r="BF1390" s="774"/>
      <c r="BG1390" s="774"/>
      <c r="BH1390" s="774"/>
      <c r="BI1390" s="1119">
        <v>1.573</v>
      </c>
      <c r="BJ1390" s="774"/>
      <c r="BK1390" s="774"/>
      <c r="BL1390" s="774"/>
      <c r="BM1390" s="774"/>
      <c r="BN1390" s="1119">
        <v>1.573</v>
      </c>
      <c r="BO1390" s="774"/>
      <c r="BP1390" s="774"/>
      <c r="BQ1390" s="774"/>
      <c r="BR1390" s="774"/>
      <c r="BS1390" s="78"/>
      <c r="BT1390" s="775"/>
      <c r="BU1390" s="774"/>
      <c r="BV1390" s="774"/>
      <c r="BW1390" s="774"/>
      <c r="BX1390" s="78"/>
      <c r="BY1390" s="774"/>
      <c r="BZ1390" s="774"/>
      <c r="CA1390" s="774"/>
      <c r="CB1390" s="774"/>
      <c r="CC1390" s="78"/>
      <c r="CD1390" s="78"/>
      <c r="CE1390" s="78"/>
      <c r="CF1390" s="78"/>
      <c r="CG1390" s="532"/>
    </row>
    <row r="1391" spans="1:85" s="616" customFormat="1" x14ac:dyDescent="0.3">
      <c r="A1391" s="522" t="s">
        <v>1195</v>
      </c>
      <c r="B1391" s="527"/>
      <c r="C1391" s="1124"/>
      <c r="D1391" s="1124"/>
      <c r="E1391" s="1124"/>
      <c r="F1391" s="1124"/>
      <c r="G1391" s="526"/>
      <c r="H1391" s="526"/>
      <c r="I1391" s="526"/>
      <c r="J1391" s="526"/>
      <c r="K1391" s="1124"/>
      <c r="L1391" s="526"/>
      <c r="M1391" s="526"/>
      <c r="N1391" s="526"/>
      <c r="O1391" s="526"/>
      <c r="P1391" s="1124"/>
      <c r="Q1391" s="526"/>
      <c r="R1391" s="526"/>
      <c r="S1391" s="526"/>
      <c r="T1391" s="526"/>
      <c r="U1391" s="1124"/>
      <c r="V1391" s="526"/>
      <c r="W1391" s="526"/>
      <c r="X1391" s="526"/>
      <c r="Y1391" s="526"/>
      <c r="Z1391" s="1124"/>
      <c r="AA1391" s="526"/>
      <c r="AB1391" s="526"/>
      <c r="AC1391" s="526"/>
      <c r="AD1391" s="526"/>
      <c r="AE1391" s="1124"/>
      <c r="AF1391" s="526"/>
      <c r="AG1391" s="526"/>
      <c r="AH1391" s="526"/>
      <c r="AI1391" s="526"/>
      <c r="AJ1391" s="1124"/>
      <c r="AK1391" s="526"/>
      <c r="AL1391" s="526"/>
      <c r="AM1391" s="526"/>
      <c r="AN1391" s="526"/>
      <c r="AO1391" s="1124"/>
      <c r="AP1391" s="526"/>
      <c r="AQ1391" s="526"/>
      <c r="AR1391" s="526"/>
      <c r="AS1391" s="526"/>
      <c r="AT1391" s="1124"/>
      <c r="AU1391" s="526"/>
      <c r="AV1391" s="526"/>
      <c r="AW1391" s="526"/>
      <c r="AX1391" s="526"/>
      <c r="AY1391" s="1123">
        <v>522.86</v>
      </c>
      <c r="AZ1391" s="526"/>
      <c r="BA1391" s="526"/>
      <c r="BB1391" s="526"/>
      <c r="BC1391" s="526"/>
      <c r="BD1391" s="1123">
        <v>522.86</v>
      </c>
      <c r="BE1391" s="526"/>
      <c r="BF1391" s="526"/>
      <c r="BG1391" s="526"/>
      <c r="BH1391" s="526"/>
      <c r="BI1391" s="1123">
        <v>522.86</v>
      </c>
      <c r="BJ1391" s="526"/>
      <c r="BK1391" s="526"/>
      <c r="BL1391" s="526"/>
      <c r="BM1391" s="526"/>
      <c r="BN1391" s="1123">
        <v>522.86</v>
      </c>
      <c r="BO1391" s="526"/>
      <c r="BP1391" s="526"/>
      <c r="BQ1391" s="526"/>
      <c r="BR1391" s="526"/>
      <c r="BS1391" s="1124"/>
      <c r="BT1391" s="729"/>
      <c r="BU1391" s="526"/>
      <c r="BV1391" s="526"/>
      <c r="BW1391" s="526"/>
      <c r="BX1391" s="1124"/>
      <c r="BY1391" s="526"/>
      <c r="BZ1391" s="526"/>
      <c r="CA1391" s="526"/>
      <c r="CB1391" s="526"/>
      <c r="CC1391" s="1124"/>
      <c r="CD1391" s="1124"/>
      <c r="CE1391" s="1124"/>
      <c r="CF1391" s="1124"/>
      <c r="CG1391" s="533"/>
    </row>
    <row r="1392" spans="1:85" s="614" customFormat="1" x14ac:dyDescent="0.3">
      <c r="A1392" s="522"/>
      <c r="B1392" s="352"/>
      <c r="C1392" s="1094"/>
      <c r="D1392" s="1094"/>
      <c r="E1392" s="1094"/>
      <c r="F1392" s="1094"/>
      <c r="G1392" s="197"/>
      <c r="H1392" s="197"/>
      <c r="I1392" s="197"/>
      <c r="J1392" s="197"/>
      <c r="K1392" s="1094"/>
      <c r="L1392" s="197"/>
      <c r="M1392" s="197"/>
      <c r="N1392" s="197"/>
      <c r="O1392" s="197"/>
      <c r="P1392" s="1094"/>
      <c r="Q1392" s="197"/>
      <c r="R1392" s="197"/>
      <c r="S1392" s="197"/>
      <c r="T1392" s="197"/>
      <c r="U1392" s="1094"/>
      <c r="V1392" s="197"/>
      <c r="W1392" s="197"/>
      <c r="X1392" s="197"/>
      <c r="Y1392" s="197"/>
      <c r="Z1392" s="1094"/>
      <c r="AA1392" s="197"/>
      <c r="AB1392" s="197"/>
      <c r="AC1392" s="197"/>
      <c r="AD1392" s="197"/>
      <c r="AE1392" s="1094"/>
      <c r="AF1392" s="197"/>
      <c r="AG1392" s="197"/>
      <c r="AH1392" s="197"/>
      <c r="AI1392" s="197"/>
      <c r="AJ1392" s="1094"/>
      <c r="AK1392" s="197"/>
      <c r="AL1392" s="197"/>
      <c r="AM1392" s="197"/>
      <c r="AN1392" s="197"/>
      <c r="AO1392" s="1094"/>
      <c r="AP1392" s="197"/>
      <c r="AQ1392" s="197"/>
      <c r="AR1392" s="197"/>
      <c r="AS1392" s="197"/>
      <c r="AT1392" s="198"/>
      <c r="AU1392" s="197"/>
      <c r="AV1392" s="197"/>
      <c r="AW1392" s="197"/>
      <c r="AX1392" s="197"/>
      <c r="AY1392" s="198"/>
      <c r="AZ1392" s="197"/>
      <c r="BA1392" s="197"/>
      <c r="BB1392" s="197"/>
      <c r="BC1392" s="197"/>
      <c r="BD1392" s="198"/>
      <c r="BE1392" s="197"/>
      <c r="BF1392" s="197"/>
      <c r="BG1392" s="197"/>
      <c r="BH1392" s="197"/>
      <c r="BI1392" s="198"/>
      <c r="BJ1392" s="197"/>
      <c r="BK1392" s="197"/>
      <c r="BL1392" s="197"/>
      <c r="BM1392" s="197"/>
      <c r="BN1392" s="198"/>
      <c r="BO1392" s="197"/>
      <c r="BP1392" s="197"/>
      <c r="BQ1392" s="197"/>
      <c r="BR1392" s="197"/>
      <c r="BS1392" s="198"/>
      <c r="BT1392" s="727"/>
      <c r="BU1392" s="197"/>
      <c r="BV1392" s="197"/>
      <c r="BW1392" s="197"/>
      <c r="BX1392" s="1094"/>
      <c r="BY1392" s="197"/>
      <c r="BZ1392" s="197"/>
      <c r="CA1392" s="197"/>
      <c r="CB1392" s="197"/>
      <c r="CC1392" s="1094"/>
      <c r="CD1392" s="1094"/>
      <c r="CE1392" s="1094"/>
      <c r="CF1392" s="1094"/>
      <c r="CG1392" s="349"/>
    </row>
    <row r="1393" spans="1:85" s="613" customFormat="1" x14ac:dyDescent="0.3">
      <c r="A1393" s="478" t="s">
        <v>1194</v>
      </c>
      <c r="B1393" s="523"/>
      <c r="C1393" s="78"/>
      <c r="D1393" s="78"/>
      <c r="E1393" s="78"/>
      <c r="F1393" s="78"/>
      <c r="G1393" s="774"/>
      <c r="H1393" s="774"/>
      <c r="I1393" s="774"/>
      <c r="J1393" s="774"/>
      <c r="K1393" s="78"/>
      <c r="L1393" s="774"/>
      <c r="M1393" s="774"/>
      <c r="N1393" s="774"/>
      <c r="O1393" s="774"/>
      <c r="P1393" s="78"/>
      <c r="Q1393" s="774"/>
      <c r="R1393" s="774"/>
      <c r="S1393" s="774"/>
      <c r="T1393" s="774"/>
      <c r="U1393" s="78"/>
      <c r="V1393" s="774"/>
      <c r="W1393" s="774"/>
      <c r="X1393" s="774"/>
      <c r="Y1393" s="774"/>
      <c r="Z1393" s="78"/>
      <c r="AA1393" s="774"/>
      <c r="AB1393" s="774"/>
      <c r="AC1393" s="774"/>
      <c r="AD1393" s="774"/>
      <c r="AE1393" s="78"/>
      <c r="AF1393" s="774"/>
      <c r="AG1393" s="774"/>
      <c r="AH1393" s="774"/>
      <c r="AI1393" s="774"/>
      <c r="AJ1393" s="78"/>
      <c r="AK1393" s="774"/>
      <c r="AL1393" s="774"/>
      <c r="AM1393" s="774"/>
      <c r="AN1393" s="774"/>
      <c r="AO1393" s="78"/>
      <c r="AP1393" s="774"/>
      <c r="AQ1393" s="774"/>
      <c r="AR1393" s="774"/>
      <c r="AS1393" s="774"/>
      <c r="AT1393" s="78"/>
      <c r="AU1393" s="774"/>
      <c r="AV1393" s="774"/>
      <c r="AW1393" s="774"/>
      <c r="AX1393" s="774"/>
      <c r="AY1393" s="1119">
        <v>1.827</v>
      </c>
      <c r="AZ1393" s="774"/>
      <c r="BA1393" s="774"/>
      <c r="BB1393" s="774"/>
      <c r="BC1393" s="774"/>
      <c r="BD1393" s="1119">
        <v>1.827</v>
      </c>
      <c r="BE1393" s="774"/>
      <c r="BF1393" s="774"/>
      <c r="BG1393" s="774"/>
      <c r="BH1393" s="774"/>
      <c r="BI1393" s="1119">
        <v>1.827</v>
      </c>
      <c r="BJ1393" s="774"/>
      <c r="BK1393" s="774"/>
      <c r="BL1393" s="774"/>
      <c r="BM1393" s="774"/>
      <c r="BN1393" s="1119">
        <v>1.827</v>
      </c>
      <c r="BO1393" s="774"/>
      <c r="BP1393" s="774"/>
      <c r="BQ1393" s="774"/>
      <c r="BR1393" s="774"/>
      <c r="BS1393" s="78"/>
      <c r="BT1393" s="775"/>
      <c r="BU1393" s="774"/>
      <c r="BV1393" s="774"/>
      <c r="BW1393" s="774"/>
      <c r="BX1393" s="78"/>
      <c r="BY1393" s="774"/>
      <c r="BZ1393" s="774"/>
      <c r="CA1393" s="774"/>
      <c r="CB1393" s="774"/>
      <c r="CC1393" s="78"/>
      <c r="CD1393" s="78"/>
      <c r="CE1393" s="78"/>
      <c r="CF1393" s="78"/>
      <c r="CG1393" s="532"/>
    </row>
    <row r="1394" spans="1:85" s="616" customFormat="1" x14ac:dyDescent="0.3">
      <c r="A1394" s="522" t="s">
        <v>1193</v>
      </c>
      <c r="B1394" s="527"/>
      <c r="C1394" s="1124"/>
      <c r="D1394" s="1124"/>
      <c r="E1394" s="1124"/>
      <c r="F1394" s="1124"/>
      <c r="G1394" s="526"/>
      <c r="H1394" s="526"/>
      <c r="I1394" s="526"/>
      <c r="J1394" s="526"/>
      <c r="K1394" s="1124"/>
      <c r="L1394" s="526"/>
      <c r="M1394" s="526"/>
      <c r="N1394" s="526"/>
      <c r="O1394" s="526"/>
      <c r="P1394" s="1124"/>
      <c r="Q1394" s="526"/>
      <c r="R1394" s="526"/>
      <c r="S1394" s="526"/>
      <c r="T1394" s="526"/>
      <c r="U1394" s="1124"/>
      <c r="V1394" s="526"/>
      <c r="W1394" s="526"/>
      <c r="X1394" s="526"/>
      <c r="Y1394" s="526"/>
      <c r="Z1394" s="1124"/>
      <c r="AA1394" s="526"/>
      <c r="AB1394" s="526"/>
      <c r="AC1394" s="526"/>
      <c r="AD1394" s="526"/>
      <c r="AE1394" s="1124"/>
      <c r="AF1394" s="526"/>
      <c r="AG1394" s="526"/>
      <c r="AH1394" s="526"/>
      <c r="AI1394" s="526"/>
      <c r="AJ1394" s="1124"/>
      <c r="AK1394" s="526"/>
      <c r="AL1394" s="526"/>
      <c r="AM1394" s="526"/>
      <c r="AN1394" s="526"/>
      <c r="AO1394" s="1124"/>
      <c r="AP1394" s="526"/>
      <c r="AQ1394" s="526"/>
      <c r="AR1394" s="526"/>
      <c r="AS1394" s="526"/>
      <c r="AT1394" s="1124"/>
      <c r="AU1394" s="526"/>
      <c r="AV1394" s="526"/>
      <c r="AW1394" s="526"/>
      <c r="AX1394" s="526"/>
      <c r="AY1394" s="1123">
        <v>539.04</v>
      </c>
      <c r="AZ1394" s="526"/>
      <c r="BA1394" s="526"/>
      <c r="BB1394" s="526"/>
      <c r="BC1394" s="526"/>
      <c r="BD1394" s="1123">
        <v>539.04</v>
      </c>
      <c r="BE1394" s="526"/>
      <c r="BF1394" s="526"/>
      <c r="BG1394" s="526"/>
      <c r="BH1394" s="526"/>
      <c r="BI1394" s="1123">
        <v>539.04</v>
      </c>
      <c r="BJ1394" s="526"/>
      <c r="BK1394" s="526"/>
      <c r="BL1394" s="526"/>
      <c r="BM1394" s="526"/>
      <c r="BN1394" s="1123">
        <v>539.04</v>
      </c>
      <c r="BO1394" s="526"/>
      <c r="BP1394" s="526"/>
      <c r="BQ1394" s="526"/>
      <c r="BR1394" s="526"/>
      <c r="BS1394" s="1124"/>
      <c r="BT1394" s="729"/>
      <c r="BU1394" s="526"/>
      <c r="BV1394" s="526"/>
      <c r="BW1394" s="526"/>
      <c r="BX1394" s="1124"/>
      <c r="BY1394" s="526"/>
      <c r="BZ1394" s="526"/>
      <c r="CA1394" s="526"/>
      <c r="CB1394" s="526"/>
      <c r="CC1394" s="1124"/>
      <c r="CD1394" s="1124"/>
      <c r="CE1394" s="1124"/>
      <c r="CF1394" s="1124"/>
      <c r="CG1394" s="533"/>
    </row>
    <row r="1395" spans="1:85" s="614" customFormat="1" x14ac:dyDescent="0.3">
      <c r="A1395" s="522"/>
      <c r="B1395" s="352"/>
      <c r="C1395" s="1094"/>
      <c r="D1395" s="1094"/>
      <c r="E1395" s="1094"/>
      <c r="F1395" s="1094"/>
      <c r="G1395" s="197"/>
      <c r="H1395" s="197"/>
      <c r="I1395" s="197"/>
      <c r="J1395" s="197"/>
      <c r="K1395" s="1094"/>
      <c r="L1395" s="197"/>
      <c r="M1395" s="197"/>
      <c r="N1395" s="197"/>
      <c r="O1395" s="197"/>
      <c r="P1395" s="1094"/>
      <c r="Q1395" s="197"/>
      <c r="R1395" s="197"/>
      <c r="S1395" s="197"/>
      <c r="T1395" s="197"/>
      <c r="U1395" s="1094"/>
      <c r="V1395" s="197"/>
      <c r="W1395" s="197"/>
      <c r="X1395" s="197"/>
      <c r="Y1395" s="197"/>
      <c r="Z1395" s="1094"/>
      <c r="AA1395" s="197"/>
      <c r="AB1395" s="197"/>
      <c r="AC1395" s="197"/>
      <c r="AD1395" s="197"/>
      <c r="AE1395" s="1094"/>
      <c r="AF1395" s="197"/>
      <c r="AG1395" s="197"/>
      <c r="AH1395" s="197"/>
      <c r="AI1395" s="197"/>
      <c r="AJ1395" s="1094"/>
      <c r="AK1395" s="197"/>
      <c r="AL1395" s="197"/>
      <c r="AM1395" s="197"/>
      <c r="AN1395" s="197"/>
      <c r="AO1395" s="1094"/>
      <c r="AP1395" s="197"/>
      <c r="AQ1395" s="197"/>
      <c r="AR1395" s="197"/>
      <c r="AS1395" s="197"/>
      <c r="AT1395" s="198"/>
      <c r="AU1395" s="197"/>
      <c r="AV1395" s="197"/>
      <c r="AW1395" s="197"/>
      <c r="AX1395" s="197"/>
      <c r="AY1395" s="198"/>
      <c r="AZ1395" s="197"/>
      <c r="BA1395" s="197"/>
      <c r="BB1395" s="197"/>
      <c r="BC1395" s="197"/>
      <c r="BD1395" s="198"/>
      <c r="BE1395" s="197"/>
      <c r="BF1395" s="197"/>
      <c r="BG1395" s="197"/>
      <c r="BH1395" s="197"/>
      <c r="BI1395" s="198"/>
      <c r="BJ1395" s="197"/>
      <c r="BK1395" s="197"/>
      <c r="BL1395" s="197"/>
      <c r="BM1395" s="197"/>
      <c r="BN1395" s="198"/>
      <c r="BO1395" s="197"/>
      <c r="BP1395" s="197"/>
      <c r="BQ1395" s="197"/>
      <c r="BR1395" s="197"/>
      <c r="BS1395" s="198"/>
      <c r="BT1395" s="727"/>
      <c r="BU1395" s="197"/>
      <c r="BV1395" s="197"/>
      <c r="BW1395" s="197"/>
      <c r="BX1395" s="1094"/>
      <c r="BY1395" s="197"/>
      <c r="BZ1395" s="197"/>
      <c r="CA1395" s="197"/>
      <c r="CB1395" s="197"/>
      <c r="CC1395" s="1094"/>
      <c r="CD1395" s="1094"/>
      <c r="CE1395" s="1094"/>
      <c r="CF1395" s="1094"/>
      <c r="CG1395" s="349"/>
    </row>
    <row r="1396" spans="1:85" s="613" customFormat="1" x14ac:dyDescent="0.3">
      <c r="A1396" s="478" t="s">
        <v>1192</v>
      </c>
      <c r="B1396" s="523"/>
      <c r="C1396" s="78"/>
      <c r="D1396" s="78"/>
      <c r="E1396" s="78"/>
      <c r="F1396" s="78"/>
      <c r="G1396" s="774"/>
      <c r="H1396" s="774"/>
      <c r="I1396" s="774"/>
      <c r="J1396" s="774"/>
      <c r="K1396" s="78"/>
      <c r="L1396" s="774"/>
      <c r="M1396" s="774"/>
      <c r="N1396" s="774"/>
      <c r="O1396" s="774"/>
      <c r="P1396" s="78"/>
      <c r="Q1396" s="774"/>
      <c r="R1396" s="774"/>
      <c r="S1396" s="774"/>
      <c r="T1396" s="774"/>
      <c r="U1396" s="78"/>
      <c r="V1396" s="774"/>
      <c r="W1396" s="774"/>
      <c r="X1396" s="774"/>
      <c r="Y1396" s="774"/>
      <c r="Z1396" s="78"/>
      <c r="AA1396" s="774"/>
      <c r="AB1396" s="774"/>
      <c r="AC1396" s="774"/>
      <c r="AD1396" s="774"/>
      <c r="AE1396" s="78"/>
      <c r="AF1396" s="774"/>
      <c r="AG1396" s="774"/>
      <c r="AH1396" s="774"/>
      <c r="AI1396" s="774"/>
      <c r="AJ1396" s="78"/>
      <c r="AK1396" s="774"/>
      <c r="AL1396" s="774"/>
      <c r="AM1396" s="774"/>
      <c r="AN1396" s="774"/>
      <c r="AO1396" s="78"/>
      <c r="AP1396" s="774"/>
      <c r="AQ1396" s="774"/>
      <c r="AR1396" s="774"/>
      <c r="AS1396" s="774"/>
      <c r="AT1396" s="78"/>
      <c r="AU1396" s="774"/>
      <c r="AV1396" s="774"/>
      <c r="AW1396" s="774"/>
      <c r="AX1396" s="774"/>
      <c r="AY1396" s="1119">
        <v>1.7869999999999999</v>
      </c>
      <c r="AZ1396" s="774"/>
      <c r="BA1396" s="774"/>
      <c r="BB1396" s="774"/>
      <c r="BC1396" s="774"/>
      <c r="BD1396" s="1119">
        <v>1.7869999999999999</v>
      </c>
      <c r="BE1396" s="774"/>
      <c r="BF1396" s="774"/>
      <c r="BG1396" s="774"/>
      <c r="BH1396" s="774"/>
      <c r="BI1396" s="1119">
        <v>1.7869999999999999</v>
      </c>
      <c r="BJ1396" s="774"/>
      <c r="BK1396" s="774"/>
      <c r="BL1396" s="774"/>
      <c r="BM1396" s="774"/>
      <c r="BN1396" s="1119">
        <v>1.7869999999999999</v>
      </c>
      <c r="BO1396" s="774"/>
      <c r="BP1396" s="774"/>
      <c r="BQ1396" s="774"/>
      <c r="BR1396" s="774"/>
      <c r="BS1396" s="78"/>
      <c r="BT1396" s="775"/>
      <c r="BU1396" s="774"/>
      <c r="BV1396" s="774"/>
      <c r="BW1396" s="774"/>
      <c r="BX1396" s="78"/>
      <c r="BY1396" s="774"/>
      <c r="BZ1396" s="774"/>
      <c r="CA1396" s="774"/>
      <c r="CB1396" s="774"/>
      <c r="CC1396" s="78"/>
      <c r="CD1396" s="78"/>
      <c r="CE1396" s="78"/>
      <c r="CF1396" s="78"/>
      <c r="CG1396" s="532"/>
    </row>
    <row r="1397" spans="1:85" s="616" customFormat="1" x14ac:dyDescent="0.3">
      <c r="A1397" s="522" t="s">
        <v>1191</v>
      </c>
      <c r="B1397" s="527"/>
      <c r="C1397" s="1124"/>
      <c r="D1397" s="1124"/>
      <c r="E1397" s="1124"/>
      <c r="F1397" s="1124"/>
      <c r="G1397" s="526"/>
      <c r="H1397" s="526"/>
      <c r="I1397" s="526"/>
      <c r="J1397" s="526"/>
      <c r="K1397" s="1124"/>
      <c r="L1397" s="526"/>
      <c r="M1397" s="526"/>
      <c r="N1397" s="526"/>
      <c r="O1397" s="526"/>
      <c r="P1397" s="1124"/>
      <c r="Q1397" s="526"/>
      <c r="R1397" s="526"/>
      <c r="S1397" s="526"/>
      <c r="T1397" s="526"/>
      <c r="U1397" s="1124"/>
      <c r="V1397" s="526"/>
      <c r="W1397" s="526"/>
      <c r="X1397" s="526"/>
      <c r="Y1397" s="526"/>
      <c r="Z1397" s="1124"/>
      <c r="AA1397" s="526"/>
      <c r="AB1397" s="526"/>
      <c r="AC1397" s="526"/>
      <c r="AD1397" s="526"/>
      <c r="AE1397" s="1124"/>
      <c r="AF1397" s="526"/>
      <c r="AG1397" s="526"/>
      <c r="AH1397" s="526"/>
      <c r="AI1397" s="526"/>
      <c r="AJ1397" s="1124"/>
      <c r="AK1397" s="526"/>
      <c r="AL1397" s="526"/>
      <c r="AM1397" s="526"/>
      <c r="AN1397" s="526"/>
      <c r="AO1397" s="1124"/>
      <c r="AP1397" s="526"/>
      <c r="AQ1397" s="526"/>
      <c r="AR1397" s="526"/>
      <c r="AS1397" s="526"/>
      <c r="AT1397" s="1124"/>
      <c r="AU1397" s="526"/>
      <c r="AV1397" s="526"/>
      <c r="AW1397" s="526"/>
      <c r="AX1397" s="526"/>
      <c r="AY1397" s="1123">
        <v>550.64</v>
      </c>
      <c r="AZ1397" s="526"/>
      <c r="BA1397" s="526"/>
      <c r="BB1397" s="526"/>
      <c r="BC1397" s="526"/>
      <c r="BD1397" s="1123">
        <v>550.64</v>
      </c>
      <c r="BE1397" s="526"/>
      <c r="BF1397" s="526"/>
      <c r="BG1397" s="526"/>
      <c r="BH1397" s="526"/>
      <c r="BI1397" s="1123">
        <v>550.64</v>
      </c>
      <c r="BJ1397" s="526"/>
      <c r="BK1397" s="526"/>
      <c r="BL1397" s="526"/>
      <c r="BM1397" s="526"/>
      <c r="BN1397" s="1123">
        <v>550.64</v>
      </c>
      <c r="BO1397" s="526"/>
      <c r="BP1397" s="526"/>
      <c r="BQ1397" s="526"/>
      <c r="BR1397" s="526"/>
      <c r="BS1397" s="1124"/>
      <c r="BT1397" s="729"/>
      <c r="BU1397" s="526"/>
      <c r="BV1397" s="526"/>
      <c r="BW1397" s="526"/>
      <c r="BX1397" s="1124"/>
      <c r="BY1397" s="526"/>
      <c r="BZ1397" s="526"/>
      <c r="CA1397" s="526"/>
      <c r="CB1397" s="526"/>
      <c r="CC1397" s="1124"/>
      <c r="CD1397" s="1124"/>
      <c r="CE1397" s="1124"/>
      <c r="CF1397" s="1124"/>
      <c r="CG1397" s="533"/>
    </row>
    <row r="1398" spans="1:85" s="614" customFormat="1" x14ac:dyDescent="0.3">
      <c r="A1398" s="522"/>
      <c r="B1398" s="352"/>
      <c r="C1398" s="1094"/>
      <c r="D1398" s="1094"/>
      <c r="E1398" s="1094"/>
      <c r="F1398" s="1094"/>
      <c r="G1398" s="197"/>
      <c r="H1398" s="197"/>
      <c r="I1398" s="197"/>
      <c r="J1398" s="197"/>
      <c r="K1398" s="1094"/>
      <c r="L1398" s="197"/>
      <c r="M1398" s="197"/>
      <c r="N1398" s="197"/>
      <c r="O1398" s="197"/>
      <c r="P1398" s="1094"/>
      <c r="Q1398" s="197"/>
      <c r="R1398" s="197"/>
      <c r="S1398" s="197"/>
      <c r="T1398" s="197"/>
      <c r="U1398" s="1094"/>
      <c r="V1398" s="197"/>
      <c r="W1398" s="197"/>
      <c r="X1398" s="197"/>
      <c r="Y1398" s="197"/>
      <c r="Z1398" s="1094"/>
      <c r="AA1398" s="197"/>
      <c r="AB1398" s="197"/>
      <c r="AC1398" s="197"/>
      <c r="AD1398" s="197"/>
      <c r="AE1398" s="1094"/>
      <c r="AF1398" s="197"/>
      <c r="AG1398" s="197"/>
      <c r="AH1398" s="197"/>
      <c r="AI1398" s="197"/>
      <c r="AJ1398" s="1094"/>
      <c r="AK1398" s="197"/>
      <c r="AL1398" s="197"/>
      <c r="AM1398" s="197"/>
      <c r="AN1398" s="197"/>
      <c r="AO1398" s="1094"/>
      <c r="AP1398" s="197"/>
      <c r="AQ1398" s="197"/>
      <c r="AR1398" s="197"/>
      <c r="AS1398" s="197"/>
      <c r="AT1398" s="198"/>
      <c r="AU1398" s="197"/>
      <c r="AV1398" s="197"/>
      <c r="AW1398" s="197"/>
      <c r="AX1398" s="197"/>
      <c r="AY1398" s="198"/>
      <c r="AZ1398" s="197"/>
      <c r="BA1398" s="197"/>
      <c r="BB1398" s="197"/>
      <c r="BC1398" s="197"/>
      <c r="BD1398" s="198"/>
      <c r="BE1398" s="197"/>
      <c r="BF1398" s="197"/>
      <c r="BG1398" s="197"/>
      <c r="BH1398" s="197"/>
      <c r="BI1398" s="198"/>
      <c r="BJ1398" s="197"/>
      <c r="BK1398" s="197"/>
      <c r="BL1398" s="197"/>
      <c r="BM1398" s="197"/>
      <c r="BN1398" s="198"/>
      <c r="BO1398" s="197"/>
      <c r="BP1398" s="197"/>
      <c r="BQ1398" s="197"/>
      <c r="BR1398" s="197"/>
      <c r="BS1398" s="198"/>
      <c r="BT1398" s="727"/>
      <c r="BU1398" s="197"/>
      <c r="BV1398" s="197"/>
      <c r="BW1398" s="197"/>
      <c r="BX1398" s="1094"/>
      <c r="BY1398" s="197"/>
      <c r="BZ1398" s="197"/>
      <c r="CA1398" s="197"/>
      <c r="CB1398" s="197"/>
      <c r="CC1398" s="1094"/>
      <c r="CD1398" s="1094"/>
      <c r="CE1398" s="1094"/>
      <c r="CF1398" s="1094"/>
      <c r="CG1398" s="349"/>
    </row>
    <row r="1399" spans="1:85" s="613" customFormat="1" x14ac:dyDescent="0.3">
      <c r="A1399" s="478" t="s">
        <v>1190</v>
      </c>
      <c r="B1399" s="523"/>
      <c r="C1399" s="78"/>
      <c r="D1399" s="78"/>
      <c r="E1399" s="78"/>
      <c r="F1399" s="78"/>
      <c r="G1399" s="774"/>
      <c r="H1399" s="774"/>
      <c r="I1399" s="774"/>
      <c r="J1399" s="774"/>
      <c r="K1399" s="78"/>
      <c r="L1399" s="774"/>
      <c r="M1399" s="774"/>
      <c r="N1399" s="774"/>
      <c r="O1399" s="774"/>
      <c r="P1399" s="78"/>
      <c r="Q1399" s="774"/>
      <c r="R1399" s="774"/>
      <c r="S1399" s="774"/>
      <c r="T1399" s="774"/>
      <c r="U1399" s="78"/>
      <c r="V1399" s="774"/>
      <c r="W1399" s="774"/>
      <c r="X1399" s="774"/>
      <c r="Y1399" s="774"/>
      <c r="Z1399" s="78"/>
      <c r="AA1399" s="774"/>
      <c r="AB1399" s="774"/>
      <c r="AC1399" s="774"/>
      <c r="AD1399" s="774"/>
      <c r="AE1399" s="78"/>
      <c r="AF1399" s="774"/>
      <c r="AG1399" s="774"/>
      <c r="AH1399" s="774"/>
      <c r="AI1399" s="774"/>
      <c r="AJ1399" s="78"/>
      <c r="AK1399" s="774"/>
      <c r="AL1399" s="774"/>
      <c r="AM1399" s="774"/>
      <c r="AN1399" s="774"/>
      <c r="AO1399" s="78"/>
      <c r="AP1399" s="774"/>
      <c r="AQ1399" s="774"/>
      <c r="AR1399" s="774"/>
      <c r="AS1399" s="774"/>
      <c r="AT1399" s="78"/>
      <c r="AU1399" s="774"/>
      <c r="AV1399" s="774"/>
      <c r="AW1399" s="774"/>
      <c r="AX1399" s="774"/>
      <c r="AY1399" s="1119">
        <v>1.825</v>
      </c>
      <c r="AZ1399" s="774"/>
      <c r="BA1399" s="774"/>
      <c r="BB1399" s="774"/>
      <c r="BC1399" s="774"/>
      <c r="BD1399" s="1119">
        <v>1.825</v>
      </c>
      <c r="BE1399" s="774"/>
      <c r="BF1399" s="774"/>
      <c r="BG1399" s="774"/>
      <c r="BH1399" s="774"/>
      <c r="BI1399" s="1119">
        <v>1.825</v>
      </c>
      <c r="BJ1399" s="774"/>
      <c r="BK1399" s="774"/>
      <c r="BL1399" s="774"/>
      <c r="BM1399" s="774"/>
      <c r="BN1399" s="1119">
        <v>1.825</v>
      </c>
      <c r="BO1399" s="774"/>
      <c r="BP1399" s="774"/>
      <c r="BQ1399" s="774"/>
      <c r="BR1399" s="774"/>
      <c r="BS1399" s="78"/>
      <c r="BT1399" s="775"/>
      <c r="BU1399" s="774"/>
      <c r="BV1399" s="774"/>
      <c r="BW1399" s="774"/>
      <c r="BX1399" s="78"/>
      <c r="BY1399" s="774"/>
      <c r="BZ1399" s="774"/>
      <c r="CA1399" s="774"/>
      <c r="CB1399" s="774"/>
      <c r="CC1399" s="78"/>
      <c r="CD1399" s="78"/>
      <c r="CE1399" s="78"/>
      <c r="CF1399" s="78"/>
      <c r="CG1399" s="532"/>
    </row>
    <row r="1400" spans="1:85" s="616" customFormat="1" x14ac:dyDescent="0.3">
      <c r="A1400" s="522" t="s">
        <v>1189</v>
      </c>
      <c r="B1400" s="527"/>
      <c r="C1400" s="1124"/>
      <c r="D1400" s="1124"/>
      <c r="E1400" s="1124"/>
      <c r="F1400" s="1124"/>
      <c r="G1400" s="526"/>
      <c r="H1400" s="526"/>
      <c r="I1400" s="526"/>
      <c r="J1400" s="526"/>
      <c r="K1400" s="1124"/>
      <c r="L1400" s="526"/>
      <c r="M1400" s="526"/>
      <c r="N1400" s="526"/>
      <c r="O1400" s="526"/>
      <c r="P1400" s="1124"/>
      <c r="Q1400" s="526"/>
      <c r="R1400" s="526"/>
      <c r="S1400" s="526"/>
      <c r="T1400" s="526"/>
      <c r="U1400" s="1124"/>
      <c r="V1400" s="526"/>
      <c r="W1400" s="526"/>
      <c r="X1400" s="526"/>
      <c r="Y1400" s="526"/>
      <c r="Z1400" s="1124"/>
      <c r="AA1400" s="526"/>
      <c r="AB1400" s="526"/>
      <c r="AC1400" s="526"/>
      <c r="AD1400" s="526"/>
      <c r="AE1400" s="1124"/>
      <c r="AF1400" s="526"/>
      <c r="AG1400" s="526"/>
      <c r="AH1400" s="526"/>
      <c r="AI1400" s="526"/>
      <c r="AJ1400" s="1124"/>
      <c r="AK1400" s="526"/>
      <c r="AL1400" s="526"/>
      <c r="AM1400" s="526"/>
      <c r="AN1400" s="526"/>
      <c r="AO1400" s="1124"/>
      <c r="AP1400" s="526"/>
      <c r="AQ1400" s="526"/>
      <c r="AR1400" s="526"/>
      <c r="AS1400" s="526"/>
      <c r="AT1400" s="1124"/>
      <c r="AU1400" s="526"/>
      <c r="AV1400" s="526"/>
      <c r="AW1400" s="526"/>
      <c r="AX1400" s="526"/>
      <c r="AY1400" s="1123">
        <v>539.41999999999996</v>
      </c>
      <c r="AZ1400" s="526"/>
      <c r="BA1400" s="526"/>
      <c r="BB1400" s="526"/>
      <c r="BC1400" s="526"/>
      <c r="BD1400" s="1123">
        <v>539.41999999999996</v>
      </c>
      <c r="BE1400" s="526"/>
      <c r="BF1400" s="526"/>
      <c r="BG1400" s="526"/>
      <c r="BH1400" s="526"/>
      <c r="BI1400" s="1123">
        <v>539.41999999999996</v>
      </c>
      <c r="BJ1400" s="526"/>
      <c r="BK1400" s="526"/>
      <c r="BL1400" s="526"/>
      <c r="BM1400" s="526"/>
      <c r="BN1400" s="1123">
        <v>539.41999999999996</v>
      </c>
      <c r="BO1400" s="526"/>
      <c r="BP1400" s="526"/>
      <c r="BQ1400" s="526"/>
      <c r="BR1400" s="526"/>
      <c r="BS1400" s="1124"/>
      <c r="BT1400" s="729"/>
      <c r="BU1400" s="526"/>
      <c r="BV1400" s="526"/>
      <c r="BW1400" s="526"/>
      <c r="BX1400" s="1124"/>
      <c r="BY1400" s="526"/>
      <c r="BZ1400" s="526"/>
      <c r="CA1400" s="526"/>
      <c r="CB1400" s="526"/>
      <c r="CC1400" s="1124"/>
      <c r="CD1400" s="1124"/>
      <c r="CE1400" s="1124"/>
      <c r="CF1400" s="1124"/>
      <c r="CG1400" s="533"/>
    </row>
    <row r="1401" spans="1:85" s="614" customFormat="1" x14ac:dyDescent="0.3">
      <c r="A1401" s="522"/>
      <c r="B1401" s="352"/>
      <c r="C1401" s="1094"/>
      <c r="D1401" s="1094"/>
      <c r="E1401" s="1094"/>
      <c r="F1401" s="1094"/>
      <c r="G1401" s="197"/>
      <c r="H1401" s="197"/>
      <c r="I1401" s="197"/>
      <c r="J1401" s="197"/>
      <c r="K1401" s="1094"/>
      <c r="L1401" s="197"/>
      <c r="M1401" s="197"/>
      <c r="N1401" s="197"/>
      <c r="O1401" s="197"/>
      <c r="P1401" s="1094"/>
      <c r="Q1401" s="197"/>
      <c r="R1401" s="197"/>
      <c r="S1401" s="197"/>
      <c r="T1401" s="197"/>
      <c r="U1401" s="1094"/>
      <c r="V1401" s="197"/>
      <c r="W1401" s="197"/>
      <c r="X1401" s="197"/>
      <c r="Y1401" s="197"/>
      <c r="Z1401" s="1094"/>
      <c r="AA1401" s="197"/>
      <c r="AB1401" s="197"/>
      <c r="AC1401" s="197"/>
      <c r="AD1401" s="197"/>
      <c r="AE1401" s="1094"/>
      <c r="AF1401" s="197"/>
      <c r="AG1401" s="197"/>
      <c r="AH1401" s="197"/>
      <c r="AI1401" s="197"/>
      <c r="AJ1401" s="1094"/>
      <c r="AK1401" s="197"/>
      <c r="AL1401" s="197"/>
      <c r="AM1401" s="197"/>
      <c r="AN1401" s="197"/>
      <c r="AO1401" s="1094"/>
      <c r="AP1401" s="197"/>
      <c r="AQ1401" s="197"/>
      <c r="AR1401" s="197"/>
      <c r="AS1401" s="197"/>
      <c r="AT1401" s="198"/>
      <c r="AU1401" s="197"/>
      <c r="AV1401" s="197"/>
      <c r="AW1401" s="197"/>
      <c r="AX1401" s="197"/>
      <c r="AY1401" s="198"/>
      <c r="AZ1401" s="197"/>
      <c r="BA1401" s="197"/>
      <c r="BB1401" s="197"/>
      <c r="BC1401" s="197"/>
      <c r="BD1401" s="198"/>
      <c r="BE1401" s="197"/>
      <c r="BF1401" s="197"/>
      <c r="BG1401" s="197"/>
      <c r="BH1401" s="197"/>
      <c r="BI1401" s="198"/>
      <c r="BJ1401" s="197"/>
      <c r="BK1401" s="197"/>
      <c r="BL1401" s="197"/>
      <c r="BM1401" s="197"/>
      <c r="BN1401" s="198"/>
      <c r="BO1401" s="197"/>
      <c r="BP1401" s="197"/>
      <c r="BQ1401" s="197"/>
      <c r="BR1401" s="197"/>
      <c r="BS1401" s="198"/>
      <c r="BT1401" s="727"/>
      <c r="BU1401" s="197"/>
      <c r="BV1401" s="197"/>
      <c r="BW1401" s="197"/>
      <c r="BX1401" s="1094"/>
      <c r="BY1401" s="197"/>
      <c r="BZ1401" s="197"/>
      <c r="CA1401" s="197"/>
      <c r="CB1401" s="197"/>
      <c r="CC1401" s="1094"/>
      <c r="CD1401" s="1094"/>
      <c r="CE1401" s="1094"/>
      <c r="CF1401" s="1094"/>
      <c r="CG1401" s="349"/>
    </row>
    <row r="1402" spans="1:85" s="613" customFormat="1" x14ac:dyDescent="0.3">
      <c r="A1402" s="478" t="s">
        <v>1188</v>
      </c>
      <c r="B1402" s="523"/>
      <c r="C1402" s="78"/>
      <c r="D1402" s="78"/>
      <c r="E1402" s="78"/>
      <c r="F1402" s="78"/>
      <c r="G1402" s="774"/>
      <c r="H1402" s="774"/>
      <c r="I1402" s="774"/>
      <c r="J1402" s="774"/>
      <c r="K1402" s="78"/>
      <c r="L1402" s="774"/>
      <c r="M1402" s="774"/>
      <c r="N1402" s="774"/>
      <c r="O1402" s="774"/>
      <c r="P1402" s="78"/>
      <c r="Q1402" s="774"/>
      <c r="R1402" s="774"/>
      <c r="S1402" s="774"/>
      <c r="T1402" s="774"/>
      <c r="U1402" s="78"/>
      <c r="V1402" s="774"/>
      <c r="W1402" s="774"/>
      <c r="X1402" s="774"/>
      <c r="Y1402" s="774"/>
      <c r="Z1402" s="78"/>
      <c r="AA1402" s="774"/>
      <c r="AB1402" s="774"/>
      <c r="AC1402" s="774"/>
      <c r="AD1402" s="774"/>
      <c r="AE1402" s="78"/>
      <c r="AF1402" s="774"/>
      <c r="AG1402" s="774"/>
      <c r="AH1402" s="774"/>
      <c r="AI1402" s="774"/>
      <c r="AJ1402" s="78"/>
      <c r="AK1402" s="774"/>
      <c r="AL1402" s="774"/>
      <c r="AM1402" s="774"/>
      <c r="AN1402" s="774"/>
      <c r="AO1402" s="78"/>
      <c r="AP1402" s="774"/>
      <c r="AQ1402" s="774"/>
      <c r="AR1402" s="774"/>
      <c r="AS1402" s="774"/>
      <c r="AT1402" s="78"/>
      <c r="AU1402" s="774"/>
      <c r="AV1402" s="774"/>
      <c r="AW1402" s="774"/>
      <c r="AX1402" s="774"/>
      <c r="AY1402" s="1119">
        <v>1.9339999999999999</v>
      </c>
      <c r="AZ1402" s="774"/>
      <c r="BA1402" s="774"/>
      <c r="BB1402" s="774"/>
      <c r="BC1402" s="774"/>
      <c r="BD1402" s="1119">
        <v>1.9339999999999999</v>
      </c>
      <c r="BE1402" s="774"/>
      <c r="BF1402" s="774"/>
      <c r="BG1402" s="774"/>
      <c r="BH1402" s="774"/>
      <c r="BI1402" s="1119">
        <v>1.9339999999999999</v>
      </c>
      <c r="BJ1402" s="774"/>
      <c r="BK1402" s="774"/>
      <c r="BL1402" s="774"/>
      <c r="BM1402" s="774"/>
      <c r="BN1402" s="1119">
        <v>1.9339999999999999</v>
      </c>
      <c r="BO1402" s="774"/>
      <c r="BP1402" s="774"/>
      <c r="BQ1402" s="774"/>
      <c r="BR1402" s="774"/>
      <c r="BS1402" s="78"/>
      <c r="BT1402" s="775"/>
      <c r="BU1402" s="774"/>
      <c r="BV1402" s="774"/>
      <c r="BW1402" s="774"/>
      <c r="BX1402" s="78"/>
      <c r="BY1402" s="774"/>
      <c r="BZ1402" s="774"/>
      <c r="CA1402" s="774"/>
      <c r="CB1402" s="774"/>
      <c r="CC1402" s="78"/>
      <c r="CD1402" s="78"/>
      <c r="CE1402" s="78"/>
      <c r="CF1402" s="78"/>
      <c r="CG1402" s="532"/>
    </row>
    <row r="1403" spans="1:85" s="616" customFormat="1" x14ac:dyDescent="0.3">
      <c r="A1403" s="522" t="s">
        <v>1187</v>
      </c>
      <c r="B1403" s="527"/>
      <c r="C1403" s="1124"/>
      <c r="D1403" s="1124"/>
      <c r="E1403" s="1124"/>
      <c r="F1403" s="1124"/>
      <c r="G1403" s="526"/>
      <c r="H1403" s="526"/>
      <c r="I1403" s="526"/>
      <c r="J1403" s="526"/>
      <c r="K1403" s="1124"/>
      <c r="L1403" s="526"/>
      <c r="M1403" s="526"/>
      <c r="N1403" s="526"/>
      <c r="O1403" s="526"/>
      <c r="P1403" s="1124"/>
      <c r="Q1403" s="526"/>
      <c r="R1403" s="526"/>
      <c r="S1403" s="526"/>
      <c r="T1403" s="526"/>
      <c r="U1403" s="1124"/>
      <c r="V1403" s="526"/>
      <c r="W1403" s="526"/>
      <c r="X1403" s="526"/>
      <c r="Y1403" s="526"/>
      <c r="Z1403" s="1124"/>
      <c r="AA1403" s="526"/>
      <c r="AB1403" s="526"/>
      <c r="AC1403" s="526"/>
      <c r="AD1403" s="526"/>
      <c r="AE1403" s="1124"/>
      <c r="AF1403" s="526"/>
      <c r="AG1403" s="526"/>
      <c r="AH1403" s="526"/>
      <c r="AI1403" s="526"/>
      <c r="AJ1403" s="1124"/>
      <c r="AK1403" s="526"/>
      <c r="AL1403" s="526"/>
      <c r="AM1403" s="526"/>
      <c r="AN1403" s="526"/>
      <c r="AO1403" s="1124"/>
      <c r="AP1403" s="526"/>
      <c r="AQ1403" s="526"/>
      <c r="AR1403" s="526"/>
      <c r="AS1403" s="526"/>
      <c r="AT1403" s="1124"/>
      <c r="AU1403" s="526"/>
      <c r="AV1403" s="526"/>
      <c r="AW1403" s="526"/>
      <c r="AX1403" s="526"/>
      <c r="AY1403" s="1123">
        <v>509.11</v>
      </c>
      <c r="AZ1403" s="526"/>
      <c r="BA1403" s="526"/>
      <c r="BB1403" s="526"/>
      <c r="BC1403" s="526"/>
      <c r="BD1403" s="1123">
        <v>509.11</v>
      </c>
      <c r="BE1403" s="526"/>
      <c r="BF1403" s="526"/>
      <c r="BG1403" s="526"/>
      <c r="BH1403" s="526"/>
      <c r="BI1403" s="1123">
        <v>509.11</v>
      </c>
      <c r="BJ1403" s="526"/>
      <c r="BK1403" s="526"/>
      <c r="BL1403" s="526"/>
      <c r="BM1403" s="526"/>
      <c r="BN1403" s="1123">
        <v>509.11</v>
      </c>
      <c r="BO1403" s="526"/>
      <c r="BP1403" s="526"/>
      <c r="BQ1403" s="526"/>
      <c r="BR1403" s="526"/>
      <c r="BS1403" s="1124"/>
      <c r="BT1403" s="729"/>
      <c r="BU1403" s="526"/>
      <c r="BV1403" s="526"/>
      <c r="BW1403" s="526"/>
      <c r="BX1403" s="1124"/>
      <c r="BY1403" s="526"/>
      <c r="BZ1403" s="526"/>
      <c r="CA1403" s="526"/>
      <c r="CB1403" s="526"/>
      <c r="CC1403" s="1124"/>
      <c r="CD1403" s="1124"/>
      <c r="CE1403" s="1124"/>
      <c r="CF1403" s="1124"/>
      <c r="CG1403" s="533"/>
    </row>
    <row r="1404" spans="1:85" s="614" customFormat="1" x14ac:dyDescent="0.3">
      <c r="A1404" s="522"/>
      <c r="B1404" s="352"/>
      <c r="C1404" s="1094"/>
      <c r="D1404" s="1094"/>
      <c r="E1404" s="1094"/>
      <c r="F1404" s="1094"/>
      <c r="G1404" s="197"/>
      <c r="H1404" s="197"/>
      <c r="I1404" s="197"/>
      <c r="J1404" s="197"/>
      <c r="K1404" s="1094"/>
      <c r="L1404" s="197"/>
      <c r="M1404" s="197"/>
      <c r="N1404" s="197"/>
      <c r="O1404" s="197"/>
      <c r="P1404" s="1094"/>
      <c r="Q1404" s="197"/>
      <c r="R1404" s="197"/>
      <c r="S1404" s="197"/>
      <c r="T1404" s="197"/>
      <c r="U1404" s="1094"/>
      <c r="V1404" s="197"/>
      <c r="W1404" s="197"/>
      <c r="X1404" s="197"/>
      <c r="Y1404" s="197"/>
      <c r="Z1404" s="1094"/>
      <c r="AA1404" s="197"/>
      <c r="AB1404" s="197"/>
      <c r="AC1404" s="197"/>
      <c r="AD1404" s="197"/>
      <c r="AE1404" s="1094"/>
      <c r="AF1404" s="197"/>
      <c r="AG1404" s="197"/>
      <c r="AH1404" s="197"/>
      <c r="AI1404" s="197"/>
      <c r="AJ1404" s="1094"/>
      <c r="AK1404" s="197"/>
      <c r="AL1404" s="197"/>
      <c r="AM1404" s="197"/>
      <c r="AN1404" s="197"/>
      <c r="AO1404" s="1094"/>
      <c r="AP1404" s="197"/>
      <c r="AQ1404" s="197"/>
      <c r="AR1404" s="197"/>
      <c r="AS1404" s="197"/>
      <c r="AT1404" s="198"/>
      <c r="AU1404" s="197"/>
      <c r="AV1404" s="197"/>
      <c r="AW1404" s="197"/>
      <c r="AX1404" s="197"/>
      <c r="AY1404" s="198"/>
      <c r="AZ1404" s="197"/>
      <c r="BA1404" s="197"/>
      <c r="BB1404" s="197"/>
      <c r="BC1404" s="197"/>
      <c r="BD1404" s="198"/>
      <c r="BE1404" s="197"/>
      <c r="BF1404" s="197"/>
      <c r="BG1404" s="197"/>
      <c r="BH1404" s="197"/>
      <c r="BI1404" s="198"/>
      <c r="BJ1404" s="197"/>
      <c r="BK1404" s="197"/>
      <c r="BL1404" s="197"/>
      <c r="BM1404" s="197"/>
      <c r="BN1404" s="198"/>
      <c r="BO1404" s="197"/>
      <c r="BP1404" s="197"/>
      <c r="BQ1404" s="197"/>
      <c r="BR1404" s="197"/>
      <c r="BS1404" s="198"/>
      <c r="BT1404" s="727"/>
      <c r="BU1404" s="197"/>
      <c r="BV1404" s="197"/>
      <c r="BW1404" s="197"/>
      <c r="BX1404" s="1094"/>
      <c r="BY1404" s="197"/>
      <c r="BZ1404" s="197"/>
      <c r="CA1404" s="197"/>
      <c r="CB1404" s="197"/>
      <c r="CC1404" s="1094"/>
      <c r="CD1404" s="1094"/>
      <c r="CE1404" s="1094"/>
      <c r="CF1404" s="1094"/>
      <c r="CG1404" s="349"/>
    </row>
    <row r="1405" spans="1:85" s="613" customFormat="1" x14ac:dyDescent="0.3">
      <c r="A1405" s="478" t="s">
        <v>1186</v>
      </c>
      <c r="B1405" s="523"/>
      <c r="C1405" s="78"/>
      <c r="D1405" s="78"/>
      <c r="E1405" s="78"/>
      <c r="F1405" s="78"/>
      <c r="G1405" s="774"/>
      <c r="H1405" s="774"/>
      <c r="I1405" s="774"/>
      <c r="J1405" s="774"/>
      <c r="K1405" s="78"/>
      <c r="L1405" s="774"/>
      <c r="M1405" s="774"/>
      <c r="N1405" s="774"/>
      <c r="O1405" s="774"/>
      <c r="P1405" s="78"/>
      <c r="Q1405" s="774"/>
      <c r="R1405" s="774"/>
      <c r="S1405" s="774"/>
      <c r="T1405" s="774"/>
      <c r="U1405" s="78"/>
      <c r="V1405" s="774"/>
      <c r="W1405" s="774"/>
      <c r="X1405" s="774"/>
      <c r="Y1405" s="774"/>
      <c r="Z1405" s="78"/>
      <c r="AA1405" s="774"/>
      <c r="AB1405" s="774"/>
      <c r="AC1405" s="774"/>
      <c r="AD1405" s="774"/>
      <c r="AE1405" s="78"/>
      <c r="AF1405" s="774"/>
      <c r="AG1405" s="774"/>
      <c r="AH1405" s="774"/>
      <c r="AI1405" s="774"/>
      <c r="AJ1405" s="78"/>
      <c r="AK1405" s="774"/>
      <c r="AL1405" s="774"/>
      <c r="AM1405" s="774"/>
      <c r="AN1405" s="774"/>
      <c r="AO1405" s="78"/>
      <c r="AP1405" s="774"/>
      <c r="AQ1405" s="774"/>
      <c r="AR1405" s="774"/>
      <c r="AS1405" s="774"/>
      <c r="AT1405" s="78"/>
      <c r="AU1405" s="774"/>
      <c r="AV1405" s="774"/>
      <c r="AW1405" s="774"/>
      <c r="AX1405" s="774"/>
      <c r="AY1405" s="1119">
        <v>1.972</v>
      </c>
      <c r="AZ1405" s="774"/>
      <c r="BA1405" s="774"/>
      <c r="BB1405" s="774"/>
      <c r="BC1405" s="774"/>
      <c r="BD1405" s="1119">
        <v>1.972</v>
      </c>
      <c r="BE1405" s="774"/>
      <c r="BF1405" s="774"/>
      <c r="BG1405" s="774"/>
      <c r="BH1405" s="774"/>
      <c r="BI1405" s="1119">
        <v>1.972</v>
      </c>
      <c r="BJ1405" s="774"/>
      <c r="BK1405" s="774"/>
      <c r="BL1405" s="774"/>
      <c r="BM1405" s="774"/>
      <c r="BN1405" s="1119">
        <v>1.972</v>
      </c>
      <c r="BO1405" s="774"/>
      <c r="BP1405" s="774"/>
      <c r="BQ1405" s="774"/>
      <c r="BR1405" s="774"/>
      <c r="BS1405" s="78"/>
      <c r="BT1405" s="775"/>
      <c r="BU1405" s="774"/>
      <c r="BV1405" s="774"/>
      <c r="BW1405" s="774"/>
      <c r="BX1405" s="78"/>
      <c r="BY1405" s="774"/>
      <c r="BZ1405" s="774"/>
      <c r="CA1405" s="774"/>
      <c r="CB1405" s="774"/>
      <c r="CC1405" s="78"/>
      <c r="CD1405" s="78"/>
      <c r="CE1405" s="78"/>
      <c r="CF1405" s="78"/>
      <c r="CG1405" s="532"/>
    </row>
    <row r="1406" spans="1:85" s="616" customFormat="1" x14ac:dyDescent="0.3">
      <c r="A1406" s="522" t="s">
        <v>1185</v>
      </c>
      <c r="B1406" s="527"/>
      <c r="C1406" s="1124"/>
      <c r="D1406" s="1124"/>
      <c r="E1406" s="1124"/>
      <c r="F1406" s="1124"/>
      <c r="G1406" s="526"/>
      <c r="H1406" s="526"/>
      <c r="I1406" s="526"/>
      <c r="J1406" s="526"/>
      <c r="K1406" s="1124"/>
      <c r="L1406" s="526"/>
      <c r="M1406" s="526"/>
      <c r="N1406" s="526"/>
      <c r="O1406" s="526"/>
      <c r="P1406" s="1124"/>
      <c r="Q1406" s="526"/>
      <c r="R1406" s="526"/>
      <c r="S1406" s="526"/>
      <c r="T1406" s="526"/>
      <c r="U1406" s="1124"/>
      <c r="V1406" s="526"/>
      <c r="W1406" s="526"/>
      <c r="X1406" s="526"/>
      <c r="Y1406" s="526"/>
      <c r="Z1406" s="1124"/>
      <c r="AA1406" s="526"/>
      <c r="AB1406" s="526"/>
      <c r="AC1406" s="526"/>
      <c r="AD1406" s="526"/>
      <c r="AE1406" s="1124"/>
      <c r="AF1406" s="526"/>
      <c r="AG1406" s="526"/>
      <c r="AH1406" s="526"/>
      <c r="AI1406" s="526"/>
      <c r="AJ1406" s="1124"/>
      <c r="AK1406" s="526"/>
      <c r="AL1406" s="526"/>
      <c r="AM1406" s="526"/>
      <c r="AN1406" s="526"/>
      <c r="AO1406" s="1124"/>
      <c r="AP1406" s="526"/>
      <c r="AQ1406" s="526"/>
      <c r="AR1406" s="526"/>
      <c r="AS1406" s="526"/>
      <c r="AT1406" s="1124"/>
      <c r="AU1406" s="526"/>
      <c r="AV1406" s="526"/>
      <c r="AW1406" s="526"/>
      <c r="AX1406" s="526"/>
      <c r="AY1406" s="1123">
        <v>499.08</v>
      </c>
      <c r="AZ1406" s="526"/>
      <c r="BA1406" s="526"/>
      <c r="BB1406" s="526"/>
      <c r="BC1406" s="526"/>
      <c r="BD1406" s="1123">
        <v>499.08</v>
      </c>
      <c r="BE1406" s="526"/>
      <c r="BF1406" s="526"/>
      <c r="BG1406" s="526"/>
      <c r="BH1406" s="526"/>
      <c r="BI1406" s="1123">
        <v>499.08</v>
      </c>
      <c r="BJ1406" s="526"/>
      <c r="BK1406" s="526"/>
      <c r="BL1406" s="526"/>
      <c r="BM1406" s="526"/>
      <c r="BN1406" s="1123">
        <v>499.08</v>
      </c>
      <c r="BO1406" s="526"/>
      <c r="BP1406" s="526"/>
      <c r="BQ1406" s="526"/>
      <c r="BR1406" s="526"/>
      <c r="BS1406" s="1124"/>
      <c r="BT1406" s="729"/>
      <c r="BU1406" s="526"/>
      <c r="BV1406" s="526"/>
      <c r="BW1406" s="526"/>
      <c r="BX1406" s="1124"/>
      <c r="BY1406" s="526"/>
      <c r="BZ1406" s="526"/>
      <c r="CA1406" s="526"/>
      <c r="CB1406" s="526"/>
      <c r="CC1406" s="1124"/>
      <c r="CD1406" s="1124"/>
      <c r="CE1406" s="1124"/>
      <c r="CF1406" s="1124"/>
      <c r="CG1406" s="533"/>
    </row>
    <row r="1407" spans="1:85" s="614" customFormat="1" x14ac:dyDescent="0.3">
      <c r="A1407" s="522"/>
      <c r="B1407" s="352"/>
      <c r="C1407" s="1094"/>
      <c r="D1407" s="1094"/>
      <c r="E1407" s="1094"/>
      <c r="F1407" s="1094"/>
      <c r="G1407" s="197"/>
      <c r="H1407" s="197"/>
      <c r="I1407" s="197"/>
      <c r="J1407" s="197"/>
      <c r="K1407" s="1094"/>
      <c r="L1407" s="197"/>
      <c r="M1407" s="197"/>
      <c r="N1407" s="197"/>
      <c r="O1407" s="197"/>
      <c r="P1407" s="1094"/>
      <c r="Q1407" s="197"/>
      <c r="R1407" s="197"/>
      <c r="S1407" s="197"/>
      <c r="T1407" s="197"/>
      <c r="U1407" s="1094"/>
      <c r="V1407" s="197"/>
      <c r="W1407" s="197"/>
      <c r="X1407" s="197"/>
      <c r="Y1407" s="197"/>
      <c r="Z1407" s="1094"/>
      <c r="AA1407" s="197"/>
      <c r="AB1407" s="197"/>
      <c r="AC1407" s="197"/>
      <c r="AD1407" s="197"/>
      <c r="AE1407" s="1094"/>
      <c r="AF1407" s="197"/>
      <c r="AG1407" s="197"/>
      <c r="AH1407" s="197"/>
      <c r="AI1407" s="197"/>
      <c r="AJ1407" s="1094"/>
      <c r="AK1407" s="197"/>
      <c r="AL1407" s="197"/>
      <c r="AM1407" s="197"/>
      <c r="AN1407" s="197"/>
      <c r="AO1407" s="1094"/>
      <c r="AP1407" s="197"/>
      <c r="AQ1407" s="197"/>
      <c r="AR1407" s="197"/>
      <c r="AS1407" s="197"/>
      <c r="AT1407" s="198"/>
      <c r="AU1407" s="197"/>
      <c r="AV1407" s="197"/>
      <c r="AW1407" s="197"/>
      <c r="AX1407" s="197"/>
      <c r="AY1407" s="198"/>
      <c r="AZ1407" s="197"/>
      <c r="BA1407" s="197"/>
      <c r="BB1407" s="197"/>
      <c r="BC1407" s="197"/>
      <c r="BD1407" s="198"/>
      <c r="BE1407" s="197"/>
      <c r="BF1407" s="197"/>
      <c r="BG1407" s="197"/>
      <c r="BH1407" s="197"/>
      <c r="BI1407" s="198"/>
      <c r="BJ1407" s="197"/>
      <c r="BK1407" s="197"/>
      <c r="BL1407" s="197"/>
      <c r="BM1407" s="197"/>
      <c r="BN1407" s="198"/>
      <c r="BO1407" s="197"/>
      <c r="BP1407" s="197"/>
      <c r="BQ1407" s="197"/>
      <c r="BR1407" s="197"/>
      <c r="BS1407" s="198"/>
      <c r="BT1407" s="727"/>
      <c r="BU1407" s="197"/>
      <c r="BV1407" s="197"/>
      <c r="BW1407" s="197"/>
      <c r="BX1407" s="1094"/>
      <c r="BY1407" s="197"/>
      <c r="BZ1407" s="197"/>
      <c r="CA1407" s="197"/>
      <c r="CB1407" s="197"/>
      <c r="CC1407" s="1094"/>
      <c r="CD1407" s="1094"/>
      <c r="CE1407" s="1094"/>
      <c r="CF1407" s="1094"/>
      <c r="CG1407" s="349"/>
    </row>
    <row r="1408" spans="1:85" s="613" customFormat="1" x14ac:dyDescent="0.3">
      <c r="A1408" s="478" t="s">
        <v>1184</v>
      </c>
      <c r="B1408" s="523"/>
      <c r="C1408" s="78"/>
      <c r="D1408" s="78"/>
      <c r="E1408" s="78"/>
      <c r="F1408" s="78"/>
      <c r="G1408" s="774"/>
      <c r="H1408" s="774"/>
      <c r="I1408" s="774"/>
      <c r="J1408" s="774"/>
      <c r="K1408" s="78"/>
      <c r="L1408" s="774"/>
      <c r="M1408" s="774"/>
      <c r="N1408" s="774"/>
      <c r="O1408" s="774"/>
      <c r="P1408" s="78"/>
      <c r="Q1408" s="774"/>
      <c r="R1408" s="774"/>
      <c r="S1408" s="774"/>
      <c r="T1408" s="774"/>
      <c r="U1408" s="78"/>
      <c r="V1408" s="774"/>
      <c r="W1408" s="774"/>
      <c r="X1408" s="774"/>
      <c r="Y1408" s="774"/>
      <c r="Z1408" s="78"/>
      <c r="AA1408" s="774"/>
      <c r="AB1408" s="774"/>
      <c r="AC1408" s="774"/>
      <c r="AD1408" s="774"/>
      <c r="AE1408" s="78"/>
      <c r="AF1408" s="774"/>
      <c r="AG1408" s="774"/>
      <c r="AH1408" s="774"/>
      <c r="AI1408" s="774"/>
      <c r="AJ1408" s="78"/>
      <c r="AK1408" s="774"/>
      <c r="AL1408" s="774"/>
      <c r="AM1408" s="774"/>
      <c r="AN1408" s="774"/>
      <c r="AO1408" s="78"/>
      <c r="AP1408" s="774"/>
      <c r="AQ1408" s="774"/>
      <c r="AR1408" s="774"/>
      <c r="AS1408" s="774"/>
      <c r="AT1408" s="78"/>
      <c r="AU1408" s="774"/>
      <c r="AV1408" s="774"/>
      <c r="AW1408" s="774"/>
      <c r="AX1408" s="774"/>
      <c r="AY1408" s="1119">
        <v>1.845</v>
      </c>
      <c r="AZ1408" s="774"/>
      <c r="BA1408" s="774"/>
      <c r="BB1408" s="774"/>
      <c r="BC1408" s="774"/>
      <c r="BD1408" s="1119">
        <v>1.845</v>
      </c>
      <c r="BE1408" s="774"/>
      <c r="BF1408" s="774"/>
      <c r="BG1408" s="774"/>
      <c r="BH1408" s="774"/>
      <c r="BI1408" s="1119">
        <v>1.845</v>
      </c>
      <c r="BJ1408" s="774"/>
      <c r="BK1408" s="774"/>
      <c r="BL1408" s="774"/>
      <c r="BM1408" s="774"/>
      <c r="BN1408" s="1119">
        <v>1.845</v>
      </c>
      <c r="BO1408" s="774"/>
      <c r="BP1408" s="774"/>
      <c r="BQ1408" s="774"/>
      <c r="BR1408" s="774"/>
      <c r="BS1408" s="78"/>
      <c r="BT1408" s="775"/>
      <c r="BU1408" s="774"/>
      <c r="BV1408" s="774"/>
      <c r="BW1408" s="774"/>
      <c r="BX1408" s="78"/>
      <c r="BY1408" s="774"/>
      <c r="BZ1408" s="774"/>
      <c r="CA1408" s="774"/>
      <c r="CB1408" s="774"/>
      <c r="CC1408" s="78"/>
      <c r="CD1408" s="78"/>
      <c r="CE1408" s="78"/>
      <c r="CF1408" s="78"/>
      <c r="CG1408" s="532"/>
    </row>
    <row r="1409" spans="1:85" s="616" customFormat="1" x14ac:dyDescent="0.3">
      <c r="A1409" s="522" t="s">
        <v>1183</v>
      </c>
      <c r="B1409" s="527"/>
      <c r="C1409" s="1124"/>
      <c r="D1409" s="1124"/>
      <c r="E1409" s="1124"/>
      <c r="F1409" s="1124"/>
      <c r="G1409" s="526"/>
      <c r="H1409" s="526"/>
      <c r="I1409" s="526"/>
      <c r="J1409" s="526"/>
      <c r="K1409" s="1124"/>
      <c r="L1409" s="526"/>
      <c r="M1409" s="526"/>
      <c r="N1409" s="526"/>
      <c r="O1409" s="526"/>
      <c r="P1409" s="1124"/>
      <c r="Q1409" s="526"/>
      <c r="R1409" s="526"/>
      <c r="S1409" s="526"/>
      <c r="T1409" s="526"/>
      <c r="U1409" s="1124"/>
      <c r="V1409" s="526"/>
      <c r="W1409" s="526"/>
      <c r="X1409" s="526"/>
      <c r="Y1409" s="526"/>
      <c r="Z1409" s="1124"/>
      <c r="AA1409" s="526"/>
      <c r="AB1409" s="526"/>
      <c r="AC1409" s="526"/>
      <c r="AD1409" s="526"/>
      <c r="AE1409" s="1124"/>
      <c r="AF1409" s="526"/>
      <c r="AG1409" s="526"/>
      <c r="AH1409" s="526"/>
      <c r="AI1409" s="526"/>
      <c r="AJ1409" s="1124"/>
      <c r="AK1409" s="526"/>
      <c r="AL1409" s="526"/>
      <c r="AM1409" s="526"/>
      <c r="AN1409" s="526"/>
      <c r="AO1409" s="1124"/>
      <c r="AP1409" s="526"/>
      <c r="AQ1409" s="526"/>
      <c r="AR1409" s="526"/>
      <c r="AS1409" s="526"/>
      <c r="AT1409" s="1124"/>
      <c r="AU1409" s="526"/>
      <c r="AV1409" s="526"/>
      <c r="AW1409" s="526"/>
      <c r="AX1409" s="526"/>
      <c r="AY1409" s="1123">
        <v>533.54</v>
      </c>
      <c r="AZ1409" s="526"/>
      <c r="BA1409" s="526"/>
      <c r="BB1409" s="526"/>
      <c r="BC1409" s="526"/>
      <c r="BD1409" s="1123">
        <v>533.54</v>
      </c>
      <c r="BE1409" s="526"/>
      <c r="BF1409" s="526"/>
      <c r="BG1409" s="526"/>
      <c r="BH1409" s="526"/>
      <c r="BI1409" s="1123">
        <v>533.54</v>
      </c>
      <c r="BJ1409" s="526"/>
      <c r="BK1409" s="526"/>
      <c r="BL1409" s="526"/>
      <c r="BM1409" s="526"/>
      <c r="BN1409" s="1123">
        <v>533.54</v>
      </c>
      <c r="BO1409" s="526"/>
      <c r="BP1409" s="526"/>
      <c r="BQ1409" s="526"/>
      <c r="BR1409" s="526"/>
      <c r="BS1409" s="1124"/>
      <c r="BT1409" s="729"/>
      <c r="BU1409" s="526"/>
      <c r="BV1409" s="526"/>
      <c r="BW1409" s="526"/>
      <c r="BX1409" s="1124"/>
      <c r="BY1409" s="526"/>
      <c r="BZ1409" s="526"/>
      <c r="CA1409" s="526"/>
      <c r="CB1409" s="526"/>
      <c r="CC1409" s="1124"/>
      <c r="CD1409" s="1124"/>
      <c r="CE1409" s="1124"/>
      <c r="CF1409" s="1124"/>
      <c r="CG1409" s="533"/>
    </row>
    <row r="1410" spans="1:85" s="614" customFormat="1" x14ac:dyDescent="0.3">
      <c r="A1410" s="522"/>
      <c r="B1410" s="352"/>
      <c r="C1410" s="1094"/>
      <c r="D1410" s="1094"/>
      <c r="E1410" s="1094"/>
      <c r="F1410" s="1094"/>
      <c r="G1410" s="197"/>
      <c r="H1410" s="197"/>
      <c r="I1410" s="197"/>
      <c r="J1410" s="197"/>
      <c r="K1410" s="1094"/>
      <c r="L1410" s="197"/>
      <c r="M1410" s="197"/>
      <c r="N1410" s="197"/>
      <c r="O1410" s="197"/>
      <c r="P1410" s="1094"/>
      <c r="Q1410" s="197"/>
      <c r="R1410" s="197"/>
      <c r="S1410" s="197"/>
      <c r="T1410" s="197"/>
      <c r="U1410" s="1094"/>
      <c r="V1410" s="197"/>
      <c r="W1410" s="197"/>
      <c r="X1410" s="197"/>
      <c r="Y1410" s="197"/>
      <c r="Z1410" s="1094"/>
      <c r="AA1410" s="197"/>
      <c r="AB1410" s="197"/>
      <c r="AC1410" s="197"/>
      <c r="AD1410" s="197"/>
      <c r="AE1410" s="1094"/>
      <c r="AF1410" s="197"/>
      <c r="AG1410" s="197"/>
      <c r="AH1410" s="197"/>
      <c r="AI1410" s="197"/>
      <c r="AJ1410" s="1094"/>
      <c r="AK1410" s="197"/>
      <c r="AL1410" s="197"/>
      <c r="AM1410" s="197"/>
      <c r="AN1410" s="197"/>
      <c r="AO1410" s="1094"/>
      <c r="AP1410" s="197"/>
      <c r="AQ1410" s="197"/>
      <c r="AR1410" s="197"/>
      <c r="AS1410" s="197"/>
      <c r="AT1410" s="198"/>
      <c r="AU1410" s="197"/>
      <c r="AV1410" s="197"/>
      <c r="AW1410" s="197"/>
      <c r="AX1410" s="197"/>
      <c r="AY1410" s="198"/>
      <c r="AZ1410" s="197"/>
      <c r="BA1410" s="197"/>
      <c r="BB1410" s="197"/>
      <c r="BC1410" s="197"/>
      <c r="BD1410" s="198"/>
      <c r="BE1410" s="197"/>
      <c r="BF1410" s="197"/>
      <c r="BG1410" s="197"/>
      <c r="BH1410" s="197"/>
      <c r="BI1410" s="198"/>
      <c r="BJ1410" s="197"/>
      <c r="BK1410" s="197"/>
      <c r="BL1410" s="197"/>
      <c r="BM1410" s="197"/>
      <c r="BN1410" s="198"/>
      <c r="BO1410" s="197"/>
      <c r="BP1410" s="197"/>
      <c r="BQ1410" s="197"/>
      <c r="BR1410" s="197"/>
      <c r="BS1410" s="198"/>
      <c r="BT1410" s="727"/>
      <c r="BU1410" s="197"/>
      <c r="BV1410" s="197"/>
      <c r="BW1410" s="197"/>
      <c r="BX1410" s="1094"/>
      <c r="BY1410" s="197"/>
      <c r="BZ1410" s="197"/>
      <c r="CA1410" s="197"/>
      <c r="CB1410" s="197"/>
      <c r="CC1410" s="1094"/>
      <c r="CD1410" s="1094"/>
      <c r="CE1410" s="1094"/>
      <c r="CF1410" s="1094"/>
      <c r="CG1410" s="349"/>
    </row>
    <row r="1411" spans="1:85" s="613" customFormat="1" x14ac:dyDescent="0.3">
      <c r="A1411" s="478" t="s">
        <v>1182</v>
      </c>
      <c r="B1411" s="523"/>
      <c r="C1411" s="78"/>
      <c r="D1411" s="78"/>
      <c r="E1411" s="78"/>
      <c r="F1411" s="78"/>
      <c r="G1411" s="774"/>
      <c r="H1411" s="774"/>
      <c r="I1411" s="774"/>
      <c r="J1411" s="774"/>
      <c r="K1411" s="78"/>
      <c r="L1411" s="774"/>
      <c r="M1411" s="774"/>
      <c r="N1411" s="774"/>
      <c r="O1411" s="774"/>
      <c r="P1411" s="78"/>
      <c r="Q1411" s="774"/>
      <c r="R1411" s="774"/>
      <c r="S1411" s="774"/>
      <c r="T1411" s="774"/>
      <c r="U1411" s="78"/>
      <c r="V1411" s="774"/>
      <c r="W1411" s="774"/>
      <c r="X1411" s="774"/>
      <c r="Y1411" s="774"/>
      <c r="Z1411" s="78"/>
      <c r="AA1411" s="774"/>
      <c r="AB1411" s="774"/>
      <c r="AC1411" s="774"/>
      <c r="AD1411" s="774"/>
      <c r="AE1411" s="78"/>
      <c r="AF1411" s="774"/>
      <c r="AG1411" s="774"/>
      <c r="AH1411" s="774"/>
      <c r="AI1411" s="774"/>
      <c r="AJ1411" s="78"/>
      <c r="AK1411" s="774"/>
      <c r="AL1411" s="774"/>
      <c r="AM1411" s="774"/>
      <c r="AN1411" s="774"/>
      <c r="AO1411" s="78"/>
      <c r="AP1411" s="774"/>
      <c r="AQ1411" s="774"/>
      <c r="AR1411" s="774"/>
      <c r="AS1411" s="774"/>
      <c r="AT1411" s="78"/>
      <c r="AU1411" s="774"/>
      <c r="AV1411" s="774"/>
      <c r="AW1411" s="774"/>
      <c r="AX1411" s="774"/>
      <c r="AY1411" s="1119">
        <v>1.911</v>
      </c>
      <c r="AZ1411" s="774"/>
      <c r="BA1411" s="774"/>
      <c r="BB1411" s="774"/>
      <c r="BC1411" s="774"/>
      <c r="BD1411" s="1119">
        <v>1.911</v>
      </c>
      <c r="BE1411" s="774"/>
      <c r="BF1411" s="774"/>
      <c r="BG1411" s="774"/>
      <c r="BH1411" s="774"/>
      <c r="BI1411" s="1119">
        <v>1.911</v>
      </c>
      <c r="BJ1411" s="774"/>
      <c r="BK1411" s="774"/>
      <c r="BL1411" s="774"/>
      <c r="BM1411" s="774"/>
      <c r="BN1411" s="1119">
        <v>1.911</v>
      </c>
      <c r="BO1411" s="774"/>
      <c r="BP1411" s="774"/>
      <c r="BQ1411" s="774"/>
      <c r="BR1411" s="774"/>
      <c r="BS1411" s="78"/>
      <c r="BT1411" s="775"/>
      <c r="BU1411" s="774"/>
      <c r="BV1411" s="774"/>
      <c r="BW1411" s="774"/>
      <c r="BX1411" s="78"/>
      <c r="BY1411" s="774"/>
      <c r="BZ1411" s="774"/>
      <c r="CA1411" s="774"/>
      <c r="CB1411" s="774"/>
      <c r="CC1411" s="78"/>
      <c r="CD1411" s="78"/>
      <c r="CE1411" s="78"/>
      <c r="CF1411" s="78"/>
      <c r="CG1411" s="532"/>
    </row>
    <row r="1412" spans="1:85" s="616" customFormat="1" x14ac:dyDescent="0.3">
      <c r="A1412" s="522" t="s">
        <v>1181</v>
      </c>
      <c r="B1412" s="527"/>
      <c r="C1412" s="1124"/>
      <c r="D1412" s="1124"/>
      <c r="E1412" s="1124"/>
      <c r="F1412" s="1124"/>
      <c r="G1412" s="526"/>
      <c r="H1412" s="526"/>
      <c r="I1412" s="526"/>
      <c r="J1412" s="526"/>
      <c r="K1412" s="1124"/>
      <c r="L1412" s="526"/>
      <c r="M1412" s="526"/>
      <c r="N1412" s="526"/>
      <c r="O1412" s="526"/>
      <c r="P1412" s="1124"/>
      <c r="Q1412" s="526"/>
      <c r="R1412" s="526"/>
      <c r="S1412" s="526"/>
      <c r="T1412" s="526"/>
      <c r="U1412" s="1124"/>
      <c r="V1412" s="526"/>
      <c r="W1412" s="526"/>
      <c r="X1412" s="526"/>
      <c r="Y1412" s="526"/>
      <c r="Z1412" s="1124"/>
      <c r="AA1412" s="526"/>
      <c r="AB1412" s="526"/>
      <c r="AC1412" s="526"/>
      <c r="AD1412" s="526"/>
      <c r="AE1412" s="1124"/>
      <c r="AF1412" s="526"/>
      <c r="AG1412" s="526"/>
      <c r="AH1412" s="526"/>
      <c r="AI1412" s="526"/>
      <c r="AJ1412" s="1124"/>
      <c r="AK1412" s="526"/>
      <c r="AL1412" s="526"/>
      <c r="AM1412" s="526"/>
      <c r="AN1412" s="526"/>
      <c r="AO1412" s="1124"/>
      <c r="AP1412" s="526"/>
      <c r="AQ1412" s="526"/>
      <c r="AR1412" s="526"/>
      <c r="AS1412" s="526"/>
      <c r="AT1412" s="1124"/>
      <c r="AU1412" s="526"/>
      <c r="AV1412" s="526"/>
      <c r="AW1412" s="526"/>
      <c r="AX1412" s="526"/>
      <c r="AY1412" s="1123">
        <v>515.15</v>
      </c>
      <c r="AZ1412" s="526"/>
      <c r="BA1412" s="526"/>
      <c r="BB1412" s="526"/>
      <c r="BC1412" s="526"/>
      <c r="BD1412" s="1123">
        <v>515.15</v>
      </c>
      <c r="BE1412" s="526"/>
      <c r="BF1412" s="526"/>
      <c r="BG1412" s="526"/>
      <c r="BH1412" s="526"/>
      <c r="BI1412" s="1123">
        <v>515.15</v>
      </c>
      <c r="BJ1412" s="526"/>
      <c r="BK1412" s="526"/>
      <c r="BL1412" s="526"/>
      <c r="BM1412" s="526"/>
      <c r="BN1412" s="1123">
        <v>515.15</v>
      </c>
      <c r="BO1412" s="526"/>
      <c r="BP1412" s="526"/>
      <c r="BQ1412" s="526"/>
      <c r="BR1412" s="526"/>
      <c r="BS1412" s="1124"/>
      <c r="BT1412" s="729"/>
      <c r="BU1412" s="526"/>
      <c r="BV1412" s="526"/>
      <c r="BW1412" s="526"/>
      <c r="BX1412" s="1124"/>
      <c r="BY1412" s="526"/>
      <c r="BZ1412" s="526"/>
      <c r="CA1412" s="526"/>
      <c r="CB1412" s="526"/>
      <c r="CC1412" s="1124"/>
      <c r="CD1412" s="1124"/>
      <c r="CE1412" s="1124"/>
      <c r="CF1412" s="1124"/>
      <c r="CG1412" s="533"/>
    </row>
    <row r="1413" spans="1:85" s="614" customFormat="1" x14ac:dyDescent="0.3">
      <c r="A1413" s="522"/>
      <c r="B1413" s="352"/>
      <c r="C1413" s="1094"/>
      <c r="D1413" s="1094"/>
      <c r="E1413" s="1094"/>
      <c r="F1413" s="1094"/>
      <c r="G1413" s="197"/>
      <c r="H1413" s="197"/>
      <c r="I1413" s="197"/>
      <c r="J1413" s="197"/>
      <c r="K1413" s="1094"/>
      <c r="L1413" s="197"/>
      <c r="M1413" s="197"/>
      <c r="N1413" s="197"/>
      <c r="O1413" s="197"/>
      <c r="P1413" s="1094"/>
      <c r="Q1413" s="197"/>
      <c r="R1413" s="197"/>
      <c r="S1413" s="197"/>
      <c r="T1413" s="197"/>
      <c r="U1413" s="1094"/>
      <c r="V1413" s="197"/>
      <c r="W1413" s="197"/>
      <c r="X1413" s="197"/>
      <c r="Y1413" s="197"/>
      <c r="Z1413" s="1094"/>
      <c r="AA1413" s="197"/>
      <c r="AB1413" s="197"/>
      <c r="AC1413" s="197"/>
      <c r="AD1413" s="197"/>
      <c r="AE1413" s="1094"/>
      <c r="AF1413" s="197"/>
      <c r="AG1413" s="197"/>
      <c r="AH1413" s="197"/>
      <c r="AI1413" s="197"/>
      <c r="AJ1413" s="1094"/>
      <c r="AK1413" s="197"/>
      <c r="AL1413" s="197"/>
      <c r="AM1413" s="197"/>
      <c r="AN1413" s="197"/>
      <c r="AO1413" s="1094"/>
      <c r="AP1413" s="197"/>
      <c r="AQ1413" s="197"/>
      <c r="AR1413" s="197"/>
      <c r="AS1413" s="197"/>
      <c r="AT1413" s="198"/>
      <c r="AU1413" s="197"/>
      <c r="AV1413" s="197"/>
      <c r="AW1413" s="197"/>
      <c r="AX1413" s="197"/>
      <c r="AY1413" s="198"/>
      <c r="AZ1413" s="197"/>
      <c r="BA1413" s="197"/>
      <c r="BB1413" s="197"/>
      <c r="BC1413" s="197"/>
      <c r="BD1413" s="198"/>
      <c r="BE1413" s="197"/>
      <c r="BF1413" s="197"/>
      <c r="BG1413" s="197"/>
      <c r="BH1413" s="197"/>
      <c r="BI1413" s="198"/>
      <c r="BJ1413" s="197"/>
      <c r="BK1413" s="197"/>
      <c r="BL1413" s="197"/>
      <c r="BM1413" s="197"/>
      <c r="BN1413" s="198"/>
      <c r="BO1413" s="197"/>
      <c r="BP1413" s="197"/>
      <c r="BQ1413" s="197"/>
      <c r="BR1413" s="197"/>
      <c r="BS1413" s="198"/>
      <c r="BT1413" s="727"/>
      <c r="BU1413" s="197"/>
      <c r="BV1413" s="197"/>
      <c r="BW1413" s="197"/>
      <c r="BX1413" s="1094"/>
      <c r="BY1413" s="197"/>
      <c r="BZ1413" s="197"/>
      <c r="CA1413" s="197"/>
      <c r="CB1413" s="197"/>
      <c r="CC1413" s="1094"/>
      <c r="CD1413" s="1094"/>
      <c r="CE1413" s="1094"/>
      <c r="CF1413" s="1094"/>
      <c r="CG1413" s="349"/>
    </row>
    <row r="1414" spans="1:85" s="613" customFormat="1" x14ac:dyDescent="0.3">
      <c r="A1414" s="478" t="s">
        <v>1180</v>
      </c>
      <c r="B1414" s="523"/>
      <c r="C1414" s="78"/>
      <c r="D1414" s="78"/>
      <c r="E1414" s="78"/>
      <c r="F1414" s="78"/>
      <c r="G1414" s="774"/>
      <c r="H1414" s="774"/>
      <c r="I1414" s="774"/>
      <c r="J1414" s="774"/>
      <c r="K1414" s="78"/>
      <c r="L1414" s="774"/>
      <c r="M1414" s="774"/>
      <c r="N1414" s="774"/>
      <c r="O1414" s="774"/>
      <c r="P1414" s="78"/>
      <c r="Q1414" s="774"/>
      <c r="R1414" s="774"/>
      <c r="S1414" s="774"/>
      <c r="T1414" s="774"/>
      <c r="U1414" s="78"/>
      <c r="V1414" s="774"/>
      <c r="W1414" s="774"/>
      <c r="X1414" s="774"/>
      <c r="Y1414" s="774"/>
      <c r="Z1414" s="78"/>
      <c r="AA1414" s="774"/>
      <c r="AB1414" s="774"/>
      <c r="AC1414" s="774"/>
      <c r="AD1414" s="774"/>
      <c r="AE1414" s="78"/>
      <c r="AF1414" s="774"/>
      <c r="AG1414" s="774"/>
      <c r="AH1414" s="774"/>
      <c r="AI1414" s="774"/>
      <c r="AJ1414" s="78"/>
      <c r="AK1414" s="774"/>
      <c r="AL1414" s="774"/>
      <c r="AM1414" s="774"/>
      <c r="AN1414" s="774"/>
      <c r="AO1414" s="78"/>
      <c r="AP1414" s="774"/>
      <c r="AQ1414" s="774"/>
      <c r="AR1414" s="774"/>
      <c r="AS1414" s="774"/>
      <c r="AT1414" s="78"/>
      <c r="AU1414" s="774"/>
      <c r="AV1414" s="774"/>
      <c r="AW1414" s="774"/>
      <c r="AX1414" s="774"/>
      <c r="AY1414" s="1119">
        <v>1.6910000000000001</v>
      </c>
      <c r="AZ1414" s="774"/>
      <c r="BA1414" s="774"/>
      <c r="BB1414" s="774"/>
      <c r="BC1414" s="774"/>
      <c r="BD1414" s="1119">
        <v>1.6910000000000001</v>
      </c>
      <c r="BE1414" s="774"/>
      <c r="BF1414" s="774"/>
      <c r="BG1414" s="774"/>
      <c r="BH1414" s="774"/>
      <c r="BI1414" s="1119">
        <v>1.6910000000000001</v>
      </c>
      <c r="BJ1414" s="774"/>
      <c r="BK1414" s="774"/>
      <c r="BL1414" s="774"/>
      <c r="BM1414" s="774"/>
      <c r="BN1414" s="1119">
        <v>1.6910000000000001</v>
      </c>
      <c r="BO1414" s="774"/>
      <c r="BP1414" s="774"/>
      <c r="BQ1414" s="774"/>
      <c r="BR1414" s="774"/>
      <c r="BS1414" s="78"/>
      <c r="BT1414" s="775"/>
      <c r="BU1414" s="774"/>
      <c r="BV1414" s="774"/>
      <c r="BW1414" s="774"/>
      <c r="BX1414" s="78"/>
      <c r="BY1414" s="774"/>
      <c r="BZ1414" s="774"/>
      <c r="CA1414" s="774"/>
      <c r="CB1414" s="774"/>
      <c r="CC1414" s="78"/>
      <c r="CD1414" s="78"/>
      <c r="CE1414" s="78"/>
      <c r="CF1414" s="78"/>
      <c r="CG1414" s="532"/>
    </row>
    <row r="1415" spans="1:85" s="616" customFormat="1" x14ac:dyDescent="0.3">
      <c r="A1415" s="522" t="s">
        <v>1179</v>
      </c>
      <c r="B1415" s="527"/>
      <c r="C1415" s="1124"/>
      <c r="D1415" s="1124"/>
      <c r="E1415" s="1124"/>
      <c r="F1415" s="1124"/>
      <c r="G1415" s="526"/>
      <c r="H1415" s="526"/>
      <c r="I1415" s="526"/>
      <c r="J1415" s="526"/>
      <c r="K1415" s="1124"/>
      <c r="L1415" s="526"/>
      <c r="M1415" s="526"/>
      <c r="N1415" s="526"/>
      <c r="O1415" s="526"/>
      <c r="P1415" s="1124"/>
      <c r="Q1415" s="526"/>
      <c r="R1415" s="526"/>
      <c r="S1415" s="526"/>
      <c r="T1415" s="526"/>
      <c r="U1415" s="1124"/>
      <c r="V1415" s="526"/>
      <c r="W1415" s="526"/>
      <c r="X1415" s="526"/>
      <c r="Y1415" s="526"/>
      <c r="Z1415" s="1124"/>
      <c r="AA1415" s="526"/>
      <c r="AB1415" s="526"/>
      <c r="AC1415" s="526"/>
      <c r="AD1415" s="526"/>
      <c r="AE1415" s="1124"/>
      <c r="AF1415" s="526"/>
      <c r="AG1415" s="526"/>
      <c r="AH1415" s="526"/>
      <c r="AI1415" s="526"/>
      <c r="AJ1415" s="1124"/>
      <c r="AK1415" s="526"/>
      <c r="AL1415" s="526"/>
      <c r="AM1415" s="526"/>
      <c r="AN1415" s="526"/>
      <c r="AO1415" s="1124"/>
      <c r="AP1415" s="526"/>
      <c r="AQ1415" s="526"/>
      <c r="AR1415" s="526"/>
      <c r="AS1415" s="526"/>
      <c r="AT1415" s="1124"/>
      <c r="AU1415" s="526"/>
      <c r="AV1415" s="526"/>
      <c r="AW1415" s="526"/>
      <c r="AX1415" s="526"/>
      <c r="AY1415" s="1123">
        <v>582.07000000000005</v>
      </c>
      <c r="AZ1415" s="526"/>
      <c r="BA1415" s="526"/>
      <c r="BB1415" s="526"/>
      <c r="BC1415" s="526"/>
      <c r="BD1415" s="1123">
        <v>582.07000000000005</v>
      </c>
      <c r="BE1415" s="526"/>
      <c r="BF1415" s="526"/>
      <c r="BG1415" s="526"/>
      <c r="BH1415" s="526"/>
      <c r="BI1415" s="1123">
        <v>582.07000000000005</v>
      </c>
      <c r="BJ1415" s="526"/>
      <c r="BK1415" s="526"/>
      <c r="BL1415" s="526"/>
      <c r="BM1415" s="526"/>
      <c r="BN1415" s="1123">
        <v>582.07000000000005</v>
      </c>
      <c r="BO1415" s="526"/>
      <c r="BP1415" s="526"/>
      <c r="BQ1415" s="526"/>
      <c r="BR1415" s="526"/>
      <c r="BS1415" s="1124"/>
      <c r="BT1415" s="729"/>
      <c r="BU1415" s="526"/>
      <c r="BV1415" s="526"/>
      <c r="BW1415" s="526"/>
      <c r="BX1415" s="1124"/>
      <c r="BY1415" s="526"/>
      <c r="BZ1415" s="526"/>
      <c r="CA1415" s="526"/>
      <c r="CB1415" s="526"/>
      <c r="CC1415" s="1124"/>
      <c r="CD1415" s="1124"/>
      <c r="CE1415" s="1124"/>
      <c r="CF1415" s="1124"/>
      <c r="CG1415" s="533"/>
    </row>
    <row r="1416" spans="1:85" s="614" customFormat="1" x14ac:dyDescent="0.3">
      <c r="A1416" s="522"/>
      <c r="B1416" s="352"/>
      <c r="C1416" s="1094"/>
      <c r="D1416" s="1094"/>
      <c r="E1416" s="1094"/>
      <c r="F1416" s="1094"/>
      <c r="G1416" s="197"/>
      <c r="H1416" s="197"/>
      <c r="I1416" s="197"/>
      <c r="J1416" s="197"/>
      <c r="K1416" s="1094"/>
      <c r="L1416" s="197"/>
      <c r="M1416" s="197"/>
      <c r="N1416" s="197"/>
      <c r="O1416" s="197"/>
      <c r="P1416" s="1094"/>
      <c r="Q1416" s="197"/>
      <c r="R1416" s="197"/>
      <c r="S1416" s="197"/>
      <c r="T1416" s="197"/>
      <c r="U1416" s="1094"/>
      <c r="V1416" s="197"/>
      <c r="W1416" s="197"/>
      <c r="X1416" s="197"/>
      <c r="Y1416" s="197"/>
      <c r="Z1416" s="1094"/>
      <c r="AA1416" s="197"/>
      <c r="AB1416" s="197"/>
      <c r="AC1416" s="197"/>
      <c r="AD1416" s="197"/>
      <c r="AE1416" s="1094"/>
      <c r="AF1416" s="197"/>
      <c r="AG1416" s="197"/>
      <c r="AH1416" s="197"/>
      <c r="AI1416" s="197"/>
      <c r="AJ1416" s="1094"/>
      <c r="AK1416" s="197"/>
      <c r="AL1416" s="197"/>
      <c r="AM1416" s="197"/>
      <c r="AN1416" s="197"/>
      <c r="AO1416" s="1094"/>
      <c r="AP1416" s="197"/>
      <c r="AQ1416" s="197"/>
      <c r="AR1416" s="197"/>
      <c r="AS1416" s="197"/>
      <c r="AT1416" s="198"/>
      <c r="AU1416" s="197"/>
      <c r="AV1416" s="197"/>
      <c r="AW1416" s="197"/>
      <c r="AX1416" s="197"/>
      <c r="AY1416" s="198"/>
      <c r="AZ1416" s="197"/>
      <c r="BA1416" s="197"/>
      <c r="BB1416" s="197"/>
      <c r="BC1416" s="197"/>
      <c r="BD1416" s="198"/>
      <c r="BE1416" s="197"/>
      <c r="BF1416" s="197"/>
      <c r="BG1416" s="197"/>
      <c r="BH1416" s="197"/>
      <c r="BI1416" s="198"/>
      <c r="BJ1416" s="197"/>
      <c r="BK1416" s="197"/>
      <c r="BL1416" s="197"/>
      <c r="BM1416" s="197"/>
      <c r="BN1416" s="198"/>
      <c r="BO1416" s="197"/>
      <c r="BP1416" s="197"/>
      <c r="BQ1416" s="197"/>
      <c r="BR1416" s="197"/>
      <c r="BS1416" s="198"/>
      <c r="BT1416" s="727"/>
      <c r="BU1416" s="197"/>
      <c r="BV1416" s="197"/>
      <c r="BW1416" s="197"/>
      <c r="BX1416" s="1094"/>
      <c r="BY1416" s="197"/>
      <c r="BZ1416" s="197"/>
      <c r="CA1416" s="197"/>
      <c r="CB1416" s="197"/>
      <c r="CC1416" s="1094"/>
      <c r="CD1416" s="1094"/>
      <c r="CE1416" s="1094"/>
      <c r="CF1416" s="1094"/>
      <c r="CG1416" s="349"/>
    </row>
    <row r="1417" spans="1:85" s="613" customFormat="1" x14ac:dyDescent="0.3">
      <c r="A1417" s="478" t="s">
        <v>1178</v>
      </c>
      <c r="B1417" s="523"/>
      <c r="C1417" s="78"/>
      <c r="D1417" s="78"/>
      <c r="E1417" s="78"/>
      <c r="F1417" s="78"/>
      <c r="G1417" s="774"/>
      <c r="H1417" s="774"/>
      <c r="I1417" s="774"/>
      <c r="J1417" s="774"/>
      <c r="K1417" s="78"/>
      <c r="L1417" s="774"/>
      <c r="M1417" s="774"/>
      <c r="N1417" s="774"/>
      <c r="O1417" s="774"/>
      <c r="P1417" s="78"/>
      <c r="Q1417" s="774"/>
      <c r="R1417" s="774"/>
      <c r="S1417" s="774"/>
      <c r="T1417" s="774"/>
      <c r="U1417" s="78"/>
      <c r="V1417" s="774"/>
      <c r="W1417" s="774"/>
      <c r="X1417" s="774"/>
      <c r="Y1417" s="774"/>
      <c r="Z1417" s="78"/>
      <c r="AA1417" s="774"/>
      <c r="AB1417" s="774"/>
      <c r="AC1417" s="774"/>
      <c r="AD1417" s="774"/>
      <c r="AE1417" s="78"/>
      <c r="AF1417" s="774"/>
      <c r="AG1417" s="774"/>
      <c r="AH1417" s="774"/>
      <c r="AI1417" s="774"/>
      <c r="AJ1417" s="78"/>
      <c r="AK1417" s="774"/>
      <c r="AL1417" s="774"/>
      <c r="AM1417" s="774"/>
      <c r="AN1417" s="774"/>
      <c r="AO1417" s="78"/>
      <c r="AP1417" s="774"/>
      <c r="AQ1417" s="774"/>
      <c r="AR1417" s="774"/>
      <c r="AS1417" s="774"/>
      <c r="AT1417" s="78"/>
      <c r="AU1417" s="774"/>
      <c r="AV1417" s="774"/>
      <c r="AW1417" s="774"/>
      <c r="AX1417" s="774"/>
      <c r="AY1417" s="1119">
        <v>1.605</v>
      </c>
      <c r="AZ1417" s="774"/>
      <c r="BA1417" s="774"/>
      <c r="BB1417" s="774"/>
      <c r="BC1417" s="774"/>
      <c r="BD1417" s="1119">
        <v>1.605</v>
      </c>
      <c r="BE1417" s="774"/>
      <c r="BF1417" s="774"/>
      <c r="BG1417" s="774"/>
      <c r="BH1417" s="774"/>
      <c r="BI1417" s="1119">
        <v>1.605</v>
      </c>
      <c r="BJ1417" s="774"/>
      <c r="BK1417" s="774"/>
      <c r="BL1417" s="774"/>
      <c r="BM1417" s="774"/>
      <c r="BN1417" s="1119">
        <v>1.605</v>
      </c>
      <c r="BO1417" s="774"/>
      <c r="BP1417" s="774"/>
      <c r="BQ1417" s="774"/>
      <c r="BR1417" s="774"/>
      <c r="BS1417" s="78"/>
      <c r="BT1417" s="775"/>
      <c r="BU1417" s="774"/>
      <c r="BV1417" s="774"/>
      <c r="BW1417" s="774"/>
      <c r="BX1417" s="78"/>
      <c r="BY1417" s="774"/>
      <c r="BZ1417" s="774"/>
      <c r="CA1417" s="774"/>
      <c r="CB1417" s="774"/>
      <c r="CC1417" s="78"/>
      <c r="CD1417" s="78"/>
      <c r="CE1417" s="78"/>
      <c r="CF1417" s="78"/>
      <c r="CG1417" s="532"/>
    </row>
    <row r="1418" spans="1:85" s="616" customFormat="1" x14ac:dyDescent="0.3">
      <c r="A1418" s="522" t="s">
        <v>1177</v>
      </c>
      <c r="B1418" s="527"/>
      <c r="C1418" s="1124"/>
      <c r="D1418" s="1124"/>
      <c r="E1418" s="1124"/>
      <c r="F1418" s="1124"/>
      <c r="G1418" s="526"/>
      <c r="H1418" s="526"/>
      <c r="I1418" s="526"/>
      <c r="J1418" s="526"/>
      <c r="K1418" s="1124"/>
      <c r="L1418" s="526"/>
      <c r="M1418" s="526"/>
      <c r="N1418" s="526"/>
      <c r="O1418" s="526"/>
      <c r="P1418" s="1124"/>
      <c r="Q1418" s="526"/>
      <c r="R1418" s="526"/>
      <c r="S1418" s="526"/>
      <c r="T1418" s="526"/>
      <c r="U1418" s="1124"/>
      <c r="V1418" s="526"/>
      <c r="W1418" s="526"/>
      <c r="X1418" s="526"/>
      <c r="Y1418" s="526"/>
      <c r="Z1418" s="1124"/>
      <c r="AA1418" s="526"/>
      <c r="AB1418" s="526"/>
      <c r="AC1418" s="526"/>
      <c r="AD1418" s="526"/>
      <c r="AE1418" s="1124"/>
      <c r="AF1418" s="526"/>
      <c r="AG1418" s="526"/>
      <c r="AH1418" s="526"/>
      <c r="AI1418" s="526"/>
      <c r="AJ1418" s="1124"/>
      <c r="AK1418" s="526"/>
      <c r="AL1418" s="526"/>
      <c r="AM1418" s="526"/>
      <c r="AN1418" s="526"/>
      <c r="AO1418" s="1124"/>
      <c r="AP1418" s="526"/>
      <c r="AQ1418" s="526"/>
      <c r="AR1418" s="526"/>
      <c r="AS1418" s="526"/>
      <c r="AT1418" s="1124"/>
      <c r="AU1418" s="526"/>
      <c r="AV1418" s="526"/>
      <c r="AW1418" s="526"/>
      <c r="AX1418" s="526"/>
      <c r="AY1418" s="1123">
        <v>613.15</v>
      </c>
      <c r="AZ1418" s="526"/>
      <c r="BA1418" s="526"/>
      <c r="BB1418" s="526"/>
      <c r="BC1418" s="526"/>
      <c r="BD1418" s="1123">
        <v>613.15</v>
      </c>
      <c r="BE1418" s="526"/>
      <c r="BF1418" s="526"/>
      <c r="BG1418" s="526"/>
      <c r="BH1418" s="526"/>
      <c r="BI1418" s="1123">
        <v>613.15</v>
      </c>
      <c r="BJ1418" s="526"/>
      <c r="BK1418" s="526"/>
      <c r="BL1418" s="526"/>
      <c r="BM1418" s="526"/>
      <c r="BN1418" s="1123">
        <v>613.15</v>
      </c>
      <c r="BO1418" s="526"/>
      <c r="BP1418" s="526"/>
      <c r="BQ1418" s="526"/>
      <c r="BR1418" s="526"/>
      <c r="BS1418" s="1124"/>
      <c r="BT1418" s="729"/>
      <c r="BU1418" s="526"/>
      <c r="BV1418" s="526"/>
      <c r="BW1418" s="526"/>
      <c r="BX1418" s="1124"/>
      <c r="BY1418" s="526"/>
      <c r="BZ1418" s="526"/>
      <c r="CA1418" s="526"/>
      <c r="CB1418" s="526"/>
      <c r="CC1418" s="1124"/>
      <c r="CD1418" s="1124"/>
      <c r="CE1418" s="1124"/>
      <c r="CF1418" s="1124"/>
      <c r="CG1418" s="533"/>
    </row>
    <row r="1419" spans="1:85" s="614" customFormat="1" x14ac:dyDescent="0.3">
      <c r="A1419" s="522"/>
      <c r="B1419" s="352"/>
      <c r="C1419" s="1094"/>
      <c r="D1419" s="1094"/>
      <c r="E1419" s="1094"/>
      <c r="F1419" s="1094"/>
      <c r="G1419" s="197"/>
      <c r="H1419" s="197"/>
      <c r="I1419" s="197"/>
      <c r="J1419" s="197"/>
      <c r="K1419" s="1094"/>
      <c r="L1419" s="197"/>
      <c r="M1419" s="197"/>
      <c r="N1419" s="197"/>
      <c r="O1419" s="197"/>
      <c r="P1419" s="1094"/>
      <c r="Q1419" s="197"/>
      <c r="R1419" s="197"/>
      <c r="S1419" s="197"/>
      <c r="T1419" s="197"/>
      <c r="U1419" s="1094"/>
      <c r="V1419" s="197"/>
      <c r="W1419" s="197"/>
      <c r="X1419" s="197"/>
      <c r="Y1419" s="197"/>
      <c r="Z1419" s="1094"/>
      <c r="AA1419" s="197"/>
      <c r="AB1419" s="197"/>
      <c r="AC1419" s="197"/>
      <c r="AD1419" s="197"/>
      <c r="AE1419" s="1094"/>
      <c r="AF1419" s="197"/>
      <c r="AG1419" s="197"/>
      <c r="AH1419" s="197"/>
      <c r="AI1419" s="197"/>
      <c r="AJ1419" s="1094"/>
      <c r="AK1419" s="197"/>
      <c r="AL1419" s="197"/>
      <c r="AM1419" s="197"/>
      <c r="AN1419" s="197"/>
      <c r="AO1419" s="1094"/>
      <c r="AP1419" s="197"/>
      <c r="AQ1419" s="197"/>
      <c r="AR1419" s="197"/>
      <c r="AS1419" s="197"/>
      <c r="AT1419" s="198"/>
      <c r="AU1419" s="197"/>
      <c r="AV1419" s="197"/>
      <c r="AW1419" s="197"/>
      <c r="AX1419" s="197"/>
      <c r="AY1419" s="198"/>
      <c r="AZ1419" s="197"/>
      <c r="BA1419" s="197"/>
      <c r="BB1419" s="197"/>
      <c r="BC1419" s="197"/>
      <c r="BD1419" s="198"/>
      <c r="BE1419" s="197"/>
      <c r="BF1419" s="197"/>
      <c r="BG1419" s="197"/>
      <c r="BH1419" s="197"/>
      <c r="BI1419" s="198"/>
      <c r="BJ1419" s="197"/>
      <c r="BK1419" s="197"/>
      <c r="BL1419" s="197"/>
      <c r="BM1419" s="197"/>
      <c r="BN1419" s="198"/>
      <c r="BO1419" s="197"/>
      <c r="BP1419" s="197"/>
      <c r="BQ1419" s="197"/>
      <c r="BR1419" s="197"/>
      <c r="BS1419" s="198"/>
      <c r="BT1419" s="727"/>
      <c r="BU1419" s="197"/>
      <c r="BV1419" s="197"/>
      <c r="BW1419" s="197"/>
      <c r="BX1419" s="1094"/>
      <c r="BY1419" s="197"/>
      <c r="BZ1419" s="197"/>
      <c r="CA1419" s="197"/>
      <c r="CB1419" s="197"/>
      <c r="CC1419" s="1094"/>
      <c r="CD1419" s="1094"/>
      <c r="CE1419" s="1094"/>
      <c r="CF1419" s="1094"/>
      <c r="CG1419" s="349"/>
    </row>
    <row r="1420" spans="1:85" s="613" customFormat="1" x14ac:dyDescent="0.3">
      <c r="A1420" s="478" t="s">
        <v>1176</v>
      </c>
      <c r="B1420" s="523"/>
      <c r="C1420" s="78"/>
      <c r="D1420" s="78"/>
      <c r="E1420" s="78"/>
      <c r="F1420" s="78"/>
      <c r="G1420" s="774"/>
      <c r="H1420" s="774"/>
      <c r="I1420" s="774"/>
      <c r="J1420" s="774"/>
      <c r="K1420" s="78"/>
      <c r="L1420" s="774"/>
      <c r="M1420" s="774"/>
      <c r="N1420" s="774"/>
      <c r="O1420" s="774"/>
      <c r="P1420" s="78"/>
      <c r="Q1420" s="774"/>
      <c r="R1420" s="774"/>
      <c r="S1420" s="774"/>
      <c r="T1420" s="774"/>
      <c r="U1420" s="78"/>
      <c r="V1420" s="774"/>
      <c r="W1420" s="774"/>
      <c r="X1420" s="774"/>
      <c r="Y1420" s="774"/>
      <c r="Z1420" s="78"/>
      <c r="AA1420" s="774"/>
      <c r="AB1420" s="774"/>
      <c r="AC1420" s="774"/>
      <c r="AD1420" s="774"/>
      <c r="AE1420" s="78"/>
      <c r="AF1420" s="774"/>
      <c r="AG1420" s="774"/>
      <c r="AH1420" s="774"/>
      <c r="AI1420" s="774"/>
      <c r="AJ1420" s="78"/>
      <c r="AK1420" s="774"/>
      <c r="AL1420" s="774"/>
      <c r="AM1420" s="774"/>
      <c r="AN1420" s="774"/>
      <c r="AO1420" s="78"/>
      <c r="AP1420" s="774"/>
      <c r="AQ1420" s="774"/>
      <c r="AR1420" s="774"/>
      <c r="AS1420" s="774"/>
      <c r="AT1420" s="78"/>
      <c r="AU1420" s="774"/>
      <c r="AV1420" s="774"/>
      <c r="AW1420" s="774"/>
      <c r="AX1420" s="774"/>
      <c r="AY1420" s="1119">
        <v>1.4450000000000001</v>
      </c>
      <c r="AZ1420" s="774"/>
      <c r="BA1420" s="774"/>
      <c r="BB1420" s="774"/>
      <c r="BC1420" s="774"/>
      <c r="BD1420" s="1119">
        <v>1.4450000000000001</v>
      </c>
      <c r="BE1420" s="774"/>
      <c r="BF1420" s="774"/>
      <c r="BG1420" s="774"/>
      <c r="BH1420" s="774"/>
      <c r="BI1420" s="1119">
        <v>1.4450000000000001</v>
      </c>
      <c r="BJ1420" s="774"/>
      <c r="BK1420" s="774"/>
      <c r="BL1420" s="774"/>
      <c r="BM1420" s="774"/>
      <c r="BN1420" s="1119">
        <v>1.4450000000000001</v>
      </c>
      <c r="BO1420" s="774"/>
      <c r="BP1420" s="774"/>
      <c r="BQ1420" s="774"/>
      <c r="BR1420" s="774"/>
      <c r="BS1420" s="78"/>
      <c r="BT1420" s="775"/>
      <c r="BU1420" s="774"/>
      <c r="BV1420" s="774"/>
      <c r="BW1420" s="774"/>
      <c r="BX1420" s="78"/>
      <c r="BY1420" s="774"/>
      <c r="BZ1420" s="774"/>
      <c r="CA1420" s="774"/>
      <c r="CB1420" s="774"/>
      <c r="CC1420" s="78"/>
      <c r="CD1420" s="78"/>
      <c r="CE1420" s="78"/>
      <c r="CF1420" s="78"/>
      <c r="CG1420" s="532"/>
    </row>
    <row r="1421" spans="1:85" s="616" customFormat="1" x14ac:dyDescent="0.3">
      <c r="A1421" s="522" t="s">
        <v>1175</v>
      </c>
      <c r="B1421" s="527"/>
      <c r="C1421" s="1124"/>
      <c r="D1421" s="1124"/>
      <c r="E1421" s="1124"/>
      <c r="F1421" s="1124"/>
      <c r="G1421" s="526"/>
      <c r="H1421" s="526"/>
      <c r="I1421" s="526"/>
      <c r="J1421" s="526"/>
      <c r="K1421" s="1124"/>
      <c r="L1421" s="526"/>
      <c r="M1421" s="526"/>
      <c r="N1421" s="526"/>
      <c r="O1421" s="526"/>
      <c r="P1421" s="1124"/>
      <c r="Q1421" s="526"/>
      <c r="R1421" s="526"/>
      <c r="S1421" s="526"/>
      <c r="T1421" s="526"/>
      <c r="U1421" s="1124"/>
      <c r="V1421" s="526"/>
      <c r="W1421" s="526"/>
      <c r="X1421" s="526"/>
      <c r="Y1421" s="526"/>
      <c r="Z1421" s="1124"/>
      <c r="AA1421" s="526"/>
      <c r="AB1421" s="526"/>
      <c r="AC1421" s="526"/>
      <c r="AD1421" s="526"/>
      <c r="AE1421" s="1124"/>
      <c r="AF1421" s="526"/>
      <c r="AG1421" s="526"/>
      <c r="AH1421" s="526"/>
      <c r="AI1421" s="526"/>
      <c r="AJ1421" s="1124"/>
      <c r="AK1421" s="526"/>
      <c r="AL1421" s="526"/>
      <c r="AM1421" s="526"/>
      <c r="AN1421" s="526"/>
      <c r="AO1421" s="1124"/>
      <c r="AP1421" s="526"/>
      <c r="AQ1421" s="526"/>
      <c r="AR1421" s="526"/>
      <c r="AS1421" s="526"/>
      <c r="AT1421" s="1124"/>
      <c r="AU1421" s="526"/>
      <c r="AV1421" s="526"/>
      <c r="AW1421" s="526"/>
      <c r="AX1421" s="526"/>
      <c r="AY1421" s="1123">
        <v>681.17</v>
      </c>
      <c r="AZ1421" s="526"/>
      <c r="BA1421" s="526"/>
      <c r="BB1421" s="526"/>
      <c r="BC1421" s="526"/>
      <c r="BD1421" s="1123">
        <v>681.17</v>
      </c>
      <c r="BE1421" s="526"/>
      <c r="BF1421" s="526"/>
      <c r="BG1421" s="526"/>
      <c r="BH1421" s="526"/>
      <c r="BI1421" s="1123">
        <v>681.17</v>
      </c>
      <c r="BJ1421" s="526"/>
      <c r="BK1421" s="526"/>
      <c r="BL1421" s="526"/>
      <c r="BM1421" s="526"/>
      <c r="BN1421" s="1123">
        <v>681.17</v>
      </c>
      <c r="BO1421" s="526"/>
      <c r="BP1421" s="526"/>
      <c r="BQ1421" s="526"/>
      <c r="BR1421" s="526"/>
      <c r="BS1421" s="1124"/>
      <c r="BT1421" s="729"/>
      <c r="BU1421" s="526"/>
      <c r="BV1421" s="526"/>
      <c r="BW1421" s="526"/>
      <c r="BX1421" s="1124"/>
      <c r="BY1421" s="526"/>
      <c r="BZ1421" s="526"/>
      <c r="CA1421" s="526"/>
      <c r="CB1421" s="526"/>
      <c r="CC1421" s="1124"/>
      <c r="CD1421" s="1124"/>
      <c r="CE1421" s="1124"/>
      <c r="CF1421" s="1124"/>
      <c r="CG1421" s="533"/>
    </row>
    <row r="1422" spans="1:85" s="614" customFormat="1" x14ac:dyDescent="0.3">
      <c r="A1422" s="522"/>
      <c r="B1422" s="352"/>
      <c r="C1422" s="1094"/>
      <c r="D1422" s="1094"/>
      <c r="E1422" s="1094"/>
      <c r="F1422" s="1094"/>
      <c r="G1422" s="197"/>
      <c r="H1422" s="197"/>
      <c r="I1422" s="197"/>
      <c r="J1422" s="197"/>
      <c r="K1422" s="1094"/>
      <c r="L1422" s="197"/>
      <c r="M1422" s="197"/>
      <c r="N1422" s="197"/>
      <c r="O1422" s="197"/>
      <c r="P1422" s="1094"/>
      <c r="Q1422" s="197"/>
      <c r="R1422" s="197"/>
      <c r="S1422" s="197"/>
      <c r="T1422" s="197"/>
      <c r="U1422" s="1094"/>
      <c r="V1422" s="197"/>
      <c r="W1422" s="197"/>
      <c r="X1422" s="197"/>
      <c r="Y1422" s="197"/>
      <c r="Z1422" s="1094"/>
      <c r="AA1422" s="197"/>
      <c r="AB1422" s="197"/>
      <c r="AC1422" s="197"/>
      <c r="AD1422" s="197"/>
      <c r="AE1422" s="1094"/>
      <c r="AF1422" s="197"/>
      <c r="AG1422" s="197"/>
      <c r="AH1422" s="197"/>
      <c r="AI1422" s="197"/>
      <c r="AJ1422" s="1094"/>
      <c r="AK1422" s="197"/>
      <c r="AL1422" s="197"/>
      <c r="AM1422" s="197"/>
      <c r="AN1422" s="197"/>
      <c r="AO1422" s="1094"/>
      <c r="AP1422" s="197"/>
      <c r="AQ1422" s="197"/>
      <c r="AR1422" s="197"/>
      <c r="AS1422" s="197"/>
      <c r="AT1422" s="198"/>
      <c r="AU1422" s="197"/>
      <c r="AV1422" s="197"/>
      <c r="AW1422" s="197"/>
      <c r="AX1422" s="197"/>
      <c r="AY1422" s="198"/>
      <c r="AZ1422" s="197"/>
      <c r="BA1422" s="197"/>
      <c r="BB1422" s="197"/>
      <c r="BC1422" s="197"/>
      <c r="BD1422" s="198"/>
      <c r="BE1422" s="197"/>
      <c r="BF1422" s="197"/>
      <c r="BG1422" s="197"/>
      <c r="BH1422" s="197"/>
      <c r="BI1422" s="198"/>
      <c r="BJ1422" s="197"/>
      <c r="BK1422" s="197"/>
      <c r="BL1422" s="197"/>
      <c r="BM1422" s="197"/>
      <c r="BN1422" s="198"/>
      <c r="BO1422" s="197"/>
      <c r="BP1422" s="197"/>
      <c r="BQ1422" s="197"/>
      <c r="BR1422" s="197"/>
      <c r="BS1422" s="198"/>
      <c r="BT1422" s="727"/>
      <c r="BU1422" s="197"/>
      <c r="BV1422" s="197"/>
      <c r="BW1422" s="197"/>
      <c r="BX1422" s="1094"/>
      <c r="BY1422" s="197"/>
      <c r="BZ1422" s="197"/>
      <c r="CA1422" s="197"/>
      <c r="CB1422" s="197"/>
      <c r="CC1422" s="1094"/>
      <c r="CD1422" s="1094"/>
      <c r="CE1422" s="1094"/>
      <c r="CF1422" s="1094"/>
      <c r="CG1422" s="349"/>
    </row>
    <row r="1423" spans="1:85" s="613" customFormat="1" x14ac:dyDescent="0.3">
      <c r="A1423" s="478" t="s">
        <v>1174</v>
      </c>
      <c r="B1423" s="523"/>
      <c r="C1423" s="78"/>
      <c r="D1423" s="78"/>
      <c r="E1423" s="78"/>
      <c r="F1423" s="78"/>
      <c r="G1423" s="774"/>
      <c r="H1423" s="774"/>
      <c r="I1423" s="774"/>
      <c r="J1423" s="774"/>
      <c r="K1423" s="78"/>
      <c r="L1423" s="774"/>
      <c r="M1423" s="774"/>
      <c r="N1423" s="774"/>
      <c r="O1423" s="774"/>
      <c r="P1423" s="78"/>
      <c r="Q1423" s="774"/>
      <c r="R1423" s="774"/>
      <c r="S1423" s="774"/>
      <c r="T1423" s="774"/>
      <c r="U1423" s="78"/>
      <c r="V1423" s="774"/>
      <c r="W1423" s="774"/>
      <c r="X1423" s="774"/>
      <c r="Y1423" s="774"/>
      <c r="Z1423" s="78"/>
      <c r="AA1423" s="774"/>
      <c r="AB1423" s="774"/>
      <c r="AC1423" s="774"/>
      <c r="AD1423" s="774"/>
      <c r="AE1423" s="78"/>
      <c r="AF1423" s="774"/>
      <c r="AG1423" s="774"/>
      <c r="AH1423" s="774"/>
      <c r="AI1423" s="774"/>
      <c r="AJ1423" s="78"/>
      <c r="AK1423" s="774"/>
      <c r="AL1423" s="774"/>
      <c r="AM1423" s="774"/>
      <c r="AN1423" s="774"/>
      <c r="AO1423" s="78"/>
      <c r="AP1423" s="774"/>
      <c r="AQ1423" s="774"/>
      <c r="AR1423" s="774"/>
      <c r="AS1423" s="774"/>
      <c r="AT1423" s="78"/>
      <c r="AU1423" s="774"/>
      <c r="AV1423" s="774"/>
      <c r="AW1423" s="774"/>
      <c r="AX1423" s="774"/>
      <c r="AY1423" s="1119">
        <v>1.5940000000000001</v>
      </c>
      <c r="AZ1423" s="774"/>
      <c r="BA1423" s="774"/>
      <c r="BB1423" s="774"/>
      <c r="BC1423" s="774"/>
      <c r="BD1423" s="1119">
        <v>1.5940000000000001</v>
      </c>
      <c r="BE1423" s="774"/>
      <c r="BF1423" s="774"/>
      <c r="BG1423" s="774"/>
      <c r="BH1423" s="774"/>
      <c r="BI1423" s="1119">
        <v>1.5940000000000001</v>
      </c>
      <c r="BJ1423" s="774"/>
      <c r="BK1423" s="774"/>
      <c r="BL1423" s="774"/>
      <c r="BM1423" s="774"/>
      <c r="BN1423" s="1119">
        <v>1.5940000000000001</v>
      </c>
      <c r="BO1423" s="774"/>
      <c r="BP1423" s="774"/>
      <c r="BQ1423" s="774"/>
      <c r="BR1423" s="774"/>
      <c r="BS1423" s="78"/>
      <c r="BT1423" s="775"/>
      <c r="BU1423" s="774"/>
      <c r="BV1423" s="774"/>
      <c r="BW1423" s="774"/>
      <c r="BX1423" s="78"/>
      <c r="BY1423" s="774"/>
      <c r="BZ1423" s="774"/>
      <c r="CA1423" s="774"/>
      <c r="CB1423" s="774"/>
      <c r="CC1423" s="78"/>
      <c r="CD1423" s="78"/>
      <c r="CE1423" s="78"/>
      <c r="CF1423" s="78"/>
      <c r="CG1423" s="532"/>
    </row>
    <row r="1424" spans="1:85" s="616" customFormat="1" x14ac:dyDescent="0.3">
      <c r="A1424" s="522" t="s">
        <v>1173</v>
      </c>
      <c r="B1424" s="527"/>
      <c r="C1424" s="1124"/>
      <c r="D1424" s="1124"/>
      <c r="E1424" s="1124"/>
      <c r="F1424" s="1124"/>
      <c r="G1424" s="526"/>
      <c r="H1424" s="526"/>
      <c r="I1424" s="526"/>
      <c r="J1424" s="526"/>
      <c r="K1424" s="1124"/>
      <c r="L1424" s="526"/>
      <c r="M1424" s="526"/>
      <c r="N1424" s="526"/>
      <c r="O1424" s="526"/>
      <c r="P1424" s="1124"/>
      <c r="Q1424" s="526"/>
      <c r="R1424" s="526"/>
      <c r="S1424" s="526"/>
      <c r="T1424" s="526"/>
      <c r="U1424" s="1124"/>
      <c r="V1424" s="526"/>
      <c r="W1424" s="526"/>
      <c r="X1424" s="526"/>
      <c r="Y1424" s="526"/>
      <c r="Z1424" s="1124"/>
      <c r="AA1424" s="526"/>
      <c r="AB1424" s="526"/>
      <c r="AC1424" s="526"/>
      <c r="AD1424" s="526"/>
      <c r="AE1424" s="1124"/>
      <c r="AF1424" s="526"/>
      <c r="AG1424" s="526"/>
      <c r="AH1424" s="526"/>
      <c r="AI1424" s="526"/>
      <c r="AJ1424" s="1124"/>
      <c r="AK1424" s="526"/>
      <c r="AL1424" s="526"/>
      <c r="AM1424" s="526"/>
      <c r="AN1424" s="526"/>
      <c r="AO1424" s="1124"/>
      <c r="AP1424" s="526"/>
      <c r="AQ1424" s="526"/>
      <c r="AR1424" s="526"/>
      <c r="AS1424" s="526"/>
      <c r="AT1424" s="1124"/>
      <c r="AU1424" s="526"/>
      <c r="AV1424" s="526"/>
      <c r="AW1424" s="526"/>
      <c r="AX1424" s="526"/>
      <c r="AY1424" s="1123">
        <v>617.77</v>
      </c>
      <c r="AZ1424" s="526"/>
      <c r="BA1424" s="526"/>
      <c r="BB1424" s="526"/>
      <c r="BC1424" s="526"/>
      <c r="BD1424" s="1123">
        <v>617.77</v>
      </c>
      <c r="BE1424" s="526"/>
      <c r="BF1424" s="526"/>
      <c r="BG1424" s="526"/>
      <c r="BH1424" s="526"/>
      <c r="BI1424" s="1123">
        <v>617.77</v>
      </c>
      <c r="BJ1424" s="526"/>
      <c r="BK1424" s="526"/>
      <c r="BL1424" s="526"/>
      <c r="BM1424" s="526"/>
      <c r="BN1424" s="1123">
        <v>617.77</v>
      </c>
      <c r="BO1424" s="526"/>
      <c r="BP1424" s="526"/>
      <c r="BQ1424" s="526"/>
      <c r="BR1424" s="526"/>
      <c r="BS1424" s="1124"/>
      <c r="BT1424" s="729"/>
      <c r="BU1424" s="526"/>
      <c r="BV1424" s="526"/>
      <c r="BW1424" s="526"/>
      <c r="BX1424" s="1124"/>
      <c r="BY1424" s="526"/>
      <c r="BZ1424" s="526"/>
      <c r="CA1424" s="526"/>
      <c r="CB1424" s="526"/>
      <c r="CC1424" s="1124"/>
      <c r="CD1424" s="1124"/>
      <c r="CE1424" s="1124"/>
      <c r="CF1424" s="1124"/>
      <c r="CG1424" s="533"/>
    </row>
    <row r="1425" spans="1:85" s="614" customFormat="1" x14ac:dyDescent="0.3">
      <c r="A1425" s="351"/>
      <c r="B1425" s="352"/>
      <c r="C1425" s="1094"/>
      <c r="D1425" s="1094"/>
      <c r="E1425" s="1094"/>
      <c r="F1425" s="1094"/>
      <c r="G1425" s="197"/>
      <c r="H1425" s="197"/>
      <c r="I1425" s="197"/>
      <c r="J1425" s="197"/>
      <c r="K1425" s="1094"/>
      <c r="L1425" s="197"/>
      <c r="M1425" s="197"/>
      <c r="N1425" s="197"/>
      <c r="O1425" s="197"/>
      <c r="P1425" s="1094"/>
      <c r="Q1425" s="197"/>
      <c r="R1425" s="197"/>
      <c r="S1425" s="197"/>
      <c r="T1425" s="197"/>
      <c r="U1425" s="1094"/>
      <c r="V1425" s="197"/>
      <c r="W1425" s="197"/>
      <c r="X1425" s="197"/>
      <c r="Y1425" s="197"/>
      <c r="Z1425" s="1094"/>
      <c r="AA1425" s="197"/>
      <c r="AB1425" s="197"/>
      <c r="AC1425" s="197"/>
      <c r="AD1425" s="197"/>
      <c r="AE1425" s="1094"/>
      <c r="AF1425" s="197"/>
      <c r="AG1425" s="197"/>
      <c r="AH1425" s="197"/>
      <c r="AI1425" s="197"/>
      <c r="AJ1425" s="1094"/>
      <c r="AK1425" s="197"/>
      <c r="AL1425" s="197"/>
      <c r="AM1425" s="197"/>
      <c r="AN1425" s="197"/>
      <c r="AO1425" s="1094"/>
      <c r="AP1425" s="197"/>
      <c r="AQ1425" s="197"/>
      <c r="AR1425" s="197"/>
      <c r="AS1425" s="197"/>
      <c r="AT1425" s="1094"/>
      <c r="AU1425" s="197"/>
      <c r="AV1425" s="197"/>
      <c r="AW1425" s="197"/>
      <c r="AX1425" s="197"/>
      <c r="AY1425" s="1094"/>
      <c r="AZ1425" s="197"/>
      <c r="BA1425" s="197"/>
      <c r="BB1425" s="197"/>
      <c r="BC1425" s="197"/>
      <c r="BD1425" s="1094"/>
      <c r="BE1425" s="197"/>
      <c r="BF1425" s="197"/>
      <c r="BG1425" s="197"/>
      <c r="BH1425" s="197"/>
      <c r="BI1425" s="1094"/>
      <c r="BJ1425" s="197"/>
      <c r="BK1425" s="197"/>
      <c r="BL1425" s="197"/>
      <c r="BM1425" s="197"/>
      <c r="BN1425" s="1094"/>
      <c r="BO1425" s="197"/>
      <c r="BP1425" s="197"/>
      <c r="BQ1425" s="197"/>
      <c r="BR1425" s="197"/>
      <c r="BS1425" s="1094"/>
      <c r="BT1425" s="727"/>
      <c r="BU1425" s="197"/>
      <c r="BV1425" s="197"/>
      <c r="BW1425" s="197"/>
      <c r="BX1425" s="1094"/>
      <c r="BY1425" s="197"/>
      <c r="BZ1425" s="197"/>
      <c r="CA1425" s="197"/>
      <c r="CB1425" s="197"/>
      <c r="CC1425" s="1094"/>
      <c r="CD1425" s="1094"/>
      <c r="CE1425" s="1094"/>
      <c r="CF1425" s="1094"/>
      <c r="CG1425" s="349"/>
    </row>
    <row r="1426" spans="1:85" s="613" customFormat="1" x14ac:dyDescent="0.3">
      <c r="A1426" s="478" t="s">
        <v>1172</v>
      </c>
      <c r="B1426" s="523"/>
      <c r="C1426" s="78"/>
      <c r="D1426" s="78"/>
      <c r="E1426" s="78"/>
      <c r="F1426" s="78"/>
      <c r="G1426" s="774"/>
      <c r="H1426" s="774"/>
      <c r="I1426" s="774"/>
      <c r="J1426" s="774"/>
      <c r="K1426" s="78"/>
      <c r="L1426" s="774"/>
      <c r="M1426" s="774"/>
      <c r="N1426" s="774"/>
      <c r="O1426" s="774"/>
      <c r="P1426" s="78"/>
      <c r="Q1426" s="774"/>
      <c r="R1426" s="774"/>
      <c r="S1426" s="774"/>
      <c r="T1426" s="774"/>
      <c r="U1426" s="78"/>
      <c r="V1426" s="774"/>
      <c r="W1426" s="774"/>
      <c r="X1426" s="774"/>
      <c r="Y1426" s="774"/>
      <c r="Z1426" s="78"/>
      <c r="AA1426" s="774"/>
      <c r="AB1426" s="774"/>
      <c r="AC1426" s="774"/>
      <c r="AD1426" s="774"/>
      <c r="AE1426" s="78"/>
      <c r="AF1426" s="774"/>
      <c r="AG1426" s="774"/>
      <c r="AH1426" s="774"/>
      <c r="AI1426" s="774"/>
      <c r="AJ1426" s="78"/>
      <c r="AK1426" s="774"/>
      <c r="AL1426" s="774"/>
      <c r="AM1426" s="774"/>
      <c r="AN1426" s="774"/>
      <c r="AO1426" s="78"/>
      <c r="AP1426" s="774"/>
      <c r="AQ1426" s="774"/>
      <c r="AR1426" s="774"/>
      <c r="AS1426" s="774"/>
      <c r="AT1426" s="78"/>
      <c r="AU1426" s="774"/>
      <c r="AV1426" s="774"/>
      <c r="AW1426" s="774"/>
      <c r="AX1426" s="774"/>
      <c r="AY1426" s="78"/>
      <c r="AZ1426" s="774"/>
      <c r="BA1426" s="774"/>
      <c r="BB1426" s="774"/>
      <c r="BC1426" s="774"/>
      <c r="BD1426" s="1119">
        <v>1.6479999999999999</v>
      </c>
      <c r="BE1426" s="774"/>
      <c r="BF1426" s="774"/>
      <c r="BG1426" s="774"/>
      <c r="BH1426" s="774"/>
      <c r="BI1426" s="1119">
        <v>1.6479999999999999</v>
      </c>
      <c r="BJ1426" s="774"/>
      <c r="BK1426" s="774"/>
      <c r="BL1426" s="774"/>
      <c r="BM1426" s="774"/>
      <c r="BN1426" s="1119">
        <v>1.6479999999999999</v>
      </c>
      <c r="BO1426" s="774"/>
      <c r="BP1426" s="774"/>
      <c r="BQ1426" s="774"/>
      <c r="BR1426" s="774"/>
      <c r="BS1426" s="78"/>
      <c r="BT1426" s="775"/>
      <c r="BU1426" s="774"/>
      <c r="BV1426" s="774"/>
      <c r="BW1426" s="774"/>
      <c r="BX1426" s="78"/>
      <c r="BY1426" s="774"/>
      <c r="BZ1426" s="774"/>
      <c r="CA1426" s="774"/>
      <c r="CB1426" s="774"/>
      <c r="CC1426" s="78"/>
      <c r="CD1426" s="78"/>
      <c r="CE1426" s="78"/>
      <c r="CF1426" s="78"/>
      <c r="CG1426" s="532"/>
    </row>
    <row r="1427" spans="1:85" s="616" customFormat="1" x14ac:dyDescent="0.3">
      <c r="A1427" s="522" t="s">
        <v>1171</v>
      </c>
      <c r="B1427" s="527"/>
      <c r="C1427" s="1124"/>
      <c r="D1427" s="1124"/>
      <c r="E1427" s="1124"/>
      <c r="F1427" s="1124"/>
      <c r="G1427" s="526"/>
      <c r="H1427" s="526"/>
      <c r="I1427" s="526"/>
      <c r="J1427" s="526"/>
      <c r="K1427" s="1124"/>
      <c r="L1427" s="526"/>
      <c r="M1427" s="526"/>
      <c r="N1427" s="526"/>
      <c r="O1427" s="526"/>
      <c r="P1427" s="1124"/>
      <c r="Q1427" s="526"/>
      <c r="R1427" s="526"/>
      <c r="S1427" s="526"/>
      <c r="T1427" s="526"/>
      <c r="U1427" s="1124"/>
      <c r="V1427" s="526"/>
      <c r="W1427" s="526"/>
      <c r="X1427" s="526"/>
      <c r="Y1427" s="526"/>
      <c r="Z1427" s="1124"/>
      <c r="AA1427" s="526"/>
      <c r="AB1427" s="526"/>
      <c r="AC1427" s="526"/>
      <c r="AD1427" s="526"/>
      <c r="AE1427" s="1124"/>
      <c r="AF1427" s="526"/>
      <c r="AG1427" s="526"/>
      <c r="AH1427" s="526"/>
      <c r="AI1427" s="526"/>
      <c r="AJ1427" s="1124"/>
      <c r="AK1427" s="526"/>
      <c r="AL1427" s="526"/>
      <c r="AM1427" s="526"/>
      <c r="AN1427" s="526"/>
      <c r="AO1427" s="1124"/>
      <c r="AP1427" s="526"/>
      <c r="AQ1427" s="526"/>
      <c r="AR1427" s="526"/>
      <c r="AS1427" s="526"/>
      <c r="AT1427" s="1124"/>
      <c r="AU1427" s="526"/>
      <c r="AV1427" s="526"/>
      <c r="AW1427" s="526"/>
      <c r="AX1427" s="526"/>
      <c r="AY1427" s="1124"/>
      <c r="AZ1427" s="526"/>
      <c r="BA1427" s="526"/>
      <c r="BB1427" s="526"/>
      <c r="BC1427" s="526"/>
      <c r="BD1427" s="1123">
        <v>597.37</v>
      </c>
      <c r="BE1427" s="526"/>
      <c r="BF1427" s="526"/>
      <c r="BG1427" s="526"/>
      <c r="BH1427" s="526"/>
      <c r="BI1427" s="1123">
        <v>597.37</v>
      </c>
      <c r="BJ1427" s="526"/>
      <c r="BK1427" s="526"/>
      <c r="BL1427" s="526"/>
      <c r="BM1427" s="526"/>
      <c r="BN1427" s="1123">
        <v>597.37</v>
      </c>
      <c r="BO1427" s="526"/>
      <c r="BP1427" s="526"/>
      <c r="BQ1427" s="526"/>
      <c r="BR1427" s="526"/>
      <c r="BS1427" s="1124"/>
      <c r="BT1427" s="729"/>
      <c r="BU1427" s="526"/>
      <c r="BV1427" s="526"/>
      <c r="BW1427" s="526"/>
      <c r="BX1427" s="1124"/>
      <c r="BY1427" s="526"/>
      <c r="BZ1427" s="526"/>
      <c r="CA1427" s="526"/>
      <c r="CB1427" s="526"/>
      <c r="CC1427" s="1124"/>
      <c r="CD1427" s="1124"/>
      <c r="CE1427" s="1124"/>
      <c r="CF1427" s="1124"/>
      <c r="CG1427" s="533"/>
    </row>
    <row r="1428" spans="1:85" s="614" customFormat="1" x14ac:dyDescent="0.3">
      <c r="A1428" s="522"/>
      <c r="B1428" s="352"/>
      <c r="C1428" s="1094"/>
      <c r="D1428" s="1094"/>
      <c r="E1428" s="1094"/>
      <c r="F1428" s="1094"/>
      <c r="G1428" s="197"/>
      <c r="H1428" s="197"/>
      <c r="I1428" s="197"/>
      <c r="J1428" s="197"/>
      <c r="K1428" s="1094"/>
      <c r="L1428" s="197"/>
      <c r="M1428" s="197"/>
      <c r="N1428" s="197"/>
      <c r="O1428" s="197"/>
      <c r="P1428" s="1094"/>
      <c r="Q1428" s="197"/>
      <c r="R1428" s="197"/>
      <c r="S1428" s="197"/>
      <c r="T1428" s="197"/>
      <c r="U1428" s="1094"/>
      <c r="V1428" s="197"/>
      <c r="W1428" s="197"/>
      <c r="X1428" s="197"/>
      <c r="Y1428" s="197"/>
      <c r="Z1428" s="1094"/>
      <c r="AA1428" s="197"/>
      <c r="AB1428" s="197"/>
      <c r="AC1428" s="197"/>
      <c r="AD1428" s="197"/>
      <c r="AE1428" s="1094"/>
      <c r="AF1428" s="197"/>
      <c r="AG1428" s="197"/>
      <c r="AH1428" s="197"/>
      <c r="AI1428" s="197"/>
      <c r="AJ1428" s="1094"/>
      <c r="AK1428" s="197"/>
      <c r="AL1428" s="197"/>
      <c r="AM1428" s="197"/>
      <c r="AN1428" s="197"/>
      <c r="AO1428" s="1094"/>
      <c r="AP1428" s="197"/>
      <c r="AQ1428" s="197"/>
      <c r="AR1428" s="197"/>
      <c r="AS1428" s="197"/>
      <c r="AT1428" s="198"/>
      <c r="AU1428" s="197"/>
      <c r="AV1428" s="197"/>
      <c r="AW1428" s="197"/>
      <c r="AX1428" s="197"/>
      <c r="AY1428" s="198"/>
      <c r="AZ1428" s="197"/>
      <c r="BA1428" s="197"/>
      <c r="BB1428" s="197"/>
      <c r="BC1428" s="197"/>
      <c r="BD1428" s="198"/>
      <c r="BE1428" s="197"/>
      <c r="BF1428" s="197"/>
      <c r="BG1428" s="197"/>
      <c r="BH1428" s="197"/>
      <c r="BI1428" s="198"/>
      <c r="BJ1428" s="197"/>
      <c r="BK1428" s="197"/>
      <c r="BL1428" s="197"/>
      <c r="BM1428" s="197"/>
      <c r="BN1428" s="198"/>
      <c r="BO1428" s="197"/>
      <c r="BP1428" s="197"/>
      <c r="BQ1428" s="197"/>
      <c r="BR1428" s="197"/>
      <c r="BS1428" s="198"/>
      <c r="BT1428" s="727"/>
      <c r="BU1428" s="197"/>
      <c r="BV1428" s="197"/>
      <c r="BW1428" s="197"/>
      <c r="BX1428" s="1094"/>
      <c r="BY1428" s="197"/>
      <c r="BZ1428" s="197"/>
      <c r="CA1428" s="197"/>
      <c r="CB1428" s="197"/>
      <c r="CC1428" s="1094"/>
      <c r="CD1428" s="1094"/>
      <c r="CE1428" s="1094"/>
      <c r="CF1428" s="1094"/>
      <c r="CG1428" s="349"/>
    </row>
    <row r="1429" spans="1:85" s="613" customFormat="1" x14ac:dyDescent="0.3">
      <c r="A1429" s="478" t="s">
        <v>1170</v>
      </c>
      <c r="B1429" s="523"/>
      <c r="C1429" s="78"/>
      <c r="D1429" s="78"/>
      <c r="E1429" s="78"/>
      <c r="F1429" s="78"/>
      <c r="G1429" s="774"/>
      <c r="H1429" s="774"/>
      <c r="I1429" s="774"/>
      <c r="J1429" s="774"/>
      <c r="K1429" s="78"/>
      <c r="L1429" s="774"/>
      <c r="M1429" s="774"/>
      <c r="N1429" s="774"/>
      <c r="O1429" s="774"/>
      <c r="P1429" s="78"/>
      <c r="Q1429" s="774"/>
      <c r="R1429" s="774"/>
      <c r="S1429" s="774"/>
      <c r="T1429" s="774"/>
      <c r="U1429" s="78"/>
      <c r="V1429" s="774"/>
      <c r="W1429" s="774"/>
      <c r="X1429" s="774"/>
      <c r="Y1429" s="774"/>
      <c r="Z1429" s="78"/>
      <c r="AA1429" s="774"/>
      <c r="AB1429" s="774"/>
      <c r="AC1429" s="774"/>
      <c r="AD1429" s="774"/>
      <c r="AE1429" s="78"/>
      <c r="AF1429" s="774"/>
      <c r="AG1429" s="774"/>
      <c r="AH1429" s="774"/>
      <c r="AI1429" s="774"/>
      <c r="AJ1429" s="78"/>
      <c r="AK1429" s="774"/>
      <c r="AL1429" s="774"/>
      <c r="AM1429" s="774"/>
      <c r="AN1429" s="774"/>
      <c r="AO1429" s="78"/>
      <c r="AP1429" s="774"/>
      <c r="AQ1429" s="774"/>
      <c r="AR1429" s="774"/>
      <c r="AS1429" s="774"/>
      <c r="AT1429" s="78"/>
      <c r="AU1429" s="774"/>
      <c r="AV1429" s="774"/>
      <c r="AW1429" s="774"/>
      <c r="AX1429" s="774"/>
      <c r="AY1429" s="78"/>
      <c r="AZ1429" s="774"/>
      <c r="BA1429" s="774"/>
      <c r="BB1429" s="774"/>
      <c r="BC1429" s="774"/>
      <c r="BD1429" s="1119">
        <v>2.2789999999999999</v>
      </c>
      <c r="BE1429" s="774"/>
      <c r="BF1429" s="774"/>
      <c r="BG1429" s="774"/>
      <c r="BH1429" s="774"/>
      <c r="BI1429" s="1119">
        <v>2.2789999999999999</v>
      </c>
      <c r="BJ1429" s="774"/>
      <c r="BK1429" s="774"/>
      <c r="BL1429" s="774"/>
      <c r="BM1429" s="774"/>
      <c r="BN1429" s="1119">
        <v>2.2789999999999999</v>
      </c>
      <c r="BO1429" s="774"/>
      <c r="BP1429" s="774"/>
      <c r="BQ1429" s="774"/>
      <c r="BR1429" s="774"/>
      <c r="BS1429" s="78"/>
      <c r="BT1429" s="775"/>
      <c r="BU1429" s="774"/>
      <c r="BV1429" s="774"/>
      <c r="BW1429" s="774"/>
      <c r="BX1429" s="78"/>
      <c r="BY1429" s="774"/>
      <c r="BZ1429" s="774"/>
      <c r="CA1429" s="774"/>
      <c r="CB1429" s="774"/>
      <c r="CC1429" s="78"/>
      <c r="CD1429" s="78"/>
      <c r="CE1429" s="78"/>
      <c r="CF1429" s="78"/>
      <c r="CG1429" s="532"/>
    </row>
    <row r="1430" spans="1:85" s="616" customFormat="1" x14ac:dyDescent="0.3">
      <c r="A1430" s="522" t="s">
        <v>1169</v>
      </c>
      <c r="B1430" s="527"/>
      <c r="C1430" s="1124"/>
      <c r="D1430" s="1124"/>
      <c r="E1430" s="1124"/>
      <c r="F1430" s="1124"/>
      <c r="G1430" s="526"/>
      <c r="H1430" s="526"/>
      <c r="I1430" s="526"/>
      <c r="J1430" s="526"/>
      <c r="K1430" s="1124"/>
      <c r="L1430" s="526"/>
      <c r="M1430" s="526"/>
      <c r="N1430" s="526"/>
      <c r="O1430" s="526"/>
      <c r="P1430" s="1124"/>
      <c r="Q1430" s="526"/>
      <c r="R1430" s="526"/>
      <c r="S1430" s="526"/>
      <c r="T1430" s="526"/>
      <c r="U1430" s="1124"/>
      <c r="V1430" s="526"/>
      <c r="W1430" s="526"/>
      <c r="X1430" s="526"/>
      <c r="Y1430" s="526"/>
      <c r="Z1430" s="1124"/>
      <c r="AA1430" s="526"/>
      <c r="AB1430" s="526"/>
      <c r="AC1430" s="526"/>
      <c r="AD1430" s="526"/>
      <c r="AE1430" s="1124"/>
      <c r="AF1430" s="526"/>
      <c r="AG1430" s="526"/>
      <c r="AH1430" s="526"/>
      <c r="AI1430" s="526"/>
      <c r="AJ1430" s="1124"/>
      <c r="AK1430" s="526"/>
      <c r="AL1430" s="526"/>
      <c r="AM1430" s="526"/>
      <c r="AN1430" s="526"/>
      <c r="AO1430" s="1124"/>
      <c r="AP1430" s="526"/>
      <c r="AQ1430" s="526"/>
      <c r="AR1430" s="526"/>
      <c r="AS1430" s="526"/>
      <c r="AT1430" s="1124"/>
      <c r="AU1430" s="526"/>
      <c r="AV1430" s="526"/>
      <c r="AW1430" s="526"/>
      <c r="AX1430" s="526"/>
      <c r="AY1430" s="1124"/>
      <c r="AZ1430" s="526"/>
      <c r="BA1430" s="526"/>
      <c r="BB1430" s="526"/>
      <c r="BC1430" s="526"/>
      <c r="BD1430" s="1123">
        <v>457.13</v>
      </c>
      <c r="BE1430" s="526"/>
      <c r="BF1430" s="526"/>
      <c r="BG1430" s="526"/>
      <c r="BH1430" s="526"/>
      <c r="BI1430" s="1123">
        <v>457.13</v>
      </c>
      <c r="BJ1430" s="526"/>
      <c r="BK1430" s="526"/>
      <c r="BL1430" s="526"/>
      <c r="BM1430" s="526"/>
      <c r="BN1430" s="1123">
        <v>457.13</v>
      </c>
      <c r="BO1430" s="526"/>
      <c r="BP1430" s="526"/>
      <c r="BQ1430" s="526"/>
      <c r="BR1430" s="526"/>
      <c r="BS1430" s="1124"/>
      <c r="BT1430" s="729"/>
      <c r="BU1430" s="526"/>
      <c r="BV1430" s="526"/>
      <c r="BW1430" s="526"/>
      <c r="BX1430" s="1124"/>
      <c r="BY1430" s="526"/>
      <c r="BZ1430" s="526"/>
      <c r="CA1430" s="526"/>
      <c r="CB1430" s="526"/>
      <c r="CC1430" s="1124"/>
      <c r="CD1430" s="1124"/>
      <c r="CE1430" s="1124"/>
      <c r="CF1430" s="1124"/>
      <c r="CG1430" s="533"/>
    </row>
    <row r="1431" spans="1:85" s="614" customFormat="1" x14ac:dyDescent="0.3">
      <c r="A1431" s="522"/>
      <c r="B1431" s="352"/>
      <c r="C1431" s="1094"/>
      <c r="D1431" s="1094"/>
      <c r="E1431" s="1094"/>
      <c r="F1431" s="1094"/>
      <c r="G1431" s="197"/>
      <c r="H1431" s="197"/>
      <c r="I1431" s="197"/>
      <c r="J1431" s="197"/>
      <c r="K1431" s="1094"/>
      <c r="L1431" s="197"/>
      <c r="M1431" s="197"/>
      <c r="N1431" s="197"/>
      <c r="O1431" s="197"/>
      <c r="P1431" s="1094"/>
      <c r="Q1431" s="197"/>
      <c r="R1431" s="197"/>
      <c r="S1431" s="197"/>
      <c r="T1431" s="197"/>
      <c r="U1431" s="1094"/>
      <c r="V1431" s="197"/>
      <c r="W1431" s="197"/>
      <c r="X1431" s="197"/>
      <c r="Y1431" s="197"/>
      <c r="Z1431" s="1094"/>
      <c r="AA1431" s="197"/>
      <c r="AB1431" s="197"/>
      <c r="AC1431" s="197"/>
      <c r="AD1431" s="197"/>
      <c r="AE1431" s="1094"/>
      <c r="AF1431" s="197"/>
      <c r="AG1431" s="197"/>
      <c r="AH1431" s="197"/>
      <c r="AI1431" s="197"/>
      <c r="AJ1431" s="1094"/>
      <c r="AK1431" s="197"/>
      <c r="AL1431" s="197"/>
      <c r="AM1431" s="197"/>
      <c r="AN1431" s="197"/>
      <c r="AO1431" s="1094"/>
      <c r="AP1431" s="197"/>
      <c r="AQ1431" s="197"/>
      <c r="AR1431" s="197"/>
      <c r="AS1431" s="197"/>
      <c r="AT1431" s="198"/>
      <c r="AU1431" s="197"/>
      <c r="AV1431" s="197"/>
      <c r="AW1431" s="197"/>
      <c r="AX1431" s="197"/>
      <c r="AY1431" s="198"/>
      <c r="AZ1431" s="197"/>
      <c r="BA1431" s="197"/>
      <c r="BB1431" s="197"/>
      <c r="BC1431" s="197"/>
      <c r="BD1431" s="198"/>
      <c r="BE1431" s="197"/>
      <c r="BF1431" s="197"/>
      <c r="BG1431" s="197"/>
      <c r="BH1431" s="197"/>
      <c r="BI1431" s="198"/>
      <c r="BJ1431" s="197"/>
      <c r="BK1431" s="197"/>
      <c r="BL1431" s="197"/>
      <c r="BM1431" s="197"/>
      <c r="BN1431" s="198"/>
      <c r="BO1431" s="197"/>
      <c r="BP1431" s="197"/>
      <c r="BQ1431" s="197"/>
      <c r="BR1431" s="197"/>
      <c r="BS1431" s="198"/>
      <c r="BT1431" s="727"/>
      <c r="BU1431" s="197"/>
      <c r="BV1431" s="197"/>
      <c r="BW1431" s="197"/>
      <c r="BX1431" s="1094"/>
      <c r="BY1431" s="197"/>
      <c r="BZ1431" s="197"/>
      <c r="CA1431" s="197"/>
      <c r="CB1431" s="197"/>
      <c r="CC1431" s="1094"/>
      <c r="CD1431" s="1094"/>
      <c r="CE1431" s="1094"/>
      <c r="CF1431" s="1094"/>
      <c r="CG1431" s="349"/>
    </row>
    <row r="1432" spans="1:85" s="613" customFormat="1" x14ac:dyDescent="0.3">
      <c r="A1432" s="478" t="s">
        <v>1168</v>
      </c>
      <c r="B1432" s="523"/>
      <c r="C1432" s="78"/>
      <c r="D1432" s="78"/>
      <c r="E1432" s="78"/>
      <c r="F1432" s="78"/>
      <c r="G1432" s="774"/>
      <c r="H1432" s="774"/>
      <c r="I1432" s="774"/>
      <c r="J1432" s="774"/>
      <c r="K1432" s="78"/>
      <c r="L1432" s="774"/>
      <c r="M1432" s="774"/>
      <c r="N1432" s="774"/>
      <c r="O1432" s="774"/>
      <c r="P1432" s="78"/>
      <c r="Q1432" s="774"/>
      <c r="R1432" s="774"/>
      <c r="S1432" s="774"/>
      <c r="T1432" s="774"/>
      <c r="U1432" s="78"/>
      <c r="V1432" s="774"/>
      <c r="W1432" s="774"/>
      <c r="X1432" s="774"/>
      <c r="Y1432" s="774"/>
      <c r="Z1432" s="78"/>
      <c r="AA1432" s="774"/>
      <c r="AB1432" s="774"/>
      <c r="AC1432" s="774"/>
      <c r="AD1432" s="774"/>
      <c r="AE1432" s="78"/>
      <c r="AF1432" s="774"/>
      <c r="AG1432" s="774"/>
      <c r="AH1432" s="774"/>
      <c r="AI1432" s="774"/>
      <c r="AJ1432" s="78"/>
      <c r="AK1432" s="774"/>
      <c r="AL1432" s="774"/>
      <c r="AM1432" s="774"/>
      <c r="AN1432" s="774"/>
      <c r="AO1432" s="78"/>
      <c r="AP1432" s="774"/>
      <c r="AQ1432" s="774"/>
      <c r="AR1432" s="774"/>
      <c r="AS1432" s="774"/>
      <c r="AT1432" s="78"/>
      <c r="AU1432" s="774"/>
      <c r="AV1432" s="774"/>
      <c r="AW1432" s="774"/>
      <c r="AX1432" s="774"/>
      <c r="AY1432" s="78"/>
      <c r="AZ1432" s="774"/>
      <c r="BA1432" s="774"/>
      <c r="BB1432" s="774"/>
      <c r="BC1432" s="774"/>
      <c r="BD1432" s="1119">
        <v>2.6970000000000001</v>
      </c>
      <c r="BE1432" s="774"/>
      <c r="BF1432" s="774"/>
      <c r="BG1432" s="774"/>
      <c r="BH1432" s="774"/>
      <c r="BI1432" s="1119">
        <v>2.6970000000000001</v>
      </c>
      <c r="BJ1432" s="774"/>
      <c r="BK1432" s="774"/>
      <c r="BL1432" s="774"/>
      <c r="BM1432" s="774"/>
      <c r="BN1432" s="1119">
        <v>2.6970000000000001</v>
      </c>
      <c r="BO1432" s="774"/>
      <c r="BP1432" s="774"/>
      <c r="BQ1432" s="774"/>
      <c r="BR1432" s="774"/>
      <c r="BS1432" s="78"/>
      <c r="BT1432" s="775"/>
      <c r="BU1432" s="774"/>
      <c r="BV1432" s="774"/>
      <c r="BW1432" s="774"/>
      <c r="BX1432" s="78"/>
      <c r="BY1432" s="774"/>
      <c r="BZ1432" s="774"/>
      <c r="CA1432" s="774"/>
      <c r="CB1432" s="774"/>
      <c r="CC1432" s="78"/>
      <c r="CD1432" s="78"/>
      <c r="CE1432" s="78"/>
      <c r="CF1432" s="78"/>
      <c r="CG1432" s="532"/>
    </row>
    <row r="1433" spans="1:85" s="616" customFormat="1" x14ac:dyDescent="0.3">
      <c r="A1433" s="522" t="s">
        <v>1167</v>
      </c>
      <c r="B1433" s="527"/>
      <c r="C1433" s="1124"/>
      <c r="D1433" s="1124"/>
      <c r="E1433" s="1124"/>
      <c r="F1433" s="1124"/>
      <c r="G1433" s="526"/>
      <c r="H1433" s="526"/>
      <c r="I1433" s="526"/>
      <c r="J1433" s="526"/>
      <c r="K1433" s="1124"/>
      <c r="L1433" s="526"/>
      <c r="M1433" s="526"/>
      <c r="N1433" s="526"/>
      <c r="O1433" s="526"/>
      <c r="P1433" s="1124"/>
      <c r="Q1433" s="526"/>
      <c r="R1433" s="526"/>
      <c r="S1433" s="526"/>
      <c r="T1433" s="526"/>
      <c r="U1433" s="1124"/>
      <c r="V1433" s="526"/>
      <c r="W1433" s="526"/>
      <c r="X1433" s="526"/>
      <c r="Y1433" s="526"/>
      <c r="Z1433" s="1124"/>
      <c r="AA1433" s="526"/>
      <c r="AB1433" s="526"/>
      <c r="AC1433" s="526"/>
      <c r="AD1433" s="526"/>
      <c r="AE1433" s="1124"/>
      <c r="AF1433" s="526"/>
      <c r="AG1433" s="526"/>
      <c r="AH1433" s="526"/>
      <c r="AI1433" s="526"/>
      <c r="AJ1433" s="1124"/>
      <c r="AK1433" s="526"/>
      <c r="AL1433" s="526"/>
      <c r="AM1433" s="526"/>
      <c r="AN1433" s="526"/>
      <c r="AO1433" s="1124"/>
      <c r="AP1433" s="526"/>
      <c r="AQ1433" s="526"/>
      <c r="AR1433" s="526"/>
      <c r="AS1433" s="526"/>
      <c r="AT1433" s="1124"/>
      <c r="AU1433" s="526"/>
      <c r="AV1433" s="526"/>
      <c r="AW1433" s="526"/>
      <c r="AX1433" s="526"/>
      <c r="AY1433" s="1124"/>
      <c r="AZ1433" s="526"/>
      <c r="BA1433" s="526"/>
      <c r="BB1433" s="526"/>
      <c r="BC1433" s="526"/>
      <c r="BD1433" s="1123">
        <v>386.24</v>
      </c>
      <c r="BE1433" s="526"/>
      <c r="BF1433" s="526"/>
      <c r="BG1433" s="526"/>
      <c r="BH1433" s="526"/>
      <c r="BI1433" s="1123">
        <v>386.24</v>
      </c>
      <c r="BJ1433" s="526"/>
      <c r="BK1433" s="526"/>
      <c r="BL1433" s="526"/>
      <c r="BM1433" s="526"/>
      <c r="BN1433" s="1123">
        <v>386.24</v>
      </c>
      <c r="BO1433" s="526"/>
      <c r="BP1433" s="526"/>
      <c r="BQ1433" s="526"/>
      <c r="BR1433" s="526"/>
      <c r="BS1433" s="1124"/>
      <c r="BT1433" s="729"/>
      <c r="BU1433" s="526"/>
      <c r="BV1433" s="526"/>
      <c r="BW1433" s="526"/>
      <c r="BX1433" s="1124"/>
      <c r="BY1433" s="526"/>
      <c r="BZ1433" s="526"/>
      <c r="CA1433" s="526"/>
      <c r="CB1433" s="526"/>
      <c r="CC1433" s="1124"/>
      <c r="CD1433" s="1124"/>
      <c r="CE1433" s="1124"/>
      <c r="CF1433" s="1124"/>
      <c r="CG1433" s="533"/>
    </row>
    <row r="1434" spans="1:85" s="614" customFormat="1" x14ac:dyDescent="0.3">
      <c r="A1434" s="522"/>
      <c r="B1434" s="352"/>
      <c r="C1434" s="1094"/>
      <c r="D1434" s="1094"/>
      <c r="E1434" s="1094"/>
      <c r="F1434" s="1094"/>
      <c r="G1434" s="197"/>
      <c r="H1434" s="197"/>
      <c r="I1434" s="197"/>
      <c r="J1434" s="197"/>
      <c r="K1434" s="1094"/>
      <c r="L1434" s="197"/>
      <c r="M1434" s="197"/>
      <c r="N1434" s="197"/>
      <c r="O1434" s="197"/>
      <c r="P1434" s="1094"/>
      <c r="Q1434" s="197"/>
      <c r="R1434" s="197"/>
      <c r="S1434" s="197"/>
      <c r="T1434" s="197"/>
      <c r="U1434" s="1094"/>
      <c r="V1434" s="197"/>
      <c r="W1434" s="197"/>
      <c r="X1434" s="197"/>
      <c r="Y1434" s="197"/>
      <c r="Z1434" s="1094"/>
      <c r="AA1434" s="197"/>
      <c r="AB1434" s="197"/>
      <c r="AC1434" s="197"/>
      <c r="AD1434" s="197"/>
      <c r="AE1434" s="1094"/>
      <c r="AF1434" s="197"/>
      <c r="AG1434" s="197"/>
      <c r="AH1434" s="197"/>
      <c r="AI1434" s="197"/>
      <c r="AJ1434" s="1094"/>
      <c r="AK1434" s="197"/>
      <c r="AL1434" s="197"/>
      <c r="AM1434" s="197"/>
      <c r="AN1434" s="197"/>
      <c r="AO1434" s="1094"/>
      <c r="AP1434" s="197"/>
      <c r="AQ1434" s="197"/>
      <c r="AR1434" s="197"/>
      <c r="AS1434" s="197"/>
      <c r="AT1434" s="198"/>
      <c r="AU1434" s="197"/>
      <c r="AV1434" s="197"/>
      <c r="AW1434" s="197"/>
      <c r="AX1434" s="197"/>
      <c r="AY1434" s="198"/>
      <c r="AZ1434" s="197"/>
      <c r="BA1434" s="197"/>
      <c r="BB1434" s="197"/>
      <c r="BC1434" s="197"/>
      <c r="BD1434" s="198"/>
      <c r="BE1434" s="197"/>
      <c r="BF1434" s="197"/>
      <c r="BG1434" s="197"/>
      <c r="BH1434" s="197"/>
      <c r="BI1434" s="198"/>
      <c r="BJ1434" s="197"/>
      <c r="BK1434" s="197"/>
      <c r="BL1434" s="197"/>
      <c r="BM1434" s="197"/>
      <c r="BN1434" s="198"/>
      <c r="BO1434" s="197"/>
      <c r="BP1434" s="197"/>
      <c r="BQ1434" s="197"/>
      <c r="BR1434" s="197"/>
      <c r="BS1434" s="198"/>
      <c r="BT1434" s="727"/>
      <c r="BU1434" s="197"/>
      <c r="BV1434" s="197"/>
      <c r="BW1434" s="197"/>
      <c r="BX1434" s="1094"/>
      <c r="BY1434" s="197"/>
      <c r="BZ1434" s="197"/>
      <c r="CA1434" s="197"/>
      <c r="CB1434" s="197"/>
      <c r="CC1434" s="1094"/>
      <c r="CD1434" s="1094"/>
      <c r="CE1434" s="1094"/>
      <c r="CF1434" s="1094"/>
      <c r="CG1434" s="349"/>
    </row>
    <row r="1435" spans="1:85" s="613" customFormat="1" x14ac:dyDescent="0.3">
      <c r="A1435" s="478" t="s">
        <v>1166</v>
      </c>
      <c r="B1435" s="523"/>
      <c r="C1435" s="78"/>
      <c r="D1435" s="78"/>
      <c r="E1435" s="78"/>
      <c r="F1435" s="78"/>
      <c r="G1435" s="774"/>
      <c r="H1435" s="774"/>
      <c r="I1435" s="774"/>
      <c r="J1435" s="774"/>
      <c r="K1435" s="78"/>
      <c r="L1435" s="774"/>
      <c r="M1435" s="774"/>
      <c r="N1435" s="774"/>
      <c r="O1435" s="774"/>
      <c r="P1435" s="78"/>
      <c r="Q1435" s="774"/>
      <c r="R1435" s="774"/>
      <c r="S1435" s="774"/>
      <c r="T1435" s="774"/>
      <c r="U1435" s="78"/>
      <c r="V1435" s="774"/>
      <c r="W1435" s="774"/>
      <c r="X1435" s="774"/>
      <c r="Y1435" s="774"/>
      <c r="Z1435" s="78"/>
      <c r="AA1435" s="774"/>
      <c r="AB1435" s="774"/>
      <c r="AC1435" s="774"/>
      <c r="AD1435" s="774"/>
      <c r="AE1435" s="78"/>
      <c r="AF1435" s="774"/>
      <c r="AG1435" s="774"/>
      <c r="AH1435" s="774"/>
      <c r="AI1435" s="774"/>
      <c r="AJ1435" s="78"/>
      <c r="AK1435" s="774"/>
      <c r="AL1435" s="774"/>
      <c r="AM1435" s="774"/>
      <c r="AN1435" s="774"/>
      <c r="AO1435" s="78"/>
      <c r="AP1435" s="774"/>
      <c r="AQ1435" s="774"/>
      <c r="AR1435" s="774"/>
      <c r="AS1435" s="774"/>
      <c r="AT1435" s="78"/>
      <c r="AU1435" s="774"/>
      <c r="AV1435" s="774"/>
      <c r="AW1435" s="774"/>
      <c r="AX1435" s="774"/>
      <c r="AY1435" s="78"/>
      <c r="AZ1435" s="774"/>
      <c r="BA1435" s="774"/>
      <c r="BB1435" s="774"/>
      <c r="BC1435" s="774"/>
      <c r="BD1435" s="1119">
        <v>2.7890000000000001</v>
      </c>
      <c r="BE1435" s="774"/>
      <c r="BF1435" s="774"/>
      <c r="BG1435" s="774"/>
      <c r="BH1435" s="774"/>
      <c r="BI1435" s="1119">
        <v>2.7890000000000001</v>
      </c>
      <c r="BJ1435" s="774"/>
      <c r="BK1435" s="774"/>
      <c r="BL1435" s="774"/>
      <c r="BM1435" s="774"/>
      <c r="BN1435" s="1119">
        <v>2.7890000000000001</v>
      </c>
      <c r="BO1435" s="774"/>
      <c r="BP1435" s="774"/>
      <c r="BQ1435" s="774"/>
      <c r="BR1435" s="774"/>
      <c r="BS1435" s="78"/>
      <c r="BT1435" s="775"/>
      <c r="BU1435" s="774"/>
      <c r="BV1435" s="774"/>
      <c r="BW1435" s="774"/>
      <c r="BX1435" s="78"/>
      <c r="BY1435" s="774"/>
      <c r="BZ1435" s="774"/>
      <c r="CA1435" s="774"/>
      <c r="CB1435" s="774"/>
      <c r="CC1435" s="78"/>
      <c r="CD1435" s="78"/>
      <c r="CE1435" s="78"/>
      <c r="CF1435" s="78"/>
      <c r="CG1435" s="532"/>
    </row>
    <row r="1436" spans="1:85" s="616" customFormat="1" x14ac:dyDescent="0.3">
      <c r="A1436" s="522" t="s">
        <v>1165</v>
      </c>
      <c r="B1436" s="527"/>
      <c r="C1436" s="1124"/>
      <c r="D1436" s="1124"/>
      <c r="E1436" s="1124"/>
      <c r="F1436" s="1124"/>
      <c r="G1436" s="526"/>
      <c r="H1436" s="526"/>
      <c r="I1436" s="526"/>
      <c r="J1436" s="526"/>
      <c r="K1436" s="1124"/>
      <c r="L1436" s="526"/>
      <c r="M1436" s="526"/>
      <c r="N1436" s="526"/>
      <c r="O1436" s="526"/>
      <c r="P1436" s="1124"/>
      <c r="Q1436" s="526"/>
      <c r="R1436" s="526"/>
      <c r="S1436" s="526"/>
      <c r="T1436" s="526"/>
      <c r="U1436" s="1124"/>
      <c r="V1436" s="526"/>
      <c r="W1436" s="526"/>
      <c r="X1436" s="526"/>
      <c r="Y1436" s="526"/>
      <c r="Z1436" s="1124"/>
      <c r="AA1436" s="526"/>
      <c r="AB1436" s="526"/>
      <c r="AC1436" s="526"/>
      <c r="AD1436" s="526"/>
      <c r="AE1436" s="1124"/>
      <c r="AF1436" s="526"/>
      <c r="AG1436" s="526"/>
      <c r="AH1436" s="526"/>
      <c r="AI1436" s="526"/>
      <c r="AJ1436" s="1124"/>
      <c r="AK1436" s="526"/>
      <c r="AL1436" s="526"/>
      <c r="AM1436" s="526"/>
      <c r="AN1436" s="526"/>
      <c r="AO1436" s="1124"/>
      <c r="AP1436" s="526"/>
      <c r="AQ1436" s="526"/>
      <c r="AR1436" s="526"/>
      <c r="AS1436" s="526"/>
      <c r="AT1436" s="1124"/>
      <c r="AU1436" s="526"/>
      <c r="AV1436" s="526"/>
      <c r="AW1436" s="526"/>
      <c r="AX1436" s="526"/>
      <c r="AY1436" s="1124"/>
      <c r="AZ1436" s="526"/>
      <c r="BA1436" s="526"/>
      <c r="BB1436" s="526"/>
      <c r="BC1436" s="526"/>
      <c r="BD1436" s="1123">
        <v>373.47</v>
      </c>
      <c r="BE1436" s="526"/>
      <c r="BF1436" s="526"/>
      <c r="BG1436" s="526"/>
      <c r="BH1436" s="526"/>
      <c r="BI1436" s="1123">
        <v>373.47</v>
      </c>
      <c r="BJ1436" s="526"/>
      <c r="BK1436" s="526"/>
      <c r="BL1436" s="526"/>
      <c r="BM1436" s="526"/>
      <c r="BN1436" s="1123">
        <v>373.47</v>
      </c>
      <c r="BO1436" s="526"/>
      <c r="BP1436" s="526"/>
      <c r="BQ1436" s="526"/>
      <c r="BR1436" s="526"/>
      <c r="BS1436" s="1124"/>
      <c r="BT1436" s="729"/>
      <c r="BU1436" s="526"/>
      <c r="BV1436" s="526"/>
      <c r="BW1436" s="526"/>
      <c r="BX1436" s="1124"/>
      <c r="BY1436" s="526"/>
      <c r="BZ1436" s="526"/>
      <c r="CA1436" s="526"/>
      <c r="CB1436" s="526"/>
      <c r="CC1436" s="1124"/>
      <c r="CD1436" s="1124"/>
      <c r="CE1436" s="1124"/>
      <c r="CF1436" s="1124"/>
      <c r="CG1436" s="533"/>
    </row>
    <row r="1437" spans="1:85" s="614" customFormat="1" x14ac:dyDescent="0.3">
      <c r="A1437" s="522"/>
      <c r="B1437" s="352"/>
      <c r="C1437" s="1094"/>
      <c r="D1437" s="1094"/>
      <c r="E1437" s="1094"/>
      <c r="F1437" s="1094"/>
      <c r="G1437" s="197"/>
      <c r="H1437" s="197"/>
      <c r="I1437" s="197"/>
      <c r="J1437" s="197"/>
      <c r="K1437" s="1094"/>
      <c r="L1437" s="197"/>
      <c r="M1437" s="197"/>
      <c r="N1437" s="197"/>
      <c r="O1437" s="197"/>
      <c r="P1437" s="1094"/>
      <c r="Q1437" s="197"/>
      <c r="R1437" s="197"/>
      <c r="S1437" s="197"/>
      <c r="T1437" s="197"/>
      <c r="U1437" s="1094"/>
      <c r="V1437" s="197"/>
      <c r="W1437" s="197"/>
      <c r="X1437" s="197"/>
      <c r="Y1437" s="197"/>
      <c r="Z1437" s="1094"/>
      <c r="AA1437" s="197"/>
      <c r="AB1437" s="197"/>
      <c r="AC1437" s="197"/>
      <c r="AD1437" s="197"/>
      <c r="AE1437" s="1094"/>
      <c r="AF1437" s="197"/>
      <c r="AG1437" s="197"/>
      <c r="AH1437" s="197"/>
      <c r="AI1437" s="197"/>
      <c r="AJ1437" s="1094"/>
      <c r="AK1437" s="197"/>
      <c r="AL1437" s="197"/>
      <c r="AM1437" s="197"/>
      <c r="AN1437" s="197"/>
      <c r="AO1437" s="1094"/>
      <c r="AP1437" s="197"/>
      <c r="AQ1437" s="197"/>
      <c r="AR1437" s="197"/>
      <c r="AS1437" s="197"/>
      <c r="AT1437" s="198"/>
      <c r="AU1437" s="197"/>
      <c r="AV1437" s="197"/>
      <c r="AW1437" s="197"/>
      <c r="AX1437" s="197"/>
      <c r="AY1437" s="198"/>
      <c r="AZ1437" s="197"/>
      <c r="BA1437" s="197"/>
      <c r="BB1437" s="197"/>
      <c r="BC1437" s="197"/>
      <c r="BD1437" s="198"/>
      <c r="BE1437" s="197"/>
      <c r="BF1437" s="197"/>
      <c r="BG1437" s="197"/>
      <c r="BH1437" s="197"/>
      <c r="BI1437" s="198"/>
      <c r="BJ1437" s="197"/>
      <c r="BK1437" s="197"/>
      <c r="BL1437" s="197"/>
      <c r="BM1437" s="197"/>
      <c r="BN1437" s="198"/>
      <c r="BO1437" s="197"/>
      <c r="BP1437" s="197"/>
      <c r="BQ1437" s="197"/>
      <c r="BR1437" s="197"/>
      <c r="BS1437" s="198"/>
      <c r="BT1437" s="727"/>
      <c r="BU1437" s="197"/>
      <c r="BV1437" s="197"/>
      <c r="BW1437" s="197"/>
      <c r="BX1437" s="1094"/>
      <c r="BY1437" s="197"/>
      <c r="BZ1437" s="197"/>
      <c r="CA1437" s="197"/>
      <c r="CB1437" s="197"/>
      <c r="CC1437" s="1094"/>
      <c r="CD1437" s="1094"/>
      <c r="CE1437" s="1094"/>
      <c r="CF1437" s="1094"/>
      <c r="CG1437" s="349"/>
    </row>
    <row r="1438" spans="1:85" s="613" customFormat="1" x14ac:dyDescent="0.3">
      <c r="A1438" s="478" t="s">
        <v>1164</v>
      </c>
      <c r="B1438" s="523"/>
      <c r="C1438" s="78"/>
      <c r="D1438" s="78"/>
      <c r="E1438" s="78"/>
      <c r="F1438" s="78"/>
      <c r="G1438" s="774"/>
      <c r="H1438" s="774"/>
      <c r="I1438" s="774"/>
      <c r="J1438" s="774"/>
      <c r="K1438" s="78"/>
      <c r="L1438" s="774"/>
      <c r="M1438" s="774"/>
      <c r="N1438" s="774"/>
      <c r="O1438" s="774"/>
      <c r="P1438" s="78"/>
      <c r="Q1438" s="774"/>
      <c r="R1438" s="774"/>
      <c r="S1438" s="774"/>
      <c r="T1438" s="774"/>
      <c r="U1438" s="78"/>
      <c r="V1438" s="774"/>
      <c r="W1438" s="774"/>
      <c r="X1438" s="774"/>
      <c r="Y1438" s="774"/>
      <c r="Z1438" s="78"/>
      <c r="AA1438" s="774"/>
      <c r="AB1438" s="774"/>
      <c r="AC1438" s="774"/>
      <c r="AD1438" s="774"/>
      <c r="AE1438" s="78"/>
      <c r="AF1438" s="774"/>
      <c r="AG1438" s="774"/>
      <c r="AH1438" s="774"/>
      <c r="AI1438" s="774"/>
      <c r="AJ1438" s="78"/>
      <c r="AK1438" s="774"/>
      <c r="AL1438" s="774"/>
      <c r="AM1438" s="774"/>
      <c r="AN1438" s="774"/>
      <c r="AO1438" s="78"/>
      <c r="AP1438" s="774"/>
      <c r="AQ1438" s="774"/>
      <c r="AR1438" s="774"/>
      <c r="AS1438" s="774"/>
      <c r="AT1438" s="78"/>
      <c r="AU1438" s="774"/>
      <c r="AV1438" s="774"/>
      <c r="AW1438" s="774"/>
      <c r="AX1438" s="774"/>
      <c r="AY1438" s="78"/>
      <c r="AZ1438" s="774"/>
      <c r="BA1438" s="774"/>
      <c r="BB1438" s="774"/>
      <c r="BC1438" s="774"/>
      <c r="BD1438" s="1119">
        <v>5.2220000000000004</v>
      </c>
      <c r="BE1438" s="774"/>
      <c r="BF1438" s="774"/>
      <c r="BG1438" s="774"/>
      <c r="BH1438" s="774"/>
      <c r="BI1438" s="1119">
        <v>5.2220000000000004</v>
      </c>
      <c r="BJ1438" s="774"/>
      <c r="BK1438" s="774"/>
      <c r="BL1438" s="774"/>
      <c r="BM1438" s="774"/>
      <c r="BN1438" s="1119">
        <v>5.2220000000000004</v>
      </c>
      <c r="BO1438" s="774"/>
      <c r="BP1438" s="774"/>
      <c r="BQ1438" s="774"/>
      <c r="BR1438" s="774"/>
      <c r="BS1438" s="78"/>
      <c r="BT1438" s="775"/>
      <c r="BU1438" s="774"/>
      <c r="BV1438" s="774"/>
      <c r="BW1438" s="774"/>
      <c r="BX1438" s="78"/>
      <c r="BY1438" s="774"/>
      <c r="BZ1438" s="774"/>
      <c r="CA1438" s="774"/>
      <c r="CB1438" s="774"/>
      <c r="CC1438" s="78"/>
      <c r="CD1438" s="78"/>
      <c r="CE1438" s="78"/>
      <c r="CF1438" s="78"/>
      <c r="CG1438" s="532"/>
    </row>
    <row r="1439" spans="1:85" s="616" customFormat="1" x14ac:dyDescent="0.3">
      <c r="A1439" s="522" t="s">
        <v>1163</v>
      </c>
      <c r="B1439" s="527"/>
      <c r="C1439" s="1124"/>
      <c r="D1439" s="1124"/>
      <c r="E1439" s="1124"/>
      <c r="F1439" s="1124"/>
      <c r="G1439" s="526"/>
      <c r="H1439" s="526"/>
      <c r="I1439" s="526"/>
      <c r="J1439" s="526"/>
      <c r="K1439" s="1124"/>
      <c r="L1439" s="526"/>
      <c r="M1439" s="526"/>
      <c r="N1439" s="526"/>
      <c r="O1439" s="526"/>
      <c r="P1439" s="1124"/>
      <c r="Q1439" s="526"/>
      <c r="R1439" s="526"/>
      <c r="S1439" s="526"/>
      <c r="T1439" s="526"/>
      <c r="U1439" s="1124"/>
      <c r="V1439" s="526"/>
      <c r="W1439" s="526"/>
      <c r="X1439" s="526"/>
      <c r="Y1439" s="526"/>
      <c r="Z1439" s="1124"/>
      <c r="AA1439" s="526"/>
      <c r="AB1439" s="526"/>
      <c r="AC1439" s="526"/>
      <c r="AD1439" s="526"/>
      <c r="AE1439" s="1124"/>
      <c r="AF1439" s="526"/>
      <c r="AG1439" s="526"/>
      <c r="AH1439" s="526"/>
      <c r="AI1439" s="526"/>
      <c r="AJ1439" s="1124"/>
      <c r="AK1439" s="526"/>
      <c r="AL1439" s="526"/>
      <c r="AM1439" s="526"/>
      <c r="AN1439" s="526"/>
      <c r="AO1439" s="1124"/>
      <c r="AP1439" s="526"/>
      <c r="AQ1439" s="526"/>
      <c r="AR1439" s="526"/>
      <c r="AS1439" s="526"/>
      <c r="AT1439" s="1124"/>
      <c r="AU1439" s="526"/>
      <c r="AV1439" s="526"/>
      <c r="AW1439" s="526"/>
      <c r="AX1439" s="526"/>
      <c r="AY1439" s="1124"/>
      <c r="AZ1439" s="526"/>
      <c r="BA1439" s="526"/>
      <c r="BB1439" s="526"/>
      <c r="BC1439" s="526"/>
      <c r="BD1439" s="1123">
        <v>199.46</v>
      </c>
      <c r="BE1439" s="526"/>
      <c r="BF1439" s="526"/>
      <c r="BG1439" s="526"/>
      <c r="BH1439" s="526"/>
      <c r="BI1439" s="1123">
        <v>199.46</v>
      </c>
      <c r="BJ1439" s="526"/>
      <c r="BK1439" s="526"/>
      <c r="BL1439" s="526"/>
      <c r="BM1439" s="526"/>
      <c r="BN1439" s="1123">
        <v>199.46</v>
      </c>
      <c r="BO1439" s="526"/>
      <c r="BP1439" s="526"/>
      <c r="BQ1439" s="526"/>
      <c r="BR1439" s="526"/>
      <c r="BS1439" s="1124"/>
      <c r="BT1439" s="729"/>
      <c r="BU1439" s="526"/>
      <c r="BV1439" s="526"/>
      <c r="BW1439" s="526"/>
      <c r="BX1439" s="1124"/>
      <c r="BY1439" s="526"/>
      <c r="BZ1439" s="526"/>
      <c r="CA1439" s="526"/>
      <c r="CB1439" s="526"/>
      <c r="CC1439" s="1124"/>
      <c r="CD1439" s="1124"/>
      <c r="CE1439" s="1124"/>
      <c r="CF1439" s="1124"/>
      <c r="CG1439" s="533"/>
    </row>
    <row r="1440" spans="1:85" s="614" customFormat="1" x14ac:dyDescent="0.3">
      <c r="A1440" s="522"/>
      <c r="B1440" s="352"/>
      <c r="C1440" s="1094"/>
      <c r="D1440" s="1094"/>
      <c r="E1440" s="1094"/>
      <c r="F1440" s="1094"/>
      <c r="G1440" s="197"/>
      <c r="H1440" s="197"/>
      <c r="I1440" s="197"/>
      <c r="J1440" s="197"/>
      <c r="K1440" s="1094"/>
      <c r="L1440" s="197"/>
      <c r="M1440" s="197"/>
      <c r="N1440" s="197"/>
      <c r="O1440" s="197"/>
      <c r="P1440" s="1094"/>
      <c r="Q1440" s="197"/>
      <c r="R1440" s="197"/>
      <c r="S1440" s="197"/>
      <c r="T1440" s="197"/>
      <c r="U1440" s="1094"/>
      <c r="V1440" s="197"/>
      <c r="W1440" s="197"/>
      <c r="X1440" s="197"/>
      <c r="Y1440" s="197"/>
      <c r="Z1440" s="1094"/>
      <c r="AA1440" s="197"/>
      <c r="AB1440" s="197"/>
      <c r="AC1440" s="197"/>
      <c r="AD1440" s="197"/>
      <c r="AE1440" s="1094"/>
      <c r="AF1440" s="197"/>
      <c r="AG1440" s="197"/>
      <c r="AH1440" s="197"/>
      <c r="AI1440" s="197"/>
      <c r="AJ1440" s="1094"/>
      <c r="AK1440" s="197"/>
      <c r="AL1440" s="197"/>
      <c r="AM1440" s="197"/>
      <c r="AN1440" s="197"/>
      <c r="AO1440" s="1094"/>
      <c r="AP1440" s="197"/>
      <c r="AQ1440" s="197"/>
      <c r="AR1440" s="197"/>
      <c r="AS1440" s="197"/>
      <c r="AT1440" s="198"/>
      <c r="AU1440" s="197"/>
      <c r="AV1440" s="197"/>
      <c r="AW1440" s="197"/>
      <c r="AX1440" s="197"/>
      <c r="AY1440" s="198"/>
      <c r="AZ1440" s="197"/>
      <c r="BA1440" s="197"/>
      <c r="BB1440" s="197"/>
      <c r="BC1440" s="197"/>
      <c r="BD1440" s="198"/>
      <c r="BE1440" s="197"/>
      <c r="BF1440" s="197"/>
      <c r="BG1440" s="197"/>
      <c r="BH1440" s="197"/>
      <c r="BI1440" s="198"/>
      <c r="BJ1440" s="197"/>
      <c r="BK1440" s="197"/>
      <c r="BL1440" s="197"/>
      <c r="BM1440" s="197"/>
      <c r="BN1440" s="198"/>
      <c r="BO1440" s="197"/>
      <c r="BP1440" s="197"/>
      <c r="BQ1440" s="197"/>
      <c r="BR1440" s="197"/>
      <c r="BS1440" s="198"/>
      <c r="BT1440" s="727"/>
      <c r="BU1440" s="197"/>
      <c r="BV1440" s="197"/>
      <c r="BW1440" s="197"/>
      <c r="BX1440" s="1094"/>
      <c r="BY1440" s="197"/>
      <c r="BZ1440" s="197"/>
      <c r="CA1440" s="197"/>
      <c r="CB1440" s="197"/>
      <c r="CC1440" s="1094"/>
      <c r="CD1440" s="1094"/>
      <c r="CE1440" s="1094"/>
      <c r="CF1440" s="1094"/>
      <c r="CG1440" s="349"/>
    </row>
    <row r="1441" spans="1:85" s="613" customFormat="1" x14ac:dyDescent="0.3">
      <c r="A1441" s="478" t="s">
        <v>1162</v>
      </c>
      <c r="B1441" s="523"/>
      <c r="C1441" s="78"/>
      <c r="D1441" s="78"/>
      <c r="E1441" s="78"/>
      <c r="F1441" s="78"/>
      <c r="G1441" s="774"/>
      <c r="H1441" s="774"/>
      <c r="I1441" s="774"/>
      <c r="J1441" s="774"/>
      <c r="K1441" s="78"/>
      <c r="L1441" s="774"/>
      <c r="M1441" s="774"/>
      <c r="N1441" s="774"/>
      <c r="O1441" s="774"/>
      <c r="P1441" s="78"/>
      <c r="Q1441" s="774"/>
      <c r="R1441" s="774"/>
      <c r="S1441" s="774"/>
      <c r="T1441" s="774"/>
      <c r="U1441" s="78"/>
      <c r="V1441" s="774"/>
      <c r="W1441" s="774"/>
      <c r="X1441" s="774"/>
      <c r="Y1441" s="774"/>
      <c r="Z1441" s="78"/>
      <c r="AA1441" s="774"/>
      <c r="AB1441" s="774"/>
      <c r="AC1441" s="774"/>
      <c r="AD1441" s="774"/>
      <c r="AE1441" s="78"/>
      <c r="AF1441" s="774"/>
      <c r="AG1441" s="774"/>
      <c r="AH1441" s="774"/>
      <c r="AI1441" s="774"/>
      <c r="AJ1441" s="78"/>
      <c r="AK1441" s="774"/>
      <c r="AL1441" s="774"/>
      <c r="AM1441" s="774"/>
      <c r="AN1441" s="774"/>
      <c r="AO1441" s="78"/>
      <c r="AP1441" s="774"/>
      <c r="AQ1441" s="774"/>
      <c r="AR1441" s="774"/>
      <c r="AS1441" s="774"/>
      <c r="AT1441" s="78"/>
      <c r="AU1441" s="774"/>
      <c r="AV1441" s="774"/>
      <c r="AW1441" s="774"/>
      <c r="AX1441" s="774"/>
      <c r="AY1441" s="78"/>
      <c r="AZ1441" s="774"/>
      <c r="BA1441" s="774"/>
      <c r="BB1441" s="774"/>
      <c r="BC1441" s="774"/>
      <c r="BD1441" s="1119">
        <v>5.4</v>
      </c>
      <c r="BE1441" s="774"/>
      <c r="BF1441" s="774"/>
      <c r="BG1441" s="774"/>
      <c r="BH1441" s="774"/>
      <c r="BI1441" s="1119">
        <v>5.4</v>
      </c>
      <c r="BJ1441" s="774"/>
      <c r="BK1441" s="774"/>
      <c r="BL1441" s="774"/>
      <c r="BM1441" s="774"/>
      <c r="BN1441" s="1119">
        <v>5.4</v>
      </c>
      <c r="BO1441" s="774"/>
      <c r="BP1441" s="774"/>
      <c r="BQ1441" s="774"/>
      <c r="BR1441" s="774"/>
      <c r="BS1441" s="78"/>
      <c r="BT1441" s="775"/>
      <c r="BU1441" s="774"/>
      <c r="BV1441" s="774"/>
      <c r="BW1441" s="774"/>
      <c r="BX1441" s="78"/>
      <c r="BY1441" s="774"/>
      <c r="BZ1441" s="774"/>
      <c r="CA1441" s="774"/>
      <c r="CB1441" s="774"/>
      <c r="CC1441" s="78"/>
      <c r="CD1441" s="78"/>
      <c r="CE1441" s="78"/>
      <c r="CF1441" s="78"/>
      <c r="CG1441" s="532"/>
    </row>
    <row r="1442" spans="1:85" s="616" customFormat="1" x14ac:dyDescent="0.3">
      <c r="A1442" s="522" t="s">
        <v>1161</v>
      </c>
      <c r="B1442" s="527"/>
      <c r="C1442" s="1124"/>
      <c r="D1442" s="1124"/>
      <c r="E1442" s="1124"/>
      <c r="F1442" s="1124"/>
      <c r="G1442" s="526"/>
      <c r="H1442" s="526"/>
      <c r="I1442" s="526"/>
      <c r="J1442" s="526"/>
      <c r="K1442" s="1124"/>
      <c r="L1442" s="526"/>
      <c r="M1442" s="526"/>
      <c r="N1442" s="526"/>
      <c r="O1442" s="526"/>
      <c r="P1442" s="1124"/>
      <c r="Q1442" s="526"/>
      <c r="R1442" s="526"/>
      <c r="S1442" s="526"/>
      <c r="T1442" s="526"/>
      <c r="U1442" s="1124"/>
      <c r="V1442" s="526"/>
      <c r="W1442" s="526"/>
      <c r="X1442" s="526"/>
      <c r="Y1442" s="526"/>
      <c r="Z1442" s="1124"/>
      <c r="AA1442" s="526"/>
      <c r="AB1442" s="526"/>
      <c r="AC1442" s="526"/>
      <c r="AD1442" s="526"/>
      <c r="AE1442" s="1124"/>
      <c r="AF1442" s="526"/>
      <c r="AG1442" s="526"/>
      <c r="AH1442" s="526"/>
      <c r="AI1442" s="526"/>
      <c r="AJ1442" s="1124"/>
      <c r="AK1442" s="526"/>
      <c r="AL1442" s="526"/>
      <c r="AM1442" s="526"/>
      <c r="AN1442" s="526"/>
      <c r="AO1442" s="1124"/>
      <c r="AP1442" s="526"/>
      <c r="AQ1442" s="526"/>
      <c r="AR1442" s="526"/>
      <c r="AS1442" s="526"/>
      <c r="AT1442" s="1124"/>
      <c r="AU1442" s="526"/>
      <c r="AV1442" s="526"/>
      <c r="AW1442" s="526"/>
      <c r="AX1442" s="526"/>
      <c r="AY1442" s="1124"/>
      <c r="AZ1442" s="526"/>
      <c r="BA1442" s="526"/>
      <c r="BB1442" s="526"/>
      <c r="BC1442" s="526"/>
      <c r="BD1442" s="1123">
        <v>192.91</v>
      </c>
      <c r="BE1442" s="526"/>
      <c r="BF1442" s="526"/>
      <c r="BG1442" s="526"/>
      <c r="BH1442" s="526"/>
      <c r="BI1442" s="1123">
        <v>192.91</v>
      </c>
      <c r="BJ1442" s="526"/>
      <c r="BK1442" s="526"/>
      <c r="BL1442" s="526"/>
      <c r="BM1442" s="526"/>
      <c r="BN1442" s="1123">
        <v>192.91</v>
      </c>
      <c r="BO1442" s="526"/>
      <c r="BP1442" s="526"/>
      <c r="BQ1442" s="526"/>
      <c r="BR1442" s="526"/>
      <c r="BS1442" s="1124"/>
      <c r="BT1442" s="729"/>
      <c r="BU1442" s="526"/>
      <c r="BV1442" s="526"/>
      <c r="BW1442" s="526"/>
      <c r="BX1442" s="1124"/>
      <c r="BY1442" s="526"/>
      <c r="BZ1442" s="526"/>
      <c r="CA1442" s="526"/>
      <c r="CB1442" s="526"/>
      <c r="CC1442" s="1124"/>
      <c r="CD1442" s="1124"/>
      <c r="CE1442" s="1124"/>
      <c r="CF1442" s="1124"/>
      <c r="CG1442" s="533"/>
    </row>
    <row r="1443" spans="1:85" s="614" customFormat="1" x14ac:dyDescent="0.3">
      <c r="A1443" s="522"/>
      <c r="B1443" s="352"/>
      <c r="C1443" s="1094"/>
      <c r="D1443" s="1094"/>
      <c r="E1443" s="1094"/>
      <c r="F1443" s="1094"/>
      <c r="G1443" s="197"/>
      <c r="H1443" s="197"/>
      <c r="I1443" s="197"/>
      <c r="J1443" s="197"/>
      <c r="K1443" s="1094"/>
      <c r="L1443" s="197"/>
      <c r="M1443" s="197"/>
      <c r="N1443" s="197"/>
      <c r="O1443" s="197"/>
      <c r="P1443" s="1094"/>
      <c r="Q1443" s="197"/>
      <c r="R1443" s="197"/>
      <c r="S1443" s="197"/>
      <c r="T1443" s="197"/>
      <c r="U1443" s="1094"/>
      <c r="V1443" s="197"/>
      <c r="W1443" s="197"/>
      <c r="X1443" s="197"/>
      <c r="Y1443" s="197"/>
      <c r="Z1443" s="1094"/>
      <c r="AA1443" s="197"/>
      <c r="AB1443" s="197"/>
      <c r="AC1443" s="197"/>
      <c r="AD1443" s="197"/>
      <c r="AE1443" s="1094"/>
      <c r="AF1443" s="197"/>
      <c r="AG1443" s="197"/>
      <c r="AH1443" s="197"/>
      <c r="AI1443" s="197"/>
      <c r="AJ1443" s="1094"/>
      <c r="AK1443" s="197"/>
      <c r="AL1443" s="197"/>
      <c r="AM1443" s="197"/>
      <c r="AN1443" s="197"/>
      <c r="AO1443" s="1094"/>
      <c r="AP1443" s="197"/>
      <c r="AQ1443" s="197"/>
      <c r="AR1443" s="197"/>
      <c r="AS1443" s="197"/>
      <c r="AT1443" s="198"/>
      <c r="AU1443" s="197"/>
      <c r="AV1443" s="197"/>
      <c r="AW1443" s="197"/>
      <c r="AX1443" s="197"/>
      <c r="AY1443" s="198"/>
      <c r="AZ1443" s="197"/>
      <c r="BA1443" s="197"/>
      <c r="BB1443" s="197"/>
      <c r="BC1443" s="197"/>
      <c r="BD1443" s="198"/>
      <c r="BE1443" s="197"/>
      <c r="BF1443" s="197"/>
      <c r="BG1443" s="197"/>
      <c r="BH1443" s="197"/>
      <c r="BI1443" s="198"/>
      <c r="BJ1443" s="197"/>
      <c r="BK1443" s="197"/>
      <c r="BL1443" s="197"/>
      <c r="BM1443" s="197"/>
      <c r="BN1443" s="198"/>
      <c r="BO1443" s="197"/>
      <c r="BP1443" s="197"/>
      <c r="BQ1443" s="197"/>
      <c r="BR1443" s="197"/>
      <c r="BS1443" s="198"/>
      <c r="BT1443" s="727"/>
      <c r="BU1443" s="197"/>
      <c r="BV1443" s="197"/>
      <c r="BW1443" s="197"/>
      <c r="BX1443" s="1094"/>
      <c r="BY1443" s="197"/>
      <c r="BZ1443" s="197"/>
      <c r="CA1443" s="197"/>
      <c r="CB1443" s="197"/>
      <c r="CC1443" s="1094"/>
      <c r="CD1443" s="1094"/>
      <c r="CE1443" s="1094"/>
      <c r="CF1443" s="1094"/>
      <c r="CG1443" s="349"/>
    </row>
    <row r="1444" spans="1:85" s="613" customFormat="1" x14ac:dyDescent="0.3">
      <c r="A1444" s="478" t="s">
        <v>1160</v>
      </c>
      <c r="B1444" s="523"/>
      <c r="C1444" s="78"/>
      <c r="D1444" s="78"/>
      <c r="E1444" s="78"/>
      <c r="F1444" s="78"/>
      <c r="G1444" s="774"/>
      <c r="H1444" s="774"/>
      <c r="I1444" s="774"/>
      <c r="J1444" s="774"/>
      <c r="K1444" s="78"/>
      <c r="L1444" s="774"/>
      <c r="M1444" s="774"/>
      <c r="N1444" s="774"/>
      <c r="O1444" s="774"/>
      <c r="P1444" s="78"/>
      <c r="Q1444" s="774"/>
      <c r="R1444" s="774"/>
      <c r="S1444" s="774"/>
      <c r="T1444" s="774"/>
      <c r="U1444" s="78"/>
      <c r="V1444" s="774"/>
      <c r="W1444" s="774"/>
      <c r="X1444" s="774"/>
      <c r="Y1444" s="774"/>
      <c r="Z1444" s="78"/>
      <c r="AA1444" s="774"/>
      <c r="AB1444" s="774"/>
      <c r="AC1444" s="774"/>
      <c r="AD1444" s="774"/>
      <c r="AE1444" s="78"/>
      <c r="AF1444" s="774"/>
      <c r="AG1444" s="774"/>
      <c r="AH1444" s="774"/>
      <c r="AI1444" s="774"/>
      <c r="AJ1444" s="78"/>
      <c r="AK1444" s="774"/>
      <c r="AL1444" s="774"/>
      <c r="AM1444" s="774"/>
      <c r="AN1444" s="774"/>
      <c r="AO1444" s="78"/>
      <c r="AP1444" s="774"/>
      <c r="AQ1444" s="774"/>
      <c r="AR1444" s="774"/>
      <c r="AS1444" s="774"/>
      <c r="AT1444" s="78"/>
      <c r="AU1444" s="774"/>
      <c r="AV1444" s="774"/>
      <c r="AW1444" s="774"/>
      <c r="AX1444" s="774"/>
      <c r="AY1444" s="78"/>
      <c r="AZ1444" s="774"/>
      <c r="BA1444" s="774"/>
      <c r="BB1444" s="774"/>
      <c r="BC1444" s="774"/>
      <c r="BD1444" s="1119">
        <v>5.7889999999999997</v>
      </c>
      <c r="BE1444" s="774"/>
      <c r="BF1444" s="774"/>
      <c r="BG1444" s="774"/>
      <c r="BH1444" s="774"/>
      <c r="BI1444" s="1119">
        <v>5.7889999999999997</v>
      </c>
      <c r="BJ1444" s="774"/>
      <c r="BK1444" s="774"/>
      <c r="BL1444" s="774"/>
      <c r="BM1444" s="774"/>
      <c r="BN1444" s="1119">
        <v>5.7889999999999997</v>
      </c>
      <c r="BO1444" s="774"/>
      <c r="BP1444" s="774"/>
      <c r="BQ1444" s="774"/>
      <c r="BR1444" s="774"/>
      <c r="BS1444" s="78"/>
      <c r="BT1444" s="775"/>
      <c r="BU1444" s="774"/>
      <c r="BV1444" s="774"/>
      <c r="BW1444" s="774"/>
      <c r="BX1444" s="78"/>
      <c r="BY1444" s="774"/>
      <c r="BZ1444" s="774"/>
      <c r="CA1444" s="774"/>
      <c r="CB1444" s="774"/>
      <c r="CC1444" s="78"/>
      <c r="CD1444" s="78"/>
      <c r="CE1444" s="78"/>
      <c r="CF1444" s="78"/>
      <c r="CG1444" s="532"/>
    </row>
    <row r="1445" spans="1:85" s="616" customFormat="1" x14ac:dyDescent="0.3">
      <c r="A1445" s="522" t="s">
        <v>1159</v>
      </c>
      <c r="B1445" s="527"/>
      <c r="C1445" s="1124"/>
      <c r="D1445" s="1124"/>
      <c r="E1445" s="1124"/>
      <c r="F1445" s="1124"/>
      <c r="G1445" s="526"/>
      <c r="H1445" s="526"/>
      <c r="I1445" s="526"/>
      <c r="J1445" s="526"/>
      <c r="K1445" s="1124"/>
      <c r="L1445" s="526"/>
      <c r="M1445" s="526"/>
      <c r="N1445" s="526"/>
      <c r="O1445" s="526"/>
      <c r="P1445" s="1124"/>
      <c r="Q1445" s="526"/>
      <c r="R1445" s="526"/>
      <c r="S1445" s="526"/>
      <c r="T1445" s="526"/>
      <c r="U1445" s="1124"/>
      <c r="V1445" s="526"/>
      <c r="W1445" s="526"/>
      <c r="X1445" s="526"/>
      <c r="Y1445" s="526"/>
      <c r="Z1445" s="1124"/>
      <c r="AA1445" s="526"/>
      <c r="AB1445" s="526"/>
      <c r="AC1445" s="526"/>
      <c r="AD1445" s="526"/>
      <c r="AE1445" s="1124"/>
      <c r="AF1445" s="526"/>
      <c r="AG1445" s="526"/>
      <c r="AH1445" s="526"/>
      <c r="AI1445" s="526"/>
      <c r="AJ1445" s="1124"/>
      <c r="AK1445" s="526"/>
      <c r="AL1445" s="526"/>
      <c r="AM1445" s="526"/>
      <c r="AN1445" s="526"/>
      <c r="AO1445" s="1124"/>
      <c r="AP1445" s="526"/>
      <c r="AQ1445" s="526"/>
      <c r="AR1445" s="526"/>
      <c r="AS1445" s="526"/>
      <c r="AT1445" s="1124"/>
      <c r="AU1445" s="526"/>
      <c r="AV1445" s="526"/>
      <c r="AW1445" s="526"/>
      <c r="AX1445" s="526"/>
      <c r="AY1445" s="1124"/>
      <c r="AZ1445" s="526"/>
      <c r="BA1445" s="526"/>
      <c r="BB1445" s="526"/>
      <c r="BC1445" s="526"/>
      <c r="BD1445" s="1123">
        <v>179.95</v>
      </c>
      <c r="BE1445" s="526"/>
      <c r="BF1445" s="526"/>
      <c r="BG1445" s="526"/>
      <c r="BH1445" s="526"/>
      <c r="BI1445" s="1123">
        <v>179.95</v>
      </c>
      <c r="BJ1445" s="526"/>
      <c r="BK1445" s="526"/>
      <c r="BL1445" s="526"/>
      <c r="BM1445" s="526"/>
      <c r="BN1445" s="1123">
        <v>179.95</v>
      </c>
      <c r="BO1445" s="526"/>
      <c r="BP1445" s="526"/>
      <c r="BQ1445" s="526"/>
      <c r="BR1445" s="526"/>
      <c r="BS1445" s="1124"/>
      <c r="BT1445" s="729"/>
      <c r="BU1445" s="526"/>
      <c r="BV1445" s="526"/>
      <c r="BW1445" s="526"/>
      <c r="BX1445" s="1124"/>
      <c r="BY1445" s="526"/>
      <c r="BZ1445" s="526"/>
      <c r="CA1445" s="526"/>
      <c r="CB1445" s="526"/>
      <c r="CC1445" s="1124"/>
      <c r="CD1445" s="1124"/>
      <c r="CE1445" s="1124"/>
      <c r="CF1445" s="1124"/>
      <c r="CG1445" s="533"/>
    </row>
    <row r="1446" spans="1:85" s="614" customFormat="1" x14ac:dyDescent="0.3">
      <c r="A1446" s="522"/>
      <c r="B1446" s="352"/>
      <c r="C1446" s="1094"/>
      <c r="D1446" s="1094"/>
      <c r="E1446" s="1094"/>
      <c r="F1446" s="1094"/>
      <c r="G1446" s="197"/>
      <c r="H1446" s="197"/>
      <c r="I1446" s="197"/>
      <c r="J1446" s="197"/>
      <c r="K1446" s="1094"/>
      <c r="L1446" s="197"/>
      <c r="M1446" s="197"/>
      <c r="N1446" s="197"/>
      <c r="O1446" s="197"/>
      <c r="P1446" s="1094"/>
      <c r="Q1446" s="197"/>
      <c r="R1446" s="197"/>
      <c r="S1446" s="197"/>
      <c r="T1446" s="197"/>
      <c r="U1446" s="1094"/>
      <c r="V1446" s="197"/>
      <c r="W1446" s="197"/>
      <c r="X1446" s="197"/>
      <c r="Y1446" s="197"/>
      <c r="Z1446" s="1094"/>
      <c r="AA1446" s="197"/>
      <c r="AB1446" s="197"/>
      <c r="AC1446" s="197"/>
      <c r="AD1446" s="197"/>
      <c r="AE1446" s="1094"/>
      <c r="AF1446" s="197"/>
      <c r="AG1446" s="197"/>
      <c r="AH1446" s="197"/>
      <c r="AI1446" s="197"/>
      <c r="AJ1446" s="1094"/>
      <c r="AK1446" s="197"/>
      <c r="AL1446" s="197"/>
      <c r="AM1446" s="197"/>
      <c r="AN1446" s="197"/>
      <c r="AO1446" s="1094"/>
      <c r="AP1446" s="197"/>
      <c r="AQ1446" s="197"/>
      <c r="AR1446" s="197"/>
      <c r="AS1446" s="197"/>
      <c r="AT1446" s="198"/>
      <c r="AU1446" s="197"/>
      <c r="AV1446" s="197"/>
      <c r="AW1446" s="197"/>
      <c r="AX1446" s="197"/>
      <c r="AY1446" s="198"/>
      <c r="AZ1446" s="197"/>
      <c r="BA1446" s="197"/>
      <c r="BB1446" s="197"/>
      <c r="BC1446" s="197"/>
      <c r="BD1446" s="198"/>
      <c r="BE1446" s="197"/>
      <c r="BF1446" s="197"/>
      <c r="BG1446" s="197"/>
      <c r="BH1446" s="197"/>
      <c r="BI1446" s="198"/>
      <c r="BJ1446" s="197"/>
      <c r="BK1446" s="197"/>
      <c r="BL1446" s="197"/>
      <c r="BM1446" s="197"/>
      <c r="BN1446" s="198"/>
      <c r="BO1446" s="197"/>
      <c r="BP1446" s="197"/>
      <c r="BQ1446" s="197"/>
      <c r="BR1446" s="197"/>
      <c r="BS1446" s="198"/>
      <c r="BT1446" s="727"/>
      <c r="BU1446" s="197"/>
      <c r="BV1446" s="197"/>
      <c r="BW1446" s="197"/>
      <c r="BX1446" s="1094"/>
      <c r="BY1446" s="197"/>
      <c r="BZ1446" s="197"/>
      <c r="CA1446" s="197"/>
      <c r="CB1446" s="197"/>
      <c r="CC1446" s="1094"/>
      <c r="CD1446" s="1094"/>
      <c r="CE1446" s="1094"/>
      <c r="CF1446" s="1094"/>
      <c r="CG1446" s="349"/>
    </row>
    <row r="1447" spans="1:85" s="613" customFormat="1" x14ac:dyDescent="0.3">
      <c r="A1447" s="478" t="s">
        <v>1158</v>
      </c>
      <c r="B1447" s="523"/>
      <c r="C1447" s="78"/>
      <c r="D1447" s="78"/>
      <c r="E1447" s="78"/>
      <c r="F1447" s="78"/>
      <c r="G1447" s="774"/>
      <c r="H1447" s="774"/>
      <c r="I1447" s="774"/>
      <c r="J1447" s="774"/>
      <c r="K1447" s="78"/>
      <c r="L1447" s="774"/>
      <c r="M1447" s="774"/>
      <c r="N1447" s="774"/>
      <c r="O1447" s="774"/>
      <c r="P1447" s="78"/>
      <c r="Q1447" s="774"/>
      <c r="R1447" s="774"/>
      <c r="S1447" s="774"/>
      <c r="T1447" s="774"/>
      <c r="U1447" s="78"/>
      <c r="V1447" s="774"/>
      <c r="W1447" s="774"/>
      <c r="X1447" s="774"/>
      <c r="Y1447" s="774"/>
      <c r="Z1447" s="78"/>
      <c r="AA1447" s="774"/>
      <c r="AB1447" s="774"/>
      <c r="AC1447" s="774"/>
      <c r="AD1447" s="774"/>
      <c r="AE1447" s="78"/>
      <c r="AF1447" s="774"/>
      <c r="AG1447" s="774"/>
      <c r="AH1447" s="774"/>
      <c r="AI1447" s="774"/>
      <c r="AJ1447" s="78"/>
      <c r="AK1447" s="774"/>
      <c r="AL1447" s="774"/>
      <c r="AM1447" s="774"/>
      <c r="AN1447" s="774"/>
      <c r="AO1447" s="78"/>
      <c r="AP1447" s="774"/>
      <c r="AQ1447" s="774"/>
      <c r="AR1447" s="774"/>
      <c r="AS1447" s="774"/>
      <c r="AT1447" s="78"/>
      <c r="AU1447" s="774"/>
      <c r="AV1447" s="774"/>
      <c r="AW1447" s="774"/>
      <c r="AX1447" s="774"/>
      <c r="AY1447" s="78"/>
      <c r="AZ1447" s="774"/>
      <c r="BA1447" s="774"/>
      <c r="BB1447" s="774"/>
      <c r="BC1447" s="774"/>
      <c r="BD1447" s="1119">
        <v>4.6050000000000004</v>
      </c>
      <c r="BE1447" s="774"/>
      <c r="BF1447" s="774"/>
      <c r="BG1447" s="774"/>
      <c r="BH1447" s="774"/>
      <c r="BI1447" s="1119">
        <v>4.6050000000000004</v>
      </c>
      <c r="BJ1447" s="774"/>
      <c r="BK1447" s="774"/>
      <c r="BL1447" s="774"/>
      <c r="BM1447" s="774"/>
      <c r="BN1447" s="1119">
        <v>4.6050000000000004</v>
      </c>
      <c r="BO1447" s="774"/>
      <c r="BP1447" s="774"/>
      <c r="BQ1447" s="774"/>
      <c r="BR1447" s="774"/>
      <c r="BS1447" s="78"/>
      <c r="BT1447" s="775"/>
      <c r="BU1447" s="774"/>
      <c r="BV1447" s="774"/>
      <c r="BW1447" s="774"/>
      <c r="BX1447" s="78"/>
      <c r="BY1447" s="774"/>
      <c r="BZ1447" s="774"/>
      <c r="CA1447" s="774"/>
      <c r="CB1447" s="774"/>
      <c r="CC1447" s="78"/>
      <c r="CD1447" s="78"/>
      <c r="CE1447" s="78"/>
      <c r="CF1447" s="78"/>
      <c r="CG1447" s="532"/>
    </row>
    <row r="1448" spans="1:85" s="616" customFormat="1" x14ac:dyDescent="0.3">
      <c r="A1448" s="522" t="s">
        <v>1157</v>
      </c>
      <c r="B1448" s="527"/>
      <c r="C1448" s="1124"/>
      <c r="D1448" s="1124"/>
      <c r="E1448" s="1124"/>
      <c r="F1448" s="1124"/>
      <c r="G1448" s="526"/>
      <c r="H1448" s="526"/>
      <c r="I1448" s="526"/>
      <c r="J1448" s="526"/>
      <c r="K1448" s="1124"/>
      <c r="L1448" s="526"/>
      <c r="M1448" s="526"/>
      <c r="N1448" s="526"/>
      <c r="O1448" s="526"/>
      <c r="P1448" s="1124"/>
      <c r="Q1448" s="526"/>
      <c r="R1448" s="526"/>
      <c r="S1448" s="526"/>
      <c r="T1448" s="526"/>
      <c r="U1448" s="1124"/>
      <c r="V1448" s="526"/>
      <c r="W1448" s="526"/>
      <c r="X1448" s="526"/>
      <c r="Y1448" s="526"/>
      <c r="Z1448" s="1124"/>
      <c r="AA1448" s="526"/>
      <c r="AB1448" s="526"/>
      <c r="AC1448" s="526"/>
      <c r="AD1448" s="526"/>
      <c r="AE1448" s="1124"/>
      <c r="AF1448" s="526"/>
      <c r="AG1448" s="526"/>
      <c r="AH1448" s="526"/>
      <c r="AI1448" s="526"/>
      <c r="AJ1448" s="1124"/>
      <c r="AK1448" s="526"/>
      <c r="AL1448" s="526"/>
      <c r="AM1448" s="526"/>
      <c r="AN1448" s="526"/>
      <c r="AO1448" s="1124"/>
      <c r="AP1448" s="526"/>
      <c r="AQ1448" s="526"/>
      <c r="AR1448" s="526"/>
      <c r="AS1448" s="526"/>
      <c r="AT1448" s="1124"/>
      <c r="AU1448" s="526"/>
      <c r="AV1448" s="526"/>
      <c r="AW1448" s="526"/>
      <c r="AX1448" s="526"/>
      <c r="AY1448" s="1124"/>
      <c r="AZ1448" s="526"/>
      <c r="BA1448" s="526"/>
      <c r="BB1448" s="526"/>
      <c r="BC1448" s="526"/>
      <c r="BD1448" s="1123">
        <v>226.21</v>
      </c>
      <c r="BE1448" s="526"/>
      <c r="BF1448" s="526"/>
      <c r="BG1448" s="526"/>
      <c r="BH1448" s="526"/>
      <c r="BI1448" s="1123">
        <v>226.21</v>
      </c>
      <c r="BJ1448" s="526"/>
      <c r="BK1448" s="526"/>
      <c r="BL1448" s="526"/>
      <c r="BM1448" s="526"/>
      <c r="BN1448" s="1123">
        <v>226.21</v>
      </c>
      <c r="BO1448" s="526"/>
      <c r="BP1448" s="526"/>
      <c r="BQ1448" s="526"/>
      <c r="BR1448" s="526"/>
      <c r="BS1448" s="1124"/>
      <c r="BT1448" s="729"/>
      <c r="BU1448" s="526"/>
      <c r="BV1448" s="526"/>
      <c r="BW1448" s="526"/>
      <c r="BX1448" s="1124"/>
      <c r="BY1448" s="526"/>
      <c r="BZ1448" s="526"/>
      <c r="CA1448" s="526"/>
      <c r="CB1448" s="526"/>
      <c r="CC1448" s="1124"/>
      <c r="CD1448" s="1124"/>
      <c r="CE1448" s="1124"/>
      <c r="CF1448" s="1124"/>
      <c r="CG1448" s="533"/>
    </row>
    <row r="1449" spans="1:85" s="614" customFormat="1" x14ac:dyDescent="0.3">
      <c r="A1449" s="522"/>
      <c r="B1449" s="352"/>
      <c r="C1449" s="1094"/>
      <c r="D1449" s="1094"/>
      <c r="E1449" s="1094"/>
      <c r="F1449" s="1094"/>
      <c r="G1449" s="197"/>
      <c r="H1449" s="197"/>
      <c r="I1449" s="197"/>
      <c r="J1449" s="197"/>
      <c r="K1449" s="1094"/>
      <c r="L1449" s="197"/>
      <c r="M1449" s="197"/>
      <c r="N1449" s="197"/>
      <c r="O1449" s="197"/>
      <c r="P1449" s="1094"/>
      <c r="Q1449" s="197"/>
      <c r="R1449" s="197"/>
      <c r="S1449" s="197"/>
      <c r="T1449" s="197"/>
      <c r="U1449" s="1094"/>
      <c r="V1449" s="197"/>
      <c r="W1449" s="197"/>
      <c r="X1449" s="197"/>
      <c r="Y1449" s="197"/>
      <c r="Z1449" s="1094"/>
      <c r="AA1449" s="197"/>
      <c r="AB1449" s="197"/>
      <c r="AC1449" s="197"/>
      <c r="AD1449" s="197"/>
      <c r="AE1449" s="1094"/>
      <c r="AF1449" s="197"/>
      <c r="AG1449" s="197"/>
      <c r="AH1449" s="197"/>
      <c r="AI1449" s="197"/>
      <c r="AJ1449" s="1094"/>
      <c r="AK1449" s="197"/>
      <c r="AL1449" s="197"/>
      <c r="AM1449" s="197"/>
      <c r="AN1449" s="197"/>
      <c r="AO1449" s="1094"/>
      <c r="AP1449" s="197"/>
      <c r="AQ1449" s="197"/>
      <c r="AR1449" s="197"/>
      <c r="AS1449" s="197"/>
      <c r="AT1449" s="198"/>
      <c r="AU1449" s="197"/>
      <c r="AV1449" s="197"/>
      <c r="AW1449" s="197"/>
      <c r="AX1449" s="197"/>
      <c r="AY1449" s="198"/>
      <c r="AZ1449" s="197"/>
      <c r="BA1449" s="197"/>
      <c r="BB1449" s="197"/>
      <c r="BC1449" s="197"/>
      <c r="BD1449" s="198"/>
      <c r="BE1449" s="197"/>
      <c r="BF1449" s="197"/>
      <c r="BG1449" s="197"/>
      <c r="BH1449" s="197"/>
      <c r="BI1449" s="198"/>
      <c r="BJ1449" s="197"/>
      <c r="BK1449" s="197"/>
      <c r="BL1449" s="197"/>
      <c r="BM1449" s="197"/>
      <c r="BN1449" s="198"/>
      <c r="BO1449" s="197"/>
      <c r="BP1449" s="197"/>
      <c r="BQ1449" s="197"/>
      <c r="BR1449" s="197"/>
      <c r="BS1449" s="198"/>
      <c r="BT1449" s="727"/>
      <c r="BU1449" s="197"/>
      <c r="BV1449" s="197"/>
      <c r="BW1449" s="197"/>
      <c r="BX1449" s="1094"/>
      <c r="BY1449" s="197"/>
      <c r="BZ1449" s="197"/>
      <c r="CA1449" s="197"/>
      <c r="CB1449" s="197"/>
      <c r="CC1449" s="1094"/>
      <c r="CD1449" s="1094"/>
      <c r="CE1449" s="1094"/>
      <c r="CF1449" s="1094"/>
      <c r="CG1449" s="349"/>
    </row>
    <row r="1450" spans="1:85" s="613" customFormat="1" x14ac:dyDescent="0.3">
      <c r="A1450" s="478" t="s">
        <v>1156</v>
      </c>
      <c r="B1450" s="523"/>
      <c r="C1450" s="78"/>
      <c r="D1450" s="78"/>
      <c r="E1450" s="78"/>
      <c r="F1450" s="78"/>
      <c r="G1450" s="774"/>
      <c r="H1450" s="774"/>
      <c r="I1450" s="774"/>
      <c r="J1450" s="774"/>
      <c r="K1450" s="78"/>
      <c r="L1450" s="774"/>
      <c r="M1450" s="774"/>
      <c r="N1450" s="774"/>
      <c r="O1450" s="774"/>
      <c r="P1450" s="78"/>
      <c r="Q1450" s="774"/>
      <c r="R1450" s="774"/>
      <c r="S1450" s="774"/>
      <c r="T1450" s="774"/>
      <c r="U1450" s="78"/>
      <c r="V1450" s="774"/>
      <c r="W1450" s="774"/>
      <c r="X1450" s="774"/>
      <c r="Y1450" s="774"/>
      <c r="Z1450" s="78"/>
      <c r="AA1450" s="774"/>
      <c r="AB1450" s="774"/>
      <c r="AC1450" s="774"/>
      <c r="AD1450" s="774"/>
      <c r="AE1450" s="78"/>
      <c r="AF1450" s="774"/>
      <c r="AG1450" s="774"/>
      <c r="AH1450" s="774"/>
      <c r="AI1450" s="774"/>
      <c r="AJ1450" s="78"/>
      <c r="AK1450" s="774"/>
      <c r="AL1450" s="774"/>
      <c r="AM1450" s="774"/>
      <c r="AN1450" s="774"/>
      <c r="AO1450" s="78"/>
      <c r="AP1450" s="774"/>
      <c r="AQ1450" s="774"/>
      <c r="AR1450" s="774"/>
      <c r="AS1450" s="774"/>
      <c r="AT1450" s="78"/>
      <c r="AU1450" s="774"/>
      <c r="AV1450" s="774"/>
      <c r="AW1450" s="774"/>
      <c r="AX1450" s="774"/>
      <c r="AY1450" s="78"/>
      <c r="AZ1450" s="774"/>
      <c r="BA1450" s="774"/>
      <c r="BB1450" s="774"/>
      <c r="BC1450" s="774"/>
      <c r="BD1450" s="1119">
        <v>4.5279999999999996</v>
      </c>
      <c r="BE1450" s="774"/>
      <c r="BF1450" s="774"/>
      <c r="BG1450" s="774"/>
      <c r="BH1450" s="774"/>
      <c r="BI1450" s="1119">
        <v>4.5279999999999996</v>
      </c>
      <c r="BJ1450" s="774"/>
      <c r="BK1450" s="774"/>
      <c r="BL1450" s="774"/>
      <c r="BM1450" s="774"/>
      <c r="BN1450" s="1119">
        <v>4.5279999999999996</v>
      </c>
      <c r="BO1450" s="774"/>
      <c r="BP1450" s="774"/>
      <c r="BQ1450" s="774"/>
      <c r="BR1450" s="774"/>
      <c r="BS1450" s="78"/>
      <c r="BT1450" s="775"/>
      <c r="BU1450" s="774"/>
      <c r="BV1450" s="774"/>
      <c r="BW1450" s="774"/>
      <c r="BX1450" s="78"/>
      <c r="BY1450" s="774"/>
      <c r="BZ1450" s="774"/>
      <c r="CA1450" s="774"/>
      <c r="CB1450" s="774"/>
      <c r="CC1450" s="78"/>
      <c r="CD1450" s="78"/>
      <c r="CE1450" s="78"/>
      <c r="CF1450" s="78"/>
      <c r="CG1450" s="532"/>
    </row>
    <row r="1451" spans="1:85" s="616" customFormat="1" x14ac:dyDescent="0.3">
      <c r="A1451" s="522" t="s">
        <v>1155</v>
      </c>
      <c r="B1451" s="527"/>
      <c r="C1451" s="1124"/>
      <c r="D1451" s="1124"/>
      <c r="E1451" s="1124"/>
      <c r="F1451" s="1124"/>
      <c r="G1451" s="526"/>
      <c r="H1451" s="526"/>
      <c r="I1451" s="526"/>
      <c r="J1451" s="526"/>
      <c r="K1451" s="1124"/>
      <c r="L1451" s="526"/>
      <c r="M1451" s="526"/>
      <c r="N1451" s="526"/>
      <c r="O1451" s="526"/>
      <c r="P1451" s="1124"/>
      <c r="Q1451" s="526"/>
      <c r="R1451" s="526"/>
      <c r="S1451" s="526"/>
      <c r="T1451" s="526"/>
      <c r="U1451" s="1124"/>
      <c r="V1451" s="526"/>
      <c r="W1451" s="526"/>
      <c r="X1451" s="526"/>
      <c r="Y1451" s="526"/>
      <c r="Z1451" s="1124"/>
      <c r="AA1451" s="526"/>
      <c r="AB1451" s="526"/>
      <c r="AC1451" s="526"/>
      <c r="AD1451" s="526"/>
      <c r="AE1451" s="1124"/>
      <c r="AF1451" s="526"/>
      <c r="AG1451" s="526"/>
      <c r="AH1451" s="526"/>
      <c r="AI1451" s="526"/>
      <c r="AJ1451" s="1124"/>
      <c r="AK1451" s="526"/>
      <c r="AL1451" s="526"/>
      <c r="AM1451" s="526"/>
      <c r="AN1451" s="526"/>
      <c r="AO1451" s="1124"/>
      <c r="AP1451" s="526"/>
      <c r="AQ1451" s="526"/>
      <c r="AR1451" s="526"/>
      <c r="AS1451" s="526"/>
      <c r="AT1451" s="1124"/>
      <c r="AU1451" s="526"/>
      <c r="AV1451" s="526"/>
      <c r="AW1451" s="526"/>
      <c r="AX1451" s="526"/>
      <c r="AY1451" s="1124"/>
      <c r="AZ1451" s="526"/>
      <c r="BA1451" s="526"/>
      <c r="BB1451" s="526"/>
      <c r="BC1451" s="526"/>
      <c r="BD1451" s="1123">
        <v>230.04</v>
      </c>
      <c r="BE1451" s="526"/>
      <c r="BF1451" s="526"/>
      <c r="BG1451" s="526"/>
      <c r="BH1451" s="526"/>
      <c r="BI1451" s="1123">
        <v>230.04</v>
      </c>
      <c r="BJ1451" s="526"/>
      <c r="BK1451" s="526"/>
      <c r="BL1451" s="526"/>
      <c r="BM1451" s="526"/>
      <c r="BN1451" s="1123">
        <v>230.04</v>
      </c>
      <c r="BO1451" s="526"/>
      <c r="BP1451" s="526"/>
      <c r="BQ1451" s="526"/>
      <c r="BR1451" s="526"/>
      <c r="BS1451" s="1124"/>
      <c r="BT1451" s="729"/>
      <c r="BU1451" s="526"/>
      <c r="BV1451" s="526"/>
      <c r="BW1451" s="526"/>
      <c r="BX1451" s="1124"/>
      <c r="BY1451" s="526"/>
      <c r="BZ1451" s="526"/>
      <c r="CA1451" s="526"/>
      <c r="CB1451" s="526"/>
      <c r="CC1451" s="1124"/>
      <c r="CD1451" s="1124"/>
      <c r="CE1451" s="1124"/>
      <c r="CF1451" s="1124"/>
      <c r="CG1451" s="533"/>
    </row>
    <row r="1452" spans="1:85" s="614" customFormat="1" x14ac:dyDescent="0.3">
      <c r="A1452" s="522"/>
      <c r="B1452" s="352"/>
      <c r="C1452" s="1094"/>
      <c r="D1452" s="1094"/>
      <c r="E1452" s="1094"/>
      <c r="F1452" s="1094"/>
      <c r="G1452" s="197"/>
      <c r="H1452" s="197"/>
      <c r="I1452" s="197"/>
      <c r="J1452" s="197"/>
      <c r="K1452" s="1094"/>
      <c r="L1452" s="197"/>
      <c r="M1452" s="197"/>
      <c r="N1452" s="197"/>
      <c r="O1452" s="197"/>
      <c r="P1452" s="1094"/>
      <c r="Q1452" s="197"/>
      <c r="R1452" s="197"/>
      <c r="S1452" s="197"/>
      <c r="T1452" s="197"/>
      <c r="U1452" s="1094"/>
      <c r="V1452" s="197"/>
      <c r="W1452" s="197"/>
      <c r="X1452" s="197"/>
      <c r="Y1452" s="197"/>
      <c r="Z1452" s="1094"/>
      <c r="AA1452" s="197"/>
      <c r="AB1452" s="197"/>
      <c r="AC1452" s="197"/>
      <c r="AD1452" s="197"/>
      <c r="AE1452" s="1094"/>
      <c r="AF1452" s="197"/>
      <c r="AG1452" s="197"/>
      <c r="AH1452" s="197"/>
      <c r="AI1452" s="197"/>
      <c r="AJ1452" s="1094"/>
      <c r="AK1452" s="197"/>
      <c r="AL1452" s="197"/>
      <c r="AM1452" s="197"/>
      <c r="AN1452" s="197"/>
      <c r="AO1452" s="1094"/>
      <c r="AP1452" s="197"/>
      <c r="AQ1452" s="197"/>
      <c r="AR1452" s="197"/>
      <c r="AS1452" s="197"/>
      <c r="AT1452" s="198"/>
      <c r="AU1452" s="197"/>
      <c r="AV1452" s="197"/>
      <c r="AW1452" s="197"/>
      <c r="AX1452" s="197"/>
      <c r="AY1452" s="198"/>
      <c r="AZ1452" s="197"/>
      <c r="BA1452" s="197"/>
      <c r="BB1452" s="197"/>
      <c r="BC1452" s="197"/>
      <c r="BD1452" s="198"/>
      <c r="BE1452" s="197"/>
      <c r="BF1452" s="197"/>
      <c r="BG1452" s="197"/>
      <c r="BH1452" s="197"/>
      <c r="BI1452" s="198"/>
      <c r="BJ1452" s="197"/>
      <c r="BK1452" s="197"/>
      <c r="BL1452" s="197"/>
      <c r="BM1452" s="197"/>
      <c r="BN1452" s="198"/>
      <c r="BO1452" s="197"/>
      <c r="BP1452" s="197"/>
      <c r="BQ1452" s="197"/>
      <c r="BR1452" s="197"/>
      <c r="BS1452" s="198"/>
      <c r="BT1452" s="727"/>
      <c r="BU1452" s="197"/>
      <c r="BV1452" s="197"/>
      <c r="BW1452" s="197"/>
      <c r="BX1452" s="1094"/>
      <c r="BY1452" s="197"/>
      <c r="BZ1452" s="197"/>
      <c r="CA1452" s="197"/>
      <c r="CB1452" s="197"/>
      <c r="CC1452" s="1094"/>
      <c r="CD1452" s="1094"/>
      <c r="CE1452" s="1094"/>
      <c r="CF1452" s="1094"/>
      <c r="CG1452" s="349"/>
    </row>
    <row r="1453" spans="1:85" s="613" customFormat="1" x14ac:dyDescent="0.3">
      <c r="A1453" s="478" t="s">
        <v>1154</v>
      </c>
      <c r="B1453" s="523"/>
      <c r="C1453" s="78"/>
      <c r="D1453" s="78"/>
      <c r="E1453" s="78"/>
      <c r="F1453" s="78"/>
      <c r="G1453" s="774"/>
      <c r="H1453" s="774"/>
      <c r="I1453" s="774"/>
      <c r="J1453" s="774"/>
      <c r="K1453" s="78"/>
      <c r="L1453" s="774"/>
      <c r="M1453" s="774"/>
      <c r="N1453" s="774"/>
      <c r="O1453" s="774"/>
      <c r="P1453" s="78"/>
      <c r="Q1453" s="774"/>
      <c r="R1453" s="774"/>
      <c r="S1453" s="774"/>
      <c r="T1453" s="774"/>
      <c r="U1453" s="78"/>
      <c r="V1453" s="774"/>
      <c r="W1453" s="774"/>
      <c r="X1453" s="774"/>
      <c r="Y1453" s="774"/>
      <c r="Z1453" s="78"/>
      <c r="AA1453" s="774"/>
      <c r="AB1453" s="774"/>
      <c r="AC1453" s="774"/>
      <c r="AD1453" s="774"/>
      <c r="AE1453" s="78"/>
      <c r="AF1453" s="774"/>
      <c r="AG1453" s="774"/>
      <c r="AH1453" s="774"/>
      <c r="AI1453" s="774"/>
      <c r="AJ1453" s="78"/>
      <c r="AK1453" s="774"/>
      <c r="AL1453" s="774"/>
      <c r="AM1453" s="774"/>
      <c r="AN1453" s="774"/>
      <c r="AO1453" s="78"/>
      <c r="AP1453" s="774"/>
      <c r="AQ1453" s="774"/>
      <c r="AR1453" s="774"/>
      <c r="AS1453" s="774"/>
      <c r="AT1453" s="78"/>
      <c r="AU1453" s="774"/>
      <c r="AV1453" s="774"/>
      <c r="AW1453" s="774"/>
      <c r="AX1453" s="774"/>
      <c r="AY1453" s="78"/>
      <c r="AZ1453" s="774"/>
      <c r="BA1453" s="774"/>
      <c r="BB1453" s="774"/>
      <c r="BC1453" s="774"/>
      <c r="BD1453" s="1119">
        <v>4.3579999999999997</v>
      </c>
      <c r="BE1453" s="774"/>
      <c r="BF1453" s="774"/>
      <c r="BG1453" s="774"/>
      <c r="BH1453" s="774"/>
      <c r="BI1453" s="1119">
        <v>4.3579999999999997</v>
      </c>
      <c r="BJ1453" s="774"/>
      <c r="BK1453" s="774"/>
      <c r="BL1453" s="774"/>
      <c r="BM1453" s="774"/>
      <c r="BN1453" s="1119">
        <v>4.3579999999999997</v>
      </c>
      <c r="BO1453" s="774"/>
      <c r="BP1453" s="774"/>
      <c r="BQ1453" s="774"/>
      <c r="BR1453" s="774"/>
      <c r="BS1453" s="78"/>
      <c r="BT1453" s="775"/>
      <c r="BU1453" s="774"/>
      <c r="BV1453" s="774"/>
      <c r="BW1453" s="774"/>
      <c r="BX1453" s="78"/>
      <c r="BY1453" s="774"/>
      <c r="BZ1453" s="774"/>
      <c r="CA1453" s="774"/>
      <c r="CB1453" s="774"/>
      <c r="CC1453" s="78"/>
      <c r="CD1453" s="78"/>
      <c r="CE1453" s="78"/>
      <c r="CF1453" s="78"/>
      <c r="CG1453" s="532"/>
    </row>
    <row r="1454" spans="1:85" s="616" customFormat="1" x14ac:dyDescent="0.3">
      <c r="A1454" s="522" t="s">
        <v>1153</v>
      </c>
      <c r="B1454" s="527"/>
      <c r="C1454" s="1124"/>
      <c r="D1454" s="1124"/>
      <c r="E1454" s="1124"/>
      <c r="F1454" s="1124"/>
      <c r="G1454" s="526"/>
      <c r="H1454" s="526"/>
      <c r="I1454" s="526"/>
      <c r="J1454" s="526"/>
      <c r="K1454" s="1124"/>
      <c r="L1454" s="526"/>
      <c r="M1454" s="526"/>
      <c r="N1454" s="526"/>
      <c r="O1454" s="526"/>
      <c r="P1454" s="1124"/>
      <c r="Q1454" s="526"/>
      <c r="R1454" s="526"/>
      <c r="S1454" s="526"/>
      <c r="T1454" s="526"/>
      <c r="U1454" s="1124"/>
      <c r="V1454" s="526"/>
      <c r="W1454" s="526"/>
      <c r="X1454" s="526"/>
      <c r="Y1454" s="526"/>
      <c r="Z1454" s="1124"/>
      <c r="AA1454" s="526"/>
      <c r="AB1454" s="526"/>
      <c r="AC1454" s="526"/>
      <c r="AD1454" s="526"/>
      <c r="AE1454" s="1124"/>
      <c r="AF1454" s="526"/>
      <c r="AG1454" s="526"/>
      <c r="AH1454" s="526"/>
      <c r="AI1454" s="526"/>
      <c r="AJ1454" s="1124"/>
      <c r="AK1454" s="526"/>
      <c r="AL1454" s="526"/>
      <c r="AM1454" s="526"/>
      <c r="AN1454" s="526"/>
      <c r="AO1454" s="1124"/>
      <c r="AP1454" s="526"/>
      <c r="AQ1454" s="526"/>
      <c r="AR1454" s="526"/>
      <c r="AS1454" s="526"/>
      <c r="AT1454" s="1124"/>
      <c r="AU1454" s="526"/>
      <c r="AV1454" s="526"/>
      <c r="AW1454" s="526"/>
      <c r="AX1454" s="526"/>
      <c r="AY1454" s="1124"/>
      <c r="AZ1454" s="526"/>
      <c r="BA1454" s="526"/>
      <c r="BB1454" s="526"/>
      <c r="BC1454" s="526"/>
      <c r="BD1454" s="1123">
        <v>239.04</v>
      </c>
      <c r="BE1454" s="526"/>
      <c r="BF1454" s="526"/>
      <c r="BG1454" s="526"/>
      <c r="BH1454" s="526"/>
      <c r="BI1454" s="1123">
        <v>239.04</v>
      </c>
      <c r="BJ1454" s="526"/>
      <c r="BK1454" s="526"/>
      <c r="BL1454" s="526"/>
      <c r="BM1454" s="526"/>
      <c r="BN1454" s="1123">
        <v>239.04</v>
      </c>
      <c r="BO1454" s="526"/>
      <c r="BP1454" s="526"/>
      <c r="BQ1454" s="526"/>
      <c r="BR1454" s="526"/>
      <c r="BS1454" s="1124"/>
      <c r="BT1454" s="729"/>
      <c r="BU1454" s="526"/>
      <c r="BV1454" s="526"/>
      <c r="BW1454" s="526"/>
      <c r="BX1454" s="1124"/>
      <c r="BY1454" s="526"/>
      <c r="BZ1454" s="526"/>
      <c r="CA1454" s="526"/>
      <c r="CB1454" s="526"/>
      <c r="CC1454" s="1124"/>
      <c r="CD1454" s="1124"/>
      <c r="CE1454" s="1124"/>
      <c r="CF1454" s="1124"/>
      <c r="CG1454" s="533"/>
    </row>
    <row r="1455" spans="1:85" s="614" customFormat="1" x14ac:dyDescent="0.3">
      <c r="A1455" s="522"/>
      <c r="B1455" s="352"/>
      <c r="C1455" s="1094"/>
      <c r="D1455" s="1094"/>
      <c r="E1455" s="1094"/>
      <c r="F1455" s="1094"/>
      <c r="G1455" s="197"/>
      <c r="H1455" s="197"/>
      <c r="I1455" s="197"/>
      <c r="J1455" s="197"/>
      <c r="K1455" s="1094"/>
      <c r="L1455" s="197"/>
      <c r="M1455" s="197"/>
      <c r="N1455" s="197"/>
      <c r="O1455" s="197"/>
      <c r="P1455" s="1094"/>
      <c r="Q1455" s="197"/>
      <c r="R1455" s="197"/>
      <c r="S1455" s="197"/>
      <c r="T1455" s="197"/>
      <c r="U1455" s="1094"/>
      <c r="V1455" s="197"/>
      <c r="W1455" s="197"/>
      <c r="X1455" s="197"/>
      <c r="Y1455" s="197"/>
      <c r="Z1455" s="1094"/>
      <c r="AA1455" s="197"/>
      <c r="AB1455" s="197"/>
      <c r="AC1455" s="197"/>
      <c r="AD1455" s="197"/>
      <c r="AE1455" s="1094"/>
      <c r="AF1455" s="197"/>
      <c r="AG1455" s="197"/>
      <c r="AH1455" s="197"/>
      <c r="AI1455" s="197"/>
      <c r="AJ1455" s="1094"/>
      <c r="AK1455" s="197"/>
      <c r="AL1455" s="197"/>
      <c r="AM1455" s="197"/>
      <c r="AN1455" s="197"/>
      <c r="AO1455" s="1094"/>
      <c r="AP1455" s="197"/>
      <c r="AQ1455" s="197"/>
      <c r="AR1455" s="197"/>
      <c r="AS1455" s="197"/>
      <c r="AT1455" s="198"/>
      <c r="AU1455" s="197"/>
      <c r="AV1455" s="197"/>
      <c r="AW1455" s="197"/>
      <c r="AX1455" s="197"/>
      <c r="AY1455" s="198"/>
      <c r="AZ1455" s="197"/>
      <c r="BA1455" s="197"/>
      <c r="BB1455" s="197"/>
      <c r="BC1455" s="197"/>
      <c r="BD1455" s="198"/>
      <c r="BE1455" s="197"/>
      <c r="BF1455" s="197"/>
      <c r="BG1455" s="197"/>
      <c r="BH1455" s="197"/>
      <c r="BI1455" s="198"/>
      <c r="BJ1455" s="197"/>
      <c r="BK1455" s="197"/>
      <c r="BL1455" s="197"/>
      <c r="BM1455" s="197"/>
      <c r="BN1455" s="198"/>
      <c r="BO1455" s="197"/>
      <c r="BP1455" s="197"/>
      <c r="BQ1455" s="197"/>
      <c r="BR1455" s="197"/>
      <c r="BS1455" s="198"/>
      <c r="BT1455" s="727"/>
      <c r="BU1455" s="197"/>
      <c r="BV1455" s="197"/>
      <c r="BW1455" s="197"/>
      <c r="BX1455" s="1094"/>
      <c r="BY1455" s="197"/>
      <c r="BZ1455" s="197"/>
      <c r="CA1455" s="197"/>
      <c r="CB1455" s="197"/>
      <c r="CC1455" s="1094"/>
      <c r="CD1455" s="1094"/>
      <c r="CE1455" s="1094"/>
      <c r="CF1455" s="1094"/>
      <c r="CG1455" s="349"/>
    </row>
    <row r="1456" spans="1:85" s="613" customFormat="1" x14ac:dyDescent="0.3">
      <c r="A1456" s="478" t="s">
        <v>1152</v>
      </c>
      <c r="B1456" s="523"/>
      <c r="C1456" s="78"/>
      <c r="D1456" s="78"/>
      <c r="E1456" s="78"/>
      <c r="F1456" s="78"/>
      <c r="G1456" s="774"/>
      <c r="H1456" s="774"/>
      <c r="I1456" s="774"/>
      <c r="J1456" s="774"/>
      <c r="K1456" s="78"/>
      <c r="L1456" s="774"/>
      <c r="M1456" s="774"/>
      <c r="N1456" s="774"/>
      <c r="O1456" s="774"/>
      <c r="P1456" s="78"/>
      <c r="Q1456" s="774"/>
      <c r="R1456" s="774"/>
      <c r="S1456" s="774"/>
      <c r="T1456" s="774"/>
      <c r="U1456" s="78"/>
      <c r="V1456" s="774"/>
      <c r="W1456" s="774"/>
      <c r="X1456" s="774"/>
      <c r="Y1456" s="774"/>
      <c r="Z1456" s="78"/>
      <c r="AA1456" s="774"/>
      <c r="AB1456" s="774"/>
      <c r="AC1456" s="774"/>
      <c r="AD1456" s="774"/>
      <c r="AE1456" s="78"/>
      <c r="AF1456" s="774"/>
      <c r="AG1456" s="774"/>
      <c r="AH1456" s="774"/>
      <c r="AI1456" s="774"/>
      <c r="AJ1456" s="78"/>
      <c r="AK1456" s="774"/>
      <c r="AL1456" s="774"/>
      <c r="AM1456" s="774"/>
      <c r="AN1456" s="774"/>
      <c r="AO1456" s="78"/>
      <c r="AP1456" s="774"/>
      <c r="AQ1456" s="774"/>
      <c r="AR1456" s="774"/>
      <c r="AS1456" s="774"/>
      <c r="AT1456" s="78"/>
      <c r="AU1456" s="774"/>
      <c r="AV1456" s="774"/>
      <c r="AW1456" s="774"/>
      <c r="AX1456" s="774"/>
      <c r="AY1456" s="78"/>
      <c r="AZ1456" s="774"/>
      <c r="BA1456" s="774"/>
      <c r="BB1456" s="774"/>
      <c r="BC1456" s="774"/>
      <c r="BD1456" s="1119">
        <v>3.6320000000000001</v>
      </c>
      <c r="BE1456" s="774"/>
      <c r="BF1456" s="774"/>
      <c r="BG1456" s="774"/>
      <c r="BH1456" s="774"/>
      <c r="BI1456" s="1119">
        <v>3.6320000000000001</v>
      </c>
      <c r="BJ1456" s="774"/>
      <c r="BK1456" s="774"/>
      <c r="BL1456" s="774"/>
      <c r="BM1456" s="774"/>
      <c r="BN1456" s="1119">
        <v>3.6320000000000001</v>
      </c>
      <c r="BO1456" s="774"/>
      <c r="BP1456" s="774"/>
      <c r="BQ1456" s="774"/>
      <c r="BR1456" s="774"/>
      <c r="BS1456" s="78"/>
      <c r="BT1456" s="775"/>
      <c r="BU1456" s="774"/>
      <c r="BV1456" s="774"/>
      <c r="BW1456" s="774"/>
      <c r="BX1456" s="78"/>
      <c r="BY1456" s="774"/>
      <c r="BZ1456" s="774"/>
      <c r="CA1456" s="774"/>
      <c r="CB1456" s="774"/>
      <c r="CC1456" s="78"/>
      <c r="CD1456" s="78"/>
      <c r="CE1456" s="78"/>
      <c r="CF1456" s="78"/>
      <c r="CG1456" s="532"/>
    </row>
    <row r="1457" spans="1:85" s="616" customFormat="1" x14ac:dyDescent="0.3">
      <c r="A1457" s="522" t="s">
        <v>1151</v>
      </c>
      <c r="B1457" s="527"/>
      <c r="C1457" s="1124"/>
      <c r="D1457" s="1124"/>
      <c r="E1457" s="1124"/>
      <c r="F1457" s="1124"/>
      <c r="G1457" s="526"/>
      <c r="H1457" s="526"/>
      <c r="I1457" s="526"/>
      <c r="J1457" s="526"/>
      <c r="K1457" s="1124"/>
      <c r="L1457" s="526"/>
      <c r="M1457" s="526"/>
      <c r="N1457" s="526"/>
      <c r="O1457" s="526"/>
      <c r="P1457" s="1124"/>
      <c r="Q1457" s="526"/>
      <c r="R1457" s="526"/>
      <c r="S1457" s="526"/>
      <c r="T1457" s="526"/>
      <c r="U1457" s="1124"/>
      <c r="V1457" s="526"/>
      <c r="W1457" s="526"/>
      <c r="X1457" s="526"/>
      <c r="Y1457" s="526"/>
      <c r="Z1457" s="1124"/>
      <c r="AA1457" s="526"/>
      <c r="AB1457" s="526"/>
      <c r="AC1457" s="526"/>
      <c r="AD1457" s="526"/>
      <c r="AE1457" s="1124"/>
      <c r="AF1457" s="526"/>
      <c r="AG1457" s="526"/>
      <c r="AH1457" s="526"/>
      <c r="AI1457" s="526"/>
      <c r="AJ1457" s="1124"/>
      <c r="AK1457" s="526"/>
      <c r="AL1457" s="526"/>
      <c r="AM1457" s="526"/>
      <c r="AN1457" s="526"/>
      <c r="AO1457" s="1124"/>
      <c r="AP1457" s="526"/>
      <c r="AQ1457" s="526"/>
      <c r="AR1457" s="526"/>
      <c r="AS1457" s="526"/>
      <c r="AT1457" s="1124"/>
      <c r="AU1457" s="526"/>
      <c r="AV1457" s="526"/>
      <c r="AW1457" s="526"/>
      <c r="AX1457" s="526"/>
      <c r="AY1457" s="1124"/>
      <c r="AZ1457" s="526"/>
      <c r="BA1457" s="526"/>
      <c r="BB1457" s="526"/>
      <c r="BC1457" s="526"/>
      <c r="BD1457" s="1123">
        <v>286.75</v>
      </c>
      <c r="BE1457" s="526"/>
      <c r="BF1457" s="526"/>
      <c r="BG1457" s="526"/>
      <c r="BH1457" s="526"/>
      <c r="BI1457" s="1123">
        <v>286.75</v>
      </c>
      <c r="BJ1457" s="526"/>
      <c r="BK1457" s="526"/>
      <c r="BL1457" s="526"/>
      <c r="BM1457" s="526"/>
      <c r="BN1457" s="1123">
        <v>286.75</v>
      </c>
      <c r="BO1457" s="526"/>
      <c r="BP1457" s="526"/>
      <c r="BQ1457" s="526"/>
      <c r="BR1457" s="526"/>
      <c r="BS1457" s="1124"/>
      <c r="BT1457" s="729"/>
      <c r="BU1457" s="526"/>
      <c r="BV1457" s="526"/>
      <c r="BW1457" s="526"/>
      <c r="BX1457" s="1124"/>
      <c r="BY1457" s="526"/>
      <c r="BZ1457" s="526"/>
      <c r="CA1457" s="526"/>
      <c r="CB1457" s="526"/>
      <c r="CC1457" s="1124"/>
      <c r="CD1457" s="1124"/>
      <c r="CE1457" s="1124"/>
      <c r="CF1457" s="1124"/>
      <c r="CG1457" s="533"/>
    </row>
    <row r="1458" spans="1:85" s="614" customFormat="1" x14ac:dyDescent="0.3">
      <c r="A1458" s="522"/>
      <c r="B1458" s="352"/>
      <c r="C1458" s="1094"/>
      <c r="D1458" s="1094"/>
      <c r="E1458" s="1094"/>
      <c r="F1458" s="1094"/>
      <c r="G1458" s="197"/>
      <c r="H1458" s="197"/>
      <c r="I1458" s="197"/>
      <c r="J1458" s="197"/>
      <c r="K1458" s="1094"/>
      <c r="L1458" s="197"/>
      <c r="M1458" s="197"/>
      <c r="N1458" s="197"/>
      <c r="O1458" s="197"/>
      <c r="P1458" s="1094"/>
      <c r="Q1458" s="197"/>
      <c r="R1458" s="197"/>
      <c r="S1458" s="197"/>
      <c r="T1458" s="197"/>
      <c r="U1458" s="1094"/>
      <c r="V1458" s="197"/>
      <c r="W1458" s="197"/>
      <c r="X1458" s="197"/>
      <c r="Y1458" s="197"/>
      <c r="Z1458" s="1094"/>
      <c r="AA1458" s="197"/>
      <c r="AB1458" s="197"/>
      <c r="AC1458" s="197"/>
      <c r="AD1458" s="197"/>
      <c r="AE1458" s="1094"/>
      <c r="AF1458" s="197"/>
      <c r="AG1458" s="197"/>
      <c r="AH1458" s="197"/>
      <c r="AI1458" s="197"/>
      <c r="AJ1458" s="1094"/>
      <c r="AK1458" s="197"/>
      <c r="AL1458" s="197"/>
      <c r="AM1458" s="197"/>
      <c r="AN1458" s="197"/>
      <c r="AO1458" s="1094"/>
      <c r="AP1458" s="197"/>
      <c r="AQ1458" s="197"/>
      <c r="AR1458" s="197"/>
      <c r="AS1458" s="197"/>
      <c r="AT1458" s="198"/>
      <c r="AU1458" s="197"/>
      <c r="AV1458" s="197"/>
      <c r="AW1458" s="197"/>
      <c r="AX1458" s="197"/>
      <c r="AY1458" s="198"/>
      <c r="AZ1458" s="197"/>
      <c r="BA1458" s="197"/>
      <c r="BB1458" s="197"/>
      <c r="BC1458" s="197"/>
      <c r="BD1458" s="198"/>
      <c r="BE1458" s="197"/>
      <c r="BF1458" s="197"/>
      <c r="BG1458" s="197"/>
      <c r="BH1458" s="197"/>
      <c r="BI1458" s="198"/>
      <c r="BJ1458" s="197"/>
      <c r="BK1458" s="197"/>
      <c r="BL1458" s="197"/>
      <c r="BM1458" s="197"/>
      <c r="BN1458" s="198"/>
      <c r="BO1458" s="197"/>
      <c r="BP1458" s="197"/>
      <c r="BQ1458" s="197"/>
      <c r="BR1458" s="197"/>
      <c r="BS1458" s="198"/>
      <c r="BT1458" s="727"/>
      <c r="BU1458" s="197"/>
      <c r="BV1458" s="197"/>
      <c r="BW1458" s="197"/>
      <c r="BX1458" s="1094"/>
      <c r="BY1458" s="197"/>
      <c r="BZ1458" s="197"/>
      <c r="CA1458" s="197"/>
      <c r="CB1458" s="197"/>
      <c r="CC1458" s="1094"/>
      <c r="CD1458" s="1094"/>
      <c r="CE1458" s="1094"/>
      <c r="CF1458" s="1094"/>
      <c r="CG1458" s="349"/>
    </row>
    <row r="1459" spans="1:85" s="613" customFormat="1" x14ac:dyDescent="0.3">
      <c r="A1459" s="478" t="s">
        <v>1150</v>
      </c>
      <c r="B1459" s="523"/>
      <c r="C1459" s="78"/>
      <c r="D1459" s="78"/>
      <c r="E1459" s="78"/>
      <c r="F1459" s="78"/>
      <c r="G1459" s="774"/>
      <c r="H1459" s="774"/>
      <c r="I1459" s="774"/>
      <c r="J1459" s="774"/>
      <c r="K1459" s="78"/>
      <c r="L1459" s="774"/>
      <c r="M1459" s="774"/>
      <c r="N1459" s="774"/>
      <c r="O1459" s="774"/>
      <c r="P1459" s="78"/>
      <c r="Q1459" s="774"/>
      <c r="R1459" s="774"/>
      <c r="S1459" s="774"/>
      <c r="T1459" s="774"/>
      <c r="U1459" s="78"/>
      <c r="V1459" s="774"/>
      <c r="W1459" s="774"/>
      <c r="X1459" s="774"/>
      <c r="Y1459" s="774"/>
      <c r="Z1459" s="78"/>
      <c r="AA1459" s="774"/>
      <c r="AB1459" s="774"/>
      <c r="AC1459" s="774"/>
      <c r="AD1459" s="774"/>
      <c r="AE1459" s="78"/>
      <c r="AF1459" s="774"/>
      <c r="AG1459" s="774"/>
      <c r="AH1459" s="774"/>
      <c r="AI1459" s="774"/>
      <c r="AJ1459" s="78"/>
      <c r="AK1459" s="774"/>
      <c r="AL1459" s="774"/>
      <c r="AM1459" s="774"/>
      <c r="AN1459" s="774"/>
      <c r="AO1459" s="78"/>
      <c r="AP1459" s="774"/>
      <c r="AQ1459" s="774"/>
      <c r="AR1459" s="774"/>
      <c r="AS1459" s="774"/>
      <c r="AT1459" s="78"/>
      <c r="AU1459" s="774"/>
      <c r="AV1459" s="774"/>
      <c r="AW1459" s="774"/>
      <c r="AX1459" s="774"/>
      <c r="AY1459" s="78"/>
      <c r="AZ1459" s="774"/>
      <c r="BA1459" s="774"/>
      <c r="BB1459" s="774"/>
      <c r="BC1459" s="774"/>
      <c r="BD1459" s="1119">
        <v>3.2869999999999999</v>
      </c>
      <c r="BE1459" s="774"/>
      <c r="BF1459" s="774"/>
      <c r="BG1459" s="774"/>
      <c r="BH1459" s="774"/>
      <c r="BI1459" s="1119">
        <v>3.2869999999999999</v>
      </c>
      <c r="BJ1459" s="774"/>
      <c r="BK1459" s="774"/>
      <c r="BL1459" s="774"/>
      <c r="BM1459" s="774"/>
      <c r="BN1459" s="1119">
        <v>3.2869999999999999</v>
      </c>
      <c r="BO1459" s="774"/>
      <c r="BP1459" s="774"/>
      <c r="BQ1459" s="774"/>
      <c r="BR1459" s="774"/>
      <c r="BS1459" s="78"/>
      <c r="BT1459" s="775"/>
      <c r="BU1459" s="774"/>
      <c r="BV1459" s="774"/>
      <c r="BW1459" s="774"/>
      <c r="BX1459" s="78"/>
      <c r="BY1459" s="774"/>
      <c r="BZ1459" s="774"/>
      <c r="CA1459" s="774"/>
      <c r="CB1459" s="774"/>
      <c r="CC1459" s="78"/>
      <c r="CD1459" s="78"/>
      <c r="CE1459" s="78"/>
      <c r="CF1459" s="78"/>
      <c r="CG1459" s="532"/>
    </row>
    <row r="1460" spans="1:85" s="616" customFormat="1" x14ac:dyDescent="0.3">
      <c r="A1460" s="522" t="s">
        <v>1149</v>
      </c>
      <c r="B1460" s="527"/>
      <c r="C1460" s="1124"/>
      <c r="D1460" s="1124"/>
      <c r="E1460" s="1124"/>
      <c r="F1460" s="1124"/>
      <c r="G1460" s="526"/>
      <c r="H1460" s="526"/>
      <c r="I1460" s="526"/>
      <c r="J1460" s="526"/>
      <c r="K1460" s="1124"/>
      <c r="L1460" s="526"/>
      <c r="M1460" s="526"/>
      <c r="N1460" s="526"/>
      <c r="O1460" s="526"/>
      <c r="P1460" s="1124"/>
      <c r="Q1460" s="526"/>
      <c r="R1460" s="526"/>
      <c r="S1460" s="526"/>
      <c r="T1460" s="526"/>
      <c r="U1460" s="1124"/>
      <c r="V1460" s="526"/>
      <c r="W1460" s="526"/>
      <c r="X1460" s="526"/>
      <c r="Y1460" s="526"/>
      <c r="Z1460" s="1124"/>
      <c r="AA1460" s="526"/>
      <c r="AB1460" s="526"/>
      <c r="AC1460" s="526"/>
      <c r="AD1460" s="526"/>
      <c r="AE1460" s="1124"/>
      <c r="AF1460" s="526"/>
      <c r="AG1460" s="526"/>
      <c r="AH1460" s="526"/>
      <c r="AI1460" s="526"/>
      <c r="AJ1460" s="1124"/>
      <c r="AK1460" s="526"/>
      <c r="AL1460" s="526"/>
      <c r="AM1460" s="526"/>
      <c r="AN1460" s="526"/>
      <c r="AO1460" s="1124"/>
      <c r="AP1460" s="526"/>
      <c r="AQ1460" s="526"/>
      <c r="AR1460" s="526"/>
      <c r="AS1460" s="526"/>
      <c r="AT1460" s="1124"/>
      <c r="AU1460" s="526"/>
      <c r="AV1460" s="526"/>
      <c r="AW1460" s="526"/>
      <c r="AX1460" s="526"/>
      <c r="AY1460" s="1124"/>
      <c r="AZ1460" s="526"/>
      <c r="BA1460" s="526"/>
      <c r="BB1460" s="526"/>
      <c r="BC1460" s="526"/>
      <c r="BD1460" s="1123">
        <v>316.95</v>
      </c>
      <c r="BE1460" s="526"/>
      <c r="BF1460" s="526"/>
      <c r="BG1460" s="526"/>
      <c r="BH1460" s="526"/>
      <c r="BI1460" s="1123">
        <v>316.95</v>
      </c>
      <c r="BJ1460" s="526"/>
      <c r="BK1460" s="526"/>
      <c r="BL1460" s="526"/>
      <c r="BM1460" s="526"/>
      <c r="BN1460" s="1123">
        <v>316.95</v>
      </c>
      <c r="BO1460" s="526"/>
      <c r="BP1460" s="526"/>
      <c r="BQ1460" s="526"/>
      <c r="BR1460" s="526"/>
      <c r="BS1460" s="1124"/>
      <c r="BT1460" s="729"/>
      <c r="BU1460" s="526"/>
      <c r="BV1460" s="526"/>
      <c r="BW1460" s="526"/>
      <c r="BX1460" s="1124"/>
      <c r="BY1460" s="526"/>
      <c r="BZ1460" s="526"/>
      <c r="CA1460" s="526"/>
      <c r="CB1460" s="526"/>
      <c r="CC1460" s="1124"/>
      <c r="CD1460" s="1124"/>
      <c r="CE1460" s="1124"/>
      <c r="CF1460" s="1124"/>
      <c r="CG1460" s="533"/>
    </row>
    <row r="1461" spans="1:85" s="616" customFormat="1" x14ac:dyDescent="0.3">
      <c r="A1461" s="522"/>
      <c r="B1461" s="527"/>
      <c r="C1461" s="1124"/>
      <c r="D1461" s="1124"/>
      <c r="E1461" s="1124"/>
      <c r="F1461" s="1124"/>
      <c r="G1461" s="526"/>
      <c r="H1461" s="526"/>
      <c r="I1461" s="526"/>
      <c r="J1461" s="526"/>
      <c r="K1461" s="1124"/>
      <c r="L1461" s="526"/>
      <c r="M1461" s="526"/>
      <c r="N1461" s="526"/>
      <c r="O1461" s="526"/>
      <c r="P1461" s="1124"/>
      <c r="Q1461" s="526"/>
      <c r="R1461" s="526"/>
      <c r="S1461" s="526"/>
      <c r="T1461" s="526"/>
      <c r="U1461" s="1124"/>
      <c r="V1461" s="526"/>
      <c r="W1461" s="526"/>
      <c r="X1461" s="526"/>
      <c r="Y1461" s="526"/>
      <c r="Z1461" s="1124"/>
      <c r="AA1461" s="526"/>
      <c r="AB1461" s="526"/>
      <c r="AC1461" s="526"/>
      <c r="AD1461" s="526"/>
      <c r="AE1461" s="1124"/>
      <c r="AF1461" s="526"/>
      <c r="AG1461" s="526"/>
      <c r="AH1461" s="526"/>
      <c r="AI1461" s="526"/>
      <c r="AJ1461" s="1124"/>
      <c r="AK1461" s="526"/>
      <c r="AL1461" s="526"/>
      <c r="AM1461" s="526"/>
      <c r="AN1461" s="526"/>
      <c r="AO1461" s="1124"/>
      <c r="AP1461" s="526"/>
      <c r="AQ1461" s="526"/>
      <c r="AR1461" s="526"/>
      <c r="AS1461" s="526"/>
      <c r="AT1461" s="1124"/>
      <c r="AU1461" s="526"/>
      <c r="AV1461" s="526"/>
      <c r="AW1461" s="526"/>
      <c r="AX1461" s="526"/>
      <c r="AY1461" s="1124"/>
      <c r="AZ1461" s="526"/>
      <c r="BA1461" s="526"/>
      <c r="BB1461" s="526"/>
      <c r="BC1461" s="526"/>
      <c r="BD1461" s="1124"/>
      <c r="BE1461" s="526"/>
      <c r="BF1461" s="526"/>
      <c r="BG1461" s="526"/>
      <c r="BH1461" s="526"/>
      <c r="BI1461" s="1124"/>
      <c r="BJ1461" s="526"/>
      <c r="BK1461" s="526"/>
      <c r="BL1461" s="526"/>
      <c r="BM1461" s="526"/>
      <c r="BN1461" s="1124"/>
      <c r="BO1461" s="526"/>
      <c r="BP1461" s="526"/>
      <c r="BQ1461" s="526"/>
      <c r="BR1461" s="526"/>
      <c r="BS1461" s="1124"/>
      <c r="BT1461" s="729"/>
      <c r="BU1461" s="526"/>
      <c r="BV1461" s="526"/>
      <c r="BW1461" s="526"/>
      <c r="BX1461" s="1124"/>
      <c r="BY1461" s="526"/>
      <c r="BZ1461" s="526"/>
      <c r="CA1461" s="526"/>
      <c r="CB1461" s="526"/>
      <c r="CC1461" s="1124"/>
      <c r="CD1461" s="1124"/>
      <c r="CE1461" s="1124"/>
      <c r="CF1461" s="1124"/>
      <c r="CG1461" s="533"/>
    </row>
    <row r="1462" spans="1:85" s="613" customFormat="1" x14ac:dyDescent="0.3">
      <c r="A1462" s="478" t="s">
        <v>2077</v>
      </c>
      <c r="B1462" s="523"/>
      <c r="C1462" s="78"/>
      <c r="D1462" s="78"/>
      <c r="E1462" s="78"/>
      <c r="F1462" s="78"/>
      <c r="G1462" s="774"/>
      <c r="H1462" s="774"/>
      <c r="I1462" s="774"/>
      <c r="J1462" s="774"/>
      <c r="K1462" s="78"/>
      <c r="L1462" s="774"/>
      <c r="M1462" s="774"/>
      <c r="N1462" s="774"/>
      <c r="O1462" s="774"/>
      <c r="P1462" s="78"/>
      <c r="Q1462" s="774"/>
      <c r="R1462" s="774"/>
      <c r="S1462" s="774"/>
      <c r="T1462" s="774"/>
      <c r="U1462" s="78"/>
      <c r="V1462" s="774"/>
      <c r="W1462" s="774"/>
      <c r="X1462" s="774"/>
      <c r="Y1462" s="774"/>
      <c r="Z1462" s="78"/>
      <c r="AA1462" s="774"/>
      <c r="AB1462" s="774"/>
      <c r="AC1462" s="774"/>
      <c r="AD1462" s="774"/>
      <c r="AE1462" s="78"/>
      <c r="AF1462" s="774"/>
      <c r="AG1462" s="774"/>
      <c r="AH1462" s="774"/>
      <c r="AI1462" s="774"/>
      <c r="AJ1462" s="78"/>
      <c r="AK1462" s="774"/>
      <c r="AL1462" s="774"/>
      <c r="AM1462" s="774"/>
      <c r="AN1462" s="774"/>
      <c r="AO1462" s="78"/>
      <c r="AP1462" s="774"/>
      <c r="AQ1462" s="774"/>
      <c r="AR1462" s="774"/>
      <c r="AS1462" s="774"/>
      <c r="AT1462" s="78"/>
      <c r="AU1462" s="774"/>
      <c r="AV1462" s="774"/>
      <c r="AW1462" s="774"/>
      <c r="AX1462" s="774"/>
      <c r="AY1462" s="78"/>
      <c r="AZ1462" s="774"/>
      <c r="BA1462" s="774"/>
      <c r="BB1462" s="774"/>
      <c r="BC1462" s="774"/>
      <c r="BD1462" s="78"/>
      <c r="BE1462" s="774"/>
      <c r="BF1462" s="774"/>
      <c r="BG1462" s="774"/>
      <c r="BH1462" s="774"/>
      <c r="BI1462" s="1119">
        <v>3.5310000000000001</v>
      </c>
      <c r="BJ1462" s="774"/>
      <c r="BK1462" s="774"/>
      <c r="BL1462" s="774"/>
      <c r="BM1462" s="774"/>
      <c r="BN1462" s="1119">
        <v>3.5310000000000001</v>
      </c>
      <c r="BO1462" s="774"/>
      <c r="BP1462" s="774"/>
      <c r="BQ1462" s="774"/>
      <c r="BR1462" s="774"/>
      <c r="BS1462" s="78"/>
      <c r="BT1462" s="775"/>
      <c r="BU1462" s="774"/>
      <c r="BV1462" s="774"/>
      <c r="BW1462" s="774"/>
      <c r="BX1462" s="78"/>
      <c r="BY1462" s="774"/>
      <c r="BZ1462" s="774"/>
      <c r="CA1462" s="774"/>
      <c r="CB1462" s="774"/>
      <c r="CC1462" s="78"/>
      <c r="CD1462" s="78"/>
      <c r="CE1462" s="78"/>
      <c r="CF1462" s="78"/>
      <c r="CG1462" s="532"/>
    </row>
    <row r="1463" spans="1:85" s="616" customFormat="1" x14ac:dyDescent="0.3">
      <c r="A1463" s="522" t="s">
        <v>2078</v>
      </c>
      <c r="B1463" s="527"/>
      <c r="C1463" s="1124"/>
      <c r="D1463" s="1124"/>
      <c r="E1463" s="1124"/>
      <c r="F1463" s="1124"/>
      <c r="G1463" s="526"/>
      <c r="H1463" s="526"/>
      <c r="I1463" s="526"/>
      <c r="J1463" s="526"/>
      <c r="K1463" s="1124"/>
      <c r="L1463" s="526"/>
      <c r="M1463" s="526"/>
      <c r="N1463" s="526"/>
      <c r="O1463" s="526"/>
      <c r="P1463" s="1124"/>
      <c r="Q1463" s="526"/>
      <c r="R1463" s="526"/>
      <c r="S1463" s="526"/>
      <c r="T1463" s="526"/>
      <c r="U1463" s="1124"/>
      <c r="V1463" s="526"/>
      <c r="W1463" s="526"/>
      <c r="X1463" s="526"/>
      <c r="Y1463" s="526"/>
      <c r="Z1463" s="1124"/>
      <c r="AA1463" s="526"/>
      <c r="AB1463" s="526"/>
      <c r="AC1463" s="526"/>
      <c r="AD1463" s="526"/>
      <c r="AE1463" s="1124"/>
      <c r="AF1463" s="526"/>
      <c r="AG1463" s="526"/>
      <c r="AH1463" s="526"/>
      <c r="AI1463" s="526"/>
      <c r="AJ1463" s="1124"/>
      <c r="AK1463" s="526"/>
      <c r="AL1463" s="526"/>
      <c r="AM1463" s="526"/>
      <c r="AN1463" s="526"/>
      <c r="AO1463" s="1124"/>
      <c r="AP1463" s="526"/>
      <c r="AQ1463" s="526"/>
      <c r="AR1463" s="526"/>
      <c r="AS1463" s="526"/>
      <c r="AT1463" s="1124"/>
      <c r="AU1463" s="526"/>
      <c r="AV1463" s="526"/>
      <c r="AW1463" s="526"/>
      <c r="AX1463" s="526"/>
      <c r="AY1463" s="1124"/>
      <c r="AZ1463" s="526"/>
      <c r="BA1463" s="526"/>
      <c r="BB1463" s="526"/>
      <c r="BC1463" s="526"/>
      <c r="BD1463" s="1124"/>
      <c r="BE1463" s="526"/>
      <c r="BF1463" s="526"/>
      <c r="BG1463" s="526"/>
      <c r="BH1463" s="526"/>
      <c r="BI1463" s="1123">
        <v>294.95</v>
      </c>
      <c r="BJ1463" s="526"/>
      <c r="BK1463" s="526"/>
      <c r="BL1463" s="526"/>
      <c r="BM1463" s="526"/>
      <c r="BN1463" s="1123">
        <v>294.95</v>
      </c>
      <c r="BO1463" s="526"/>
      <c r="BP1463" s="526"/>
      <c r="BQ1463" s="526"/>
      <c r="BR1463" s="526"/>
      <c r="BS1463" s="1124"/>
      <c r="BT1463" s="729"/>
      <c r="BU1463" s="526"/>
      <c r="BV1463" s="526"/>
      <c r="BW1463" s="526"/>
      <c r="BX1463" s="1124"/>
      <c r="BY1463" s="526"/>
      <c r="BZ1463" s="526"/>
      <c r="CA1463" s="526"/>
      <c r="CB1463" s="526"/>
      <c r="CC1463" s="1124"/>
      <c r="CD1463" s="1124"/>
      <c r="CE1463" s="1124"/>
      <c r="CF1463" s="1124"/>
      <c r="CG1463" s="533"/>
    </row>
    <row r="1464" spans="1:85" s="616" customFormat="1" x14ac:dyDescent="0.3">
      <c r="A1464" s="522"/>
      <c r="B1464" s="527"/>
      <c r="C1464" s="1124"/>
      <c r="D1464" s="1124"/>
      <c r="E1464" s="1124"/>
      <c r="F1464" s="1124"/>
      <c r="G1464" s="526"/>
      <c r="H1464" s="526"/>
      <c r="I1464" s="526"/>
      <c r="J1464" s="526"/>
      <c r="K1464" s="1124"/>
      <c r="L1464" s="526"/>
      <c r="M1464" s="526"/>
      <c r="N1464" s="526"/>
      <c r="O1464" s="526"/>
      <c r="P1464" s="1124"/>
      <c r="Q1464" s="526"/>
      <c r="R1464" s="526"/>
      <c r="S1464" s="526"/>
      <c r="T1464" s="526"/>
      <c r="U1464" s="1124"/>
      <c r="V1464" s="526"/>
      <c r="W1464" s="526"/>
      <c r="X1464" s="526"/>
      <c r="Y1464" s="526"/>
      <c r="Z1464" s="1124"/>
      <c r="AA1464" s="526"/>
      <c r="AB1464" s="526"/>
      <c r="AC1464" s="526"/>
      <c r="AD1464" s="526"/>
      <c r="AE1464" s="1124"/>
      <c r="AF1464" s="526"/>
      <c r="AG1464" s="526"/>
      <c r="AH1464" s="526"/>
      <c r="AI1464" s="526"/>
      <c r="AJ1464" s="1124"/>
      <c r="AK1464" s="526"/>
      <c r="AL1464" s="526"/>
      <c r="AM1464" s="526"/>
      <c r="AN1464" s="526"/>
      <c r="AO1464" s="1124"/>
      <c r="AP1464" s="526"/>
      <c r="AQ1464" s="526"/>
      <c r="AR1464" s="526"/>
      <c r="AS1464" s="526"/>
      <c r="AT1464" s="1124"/>
      <c r="AU1464" s="526"/>
      <c r="AV1464" s="526"/>
      <c r="AW1464" s="526"/>
      <c r="AX1464" s="526"/>
      <c r="AY1464" s="1124"/>
      <c r="AZ1464" s="526"/>
      <c r="BA1464" s="526"/>
      <c r="BB1464" s="526"/>
      <c r="BC1464" s="526"/>
      <c r="BD1464" s="1124"/>
      <c r="BE1464" s="526"/>
      <c r="BF1464" s="526"/>
      <c r="BG1464" s="526"/>
      <c r="BH1464" s="526"/>
      <c r="BI1464" s="1124"/>
      <c r="BJ1464" s="526"/>
      <c r="BK1464" s="526"/>
      <c r="BL1464" s="526"/>
      <c r="BM1464" s="526"/>
      <c r="BN1464" s="1124"/>
      <c r="BO1464" s="526"/>
      <c r="BP1464" s="526"/>
      <c r="BQ1464" s="526"/>
      <c r="BR1464" s="526"/>
      <c r="BS1464" s="1124"/>
      <c r="BT1464" s="729"/>
      <c r="BU1464" s="526"/>
      <c r="BV1464" s="526"/>
      <c r="BW1464" s="526"/>
      <c r="BX1464" s="1124"/>
      <c r="BY1464" s="526"/>
      <c r="BZ1464" s="526"/>
      <c r="CA1464" s="526"/>
      <c r="CB1464" s="526"/>
      <c r="CC1464" s="1124"/>
      <c r="CD1464" s="1124"/>
      <c r="CE1464" s="1124"/>
      <c r="CF1464" s="1124"/>
      <c r="CG1464" s="533"/>
    </row>
    <row r="1465" spans="1:85" s="613" customFormat="1" x14ac:dyDescent="0.3">
      <c r="A1465" s="478" t="s">
        <v>2079</v>
      </c>
      <c r="B1465" s="523"/>
      <c r="C1465" s="78"/>
      <c r="D1465" s="78"/>
      <c r="E1465" s="78"/>
      <c r="F1465" s="78"/>
      <c r="G1465" s="774"/>
      <c r="H1465" s="774"/>
      <c r="I1465" s="774"/>
      <c r="J1465" s="774"/>
      <c r="K1465" s="78"/>
      <c r="L1465" s="774"/>
      <c r="M1465" s="774"/>
      <c r="N1465" s="774"/>
      <c r="O1465" s="774"/>
      <c r="P1465" s="78"/>
      <c r="Q1465" s="774"/>
      <c r="R1465" s="774"/>
      <c r="S1465" s="774"/>
      <c r="T1465" s="774"/>
      <c r="U1465" s="78"/>
      <c r="V1465" s="774"/>
      <c r="W1465" s="774"/>
      <c r="X1465" s="774"/>
      <c r="Y1465" s="774"/>
      <c r="Z1465" s="78"/>
      <c r="AA1465" s="774"/>
      <c r="AB1465" s="774"/>
      <c r="AC1465" s="774"/>
      <c r="AD1465" s="774"/>
      <c r="AE1465" s="78"/>
      <c r="AF1465" s="774"/>
      <c r="AG1465" s="774"/>
      <c r="AH1465" s="774"/>
      <c r="AI1465" s="774"/>
      <c r="AJ1465" s="78"/>
      <c r="AK1465" s="774"/>
      <c r="AL1465" s="774"/>
      <c r="AM1465" s="774"/>
      <c r="AN1465" s="774"/>
      <c r="AO1465" s="78"/>
      <c r="AP1465" s="774"/>
      <c r="AQ1465" s="774"/>
      <c r="AR1465" s="774"/>
      <c r="AS1465" s="774"/>
      <c r="AT1465" s="78"/>
      <c r="AU1465" s="774"/>
      <c r="AV1465" s="774"/>
      <c r="AW1465" s="774"/>
      <c r="AX1465" s="774"/>
      <c r="AY1465" s="78"/>
      <c r="AZ1465" s="774"/>
      <c r="BA1465" s="774"/>
      <c r="BB1465" s="774"/>
      <c r="BC1465" s="774"/>
      <c r="BD1465" s="78"/>
      <c r="BE1465" s="774"/>
      <c r="BF1465" s="774"/>
      <c r="BG1465" s="774"/>
      <c r="BH1465" s="774"/>
      <c r="BI1465" s="1119">
        <v>4.0289999999999999</v>
      </c>
      <c r="BJ1465" s="774"/>
      <c r="BK1465" s="774"/>
      <c r="BL1465" s="774"/>
      <c r="BM1465" s="774"/>
      <c r="BN1465" s="1119">
        <v>4.0289999999999999</v>
      </c>
      <c r="BO1465" s="774"/>
      <c r="BP1465" s="774"/>
      <c r="BQ1465" s="774"/>
      <c r="BR1465" s="774"/>
      <c r="BS1465" s="78"/>
      <c r="BT1465" s="775"/>
      <c r="BU1465" s="774"/>
      <c r="BV1465" s="774"/>
      <c r="BW1465" s="774"/>
      <c r="BX1465" s="78"/>
      <c r="BY1465" s="774"/>
      <c r="BZ1465" s="774"/>
      <c r="CA1465" s="774"/>
      <c r="CB1465" s="774"/>
      <c r="CC1465" s="78"/>
      <c r="CD1465" s="78"/>
      <c r="CE1465" s="78"/>
      <c r="CF1465" s="78"/>
      <c r="CG1465" s="532"/>
    </row>
    <row r="1466" spans="1:85" s="616" customFormat="1" x14ac:dyDescent="0.3">
      <c r="A1466" s="522" t="s">
        <v>2080</v>
      </c>
      <c r="B1466" s="527"/>
      <c r="C1466" s="1124"/>
      <c r="D1466" s="1124"/>
      <c r="E1466" s="1124"/>
      <c r="F1466" s="1124"/>
      <c r="G1466" s="526"/>
      <c r="H1466" s="526"/>
      <c r="I1466" s="526"/>
      <c r="J1466" s="526"/>
      <c r="K1466" s="1124"/>
      <c r="L1466" s="526"/>
      <c r="M1466" s="526"/>
      <c r="N1466" s="526"/>
      <c r="O1466" s="526"/>
      <c r="P1466" s="1124"/>
      <c r="Q1466" s="526"/>
      <c r="R1466" s="526"/>
      <c r="S1466" s="526"/>
      <c r="T1466" s="526"/>
      <c r="U1466" s="1124"/>
      <c r="V1466" s="526"/>
      <c r="W1466" s="526"/>
      <c r="X1466" s="526"/>
      <c r="Y1466" s="526"/>
      <c r="Z1466" s="1124"/>
      <c r="AA1466" s="526"/>
      <c r="AB1466" s="526"/>
      <c r="AC1466" s="526"/>
      <c r="AD1466" s="526"/>
      <c r="AE1466" s="1124"/>
      <c r="AF1466" s="526"/>
      <c r="AG1466" s="526"/>
      <c r="AH1466" s="526"/>
      <c r="AI1466" s="526"/>
      <c r="AJ1466" s="1124"/>
      <c r="AK1466" s="526"/>
      <c r="AL1466" s="526"/>
      <c r="AM1466" s="526"/>
      <c r="AN1466" s="526"/>
      <c r="AO1466" s="1124"/>
      <c r="AP1466" s="526"/>
      <c r="AQ1466" s="526"/>
      <c r="AR1466" s="526"/>
      <c r="AS1466" s="526"/>
      <c r="AT1466" s="1124"/>
      <c r="AU1466" s="526"/>
      <c r="AV1466" s="526"/>
      <c r="AW1466" s="526"/>
      <c r="AX1466" s="526"/>
      <c r="AY1466" s="1124"/>
      <c r="AZ1466" s="526"/>
      <c r="BA1466" s="526"/>
      <c r="BB1466" s="526"/>
      <c r="BC1466" s="526"/>
      <c r="BD1466" s="1124"/>
      <c r="BE1466" s="526"/>
      <c r="BF1466" s="526"/>
      <c r="BG1466" s="526"/>
      <c r="BH1466" s="526"/>
      <c r="BI1466" s="1123">
        <v>361.99</v>
      </c>
      <c r="BJ1466" s="526"/>
      <c r="BK1466" s="526"/>
      <c r="BL1466" s="526"/>
      <c r="BM1466" s="526"/>
      <c r="BN1466" s="1123">
        <v>361.99</v>
      </c>
      <c r="BO1466" s="526"/>
      <c r="BP1466" s="526"/>
      <c r="BQ1466" s="526"/>
      <c r="BR1466" s="526"/>
      <c r="BS1466" s="1124"/>
      <c r="BT1466" s="729"/>
      <c r="BU1466" s="526"/>
      <c r="BV1466" s="526"/>
      <c r="BW1466" s="526"/>
      <c r="BX1466" s="1124"/>
      <c r="BY1466" s="526"/>
      <c r="BZ1466" s="526"/>
      <c r="CA1466" s="526"/>
      <c r="CB1466" s="526"/>
      <c r="CC1466" s="1124"/>
      <c r="CD1466" s="1124"/>
      <c r="CE1466" s="1124"/>
      <c r="CF1466" s="1124"/>
      <c r="CG1466" s="533"/>
    </row>
    <row r="1467" spans="1:85" s="616" customFormat="1" x14ac:dyDescent="0.3">
      <c r="A1467" s="522"/>
      <c r="B1467" s="527"/>
      <c r="C1467" s="1124"/>
      <c r="D1467" s="1124"/>
      <c r="E1467" s="1124"/>
      <c r="F1467" s="1124"/>
      <c r="G1467" s="526"/>
      <c r="H1467" s="526"/>
      <c r="I1467" s="526"/>
      <c r="J1467" s="526"/>
      <c r="K1467" s="1124"/>
      <c r="L1467" s="526"/>
      <c r="M1467" s="526"/>
      <c r="N1467" s="526"/>
      <c r="O1467" s="526"/>
      <c r="P1467" s="1124"/>
      <c r="Q1467" s="526"/>
      <c r="R1467" s="526"/>
      <c r="S1467" s="526"/>
      <c r="T1467" s="526"/>
      <c r="U1467" s="1124"/>
      <c r="V1467" s="526"/>
      <c r="W1467" s="526"/>
      <c r="X1467" s="526"/>
      <c r="Y1467" s="526"/>
      <c r="Z1467" s="1124"/>
      <c r="AA1467" s="526"/>
      <c r="AB1467" s="526"/>
      <c r="AC1467" s="526"/>
      <c r="AD1467" s="526"/>
      <c r="AE1467" s="1124"/>
      <c r="AF1467" s="526"/>
      <c r="AG1467" s="526"/>
      <c r="AH1467" s="526"/>
      <c r="AI1467" s="526"/>
      <c r="AJ1467" s="1124"/>
      <c r="AK1467" s="526"/>
      <c r="AL1467" s="526"/>
      <c r="AM1467" s="526"/>
      <c r="AN1467" s="526"/>
      <c r="AO1467" s="1124"/>
      <c r="AP1467" s="526"/>
      <c r="AQ1467" s="526"/>
      <c r="AR1467" s="526"/>
      <c r="AS1467" s="526"/>
      <c r="AT1467" s="1124"/>
      <c r="AU1467" s="526"/>
      <c r="AV1467" s="526"/>
      <c r="AW1467" s="526"/>
      <c r="AX1467" s="526"/>
      <c r="AY1467" s="1124"/>
      <c r="AZ1467" s="526"/>
      <c r="BA1467" s="526"/>
      <c r="BB1467" s="526"/>
      <c r="BC1467" s="526"/>
      <c r="BD1467" s="1124"/>
      <c r="BE1467" s="526"/>
      <c r="BF1467" s="526"/>
      <c r="BG1467" s="526"/>
      <c r="BH1467" s="526"/>
      <c r="BI1467" s="1124"/>
      <c r="BJ1467" s="526"/>
      <c r="BK1467" s="526"/>
      <c r="BL1467" s="526"/>
      <c r="BM1467" s="526"/>
      <c r="BN1467" s="1124"/>
      <c r="BO1467" s="526"/>
      <c r="BP1467" s="526"/>
      <c r="BQ1467" s="526"/>
      <c r="BR1467" s="526"/>
      <c r="BS1467" s="1124"/>
      <c r="BT1467" s="729"/>
      <c r="BU1467" s="526"/>
      <c r="BV1467" s="526"/>
      <c r="BW1467" s="526"/>
      <c r="BX1467" s="1124"/>
      <c r="BY1467" s="526"/>
      <c r="BZ1467" s="526"/>
      <c r="CA1467" s="526"/>
      <c r="CB1467" s="526"/>
      <c r="CC1467" s="1124"/>
      <c r="CD1467" s="1124"/>
      <c r="CE1467" s="1124"/>
      <c r="CF1467" s="1124"/>
      <c r="CG1467" s="533"/>
    </row>
    <row r="1468" spans="1:85" s="613" customFormat="1" x14ac:dyDescent="0.3">
      <c r="A1468" s="478" t="s">
        <v>2081</v>
      </c>
      <c r="B1468" s="523"/>
      <c r="C1468" s="78"/>
      <c r="D1468" s="78"/>
      <c r="E1468" s="78"/>
      <c r="F1468" s="78"/>
      <c r="G1468" s="774"/>
      <c r="H1468" s="774"/>
      <c r="I1468" s="774"/>
      <c r="J1468" s="774"/>
      <c r="K1468" s="78"/>
      <c r="L1468" s="774"/>
      <c r="M1468" s="774"/>
      <c r="N1468" s="774"/>
      <c r="O1468" s="774"/>
      <c r="P1468" s="78"/>
      <c r="Q1468" s="774"/>
      <c r="R1468" s="774"/>
      <c r="S1468" s="774"/>
      <c r="T1468" s="774"/>
      <c r="U1468" s="78"/>
      <c r="V1468" s="774"/>
      <c r="W1468" s="774"/>
      <c r="X1468" s="774"/>
      <c r="Y1468" s="774"/>
      <c r="Z1468" s="78"/>
      <c r="AA1468" s="774"/>
      <c r="AB1468" s="774"/>
      <c r="AC1468" s="774"/>
      <c r="AD1468" s="774"/>
      <c r="AE1468" s="78"/>
      <c r="AF1468" s="774"/>
      <c r="AG1468" s="774"/>
      <c r="AH1468" s="774"/>
      <c r="AI1468" s="774"/>
      <c r="AJ1468" s="78"/>
      <c r="AK1468" s="774"/>
      <c r="AL1468" s="774"/>
      <c r="AM1468" s="774"/>
      <c r="AN1468" s="774"/>
      <c r="AO1468" s="78"/>
      <c r="AP1468" s="774"/>
      <c r="AQ1468" s="774"/>
      <c r="AR1468" s="774"/>
      <c r="AS1468" s="774"/>
      <c r="AT1468" s="78"/>
      <c r="AU1468" s="774"/>
      <c r="AV1468" s="774"/>
      <c r="AW1468" s="774"/>
      <c r="AX1468" s="774"/>
      <c r="AY1468" s="78"/>
      <c r="AZ1468" s="774"/>
      <c r="BA1468" s="774"/>
      <c r="BB1468" s="774"/>
      <c r="BC1468" s="774"/>
      <c r="BD1468" s="78"/>
      <c r="BE1468" s="774"/>
      <c r="BF1468" s="774"/>
      <c r="BG1468" s="774"/>
      <c r="BH1468" s="774"/>
      <c r="BI1468" s="1119">
        <v>4.6520000000000001</v>
      </c>
      <c r="BJ1468" s="774"/>
      <c r="BK1468" s="774"/>
      <c r="BL1468" s="774"/>
      <c r="BM1468" s="774"/>
      <c r="BN1468" s="1119">
        <v>4.6520000000000001</v>
      </c>
      <c r="BO1468" s="774"/>
      <c r="BP1468" s="774"/>
      <c r="BQ1468" s="774"/>
      <c r="BR1468" s="774"/>
      <c r="BS1468" s="78"/>
      <c r="BT1468" s="775"/>
      <c r="BU1468" s="774"/>
      <c r="BV1468" s="774"/>
      <c r="BW1468" s="774"/>
      <c r="BX1468" s="78"/>
      <c r="BY1468" s="774"/>
      <c r="BZ1468" s="774"/>
      <c r="CA1468" s="774"/>
      <c r="CB1468" s="774"/>
      <c r="CC1468" s="78"/>
      <c r="CD1468" s="78"/>
      <c r="CE1468" s="78"/>
      <c r="CF1468" s="78"/>
      <c r="CG1468" s="532"/>
    </row>
    <row r="1469" spans="1:85" s="616" customFormat="1" x14ac:dyDescent="0.3">
      <c r="A1469" s="522" t="s">
        <v>2082</v>
      </c>
      <c r="B1469" s="527"/>
      <c r="C1469" s="1124"/>
      <c r="D1469" s="1124"/>
      <c r="E1469" s="1124"/>
      <c r="F1469" s="1124"/>
      <c r="G1469" s="526"/>
      <c r="H1469" s="526"/>
      <c r="I1469" s="526"/>
      <c r="J1469" s="526"/>
      <c r="K1469" s="1124"/>
      <c r="L1469" s="526"/>
      <c r="M1469" s="526"/>
      <c r="N1469" s="526"/>
      <c r="O1469" s="526"/>
      <c r="P1469" s="1124"/>
      <c r="Q1469" s="526"/>
      <c r="R1469" s="526"/>
      <c r="S1469" s="526"/>
      <c r="T1469" s="526"/>
      <c r="U1469" s="1124"/>
      <c r="V1469" s="526"/>
      <c r="W1469" s="526"/>
      <c r="X1469" s="526"/>
      <c r="Y1469" s="526"/>
      <c r="Z1469" s="1124"/>
      <c r="AA1469" s="526"/>
      <c r="AB1469" s="526"/>
      <c r="AC1469" s="526"/>
      <c r="AD1469" s="526"/>
      <c r="AE1469" s="1124"/>
      <c r="AF1469" s="526"/>
      <c r="AG1469" s="526"/>
      <c r="AH1469" s="526"/>
      <c r="AI1469" s="526"/>
      <c r="AJ1469" s="1124"/>
      <c r="AK1469" s="526"/>
      <c r="AL1469" s="526"/>
      <c r="AM1469" s="526"/>
      <c r="AN1469" s="526"/>
      <c r="AO1469" s="1124"/>
      <c r="AP1469" s="526"/>
      <c r="AQ1469" s="526"/>
      <c r="AR1469" s="526"/>
      <c r="AS1469" s="526"/>
      <c r="AT1469" s="1124"/>
      <c r="AU1469" s="526"/>
      <c r="AV1469" s="526"/>
      <c r="AW1469" s="526"/>
      <c r="AX1469" s="526"/>
      <c r="AY1469" s="1124"/>
      <c r="AZ1469" s="526"/>
      <c r="BA1469" s="526"/>
      <c r="BB1469" s="526"/>
      <c r="BC1469" s="526"/>
      <c r="BD1469" s="1124"/>
      <c r="BE1469" s="526"/>
      <c r="BF1469" s="526"/>
      <c r="BG1469" s="526"/>
      <c r="BH1469" s="526"/>
      <c r="BI1469" s="1123">
        <v>313.48</v>
      </c>
      <c r="BJ1469" s="526"/>
      <c r="BK1469" s="526"/>
      <c r="BL1469" s="526"/>
      <c r="BM1469" s="526"/>
      <c r="BN1469" s="1123">
        <v>313.48</v>
      </c>
      <c r="BO1469" s="526"/>
      <c r="BP1469" s="526"/>
      <c r="BQ1469" s="526"/>
      <c r="BR1469" s="526"/>
      <c r="BS1469" s="1124"/>
      <c r="BT1469" s="729"/>
      <c r="BU1469" s="526"/>
      <c r="BV1469" s="526"/>
      <c r="BW1469" s="526"/>
      <c r="BX1469" s="1124"/>
      <c r="BY1469" s="526"/>
      <c r="BZ1469" s="526"/>
      <c r="CA1469" s="526"/>
      <c r="CB1469" s="526"/>
      <c r="CC1469" s="1124"/>
      <c r="CD1469" s="1124"/>
      <c r="CE1469" s="1124"/>
      <c r="CF1469" s="1124"/>
      <c r="CG1469" s="533"/>
    </row>
    <row r="1470" spans="1:85" s="616" customFormat="1" x14ac:dyDescent="0.3">
      <c r="A1470" s="522"/>
      <c r="B1470" s="527"/>
      <c r="C1470" s="1124"/>
      <c r="D1470" s="1124"/>
      <c r="E1470" s="1124"/>
      <c r="F1470" s="1124"/>
      <c r="G1470" s="526"/>
      <c r="H1470" s="526"/>
      <c r="I1470" s="526"/>
      <c r="J1470" s="526"/>
      <c r="K1470" s="1124"/>
      <c r="L1470" s="526"/>
      <c r="M1470" s="526"/>
      <c r="N1470" s="526"/>
      <c r="O1470" s="526"/>
      <c r="P1470" s="1124"/>
      <c r="Q1470" s="526"/>
      <c r="R1470" s="526"/>
      <c r="S1470" s="526"/>
      <c r="T1470" s="526"/>
      <c r="U1470" s="1124"/>
      <c r="V1470" s="526"/>
      <c r="W1470" s="526"/>
      <c r="X1470" s="526"/>
      <c r="Y1470" s="526"/>
      <c r="Z1470" s="1124"/>
      <c r="AA1470" s="526"/>
      <c r="AB1470" s="526"/>
      <c r="AC1470" s="526"/>
      <c r="AD1470" s="526"/>
      <c r="AE1470" s="1124"/>
      <c r="AF1470" s="526"/>
      <c r="AG1470" s="526"/>
      <c r="AH1470" s="526"/>
      <c r="AI1470" s="526"/>
      <c r="AJ1470" s="1124"/>
      <c r="AK1470" s="526"/>
      <c r="AL1470" s="526"/>
      <c r="AM1470" s="526"/>
      <c r="AN1470" s="526"/>
      <c r="AO1470" s="1124"/>
      <c r="AP1470" s="526"/>
      <c r="AQ1470" s="526"/>
      <c r="AR1470" s="526"/>
      <c r="AS1470" s="526"/>
      <c r="AT1470" s="1124"/>
      <c r="AU1470" s="526"/>
      <c r="AV1470" s="526"/>
      <c r="AW1470" s="526"/>
      <c r="AX1470" s="526"/>
      <c r="AY1470" s="1124"/>
      <c r="AZ1470" s="526"/>
      <c r="BA1470" s="526"/>
      <c r="BB1470" s="526"/>
      <c r="BC1470" s="526"/>
      <c r="BD1470" s="1124"/>
      <c r="BE1470" s="526"/>
      <c r="BF1470" s="526"/>
      <c r="BG1470" s="526"/>
      <c r="BH1470" s="526"/>
      <c r="BI1470" s="1124"/>
      <c r="BJ1470" s="526"/>
      <c r="BK1470" s="526"/>
      <c r="BL1470" s="526"/>
      <c r="BM1470" s="526"/>
      <c r="BN1470" s="1124"/>
      <c r="BO1470" s="526"/>
      <c r="BP1470" s="526"/>
      <c r="BQ1470" s="526"/>
      <c r="BR1470" s="526"/>
      <c r="BS1470" s="1124"/>
      <c r="BT1470" s="729"/>
      <c r="BU1470" s="526"/>
      <c r="BV1470" s="526"/>
      <c r="BW1470" s="526"/>
      <c r="BX1470" s="1124"/>
      <c r="BY1470" s="526"/>
      <c r="BZ1470" s="526"/>
      <c r="CA1470" s="526"/>
      <c r="CB1470" s="526"/>
      <c r="CC1470" s="1124"/>
      <c r="CD1470" s="1124"/>
      <c r="CE1470" s="1124"/>
      <c r="CF1470" s="1124"/>
      <c r="CG1470" s="533"/>
    </row>
    <row r="1471" spans="1:85" s="613" customFormat="1" x14ac:dyDescent="0.3">
      <c r="A1471" s="478" t="s">
        <v>2083</v>
      </c>
      <c r="B1471" s="523"/>
      <c r="C1471" s="78"/>
      <c r="D1471" s="78"/>
      <c r="E1471" s="78"/>
      <c r="F1471" s="78"/>
      <c r="G1471" s="774"/>
      <c r="H1471" s="774"/>
      <c r="I1471" s="774"/>
      <c r="J1471" s="774"/>
      <c r="K1471" s="78"/>
      <c r="L1471" s="774"/>
      <c r="M1471" s="774"/>
      <c r="N1471" s="774"/>
      <c r="O1471" s="774"/>
      <c r="P1471" s="78"/>
      <c r="Q1471" s="774"/>
      <c r="R1471" s="774"/>
      <c r="S1471" s="774"/>
      <c r="T1471" s="774"/>
      <c r="U1471" s="78"/>
      <c r="V1471" s="774"/>
      <c r="W1471" s="774"/>
      <c r="X1471" s="774"/>
      <c r="Y1471" s="774"/>
      <c r="Z1471" s="78"/>
      <c r="AA1471" s="774"/>
      <c r="AB1471" s="774"/>
      <c r="AC1471" s="774"/>
      <c r="AD1471" s="774"/>
      <c r="AE1471" s="78"/>
      <c r="AF1471" s="774"/>
      <c r="AG1471" s="774"/>
      <c r="AH1471" s="774"/>
      <c r="AI1471" s="774"/>
      <c r="AJ1471" s="78"/>
      <c r="AK1471" s="774"/>
      <c r="AL1471" s="774"/>
      <c r="AM1471" s="774"/>
      <c r="AN1471" s="774"/>
      <c r="AO1471" s="78"/>
      <c r="AP1471" s="774"/>
      <c r="AQ1471" s="774"/>
      <c r="AR1471" s="774"/>
      <c r="AS1471" s="774"/>
      <c r="AT1471" s="78"/>
      <c r="AU1471" s="774"/>
      <c r="AV1471" s="774"/>
      <c r="AW1471" s="774"/>
      <c r="AX1471" s="774"/>
      <c r="AY1471" s="78"/>
      <c r="AZ1471" s="774"/>
      <c r="BA1471" s="774"/>
      <c r="BB1471" s="774"/>
      <c r="BC1471" s="774"/>
      <c r="BD1471" s="78"/>
      <c r="BE1471" s="774"/>
      <c r="BF1471" s="774"/>
      <c r="BG1471" s="774"/>
      <c r="BH1471" s="774"/>
      <c r="BI1471" s="1119">
        <v>4.1870000000000003</v>
      </c>
      <c r="BJ1471" s="774"/>
      <c r="BK1471" s="774"/>
      <c r="BL1471" s="774"/>
      <c r="BM1471" s="774"/>
      <c r="BN1471" s="1119">
        <v>4.1870000000000003</v>
      </c>
      <c r="BO1471" s="774"/>
      <c r="BP1471" s="774"/>
      <c r="BQ1471" s="774"/>
      <c r="BR1471" s="774"/>
      <c r="BS1471" s="78"/>
      <c r="BT1471" s="775"/>
      <c r="BU1471" s="774"/>
      <c r="BV1471" s="774"/>
      <c r="BW1471" s="774"/>
      <c r="BX1471" s="78"/>
      <c r="BY1471" s="774"/>
      <c r="BZ1471" s="774"/>
      <c r="CA1471" s="774"/>
      <c r="CB1471" s="774"/>
      <c r="CC1471" s="78"/>
      <c r="CD1471" s="78"/>
      <c r="CE1471" s="78"/>
      <c r="CF1471" s="78"/>
      <c r="CG1471" s="532"/>
    </row>
    <row r="1472" spans="1:85" s="616" customFormat="1" x14ac:dyDescent="0.3">
      <c r="A1472" s="522" t="s">
        <v>2084</v>
      </c>
      <c r="B1472" s="527"/>
      <c r="C1472" s="1124"/>
      <c r="D1472" s="1124"/>
      <c r="E1472" s="1124"/>
      <c r="F1472" s="1124"/>
      <c r="G1472" s="526"/>
      <c r="H1472" s="526"/>
      <c r="I1472" s="526"/>
      <c r="J1472" s="526"/>
      <c r="K1472" s="1124"/>
      <c r="L1472" s="526"/>
      <c r="M1472" s="526"/>
      <c r="N1472" s="526"/>
      <c r="O1472" s="526"/>
      <c r="P1472" s="1124"/>
      <c r="Q1472" s="526"/>
      <c r="R1472" s="526"/>
      <c r="S1472" s="526"/>
      <c r="T1472" s="526"/>
      <c r="U1472" s="1124"/>
      <c r="V1472" s="526"/>
      <c r="W1472" s="526"/>
      <c r="X1472" s="526"/>
      <c r="Y1472" s="526"/>
      <c r="Z1472" s="1124"/>
      <c r="AA1472" s="526"/>
      <c r="AB1472" s="526"/>
      <c r="AC1472" s="526"/>
      <c r="AD1472" s="526"/>
      <c r="AE1472" s="1124"/>
      <c r="AF1472" s="526"/>
      <c r="AG1472" s="526"/>
      <c r="AH1472" s="526"/>
      <c r="AI1472" s="526"/>
      <c r="AJ1472" s="1124"/>
      <c r="AK1472" s="526"/>
      <c r="AL1472" s="526"/>
      <c r="AM1472" s="526"/>
      <c r="AN1472" s="526"/>
      <c r="AO1472" s="1124"/>
      <c r="AP1472" s="526"/>
      <c r="AQ1472" s="526"/>
      <c r="AR1472" s="526"/>
      <c r="AS1472" s="526"/>
      <c r="AT1472" s="1124"/>
      <c r="AU1472" s="526"/>
      <c r="AV1472" s="526"/>
      <c r="AW1472" s="526"/>
      <c r="AX1472" s="526"/>
      <c r="AY1472" s="1124"/>
      <c r="AZ1472" s="526"/>
      <c r="BA1472" s="526"/>
      <c r="BB1472" s="526"/>
      <c r="BC1472" s="526"/>
      <c r="BD1472" s="1124"/>
      <c r="BE1472" s="526"/>
      <c r="BF1472" s="526"/>
      <c r="BG1472" s="526"/>
      <c r="BH1472" s="526"/>
      <c r="BI1472" s="1123">
        <v>348.28</v>
      </c>
      <c r="BJ1472" s="526"/>
      <c r="BK1472" s="526"/>
      <c r="BL1472" s="526"/>
      <c r="BM1472" s="526"/>
      <c r="BN1472" s="1123">
        <v>348.28</v>
      </c>
      <c r="BO1472" s="526"/>
      <c r="BP1472" s="526"/>
      <c r="BQ1472" s="526"/>
      <c r="BR1472" s="526"/>
      <c r="BS1472" s="1124"/>
      <c r="BT1472" s="729"/>
      <c r="BU1472" s="526"/>
      <c r="BV1472" s="526"/>
      <c r="BW1472" s="526"/>
      <c r="BX1472" s="1124"/>
      <c r="BY1472" s="526"/>
      <c r="BZ1472" s="526"/>
      <c r="CA1472" s="526"/>
      <c r="CB1472" s="526"/>
      <c r="CC1472" s="1124"/>
      <c r="CD1472" s="1124"/>
      <c r="CE1472" s="1124"/>
      <c r="CF1472" s="1124"/>
      <c r="CG1472" s="533"/>
    </row>
    <row r="1473" spans="1:85" s="616" customFormat="1" x14ac:dyDescent="0.3">
      <c r="A1473" s="522"/>
      <c r="B1473" s="527"/>
      <c r="C1473" s="1124"/>
      <c r="D1473" s="1124"/>
      <c r="E1473" s="1124"/>
      <c r="F1473" s="1124"/>
      <c r="G1473" s="526"/>
      <c r="H1473" s="526"/>
      <c r="I1473" s="526"/>
      <c r="J1473" s="526"/>
      <c r="K1473" s="1124"/>
      <c r="L1473" s="526"/>
      <c r="M1473" s="526"/>
      <c r="N1473" s="526"/>
      <c r="O1473" s="526"/>
      <c r="P1473" s="1124"/>
      <c r="Q1473" s="526"/>
      <c r="R1473" s="526"/>
      <c r="S1473" s="526"/>
      <c r="T1473" s="526"/>
      <c r="U1473" s="1124"/>
      <c r="V1473" s="526"/>
      <c r="W1473" s="526"/>
      <c r="X1473" s="526"/>
      <c r="Y1473" s="526"/>
      <c r="Z1473" s="1124"/>
      <c r="AA1473" s="526"/>
      <c r="AB1473" s="526"/>
      <c r="AC1473" s="526"/>
      <c r="AD1473" s="526"/>
      <c r="AE1473" s="1124"/>
      <c r="AF1473" s="526"/>
      <c r="AG1473" s="526"/>
      <c r="AH1473" s="526"/>
      <c r="AI1473" s="526"/>
      <c r="AJ1473" s="1124"/>
      <c r="AK1473" s="526"/>
      <c r="AL1473" s="526"/>
      <c r="AM1473" s="526"/>
      <c r="AN1473" s="526"/>
      <c r="AO1473" s="1124"/>
      <c r="AP1473" s="526"/>
      <c r="AQ1473" s="526"/>
      <c r="AR1473" s="526"/>
      <c r="AS1473" s="526"/>
      <c r="AT1473" s="1124"/>
      <c r="AU1473" s="526"/>
      <c r="AV1473" s="526"/>
      <c r="AW1473" s="526"/>
      <c r="AX1473" s="526"/>
      <c r="AY1473" s="1124"/>
      <c r="AZ1473" s="526"/>
      <c r="BA1473" s="526"/>
      <c r="BB1473" s="526"/>
      <c r="BC1473" s="526"/>
      <c r="BD1473" s="1124"/>
      <c r="BE1473" s="526"/>
      <c r="BF1473" s="526"/>
      <c r="BG1473" s="526"/>
      <c r="BH1473" s="526"/>
      <c r="BI1473" s="1124"/>
      <c r="BJ1473" s="526"/>
      <c r="BK1473" s="526"/>
      <c r="BL1473" s="526"/>
      <c r="BM1473" s="526"/>
      <c r="BN1473" s="1124"/>
      <c r="BO1473" s="526"/>
      <c r="BP1473" s="526"/>
      <c r="BQ1473" s="526"/>
      <c r="BR1473" s="526"/>
      <c r="BS1473" s="1124"/>
      <c r="BT1473" s="729"/>
      <c r="BU1473" s="526"/>
      <c r="BV1473" s="526"/>
      <c r="BW1473" s="526"/>
      <c r="BX1473" s="1124"/>
      <c r="BY1473" s="526"/>
      <c r="BZ1473" s="526"/>
      <c r="CA1473" s="526"/>
      <c r="CB1473" s="526"/>
      <c r="CC1473" s="1124"/>
      <c r="CD1473" s="1124"/>
      <c r="CE1473" s="1124"/>
      <c r="CF1473" s="1124"/>
      <c r="CG1473" s="533"/>
    </row>
    <row r="1474" spans="1:85" s="613" customFormat="1" x14ac:dyDescent="0.3">
      <c r="A1474" s="478" t="s">
        <v>2085</v>
      </c>
      <c r="B1474" s="523"/>
      <c r="C1474" s="78"/>
      <c r="D1474" s="78"/>
      <c r="E1474" s="78"/>
      <c r="F1474" s="78"/>
      <c r="G1474" s="774"/>
      <c r="H1474" s="774"/>
      <c r="I1474" s="774"/>
      <c r="J1474" s="774"/>
      <c r="K1474" s="78"/>
      <c r="L1474" s="774"/>
      <c r="M1474" s="774"/>
      <c r="N1474" s="774"/>
      <c r="O1474" s="774"/>
      <c r="P1474" s="78"/>
      <c r="Q1474" s="774"/>
      <c r="R1474" s="774"/>
      <c r="S1474" s="774"/>
      <c r="T1474" s="774"/>
      <c r="U1474" s="78"/>
      <c r="V1474" s="774"/>
      <c r="W1474" s="774"/>
      <c r="X1474" s="774"/>
      <c r="Y1474" s="774"/>
      <c r="Z1474" s="78"/>
      <c r="AA1474" s="774"/>
      <c r="AB1474" s="774"/>
      <c r="AC1474" s="774"/>
      <c r="AD1474" s="774"/>
      <c r="AE1474" s="78"/>
      <c r="AF1474" s="774"/>
      <c r="AG1474" s="774"/>
      <c r="AH1474" s="774"/>
      <c r="AI1474" s="774"/>
      <c r="AJ1474" s="78"/>
      <c r="AK1474" s="774"/>
      <c r="AL1474" s="774"/>
      <c r="AM1474" s="774"/>
      <c r="AN1474" s="774"/>
      <c r="AO1474" s="78"/>
      <c r="AP1474" s="774"/>
      <c r="AQ1474" s="774"/>
      <c r="AR1474" s="774"/>
      <c r="AS1474" s="774"/>
      <c r="AT1474" s="78"/>
      <c r="AU1474" s="774"/>
      <c r="AV1474" s="774"/>
      <c r="AW1474" s="774"/>
      <c r="AX1474" s="774"/>
      <c r="AY1474" s="78"/>
      <c r="AZ1474" s="774"/>
      <c r="BA1474" s="774"/>
      <c r="BB1474" s="774"/>
      <c r="BC1474" s="774"/>
      <c r="BD1474" s="78"/>
      <c r="BE1474" s="774"/>
      <c r="BF1474" s="774"/>
      <c r="BG1474" s="774"/>
      <c r="BH1474" s="774"/>
      <c r="BI1474" s="1119">
        <v>4.5</v>
      </c>
      <c r="BJ1474" s="774"/>
      <c r="BK1474" s="774"/>
      <c r="BL1474" s="774"/>
      <c r="BM1474" s="774"/>
      <c r="BN1474" s="1119">
        <v>4.5</v>
      </c>
      <c r="BO1474" s="774"/>
      <c r="BP1474" s="774"/>
      <c r="BQ1474" s="774"/>
      <c r="BR1474" s="774"/>
      <c r="BS1474" s="78"/>
      <c r="BT1474" s="775"/>
      <c r="BU1474" s="774"/>
      <c r="BV1474" s="774"/>
      <c r="BW1474" s="774"/>
      <c r="BX1474" s="78"/>
      <c r="BY1474" s="774"/>
      <c r="BZ1474" s="774"/>
      <c r="CA1474" s="774"/>
      <c r="CB1474" s="774"/>
      <c r="CC1474" s="78"/>
      <c r="CD1474" s="78"/>
      <c r="CE1474" s="78"/>
      <c r="CF1474" s="78"/>
      <c r="CG1474" s="532"/>
    </row>
    <row r="1475" spans="1:85" s="616" customFormat="1" x14ac:dyDescent="0.3">
      <c r="A1475" s="522" t="s">
        <v>2086</v>
      </c>
      <c r="B1475" s="527"/>
      <c r="C1475" s="1124"/>
      <c r="D1475" s="1124"/>
      <c r="E1475" s="1124"/>
      <c r="F1475" s="1124"/>
      <c r="G1475" s="526"/>
      <c r="H1475" s="526"/>
      <c r="I1475" s="526"/>
      <c r="J1475" s="526"/>
      <c r="K1475" s="1124"/>
      <c r="L1475" s="526"/>
      <c r="M1475" s="526"/>
      <c r="N1475" s="526"/>
      <c r="O1475" s="526"/>
      <c r="P1475" s="1124"/>
      <c r="Q1475" s="526"/>
      <c r="R1475" s="526"/>
      <c r="S1475" s="526"/>
      <c r="T1475" s="526"/>
      <c r="U1475" s="1124"/>
      <c r="V1475" s="526"/>
      <c r="W1475" s="526"/>
      <c r="X1475" s="526"/>
      <c r="Y1475" s="526"/>
      <c r="Z1475" s="1124"/>
      <c r="AA1475" s="526"/>
      <c r="AB1475" s="526"/>
      <c r="AC1475" s="526"/>
      <c r="AD1475" s="526"/>
      <c r="AE1475" s="1124"/>
      <c r="AF1475" s="526"/>
      <c r="AG1475" s="526"/>
      <c r="AH1475" s="526"/>
      <c r="AI1475" s="526"/>
      <c r="AJ1475" s="1124"/>
      <c r="AK1475" s="526"/>
      <c r="AL1475" s="526"/>
      <c r="AM1475" s="526"/>
      <c r="AN1475" s="526"/>
      <c r="AO1475" s="1124"/>
      <c r="AP1475" s="526"/>
      <c r="AQ1475" s="526"/>
      <c r="AR1475" s="526"/>
      <c r="AS1475" s="526"/>
      <c r="AT1475" s="1124"/>
      <c r="AU1475" s="526"/>
      <c r="AV1475" s="526"/>
      <c r="AW1475" s="526"/>
      <c r="AX1475" s="526"/>
      <c r="AY1475" s="1124"/>
      <c r="AZ1475" s="526"/>
      <c r="BA1475" s="526"/>
      <c r="BB1475" s="526"/>
      <c r="BC1475" s="526"/>
      <c r="BD1475" s="1124"/>
      <c r="BE1475" s="526"/>
      <c r="BF1475" s="526"/>
      <c r="BG1475" s="526"/>
      <c r="BH1475" s="526"/>
      <c r="BI1475" s="1123">
        <v>324.12</v>
      </c>
      <c r="BJ1475" s="526"/>
      <c r="BK1475" s="526"/>
      <c r="BL1475" s="526"/>
      <c r="BM1475" s="526"/>
      <c r="BN1475" s="1123">
        <v>324.12</v>
      </c>
      <c r="BO1475" s="526"/>
      <c r="BP1475" s="526"/>
      <c r="BQ1475" s="526"/>
      <c r="BR1475" s="526"/>
      <c r="BS1475" s="1124"/>
      <c r="BT1475" s="729"/>
      <c r="BU1475" s="526"/>
      <c r="BV1475" s="526"/>
      <c r="BW1475" s="526"/>
      <c r="BX1475" s="1124"/>
      <c r="BY1475" s="526"/>
      <c r="BZ1475" s="526"/>
      <c r="CA1475" s="526"/>
      <c r="CB1475" s="526"/>
      <c r="CC1475" s="1124"/>
      <c r="CD1475" s="1124"/>
      <c r="CE1475" s="1124"/>
      <c r="CF1475" s="1124"/>
      <c r="CG1475" s="533"/>
    </row>
    <row r="1476" spans="1:85" s="616" customFormat="1" x14ac:dyDescent="0.3">
      <c r="A1476" s="522"/>
      <c r="B1476" s="527"/>
      <c r="C1476" s="1124"/>
      <c r="D1476" s="1124"/>
      <c r="E1476" s="1124"/>
      <c r="F1476" s="1124"/>
      <c r="G1476" s="526"/>
      <c r="H1476" s="526"/>
      <c r="I1476" s="526"/>
      <c r="J1476" s="526"/>
      <c r="K1476" s="1124"/>
      <c r="L1476" s="526"/>
      <c r="M1476" s="526"/>
      <c r="N1476" s="526"/>
      <c r="O1476" s="526"/>
      <c r="P1476" s="1124"/>
      <c r="Q1476" s="526"/>
      <c r="R1476" s="526"/>
      <c r="S1476" s="526"/>
      <c r="T1476" s="526"/>
      <c r="U1476" s="1124"/>
      <c r="V1476" s="526"/>
      <c r="W1476" s="526"/>
      <c r="X1476" s="526"/>
      <c r="Y1476" s="526"/>
      <c r="Z1476" s="1124"/>
      <c r="AA1476" s="526"/>
      <c r="AB1476" s="526"/>
      <c r="AC1476" s="526"/>
      <c r="AD1476" s="526"/>
      <c r="AE1476" s="1124"/>
      <c r="AF1476" s="526"/>
      <c r="AG1476" s="526"/>
      <c r="AH1476" s="526"/>
      <c r="AI1476" s="526"/>
      <c r="AJ1476" s="1124"/>
      <c r="AK1476" s="526"/>
      <c r="AL1476" s="526"/>
      <c r="AM1476" s="526"/>
      <c r="AN1476" s="526"/>
      <c r="AO1476" s="1124"/>
      <c r="AP1476" s="526"/>
      <c r="AQ1476" s="526"/>
      <c r="AR1476" s="526"/>
      <c r="AS1476" s="526"/>
      <c r="AT1476" s="1124"/>
      <c r="AU1476" s="526"/>
      <c r="AV1476" s="526"/>
      <c r="AW1476" s="526"/>
      <c r="AX1476" s="526"/>
      <c r="AY1476" s="1124"/>
      <c r="AZ1476" s="526"/>
      <c r="BA1476" s="526"/>
      <c r="BB1476" s="526"/>
      <c r="BC1476" s="526"/>
      <c r="BD1476" s="1124"/>
      <c r="BE1476" s="526"/>
      <c r="BF1476" s="526"/>
      <c r="BG1476" s="526"/>
      <c r="BH1476" s="526"/>
      <c r="BI1476" s="1124"/>
      <c r="BJ1476" s="526"/>
      <c r="BK1476" s="526"/>
      <c r="BL1476" s="526"/>
      <c r="BM1476" s="526"/>
      <c r="BN1476" s="1124"/>
      <c r="BO1476" s="526"/>
      <c r="BP1476" s="526"/>
      <c r="BQ1476" s="526"/>
      <c r="BR1476" s="526"/>
      <c r="BS1476" s="1124"/>
      <c r="BT1476" s="729"/>
      <c r="BU1476" s="526"/>
      <c r="BV1476" s="526"/>
      <c r="BW1476" s="526"/>
      <c r="BX1476" s="1124"/>
      <c r="BY1476" s="526"/>
      <c r="BZ1476" s="526"/>
      <c r="CA1476" s="526"/>
      <c r="CB1476" s="526"/>
      <c r="CC1476" s="1124"/>
      <c r="CD1476" s="1124"/>
      <c r="CE1476" s="1124"/>
      <c r="CF1476" s="1124"/>
      <c r="CG1476" s="533"/>
    </row>
    <row r="1477" spans="1:85" s="613" customFormat="1" x14ac:dyDescent="0.3">
      <c r="A1477" s="478" t="s">
        <v>2087</v>
      </c>
      <c r="B1477" s="523"/>
      <c r="C1477" s="78"/>
      <c r="D1477" s="78"/>
      <c r="E1477" s="78"/>
      <c r="F1477" s="78"/>
      <c r="G1477" s="774"/>
      <c r="H1477" s="774"/>
      <c r="I1477" s="774"/>
      <c r="J1477" s="774"/>
      <c r="K1477" s="78"/>
      <c r="L1477" s="774"/>
      <c r="M1477" s="774"/>
      <c r="N1477" s="774"/>
      <c r="O1477" s="774"/>
      <c r="P1477" s="78"/>
      <c r="Q1477" s="774"/>
      <c r="R1477" s="774"/>
      <c r="S1477" s="774"/>
      <c r="T1477" s="774"/>
      <c r="U1477" s="78"/>
      <c r="V1477" s="774"/>
      <c r="W1477" s="774"/>
      <c r="X1477" s="774"/>
      <c r="Y1477" s="774"/>
      <c r="Z1477" s="78"/>
      <c r="AA1477" s="774"/>
      <c r="AB1477" s="774"/>
      <c r="AC1477" s="774"/>
      <c r="AD1477" s="774"/>
      <c r="AE1477" s="78"/>
      <c r="AF1477" s="774"/>
      <c r="AG1477" s="774"/>
      <c r="AH1477" s="774"/>
      <c r="AI1477" s="774"/>
      <c r="AJ1477" s="78"/>
      <c r="AK1477" s="774"/>
      <c r="AL1477" s="774"/>
      <c r="AM1477" s="774"/>
      <c r="AN1477" s="774"/>
      <c r="AO1477" s="78"/>
      <c r="AP1477" s="774"/>
      <c r="AQ1477" s="774"/>
      <c r="AR1477" s="774"/>
      <c r="AS1477" s="774"/>
      <c r="AT1477" s="78"/>
      <c r="AU1477" s="774"/>
      <c r="AV1477" s="774"/>
      <c r="AW1477" s="774"/>
      <c r="AX1477" s="774"/>
      <c r="AY1477" s="78"/>
      <c r="AZ1477" s="774"/>
      <c r="BA1477" s="774"/>
      <c r="BB1477" s="774"/>
      <c r="BC1477" s="774"/>
      <c r="BD1477" s="78"/>
      <c r="BE1477" s="774"/>
      <c r="BF1477" s="774"/>
      <c r="BG1477" s="774"/>
      <c r="BH1477" s="774"/>
      <c r="BI1477" s="1119">
        <v>3.617</v>
      </c>
      <c r="BJ1477" s="774"/>
      <c r="BK1477" s="774"/>
      <c r="BL1477" s="774"/>
      <c r="BM1477" s="774"/>
      <c r="BN1477" s="1119">
        <v>3.617</v>
      </c>
      <c r="BO1477" s="774"/>
      <c r="BP1477" s="774"/>
      <c r="BQ1477" s="774"/>
      <c r="BR1477" s="774"/>
      <c r="BS1477" s="78"/>
      <c r="BT1477" s="775"/>
      <c r="BU1477" s="774"/>
      <c r="BV1477" s="774"/>
      <c r="BW1477" s="774"/>
      <c r="BX1477" s="78"/>
      <c r="BY1477" s="774"/>
      <c r="BZ1477" s="774"/>
      <c r="CA1477" s="774"/>
      <c r="CB1477" s="774"/>
      <c r="CC1477" s="78"/>
      <c r="CD1477" s="78"/>
      <c r="CE1477" s="78"/>
      <c r="CF1477" s="78"/>
      <c r="CG1477" s="532"/>
    </row>
    <row r="1478" spans="1:85" s="616" customFormat="1" x14ac:dyDescent="0.3">
      <c r="A1478" s="522" t="s">
        <v>2088</v>
      </c>
      <c r="B1478" s="527"/>
      <c r="C1478" s="1124"/>
      <c r="D1478" s="1124"/>
      <c r="E1478" s="1124"/>
      <c r="F1478" s="1124"/>
      <c r="G1478" s="526"/>
      <c r="H1478" s="526"/>
      <c r="I1478" s="526"/>
      <c r="J1478" s="526"/>
      <c r="K1478" s="1124"/>
      <c r="L1478" s="526"/>
      <c r="M1478" s="526"/>
      <c r="N1478" s="526"/>
      <c r="O1478" s="526"/>
      <c r="P1478" s="1124"/>
      <c r="Q1478" s="526"/>
      <c r="R1478" s="526"/>
      <c r="S1478" s="526"/>
      <c r="T1478" s="526"/>
      <c r="U1478" s="1124"/>
      <c r="V1478" s="526"/>
      <c r="W1478" s="526"/>
      <c r="X1478" s="526"/>
      <c r="Y1478" s="526"/>
      <c r="Z1478" s="1124"/>
      <c r="AA1478" s="526"/>
      <c r="AB1478" s="526"/>
      <c r="AC1478" s="526"/>
      <c r="AD1478" s="526"/>
      <c r="AE1478" s="1124"/>
      <c r="AF1478" s="526"/>
      <c r="AG1478" s="526"/>
      <c r="AH1478" s="526"/>
      <c r="AI1478" s="526"/>
      <c r="AJ1478" s="1124"/>
      <c r="AK1478" s="526"/>
      <c r="AL1478" s="526"/>
      <c r="AM1478" s="526"/>
      <c r="AN1478" s="526"/>
      <c r="AO1478" s="1124"/>
      <c r="AP1478" s="526"/>
      <c r="AQ1478" s="526"/>
      <c r="AR1478" s="526"/>
      <c r="AS1478" s="526"/>
      <c r="AT1478" s="1124"/>
      <c r="AU1478" s="526"/>
      <c r="AV1478" s="526"/>
      <c r="AW1478" s="526"/>
      <c r="AX1478" s="526"/>
      <c r="AY1478" s="1124"/>
      <c r="AZ1478" s="526"/>
      <c r="BA1478" s="526"/>
      <c r="BB1478" s="526"/>
      <c r="BC1478" s="526"/>
      <c r="BD1478" s="1124"/>
      <c r="BE1478" s="526"/>
      <c r="BF1478" s="526"/>
      <c r="BG1478" s="526"/>
      <c r="BH1478" s="526"/>
      <c r="BI1478" s="1123">
        <v>403.13</v>
      </c>
      <c r="BJ1478" s="526"/>
      <c r="BK1478" s="526"/>
      <c r="BL1478" s="526"/>
      <c r="BM1478" s="526"/>
      <c r="BN1478" s="1123">
        <v>403.13</v>
      </c>
      <c r="BO1478" s="526"/>
      <c r="BP1478" s="526"/>
      <c r="BQ1478" s="526"/>
      <c r="BR1478" s="526"/>
      <c r="BS1478" s="1124"/>
      <c r="BT1478" s="729"/>
      <c r="BU1478" s="526"/>
      <c r="BV1478" s="526"/>
      <c r="BW1478" s="526"/>
      <c r="BX1478" s="1124"/>
      <c r="BY1478" s="526"/>
      <c r="BZ1478" s="526"/>
      <c r="CA1478" s="526"/>
      <c r="CB1478" s="526"/>
      <c r="CC1478" s="1124"/>
      <c r="CD1478" s="1124"/>
      <c r="CE1478" s="1124"/>
      <c r="CF1478" s="1124"/>
      <c r="CG1478" s="533"/>
    </row>
    <row r="1479" spans="1:85" s="616" customFormat="1" x14ac:dyDescent="0.3">
      <c r="A1479" s="522"/>
      <c r="B1479" s="527"/>
      <c r="C1479" s="1124"/>
      <c r="D1479" s="1124"/>
      <c r="E1479" s="1124"/>
      <c r="F1479" s="1124"/>
      <c r="G1479" s="526"/>
      <c r="H1479" s="526"/>
      <c r="I1479" s="526"/>
      <c r="J1479" s="526"/>
      <c r="K1479" s="1124"/>
      <c r="L1479" s="526"/>
      <c r="M1479" s="526"/>
      <c r="N1479" s="526"/>
      <c r="O1479" s="526"/>
      <c r="P1479" s="1124"/>
      <c r="Q1479" s="526"/>
      <c r="R1479" s="526"/>
      <c r="S1479" s="526"/>
      <c r="T1479" s="526"/>
      <c r="U1479" s="1124"/>
      <c r="V1479" s="526"/>
      <c r="W1479" s="526"/>
      <c r="X1479" s="526"/>
      <c r="Y1479" s="526"/>
      <c r="Z1479" s="1124"/>
      <c r="AA1479" s="526"/>
      <c r="AB1479" s="526"/>
      <c r="AC1479" s="526"/>
      <c r="AD1479" s="526"/>
      <c r="AE1479" s="1124"/>
      <c r="AF1479" s="526"/>
      <c r="AG1479" s="526"/>
      <c r="AH1479" s="526"/>
      <c r="AI1479" s="526"/>
      <c r="AJ1479" s="1124"/>
      <c r="AK1479" s="526"/>
      <c r="AL1479" s="526"/>
      <c r="AM1479" s="526"/>
      <c r="AN1479" s="526"/>
      <c r="AO1479" s="1124"/>
      <c r="AP1479" s="526"/>
      <c r="AQ1479" s="526"/>
      <c r="AR1479" s="526"/>
      <c r="AS1479" s="526"/>
      <c r="AT1479" s="1124"/>
      <c r="AU1479" s="526"/>
      <c r="AV1479" s="526"/>
      <c r="AW1479" s="526"/>
      <c r="AX1479" s="526"/>
      <c r="AY1479" s="1124"/>
      <c r="AZ1479" s="526"/>
      <c r="BA1479" s="526"/>
      <c r="BB1479" s="526"/>
      <c r="BC1479" s="526"/>
      <c r="BD1479" s="1124"/>
      <c r="BE1479" s="526"/>
      <c r="BF1479" s="526"/>
      <c r="BG1479" s="526"/>
      <c r="BH1479" s="526"/>
      <c r="BI1479" s="1124"/>
      <c r="BJ1479" s="526"/>
      <c r="BK1479" s="526"/>
      <c r="BL1479" s="526"/>
      <c r="BM1479" s="526"/>
      <c r="BN1479" s="1124"/>
      <c r="BO1479" s="526"/>
      <c r="BP1479" s="526"/>
      <c r="BQ1479" s="526"/>
      <c r="BR1479" s="526"/>
      <c r="BS1479" s="1124"/>
      <c r="BT1479" s="729"/>
      <c r="BU1479" s="526"/>
      <c r="BV1479" s="526"/>
      <c r="BW1479" s="526"/>
      <c r="BX1479" s="1124"/>
      <c r="BY1479" s="526"/>
      <c r="BZ1479" s="526"/>
      <c r="CA1479" s="526"/>
      <c r="CB1479" s="526"/>
      <c r="CC1479" s="1124"/>
      <c r="CD1479" s="1124"/>
      <c r="CE1479" s="1124"/>
      <c r="CF1479" s="1124"/>
      <c r="CG1479" s="533"/>
    </row>
    <row r="1480" spans="1:85" s="613" customFormat="1" x14ac:dyDescent="0.3">
      <c r="A1480" s="478" t="s">
        <v>2089</v>
      </c>
      <c r="B1480" s="523"/>
      <c r="C1480" s="78"/>
      <c r="D1480" s="78"/>
      <c r="E1480" s="78"/>
      <c r="F1480" s="78"/>
      <c r="G1480" s="774"/>
      <c r="H1480" s="774"/>
      <c r="I1480" s="774"/>
      <c r="J1480" s="774"/>
      <c r="K1480" s="78"/>
      <c r="L1480" s="774"/>
      <c r="M1480" s="774"/>
      <c r="N1480" s="774"/>
      <c r="O1480" s="774"/>
      <c r="P1480" s="78"/>
      <c r="Q1480" s="774"/>
      <c r="R1480" s="774"/>
      <c r="S1480" s="774"/>
      <c r="T1480" s="774"/>
      <c r="U1480" s="78"/>
      <c r="V1480" s="774"/>
      <c r="W1480" s="774"/>
      <c r="X1480" s="774"/>
      <c r="Y1480" s="774"/>
      <c r="Z1480" s="78"/>
      <c r="AA1480" s="774"/>
      <c r="AB1480" s="774"/>
      <c r="AC1480" s="774"/>
      <c r="AD1480" s="774"/>
      <c r="AE1480" s="78"/>
      <c r="AF1480" s="774"/>
      <c r="AG1480" s="774"/>
      <c r="AH1480" s="774"/>
      <c r="AI1480" s="774"/>
      <c r="AJ1480" s="78"/>
      <c r="AK1480" s="774"/>
      <c r="AL1480" s="774"/>
      <c r="AM1480" s="774"/>
      <c r="AN1480" s="774"/>
      <c r="AO1480" s="78"/>
      <c r="AP1480" s="774"/>
      <c r="AQ1480" s="774"/>
      <c r="AR1480" s="774"/>
      <c r="AS1480" s="774"/>
      <c r="AT1480" s="78"/>
      <c r="AU1480" s="774"/>
      <c r="AV1480" s="774"/>
      <c r="AW1480" s="774"/>
      <c r="AX1480" s="774"/>
      <c r="AY1480" s="78"/>
      <c r="AZ1480" s="774"/>
      <c r="BA1480" s="774"/>
      <c r="BB1480" s="774"/>
      <c r="BC1480" s="774"/>
      <c r="BD1480" s="78"/>
      <c r="BE1480" s="774"/>
      <c r="BF1480" s="774"/>
      <c r="BG1480" s="774"/>
      <c r="BH1480" s="774"/>
      <c r="BI1480" s="1119">
        <v>3.3039999999999998</v>
      </c>
      <c r="BJ1480" s="774"/>
      <c r="BK1480" s="774"/>
      <c r="BL1480" s="774"/>
      <c r="BM1480" s="774"/>
      <c r="BN1480" s="1119">
        <v>3.3039999999999998</v>
      </c>
      <c r="BO1480" s="774"/>
      <c r="BP1480" s="774"/>
      <c r="BQ1480" s="774"/>
      <c r="BR1480" s="774"/>
      <c r="BS1480" s="78"/>
      <c r="BT1480" s="775"/>
      <c r="BU1480" s="774"/>
      <c r="BV1480" s="774"/>
      <c r="BW1480" s="774"/>
      <c r="BX1480" s="78"/>
      <c r="BY1480" s="774"/>
      <c r="BZ1480" s="774"/>
      <c r="CA1480" s="774"/>
      <c r="CB1480" s="774"/>
      <c r="CC1480" s="78"/>
      <c r="CD1480" s="78"/>
      <c r="CE1480" s="78"/>
      <c r="CF1480" s="78"/>
      <c r="CG1480" s="532"/>
    </row>
    <row r="1481" spans="1:85" s="616" customFormat="1" x14ac:dyDescent="0.3">
      <c r="A1481" s="522" t="s">
        <v>2090</v>
      </c>
      <c r="B1481" s="527"/>
      <c r="C1481" s="1124"/>
      <c r="D1481" s="1124"/>
      <c r="E1481" s="1124"/>
      <c r="F1481" s="1124"/>
      <c r="G1481" s="526"/>
      <c r="H1481" s="526"/>
      <c r="I1481" s="526"/>
      <c r="J1481" s="526"/>
      <c r="K1481" s="1124"/>
      <c r="L1481" s="526"/>
      <c r="M1481" s="526"/>
      <c r="N1481" s="526"/>
      <c r="O1481" s="526"/>
      <c r="P1481" s="1124"/>
      <c r="Q1481" s="526"/>
      <c r="R1481" s="526"/>
      <c r="S1481" s="526"/>
      <c r="T1481" s="526"/>
      <c r="U1481" s="1124"/>
      <c r="V1481" s="526"/>
      <c r="W1481" s="526"/>
      <c r="X1481" s="526"/>
      <c r="Y1481" s="526"/>
      <c r="Z1481" s="1124"/>
      <c r="AA1481" s="526"/>
      <c r="AB1481" s="526"/>
      <c r="AC1481" s="526"/>
      <c r="AD1481" s="526"/>
      <c r="AE1481" s="1124"/>
      <c r="AF1481" s="526"/>
      <c r="AG1481" s="526"/>
      <c r="AH1481" s="526"/>
      <c r="AI1481" s="526"/>
      <c r="AJ1481" s="1124"/>
      <c r="AK1481" s="526"/>
      <c r="AL1481" s="526"/>
      <c r="AM1481" s="526"/>
      <c r="AN1481" s="526"/>
      <c r="AO1481" s="1124"/>
      <c r="AP1481" s="526"/>
      <c r="AQ1481" s="526"/>
      <c r="AR1481" s="526"/>
      <c r="AS1481" s="526"/>
      <c r="AT1481" s="1124"/>
      <c r="AU1481" s="526"/>
      <c r="AV1481" s="526"/>
      <c r="AW1481" s="526"/>
      <c r="AX1481" s="526"/>
      <c r="AY1481" s="1124"/>
      <c r="AZ1481" s="526"/>
      <c r="BA1481" s="526"/>
      <c r="BB1481" s="526"/>
      <c r="BC1481" s="526"/>
      <c r="BD1481" s="1124"/>
      <c r="BE1481" s="526"/>
      <c r="BF1481" s="526"/>
      <c r="BG1481" s="526"/>
      <c r="BH1481" s="526"/>
      <c r="BI1481" s="1123">
        <v>441.44</v>
      </c>
      <c r="BJ1481" s="526"/>
      <c r="BK1481" s="526"/>
      <c r="BL1481" s="526"/>
      <c r="BM1481" s="526"/>
      <c r="BN1481" s="1123">
        <v>441.44</v>
      </c>
      <c r="BO1481" s="526"/>
      <c r="BP1481" s="526"/>
      <c r="BQ1481" s="526"/>
      <c r="BR1481" s="526"/>
      <c r="BS1481" s="1124"/>
      <c r="BT1481" s="729"/>
      <c r="BU1481" s="526"/>
      <c r="BV1481" s="526"/>
      <c r="BW1481" s="526"/>
      <c r="BX1481" s="1124"/>
      <c r="BY1481" s="526"/>
      <c r="BZ1481" s="526"/>
      <c r="CA1481" s="526"/>
      <c r="CB1481" s="526"/>
      <c r="CC1481" s="1124"/>
      <c r="CD1481" s="1124"/>
      <c r="CE1481" s="1124"/>
      <c r="CF1481" s="1124"/>
      <c r="CG1481" s="533"/>
    </row>
    <row r="1482" spans="1:85" s="616" customFormat="1" x14ac:dyDescent="0.3">
      <c r="A1482" s="522"/>
      <c r="B1482" s="527"/>
      <c r="C1482" s="1124"/>
      <c r="D1482" s="1124"/>
      <c r="E1482" s="1124"/>
      <c r="F1482" s="1124"/>
      <c r="G1482" s="526"/>
      <c r="H1482" s="526"/>
      <c r="I1482" s="526"/>
      <c r="J1482" s="526"/>
      <c r="K1482" s="1124"/>
      <c r="L1482" s="526"/>
      <c r="M1482" s="526"/>
      <c r="N1482" s="526"/>
      <c r="O1482" s="526"/>
      <c r="P1482" s="1124"/>
      <c r="Q1482" s="526"/>
      <c r="R1482" s="526"/>
      <c r="S1482" s="526"/>
      <c r="T1482" s="526"/>
      <c r="U1482" s="1124"/>
      <c r="V1482" s="526"/>
      <c r="W1482" s="526"/>
      <c r="X1482" s="526"/>
      <c r="Y1482" s="526"/>
      <c r="Z1482" s="1124"/>
      <c r="AA1482" s="526"/>
      <c r="AB1482" s="526"/>
      <c r="AC1482" s="526"/>
      <c r="AD1482" s="526"/>
      <c r="AE1482" s="1124"/>
      <c r="AF1482" s="526"/>
      <c r="AG1482" s="526"/>
      <c r="AH1482" s="526"/>
      <c r="AI1482" s="526"/>
      <c r="AJ1482" s="1124"/>
      <c r="AK1482" s="526"/>
      <c r="AL1482" s="526"/>
      <c r="AM1482" s="526"/>
      <c r="AN1482" s="526"/>
      <c r="AO1482" s="1124"/>
      <c r="AP1482" s="526"/>
      <c r="AQ1482" s="526"/>
      <c r="AR1482" s="526"/>
      <c r="AS1482" s="526"/>
      <c r="AT1482" s="1124"/>
      <c r="AU1482" s="526"/>
      <c r="AV1482" s="526"/>
      <c r="AW1482" s="526"/>
      <c r="AX1482" s="526"/>
      <c r="AY1482" s="1124"/>
      <c r="AZ1482" s="526"/>
      <c r="BA1482" s="526"/>
      <c r="BB1482" s="526"/>
      <c r="BC1482" s="526"/>
      <c r="BD1482" s="1124"/>
      <c r="BE1482" s="526"/>
      <c r="BF1482" s="526"/>
      <c r="BG1482" s="526"/>
      <c r="BH1482" s="526"/>
      <c r="BI1482" s="1124"/>
      <c r="BJ1482" s="526"/>
      <c r="BK1482" s="526"/>
      <c r="BL1482" s="526"/>
      <c r="BM1482" s="526"/>
      <c r="BN1482" s="1124"/>
      <c r="BO1482" s="526"/>
      <c r="BP1482" s="526"/>
      <c r="BQ1482" s="526"/>
      <c r="BR1482" s="526"/>
      <c r="BS1482" s="1124"/>
      <c r="BT1482" s="729"/>
      <c r="BU1482" s="526"/>
      <c r="BV1482" s="526"/>
      <c r="BW1482" s="526"/>
      <c r="BX1482" s="1124"/>
      <c r="BY1482" s="526"/>
      <c r="BZ1482" s="526"/>
      <c r="CA1482" s="526"/>
      <c r="CB1482" s="526"/>
      <c r="CC1482" s="1124"/>
      <c r="CD1482" s="1124"/>
      <c r="CE1482" s="1124"/>
      <c r="CF1482" s="1124"/>
      <c r="CG1482" s="533"/>
    </row>
    <row r="1483" spans="1:85" s="613" customFormat="1" x14ac:dyDescent="0.3">
      <c r="A1483" s="478" t="s">
        <v>2091</v>
      </c>
      <c r="B1483" s="523"/>
      <c r="C1483" s="78"/>
      <c r="D1483" s="78"/>
      <c r="E1483" s="78"/>
      <c r="F1483" s="78"/>
      <c r="G1483" s="774"/>
      <c r="H1483" s="774"/>
      <c r="I1483" s="774"/>
      <c r="J1483" s="774"/>
      <c r="K1483" s="78"/>
      <c r="L1483" s="774"/>
      <c r="M1483" s="774"/>
      <c r="N1483" s="774"/>
      <c r="O1483" s="774"/>
      <c r="P1483" s="78"/>
      <c r="Q1483" s="774"/>
      <c r="R1483" s="774"/>
      <c r="S1483" s="774"/>
      <c r="T1483" s="774"/>
      <c r="U1483" s="78"/>
      <c r="V1483" s="774"/>
      <c r="W1483" s="774"/>
      <c r="X1483" s="774"/>
      <c r="Y1483" s="774"/>
      <c r="Z1483" s="78"/>
      <c r="AA1483" s="774"/>
      <c r="AB1483" s="774"/>
      <c r="AC1483" s="774"/>
      <c r="AD1483" s="774"/>
      <c r="AE1483" s="78"/>
      <c r="AF1483" s="774"/>
      <c r="AG1483" s="774"/>
      <c r="AH1483" s="774"/>
      <c r="AI1483" s="774"/>
      <c r="AJ1483" s="78"/>
      <c r="AK1483" s="774"/>
      <c r="AL1483" s="774"/>
      <c r="AM1483" s="774"/>
      <c r="AN1483" s="774"/>
      <c r="AO1483" s="78"/>
      <c r="AP1483" s="774"/>
      <c r="AQ1483" s="774"/>
      <c r="AR1483" s="774"/>
      <c r="AS1483" s="774"/>
      <c r="AT1483" s="78"/>
      <c r="AU1483" s="774"/>
      <c r="AV1483" s="774"/>
      <c r="AW1483" s="774"/>
      <c r="AX1483" s="774"/>
      <c r="AY1483" s="78"/>
      <c r="AZ1483" s="774"/>
      <c r="BA1483" s="774"/>
      <c r="BB1483" s="774"/>
      <c r="BC1483" s="774"/>
      <c r="BD1483" s="78"/>
      <c r="BE1483" s="774"/>
      <c r="BF1483" s="774"/>
      <c r="BG1483" s="774"/>
      <c r="BH1483" s="774"/>
      <c r="BI1483" s="1119">
        <v>3.3239999999999998</v>
      </c>
      <c r="BJ1483" s="774"/>
      <c r="BK1483" s="774"/>
      <c r="BL1483" s="774"/>
      <c r="BM1483" s="774"/>
      <c r="BN1483" s="1119">
        <v>3.3239999999999998</v>
      </c>
      <c r="BO1483" s="774"/>
      <c r="BP1483" s="774"/>
      <c r="BQ1483" s="774"/>
      <c r="BR1483" s="774"/>
      <c r="BS1483" s="78"/>
      <c r="BT1483" s="775"/>
      <c r="BU1483" s="774"/>
      <c r="BV1483" s="774"/>
      <c r="BW1483" s="774"/>
      <c r="BX1483" s="78"/>
      <c r="BY1483" s="774"/>
      <c r="BZ1483" s="774"/>
      <c r="CA1483" s="774"/>
      <c r="CB1483" s="774"/>
      <c r="CC1483" s="78"/>
      <c r="CD1483" s="78"/>
      <c r="CE1483" s="78"/>
      <c r="CF1483" s="78"/>
      <c r="CG1483" s="532"/>
    </row>
    <row r="1484" spans="1:85" s="616" customFormat="1" x14ac:dyDescent="0.3">
      <c r="A1484" s="522" t="s">
        <v>2092</v>
      </c>
      <c r="B1484" s="527"/>
      <c r="C1484" s="1124"/>
      <c r="D1484" s="1124"/>
      <c r="E1484" s="1124"/>
      <c r="F1484" s="1124"/>
      <c r="G1484" s="526"/>
      <c r="H1484" s="526"/>
      <c r="I1484" s="526"/>
      <c r="J1484" s="526"/>
      <c r="K1484" s="1124"/>
      <c r="L1484" s="526"/>
      <c r="M1484" s="526"/>
      <c r="N1484" s="526"/>
      <c r="O1484" s="526"/>
      <c r="P1484" s="1124"/>
      <c r="Q1484" s="526"/>
      <c r="R1484" s="526"/>
      <c r="S1484" s="526"/>
      <c r="T1484" s="526"/>
      <c r="U1484" s="1124"/>
      <c r="V1484" s="526"/>
      <c r="W1484" s="526"/>
      <c r="X1484" s="526"/>
      <c r="Y1484" s="526"/>
      <c r="Z1484" s="1124"/>
      <c r="AA1484" s="526"/>
      <c r="AB1484" s="526"/>
      <c r="AC1484" s="526"/>
      <c r="AD1484" s="526"/>
      <c r="AE1484" s="1124"/>
      <c r="AF1484" s="526"/>
      <c r="AG1484" s="526"/>
      <c r="AH1484" s="526"/>
      <c r="AI1484" s="526"/>
      <c r="AJ1484" s="1124"/>
      <c r="AK1484" s="526"/>
      <c r="AL1484" s="526"/>
      <c r="AM1484" s="526"/>
      <c r="AN1484" s="526"/>
      <c r="AO1484" s="1124"/>
      <c r="AP1484" s="526"/>
      <c r="AQ1484" s="526"/>
      <c r="AR1484" s="526"/>
      <c r="AS1484" s="526"/>
      <c r="AT1484" s="1124"/>
      <c r="AU1484" s="526"/>
      <c r="AV1484" s="526"/>
      <c r="AW1484" s="526"/>
      <c r="AX1484" s="526"/>
      <c r="AY1484" s="1124"/>
      <c r="AZ1484" s="526"/>
      <c r="BA1484" s="526"/>
      <c r="BB1484" s="526"/>
      <c r="BC1484" s="526"/>
      <c r="BD1484" s="1124"/>
      <c r="BE1484" s="526"/>
      <c r="BF1484" s="526"/>
      <c r="BG1484" s="526"/>
      <c r="BH1484" s="526"/>
      <c r="BI1484" s="1123">
        <v>438.62</v>
      </c>
      <c r="BJ1484" s="526"/>
      <c r="BK1484" s="526"/>
      <c r="BL1484" s="526"/>
      <c r="BM1484" s="526"/>
      <c r="BN1484" s="1123">
        <v>438.62</v>
      </c>
      <c r="BO1484" s="526"/>
      <c r="BP1484" s="526"/>
      <c r="BQ1484" s="526"/>
      <c r="BR1484" s="526"/>
      <c r="BS1484" s="1124"/>
      <c r="BT1484" s="729"/>
      <c r="BU1484" s="526"/>
      <c r="BV1484" s="526"/>
      <c r="BW1484" s="526"/>
      <c r="BX1484" s="1124"/>
      <c r="BY1484" s="526"/>
      <c r="BZ1484" s="526"/>
      <c r="CA1484" s="526"/>
      <c r="CB1484" s="526"/>
      <c r="CC1484" s="1124"/>
      <c r="CD1484" s="1124"/>
      <c r="CE1484" s="1124"/>
      <c r="CF1484" s="1124"/>
      <c r="CG1484" s="533"/>
    </row>
    <row r="1485" spans="1:85" s="616" customFormat="1" x14ac:dyDescent="0.3">
      <c r="A1485" s="522"/>
      <c r="B1485" s="527"/>
      <c r="C1485" s="1124"/>
      <c r="D1485" s="1124"/>
      <c r="E1485" s="1124"/>
      <c r="F1485" s="1124"/>
      <c r="G1485" s="526"/>
      <c r="H1485" s="526"/>
      <c r="I1485" s="526"/>
      <c r="J1485" s="526"/>
      <c r="K1485" s="1124"/>
      <c r="L1485" s="526"/>
      <c r="M1485" s="526"/>
      <c r="N1485" s="526"/>
      <c r="O1485" s="526"/>
      <c r="P1485" s="1124"/>
      <c r="Q1485" s="526"/>
      <c r="R1485" s="526"/>
      <c r="S1485" s="526"/>
      <c r="T1485" s="526"/>
      <c r="U1485" s="1124"/>
      <c r="V1485" s="526"/>
      <c r="W1485" s="526"/>
      <c r="X1485" s="526"/>
      <c r="Y1485" s="526"/>
      <c r="Z1485" s="1124"/>
      <c r="AA1485" s="526"/>
      <c r="AB1485" s="526"/>
      <c r="AC1485" s="526"/>
      <c r="AD1485" s="526"/>
      <c r="AE1485" s="1124"/>
      <c r="AF1485" s="526"/>
      <c r="AG1485" s="526"/>
      <c r="AH1485" s="526"/>
      <c r="AI1485" s="526"/>
      <c r="AJ1485" s="1124"/>
      <c r="AK1485" s="526"/>
      <c r="AL1485" s="526"/>
      <c r="AM1485" s="526"/>
      <c r="AN1485" s="526"/>
      <c r="AO1485" s="1124"/>
      <c r="AP1485" s="526"/>
      <c r="AQ1485" s="526"/>
      <c r="AR1485" s="526"/>
      <c r="AS1485" s="526"/>
      <c r="AT1485" s="1124"/>
      <c r="AU1485" s="526"/>
      <c r="AV1485" s="526"/>
      <c r="AW1485" s="526"/>
      <c r="AX1485" s="526"/>
      <c r="AY1485" s="1124"/>
      <c r="AZ1485" s="526"/>
      <c r="BA1485" s="526"/>
      <c r="BB1485" s="526"/>
      <c r="BC1485" s="526"/>
      <c r="BD1485" s="1124"/>
      <c r="BE1485" s="526"/>
      <c r="BF1485" s="526"/>
      <c r="BG1485" s="526"/>
      <c r="BH1485" s="526"/>
      <c r="BI1485" s="1124"/>
      <c r="BJ1485" s="526"/>
      <c r="BK1485" s="526"/>
      <c r="BL1485" s="526"/>
      <c r="BM1485" s="526"/>
      <c r="BN1485" s="1124"/>
      <c r="BO1485" s="526"/>
      <c r="BP1485" s="526"/>
      <c r="BQ1485" s="526"/>
      <c r="BR1485" s="526"/>
      <c r="BS1485" s="1124"/>
      <c r="BT1485" s="729"/>
      <c r="BU1485" s="526"/>
      <c r="BV1485" s="526"/>
      <c r="BW1485" s="526"/>
      <c r="BX1485" s="1124"/>
      <c r="BY1485" s="526"/>
      <c r="BZ1485" s="526"/>
      <c r="CA1485" s="526"/>
      <c r="CB1485" s="526"/>
      <c r="CC1485" s="1124"/>
      <c r="CD1485" s="1124"/>
      <c r="CE1485" s="1124"/>
      <c r="CF1485" s="1124"/>
      <c r="CG1485" s="533"/>
    </row>
    <row r="1486" spans="1:85" s="613" customFormat="1" x14ac:dyDescent="0.3">
      <c r="A1486" s="478" t="s">
        <v>2093</v>
      </c>
      <c r="B1486" s="523"/>
      <c r="C1486" s="78"/>
      <c r="D1486" s="78"/>
      <c r="E1486" s="78"/>
      <c r="F1486" s="78"/>
      <c r="G1486" s="774"/>
      <c r="H1486" s="774"/>
      <c r="I1486" s="774"/>
      <c r="J1486" s="774"/>
      <c r="K1486" s="78"/>
      <c r="L1486" s="774"/>
      <c r="M1486" s="774"/>
      <c r="N1486" s="774"/>
      <c r="O1486" s="774"/>
      <c r="P1486" s="78"/>
      <c r="Q1486" s="774"/>
      <c r="R1486" s="774"/>
      <c r="S1486" s="774"/>
      <c r="T1486" s="774"/>
      <c r="U1486" s="78"/>
      <c r="V1486" s="774"/>
      <c r="W1486" s="774"/>
      <c r="X1486" s="774"/>
      <c r="Y1486" s="774"/>
      <c r="Z1486" s="78"/>
      <c r="AA1486" s="774"/>
      <c r="AB1486" s="774"/>
      <c r="AC1486" s="774"/>
      <c r="AD1486" s="774"/>
      <c r="AE1486" s="78"/>
      <c r="AF1486" s="774"/>
      <c r="AG1486" s="774"/>
      <c r="AH1486" s="774"/>
      <c r="AI1486" s="774"/>
      <c r="AJ1486" s="78"/>
      <c r="AK1486" s="774"/>
      <c r="AL1486" s="774"/>
      <c r="AM1486" s="774"/>
      <c r="AN1486" s="774"/>
      <c r="AO1486" s="78"/>
      <c r="AP1486" s="774"/>
      <c r="AQ1486" s="774"/>
      <c r="AR1486" s="774"/>
      <c r="AS1486" s="774"/>
      <c r="AT1486" s="78"/>
      <c r="AU1486" s="774"/>
      <c r="AV1486" s="774"/>
      <c r="AW1486" s="774"/>
      <c r="AX1486" s="774"/>
      <c r="AY1486" s="78"/>
      <c r="AZ1486" s="774"/>
      <c r="BA1486" s="774"/>
      <c r="BB1486" s="774"/>
      <c r="BC1486" s="774"/>
      <c r="BD1486" s="78"/>
      <c r="BE1486" s="774"/>
      <c r="BF1486" s="774"/>
      <c r="BG1486" s="774"/>
      <c r="BH1486" s="774"/>
      <c r="BI1486" s="1119">
        <v>3.3159999999999998</v>
      </c>
      <c r="BJ1486" s="774"/>
      <c r="BK1486" s="774"/>
      <c r="BL1486" s="774"/>
      <c r="BM1486" s="774"/>
      <c r="BN1486" s="1119">
        <v>3.3159999999999998</v>
      </c>
      <c r="BO1486" s="774"/>
      <c r="BP1486" s="774"/>
      <c r="BQ1486" s="774"/>
      <c r="BR1486" s="774"/>
      <c r="BS1486" s="78"/>
      <c r="BT1486" s="775"/>
      <c r="BU1486" s="774"/>
      <c r="BV1486" s="774"/>
      <c r="BW1486" s="774"/>
      <c r="BX1486" s="78"/>
      <c r="BY1486" s="774"/>
      <c r="BZ1486" s="774"/>
      <c r="CA1486" s="774"/>
      <c r="CB1486" s="774"/>
      <c r="CC1486" s="78"/>
      <c r="CD1486" s="78"/>
      <c r="CE1486" s="78"/>
      <c r="CF1486" s="78"/>
      <c r="CG1486" s="532"/>
    </row>
    <row r="1487" spans="1:85" s="616" customFormat="1" x14ac:dyDescent="0.3">
      <c r="A1487" s="522" t="s">
        <v>2094</v>
      </c>
      <c r="B1487" s="527"/>
      <c r="C1487" s="1124"/>
      <c r="D1487" s="1124"/>
      <c r="E1487" s="1124"/>
      <c r="F1487" s="1124"/>
      <c r="G1487" s="526"/>
      <c r="H1487" s="526"/>
      <c r="I1487" s="526"/>
      <c r="J1487" s="526"/>
      <c r="K1487" s="1124"/>
      <c r="L1487" s="526"/>
      <c r="M1487" s="526"/>
      <c r="N1487" s="526"/>
      <c r="O1487" s="526"/>
      <c r="P1487" s="1124"/>
      <c r="Q1487" s="526"/>
      <c r="R1487" s="526"/>
      <c r="S1487" s="526"/>
      <c r="T1487" s="526"/>
      <c r="U1487" s="1124"/>
      <c r="V1487" s="526"/>
      <c r="W1487" s="526"/>
      <c r="X1487" s="526"/>
      <c r="Y1487" s="526"/>
      <c r="Z1487" s="1124"/>
      <c r="AA1487" s="526"/>
      <c r="AB1487" s="526"/>
      <c r="AC1487" s="526"/>
      <c r="AD1487" s="526"/>
      <c r="AE1487" s="1124"/>
      <c r="AF1487" s="526"/>
      <c r="AG1487" s="526"/>
      <c r="AH1487" s="526"/>
      <c r="AI1487" s="526"/>
      <c r="AJ1487" s="1124"/>
      <c r="AK1487" s="526"/>
      <c r="AL1487" s="526"/>
      <c r="AM1487" s="526"/>
      <c r="AN1487" s="526"/>
      <c r="AO1487" s="1124"/>
      <c r="AP1487" s="526"/>
      <c r="AQ1487" s="526"/>
      <c r="AR1487" s="526"/>
      <c r="AS1487" s="526"/>
      <c r="AT1487" s="1124"/>
      <c r="AU1487" s="526"/>
      <c r="AV1487" s="526"/>
      <c r="AW1487" s="526"/>
      <c r="AX1487" s="526"/>
      <c r="AY1487" s="1124"/>
      <c r="AZ1487" s="526"/>
      <c r="BA1487" s="526"/>
      <c r="BB1487" s="526"/>
      <c r="BC1487" s="526"/>
      <c r="BD1487" s="1124"/>
      <c r="BE1487" s="526"/>
      <c r="BF1487" s="526"/>
      <c r="BG1487" s="526"/>
      <c r="BH1487" s="526"/>
      <c r="BI1487" s="1123">
        <v>439.88</v>
      </c>
      <c r="BJ1487" s="526"/>
      <c r="BK1487" s="526"/>
      <c r="BL1487" s="526"/>
      <c r="BM1487" s="526"/>
      <c r="BN1487" s="1123">
        <v>439.88</v>
      </c>
      <c r="BO1487" s="526"/>
      <c r="BP1487" s="526"/>
      <c r="BQ1487" s="526"/>
      <c r="BR1487" s="526"/>
      <c r="BS1487" s="1124"/>
      <c r="BT1487" s="729"/>
      <c r="BU1487" s="526"/>
      <c r="BV1487" s="526"/>
      <c r="BW1487" s="526"/>
      <c r="BX1487" s="1124"/>
      <c r="BY1487" s="526"/>
      <c r="BZ1487" s="526"/>
      <c r="CA1487" s="526"/>
      <c r="CB1487" s="526"/>
      <c r="CC1487" s="1124"/>
      <c r="CD1487" s="1124"/>
      <c r="CE1487" s="1124"/>
      <c r="CF1487" s="1124"/>
      <c r="CG1487" s="533"/>
    </row>
    <row r="1488" spans="1:85" s="616" customFormat="1" x14ac:dyDescent="0.3">
      <c r="A1488" s="522"/>
      <c r="B1488" s="527"/>
      <c r="C1488" s="1124"/>
      <c r="D1488" s="1124"/>
      <c r="E1488" s="1124"/>
      <c r="F1488" s="1124"/>
      <c r="G1488" s="526"/>
      <c r="H1488" s="526"/>
      <c r="I1488" s="526"/>
      <c r="J1488" s="526"/>
      <c r="K1488" s="1124"/>
      <c r="L1488" s="526"/>
      <c r="M1488" s="526"/>
      <c r="N1488" s="526"/>
      <c r="O1488" s="526"/>
      <c r="P1488" s="1124"/>
      <c r="Q1488" s="526"/>
      <c r="R1488" s="526"/>
      <c r="S1488" s="526"/>
      <c r="T1488" s="526"/>
      <c r="U1488" s="1124"/>
      <c r="V1488" s="526"/>
      <c r="W1488" s="526"/>
      <c r="X1488" s="526"/>
      <c r="Y1488" s="526"/>
      <c r="Z1488" s="1124"/>
      <c r="AA1488" s="526"/>
      <c r="AB1488" s="526"/>
      <c r="AC1488" s="526"/>
      <c r="AD1488" s="526"/>
      <c r="AE1488" s="1124"/>
      <c r="AF1488" s="526"/>
      <c r="AG1488" s="526"/>
      <c r="AH1488" s="526"/>
      <c r="AI1488" s="526"/>
      <c r="AJ1488" s="1124"/>
      <c r="AK1488" s="526"/>
      <c r="AL1488" s="526"/>
      <c r="AM1488" s="526"/>
      <c r="AN1488" s="526"/>
      <c r="AO1488" s="1124"/>
      <c r="AP1488" s="526"/>
      <c r="AQ1488" s="526"/>
      <c r="AR1488" s="526"/>
      <c r="AS1488" s="526"/>
      <c r="AT1488" s="1124"/>
      <c r="AU1488" s="526"/>
      <c r="AV1488" s="526"/>
      <c r="AW1488" s="526"/>
      <c r="AX1488" s="526"/>
      <c r="AY1488" s="1124"/>
      <c r="AZ1488" s="526"/>
      <c r="BA1488" s="526"/>
      <c r="BB1488" s="526"/>
      <c r="BC1488" s="526"/>
      <c r="BD1488" s="1124"/>
      <c r="BE1488" s="526"/>
      <c r="BF1488" s="526"/>
      <c r="BG1488" s="526"/>
      <c r="BH1488" s="526"/>
      <c r="BI1488" s="1124"/>
      <c r="BJ1488" s="526"/>
      <c r="BK1488" s="526"/>
      <c r="BL1488" s="526"/>
      <c r="BM1488" s="526"/>
      <c r="BN1488" s="1124"/>
      <c r="BO1488" s="526"/>
      <c r="BP1488" s="526"/>
      <c r="BQ1488" s="526"/>
      <c r="BR1488" s="526"/>
      <c r="BS1488" s="1124"/>
      <c r="BT1488" s="729"/>
      <c r="BU1488" s="526"/>
      <c r="BV1488" s="526"/>
      <c r="BW1488" s="526"/>
      <c r="BX1488" s="1124"/>
      <c r="BY1488" s="526"/>
      <c r="BZ1488" s="526"/>
      <c r="CA1488" s="526"/>
      <c r="CB1488" s="526"/>
      <c r="CC1488" s="1124"/>
      <c r="CD1488" s="1124"/>
      <c r="CE1488" s="1124"/>
      <c r="CF1488" s="1124"/>
      <c r="CG1488" s="533"/>
    </row>
    <row r="1489" spans="1:85" s="613" customFormat="1" x14ac:dyDescent="0.3">
      <c r="A1489" s="478" t="s">
        <v>2095</v>
      </c>
      <c r="B1489" s="523"/>
      <c r="C1489" s="78"/>
      <c r="D1489" s="78"/>
      <c r="E1489" s="78"/>
      <c r="F1489" s="78"/>
      <c r="G1489" s="774"/>
      <c r="H1489" s="774"/>
      <c r="I1489" s="774"/>
      <c r="J1489" s="774"/>
      <c r="K1489" s="78"/>
      <c r="L1489" s="774"/>
      <c r="M1489" s="774"/>
      <c r="N1489" s="774"/>
      <c r="O1489" s="774"/>
      <c r="P1489" s="78"/>
      <c r="Q1489" s="774"/>
      <c r="R1489" s="774"/>
      <c r="S1489" s="774"/>
      <c r="T1489" s="774"/>
      <c r="U1489" s="78"/>
      <c r="V1489" s="774"/>
      <c r="W1489" s="774"/>
      <c r="X1489" s="774"/>
      <c r="Y1489" s="774"/>
      <c r="Z1489" s="78"/>
      <c r="AA1489" s="774"/>
      <c r="AB1489" s="774"/>
      <c r="AC1489" s="774"/>
      <c r="AD1489" s="774"/>
      <c r="AE1489" s="78"/>
      <c r="AF1489" s="774"/>
      <c r="AG1489" s="774"/>
      <c r="AH1489" s="774"/>
      <c r="AI1489" s="774"/>
      <c r="AJ1489" s="78"/>
      <c r="AK1489" s="774"/>
      <c r="AL1489" s="774"/>
      <c r="AM1489" s="774"/>
      <c r="AN1489" s="774"/>
      <c r="AO1489" s="78"/>
      <c r="AP1489" s="774"/>
      <c r="AQ1489" s="774"/>
      <c r="AR1489" s="774"/>
      <c r="AS1489" s="774"/>
      <c r="AT1489" s="78"/>
      <c r="AU1489" s="774"/>
      <c r="AV1489" s="774"/>
      <c r="AW1489" s="774"/>
      <c r="AX1489" s="774"/>
      <c r="AY1489" s="78"/>
      <c r="AZ1489" s="774"/>
      <c r="BA1489" s="774"/>
      <c r="BB1489" s="774"/>
      <c r="BC1489" s="774"/>
      <c r="BD1489" s="78"/>
      <c r="BE1489" s="774"/>
      <c r="BF1489" s="774"/>
      <c r="BG1489" s="774"/>
      <c r="BH1489" s="774"/>
      <c r="BI1489" s="1119">
        <v>3.8340000000000001</v>
      </c>
      <c r="BJ1489" s="774"/>
      <c r="BK1489" s="774"/>
      <c r="BL1489" s="774"/>
      <c r="BM1489" s="774"/>
      <c r="BN1489" s="1119">
        <v>3.8340000000000001</v>
      </c>
      <c r="BO1489" s="774"/>
      <c r="BP1489" s="774"/>
      <c r="BQ1489" s="774"/>
      <c r="BR1489" s="774"/>
      <c r="BS1489" s="78"/>
      <c r="BT1489" s="775"/>
      <c r="BU1489" s="774"/>
      <c r="BV1489" s="774"/>
      <c r="BW1489" s="774"/>
      <c r="BX1489" s="78"/>
      <c r="BY1489" s="774"/>
      <c r="BZ1489" s="774"/>
      <c r="CA1489" s="774"/>
      <c r="CB1489" s="774"/>
      <c r="CC1489" s="78"/>
      <c r="CD1489" s="78"/>
      <c r="CE1489" s="78"/>
      <c r="CF1489" s="78"/>
      <c r="CG1489" s="532"/>
    </row>
    <row r="1490" spans="1:85" s="616" customFormat="1" x14ac:dyDescent="0.3">
      <c r="A1490" s="522" t="s">
        <v>2096</v>
      </c>
      <c r="B1490" s="527"/>
      <c r="C1490" s="1124"/>
      <c r="D1490" s="1124"/>
      <c r="E1490" s="1124"/>
      <c r="F1490" s="1124"/>
      <c r="G1490" s="526"/>
      <c r="H1490" s="526"/>
      <c r="I1490" s="526"/>
      <c r="J1490" s="526"/>
      <c r="K1490" s="1124"/>
      <c r="L1490" s="526"/>
      <c r="M1490" s="526"/>
      <c r="N1490" s="526"/>
      <c r="O1490" s="526"/>
      <c r="P1490" s="1124"/>
      <c r="Q1490" s="526"/>
      <c r="R1490" s="526"/>
      <c r="S1490" s="526"/>
      <c r="T1490" s="526"/>
      <c r="U1490" s="1124"/>
      <c r="V1490" s="526"/>
      <c r="W1490" s="526"/>
      <c r="X1490" s="526"/>
      <c r="Y1490" s="526"/>
      <c r="Z1490" s="1124"/>
      <c r="AA1490" s="526"/>
      <c r="AB1490" s="526"/>
      <c r="AC1490" s="526"/>
      <c r="AD1490" s="526"/>
      <c r="AE1490" s="1124"/>
      <c r="AF1490" s="526"/>
      <c r="AG1490" s="526"/>
      <c r="AH1490" s="526"/>
      <c r="AI1490" s="526"/>
      <c r="AJ1490" s="1124"/>
      <c r="AK1490" s="526"/>
      <c r="AL1490" s="526"/>
      <c r="AM1490" s="526"/>
      <c r="AN1490" s="526"/>
      <c r="AO1490" s="1124"/>
      <c r="AP1490" s="526"/>
      <c r="AQ1490" s="526"/>
      <c r="AR1490" s="526"/>
      <c r="AS1490" s="526"/>
      <c r="AT1490" s="1124"/>
      <c r="AU1490" s="526"/>
      <c r="AV1490" s="526"/>
      <c r="AW1490" s="526"/>
      <c r="AX1490" s="526"/>
      <c r="AY1490" s="1124"/>
      <c r="AZ1490" s="526"/>
      <c r="BA1490" s="526"/>
      <c r="BB1490" s="526"/>
      <c r="BC1490" s="526"/>
      <c r="BD1490" s="1124"/>
      <c r="BE1490" s="526"/>
      <c r="BF1490" s="526"/>
      <c r="BG1490" s="526"/>
      <c r="BH1490" s="526"/>
      <c r="BI1490" s="1123">
        <v>380.33</v>
      </c>
      <c r="BJ1490" s="526"/>
      <c r="BK1490" s="526"/>
      <c r="BL1490" s="526"/>
      <c r="BM1490" s="526"/>
      <c r="BN1490" s="1123">
        <v>380.33</v>
      </c>
      <c r="BO1490" s="526"/>
      <c r="BP1490" s="526"/>
      <c r="BQ1490" s="526"/>
      <c r="BR1490" s="526"/>
      <c r="BS1490" s="1124"/>
      <c r="BT1490" s="729"/>
      <c r="BU1490" s="526"/>
      <c r="BV1490" s="526"/>
      <c r="BW1490" s="526"/>
      <c r="BX1490" s="1124"/>
      <c r="BY1490" s="526"/>
      <c r="BZ1490" s="526"/>
      <c r="CA1490" s="526"/>
      <c r="CB1490" s="526"/>
      <c r="CC1490" s="1124"/>
      <c r="CD1490" s="1124"/>
      <c r="CE1490" s="1124"/>
      <c r="CF1490" s="1124"/>
      <c r="CG1490" s="533"/>
    </row>
    <row r="1491" spans="1:85" s="616" customFormat="1" x14ac:dyDescent="0.3">
      <c r="A1491" s="522"/>
      <c r="B1491" s="527"/>
      <c r="C1491" s="1124"/>
      <c r="D1491" s="1124"/>
      <c r="E1491" s="1124"/>
      <c r="F1491" s="1124"/>
      <c r="G1491" s="526"/>
      <c r="H1491" s="526"/>
      <c r="I1491" s="526"/>
      <c r="J1491" s="526"/>
      <c r="K1491" s="1124"/>
      <c r="L1491" s="526"/>
      <c r="M1491" s="526"/>
      <c r="N1491" s="526"/>
      <c r="O1491" s="526"/>
      <c r="P1491" s="1124"/>
      <c r="Q1491" s="526"/>
      <c r="R1491" s="526"/>
      <c r="S1491" s="526"/>
      <c r="T1491" s="526"/>
      <c r="U1491" s="1124"/>
      <c r="V1491" s="526"/>
      <c r="W1491" s="526"/>
      <c r="X1491" s="526"/>
      <c r="Y1491" s="526"/>
      <c r="Z1491" s="1124"/>
      <c r="AA1491" s="526"/>
      <c r="AB1491" s="526"/>
      <c r="AC1491" s="526"/>
      <c r="AD1491" s="526"/>
      <c r="AE1491" s="1124"/>
      <c r="AF1491" s="526"/>
      <c r="AG1491" s="526"/>
      <c r="AH1491" s="526"/>
      <c r="AI1491" s="526"/>
      <c r="AJ1491" s="1124"/>
      <c r="AK1491" s="526"/>
      <c r="AL1491" s="526"/>
      <c r="AM1491" s="526"/>
      <c r="AN1491" s="526"/>
      <c r="AO1491" s="1124"/>
      <c r="AP1491" s="526"/>
      <c r="AQ1491" s="526"/>
      <c r="AR1491" s="526"/>
      <c r="AS1491" s="526"/>
      <c r="AT1491" s="1124"/>
      <c r="AU1491" s="526"/>
      <c r="AV1491" s="526"/>
      <c r="AW1491" s="526"/>
      <c r="AX1491" s="526"/>
      <c r="AY1491" s="1124"/>
      <c r="AZ1491" s="526"/>
      <c r="BA1491" s="526"/>
      <c r="BB1491" s="526"/>
      <c r="BC1491" s="526"/>
      <c r="BD1491" s="1124"/>
      <c r="BE1491" s="526"/>
      <c r="BF1491" s="526"/>
      <c r="BG1491" s="526"/>
      <c r="BH1491" s="526"/>
      <c r="BI1491" s="1124"/>
      <c r="BJ1491" s="526"/>
      <c r="BK1491" s="526"/>
      <c r="BL1491" s="526"/>
      <c r="BM1491" s="526"/>
      <c r="BN1491" s="1124"/>
      <c r="BO1491" s="526"/>
      <c r="BP1491" s="526"/>
      <c r="BQ1491" s="526"/>
      <c r="BR1491" s="526"/>
      <c r="BS1491" s="1124"/>
      <c r="BT1491" s="729"/>
      <c r="BU1491" s="526"/>
      <c r="BV1491" s="526"/>
      <c r="BW1491" s="526"/>
      <c r="BX1491" s="1124"/>
      <c r="BY1491" s="526"/>
      <c r="BZ1491" s="526"/>
      <c r="CA1491" s="526"/>
      <c r="CB1491" s="526"/>
      <c r="CC1491" s="1124"/>
      <c r="CD1491" s="1124"/>
      <c r="CE1491" s="1124"/>
      <c r="CF1491" s="1124"/>
      <c r="CG1491" s="533"/>
    </row>
    <row r="1492" spans="1:85" s="613" customFormat="1" x14ac:dyDescent="0.3">
      <c r="A1492" s="478" t="s">
        <v>2097</v>
      </c>
      <c r="B1492" s="523"/>
      <c r="C1492" s="78"/>
      <c r="D1492" s="78"/>
      <c r="E1492" s="78"/>
      <c r="F1492" s="78"/>
      <c r="G1492" s="774"/>
      <c r="H1492" s="774"/>
      <c r="I1492" s="774"/>
      <c r="J1492" s="774"/>
      <c r="K1492" s="78"/>
      <c r="L1492" s="774"/>
      <c r="M1492" s="774"/>
      <c r="N1492" s="774"/>
      <c r="O1492" s="774"/>
      <c r="P1492" s="78"/>
      <c r="Q1492" s="774"/>
      <c r="R1492" s="774"/>
      <c r="S1492" s="774"/>
      <c r="T1492" s="774"/>
      <c r="U1492" s="78"/>
      <c r="V1492" s="774"/>
      <c r="W1492" s="774"/>
      <c r="X1492" s="774"/>
      <c r="Y1492" s="774"/>
      <c r="Z1492" s="78"/>
      <c r="AA1492" s="774"/>
      <c r="AB1492" s="774"/>
      <c r="AC1492" s="774"/>
      <c r="AD1492" s="774"/>
      <c r="AE1492" s="78"/>
      <c r="AF1492" s="774"/>
      <c r="AG1492" s="774"/>
      <c r="AH1492" s="774"/>
      <c r="AI1492" s="774"/>
      <c r="AJ1492" s="78"/>
      <c r="AK1492" s="774"/>
      <c r="AL1492" s="774"/>
      <c r="AM1492" s="774"/>
      <c r="AN1492" s="774"/>
      <c r="AO1492" s="78"/>
      <c r="AP1492" s="774"/>
      <c r="AQ1492" s="774"/>
      <c r="AR1492" s="774"/>
      <c r="AS1492" s="774"/>
      <c r="AT1492" s="78"/>
      <c r="AU1492" s="774"/>
      <c r="AV1492" s="774"/>
      <c r="AW1492" s="774"/>
      <c r="AX1492" s="774"/>
      <c r="AY1492" s="78"/>
      <c r="AZ1492" s="774"/>
      <c r="BA1492" s="774"/>
      <c r="BB1492" s="774"/>
      <c r="BC1492" s="774"/>
      <c r="BD1492" s="78"/>
      <c r="BE1492" s="774"/>
      <c r="BF1492" s="774"/>
      <c r="BG1492" s="774"/>
      <c r="BH1492" s="774"/>
      <c r="BI1492" s="1119">
        <v>3.4710000000000001</v>
      </c>
      <c r="BJ1492" s="774"/>
      <c r="BK1492" s="774"/>
      <c r="BL1492" s="774"/>
      <c r="BM1492" s="774"/>
      <c r="BN1492" s="1119">
        <v>3.4710000000000001</v>
      </c>
      <c r="BO1492" s="774"/>
      <c r="BP1492" s="774"/>
      <c r="BQ1492" s="774"/>
      <c r="BR1492" s="774"/>
      <c r="BS1492" s="78"/>
      <c r="BT1492" s="775"/>
      <c r="BU1492" s="774"/>
      <c r="BV1492" s="774"/>
      <c r="BW1492" s="774"/>
      <c r="BX1492" s="78"/>
      <c r="BY1492" s="774"/>
      <c r="BZ1492" s="774"/>
      <c r="CA1492" s="774"/>
      <c r="CB1492" s="774"/>
      <c r="CC1492" s="78"/>
      <c r="CD1492" s="78"/>
      <c r="CE1492" s="78"/>
      <c r="CF1492" s="78"/>
      <c r="CG1492" s="532"/>
    </row>
    <row r="1493" spans="1:85" s="616" customFormat="1" x14ac:dyDescent="0.3">
      <c r="A1493" s="522" t="s">
        <v>2098</v>
      </c>
      <c r="B1493" s="527"/>
      <c r="C1493" s="1124"/>
      <c r="D1493" s="1124"/>
      <c r="E1493" s="1124"/>
      <c r="F1493" s="1124"/>
      <c r="G1493" s="526"/>
      <c r="H1493" s="526"/>
      <c r="I1493" s="526"/>
      <c r="J1493" s="526"/>
      <c r="K1493" s="1124"/>
      <c r="L1493" s="526"/>
      <c r="M1493" s="526"/>
      <c r="N1493" s="526"/>
      <c r="O1493" s="526"/>
      <c r="P1493" s="1124"/>
      <c r="Q1493" s="526"/>
      <c r="R1493" s="526"/>
      <c r="S1493" s="526"/>
      <c r="T1493" s="526"/>
      <c r="U1493" s="1124"/>
      <c r="V1493" s="526"/>
      <c r="W1493" s="526"/>
      <c r="X1493" s="526"/>
      <c r="Y1493" s="526"/>
      <c r="Z1493" s="1124"/>
      <c r="AA1493" s="526"/>
      <c r="AB1493" s="526"/>
      <c r="AC1493" s="526"/>
      <c r="AD1493" s="526"/>
      <c r="AE1493" s="1124"/>
      <c r="AF1493" s="526"/>
      <c r="AG1493" s="526"/>
      <c r="AH1493" s="526"/>
      <c r="AI1493" s="526"/>
      <c r="AJ1493" s="1124"/>
      <c r="AK1493" s="526"/>
      <c r="AL1493" s="526"/>
      <c r="AM1493" s="526"/>
      <c r="AN1493" s="526"/>
      <c r="AO1493" s="1124"/>
      <c r="AP1493" s="526"/>
      <c r="AQ1493" s="526"/>
      <c r="AR1493" s="526"/>
      <c r="AS1493" s="526"/>
      <c r="AT1493" s="1124"/>
      <c r="AU1493" s="526"/>
      <c r="AV1493" s="526"/>
      <c r="AW1493" s="526"/>
      <c r="AX1493" s="526"/>
      <c r="AY1493" s="1124"/>
      <c r="AZ1493" s="526"/>
      <c r="BA1493" s="526"/>
      <c r="BB1493" s="526"/>
      <c r="BC1493" s="526"/>
      <c r="BD1493" s="1124"/>
      <c r="BE1493" s="526"/>
      <c r="BF1493" s="526"/>
      <c r="BG1493" s="526"/>
      <c r="BH1493" s="526"/>
      <c r="BI1493" s="1123">
        <v>420.19</v>
      </c>
      <c r="BJ1493" s="526"/>
      <c r="BK1493" s="526"/>
      <c r="BL1493" s="526"/>
      <c r="BM1493" s="526"/>
      <c r="BN1493" s="1123">
        <v>420.19</v>
      </c>
      <c r="BO1493" s="526"/>
      <c r="BP1493" s="526"/>
      <c r="BQ1493" s="526"/>
      <c r="BR1493" s="526"/>
      <c r="BS1493" s="1124"/>
      <c r="BT1493" s="729"/>
      <c r="BU1493" s="526"/>
      <c r="BV1493" s="526"/>
      <c r="BW1493" s="526"/>
      <c r="BX1493" s="1124"/>
      <c r="BY1493" s="526"/>
      <c r="BZ1493" s="526"/>
      <c r="CA1493" s="526"/>
      <c r="CB1493" s="526"/>
      <c r="CC1493" s="1124"/>
      <c r="CD1493" s="1124"/>
      <c r="CE1493" s="1124"/>
      <c r="CF1493" s="1124"/>
      <c r="CG1493" s="533"/>
    </row>
    <row r="1494" spans="1:85" s="616" customFormat="1" x14ac:dyDescent="0.3">
      <c r="A1494" s="522"/>
      <c r="B1494" s="527"/>
      <c r="C1494" s="1124"/>
      <c r="D1494" s="1124"/>
      <c r="E1494" s="1124"/>
      <c r="F1494" s="1124"/>
      <c r="G1494" s="526"/>
      <c r="H1494" s="526"/>
      <c r="I1494" s="526"/>
      <c r="J1494" s="526"/>
      <c r="K1494" s="1124"/>
      <c r="L1494" s="526"/>
      <c r="M1494" s="526"/>
      <c r="N1494" s="526"/>
      <c r="O1494" s="526"/>
      <c r="P1494" s="1124"/>
      <c r="Q1494" s="526"/>
      <c r="R1494" s="526"/>
      <c r="S1494" s="526"/>
      <c r="T1494" s="526"/>
      <c r="U1494" s="1124"/>
      <c r="V1494" s="526"/>
      <c r="W1494" s="526"/>
      <c r="X1494" s="526"/>
      <c r="Y1494" s="526"/>
      <c r="Z1494" s="1124"/>
      <c r="AA1494" s="526"/>
      <c r="AB1494" s="526"/>
      <c r="AC1494" s="526"/>
      <c r="AD1494" s="526"/>
      <c r="AE1494" s="1124"/>
      <c r="AF1494" s="526"/>
      <c r="AG1494" s="526"/>
      <c r="AH1494" s="526"/>
      <c r="AI1494" s="526"/>
      <c r="AJ1494" s="1124"/>
      <c r="AK1494" s="526"/>
      <c r="AL1494" s="526"/>
      <c r="AM1494" s="526"/>
      <c r="AN1494" s="526"/>
      <c r="AO1494" s="1124"/>
      <c r="AP1494" s="526"/>
      <c r="AQ1494" s="526"/>
      <c r="AR1494" s="526"/>
      <c r="AS1494" s="526"/>
      <c r="AT1494" s="1124"/>
      <c r="AU1494" s="526"/>
      <c r="AV1494" s="526"/>
      <c r="AW1494" s="526"/>
      <c r="AX1494" s="526"/>
      <c r="AY1494" s="1124"/>
      <c r="AZ1494" s="526"/>
      <c r="BA1494" s="526"/>
      <c r="BB1494" s="526"/>
      <c r="BC1494" s="526"/>
      <c r="BD1494" s="1124"/>
      <c r="BE1494" s="526"/>
      <c r="BF1494" s="526"/>
      <c r="BG1494" s="526"/>
      <c r="BH1494" s="526"/>
      <c r="BI1494" s="1124"/>
      <c r="BJ1494" s="526"/>
      <c r="BK1494" s="526"/>
      <c r="BL1494" s="526"/>
      <c r="BM1494" s="526"/>
      <c r="BN1494" s="1124"/>
      <c r="BO1494" s="526"/>
      <c r="BP1494" s="526"/>
      <c r="BQ1494" s="526"/>
      <c r="BR1494" s="526"/>
      <c r="BS1494" s="1124"/>
      <c r="BT1494" s="729"/>
      <c r="BU1494" s="526"/>
      <c r="BV1494" s="526"/>
      <c r="BW1494" s="526"/>
      <c r="BX1494" s="1124"/>
      <c r="BY1494" s="526"/>
      <c r="BZ1494" s="526"/>
      <c r="CA1494" s="526"/>
      <c r="CB1494" s="526"/>
      <c r="CC1494" s="1124"/>
      <c r="CD1494" s="1124"/>
      <c r="CE1494" s="1124"/>
      <c r="CF1494" s="1124"/>
      <c r="CG1494" s="533"/>
    </row>
    <row r="1495" spans="1:85" s="613" customFormat="1" x14ac:dyDescent="0.3">
      <c r="A1495" s="478" t="s">
        <v>2099</v>
      </c>
      <c r="B1495" s="523"/>
      <c r="C1495" s="78"/>
      <c r="D1495" s="78"/>
      <c r="E1495" s="78"/>
      <c r="F1495" s="78"/>
      <c r="G1495" s="774"/>
      <c r="H1495" s="774"/>
      <c r="I1495" s="774"/>
      <c r="J1495" s="774"/>
      <c r="K1495" s="78"/>
      <c r="L1495" s="774"/>
      <c r="M1495" s="774"/>
      <c r="N1495" s="774"/>
      <c r="O1495" s="774"/>
      <c r="P1495" s="78"/>
      <c r="Q1495" s="774"/>
      <c r="R1495" s="774"/>
      <c r="S1495" s="774"/>
      <c r="T1495" s="774"/>
      <c r="U1495" s="78"/>
      <c r="V1495" s="774"/>
      <c r="W1495" s="774"/>
      <c r="X1495" s="774"/>
      <c r="Y1495" s="774"/>
      <c r="Z1495" s="78"/>
      <c r="AA1495" s="774"/>
      <c r="AB1495" s="774"/>
      <c r="AC1495" s="774"/>
      <c r="AD1495" s="774"/>
      <c r="AE1495" s="78"/>
      <c r="AF1495" s="774"/>
      <c r="AG1495" s="774"/>
      <c r="AH1495" s="774"/>
      <c r="AI1495" s="774"/>
      <c r="AJ1495" s="78"/>
      <c r="AK1495" s="774"/>
      <c r="AL1495" s="774"/>
      <c r="AM1495" s="774"/>
      <c r="AN1495" s="774"/>
      <c r="AO1495" s="78"/>
      <c r="AP1495" s="774"/>
      <c r="AQ1495" s="774"/>
      <c r="AR1495" s="774"/>
      <c r="AS1495" s="774"/>
      <c r="AT1495" s="78"/>
      <c r="AU1495" s="774"/>
      <c r="AV1495" s="774"/>
      <c r="AW1495" s="774"/>
      <c r="AX1495" s="774"/>
      <c r="AY1495" s="78"/>
      <c r="AZ1495" s="774"/>
      <c r="BA1495" s="774"/>
      <c r="BB1495" s="774"/>
      <c r="BC1495" s="774"/>
      <c r="BD1495" s="78"/>
      <c r="BE1495" s="774"/>
      <c r="BF1495" s="774"/>
      <c r="BG1495" s="774"/>
      <c r="BH1495" s="774"/>
      <c r="BI1495" s="1119">
        <v>3.1309999999999998</v>
      </c>
      <c r="BJ1495" s="774"/>
      <c r="BK1495" s="774"/>
      <c r="BL1495" s="774"/>
      <c r="BM1495" s="774"/>
      <c r="BN1495" s="1119">
        <v>3.1309999999999998</v>
      </c>
      <c r="BO1495" s="774"/>
      <c r="BP1495" s="774"/>
      <c r="BQ1495" s="774"/>
      <c r="BR1495" s="774"/>
      <c r="BS1495" s="78"/>
      <c r="BT1495" s="775"/>
      <c r="BU1495" s="774"/>
      <c r="BV1495" s="774"/>
      <c r="BW1495" s="774"/>
      <c r="BX1495" s="78"/>
      <c r="BY1495" s="774"/>
      <c r="BZ1495" s="774"/>
      <c r="CA1495" s="774"/>
      <c r="CB1495" s="774"/>
      <c r="CC1495" s="78"/>
      <c r="CD1495" s="78"/>
      <c r="CE1495" s="78"/>
      <c r="CF1495" s="78"/>
      <c r="CG1495" s="532"/>
    </row>
    <row r="1496" spans="1:85" s="616" customFormat="1" x14ac:dyDescent="0.3">
      <c r="A1496" s="522" t="s">
        <v>2100</v>
      </c>
      <c r="B1496" s="527"/>
      <c r="C1496" s="1124"/>
      <c r="D1496" s="1124"/>
      <c r="E1496" s="1124"/>
      <c r="F1496" s="1124"/>
      <c r="G1496" s="526"/>
      <c r="H1496" s="526"/>
      <c r="I1496" s="526"/>
      <c r="J1496" s="526"/>
      <c r="K1496" s="1124"/>
      <c r="L1496" s="526"/>
      <c r="M1496" s="526"/>
      <c r="N1496" s="526"/>
      <c r="O1496" s="526"/>
      <c r="P1496" s="1124"/>
      <c r="Q1496" s="526"/>
      <c r="R1496" s="526"/>
      <c r="S1496" s="526"/>
      <c r="T1496" s="526"/>
      <c r="U1496" s="1124"/>
      <c r="V1496" s="526"/>
      <c r="W1496" s="526"/>
      <c r="X1496" s="526"/>
      <c r="Y1496" s="526"/>
      <c r="Z1496" s="1124"/>
      <c r="AA1496" s="526"/>
      <c r="AB1496" s="526"/>
      <c r="AC1496" s="526"/>
      <c r="AD1496" s="526"/>
      <c r="AE1496" s="1124"/>
      <c r="AF1496" s="526"/>
      <c r="AG1496" s="526"/>
      <c r="AH1496" s="526"/>
      <c r="AI1496" s="526"/>
      <c r="AJ1496" s="1124"/>
      <c r="AK1496" s="526"/>
      <c r="AL1496" s="526"/>
      <c r="AM1496" s="526"/>
      <c r="AN1496" s="526"/>
      <c r="AO1496" s="1124"/>
      <c r="AP1496" s="526"/>
      <c r="AQ1496" s="526"/>
      <c r="AR1496" s="526"/>
      <c r="AS1496" s="526"/>
      <c r="AT1496" s="1124"/>
      <c r="AU1496" s="526"/>
      <c r="AV1496" s="526"/>
      <c r="AW1496" s="526"/>
      <c r="AX1496" s="526"/>
      <c r="AY1496" s="1124"/>
      <c r="AZ1496" s="526"/>
      <c r="BA1496" s="526"/>
      <c r="BB1496" s="526"/>
      <c r="BC1496" s="526"/>
      <c r="BD1496" s="1124"/>
      <c r="BE1496" s="526"/>
      <c r="BF1496" s="526"/>
      <c r="BG1496" s="526"/>
      <c r="BH1496" s="526"/>
      <c r="BI1496" s="1123">
        <v>465.74</v>
      </c>
      <c r="BJ1496" s="526"/>
      <c r="BK1496" s="526"/>
      <c r="BL1496" s="526"/>
      <c r="BM1496" s="526"/>
      <c r="BN1496" s="1123">
        <v>465.74</v>
      </c>
      <c r="BO1496" s="526"/>
      <c r="BP1496" s="526"/>
      <c r="BQ1496" s="526"/>
      <c r="BR1496" s="526"/>
      <c r="BS1496" s="1124"/>
      <c r="BT1496" s="729"/>
      <c r="BU1496" s="526"/>
      <c r="BV1496" s="526"/>
      <c r="BW1496" s="526"/>
      <c r="BX1496" s="1124"/>
      <c r="BY1496" s="526"/>
      <c r="BZ1496" s="526"/>
      <c r="CA1496" s="526"/>
      <c r="CB1496" s="526"/>
      <c r="CC1496" s="1124"/>
      <c r="CD1496" s="1124"/>
      <c r="CE1496" s="1124"/>
      <c r="CF1496" s="1124"/>
      <c r="CG1496" s="533"/>
    </row>
    <row r="1497" spans="1:85" s="616" customFormat="1" x14ac:dyDescent="0.3">
      <c r="A1497" s="522"/>
      <c r="B1497" s="527"/>
      <c r="C1497" s="1124"/>
      <c r="D1497" s="1124"/>
      <c r="E1497" s="1124"/>
      <c r="F1497" s="1124"/>
      <c r="G1497" s="526"/>
      <c r="H1497" s="526"/>
      <c r="I1497" s="526"/>
      <c r="J1497" s="526"/>
      <c r="K1497" s="1124"/>
      <c r="L1497" s="526"/>
      <c r="M1497" s="526"/>
      <c r="N1497" s="526"/>
      <c r="O1497" s="526"/>
      <c r="P1497" s="1124"/>
      <c r="Q1497" s="526"/>
      <c r="R1497" s="526"/>
      <c r="S1497" s="526"/>
      <c r="T1497" s="526"/>
      <c r="U1497" s="1124"/>
      <c r="V1497" s="526"/>
      <c r="W1497" s="526"/>
      <c r="X1497" s="526"/>
      <c r="Y1497" s="526"/>
      <c r="Z1497" s="1124"/>
      <c r="AA1497" s="526"/>
      <c r="AB1497" s="526"/>
      <c r="AC1497" s="526"/>
      <c r="AD1497" s="526"/>
      <c r="AE1497" s="1124"/>
      <c r="AF1497" s="526"/>
      <c r="AG1497" s="526"/>
      <c r="AH1497" s="526"/>
      <c r="AI1497" s="526"/>
      <c r="AJ1497" s="1124"/>
      <c r="AK1497" s="526"/>
      <c r="AL1497" s="526"/>
      <c r="AM1497" s="526"/>
      <c r="AN1497" s="526"/>
      <c r="AO1497" s="1124"/>
      <c r="AP1497" s="526"/>
      <c r="AQ1497" s="526"/>
      <c r="AR1497" s="526"/>
      <c r="AS1497" s="526"/>
      <c r="AT1497" s="1124"/>
      <c r="AU1497" s="526"/>
      <c r="AV1497" s="526"/>
      <c r="AW1497" s="526"/>
      <c r="AX1497" s="526"/>
      <c r="AY1497" s="1124"/>
      <c r="AZ1497" s="526"/>
      <c r="BA1497" s="526"/>
      <c r="BB1497" s="526"/>
      <c r="BC1497" s="526"/>
      <c r="BD1497" s="1124"/>
      <c r="BE1497" s="526"/>
      <c r="BF1497" s="526"/>
      <c r="BG1497" s="526"/>
      <c r="BH1497" s="526"/>
      <c r="BI1497" s="1124"/>
      <c r="BJ1497" s="526"/>
      <c r="BK1497" s="526"/>
      <c r="BL1497" s="526"/>
      <c r="BM1497" s="526"/>
      <c r="BN1497" s="1124"/>
      <c r="BO1497" s="526"/>
      <c r="BP1497" s="526"/>
      <c r="BQ1497" s="526"/>
      <c r="BR1497" s="526"/>
      <c r="BS1497" s="1124"/>
      <c r="BT1497" s="729"/>
      <c r="BU1497" s="526"/>
      <c r="BV1497" s="526"/>
      <c r="BW1497" s="526"/>
      <c r="BX1497" s="1124"/>
      <c r="BY1497" s="526"/>
      <c r="BZ1497" s="526"/>
      <c r="CA1497" s="526"/>
      <c r="CB1497" s="526"/>
      <c r="CC1497" s="1124"/>
      <c r="CD1497" s="1124"/>
      <c r="CE1497" s="1124"/>
      <c r="CF1497" s="1124"/>
      <c r="CG1497" s="533"/>
    </row>
    <row r="1498" spans="1:85" s="613" customFormat="1" x14ac:dyDescent="0.3">
      <c r="A1498" s="478" t="s">
        <v>2428</v>
      </c>
      <c r="B1498" s="523"/>
      <c r="C1498" s="78"/>
      <c r="D1498" s="78"/>
      <c r="E1498" s="78"/>
      <c r="F1498" s="78"/>
      <c r="G1498" s="774"/>
      <c r="H1498" s="774"/>
      <c r="I1498" s="774"/>
      <c r="J1498" s="774"/>
      <c r="K1498" s="78"/>
      <c r="L1498" s="774"/>
      <c r="M1498" s="774"/>
      <c r="N1498" s="774"/>
      <c r="O1498" s="774"/>
      <c r="P1498" s="78"/>
      <c r="Q1498" s="774"/>
      <c r="R1498" s="774"/>
      <c r="S1498" s="774"/>
      <c r="T1498" s="774"/>
      <c r="U1498" s="78"/>
      <c r="V1498" s="774"/>
      <c r="W1498" s="774"/>
      <c r="X1498" s="774"/>
      <c r="Y1498" s="774"/>
      <c r="Z1498" s="78"/>
      <c r="AA1498" s="774"/>
      <c r="AB1498" s="774"/>
      <c r="AC1498" s="774"/>
      <c r="AD1498" s="774"/>
      <c r="AE1498" s="78"/>
      <c r="AF1498" s="774"/>
      <c r="AG1498" s="774"/>
      <c r="AH1498" s="774"/>
      <c r="AI1498" s="774"/>
      <c r="AJ1498" s="78"/>
      <c r="AK1498" s="774"/>
      <c r="AL1498" s="774"/>
      <c r="AM1498" s="774"/>
      <c r="AN1498" s="774"/>
      <c r="AO1498" s="78"/>
      <c r="AP1498" s="774"/>
      <c r="AQ1498" s="774"/>
      <c r="AR1498" s="774"/>
      <c r="AS1498" s="774"/>
      <c r="AT1498" s="78"/>
      <c r="AU1498" s="774"/>
      <c r="AV1498" s="774"/>
      <c r="AW1498" s="774"/>
      <c r="AX1498" s="774"/>
      <c r="AY1498" s="78"/>
      <c r="AZ1498" s="774"/>
      <c r="BA1498" s="774"/>
      <c r="BB1498" s="774"/>
      <c r="BC1498" s="774"/>
      <c r="BD1498" s="78"/>
      <c r="BE1498" s="774"/>
      <c r="BF1498" s="774"/>
      <c r="BG1498" s="774"/>
      <c r="BH1498" s="774"/>
      <c r="BI1498" s="78"/>
      <c r="BJ1498" s="774"/>
      <c r="BK1498" s="774"/>
      <c r="BL1498" s="774"/>
      <c r="BM1498" s="774"/>
      <c r="BN1498" s="1119">
        <v>3.113</v>
      </c>
      <c r="BO1498" s="774"/>
      <c r="BP1498" s="774"/>
      <c r="BQ1498" s="774"/>
      <c r="BR1498" s="774"/>
      <c r="BS1498" s="78"/>
      <c r="BT1498" s="775"/>
      <c r="BU1498" s="774"/>
      <c r="BV1498" s="774"/>
      <c r="BW1498" s="774"/>
      <c r="BX1498" s="78"/>
      <c r="BY1498" s="774"/>
      <c r="BZ1498" s="774"/>
      <c r="CA1498" s="774"/>
      <c r="CB1498" s="774"/>
      <c r="CC1498" s="78"/>
      <c r="CD1498" s="78"/>
      <c r="CE1498" s="78"/>
      <c r="CF1498" s="78"/>
      <c r="CG1498" s="532"/>
    </row>
    <row r="1499" spans="1:85" s="616" customFormat="1" x14ac:dyDescent="0.3">
      <c r="A1499" s="522" t="s">
        <v>2429</v>
      </c>
      <c r="B1499" s="527"/>
      <c r="C1499" s="1124"/>
      <c r="D1499" s="1124"/>
      <c r="E1499" s="1124"/>
      <c r="F1499" s="1124"/>
      <c r="G1499" s="526"/>
      <c r="H1499" s="526"/>
      <c r="I1499" s="526"/>
      <c r="J1499" s="526"/>
      <c r="K1499" s="1124"/>
      <c r="L1499" s="526"/>
      <c r="M1499" s="526"/>
      <c r="N1499" s="526"/>
      <c r="O1499" s="526"/>
      <c r="P1499" s="1124"/>
      <c r="Q1499" s="526"/>
      <c r="R1499" s="526"/>
      <c r="S1499" s="526"/>
      <c r="T1499" s="526"/>
      <c r="U1499" s="1124"/>
      <c r="V1499" s="526"/>
      <c r="W1499" s="526"/>
      <c r="X1499" s="526"/>
      <c r="Y1499" s="526"/>
      <c r="Z1499" s="1124"/>
      <c r="AA1499" s="526"/>
      <c r="AB1499" s="526"/>
      <c r="AC1499" s="526"/>
      <c r="AD1499" s="526"/>
      <c r="AE1499" s="1124"/>
      <c r="AF1499" s="526"/>
      <c r="AG1499" s="526"/>
      <c r="AH1499" s="526"/>
      <c r="AI1499" s="526"/>
      <c r="AJ1499" s="1124"/>
      <c r="AK1499" s="526"/>
      <c r="AL1499" s="526"/>
      <c r="AM1499" s="526"/>
      <c r="AN1499" s="526"/>
      <c r="AO1499" s="1124"/>
      <c r="AP1499" s="526"/>
      <c r="AQ1499" s="526"/>
      <c r="AR1499" s="526"/>
      <c r="AS1499" s="526"/>
      <c r="AT1499" s="1124"/>
      <c r="AU1499" s="526"/>
      <c r="AV1499" s="526"/>
      <c r="AW1499" s="526"/>
      <c r="AX1499" s="526"/>
      <c r="AY1499" s="1124"/>
      <c r="AZ1499" s="526"/>
      <c r="BA1499" s="526"/>
      <c r="BB1499" s="526"/>
      <c r="BC1499" s="526"/>
      <c r="BD1499" s="1124"/>
      <c r="BE1499" s="526"/>
      <c r="BF1499" s="526"/>
      <c r="BG1499" s="526"/>
      <c r="BH1499" s="526"/>
      <c r="BI1499" s="1124"/>
      <c r="BJ1499" s="526"/>
      <c r="BK1499" s="526"/>
      <c r="BL1499" s="526"/>
      <c r="BM1499" s="526"/>
      <c r="BN1499" s="1123">
        <v>468.5</v>
      </c>
      <c r="BO1499" s="526"/>
      <c r="BP1499" s="526"/>
      <c r="BQ1499" s="526"/>
      <c r="BR1499" s="526"/>
      <c r="BS1499" s="1124"/>
      <c r="BT1499" s="729"/>
      <c r="BU1499" s="526"/>
      <c r="BV1499" s="526"/>
      <c r="BW1499" s="526"/>
      <c r="BX1499" s="1124"/>
      <c r="BY1499" s="526"/>
      <c r="BZ1499" s="526"/>
      <c r="CA1499" s="526"/>
      <c r="CB1499" s="526"/>
      <c r="CC1499" s="1124"/>
      <c r="CD1499" s="1124"/>
      <c r="CE1499" s="1124"/>
      <c r="CF1499" s="1124"/>
      <c r="CG1499" s="533"/>
    </row>
    <row r="1500" spans="1:85" s="616" customFormat="1" x14ac:dyDescent="0.3">
      <c r="A1500" s="522"/>
      <c r="B1500" s="527"/>
      <c r="C1500" s="1124"/>
      <c r="D1500" s="1124"/>
      <c r="E1500" s="1124"/>
      <c r="F1500" s="1124"/>
      <c r="G1500" s="526"/>
      <c r="H1500" s="526"/>
      <c r="I1500" s="526"/>
      <c r="J1500" s="526"/>
      <c r="K1500" s="1124"/>
      <c r="L1500" s="526"/>
      <c r="M1500" s="526"/>
      <c r="N1500" s="526"/>
      <c r="O1500" s="526"/>
      <c r="P1500" s="1124"/>
      <c r="Q1500" s="526"/>
      <c r="R1500" s="526"/>
      <c r="S1500" s="526"/>
      <c r="T1500" s="526"/>
      <c r="U1500" s="1124"/>
      <c r="V1500" s="526"/>
      <c r="W1500" s="526"/>
      <c r="X1500" s="526"/>
      <c r="Y1500" s="526"/>
      <c r="Z1500" s="1124"/>
      <c r="AA1500" s="526"/>
      <c r="AB1500" s="526"/>
      <c r="AC1500" s="526"/>
      <c r="AD1500" s="526"/>
      <c r="AE1500" s="1124"/>
      <c r="AF1500" s="526"/>
      <c r="AG1500" s="526"/>
      <c r="AH1500" s="526"/>
      <c r="AI1500" s="526"/>
      <c r="AJ1500" s="1124"/>
      <c r="AK1500" s="526"/>
      <c r="AL1500" s="526"/>
      <c r="AM1500" s="526"/>
      <c r="AN1500" s="526"/>
      <c r="AO1500" s="1124"/>
      <c r="AP1500" s="526"/>
      <c r="AQ1500" s="526"/>
      <c r="AR1500" s="526"/>
      <c r="AS1500" s="526"/>
      <c r="AT1500" s="1124"/>
      <c r="AU1500" s="526"/>
      <c r="AV1500" s="526"/>
      <c r="AW1500" s="526"/>
      <c r="AX1500" s="526"/>
      <c r="AY1500" s="1124"/>
      <c r="AZ1500" s="526"/>
      <c r="BA1500" s="526"/>
      <c r="BB1500" s="526"/>
      <c r="BC1500" s="526"/>
      <c r="BD1500" s="1124"/>
      <c r="BE1500" s="526"/>
      <c r="BF1500" s="526"/>
      <c r="BG1500" s="526"/>
      <c r="BH1500" s="526"/>
      <c r="BI1500" s="1124"/>
      <c r="BJ1500" s="526"/>
      <c r="BK1500" s="526"/>
      <c r="BL1500" s="526"/>
      <c r="BM1500" s="526"/>
      <c r="BN1500" s="1124"/>
      <c r="BO1500" s="526"/>
      <c r="BP1500" s="526"/>
      <c r="BQ1500" s="526"/>
      <c r="BR1500" s="526"/>
      <c r="BS1500" s="1124"/>
      <c r="BT1500" s="729"/>
      <c r="BU1500" s="526"/>
      <c r="BV1500" s="526"/>
      <c r="BW1500" s="526"/>
      <c r="BX1500" s="1124"/>
      <c r="BY1500" s="526"/>
      <c r="BZ1500" s="526"/>
      <c r="CA1500" s="526"/>
      <c r="CB1500" s="526"/>
      <c r="CC1500" s="1124"/>
      <c r="CD1500" s="1124"/>
      <c r="CE1500" s="1124"/>
      <c r="CF1500" s="1124"/>
      <c r="CG1500" s="533"/>
    </row>
    <row r="1501" spans="1:85" s="612" customFormat="1" x14ac:dyDescent="0.3">
      <c r="A1501" s="106" t="s">
        <v>1148</v>
      </c>
      <c r="B1501" s="514"/>
      <c r="C1501" s="1097"/>
      <c r="D1501" s="1097"/>
      <c r="E1501" s="1097"/>
      <c r="F1501" s="1097"/>
      <c r="G1501" s="772"/>
      <c r="H1501" s="772"/>
      <c r="I1501" s="772"/>
      <c r="J1501" s="772"/>
      <c r="K1501" s="1097"/>
      <c r="L1501" s="772"/>
      <c r="M1501" s="772"/>
      <c r="N1501" s="772"/>
      <c r="O1501" s="772"/>
      <c r="P1501" s="1097"/>
      <c r="Q1501" s="772"/>
      <c r="R1501" s="772"/>
      <c r="S1501" s="772"/>
      <c r="T1501" s="772"/>
      <c r="U1501" s="1097"/>
      <c r="V1501" s="772"/>
      <c r="W1501" s="772"/>
      <c r="X1501" s="772"/>
      <c r="Y1501" s="772"/>
      <c r="Z1501" s="1097"/>
      <c r="AA1501" s="772"/>
      <c r="AB1501" s="772"/>
      <c r="AC1501" s="772"/>
      <c r="AD1501" s="772"/>
      <c r="AE1501" s="1097"/>
      <c r="AF1501" s="772"/>
      <c r="AG1501" s="772"/>
      <c r="AH1501" s="772"/>
      <c r="AI1501" s="772"/>
      <c r="AJ1501" s="1097"/>
      <c r="AK1501" s="772"/>
      <c r="AL1501" s="772"/>
      <c r="AM1501" s="772"/>
      <c r="AN1501" s="772"/>
      <c r="AO1501" s="1097"/>
      <c r="AP1501" s="772"/>
      <c r="AQ1501" s="772"/>
      <c r="AR1501" s="772"/>
      <c r="AS1501" s="772"/>
      <c r="AT1501" s="1125">
        <v>221.56299999999999</v>
      </c>
      <c r="AU1501" s="772"/>
      <c r="AV1501" s="772"/>
      <c r="AW1501" s="772"/>
      <c r="AX1501" s="772"/>
      <c r="AY1501" s="1125">
        <v>226.857</v>
      </c>
      <c r="AZ1501" s="772"/>
      <c r="BA1501" s="772"/>
      <c r="BB1501" s="772"/>
      <c r="BC1501" s="772"/>
      <c r="BD1501" s="1129">
        <v>280.077</v>
      </c>
      <c r="BE1501" s="772"/>
      <c r="BF1501" s="772"/>
      <c r="BG1501" s="772"/>
      <c r="BH1501" s="772"/>
      <c r="BI1501" s="1125">
        <v>244.78100000000001</v>
      </c>
      <c r="BJ1501" s="772"/>
      <c r="BK1501" s="772"/>
      <c r="BL1501" s="772"/>
      <c r="BM1501" s="772"/>
      <c r="BN1501" s="1125">
        <v>98.131</v>
      </c>
      <c r="BO1501" s="772"/>
      <c r="BP1501" s="772"/>
      <c r="BQ1501" s="772"/>
      <c r="BR1501" s="772"/>
      <c r="BS1501" s="1097"/>
      <c r="BT1501" s="838"/>
      <c r="BU1501" s="772"/>
      <c r="BV1501" s="772"/>
      <c r="BW1501" s="772"/>
      <c r="BX1501" s="1097"/>
      <c r="BY1501" s="772"/>
      <c r="BZ1501" s="772"/>
      <c r="CA1501" s="772"/>
      <c r="CB1501" s="772"/>
      <c r="CC1501" s="1097"/>
      <c r="CD1501" s="1097"/>
      <c r="CE1501" s="1097"/>
      <c r="CF1501" s="1097"/>
      <c r="CG1501" s="348"/>
    </row>
    <row r="1502" spans="1:85" s="614" customFormat="1" x14ac:dyDescent="0.3">
      <c r="A1502" s="116"/>
      <c r="B1502" s="352"/>
      <c r="C1502" s="1094"/>
      <c r="D1502" s="1094"/>
      <c r="E1502" s="1094"/>
      <c r="F1502" s="1094"/>
      <c r="G1502" s="197"/>
      <c r="H1502" s="197"/>
      <c r="I1502" s="197"/>
      <c r="J1502" s="197"/>
      <c r="K1502" s="1094"/>
      <c r="L1502" s="197"/>
      <c r="M1502" s="197"/>
      <c r="N1502" s="197"/>
      <c r="O1502" s="197"/>
      <c r="P1502" s="1094"/>
      <c r="Q1502" s="197"/>
      <c r="R1502" s="197"/>
      <c r="S1502" s="197"/>
      <c r="T1502" s="197"/>
      <c r="U1502" s="1094"/>
      <c r="V1502" s="197"/>
      <c r="W1502" s="197"/>
      <c r="X1502" s="197"/>
      <c r="Y1502" s="197"/>
      <c r="Z1502" s="1094"/>
      <c r="AA1502" s="197"/>
      <c r="AB1502" s="197"/>
      <c r="AC1502" s="197"/>
      <c r="AD1502" s="197"/>
      <c r="AE1502" s="1094"/>
      <c r="AF1502" s="197"/>
      <c r="AG1502" s="197"/>
      <c r="AH1502" s="197"/>
      <c r="AI1502" s="197"/>
      <c r="AJ1502" s="1094"/>
      <c r="AK1502" s="197"/>
      <c r="AL1502" s="197"/>
      <c r="AM1502" s="197"/>
      <c r="AN1502" s="197"/>
      <c r="AO1502" s="1094"/>
      <c r="AP1502" s="197"/>
      <c r="AQ1502" s="197"/>
      <c r="AR1502" s="197"/>
      <c r="AS1502" s="197"/>
      <c r="AT1502" s="198"/>
      <c r="AU1502" s="197"/>
      <c r="AV1502" s="197"/>
      <c r="AW1502" s="197"/>
      <c r="AX1502" s="197"/>
      <c r="AY1502" s="198"/>
      <c r="AZ1502" s="197"/>
      <c r="BA1502" s="197"/>
      <c r="BB1502" s="197"/>
      <c r="BC1502" s="197"/>
      <c r="BD1502" s="198"/>
      <c r="BE1502" s="197"/>
      <c r="BF1502" s="197"/>
      <c r="BG1502" s="197"/>
      <c r="BH1502" s="197"/>
      <c r="BI1502" s="1094"/>
      <c r="BJ1502" s="197"/>
      <c r="BK1502" s="197"/>
      <c r="BL1502" s="197"/>
      <c r="BM1502" s="197"/>
      <c r="BN1502" s="1094"/>
      <c r="BO1502" s="197"/>
      <c r="BP1502" s="197"/>
      <c r="BQ1502" s="197"/>
      <c r="BR1502" s="197"/>
      <c r="BS1502" s="1094"/>
      <c r="BT1502" s="727"/>
      <c r="BU1502" s="197"/>
      <c r="BV1502" s="197"/>
      <c r="BW1502" s="197"/>
      <c r="BX1502" s="1094"/>
      <c r="BY1502" s="197"/>
      <c r="BZ1502" s="197"/>
      <c r="CA1502" s="197"/>
      <c r="CB1502" s="197"/>
      <c r="CC1502" s="1094"/>
      <c r="CD1502" s="1094"/>
      <c r="CE1502" s="1094"/>
      <c r="CF1502" s="1094"/>
      <c r="CG1502" s="349"/>
    </row>
    <row r="1503" spans="1:85" s="613" customFormat="1" x14ac:dyDescent="0.3">
      <c r="A1503" s="107" t="s">
        <v>1147</v>
      </c>
      <c r="B1503" s="523"/>
      <c r="C1503" s="78"/>
      <c r="D1503" s="78"/>
      <c r="E1503" s="78"/>
      <c r="F1503" s="78"/>
      <c r="G1503" s="774"/>
      <c r="H1503" s="774"/>
      <c r="I1503" s="774"/>
      <c r="J1503" s="774"/>
      <c r="K1503" s="78"/>
      <c r="L1503" s="774"/>
      <c r="M1503" s="774"/>
      <c r="N1503" s="774"/>
      <c r="O1503" s="774"/>
      <c r="P1503" s="78"/>
      <c r="Q1503" s="774"/>
      <c r="R1503" s="774"/>
      <c r="S1503" s="774"/>
      <c r="T1503" s="774"/>
      <c r="U1503" s="78"/>
      <c r="V1503" s="774"/>
      <c r="W1503" s="774"/>
      <c r="X1503" s="774"/>
      <c r="Y1503" s="774"/>
      <c r="Z1503" s="78"/>
      <c r="AA1503" s="774"/>
      <c r="AB1503" s="774"/>
      <c r="AC1503" s="774"/>
      <c r="AD1503" s="774"/>
      <c r="AE1503" s="78"/>
      <c r="AF1503" s="774"/>
      <c r="AG1503" s="774"/>
      <c r="AH1503" s="774"/>
      <c r="AI1503" s="774"/>
      <c r="AJ1503" s="78"/>
      <c r="AK1503" s="774"/>
      <c r="AL1503" s="774"/>
      <c r="AM1503" s="774"/>
      <c r="AN1503" s="774"/>
      <c r="AO1503" s="78"/>
      <c r="AP1503" s="774"/>
      <c r="AQ1503" s="774"/>
      <c r="AR1503" s="774"/>
      <c r="AS1503" s="774"/>
      <c r="AT1503" s="1119">
        <v>4800</v>
      </c>
      <c r="AU1503" s="774"/>
      <c r="AV1503" s="774"/>
      <c r="AW1503" s="774"/>
      <c r="AX1503" s="774"/>
      <c r="AY1503" s="1119">
        <v>4750</v>
      </c>
      <c r="AZ1503" s="774"/>
      <c r="BA1503" s="774"/>
      <c r="BB1503" s="774"/>
      <c r="BC1503" s="774"/>
      <c r="BD1503" s="1119">
        <v>5500</v>
      </c>
      <c r="BE1503" s="774"/>
      <c r="BF1503" s="774"/>
      <c r="BG1503" s="774"/>
      <c r="BH1503" s="774"/>
      <c r="BI1503" s="1119">
        <v>5700</v>
      </c>
      <c r="BJ1503" s="774"/>
      <c r="BK1503" s="774"/>
      <c r="BL1503" s="774"/>
      <c r="BM1503" s="774"/>
      <c r="BN1503" s="78"/>
      <c r="BO1503" s="774"/>
      <c r="BP1503" s="774"/>
      <c r="BQ1503" s="774"/>
      <c r="BR1503" s="774"/>
      <c r="BS1503" s="78"/>
      <c r="BT1503" s="775"/>
      <c r="BU1503" s="774"/>
      <c r="BV1503" s="774"/>
      <c r="BW1503" s="774"/>
      <c r="BX1503" s="78"/>
      <c r="BY1503" s="774"/>
      <c r="BZ1503" s="774"/>
      <c r="CA1503" s="774"/>
      <c r="CB1503" s="774"/>
      <c r="CC1503" s="78"/>
      <c r="CD1503" s="78"/>
      <c r="CE1503" s="78"/>
      <c r="CF1503" s="78"/>
      <c r="CG1503" s="532"/>
    </row>
    <row r="1504" spans="1:85" s="613" customFormat="1" x14ac:dyDescent="0.3">
      <c r="A1504" s="107" t="s">
        <v>1146</v>
      </c>
      <c r="B1504" s="523"/>
      <c r="C1504" s="78"/>
      <c r="D1504" s="78"/>
      <c r="E1504" s="78"/>
      <c r="F1504" s="78"/>
      <c r="G1504" s="774"/>
      <c r="H1504" s="774"/>
      <c r="I1504" s="774"/>
      <c r="J1504" s="774"/>
      <c r="K1504" s="78"/>
      <c r="L1504" s="774"/>
      <c r="M1504" s="774"/>
      <c r="N1504" s="774"/>
      <c r="O1504" s="774"/>
      <c r="P1504" s="78"/>
      <c r="Q1504" s="774"/>
      <c r="R1504" s="774"/>
      <c r="S1504" s="774"/>
      <c r="T1504" s="774"/>
      <c r="U1504" s="78"/>
      <c r="V1504" s="774"/>
      <c r="W1504" s="774"/>
      <c r="X1504" s="774"/>
      <c r="Y1504" s="774"/>
      <c r="Z1504" s="78"/>
      <c r="AA1504" s="774"/>
      <c r="AB1504" s="774"/>
      <c r="AC1504" s="774"/>
      <c r="AD1504" s="774"/>
      <c r="AE1504" s="78"/>
      <c r="AF1504" s="774"/>
      <c r="AG1504" s="774"/>
      <c r="AH1504" s="774"/>
      <c r="AI1504" s="774"/>
      <c r="AJ1504" s="78"/>
      <c r="AK1504" s="774"/>
      <c r="AL1504" s="774"/>
      <c r="AM1504" s="774"/>
      <c r="AN1504" s="774"/>
      <c r="AO1504" s="78"/>
      <c r="AP1504" s="774"/>
      <c r="AQ1504" s="774"/>
      <c r="AR1504" s="774"/>
      <c r="AS1504" s="774"/>
      <c r="AT1504" s="1119">
        <v>555.92899999999997</v>
      </c>
      <c r="AU1504" s="774"/>
      <c r="AV1504" s="774"/>
      <c r="AW1504" s="774"/>
      <c r="AX1504" s="774"/>
      <c r="AY1504" s="1119">
        <v>579.11599999999999</v>
      </c>
      <c r="AZ1504" s="774"/>
      <c r="BA1504" s="774"/>
      <c r="BB1504" s="774"/>
      <c r="BC1504" s="774"/>
      <c r="BD1504" s="1119">
        <v>1401.7070000000001</v>
      </c>
      <c r="BE1504" s="774"/>
      <c r="BF1504" s="774"/>
      <c r="BG1504" s="774"/>
      <c r="BH1504" s="774"/>
      <c r="BI1504" s="1119">
        <v>1156.539</v>
      </c>
      <c r="BJ1504" s="774"/>
      <c r="BK1504" s="774"/>
      <c r="BL1504" s="774"/>
      <c r="BM1504" s="774"/>
      <c r="BN1504" s="78"/>
      <c r="BO1504" s="774"/>
      <c r="BP1504" s="774"/>
      <c r="BQ1504" s="774"/>
      <c r="BR1504" s="774"/>
      <c r="BS1504" s="78"/>
      <c r="BT1504" s="775"/>
      <c r="BU1504" s="774"/>
      <c r="BV1504" s="774"/>
      <c r="BW1504" s="774"/>
      <c r="BX1504" s="78"/>
      <c r="BY1504" s="774"/>
      <c r="BZ1504" s="774"/>
      <c r="CA1504" s="774"/>
      <c r="CB1504" s="774"/>
      <c r="CC1504" s="78"/>
      <c r="CD1504" s="78"/>
      <c r="CE1504" s="78"/>
      <c r="CF1504" s="78"/>
      <c r="CG1504" s="532"/>
    </row>
    <row r="1505" spans="1:85" s="613" customFormat="1" x14ac:dyDescent="0.3">
      <c r="A1505" s="174" t="s">
        <v>1145</v>
      </c>
      <c r="B1505" s="528"/>
      <c r="C1505" s="1100"/>
      <c r="D1505" s="1100"/>
      <c r="E1505" s="1100"/>
      <c r="F1505" s="1100"/>
      <c r="G1505" s="840"/>
      <c r="H1505" s="840"/>
      <c r="I1505" s="840"/>
      <c r="J1505" s="840"/>
      <c r="K1505" s="1100"/>
      <c r="L1505" s="840"/>
      <c r="M1505" s="840"/>
      <c r="N1505" s="840"/>
      <c r="O1505" s="840"/>
      <c r="P1505" s="1100"/>
      <c r="Q1505" s="840"/>
      <c r="R1505" s="840"/>
      <c r="S1505" s="840"/>
      <c r="T1505" s="840"/>
      <c r="U1505" s="1100"/>
      <c r="V1505" s="840"/>
      <c r="W1505" s="840"/>
      <c r="X1505" s="840"/>
      <c r="Y1505" s="840"/>
      <c r="Z1505" s="1100"/>
      <c r="AA1505" s="840"/>
      <c r="AB1505" s="840"/>
      <c r="AC1505" s="840"/>
      <c r="AD1505" s="840"/>
      <c r="AE1505" s="1100"/>
      <c r="AF1505" s="840"/>
      <c r="AG1505" s="840"/>
      <c r="AH1505" s="840"/>
      <c r="AI1505" s="840"/>
      <c r="AJ1505" s="1100"/>
      <c r="AK1505" s="840"/>
      <c r="AL1505" s="840"/>
      <c r="AM1505" s="840"/>
      <c r="AN1505" s="840"/>
      <c r="AO1505" s="1100"/>
      <c r="AP1505" s="840"/>
      <c r="AQ1505" s="840"/>
      <c r="AR1505" s="840"/>
      <c r="AS1505" s="840"/>
      <c r="AT1505" s="1120">
        <v>0.17</v>
      </c>
      <c r="AU1505" s="840"/>
      <c r="AV1505" s="840"/>
      <c r="AW1505" s="840"/>
      <c r="AX1505" s="840"/>
      <c r="AY1505" s="1120">
        <v>0.30199999999999999</v>
      </c>
      <c r="AZ1505" s="840"/>
      <c r="BA1505" s="840"/>
      <c r="BB1505" s="840"/>
      <c r="BC1505" s="840"/>
      <c r="BD1505" s="1120">
        <v>2.7989999999999999</v>
      </c>
      <c r="BE1505" s="840"/>
      <c r="BF1505" s="840"/>
      <c r="BG1505" s="840"/>
      <c r="BH1505" s="840"/>
      <c r="BI1505" s="1120">
        <v>0</v>
      </c>
      <c r="BJ1505" s="840"/>
      <c r="BK1505" s="840"/>
      <c r="BL1505" s="840"/>
      <c r="BM1505" s="840"/>
      <c r="BN1505" s="1100"/>
      <c r="BO1505" s="840"/>
      <c r="BP1505" s="840"/>
      <c r="BQ1505" s="840"/>
      <c r="BR1505" s="840"/>
      <c r="BS1505" s="1100"/>
      <c r="BT1505" s="841"/>
      <c r="BU1505" s="840"/>
      <c r="BV1505" s="840"/>
      <c r="BW1505" s="840"/>
      <c r="BX1505" s="1100"/>
      <c r="BY1505" s="840"/>
      <c r="BZ1505" s="840"/>
      <c r="CA1505" s="840"/>
      <c r="CB1505" s="840"/>
      <c r="CC1505" s="1100"/>
      <c r="CD1505" s="1100"/>
      <c r="CE1505" s="1100"/>
      <c r="CF1505" s="1100"/>
      <c r="CG1505" s="532"/>
    </row>
    <row r="1506" spans="1:85" s="612" customFormat="1" x14ac:dyDescent="0.3">
      <c r="A1506" s="106" t="s">
        <v>1144</v>
      </c>
      <c r="B1506" s="514"/>
      <c r="C1506" s="1097"/>
      <c r="D1506" s="1097"/>
      <c r="E1506" s="1097"/>
      <c r="F1506" s="1097"/>
      <c r="G1506" s="772"/>
      <c r="H1506" s="772"/>
      <c r="I1506" s="772"/>
      <c r="J1506" s="772"/>
      <c r="K1506" s="1097"/>
      <c r="L1506" s="772"/>
      <c r="M1506" s="772"/>
      <c r="N1506" s="772"/>
      <c r="O1506" s="772"/>
      <c r="P1506" s="1097"/>
      <c r="Q1506" s="772"/>
      <c r="R1506" s="772"/>
      <c r="S1506" s="772"/>
      <c r="T1506" s="772"/>
      <c r="U1506" s="1097"/>
      <c r="V1506" s="772"/>
      <c r="W1506" s="772"/>
      <c r="X1506" s="772"/>
      <c r="Y1506" s="772"/>
      <c r="Z1506" s="1097"/>
      <c r="AA1506" s="772"/>
      <c r="AB1506" s="772"/>
      <c r="AC1506" s="772"/>
      <c r="AD1506" s="772"/>
      <c r="AE1506" s="1097"/>
      <c r="AF1506" s="772"/>
      <c r="AG1506" s="772"/>
      <c r="AH1506" s="772"/>
      <c r="AI1506" s="772"/>
      <c r="AJ1506" s="1097"/>
      <c r="AK1506" s="772"/>
      <c r="AL1506" s="772"/>
      <c r="AM1506" s="772"/>
      <c r="AN1506" s="772"/>
      <c r="AO1506" s="1097"/>
      <c r="AP1506" s="772"/>
      <c r="AQ1506" s="772"/>
      <c r="AR1506" s="772"/>
      <c r="AS1506" s="772"/>
      <c r="AT1506" s="1097">
        <f>SUM(AT1503:AT1505)</f>
      </c>
      <c r="AU1506" s="772"/>
      <c r="AV1506" s="772"/>
      <c r="AW1506" s="772"/>
      <c r="AX1506" s="772"/>
      <c r="AY1506" s="1097">
        <f>SUM(AY1503:AY1505)</f>
      </c>
      <c r="AZ1506" s="772"/>
      <c r="BA1506" s="772"/>
      <c r="BB1506" s="772"/>
      <c r="BC1506" s="772"/>
      <c r="BD1506" s="1097">
        <f>SUM(BD1503:BD1505)</f>
      </c>
      <c r="BE1506" s="772"/>
      <c r="BF1506" s="772"/>
      <c r="BG1506" s="772"/>
      <c r="BH1506" s="772"/>
      <c r="BI1506" s="1097">
        <f>SUM(BI1503:BI1505)</f>
      </c>
      <c r="BJ1506" s="772"/>
      <c r="BK1506" s="772"/>
      <c r="BL1506" s="772"/>
      <c r="BM1506" s="772"/>
      <c r="BN1506" s="1097"/>
      <c r="BO1506" s="772"/>
      <c r="BP1506" s="772"/>
      <c r="BQ1506" s="772"/>
      <c r="BR1506" s="772"/>
      <c r="BS1506" s="1097"/>
      <c r="BT1506" s="838"/>
      <c r="BU1506" s="772"/>
      <c r="BV1506" s="772"/>
      <c r="BW1506" s="772"/>
      <c r="BX1506" s="1097"/>
      <c r="BY1506" s="772"/>
      <c r="BZ1506" s="772"/>
      <c r="CA1506" s="772"/>
      <c r="CB1506" s="772"/>
      <c r="CC1506" s="1097"/>
      <c r="CD1506" s="1097"/>
      <c r="CE1506" s="1097"/>
      <c r="CF1506" s="1097"/>
      <c r="CG1506" s="348"/>
    </row>
    <row r="1507" spans="1:85" s="617" customFormat="1" x14ac:dyDescent="0.3">
      <c r="A1507" s="116" t="s">
        <v>1143</v>
      </c>
      <c r="B1507" s="525"/>
      <c r="C1507" s="1099"/>
      <c r="D1507" s="1099"/>
      <c r="E1507" s="1099"/>
      <c r="F1507" s="1099"/>
      <c r="G1507" s="185"/>
      <c r="H1507" s="185"/>
      <c r="I1507" s="185"/>
      <c r="J1507" s="185"/>
      <c r="K1507" s="1099"/>
      <c r="L1507" s="185"/>
      <c r="M1507" s="185"/>
      <c r="N1507" s="185"/>
      <c r="O1507" s="185"/>
      <c r="P1507" s="1099"/>
      <c r="Q1507" s="185"/>
      <c r="R1507" s="185"/>
      <c r="S1507" s="185"/>
      <c r="T1507" s="185"/>
      <c r="U1507" s="1099"/>
      <c r="V1507" s="185"/>
      <c r="W1507" s="185"/>
      <c r="X1507" s="185"/>
      <c r="Y1507" s="185"/>
      <c r="Z1507" s="1099"/>
      <c r="AA1507" s="185"/>
      <c r="AB1507" s="185"/>
      <c r="AC1507" s="185"/>
      <c r="AD1507" s="185"/>
      <c r="AE1507" s="1099"/>
      <c r="AF1507" s="185"/>
      <c r="AG1507" s="185"/>
      <c r="AH1507" s="185"/>
      <c r="AI1507" s="185"/>
      <c r="AJ1507" s="1099"/>
      <c r="AK1507" s="185"/>
      <c r="AL1507" s="185"/>
      <c r="AM1507" s="185"/>
      <c r="AN1507" s="185"/>
      <c r="AO1507" s="1099"/>
      <c r="AP1507" s="185"/>
      <c r="AQ1507" s="185"/>
      <c r="AR1507" s="185"/>
      <c r="AS1507" s="185"/>
      <c r="AT1507" s="83">
        <f>SUM(AT1504)/AT1506</f>
      </c>
      <c r="AU1507" s="185"/>
      <c r="AV1507" s="185"/>
      <c r="AW1507" s="185"/>
      <c r="AX1507" s="185"/>
      <c r="AY1507" s="83">
        <f>SUM(AY1504)/AY1506</f>
      </c>
      <c r="AZ1507" s="185"/>
      <c r="BA1507" s="185"/>
      <c r="BB1507" s="185"/>
      <c r="BC1507" s="185"/>
      <c r="BD1507" s="83">
        <f>SUM(BD1504)/BD1506</f>
      </c>
      <c r="BE1507" s="185"/>
      <c r="BF1507" s="185"/>
      <c r="BG1507" s="185"/>
      <c r="BH1507" s="185"/>
      <c r="BI1507" s="83">
        <f>SUM(BI1504)/BI1506</f>
      </c>
      <c r="BJ1507" s="185"/>
      <c r="BK1507" s="185"/>
      <c r="BL1507" s="185"/>
      <c r="BM1507" s="185"/>
      <c r="BN1507" s="83"/>
      <c r="BO1507" s="185"/>
      <c r="BP1507" s="185"/>
      <c r="BQ1507" s="185"/>
      <c r="BR1507" s="185"/>
      <c r="BS1507" s="83"/>
      <c r="BT1507" s="730"/>
      <c r="BU1507" s="185"/>
      <c r="BV1507" s="185"/>
      <c r="BW1507" s="185"/>
      <c r="BX1507" s="1099"/>
      <c r="BY1507" s="185"/>
      <c r="BZ1507" s="185"/>
      <c r="CA1507" s="185"/>
      <c r="CB1507" s="185"/>
      <c r="CC1507" s="1099"/>
      <c r="CD1507" s="1099"/>
      <c r="CE1507" s="1099"/>
      <c r="CF1507" s="1099"/>
      <c r="CG1507" s="524"/>
    </row>
    <row r="1508" spans="1:85" s="614" customFormat="1" x14ac:dyDescent="0.3">
      <c r="A1508" s="116"/>
      <c r="B1508" s="352"/>
      <c r="C1508" s="1094"/>
      <c r="D1508" s="1094"/>
      <c r="E1508" s="1094"/>
      <c r="F1508" s="1094"/>
      <c r="G1508" s="197"/>
      <c r="H1508" s="197"/>
      <c r="I1508" s="197"/>
      <c r="J1508" s="197"/>
      <c r="K1508" s="1094"/>
      <c r="L1508" s="197"/>
      <c r="M1508" s="197"/>
      <c r="N1508" s="197"/>
      <c r="O1508" s="197"/>
      <c r="P1508" s="1094"/>
      <c r="Q1508" s="197"/>
      <c r="R1508" s="197"/>
      <c r="S1508" s="197"/>
      <c r="T1508" s="197"/>
      <c r="U1508" s="1094"/>
      <c r="V1508" s="197"/>
      <c r="W1508" s="197"/>
      <c r="X1508" s="197"/>
      <c r="Y1508" s="197"/>
      <c r="Z1508" s="1094"/>
      <c r="AA1508" s="197"/>
      <c r="AB1508" s="197"/>
      <c r="AC1508" s="197"/>
      <c r="AD1508" s="197"/>
      <c r="AE1508" s="1094"/>
      <c r="AF1508" s="197"/>
      <c r="AG1508" s="197"/>
      <c r="AH1508" s="197"/>
      <c r="AI1508" s="197"/>
      <c r="AJ1508" s="1094"/>
      <c r="AK1508" s="197"/>
      <c r="AL1508" s="197"/>
      <c r="AM1508" s="197"/>
      <c r="AN1508" s="197"/>
      <c r="AO1508" s="1094"/>
      <c r="AP1508" s="197"/>
      <c r="AQ1508" s="197"/>
      <c r="AR1508" s="197"/>
      <c r="AS1508" s="197"/>
      <c r="AT1508" s="198"/>
      <c r="AU1508" s="197"/>
      <c r="AV1508" s="197"/>
      <c r="AW1508" s="197"/>
      <c r="AX1508" s="197"/>
      <c r="AY1508" s="198"/>
      <c r="AZ1508" s="197"/>
      <c r="BA1508" s="197"/>
      <c r="BB1508" s="197"/>
      <c r="BC1508" s="197"/>
      <c r="BD1508" s="198"/>
      <c r="BE1508" s="197"/>
      <c r="BF1508" s="197"/>
      <c r="BG1508" s="197"/>
      <c r="BH1508" s="197"/>
      <c r="BI1508" s="1094"/>
      <c r="BJ1508" s="197"/>
      <c r="BK1508" s="197"/>
      <c r="BL1508" s="197"/>
      <c r="BM1508" s="197"/>
      <c r="BN1508" s="1094"/>
      <c r="BO1508" s="197"/>
      <c r="BP1508" s="197"/>
      <c r="BQ1508" s="197"/>
      <c r="BR1508" s="197"/>
      <c r="BS1508" s="1094"/>
      <c r="BT1508" s="727"/>
      <c r="BU1508" s="197"/>
      <c r="BV1508" s="197"/>
      <c r="BW1508" s="197"/>
      <c r="BX1508" s="1094"/>
      <c r="BY1508" s="197"/>
      <c r="BZ1508" s="197"/>
      <c r="CA1508" s="197"/>
      <c r="CB1508" s="197"/>
      <c r="CC1508" s="1094"/>
      <c r="CD1508" s="1094"/>
      <c r="CE1508" s="1094"/>
      <c r="CF1508" s="1094"/>
      <c r="CG1508" s="349"/>
    </row>
    <row r="1509" spans="1:85" s="613" customFormat="1" x14ac:dyDescent="0.3">
      <c r="A1509" s="478" t="s">
        <v>1142</v>
      </c>
      <c r="B1509" s="523"/>
      <c r="C1509" s="78"/>
      <c r="D1509" s="78"/>
      <c r="E1509" s="78"/>
      <c r="F1509" s="78"/>
      <c r="G1509" s="774"/>
      <c r="H1509" s="774"/>
      <c r="I1509" s="774"/>
      <c r="J1509" s="774"/>
      <c r="K1509" s="78"/>
      <c r="L1509" s="774"/>
      <c r="M1509" s="774"/>
      <c r="N1509" s="774"/>
      <c r="O1509" s="774"/>
      <c r="P1509" s="78"/>
      <c r="Q1509" s="774"/>
      <c r="R1509" s="774"/>
      <c r="S1509" s="774"/>
      <c r="T1509" s="774"/>
      <c r="U1509" s="78"/>
      <c r="V1509" s="774"/>
      <c r="W1509" s="774"/>
      <c r="X1509" s="774"/>
      <c r="Y1509" s="774"/>
      <c r="Z1509" s="78"/>
      <c r="AA1509" s="774"/>
      <c r="AB1509" s="774"/>
      <c r="AC1509" s="774"/>
      <c r="AD1509" s="774"/>
      <c r="AE1509" s="78"/>
      <c r="AF1509" s="774"/>
      <c r="AG1509" s="774"/>
      <c r="AH1509" s="774"/>
      <c r="AI1509" s="774"/>
      <c r="AJ1509" s="78"/>
      <c r="AK1509" s="774"/>
      <c r="AL1509" s="774"/>
      <c r="AM1509" s="774"/>
      <c r="AN1509" s="774"/>
      <c r="AO1509" s="78"/>
      <c r="AP1509" s="774"/>
      <c r="AQ1509" s="774"/>
      <c r="AR1509" s="774"/>
      <c r="AS1509" s="774"/>
      <c r="AT1509" s="1119">
        <v>0.02</v>
      </c>
      <c r="AU1509" s="774"/>
      <c r="AV1509" s="774"/>
      <c r="AW1509" s="774"/>
      <c r="AX1509" s="774"/>
      <c r="AY1509" s="1119">
        <v>0.02</v>
      </c>
      <c r="AZ1509" s="774"/>
      <c r="BA1509" s="774"/>
      <c r="BB1509" s="774"/>
      <c r="BC1509" s="774"/>
      <c r="BD1509" s="1119">
        <v>0.02</v>
      </c>
      <c r="BE1509" s="774"/>
      <c r="BF1509" s="774"/>
      <c r="BG1509" s="774"/>
      <c r="BH1509" s="774"/>
      <c r="BI1509" s="1119">
        <v>0.02</v>
      </c>
      <c r="BJ1509" s="774"/>
      <c r="BK1509" s="774"/>
      <c r="BL1509" s="774"/>
      <c r="BM1509" s="774"/>
      <c r="BN1509" s="78"/>
      <c r="BO1509" s="774"/>
      <c r="BP1509" s="774"/>
      <c r="BQ1509" s="774"/>
      <c r="BR1509" s="774"/>
      <c r="BS1509" s="78"/>
      <c r="BT1509" s="775"/>
      <c r="BU1509" s="774"/>
      <c r="BV1509" s="774"/>
      <c r="BW1509" s="774"/>
      <c r="BX1509" s="78"/>
      <c r="BY1509" s="774"/>
      <c r="BZ1509" s="774"/>
      <c r="CA1509" s="774"/>
      <c r="CB1509" s="774"/>
      <c r="CC1509" s="78"/>
      <c r="CD1509" s="78"/>
      <c r="CE1509" s="78"/>
      <c r="CF1509" s="78"/>
      <c r="CG1509" s="532"/>
    </row>
    <row r="1510" spans="1:85" s="615" customFormat="1" x14ac:dyDescent="0.3">
      <c r="A1510" s="522" t="s">
        <v>1141</v>
      </c>
      <c r="B1510" s="521"/>
      <c r="C1510" s="1122"/>
      <c r="D1510" s="1122"/>
      <c r="E1510" s="1122"/>
      <c r="F1510" s="1122"/>
      <c r="G1510" s="520"/>
      <c r="H1510" s="520"/>
      <c r="I1510" s="520"/>
      <c r="J1510" s="520"/>
      <c r="K1510" s="1122"/>
      <c r="L1510" s="520"/>
      <c r="M1510" s="520"/>
      <c r="N1510" s="520"/>
      <c r="O1510" s="520"/>
      <c r="P1510" s="1122"/>
      <c r="Q1510" s="520"/>
      <c r="R1510" s="520"/>
      <c r="S1510" s="520"/>
      <c r="T1510" s="520"/>
      <c r="U1510" s="1122"/>
      <c r="V1510" s="520"/>
      <c r="W1510" s="520"/>
      <c r="X1510" s="520"/>
      <c r="Y1510" s="520"/>
      <c r="Z1510" s="1122"/>
      <c r="AA1510" s="520"/>
      <c r="AB1510" s="520"/>
      <c r="AC1510" s="520"/>
      <c r="AD1510" s="520"/>
      <c r="AE1510" s="1122"/>
      <c r="AF1510" s="520"/>
      <c r="AG1510" s="520"/>
      <c r="AH1510" s="520"/>
      <c r="AI1510" s="520"/>
      <c r="AJ1510" s="1122"/>
      <c r="AK1510" s="520"/>
      <c r="AL1510" s="520"/>
      <c r="AM1510" s="520"/>
      <c r="AN1510" s="520"/>
      <c r="AO1510" s="1122"/>
      <c r="AP1510" s="520"/>
      <c r="AQ1510" s="520"/>
      <c r="AR1510" s="520"/>
      <c r="AS1510" s="520"/>
      <c r="AT1510" s="1123">
        <v>290.3</v>
      </c>
      <c r="AU1510" s="520"/>
      <c r="AV1510" s="520"/>
      <c r="AW1510" s="520"/>
      <c r="AX1510" s="520"/>
      <c r="AY1510" s="1123">
        <v>290.3</v>
      </c>
      <c r="AZ1510" s="520"/>
      <c r="BA1510" s="520"/>
      <c r="BB1510" s="520"/>
      <c r="BC1510" s="520"/>
      <c r="BD1510" s="1123">
        <v>290.3</v>
      </c>
      <c r="BE1510" s="520"/>
      <c r="BF1510" s="520"/>
      <c r="BG1510" s="520"/>
      <c r="BH1510" s="520"/>
      <c r="BI1510" s="1123">
        <v>290.3</v>
      </c>
      <c r="BJ1510" s="520"/>
      <c r="BK1510" s="520"/>
      <c r="BL1510" s="520"/>
      <c r="BM1510" s="520"/>
      <c r="BN1510" s="1124"/>
      <c r="BO1510" s="520"/>
      <c r="BP1510" s="520"/>
      <c r="BQ1510" s="520"/>
      <c r="BR1510" s="520"/>
      <c r="BS1510" s="1124"/>
      <c r="BT1510" s="728"/>
      <c r="BU1510" s="520"/>
      <c r="BV1510" s="520"/>
      <c r="BW1510" s="520"/>
      <c r="BX1510" s="1122"/>
      <c r="BY1510" s="520"/>
      <c r="BZ1510" s="520"/>
      <c r="CA1510" s="520"/>
      <c r="CB1510" s="520"/>
      <c r="CC1510" s="1122"/>
      <c r="CD1510" s="1122"/>
      <c r="CE1510" s="1122"/>
      <c r="CF1510" s="1122"/>
      <c r="CG1510" s="519"/>
    </row>
    <row r="1511" spans="1:85" s="614" customFormat="1" x14ac:dyDescent="0.3">
      <c r="A1511" s="116"/>
      <c r="B1511" s="352"/>
      <c r="C1511" s="1094"/>
      <c r="D1511" s="1094"/>
      <c r="E1511" s="1094"/>
      <c r="F1511" s="1094"/>
      <c r="G1511" s="197"/>
      <c r="H1511" s="197"/>
      <c r="I1511" s="197"/>
      <c r="J1511" s="197"/>
      <c r="K1511" s="1094"/>
      <c r="L1511" s="197"/>
      <c r="M1511" s="197"/>
      <c r="N1511" s="197"/>
      <c r="O1511" s="197"/>
      <c r="P1511" s="1094"/>
      <c r="Q1511" s="197"/>
      <c r="R1511" s="197"/>
      <c r="S1511" s="197"/>
      <c r="T1511" s="197"/>
      <c r="U1511" s="1094"/>
      <c r="V1511" s="197"/>
      <c r="W1511" s="197"/>
      <c r="X1511" s="197"/>
      <c r="Y1511" s="197"/>
      <c r="Z1511" s="1094"/>
      <c r="AA1511" s="197"/>
      <c r="AB1511" s="197"/>
      <c r="AC1511" s="197"/>
      <c r="AD1511" s="197"/>
      <c r="AE1511" s="1094"/>
      <c r="AF1511" s="197"/>
      <c r="AG1511" s="197"/>
      <c r="AH1511" s="197"/>
      <c r="AI1511" s="197"/>
      <c r="AJ1511" s="1094"/>
      <c r="AK1511" s="197"/>
      <c r="AL1511" s="197"/>
      <c r="AM1511" s="197"/>
      <c r="AN1511" s="197"/>
      <c r="AO1511" s="1094"/>
      <c r="AP1511" s="197"/>
      <c r="AQ1511" s="197"/>
      <c r="AR1511" s="197"/>
      <c r="AS1511" s="197"/>
      <c r="AT1511" s="198"/>
      <c r="AU1511" s="197"/>
      <c r="AV1511" s="197"/>
      <c r="AW1511" s="197"/>
      <c r="AX1511" s="197"/>
      <c r="AY1511" s="198"/>
      <c r="AZ1511" s="197"/>
      <c r="BA1511" s="197"/>
      <c r="BB1511" s="197"/>
      <c r="BC1511" s="197"/>
      <c r="BD1511" s="198"/>
      <c r="BE1511" s="197"/>
      <c r="BF1511" s="197"/>
      <c r="BG1511" s="197"/>
      <c r="BH1511" s="197"/>
      <c r="BI1511" s="198"/>
      <c r="BJ1511" s="197"/>
      <c r="BK1511" s="197"/>
      <c r="BL1511" s="197"/>
      <c r="BM1511" s="197"/>
      <c r="BN1511" s="198"/>
      <c r="BO1511" s="197"/>
      <c r="BP1511" s="197"/>
      <c r="BQ1511" s="197"/>
      <c r="BR1511" s="197"/>
      <c r="BS1511" s="198"/>
      <c r="BT1511" s="727"/>
      <c r="BU1511" s="197"/>
      <c r="BV1511" s="197"/>
      <c r="BW1511" s="197"/>
      <c r="BX1511" s="1094"/>
      <c r="BY1511" s="197"/>
      <c r="BZ1511" s="197"/>
      <c r="CA1511" s="197"/>
      <c r="CB1511" s="197"/>
      <c r="CC1511" s="1094"/>
      <c r="CD1511" s="1094"/>
      <c r="CE1511" s="1094"/>
      <c r="CF1511" s="1094"/>
      <c r="CG1511" s="349"/>
    </row>
    <row r="1512" spans="1:85" s="613" customFormat="1" x14ac:dyDescent="0.3">
      <c r="A1512" s="478" t="s">
        <v>1140</v>
      </c>
      <c r="B1512" s="523"/>
      <c r="C1512" s="78"/>
      <c r="D1512" s="78"/>
      <c r="E1512" s="78"/>
      <c r="F1512" s="78"/>
      <c r="G1512" s="774"/>
      <c r="H1512" s="774"/>
      <c r="I1512" s="774"/>
      <c r="J1512" s="774"/>
      <c r="K1512" s="78"/>
      <c r="L1512" s="774"/>
      <c r="M1512" s="774"/>
      <c r="N1512" s="774"/>
      <c r="O1512" s="774"/>
      <c r="P1512" s="78"/>
      <c r="Q1512" s="774"/>
      <c r="R1512" s="774"/>
      <c r="S1512" s="774"/>
      <c r="T1512" s="774"/>
      <c r="U1512" s="78"/>
      <c r="V1512" s="774"/>
      <c r="W1512" s="774"/>
      <c r="X1512" s="774"/>
      <c r="Y1512" s="774"/>
      <c r="Z1512" s="78"/>
      <c r="AA1512" s="774"/>
      <c r="AB1512" s="774"/>
      <c r="AC1512" s="774"/>
      <c r="AD1512" s="774"/>
      <c r="AE1512" s="78"/>
      <c r="AF1512" s="774"/>
      <c r="AG1512" s="774"/>
      <c r="AH1512" s="774"/>
      <c r="AI1512" s="774"/>
      <c r="AJ1512" s="78"/>
      <c r="AK1512" s="774"/>
      <c r="AL1512" s="774"/>
      <c r="AM1512" s="774"/>
      <c r="AN1512" s="774"/>
      <c r="AO1512" s="78"/>
      <c r="AP1512" s="774"/>
      <c r="AQ1512" s="774"/>
      <c r="AR1512" s="774"/>
      <c r="AS1512" s="774"/>
      <c r="AT1512" s="1119">
        <v>0.13700000000000001</v>
      </c>
      <c r="AU1512" s="774"/>
      <c r="AV1512" s="774"/>
      <c r="AW1512" s="774"/>
      <c r="AX1512" s="774"/>
      <c r="AY1512" s="1119">
        <v>0.13700000000000001</v>
      </c>
      <c r="AZ1512" s="774"/>
      <c r="BA1512" s="774"/>
      <c r="BB1512" s="774"/>
      <c r="BC1512" s="774"/>
      <c r="BD1512" s="1119">
        <v>0.13700000000000001</v>
      </c>
      <c r="BE1512" s="774"/>
      <c r="BF1512" s="774"/>
      <c r="BG1512" s="774"/>
      <c r="BH1512" s="774"/>
      <c r="BI1512" s="1119">
        <v>0.13700000000000001</v>
      </c>
      <c r="BJ1512" s="774"/>
      <c r="BK1512" s="774"/>
      <c r="BL1512" s="774"/>
      <c r="BM1512" s="774"/>
      <c r="BN1512" s="78"/>
      <c r="BO1512" s="774"/>
      <c r="BP1512" s="774"/>
      <c r="BQ1512" s="774"/>
      <c r="BR1512" s="774"/>
      <c r="BS1512" s="78"/>
      <c r="BT1512" s="775"/>
      <c r="BU1512" s="774"/>
      <c r="BV1512" s="774"/>
      <c r="BW1512" s="774"/>
      <c r="BX1512" s="78"/>
      <c r="BY1512" s="774"/>
      <c r="BZ1512" s="774"/>
      <c r="CA1512" s="774"/>
      <c r="CB1512" s="774"/>
      <c r="CC1512" s="78"/>
      <c r="CD1512" s="78"/>
      <c r="CE1512" s="78"/>
      <c r="CF1512" s="78"/>
      <c r="CG1512" s="532"/>
    </row>
    <row r="1513" spans="1:85" s="615" customFormat="1" x14ac:dyDescent="0.3">
      <c r="A1513" s="522" t="s">
        <v>1139</v>
      </c>
      <c r="B1513" s="521"/>
      <c r="C1513" s="1122"/>
      <c r="D1513" s="1122"/>
      <c r="E1513" s="1122"/>
      <c r="F1513" s="1122"/>
      <c r="G1513" s="520"/>
      <c r="H1513" s="520"/>
      <c r="I1513" s="520"/>
      <c r="J1513" s="520"/>
      <c r="K1513" s="1122"/>
      <c r="L1513" s="520"/>
      <c r="M1513" s="520"/>
      <c r="N1513" s="520"/>
      <c r="O1513" s="520"/>
      <c r="P1513" s="1122"/>
      <c r="Q1513" s="520"/>
      <c r="R1513" s="520"/>
      <c r="S1513" s="520"/>
      <c r="T1513" s="520"/>
      <c r="U1513" s="1122"/>
      <c r="V1513" s="520"/>
      <c r="W1513" s="520"/>
      <c r="X1513" s="520"/>
      <c r="Y1513" s="520"/>
      <c r="Z1513" s="1122"/>
      <c r="AA1513" s="520"/>
      <c r="AB1513" s="520"/>
      <c r="AC1513" s="520"/>
      <c r="AD1513" s="520"/>
      <c r="AE1513" s="1122"/>
      <c r="AF1513" s="520"/>
      <c r="AG1513" s="520"/>
      <c r="AH1513" s="520"/>
      <c r="AI1513" s="520"/>
      <c r="AJ1513" s="1122"/>
      <c r="AK1513" s="520"/>
      <c r="AL1513" s="520"/>
      <c r="AM1513" s="520"/>
      <c r="AN1513" s="520"/>
      <c r="AO1513" s="1122"/>
      <c r="AP1513" s="520"/>
      <c r="AQ1513" s="520"/>
      <c r="AR1513" s="520"/>
      <c r="AS1513" s="520"/>
      <c r="AT1513" s="1123">
        <v>267.66000000000003</v>
      </c>
      <c r="AU1513" s="520"/>
      <c r="AV1513" s="520"/>
      <c r="AW1513" s="520"/>
      <c r="AX1513" s="520"/>
      <c r="AY1513" s="1123">
        <v>267.66000000000003</v>
      </c>
      <c r="AZ1513" s="520"/>
      <c r="BA1513" s="520"/>
      <c r="BB1513" s="520"/>
      <c r="BC1513" s="520"/>
      <c r="BD1513" s="1123">
        <v>267.66000000000003</v>
      </c>
      <c r="BE1513" s="520"/>
      <c r="BF1513" s="520"/>
      <c r="BG1513" s="520"/>
      <c r="BH1513" s="520"/>
      <c r="BI1513" s="1123">
        <v>267.66000000000003</v>
      </c>
      <c r="BJ1513" s="520"/>
      <c r="BK1513" s="520"/>
      <c r="BL1513" s="520"/>
      <c r="BM1513" s="520"/>
      <c r="BN1513" s="1124"/>
      <c r="BO1513" s="520"/>
      <c r="BP1513" s="520"/>
      <c r="BQ1513" s="520"/>
      <c r="BR1513" s="520"/>
      <c r="BS1513" s="1124"/>
      <c r="BT1513" s="728"/>
      <c r="BU1513" s="520"/>
      <c r="BV1513" s="520"/>
      <c r="BW1513" s="520"/>
      <c r="BX1513" s="1122"/>
      <c r="BY1513" s="520"/>
      <c r="BZ1513" s="520"/>
      <c r="CA1513" s="520"/>
      <c r="CB1513" s="520"/>
      <c r="CC1513" s="1122"/>
      <c r="CD1513" s="1122"/>
      <c r="CE1513" s="1122"/>
      <c r="CF1513" s="1122"/>
      <c r="CG1513" s="519"/>
    </row>
    <row r="1514" spans="1:85" s="614" customFormat="1" x14ac:dyDescent="0.3">
      <c r="A1514" s="116"/>
      <c r="B1514" s="352"/>
      <c r="C1514" s="1094"/>
      <c r="D1514" s="1094"/>
      <c r="E1514" s="1094"/>
      <c r="F1514" s="1094"/>
      <c r="G1514" s="197"/>
      <c r="H1514" s="197"/>
      <c r="I1514" s="197"/>
      <c r="J1514" s="197"/>
      <c r="K1514" s="1094"/>
      <c r="L1514" s="197"/>
      <c r="M1514" s="197"/>
      <c r="N1514" s="197"/>
      <c r="O1514" s="197"/>
      <c r="P1514" s="1094"/>
      <c r="Q1514" s="197"/>
      <c r="R1514" s="197"/>
      <c r="S1514" s="197"/>
      <c r="T1514" s="197"/>
      <c r="U1514" s="1094"/>
      <c r="V1514" s="197"/>
      <c r="W1514" s="197"/>
      <c r="X1514" s="197"/>
      <c r="Y1514" s="197"/>
      <c r="Z1514" s="1094"/>
      <c r="AA1514" s="197"/>
      <c r="AB1514" s="197"/>
      <c r="AC1514" s="197"/>
      <c r="AD1514" s="197"/>
      <c r="AE1514" s="1094"/>
      <c r="AF1514" s="197"/>
      <c r="AG1514" s="197"/>
      <c r="AH1514" s="197"/>
      <c r="AI1514" s="197"/>
      <c r="AJ1514" s="1094"/>
      <c r="AK1514" s="197"/>
      <c r="AL1514" s="197"/>
      <c r="AM1514" s="197"/>
      <c r="AN1514" s="197"/>
      <c r="AO1514" s="1094"/>
      <c r="AP1514" s="197"/>
      <c r="AQ1514" s="197"/>
      <c r="AR1514" s="197"/>
      <c r="AS1514" s="197"/>
      <c r="AT1514" s="198"/>
      <c r="AU1514" s="197"/>
      <c r="AV1514" s="197"/>
      <c r="AW1514" s="197"/>
      <c r="AX1514" s="197"/>
      <c r="AY1514" s="198"/>
      <c r="AZ1514" s="197"/>
      <c r="BA1514" s="197"/>
      <c r="BB1514" s="197"/>
      <c r="BC1514" s="197"/>
      <c r="BD1514" s="198"/>
      <c r="BE1514" s="197"/>
      <c r="BF1514" s="197"/>
      <c r="BG1514" s="197"/>
      <c r="BH1514" s="197"/>
      <c r="BI1514" s="198"/>
      <c r="BJ1514" s="197"/>
      <c r="BK1514" s="197"/>
      <c r="BL1514" s="197"/>
      <c r="BM1514" s="197"/>
      <c r="BN1514" s="198"/>
      <c r="BO1514" s="197"/>
      <c r="BP1514" s="197"/>
      <c r="BQ1514" s="197"/>
      <c r="BR1514" s="197"/>
      <c r="BS1514" s="198"/>
      <c r="BT1514" s="727"/>
      <c r="BU1514" s="197"/>
      <c r="BV1514" s="197"/>
      <c r="BW1514" s="197"/>
      <c r="BX1514" s="1094"/>
      <c r="BY1514" s="197"/>
      <c r="BZ1514" s="197"/>
      <c r="CA1514" s="197"/>
      <c r="CB1514" s="197"/>
      <c r="CC1514" s="1094"/>
      <c r="CD1514" s="1094"/>
      <c r="CE1514" s="1094"/>
      <c r="CF1514" s="1094"/>
      <c r="CG1514" s="349"/>
    </row>
    <row r="1515" spans="1:85" s="613" customFormat="1" x14ac:dyDescent="0.3">
      <c r="A1515" s="478" t="s">
        <v>1138</v>
      </c>
      <c r="B1515" s="523"/>
      <c r="C1515" s="78"/>
      <c r="D1515" s="78"/>
      <c r="E1515" s="78"/>
      <c r="F1515" s="78"/>
      <c r="G1515" s="774"/>
      <c r="H1515" s="774"/>
      <c r="I1515" s="774"/>
      <c r="J1515" s="774"/>
      <c r="K1515" s="78"/>
      <c r="L1515" s="774"/>
      <c r="M1515" s="774"/>
      <c r="N1515" s="774"/>
      <c r="O1515" s="774"/>
      <c r="P1515" s="78"/>
      <c r="Q1515" s="774"/>
      <c r="R1515" s="774"/>
      <c r="S1515" s="774"/>
      <c r="T1515" s="774"/>
      <c r="U1515" s="78"/>
      <c r="V1515" s="774"/>
      <c r="W1515" s="774"/>
      <c r="X1515" s="774"/>
      <c r="Y1515" s="774"/>
      <c r="Z1515" s="78"/>
      <c r="AA1515" s="774"/>
      <c r="AB1515" s="774"/>
      <c r="AC1515" s="774"/>
      <c r="AD1515" s="774"/>
      <c r="AE1515" s="78"/>
      <c r="AF1515" s="774"/>
      <c r="AG1515" s="774"/>
      <c r="AH1515" s="774"/>
      <c r="AI1515" s="774"/>
      <c r="AJ1515" s="78"/>
      <c r="AK1515" s="774"/>
      <c r="AL1515" s="774"/>
      <c r="AM1515" s="774"/>
      <c r="AN1515" s="774"/>
      <c r="AO1515" s="78"/>
      <c r="AP1515" s="774"/>
      <c r="AQ1515" s="774"/>
      <c r="AR1515" s="774"/>
      <c r="AS1515" s="774"/>
      <c r="AT1515" s="1119">
        <v>0.214</v>
      </c>
      <c r="AU1515" s="774"/>
      <c r="AV1515" s="774"/>
      <c r="AW1515" s="774"/>
      <c r="AX1515" s="774"/>
      <c r="AY1515" s="1119">
        <v>0.214</v>
      </c>
      <c r="AZ1515" s="774"/>
      <c r="BA1515" s="774"/>
      <c r="BB1515" s="774"/>
      <c r="BC1515" s="774"/>
      <c r="BD1515" s="1119">
        <v>0.214</v>
      </c>
      <c r="BE1515" s="774"/>
      <c r="BF1515" s="774"/>
      <c r="BG1515" s="774"/>
      <c r="BH1515" s="774"/>
      <c r="BI1515" s="1119">
        <v>0.214</v>
      </c>
      <c r="BJ1515" s="774"/>
      <c r="BK1515" s="774"/>
      <c r="BL1515" s="774"/>
      <c r="BM1515" s="774"/>
      <c r="BN1515" s="78"/>
      <c r="BO1515" s="774"/>
      <c r="BP1515" s="774"/>
      <c r="BQ1515" s="774"/>
      <c r="BR1515" s="774"/>
      <c r="BS1515" s="78"/>
      <c r="BT1515" s="775"/>
      <c r="BU1515" s="774"/>
      <c r="BV1515" s="774"/>
      <c r="BW1515" s="774"/>
      <c r="BX1515" s="78"/>
      <c r="BY1515" s="774"/>
      <c r="BZ1515" s="774"/>
      <c r="CA1515" s="774"/>
      <c r="CB1515" s="774"/>
      <c r="CC1515" s="78"/>
      <c r="CD1515" s="78"/>
      <c r="CE1515" s="78"/>
      <c r="CF1515" s="78"/>
      <c r="CG1515" s="532"/>
    </row>
    <row r="1516" spans="1:85" s="615" customFormat="1" x14ac:dyDescent="0.3">
      <c r="A1516" s="522" t="s">
        <v>1137</v>
      </c>
      <c r="B1516" s="521"/>
      <c r="C1516" s="1122"/>
      <c r="D1516" s="1122"/>
      <c r="E1516" s="1122"/>
      <c r="F1516" s="1122"/>
      <c r="G1516" s="520"/>
      <c r="H1516" s="520"/>
      <c r="I1516" s="520"/>
      <c r="J1516" s="520"/>
      <c r="K1516" s="1122"/>
      <c r="L1516" s="520"/>
      <c r="M1516" s="520"/>
      <c r="N1516" s="520"/>
      <c r="O1516" s="520"/>
      <c r="P1516" s="1122"/>
      <c r="Q1516" s="520"/>
      <c r="R1516" s="520"/>
      <c r="S1516" s="520"/>
      <c r="T1516" s="520"/>
      <c r="U1516" s="1122"/>
      <c r="V1516" s="520"/>
      <c r="W1516" s="520"/>
      <c r="X1516" s="520"/>
      <c r="Y1516" s="520"/>
      <c r="Z1516" s="1122"/>
      <c r="AA1516" s="520"/>
      <c r="AB1516" s="520"/>
      <c r="AC1516" s="520"/>
      <c r="AD1516" s="520"/>
      <c r="AE1516" s="1122"/>
      <c r="AF1516" s="520"/>
      <c r="AG1516" s="520"/>
      <c r="AH1516" s="520"/>
      <c r="AI1516" s="520"/>
      <c r="AJ1516" s="1122"/>
      <c r="AK1516" s="520"/>
      <c r="AL1516" s="520"/>
      <c r="AM1516" s="520"/>
      <c r="AN1516" s="520"/>
      <c r="AO1516" s="1122"/>
      <c r="AP1516" s="520"/>
      <c r="AQ1516" s="520"/>
      <c r="AR1516" s="520"/>
      <c r="AS1516" s="520"/>
      <c r="AT1516" s="1123">
        <v>339.85</v>
      </c>
      <c r="AU1516" s="520"/>
      <c r="AV1516" s="520"/>
      <c r="AW1516" s="520"/>
      <c r="AX1516" s="520"/>
      <c r="AY1516" s="1123">
        <v>339.85</v>
      </c>
      <c r="AZ1516" s="520"/>
      <c r="BA1516" s="520"/>
      <c r="BB1516" s="520"/>
      <c r="BC1516" s="520"/>
      <c r="BD1516" s="1123">
        <v>339.85</v>
      </c>
      <c r="BE1516" s="520"/>
      <c r="BF1516" s="520"/>
      <c r="BG1516" s="520"/>
      <c r="BH1516" s="520"/>
      <c r="BI1516" s="1123">
        <v>339.85</v>
      </c>
      <c r="BJ1516" s="520"/>
      <c r="BK1516" s="520"/>
      <c r="BL1516" s="520"/>
      <c r="BM1516" s="520"/>
      <c r="BN1516" s="1124"/>
      <c r="BO1516" s="520"/>
      <c r="BP1516" s="520"/>
      <c r="BQ1516" s="520"/>
      <c r="BR1516" s="520"/>
      <c r="BS1516" s="1124"/>
      <c r="BT1516" s="728"/>
      <c r="BU1516" s="520"/>
      <c r="BV1516" s="520"/>
      <c r="BW1516" s="520"/>
      <c r="BX1516" s="1122"/>
      <c r="BY1516" s="520"/>
      <c r="BZ1516" s="520"/>
      <c r="CA1516" s="520"/>
      <c r="CB1516" s="520"/>
      <c r="CC1516" s="1122"/>
      <c r="CD1516" s="1122"/>
      <c r="CE1516" s="1122"/>
      <c r="CF1516" s="1122"/>
      <c r="CG1516" s="519"/>
    </row>
    <row r="1517" spans="1:85" s="614" customFormat="1" x14ac:dyDescent="0.3">
      <c r="A1517" s="522"/>
      <c r="B1517" s="352"/>
      <c r="C1517" s="1094"/>
      <c r="D1517" s="1094"/>
      <c r="E1517" s="1094"/>
      <c r="F1517" s="1094"/>
      <c r="G1517" s="197"/>
      <c r="H1517" s="197"/>
      <c r="I1517" s="197"/>
      <c r="J1517" s="197"/>
      <c r="K1517" s="1094"/>
      <c r="L1517" s="197"/>
      <c r="M1517" s="197"/>
      <c r="N1517" s="197"/>
      <c r="O1517" s="197"/>
      <c r="P1517" s="1094"/>
      <c r="Q1517" s="197"/>
      <c r="R1517" s="197"/>
      <c r="S1517" s="197"/>
      <c r="T1517" s="197"/>
      <c r="U1517" s="1094"/>
      <c r="V1517" s="197"/>
      <c r="W1517" s="197"/>
      <c r="X1517" s="197"/>
      <c r="Y1517" s="197"/>
      <c r="Z1517" s="1094"/>
      <c r="AA1517" s="197"/>
      <c r="AB1517" s="197"/>
      <c r="AC1517" s="197"/>
      <c r="AD1517" s="197"/>
      <c r="AE1517" s="1094"/>
      <c r="AF1517" s="197"/>
      <c r="AG1517" s="197"/>
      <c r="AH1517" s="197"/>
      <c r="AI1517" s="197"/>
      <c r="AJ1517" s="1094"/>
      <c r="AK1517" s="197"/>
      <c r="AL1517" s="197"/>
      <c r="AM1517" s="197"/>
      <c r="AN1517" s="197"/>
      <c r="AO1517" s="1094"/>
      <c r="AP1517" s="197"/>
      <c r="AQ1517" s="197"/>
      <c r="AR1517" s="197"/>
      <c r="AS1517" s="197"/>
      <c r="AT1517" s="198"/>
      <c r="AU1517" s="197"/>
      <c r="AV1517" s="197"/>
      <c r="AW1517" s="197"/>
      <c r="AX1517" s="197"/>
      <c r="AY1517" s="198"/>
      <c r="AZ1517" s="197"/>
      <c r="BA1517" s="197"/>
      <c r="BB1517" s="197"/>
      <c r="BC1517" s="197"/>
      <c r="BD1517" s="198"/>
      <c r="BE1517" s="197"/>
      <c r="BF1517" s="197"/>
      <c r="BG1517" s="197"/>
      <c r="BH1517" s="197"/>
      <c r="BI1517" s="198"/>
      <c r="BJ1517" s="197"/>
      <c r="BK1517" s="197"/>
      <c r="BL1517" s="197"/>
      <c r="BM1517" s="197"/>
      <c r="BN1517" s="198"/>
      <c r="BO1517" s="197"/>
      <c r="BP1517" s="197"/>
      <c r="BQ1517" s="197"/>
      <c r="BR1517" s="197"/>
      <c r="BS1517" s="198"/>
      <c r="BT1517" s="727"/>
      <c r="BU1517" s="197"/>
      <c r="BV1517" s="197"/>
      <c r="BW1517" s="197"/>
      <c r="BX1517" s="1094"/>
      <c r="BY1517" s="197"/>
      <c r="BZ1517" s="197"/>
      <c r="CA1517" s="197"/>
      <c r="CB1517" s="197"/>
      <c r="CC1517" s="1094"/>
      <c r="CD1517" s="1094"/>
      <c r="CE1517" s="1094"/>
      <c r="CF1517" s="1094"/>
      <c r="CG1517" s="349"/>
    </row>
    <row r="1518" spans="1:85" s="613" customFormat="1" x14ac:dyDescent="0.3">
      <c r="A1518" s="478" t="s">
        <v>1136</v>
      </c>
      <c r="B1518" s="523"/>
      <c r="C1518" s="78"/>
      <c r="D1518" s="78"/>
      <c r="E1518" s="78"/>
      <c r="F1518" s="78"/>
      <c r="G1518" s="774"/>
      <c r="H1518" s="774"/>
      <c r="I1518" s="774"/>
      <c r="J1518" s="774"/>
      <c r="K1518" s="78"/>
      <c r="L1518" s="774"/>
      <c r="M1518" s="774"/>
      <c r="N1518" s="774"/>
      <c r="O1518" s="774"/>
      <c r="P1518" s="78"/>
      <c r="Q1518" s="774"/>
      <c r="R1518" s="774"/>
      <c r="S1518" s="774"/>
      <c r="T1518" s="774"/>
      <c r="U1518" s="78"/>
      <c r="V1518" s="774"/>
      <c r="W1518" s="774"/>
      <c r="X1518" s="774"/>
      <c r="Y1518" s="774"/>
      <c r="Z1518" s="78"/>
      <c r="AA1518" s="774"/>
      <c r="AB1518" s="774"/>
      <c r="AC1518" s="774"/>
      <c r="AD1518" s="774"/>
      <c r="AE1518" s="78"/>
      <c r="AF1518" s="774"/>
      <c r="AG1518" s="774"/>
      <c r="AH1518" s="774"/>
      <c r="AI1518" s="774"/>
      <c r="AJ1518" s="78"/>
      <c r="AK1518" s="774"/>
      <c r="AL1518" s="774"/>
      <c r="AM1518" s="774"/>
      <c r="AN1518" s="774"/>
      <c r="AO1518" s="78"/>
      <c r="AP1518" s="774"/>
      <c r="AQ1518" s="774"/>
      <c r="AR1518" s="774"/>
      <c r="AS1518" s="774"/>
      <c r="AT1518" s="1119">
        <v>0.20399999999999999</v>
      </c>
      <c r="AU1518" s="774"/>
      <c r="AV1518" s="774"/>
      <c r="AW1518" s="774"/>
      <c r="AX1518" s="774"/>
      <c r="AY1518" s="1119">
        <v>0.20399999999999999</v>
      </c>
      <c r="AZ1518" s="774"/>
      <c r="BA1518" s="774"/>
      <c r="BB1518" s="774"/>
      <c r="BC1518" s="774"/>
      <c r="BD1518" s="1119">
        <v>0.20399999999999999</v>
      </c>
      <c r="BE1518" s="774"/>
      <c r="BF1518" s="774"/>
      <c r="BG1518" s="774"/>
      <c r="BH1518" s="774"/>
      <c r="BI1518" s="1119">
        <v>0.20399999999999999</v>
      </c>
      <c r="BJ1518" s="774"/>
      <c r="BK1518" s="774"/>
      <c r="BL1518" s="774"/>
      <c r="BM1518" s="774"/>
      <c r="BN1518" s="78"/>
      <c r="BO1518" s="774"/>
      <c r="BP1518" s="774"/>
      <c r="BQ1518" s="774"/>
      <c r="BR1518" s="774"/>
      <c r="BS1518" s="78"/>
      <c r="BT1518" s="775"/>
      <c r="BU1518" s="774"/>
      <c r="BV1518" s="774"/>
      <c r="BW1518" s="774"/>
      <c r="BX1518" s="78"/>
      <c r="BY1518" s="774"/>
      <c r="BZ1518" s="774"/>
      <c r="CA1518" s="774"/>
      <c r="CB1518" s="774"/>
      <c r="CC1518" s="78"/>
      <c r="CD1518" s="78"/>
      <c r="CE1518" s="78"/>
      <c r="CF1518" s="78"/>
      <c r="CG1518" s="532"/>
    </row>
    <row r="1519" spans="1:85" s="615" customFormat="1" x14ac:dyDescent="0.3">
      <c r="A1519" s="522" t="s">
        <v>1135</v>
      </c>
      <c r="B1519" s="521"/>
      <c r="C1519" s="1122"/>
      <c r="D1519" s="1122"/>
      <c r="E1519" s="1122"/>
      <c r="F1519" s="1122"/>
      <c r="G1519" s="520"/>
      <c r="H1519" s="520"/>
      <c r="I1519" s="520"/>
      <c r="J1519" s="520"/>
      <c r="K1519" s="1122"/>
      <c r="L1519" s="520"/>
      <c r="M1519" s="520"/>
      <c r="N1519" s="520"/>
      <c r="O1519" s="520"/>
      <c r="P1519" s="1122"/>
      <c r="Q1519" s="520"/>
      <c r="R1519" s="520"/>
      <c r="S1519" s="520"/>
      <c r="T1519" s="520"/>
      <c r="U1519" s="1122"/>
      <c r="V1519" s="520"/>
      <c r="W1519" s="520"/>
      <c r="X1519" s="520"/>
      <c r="Y1519" s="520"/>
      <c r="Z1519" s="1122"/>
      <c r="AA1519" s="520"/>
      <c r="AB1519" s="520"/>
      <c r="AC1519" s="520"/>
      <c r="AD1519" s="520"/>
      <c r="AE1519" s="1122"/>
      <c r="AF1519" s="520"/>
      <c r="AG1519" s="520"/>
      <c r="AH1519" s="520"/>
      <c r="AI1519" s="520"/>
      <c r="AJ1519" s="1122"/>
      <c r="AK1519" s="520"/>
      <c r="AL1519" s="520"/>
      <c r="AM1519" s="520"/>
      <c r="AN1519" s="520"/>
      <c r="AO1519" s="1122"/>
      <c r="AP1519" s="520"/>
      <c r="AQ1519" s="520"/>
      <c r="AR1519" s="520"/>
      <c r="AS1519" s="520"/>
      <c r="AT1519" s="1123">
        <v>357.32</v>
      </c>
      <c r="AU1519" s="520"/>
      <c r="AV1519" s="520"/>
      <c r="AW1519" s="520"/>
      <c r="AX1519" s="520"/>
      <c r="AY1519" s="1123">
        <v>357.32</v>
      </c>
      <c r="AZ1519" s="520"/>
      <c r="BA1519" s="520"/>
      <c r="BB1519" s="520"/>
      <c r="BC1519" s="520"/>
      <c r="BD1519" s="1123">
        <v>357.32</v>
      </c>
      <c r="BE1519" s="520"/>
      <c r="BF1519" s="520"/>
      <c r="BG1519" s="520"/>
      <c r="BH1519" s="520"/>
      <c r="BI1519" s="1123">
        <v>357.32</v>
      </c>
      <c r="BJ1519" s="520"/>
      <c r="BK1519" s="520"/>
      <c r="BL1519" s="520"/>
      <c r="BM1519" s="520"/>
      <c r="BN1519" s="1124"/>
      <c r="BO1519" s="520"/>
      <c r="BP1519" s="520"/>
      <c r="BQ1519" s="520"/>
      <c r="BR1519" s="520"/>
      <c r="BS1519" s="1124"/>
      <c r="BT1519" s="728"/>
      <c r="BU1519" s="520"/>
      <c r="BV1519" s="520"/>
      <c r="BW1519" s="520"/>
      <c r="BX1519" s="1122"/>
      <c r="BY1519" s="520"/>
      <c r="BZ1519" s="520"/>
      <c r="CA1519" s="520"/>
      <c r="CB1519" s="520"/>
      <c r="CC1519" s="1122"/>
      <c r="CD1519" s="1122"/>
      <c r="CE1519" s="1122"/>
      <c r="CF1519" s="1122"/>
      <c r="CG1519" s="519"/>
    </row>
    <row r="1520" spans="1:85" s="614" customFormat="1" x14ac:dyDescent="0.3">
      <c r="A1520" s="522"/>
      <c r="B1520" s="352"/>
      <c r="C1520" s="1094"/>
      <c r="D1520" s="1094"/>
      <c r="E1520" s="1094"/>
      <c r="F1520" s="1094"/>
      <c r="G1520" s="197"/>
      <c r="H1520" s="197"/>
      <c r="I1520" s="197"/>
      <c r="J1520" s="197"/>
      <c r="K1520" s="1094"/>
      <c r="L1520" s="197"/>
      <c r="M1520" s="197"/>
      <c r="N1520" s="197"/>
      <c r="O1520" s="197"/>
      <c r="P1520" s="1094"/>
      <c r="Q1520" s="197"/>
      <c r="R1520" s="197"/>
      <c r="S1520" s="197"/>
      <c r="T1520" s="197"/>
      <c r="U1520" s="1094"/>
      <c r="V1520" s="197"/>
      <c r="W1520" s="197"/>
      <c r="X1520" s="197"/>
      <c r="Y1520" s="197"/>
      <c r="Z1520" s="1094"/>
      <c r="AA1520" s="197"/>
      <c r="AB1520" s="197"/>
      <c r="AC1520" s="197"/>
      <c r="AD1520" s="197"/>
      <c r="AE1520" s="1094"/>
      <c r="AF1520" s="197"/>
      <c r="AG1520" s="197"/>
      <c r="AH1520" s="197"/>
      <c r="AI1520" s="197"/>
      <c r="AJ1520" s="1094"/>
      <c r="AK1520" s="197"/>
      <c r="AL1520" s="197"/>
      <c r="AM1520" s="197"/>
      <c r="AN1520" s="197"/>
      <c r="AO1520" s="1094"/>
      <c r="AP1520" s="197"/>
      <c r="AQ1520" s="197"/>
      <c r="AR1520" s="197"/>
      <c r="AS1520" s="197"/>
      <c r="AT1520" s="198"/>
      <c r="AU1520" s="197"/>
      <c r="AV1520" s="197"/>
      <c r="AW1520" s="197"/>
      <c r="AX1520" s="197"/>
      <c r="AY1520" s="198"/>
      <c r="AZ1520" s="197"/>
      <c r="BA1520" s="197"/>
      <c r="BB1520" s="197"/>
      <c r="BC1520" s="197"/>
      <c r="BD1520" s="198"/>
      <c r="BE1520" s="197"/>
      <c r="BF1520" s="197"/>
      <c r="BG1520" s="197"/>
      <c r="BH1520" s="197"/>
      <c r="BI1520" s="198"/>
      <c r="BJ1520" s="197"/>
      <c r="BK1520" s="197"/>
      <c r="BL1520" s="197"/>
      <c r="BM1520" s="197"/>
      <c r="BN1520" s="198"/>
      <c r="BO1520" s="197"/>
      <c r="BP1520" s="197"/>
      <c r="BQ1520" s="197"/>
      <c r="BR1520" s="197"/>
      <c r="BS1520" s="198"/>
      <c r="BT1520" s="727"/>
      <c r="BU1520" s="197"/>
      <c r="BV1520" s="197"/>
      <c r="BW1520" s="197"/>
      <c r="BX1520" s="1094"/>
      <c r="BY1520" s="197"/>
      <c r="BZ1520" s="197"/>
      <c r="CA1520" s="197"/>
      <c r="CB1520" s="197"/>
      <c r="CC1520" s="1094"/>
      <c r="CD1520" s="1094"/>
      <c r="CE1520" s="1094"/>
      <c r="CF1520" s="1094"/>
      <c r="CG1520" s="349"/>
    </row>
    <row r="1521" spans="1:85" s="613" customFormat="1" x14ac:dyDescent="0.3">
      <c r="A1521" s="478" t="s">
        <v>1134</v>
      </c>
      <c r="B1521" s="523"/>
      <c r="C1521" s="78"/>
      <c r="D1521" s="78"/>
      <c r="E1521" s="78"/>
      <c r="F1521" s="78"/>
      <c r="G1521" s="774"/>
      <c r="H1521" s="774"/>
      <c r="I1521" s="774"/>
      <c r="J1521" s="774"/>
      <c r="K1521" s="78"/>
      <c r="L1521" s="774"/>
      <c r="M1521" s="774"/>
      <c r="N1521" s="774"/>
      <c r="O1521" s="774"/>
      <c r="P1521" s="78"/>
      <c r="Q1521" s="774"/>
      <c r="R1521" s="774"/>
      <c r="S1521" s="774"/>
      <c r="T1521" s="774"/>
      <c r="U1521" s="78"/>
      <c r="V1521" s="774"/>
      <c r="W1521" s="774"/>
      <c r="X1521" s="774"/>
      <c r="Y1521" s="774"/>
      <c r="Z1521" s="78"/>
      <c r="AA1521" s="774"/>
      <c r="AB1521" s="774"/>
      <c r="AC1521" s="774"/>
      <c r="AD1521" s="774"/>
      <c r="AE1521" s="78"/>
      <c r="AF1521" s="774"/>
      <c r="AG1521" s="774"/>
      <c r="AH1521" s="774"/>
      <c r="AI1521" s="774"/>
      <c r="AJ1521" s="78"/>
      <c r="AK1521" s="774"/>
      <c r="AL1521" s="774"/>
      <c r="AM1521" s="774"/>
      <c r="AN1521" s="774"/>
      <c r="AO1521" s="78"/>
      <c r="AP1521" s="774"/>
      <c r="AQ1521" s="774"/>
      <c r="AR1521" s="774"/>
      <c r="AS1521" s="774"/>
      <c r="AT1521" s="1119">
        <v>0.19900000000000001</v>
      </c>
      <c r="AU1521" s="774"/>
      <c r="AV1521" s="774"/>
      <c r="AW1521" s="774"/>
      <c r="AX1521" s="774"/>
      <c r="AY1521" s="1119">
        <v>0.19900000000000001</v>
      </c>
      <c r="AZ1521" s="774"/>
      <c r="BA1521" s="774"/>
      <c r="BB1521" s="774"/>
      <c r="BC1521" s="774"/>
      <c r="BD1521" s="1119">
        <v>0.19900000000000001</v>
      </c>
      <c r="BE1521" s="774"/>
      <c r="BF1521" s="774"/>
      <c r="BG1521" s="774"/>
      <c r="BH1521" s="774"/>
      <c r="BI1521" s="1119">
        <v>0.19900000000000001</v>
      </c>
      <c r="BJ1521" s="774"/>
      <c r="BK1521" s="774"/>
      <c r="BL1521" s="774"/>
      <c r="BM1521" s="774"/>
      <c r="BN1521" s="78"/>
      <c r="BO1521" s="774"/>
      <c r="BP1521" s="774"/>
      <c r="BQ1521" s="774"/>
      <c r="BR1521" s="774"/>
      <c r="BS1521" s="78"/>
      <c r="BT1521" s="775"/>
      <c r="BU1521" s="774"/>
      <c r="BV1521" s="774"/>
      <c r="BW1521" s="774"/>
      <c r="BX1521" s="78"/>
      <c r="BY1521" s="774"/>
      <c r="BZ1521" s="774"/>
      <c r="CA1521" s="774"/>
      <c r="CB1521" s="774"/>
      <c r="CC1521" s="78"/>
      <c r="CD1521" s="78"/>
      <c r="CE1521" s="78"/>
      <c r="CF1521" s="78"/>
      <c r="CG1521" s="532"/>
    </row>
    <row r="1522" spans="1:85" s="615" customFormat="1" x14ac:dyDescent="0.3">
      <c r="A1522" s="522" t="s">
        <v>1133</v>
      </c>
      <c r="B1522" s="521"/>
      <c r="C1522" s="1122"/>
      <c r="D1522" s="1122"/>
      <c r="E1522" s="1122"/>
      <c r="F1522" s="1122"/>
      <c r="G1522" s="520"/>
      <c r="H1522" s="520"/>
      <c r="I1522" s="520"/>
      <c r="J1522" s="520"/>
      <c r="K1522" s="1122"/>
      <c r="L1522" s="520"/>
      <c r="M1522" s="520"/>
      <c r="N1522" s="520"/>
      <c r="O1522" s="520"/>
      <c r="P1522" s="1122"/>
      <c r="Q1522" s="520"/>
      <c r="R1522" s="520"/>
      <c r="S1522" s="520"/>
      <c r="T1522" s="520"/>
      <c r="U1522" s="1122"/>
      <c r="V1522" s="520"/>
      <c r="W1522" s="520"/>
      <c r="X1522" s="520"/>
      <c r="Y1522" s="520"/>
      <c r="Z1522" s="1122"/>
      <c r="AA1522" s="520"/>
      <c r="AB1522" s="520"/>
      <c r="AC1522" s="520"/>
      <c r="AD1522" s="520"/>
      <c r="AE1522" s="1122"/>
      <c r="AF1522" s="520"/>
      <c r="AG1522" s="520"/>
      <c r="AH1522" s="520"/>
      <c r="AI1522" s="520"/>
      <c r="AJ1522" s="1122"/>
      <c r="AK1522" s="520"/>
      <c r="AL1522" s="520"/>
      <c r="AM1522" s="520"/>
      <c r="AN1522" s="520"/>
      <c r="AO1522" s="1122"/>
      <c r="AP1522" s="520"/>
      <c r="AQ1522" s="520"/>
      <c r="AR1522" s="520"/>
      <c r="AS1522" s="520"/>
      <c r="AT1522" s="1123">
        <v>366.96</v>
      </c>
      <c r="AU1522" s="520"/>
      <c r="AV1522" s="520"/>
      <c r="AW1522" s="520"/>
      <c r="AX1522" s="520"/>
      <c r="AY1522" s="1123">
        <v>366.96</v>
      </c>
      <c r="AZ1522" s="520"/>
      <c r="BA1522" s="520"/>
      <c r="BB1522" s="520"/>
      <c r="BC1522" s="520"/>
      <c r="BD1522" s="1123">
        <v>366.96</v>
      </c>
      <c r="BE1522" s="520"/>
      <c r="BF1522" s="520"/>
      <c r="BG1522" s="520"/>
      <c r="BH1522" s="520"/>
      <c r="BI1522" s="1123">
        <v>366.96</v>
      </c>
      <c r="BJ1522" s="520"/>
      <c r="BK1522" s="520"/>
      <c r="BL1522" s="520"/>
      <c r="BM1522" s="520"/>
      <c r="BN1522" s="1124"/>
      <c r="BO1522" s="520"/>
      <c r="BP1522" s="520"/>
      <c r="BQ1522" s="520"/>
      <c r="BR1522" s="520"/>
      <c r="BS1522" s="1124"/>
      <c r="BT1522" s="728"/>
      <c r="BU1522" s="520"/>
      <c r="BV1522" s="520"/>
      <c r="BW1522" s="520"/>
      <c r="BX1522" s="1122"/>
      <c r="BY1522" s="520"/>
      <c r="BZ1522" s="520"/>
      <c r="CA1522" s="520"/>
      <c r="CB1522" s="520"/>
      <c r="CC1522" s="1122"/>
      <c r="CD1522" s="1122"/>
      <c r="CE1522" s="1122"/>
      <c r="CF1522" s="1122"/>
      <c r="CG1522" s="519"/>
    </row>
    <row r="1523" spans="1:85" s="614" customFormat="1" x14ac:dyDescent="0.3">
      <c r="A1523" s="522"/>
      <c r="B1523" s="352"/>
      <c r="C1523" s="1094"/>
      <c r="D1523" s="1094"/>
      <c r="E1523" s="1094"/>
      <c r="F1523" s="1094"/>
      <c r="G1523" s="197"/>
      <c r="H1523" s="197"/>
      <c r="I1523" s="197"/>
      <c r="J1523" s="197"/>
      <c r="K1523" s="1094"/>
      <c r="L1523" s="197"/>
      <c r="M1523" s="197"/>
      <c r="N1523" s="197"/>
      <c r="O1523" s="197"/>
      <c r="P1523" s="1094"/>
      <c r="Q1523" s="197"/>
      <c r="R1523" s="197"/>
      <c r="S1523" s="197"/>
      <c r="T1523" s="197"/>
      <c r="U1523" s="1094"/>
      <c r="V1523" s="197"/>
      <c r="W1523" s="197"/>
      <c r="X1523" s="197"/>
      <c r="Y1523" s="197"/>
      <c r="Z1523" s="1094"/>
      <c r="AA1523" s="197"/>
      <c r="AB1523" s="197"/>
      <c r="AC1523" s="197"/>
      <c r="AD1523" s="197"/>
      <c r="AE1523" s="1094"/>
      <c r="AF1523" s="197"/>
      <c r="AG1523" s="197"/>
      <c r="AH1523" s="197"/>
      <c r="AI1523" s="197"/>
      <c r="AJ1523" s="1094"/>
      <c r="AK1523" s="197"/>
      <c r="AL1523" s="197"/>
      <c r="AM1523" s="197"/>
      <c r="AN1523" s="197"/>
      <c r="AO1523" s="1094"/>
      <c r="AP1523" s="197"/>
      <c r="AQ1523" s="197"/>
      <c r="AR1523" s="197"/>
      <c r="AS1523" s="197"/>
      <c r="AT1523" s="198"/>
      <c r="AU1523" s="197"/>
      <c r="AV1523" s="197"/>
      <c r="AW1523" s="197"/>
      <c r="AX1523" s="197"/>
      <c r="AY1523" s="198"/>
      <c r="AZ1523" s="197"/>
      <c r="BA1523" s="197"/>
      <c r="BB1523" s="197"/>
      <c r="BC1523" s="197"/>
      <c r="BD1523" s="198"/>
      <c r="BE1523" s="197"/>
      <c r="BF1523" s="197"/>
      <c r="BG1523" s="197"/>
      <c r="BH1523" s="197"/>
      <c r="BI1523" s="198"/>
      <c r="BJ1523" s="197"/>
      <c r="BK1523" s="197"/>
      <c r="BL1523" s="197"/>
      <c r="BM1523" s="197"/>
      <c r="BN1523" s="198"/>
      <c r="BO1523" s="197"/>
      <c r="BP1523" s="197"/>
      <c r="BQ1523" s="197"/>
      <c r="BR1523" s="197"/>
      <c r="BS1523" s="198"/>
      <c r="BT1523" s="727"/>
      <c r="BU1523" s="197"/>
      <c r="BV1523" s="197"/>
      <c r="BW1523" s="197"/>
      <c r="BX1523" s="1094"/>
      <c r="BY1523" s="197"/>
      <c r="BZ1523" s="197"/>
      <c r="CA1523" s="197"/>
      <c r="CB1523" s="197"/>
      <c r="CC1523" s="1094"/>
      <c r="CD1523" s="1094"/>
      <c r="CE1523" s="1094"/>
      <c r="CF1523" s="1094"/>
      <c r="CG1523" s="349"/>
    </row>
    <row r="1524" spans="1:85" s="613" customFormat="1" x14ac:dyDescent="0.3">
      <c r="A1524" s="478" t="s">
        <v>1132</v>
      </c>
      <c r="B1524" s="523"/>
      <c r="C1524" s="78"/>
      <c r="D1524" s="78"/>
      <c r="E1524" s="78"/>
      <c r="F1524" s="78"/>
      <c r="G1524" s="774"/>
      <c r="H1524" s="774"/>
      <c r="I1524" s="774"/>
      <c r="J1524" s="774"/>
      <c r="K1524" s="78"/>
      <c r="L1524" s="774"/>
      <c r="M1524" s="774"/>
      <c r="N1524" s="774"/>
      <c r="O1524" s="774"/>
      <c r="P1524" s="78"/>
      <c r="Q1524" s="774"/>
      <c r="R1524" s="774"/>
      <c r="S1524" s="774"/>
      <c r="T1524" s="774"/>
      <c r="U1524" s="78"/>
      <c r="V1524" s="774"/>
      <c r="W1524" s="774"/>
      <c r="X1524" s="774"/>
      <c r="Y1524" s="774"/>
      <c r="Z1524" s="78"/>
      <c r="AA1524" s="774"/>
      <c r="AB1524" s="774"/>
      <c r="AC1524" s="774"/>
      <c r="AD1524" s="774"/>
      <c r="AE1524" s="78"/>
      <c r="AF1524" s="774"/>
      <c r="AG1524" s="774"/>
      <c r="AH1524" s="774"/>
      <c r="AI1524" s="774"/>
      <c r="AJ1524" s="78"/>
      <c r="AK1524" s="774"/>
      <c r="AL1524" s="774"/>
      <c r="AM1524" s="774"/>
      <c r="AN1524" s="774"/>
      <c r="AO1524" s="78"/>
      <c r="AP1524" s="774"/>
      <c r="AQ1524" s="774"/>
      <c r="AR1524" s="774"/>
      <c r="AS1524" s="774"/>
      <c r="AT1524" s="1119">
        <v>0.192</v>
      </c>
      <c r="AU1524" s="774"/>
      <c r="AV1524" s="774"/>
      <c r="AW1524" s="774"/>
      <c r="AX1524" s="774"/>
      <c r="AY1524" s="1119">
        <v>0.192</v>
      </c>
      <c r="AZ1524" s="774"/>
      <c r="BA1524" s="774"/>
      <c r="BB1524" s="774"/>
      <c r="BC1524" s="774"/>
      <c r="BD1524" s="1119">
        <v>0.192</v>
      </c>
      <c r="BE1524" s="774"/>
      <c r="BF1524" s="774"/>
      <c r="BG1524" s="774"/>
      <c r="BH1524" s="774"/>
      <c r="BI1524" s="1119">
        <v>0.192</v>
      </c>
      <c r="BJ1524" s="774"/>
      <c r="BK1524" s="774"/>
      <c r="BL1524" s="774"/>
      <c r="BM1524" s="774"/>
      <c r="BN1524" s="78"/>
      <c r="BO1524" s="774"/>
      <c r="BP1524" s="774"/>
      <c r="BQ1524" s="774"/>
      <c r="BR1524" s="774"/>
      <c r="BS1524" s="78"/>
      <c r="BT1524" s="775"/>
      <c r="BU1524" s="774"/>
      <c r="BV1524" s="774"/>
      <c r="BW1524" s="774"/>
      <c r="BX1524" s="78"/>
      <c r="BY1524" s="774"/>
      <c r="BZ1524" s="774"/>
      <c r="CA1524" s="774"/>
      <c r="CB1524" s="774"/>
      <c r="CC1524" s="78"/>
      <c r="CD1524" s="78"/>
      <c r="CE1524" s="78"/>
      <c r="CF1524" s="78"/>
      <c r="CG1524" s="532"/>
    </row>
    <row r="1525" spans="1:85" s="615" customFormat="1" x14ac:dyDescent="0.3">
      <c r="A1525" s="522" t="s">
        <v>1131</v>
      </c>
      <c r="B1525" s="521"/>
      <c r="C1525" s="1122"/>
      <c r="D1525" s="1122"/>
      <c r="E1525" s="1122"/>
      <c r="F1525" s="1122"/>
      <c r="G1525" s="520"/>
      <c r="H1525" s="520"/>
      <c r="I1525" s="520"/>
      <c r="J1525" s="520"/>
      <c r="K1525" s="1122"/>
      <c r="L1525" s="520"/>
      <c r="M1525" s="520"/>
      <c r="N1525" s="520"/>
      <c r="O1525" s="520"/>
      <c r="P1525" s="1122"/>
      <c r="Q1525" s="520"/>
      <c r="R1525" s="520"/>
      <c r="S1525" s="520"/>
      <c r="T1525" s="520"/>
      <c r="U1525" s="1122"/>
      <c r="V1525" s="520"/>
      <c r="W1525" s="520"/>
      <c r="X1525" s="520"/>
      <c r="Y1525" s="520"/>
      <c r="Z1525" s="1122"/>
      <c r="AA1525" s="520"/>
      <c r="AB1525" s="520"/>
      <c r="AC1525" s="520"/>
      <c r="AD1525" s="520"/>
      <c r="AE1525" s="1122"/>
      <c r="AF1525" s="520"/>
      <c r="AG1525" s="520"/>
      <c r="AH1525" s="520"/>
      <c r="AI1525" s="520"/>
      <c r="AJ1525" s="1122"/>
      <c r="AK1525" s="520"/>
      <c r="AL1525" s="520"/>
      <c r="AM1525" s="520"/>
      <c r="AN1525" s="520"/>
      <c r="AO1525" s="1122"/>
      <c r="AP1525" s="520"/>
      <c r="AQ1525" s="520"/>
      <c r="AR1525" s="520"/>
      <c r="AS1525" s="520"/>
      <c r="AT1525" s="1123">
        <v>378.81</v>
      </c>
      <c r="AU1525" s="520"/>
      <c r="AV1525" s="520"/>
      <c r="AW1525" s="520"/>
      <c r="AX1525" s="520"/>
      <c r="AY1525" s="1123">
        <v>378.81</v>
      </c>
      <c r="AZ1525" s="520"/>
      <c r="BA1525" s="520"/>
      <c r="BB1525" s="520"/>
      <c r="BC1525" s="520"/>
      <c r="BD1525" s="1123">
        <v>378.81</v>
      </c>
      <c r="BE1525" s="520"/>
      <c r="BF1525" s="520"/>
      <c r="BG1525" s="520"/>
      <c r="BH1525" s="520"/>
      <c r="BI1525" s="1123">
        <v>378.81</v>
      </c>
      <c r="BJ1525" s="520"/>
      <c r="BK1525" s="520"/>
      <c r="BL1525" s="520"/>
      <c r="BM1525" s="520"/>
      <c r="BN1525" s="1124"/>
      <c r="BO1525" s="520"/>
      <c r="BP1525" s="520"/>
      <c r="BQ1525" s="520"/>
      <c r="BR1525" s="520"/>
      <c r="BS1525" s="1124"/>
      <c r="BT1525" s="728"/>
      <c r="BU1525" s="520"/>
      <c r="BV1525" s="520"/>
      <c r="BW1525" s="520"/>
      <c r="BX1525" s="1122"/>
      <c r="BY1525" s="520"/>
      <c r="BZ1525" s="520"/>
      <c r="CA1525" s="520"/>
      <c r="CB1525" s="520"/>
      <c r="CC1525" s="1122"/>
      <c r="CD1525" s="1122"/>
      <c r="CE1525" s="1122"/>
      <c r="CF1525" s="1122"/>
      <c r="CG1525" s="519"/>
    </row>
    <row r="1526" spans="1:85" s="614" customFormat="1" x14ac:dyDescent="0.3">
      <c r="A1526" s="522"/>
      <c r="B1526" s="352"/>
      <c r="C1526" s="1094"/>
      <c r="D1526" s="1094"/>
      <c r="E1526" s="1094"/>
      <c r="F1526" s="1094"/>
      <c r="G1526" s="197"/>
      <c r="H1526" s="197"/>
      <c r="I1526" s="197"/>
      <c r="J1526" s="197"/>
      <c r="K1526" s="1094"/>
      <c r="L1526" s="197"/>
      <c r="M1526" s="197"/>
      <c r="N1526" s="197"/>
      <c r="O1526" s="197"/>
      <c r="P1526" s="1094"/>
      <c r="Q1526" s="197"/>
      <c r="R1526" s="197"/>
      <c r="S1526" s="197"/>
      <c r="T1526" s="197"/>
      <c r="U1526" s="1094"/>
      <c r="V1526" s="197"/>
      <c r="W1526" s="197"/>
      <c r="X1526" s="197"/>
      <c r="Y1526" s="197"/>
      <c r="Z1526" s="1094"/>
      <c r="AA1526" s="197"/>
      <c r="AB1526" s="197"/>
      <c r="AC1526" s="197"/>
      <c r="AD1526" s="197"/>
      <c r="AE1526" s="1094"/>
      <c r="AF1526" s="197"/>
      <c r="AG1526" s="197"/>
      <c r="AH1526" s="197"/>
      <c r="AI1526" s="197"/>
      <c r="AJ1526" s="1094"/>
      <c r="AK1526" s="197"/>
      <c r="AL1526" s="197"/>
      <c r="AM1526" s="197"/>
      <c r="AN1526" s="197"/>
      <c r="AO1526" s="1094"/>
      <c r="AP1526" s="197"/>
      <c r="AQ1526" s="197"/>
      <c r="AR1526" s="197"/>
      <c r="AS1526" s="197"/>
      <c r="AT1526" s="198"/>
      <c r="AU1526" s="197"/>
      <c r="AV1526" s="197"/>
      <c r="AW1526" s="197"/>
      <c r="AX1526" s="197"/>
      <c r="AY1526" s="198"/>
      <c r="AZ1526" s="197"/>
      <c r="BA1526" s="197"/>
      <c r="BB1526" s="197"/>
      <c r="BC1526" s="197"/>
      <c r="BD1526" s="198"/>
      <c r="BE1526" s="197"/>
      <c r="BF1526" s="197"/>
      <c r="BG1526" s="197"/>
      <c r="BH1526" s="197"/>
      <c r="BI1526" s="198"/>
      <c r="BJ1526" s="197"/>
      <c r="BK1526" s="197"/>
      <c r="BL1526" s="197"/>
      <c r="BM1526" s="197"/>
      <c r="BN1526" s="198"/>
      <c r="BO1526" s="197"/>
      <c r="BP1526" s="197"/>
      <c r="BQ1526" s="197"/>
      <c r="BR1526" s="197"/>
      <c r="BS1526" s="198"/>
      <c r="BT1526" s="727"/>
      <c r="BU1526" s="197"/>
      <c r="BV1526" s="197"/>
      <c r="BW1526" s="197"/>
      <c r="BX1526" s="1094"/>
      <c r="BY1526" s="197"/>
      <c r="BZ1526" s="197"/>
      <c r="CA1526" s="197"/>
      <c r="CB1526" s="197"/>
      <c r="CC1526" s="1094"/>
      <c r="CD1526" s="1094"/>
      <c r="CE1526" s="1094"/>
      <c r="CF1526" s="1094"/>
      <c r="CG1526" s="349"/>
    </row>
    <row r="1527" spans="1:85" s="613" customFormat="1" x14ac:dyDescent="0.3">
      <c r="A1527" s="478" t="s">
        <v>1130</v>
      </c>
      <c r="B1527" s="523"/>
      <c r="C1527" s="78"/>
      <c r="D1527" s="78"/>
      <c r="E1527" s="78"/>
      <c r="F1527" s="78"/>
      <c r="G1527" s="774"/>
      <c r="H1527" s="774"/>
      <c r="I1527" s="774"/>
      <c r="J1527" s="774"/>
      <c r="K1527" s="78"/>
      <c r="L1527" s="774"/>
      <c r="M1527" s="774"/>
      <c r="N1527" s="774"/>
      <c r="O1527" s="774"/>
      <c r="P1527" s="78"/>
      <c r="Q1527" s="774"/>
      <c r="R1527" s="774"/>
      <c r="S1527" s="774"/>
      <c r="T1527" s="774"/>
      <c r="U1527" s="78"/>
      <c r="V1527" s="774"/>
      <c r="W1527" s="774"/>
      <c r="X1527" s="774"/>
      <c r="Y1527" s="774"/>
      <c r="Z1527" s="78"/>
      <c r="AA1527" s="774"/>
      <c r="AB1527" s="774"/>
      <c r="AC1527" s="774"/>
      <c r="AD1527" s="774"/>
      <c r="AE1527" s="78"/>
      <c r="AF1527" s="774"/>
      <c r="AG1527" s="774"/>
      <c r="AH1527" s="774"/>
      <c r="AI1527" s="774"/>
      <c r="AJ1527" s="78"/>
      <c r="AK1527" s="774"/>
      <c r="AL1527" s="774"/>
      <c r="AM1527" s="774"/>
      <c r="AN1527" s="774"/>
      <c r="AO1527" s="78"/>
      <c r="AP1527" s="774"/>
      <c r="AQ1527" s="774"/>
      <c r="AR1527" s="774"/>
      <c r="AS1527" s="774"/>
      <c r="AT1527" s="1119">
        <v>0.217</v>
      </c>
      <c r="AU1527" s="774"/>
      <c r="AV1527" s="774"/>
      <c r="AW1527" s="774"/>
      <c r="AX1527" s="774"/>
      <c r="AY1527" s="1119">
        <v>0.217</v>
      </c>
      <c r="AZ1527" s="774"/>
      <c r="BA1527" s="774"/>
      <c r="BB1527" s="774"/>
      <c r="BC1527" s="774"/>
      <c r="BD1527" s="1119">
        <v>0.217</v>
      </c>
      <c r="BE1527" s="774"/>
      <c r="BF1527" s="774"/>
      <c r="BG1527" s="774"/>
      <c r="BH1527" s="774"/>
      <c r="BI1527" s="1119">
        <v>0.217</v>
      </c>
      <c r="BJ1527" s="774"/>
      <c r="BK1527" s="774"/>
      <c r="BL1527" s="774"/>
      <c r="BM1527" s="774"/>
      <c r="BN1527" s="78"/>
      <c r="BO1527" s="774"/>
      <c r="BP1527" s="774"/>
      <c r="BQ1527" s="774"/>
      <c r="BR1527" s="774"/>
      <c r="BS1527" s="78"/>
      <c r="BT1527" s="775"/>
      <c r="BU1527" s="774"/>
      <c r="BV1527" s="774"/>
      <c r="BW1527" s="774"/>
      <c r="BX1527" s="78"/>
      <c r="BY1527" s="774"/>
      <c r="BZ1527" s="774"/>
      <c r="CA1527" s="774"/>
      <c r="CB1527" s="774"/>
      <c r="CC1527" s="78"/>
      <c r="CD1527" s="78"/>
      <c r="CE1527" s="78"/>
      <c r="CF1527" s="78"/>
      <c r="CG1527" s="532"/>
    </row>
    <row r="1528" spans="1:85" s="615" customFormat="1" x14ac:dyDescent="0.3">
      <c r="A1528" s="522" t="s">
        <v>1129</v>
      </c>
      <c r="B1528" s="521"/>
      <c r="C1528" s="1122"/>
      <c r="D1528" s="1122"/>
      <c r="E1528" s="1122"/>
      <c r="F1528" s="1122"/>
      <c r="G1528" s="520"/>
      <c r="H1528" s="520"/>
      <c r="I1528" s="520"/>
      <c r="J1528" s="520"/>
      <c r="K1528" s="1122"/>
      <c r="L1528" s="520"/>
      <c r="M1528" s="520"/>
      <c r="N1528" s="520"/>
      <c r="O1528" s="520"/>
      <c r="P1528" s="1122"/>
      <c r="Q1528" s="520"/>
      <c r="R1528" s="520"/>
      <c r="S1528" s="520"/>
      <c r="T1528" s="520"/>
      <c r="U1528" s="1122"/>
      <c r="V1528" s="520"/>
      <c r="W1528" s="520"/>
      <c r="X1528" s="520"/>
      <c r="Y1528" s="520"/>
      <c r="Z1528" s="1122"/>
      <c r="AA1528" s="520"/>
      <c r="AB1528" s="520"/>
      <c r="AC1528" s="520"/>
      <c r="AD1528" s="520"/>
      <c r="AE1528" s="1122"/>
      <c r="AF1528" s="520"/>
      <c r="AG1528" s="520"/>
      <c r="AH1528" s="520"/>
      <c r="AI1528" s="520"/>
      <c r="AJ1528" s="1122"/>
      <c r="AK1528" s="520"/>
      <c r="AL1528" s="520"/>
      <c r="AM1528" s="520"/>
      <c r="AN1528" s="520"/>
      <c r="AO1528" s="1122"/>
      <c r="AP1528" s="520"/>
      <c r="AQ1528" s="520"/>
      <c r="AR1528" s="520"/>
      <c r="AS1528" s="520"/>
      <c r="AT1528" s="1123">
        <v>336.63</v>
      </c>
      <c r="AU1528" s="520"/>
      <c r="AV1528" s="520"/>
      <c r="AW1528" s="520"/>
      <c r="AX1528" s="520"/>
      <c r="AY1528" s="1123">
        <v>336.63</v>
      </c>
      <c r="AZ1528" s="520"/>
      <c r="BA1528" s="520"/>
      <c r="BB1528" s="520"/>
      <c r="BC1528" s="520"/>
      <c r="BD1528" s="1123">
        <v>336.63</v>
      </c>
      <c r="BE1528" s="520"/>
      <c r="BF1528" s="520"/>
      <c r="BG1528" s="520"/>
      <c r="BH1528" s="520"/>
      <c r="BI1528" s="1123">
        <v>336.63</v>
      </c>
      <c r="BJ1528" s="520"/>
      <c r="BK1528" s="520"/>
      <c r="BL1528" s="520"/>
      <c r="BM1528" s="520"/>
      <c r="BN1528" s="1124"/>
      <c r="BO1528" s="520"/>
      <c r="BP1528" s="520"/>
      <c r="BQ1528" s="520"/>
      <c r="BR1528" s="520"/>
      <c r="BS1528" s="1124"/>
      <c r="BT1528" s="728"/>
      <c r="BU1528" s="520"/>
      <c r="BV1528" s="520"/>
      <c r="BW1528" s="520"/>
      <c r="BX1528" s="1122"/>
      <c r="BY1528" s="520"/>
      <c r="BZ1528" s="520"/>
      <c r="CA1528" s="520"/>
      <c r="CB1528" s="520"/>
      <c r="CC1528" s="1122"/>
      <c r="CD1528" s="1122"/>
      <c r="CE1528" s="1122"/>
      <c r="CF1528" s="1122"/>
      <c r="CG1528" s="519"/>
    </row>
    <row r="1529" spans="1:85" s="614" customFormat="1" x14ac:dyDescent="0.3">
      <c r="A1529" s="522"/>
      <c r="B1529" s="352"/>
      <c r="C1529" s="1094"/>
      <c r="D1529" s="1094"/>
      <c r="E1529" s="1094"/>
      <c r="F1529" s="1094"/>
      <c r="G1529" s="197"/>
      <c r="H1529" s="197"/>
      <c r="I1529" s="197"/>
      <c r="J1529" s="197"/>
      <c r="K1529" s="1094"/>
      <c r="L1529" s="197"/>
      <c r="M1529" s="197"/>
      <c r="N1529" s="197"/>
      <c r="O1529" s="197"/>
      <c r="P1529" s="1094"/>
      <c r="Q1529" s="197"/>
      <c r="R1529" s="197"/>
      <c r="S1529" s="197"/>
      <c r="T1529" s="197"/>
      <c r="U1529" s="1094"/>
      <c r="V1529" s="197"/>
      <c r="W1529" s="197"/>
      <c r="X1529" s="197"/>
      <c r="Y1529" s="197"/>
      <c r="Z1529" s="1094"/>
      <c r="AA1529" s="197"/>
      <c r="AB1529" s="197"/>
      <c r="AC1529" s="197"/>
      <c r="AD1529" s="197"/>
      <c r="AE1529" s="1094"/>
      <c r="AF1529" s="197"/>
      <c r="AG1529" s="197"/>
      <c r="AH1529" s="197"/>
      <c r="AI1529" s="197"/>
      <c r="AJ1529" s="1094"/>
      <c r="AK1529" s="197"/>
      <c r="AL1529" s="197"/>
      <c r="AM1529" s="197"/>
      <c r="AN1529" s="197"/>
      <c r="AO1529" s="1094"/>
      <c r="AP1529" s="197"/>
      <c r="AQ1529" s="197"/>
      <c r="AR1529" s="197"/>
      <c r="AS1529" s="197"/>
      <c r="AT1529" s="198"/>
      <c r="AU1529" s="197"/>
      <c r="AV1529" s="197"/>
      <c r="AW1529" s="197"/>
      <c r="AX1529" s="197"/>
      <c r="AY1529" s="198"/>
      <c r="AZ1529" s="197"/>
      <c r="BA1529" s="197"/>
      <c r="BB1529" s="197"/>
      <c r="BC1529" s="197"/>
      <c r="BD1529" s="198"/>
      <c r="BE1529" s="197"/>
      <c r="BF1529" s="197"/>
      <c r="BG1529" s="197"/>
      <c r="BH1529" s="197"/>
      <c r="BI1529" s="198"/>
      <c r="BJ1529" s="197"/>
      <c r="BK1529" s="197"/>
      <c r="BL1529" s="197"/>
      <c r="BM1529" s="197"/>
      <c r="BN1529" s="198"/>
      <c r="BO1529" s="197"/>
      <c r="BP1529" s="197"/>
      <c r="BQ1529" s="197"/>
      <c r="BR1529" s="197"/>
      <c r="BS1529" s="198"/>
      <c r="BT1529" s="727"/>
      <c r="BU1529" s="197"/>
      <c r="BV1529" s="197"/>
      <c r="BW1529" s="197"/>
      <c r="BX1529" s="1094"/>
      <c r="BY1529" s="197"/>
      <c r="BZ1529" s="197"/>
      <c r="CA1529" s="197"/>
      <c r="CB1529" s="197"/>
      <c r="CC1529" s="1094"/>
      <c r="CD1529" s="1094"/>
      <c r="CE1529" s="1094"/>
      <c r="CF1529" s="1094"/>
      <c r="CG1529" s="349"/>
    </row>
    <row r="1530" spans="1:85" s="613" customFormat="1" x14ac:dyDescent="0.3">
      <c r="A1530" s="478" t="s">
        <v>1128</v>
      </c>
      <c r="B1530" s="523"/>
      <c r="C1530" s="78"/>
      <c r="D1530" s="78"/>
      <c r="E1530" s="78"/>
      <c r="F1530" s="78"/>
      <c r="G1530" s="774"/>
      <c r="H1530" s="774"/>
      <c r="I1530" s="774"/>
      <c r="J1530" s="774"/>
      <c r="K1530" s="78"/>
      <c r="L1530" s="774"/>
      <c r="M1530" s="774"/>
      <c r="N1530" s="774"/>
      <c r="O1530" s="774"/>
      <c r="P1530" s="78"/>
      <c r="Q1530" s="774"/>
      <c r="R1530" s="774"/>
      <c r="S1530" s="774"/>
      <c r="T1530" s="774"/>
      <c r="U1530" s="78"/>
      <c r="V1530" s="774"/>
      <c r="W1530" s="774"/>
      <c r="X1530" s="774"/>
      <c r="Y1530" s="774"/>
      <c r="Z1530" s="78"/>
      <c r="AA1530" s="774"/>
      <c r="AB1530" s="774"/>
      <c r="AC1530" s="774"/>
      <c r="AD1530" s="774"/>
      <c r="AE1530" s="78"/>
      <c r="AF1530" s="774"/>
      <c r="AG1530" s="774"/>
      <c r="AH1530" s="774"/>
      <c r="AI1530" s="774"/>
      <c r="AJ1530" s="78"/>
      <c r="AK1530" s="774"/>
      <c r="AL1530" s="774"/>
      <c r="AM1530" s="774"/>
      <c r="AN1530" s="774"/>
      <c r="AO1530" s="78"/>
      <c r="AP1530" s="774"/>
      <c r="AQ1530" s="774"/>
      <c r="AR1530" s="774"/>
      <c r="AS1530" s="774"/>
      <c r="AT1530" s="1119">
        <v>0.19500000000000001</v>
      </c>
      <c r="AU1530" s="774"/>
      <c r="AV1530" s="774"/>
      <c r="AW1530" s="774"/>
      <c r="AX1530" s="774"/>
      <c r="AY1530" s="1119">
        <v>0.19500000000000001</v>
      </c>
      <c r="AZ1530" s="774"/>
      <c r="BA1530" s="774"/>
      <c r="BB1530" s="774"/>
      <c r="BC1530" s="774"/>
      <c r="BD1530" s="1119">
        <v>0.19500000000000001</v>
      </c>
      <c r="BE1530" s="774"/>
      <c r="BF1530" s="774"/>
      <c r="BG1530" s="774"/>
      <c r="BH1530" s="774"/>
      <c r="BI1530" s="1119">
        <v>0.19500000000000001</v>
      </c>
      <c r="BJ1530" s="774"/>
      <c r="BK1530" s="774"/>
      <c r="BL1530" s="774"/>
      <c r="BM1530" s="774"/>
      <c r="BN1530" s="78"/>
      <c r="BO1530" s="774"/>
      <c r="BP1530" s="774"/>
      <c r="BQ1530" s="774"/>
      <c r="BR1530" s="774"/>
      <c r="BS1530" s="78"/>
      <c r="BT1530" s="775"/>
      <c r="BU1530" s="774"/>
      <c r="BV1530" s="774"/>
      <c r="BW1530" s="774"/>
      <c r="BX1530" s="78"/>
      <c r="BY1530" s="774"/>
      <c r="BZ1530" s="774"/>
      <c r="CA1530" s="774"/>
      <c r="CB1530" s="774"/>
      <c r="CC1530" s="78"/>
      <c r="CD1530" s="78"/>
      <c r="CE1530" s="78"/>
      <c r="CF1530" s="78"/>
      <c r="CG1530" s="532"/>
    </row>
    <row r="1531" spans="1:85" s="615" customFormat="1" x14ac:dyDescent="0.3">
      <c r="A1531" s="522" t="s">
        <v>1127</v>
      </c>
      <c r="B1531" s="521"/>
      <c r="C1531" s="1122"/>
      <c r="D1531" s="1122"/>
      <c r="E1531" s="1122"/>
      <c r="F1531" s="1122"/>
      <c r="G1531" s="520"/>
      <c r="H1531" s="520"/>
      <c r="I1531" s="520"/>
      <c r="J1531" s="520"/>
      <c r="K1531" s="1122"/>
      <c r="L1531" s="520"/>
      <c r="M1531" s="520"/>
      <c r="N1531" s="520"/>
      <c r="O1531" s="520"/>
      <c r="P1531" s="1122"/>
      <c r="Q1531" s="520"/>
      <c r="R1531" s="520"/>
      <c r="S1531" s="520"/>
      <c r="T1531" s="520"/>
      <c r="U1531" s="1122"/>
      <c r="V1531" s="520"/>
      <c r="W1531" s="520"/>
      <c r="X1531" s="520"/>
      <c r="Y1531" s="520"/>
      <c r="Z1531" s="1122"/>
      <c r="AA1531" s="520"/>
      <c r="AB1531" s="520"/>
      <c r="AC1531" s="520"/>
      <c r="AD1531" s="520"/>
      <c r="AE1531" s="1122"/>
      <c r="AF1531" s="520"/>
      <c r="AG1531" s="520"/>
      <c r="AH1531" s="520"/>
      <c r="AI1531" s="520"/>
      <c r="AJ1531" s="1122"/>
      <c r="AK1531" s="520"/>
      <c r="AL1531" s="520"/>
      <c r="AM1531" s="520"/>
      <c r="AN1531" s="520"/>
      <c r="AO1531" s="1122"/>
      <c r="AP1531" s="520"/>
      <c r="AQ1531" s="520"/>
      <c r="AR1531" s="520"/>
      <c r="AS1531" s="520"/>
      <c r="AT1531" s="1123">
        <v>374.6</v>
      </c>
      <c r="AU1531" s="520"/>
      <c r="AV1531" s="520"/>
      <c r="AW1531" s="520"/>
      <c r="AX1531" s="520"/>
      <c r="AY1531" s="1123">
        <v>374.6</v>
      </c>
      <c r="AZ1531" s="520"/>
      <c r="BA1531" s="520"/>
      <c r="BB1531" s="520"/>
      <c r="BC1531" s="520"/>
      <c r="BD1531" s="1123">
        <v>374.6</v>
      </c>
      <c r="BE1531" s="520"/>
      <c r="BF1531" s="520"/>
      <c r="BG1531" s="520"/>
      <c r="BH1531" s="520"/>
      <c r="BI1531" s="1123">
        <v>374.6</v>
      </c>
      <c r="BJ1531" s="520"/>
      <c r="BK1531" s="520"/>
      <c r="BL1531" s="520"/>
      <c r="BM1531" s="520"/>
      <c r="BN1531" s="1124"/>
      <c r="BO1531" s="520"/>
      <c r="BP1531" s="520"/>
      <c r="BQ1531" s="520"/>
      <c r="BR1531" s="520"/>
      <c r="BS1531" s="1124"/>
      <c r="BT1531" s="728"/>
      <c r="BU1531" s="520"/>
      <c r="BV1531" s="520"/>
      <c r="BW1531" s="520"/>
      <c r="BX1531" s="1122"/>
      <c r="BY1531" s="520"/>
      <c r="BZ1531" s="520"/>
      <c r="CA1531" s="520"/>
      <c r="CB1531" s="520"/>
      <c r="CC1531" s="1122"/>
      <c r="CD1531" s="1122"/>
      <c r="CE1531" s="1122"/>
      <c r="CF1531" s="1122"/>
      <c r="CG1531" s="519"/>
    </row>
    <row r="1532" spans="1:85" s="614" customFormat="1" x14ac:dyDescent="0.3">
      <c r="A1532" s="522"/>
      <c r="B1532" s="352"/>
      <c r="C1532" s="1094"/>
      <c r="D1532" s="1094"/>
      <c r="E1532" s="1094"/>
      <c r="F1532" s="1094"/>
      <c r="G1532" s="197"/>
      <c r="H1532" s="197"/>
      <c r="I1532" s="197"/>
      <c r="J1532" s="197"/>
      <c r="K1532" s="1094"/>
      <c r="L1532" s="197"/>
      <c r="M1532" s="197"/>
      <c r="N1532" s="197"/>
      <c r="O1532" s="197"/>
      <c r="P1532" s="1094"/>
      <c r="Q1532" s="197"/>
      <c r="R1532" s="197"/>
      <c r="S1532" s="197"/>
      <c r="T1532" s="197"/>
      <c r="U1532" s="1094"/>
      <c r="V1532" s="197"/>
      <c r="W1532" s="197"/>
      <c r="X1532" s="197"/>
      <c r="Y1532" s="197"/>
      <c r="Z1532" s="1094"/>
      <c r="AA1532" s="197"/>
      <c r="AB1532" s="197"/>
      <c r="AC1532" s="197"/>
      <c r="AD1532" s="197"/>
      <c r="AE1532" s="1094"/>
      <c r="AF1532" s="197"/>
      <c r="AG1532" s="197"/>
      <c r="AH1532" s="197"/>
      <c r="AI1532" s="197"/>
      <c r="AJ1532" s="1094"/>
      <c r="AK1532" s="197"/>
      <c r="AL1532" s="197"/>
      <c r="AM1532" s="197"/>
      <c r="AN1532" s="197"/>
      <c r="AO1532" s="1094"/>
      <c r="AP1532" s="197"/>
      <c r="AQ1532" s="197"/>
      <c r="AR1532" s="197"/>
      <c r="AS1532" s="197"/>
      <c r="AT1532" s="198"/>
      <c r="AU1532" s="197"/>
      <c r="AV1532" s="197"/>
      <c r="AW1532" s="197"/>
      <c r="AX1532" s="197"/>
      <c r="AY1532" s="198"/>
      <c r="AZ1532" s="197"/>
      <c r="BA1532" s="197"/>
      <c r="BB1532" s="197"/>
      <c r="BC1532" s="197"/>
      <c r="BD1532" s="198"/>
      <c r="BE1532" s="197"/>
      <c r="BF1532" s="197"/>
      <c r="BG1532" s="197"/>
      <c r="BH1532" s="197"/>
      <c r="BI1532" s="198"/>
      <c r="BJ1532" s="197"/>
      <c r="BK1532" s="197"/>
      <c r="BL1532" s="197"/>
      <c r="BM1532" s="197"/>
      <c r="BN1532" s="198"/>
      <c r="BO1532" s="197"/>
      <c r="BP1532" s="197"/>
      <c r="BQ1532" s="197"/>
      <c r="BR1532" s="197"/>
      <c r="BS1532" s="198"/>
      <c r="BT1532" s="727"/>
      <c r="BU1532" s="197"/>
      <c r="BV1532" s="197"/>
      <c r="BW1532" s="197"/>
      <c r="BX1532" s="1094"/>
      <c r="BY1532" s="197"/>
      <c r="BZ1532" s="197"/>
      <c r="CA1532" s="197"/>
      <c r="CB1532" s="197"/>
      <c r="CC1532" s="1094"/>
      <c r="CD1532" s="1094"/>
      <c r="CE1532" s="1094"/>
      <c r="CF1532" s="1094"/>
      <c r="CG1532" s="349"/>
    </row>
    <row r="1533" spans="1:85" s="613" customFormat="1" x14ac:dyDescent="0.3">
      <c r="A1533" s="478" t="s">
        <v>1126</v>
      </c>
      <c r="B1533" s="523"/>
      <c r="C1533" s="78"/>
      <c r="D1533" s="78"/>
      <c r="E1533" s="78"/>
      <c r="F1533" s="78"/>
      <c r="G1533" s="774"/>
      <c r="H1533" s="774"/>
      <c r="I1533" s="774"/>
      <c r="J1533" s="774"/>
      <c r="K1533" s="78"/>
      <c r="L1533" s="774"/>
      <c r="M1533" s="774"/>
      <c r="N1533" s="774"/>
      <c r="O1533" s="774"/>
      <c r="P1533" s="78"/>
      <c r="Q1533" s="774"/>
      <c r="R1533" s="774"/>
      <c r="S1533" s="774"/>
      <c r="T1533" s="774"/>
      <c r="U1533" s="78"/>
      <c r="V1533" s="774"/>
      <c r="W1533" s="774"/>
      <c r="X1533" s="774"/>
      <c r="Y1533" s="774"/>
      <c r="Z1533" s="78"/>
      <c r="AA1533" s="774"/>
      <c r="AB1533" s="774"/>
      <c r="AC1533" s="774"/>
      <c r="AD1533" s="774"/>
      <c r="AE1533" s="78"/>
      <c r="AF1533" s="774"/>
      <c r="AG1533" s="774"/>
      <c r="AH1533" s="774"/>
      <c r="AI1533" s="774"/>
      <c r="AJ1533" s="78"/>
      <c r="AK1533" s="774"/>
      <c r="AL1533" s="774"/>
      <c r="AM1533" s="774"/>
      <c r="AN1533" s="774"/>
      <c r="AO1533" s="78"/>
      <c r="AP1533" s="774"/>
      <c r="AQ1533" s="774"/>
      <c r="AR1533" s="774"/>
      <c r="AS1533" s="774"/>
      <c r="AT1533" s="1119">
        <v>0.22800000000000001</v>
      </c>
      <c r="AU1533" s="774"/>
      <c r="AV1533" s="774"/>
      <c r="AW1533" s="774"/>
      <c r="AX1533" s="774"/>
      <c r="AY1533" s="1119">
        <v>0.22800000000000001</v>
      </c>
      <c r="AZ1533" s="774"/>
      <c r="BA1533" s="774"/>
      <c r="BB1533" s="774"/>
      <c r="BC1533" s="774"/>
      <c r="BD1533" s="1119">
        <v>0.22800000000000001</v>
      </c>
      <c r="BE1533" s="774"/>
      <c r="BF1533" s="774"/>
      <c r="BG1533" s="774"/>
      <c r="BH1533" s="774"/>
      <c r="BI1533" s="1119">
        <v>0.22800000000000001</v>
      </c>
      <c r="BJ1533" s="774"/>
      <c r="BK1533" s="774"/>
      <c r="BL1533" s="774"/>
      <c r="BM1533" s="774"/>
      <c r="BN1533" s="78"/>
      <c r="BO1533" s="774"/>
      <c r="BP1533" s="774"/>
      <c r="BQ1533" s="774"/>
      <c r="BR1533" s="774"/>
      <c r="BS1533" s="78"/>
      <c r="BT1533" s="775"/>
      <c r="BU1533" s="774"/>
      <c r="BV1533" s="774"/>
      <c r="BW1533" s="774"/>
      <c r="BX1533" s="78"/>
      <c r="BY1533" s="774"/>
      <c r="BZ1533" s="774"/>
      <c r="CA1533" s="774"/>
      <c r="CB1533" s="774"/>
      <c r="CC1533" s="78"/>
      <c r="CD1533" s="78"/>
      <c r="CE1533" s="78"/>
      <c r="CF1533" s="78"/>
      <c r="CG1533" s="532"/>
    </row>
    <row r="1534" spans="1:85" s="615" customFormat="1" x14ac:dyDescent="0.3">
      <c r="A1534" s="522" t="s">
        <v>1125</v>
      </c>
      <c r="B1534" s="521"/>
      <c r="C1534" s="1122"/>
      <c r="D1534" s="1122"/>
      <c r="E1534" s="1122"/>
      <c r="F1534" s="1122"/>
      <c r="G1534" s="520"/>
      <c r="H1534" s="520"/>
      <c r="I1534" s="520"/>
      <c r="J1534" s="520"/>
      <c r="K1534" s="1122"/>
      <c r="L1534" s="520"/>
      <c r="M1534" s="520"/>
      <c r="N1534" s="520"/>
      <c r="O1534" s="520"/>
      <c r="P1534" s="1122"/>
      <c r="Q1534" s="520"/>
      <c r="R1534" s="520"/>
      <c r="S1534" s="520"/>
      <c r="T1534" s="520"/>
      <c r="U1534" s="1122"/>
      <c r="V1534" s="520"/>
      <c r="W1534" s="520"/>
      <c r="X1534" s="520"/>
      <c r="Y1534" s="520"/>
      <c r="Z1534" s="1122"/>
      <c r="AA1534" s="520"/>
      <c r="AB1534" s="520"/>
      <c r="AC1534" s="520"/>
      <c r="AD1534" s="520"/>
      <c r="AE1534" s="1122"/>
      <c r="AF1534" s="520"/>
      <c r="AG1534" s="520"/>
      <c r="AH1534" s="520"/>
      <c r="AI1534" s="520"/>
      <c r="AJ1534" s="1122"/>
      <c r="AK1534" s="520"/>
      <c r="AL1534" s="520"/>
      <c r="AM1534" s="520"/>
      <c r="AN1534" s="520"/>
      <c r="AO1534" s="1122"/>
      <c r="AP1534" s="520"/>
      <c r="AQ1534" s="520"/>
      <c r="AR1534" s="520"/>
      <c r="AS1534" s="520"/>
      <c r="AT1534" s="1123">
        <v>319.5</v>
      </c>
      <c r="AU1534" s="520"/>
      <c r="AV1534" s="520"/>
      <c r="AW1534" s="520"/>
      <c r="AX1534" s="520"/>
      <c r="AY1534" s="1123">
        <v>319.5</v>
      </c>
      <c r="AZ1534" s="520"/>
      <c r="BA1534" s="520"/>
      <c r="BB1534" s="520"/>
      <c r="BC1534" s="520"/>
      <c r="BD1534" s="1123">
        <v>319.5</v>
      </c>
      <c r="BE1534" s="520"/>
      <c r="BF1534" s="520"/>
      <c r="BG1534" s="520"/>
      <c r="BH1534" s="520"/>
      <c r="BI1534" s="1123">
        <v>319.5</v>
      </c>
      <c r="BJ1534" s="520"/>
      <c r="BK1534" s="520"/>
      <c r="BL1534" s="520"/>
      <c r="BM1534" s="520"/>
      <c r="BN1534" s="1124"/>
      <c r="BO1534" s="520"/>
      <c r="BP1534" s="520"/>
      <c r="BQ1534" s="520"/>
      <c r="BR1534" s="520"/>
      <c r="BS1534" s="1124"/>
      <c r="BT1534" s="728"/>
      <c r="BU1534" s="520"/>
      <c r="BV1534" s="520"/>
      <c r="BW1534" s="520"/>
      <c r="BX1534" s="1122"/>
      <c r="BY1534" s="520"/>
      <c r="BZ1534" s="520"/>
      <c r="CA1534" s="520"/>
      <c r="CB1534" s="520"/>
      <c r="CC1534" s="1122"/>
      <c r="CD1534" s="1122"/>
      <c r="CE1534" s="1122"/>
      <c r="CF1534" s="1122"/>
      <c r="CG1534" s="519"/>
    </row>
    <row r="1535" spans="1:85" s="614" customFormat="1" x14ac:dyDescent="0.3">
      <c r="A1535" s="522"/>
      <c r="B1535" s="352"/>
      <c r="C1535" s="1094"/>
      <c r="D1535" s="1094"/>
      <c r="E1535" s="1094"/>
      <c r="F1535" s="1094"/>
      <c r="G1535" s="197"/>
      <c r="H1535" s="197"/>
      <c r="I1535" s="197"/>
      <c r="J1535" s="197"/>
      <c r="K1535" s="1094"/>
      <c r="L1535" s="197"/>
      <c r="M1535" s="197"/>
      <c r="N1535" s="197"/>
      <c r="O1535" s="197"/>
      <c r="P1535" s="1094"/>
      <c r="Q1535" s="197"/>
      <c r="R1535" s="197"/>
      <c r="S1535" s="197"/>
      <c r="T1535" s="197"/>
      <c r="U1535" s="1094"/>
      <c r="V1535" s="197"/>
      <c r="W1535" s="197"/>
      <c r="X1535" s="197"/>
      <c r="Y1535" s="197"/>
      <c r="Z1535" s="1094"/>
      <c r="AA1535" s="197"/>
      <c r="AB1535" s="197"/>
      <c r="AC1535" s="197"/>
      <c r="AD1535" s="197"/>
      <c r="AE1535" s="1094"/>
      <c r="AF1535" s="197"/>
      <c r="AG1535" s="197"/>
      <c r="AH1535" s="197"/>
      <c r="AI1535" s="197"/>
      <c r="AJ1535" s="1094"/>
      <c r="AK1535" s="197"/>
      <c r="AL1535" s="197"/>
      <c r="AM1535" s="197"/>
      <c r="AN1535" s="197"/>
      <c r="AO1535" s="1094"/>
      <c r="AP1535" s="197"/>
      <c r="AQ1535" s="197"/>
      <c r="AR1535" s="197"/>
      <c r="AS1535" s="197"/>
      <c r="AT1535" s="198"/>
      <c r="AU1535" s="197"/>
      <c r="AV1535" s="197"/>
      <c r="AW1535" s="197"/>
      <c r="AX1535" s="197"/>
      <c r="AY1535" s="198"/>
      <c r="AZ1535" s="197"/>
      <c r="BA1535" s="197"/>
      <c r="BB1535" s="197"/>
      <c r="BC1535" s="197"/>
      <c r="BD1535" s="198"/>
      <c r="BE1535" s="197"/>
      <c r="BF1535" s="197"/>
      <c r="BG1535" s="197"/>
      <c r="BH1535" s="197"/>
      <c r="BI1535" s="198"/>
      <c r="BJ1535" s="197"/>
      <c r="BK1535" s="197"/>
      <c r="BL1535" s="197"/>
      <c r="BM1535" s="197"/>
      <c r="BN1535" s="198"/>
      <c r="BO1535" s="197"/>
      <c r="BP1535" s="197"/>
      <c r="BQ1535" s="197"/>
      <c r="BR1535" s="197"/>
      <c r="BS1535" s="198"/>
      <c r="BT1535" s="727"/>
      <c r="BU1535" s="197"/>
      <c r="BV1535" s="197"/>
      <c r="BW1535" s="197"/>
      <c r="BX1535" s="1094"/>
      <c r="BY1535" s="197"/>
      <c r="BZ1535" s="197"/>
      <c r="CA1535" s="197"/>
      <c r="CB1535" s="197"/>
      <c r="CC1535" s="1094"/>
      <c r="CD1535" s="1094"/>
      <c r="CE1535" s="1094"/>
      <c r="CF1535" s="1094"/>
      <c r="CG1535" s="349"/>
    </row>
    <row r="1536" spans="1:85" s="613" customFormat="1" x14ac:dyDescent="0.3">
      <c r="A1536" s="478" t="s">
        <v>1124</v>
      </c>
      <c r="B1536" s="523"/>
      <c r="C1536" s="78"/>
      <c r="D1536" s="78"/>
      <c r="E1536" s="78"/>
      <c r="F1536" s="78"/>
      <c r="G1536" s="774"/>
      <c r="H1536" s="774"/>
      <c r="I1536" s="774"/>
      <c r="J1536" s="774"/>
      <c r="K1536" s="78"/>
      <c r="L1536" s="774"/>
      <c r="M1536" s="774"/>
      <c r="N1536" s="774"/>
      <c r="O1536" s="774"/>
      <c r="P1536" s="78"/>
      <c r="Q1536" s="774"/>
      <c r="R1536" s="774"/>
      <c r="S1536" s="774"/>
      <c r="T1536" s="774"/>
      <c r="U1536" s="78"/>
      <c r="V1536" s="774"/>
      <c r="W1536" s="774"/>
      <c r="X1536" s="774"/>
      <c r="Y1536" s="774"/>
      <c r="Z1536" s="78"/>
      <c r="AA1536" s="774"/>
      <c r="AB1536" s="774"/>
      <c r="AC1536" s="774"/>
      <c r="AD1536" s="774"/>
      <c r="AE1536" s="78"/>
      <c r="AF1536" s="774"/>
      <c r="AG1536" s="774"/>
      <c r="AH1536" s="774"/>
      <c r="AI1536" s="774"/>
      <c r="AJ1536" s="78"/>
      <c r="AK1536" s="774"/>
      <c r="AL1536" s="774"/>
      <c r="AM1536" s="774"/>
      <c r="AN1536" s="774"/>
      <c r="AO1536" s="78"/>
      <c r="AP1536" s="774"/>
      <c r="AQ1536" s="774"/>
      <c r="AR1536" s="774"/>
      <c r="AS1536" s="774"/>
      <c r="AT1536" s="1119">
        <v>0.252</v>
      </c>
      <c r="AU1536" s="774"/>
      <c r="AV1536" s="774"/>
      <c r="AW1536" s="774"/>
      <c r="AX1536" s="774"/>
      <c r="AY1536" s="1119">
        <v>0.252</v>
      </c>
      <c r="AZ1536" s="774"/>
      <c r="BA1536" s="774"/>
      <c r="BB1536" s="774"/>
      <c r="BC1536" s="774"/>
      <c r="BD1536" s="1119">
        <v>0.252</v>
      </c>
      <c r="BE1536" s="774"/>
      <c r="BF1536" s="774"/>
      <c r="BG1536" s="774"/>
      <c r="BH1536" s="774"/>
      <c r="BI1536" s="1119">
        <v>0.252</v>
      </c>
      <c r="BJ1536" s="774"/>
      <c r="BK1536" s="774"/>
      <c r="BL1536" s="774"/>
      <c r="BM1536" s="774"/>
      <c r="BN1536" s="78"/>
      <c r="BO1536" s="774"/>
      <c r="BP1536" s="774"/>
      <c r="BQ1536" s="774"/>
      <c r="BR1536" s="774"/>
      <c r="BS1536" s="78"/>
      <c r="BT1536" s="775"/>
      <c r="BU1536" s="774"/>
      <c r="BV1536" s="774"/>
      <c r="BW1536" s="774"/>
      <c r="BX1536" s="78"/>
      <c r="BY1536" s="774"/>
      <c r="BZ1536" s="774"/>
      <c r="CA1536" s="774"/>
      <c r="CB1536" s="774"/>
      <c r="CC1536" s="78"/>
      <c r="CD1536" s="78"/>
      <c r="CE1536" s="78"/>
      <c r="CF1536" s="78"/>
      <c r="CG1536" s="532"/>
    </row>
    <row r="1537" spans="1:85" s="615" customFormat="1" x14ac:dyDescent="0.3">
      <c r="A1537" s="522" t="s">
        <v>1123</v>
      </c>
      <c r="B1537" s="521"/>
      <c r="C1537" s="1122"/>
      <c r="D1537" s="1122"/>
      <c r="E1537" s="1122"/>
      <c r="F1537" s="1122"/>
      <c r="G1537" s="520"/>
      <c r="H1537" s="520"/>
      <c r="I1537" s="520"/>
      <c r="J1537" s="520"/>
      <c r="K1537" s="1122"/>
      <c r="L1537" s="520"/>
      <c r="M1537" s="520"/>
      <c r="N1537" s="520"/>
      <c r="O1537" s="520"/>
      <c r="P1537" s="1122"/>
      <c r="Q1537" s="520"/>
      <c r="R1537" s="520"/>
      <c r="S1537" s="520"/>
      <c r="T1537" s="520"/>
      <c r="U1537" s="1122"/>
      <c r="V1537" s="520"/>
      <c r="W1537" s="520"/>
      <c r="X1537" s="520"/>
      <c r="Y1537" s="520"/>
      <c r="Z1537" s="1122"/>
      <c r="AA1537" s="520"/>
      <c r="AB1537" s="520"/>
      <c r="AC1537" s="520"/>
      <c r="AD1537" s="520"/>
      <c r="AE1537" s="1122"/>
      <c r="AF1537" s="520"/>
      <c r="AG1537" s="520"/>
      <c r="AH1537" s="520"/>
      <c r="AI1537" s="520"/>
      <c r="AJ1537" s="1122"/>
      <c r="AK1537" s="520"/>
      <c r="AL1537" s="520"/>
      <c r="AM1537" s="520"/>
      <c r="AN1537" s="520"/>
      <c r="AO1537" s="1122"/>
      <c r="AP1537" s="520"/>
      <c r="AQ1537" s="520"/>
      <c r="AR1537" s="520"/>
      <c r="AS1537" s="520"/>
      <c r="AT1537" s="1123">
        <v>289.29000000000002</v>
      </c>
      <c r="AU1537" s="520"/>
      <c r="AV1537" s="520"/>
      <c r="AW1537" s="520"/>
      <c r="AX1537" s="520"/>
      <c r="AY1537" s="1123">
        <v>289.29000000000002</v>
      </c>
      <c r="AZ1537" s="520"/>
      <c r="BA1537" s="520"/>
      <c r="BB1537" s="520"/>
      <c r="BC1537" s="520"/>
      <c r="BD1537" s="1123">
        <v>289.29000000000002</v>
      </c>
      <c r="BE1537" s="520"/>
      <c r="BF1537" s="520"/>
      <c r="BG1537" s="520"/>
      <c r="BH1537" s="520"/>
      <c r="BI1537" s="1123">
        <v>289.29000000000002</v>
      </c>
      <c r="BJ1537" s="520"/>
      <c r="BK1537" s="520"/>
      <c r="BL1537" s="520"/>
      <c r="BM1537" s="520"/>
      <c r="BN1537" s="1124"/>
      <c r="BO1537" s="520"/>
      <c r="BP1537" s="520"/>
      <c r="BQ1537" s="520"/>
      <c r="BR1537" s="520"/>
      <c r="BS1537" s="1124"/>
      <c r="BT1537" s="728"/>
      <c r="BU1537" s="520"/>
      <c r="BV1537" s="520"/>
      <c r="BW1537" s="520"/>
      <c r="BX1537" s="1122"/>
      <c r="BY1537" s="520"/>
      <c r="BZ1537" s="520"/>
      <c r="CA1537" s="520"/>
      <c r="CB1537" s="520"/>
      <c r="CC1537" s="1122"/>
      <c r="CD1537" s="1122"/>
      <c r="CE1537" s="1122"/>
      <c r="CF1537" s="1122"/>
      <c r="CG1537" s="519"/>
    </row>
    <row r="1538" spans="1:85" s="614" customFormat="1" x14ac:dyDescent="0.3">
      <c r="A1538" s="522"/>
      <c r="B1538" s="352"/>
      <c r="C1538" s="1094"/>
      <c r="D1538" s="1094"/>
      <c r="E1538" s="1094"/>
      <c r="F1538" s="1094"/>
      <c r="G1538" s="197"/>
      <c r="H1538" s="197"/>
      <c r="I1538" s="197"/>
      <c r="J1538" s="197"/>
      <c r="K1538" s="1094"/>
      <c r="L1538" s="197"/>
      <c r="M1538" s="197"/>
      <c r="N1538" s="197"/>
      <c r="O1538" s="197"/>
      <c r="P1538" s="1094"/>
      <c r="Q1538" s="197"/>
      <c r="R1538" s="197"/>
      <c r="S1538" s="197"/>
      <c r="T1538" s="197"/>
      <c r="U1538" s="1094"/>
      <c r="V1538" s="197"/>
      <c r="W1538" s="197"/>
      <c r="X1538" s="197"/>
      <c r="Y1538" s="197"/>
      <c r="Z1538" s="1094"/>
      <c r="AA1538" s="197"/>
      <c r="AB1538" s="197"/>
      <c r="AC1538" s="197"/>
      <c r="AD1538" s="197"/>
      <c r="AE1538" s="1094"/>
      <c r="AF1538" s="197"/>
      <c r="AG1538" s="197"/>
      <c r="AH1538" s="197"/>
      <c r="AI1538" s="197"/>
      <c r="AJ1538" s="1094"/>
      <c r="AK1538" s="197"/>
      <c r="AL1538" s="197"/>
      <c r="AM1538" s="197"/>
      <c r="AN1538" s="197"/>
      <c r="AO1538" s="1094"/>
      <c r="AP1538" s="197"/>
      <c r="AQ1538" s="197"/>
      <c r="AR1538" s="197"/>
      <c r="AS1538" s="197"/>
      <c r="AT1538" s="198"/>
      <c r="AU1538" s="197"/>
      <c r="AV1538" s="197"/>
      <c r="AW1538" s="197"/>
      <c r="AX1538" s="197"/>
      <c r="AY1538" s="198"/>
      <c r="AZ1538" s="197"/>
      <c r="BA1538" s="197"/>
      <c r="BB1538" s="197"/>
      <c r="BC1538" s="197"/>
      <c r="BD1538" s="198"/>
      <c r="BE1538" s="197"/>
      <c r="BF1538" s="197"/>
      <c r="BG1538" s="197"/>
      <c r="BH1538" s="197"/>
      <c r="BI1538" s="198"/>
      <c r="BJ1538" s="197"/>
      <c r="BK1538" s="197"/>
      <c r="BL1538" s="197"/>
      <c r="BM1538" s="197"/>
      <c r="BN1538" s="198"/>
      <c r="BO1538" s="197"/>
      <c r="BP1538" s="197"/>
      <c r="BQ1538" s="197"/>
      <c r="BR1538" s="197"/>
      <c r="BS1538" s="198"/>
      <c r="BT1538" s="727"/>
      <c r="BU1538" s="197"/>
      <c r="BV1538" s="197"/>
      <c r="BW1538" s="197"/>
      <c r="BX1538" s="1094"/>
      <c r="BY1538" s="197"/>
      <c r="BZ1538" s="197"/>
      <c r="CA1538" s="197"/>
      <c r="CB1538" s="197"/>
      <c r="CC1538" s="1094"/>
      <c r="CD1538" s="1094"/>
      <c r="CE1538" s="1094"/>
      <c r="CF1538" s="1094"/>
      <c r="CG1538" s="349"/>
    </row>
    <row r="1539" spans="1:85" s="613" customFormat="1" x14ac:dyDescent="0.3">
      <c r="A1539" s="478" t="s">
        <v>1122</v>
      </c>
      <c r="B1539" s="523"/>
      <c r="C1539" s="78"/>
      <c r="D1539" s="78"/>
      <c r="E1539" s="78"/>
      <c r="F1539" s="78"/>
      <c r="G1539" s="774"/>
      <c r="H1539" s="774"/>
      <c r="I1539" s="774"/>
      <c r="J1539" s="774"/>
      <c r="K1539" s="78"/>
      <c r="L1539" s="774"/>
      <c r="M1539" s="774"/>
      <c r="N1539" s="774"/>
      <c r="O1539" s="774"/>
      <c r="P1539" s="78"/>
      <c r="Q1539" s="774"/>
      <c r="R1539" s="774"/>
      <c r="S1539" s="774"/>
      <c r="T1539" s="774"/>
      <c r="U1539" s="78"/>
      <c r="V1539" s="774"/>
      <c r="W1539" s="774"/>
      <c r="X1539" s="774"/>
      <c r="Y1539" s="774"/>
      <c r="Z1539" s="78"/>
      <c r="AA1539" s="774"/>
      <c r="AB1539" s="774"/>
      <c r="AC1539" s="774"/>
      <c r="AD1539" s="774"/>
      <c r="AE1539" s="78"/>
      <c r="AF1539" s="774"/>
      <c r="AG1539" s="774"/>
      <c r="AH1539" s="774"/>
      <c r="AI1539" s="774"/>
      <c r="AJ1539" s="78"/>
      <c r="AK1539" s="774"/>
      <c r="AL1539" s="774"/>
      <c r="AM1539" s="774"/>
      <c r="AN1539" s="774"/>
      <c r="AO1539" s="78"/>
      <c r="AP1539" s="774"/>
      <c r="AQ1539" s="774"/>
      <c r="AR1539" s="774"/>
      <c r="AS1539" s="774"/>
      <c r="AT1539" s="1119">
        <v>0.27100000000000002</v>
      </c>
      <c r="AU1539" s="774"/>
      <c r="AV1539" s="774"/>
      <c r="AW1539" s="774"/>
      <c r="AX1539" s="774"/>
      <c r="AY1539" s="1119">
        <v>0.27100000000000002</v>
      </c>
      <c r="AZ1539" s="774"/>
      <c r="BA1539" s="774"/>
      <c r="BB1539" s="774"/>
      <c r="BC1539" s="774"/>
      <c r="BD1539" s="1119">
        <v>0.27100000000000002</v>
      </c>
      <c r="BE1539" s="774"/>
      <c r="BF1539" s="774"/>
      <c r="BG1539" s="774"/>
      <c r="BH1539" s="774"/>
      <c r="BI1539" s="1119">
        <v>0.27100000000000002</v>
      </c>
      <c r="BJ1539" s="774"/>
      <c r="BK1539" s="774"/>
      <c r="BL1539" s="774"/>
      <c r="BM1539" s="774"/>
      <c r="BN1539" s="78"/>
      <c r="BO1539" s="774"/>
      <c r="BP1539" s="774"/>
      <c r="BQ1539" s="774"/>
      <c r="BR1539" s="774"/>
      <c r="BS1539" s="78"/>
      <c r="BT1539" s="775"/>
      <c r="BU1539" s="774"/>
      <c r="BV1539" s="774"/>
      <c r="BW1539" s="774"/>
      <c r="BX1539" s="78"/>
      <c r="BY1539" s="774"/>
      <c r="BZ1539" s="774"/>
      <c r="CA1539" s="774"/>
      <c r="CB1539" s="774"/>
      <c r="CC1539" s="78"/>
      <c r="CD1539" s="78"/>
      <c r="CE1539" s="78"/>
      <c r="CF1539" s="78"/>
      <c r="CG1539" s="532"/>
    </row>
    <row r="1540" spans="1:85" s="615" customFormat="1" x14ac:dyDescent="0.3">
      <c r="A1540" s="522" t="s">
        <v>1121</v>
      </c>
      <c r="B1540" s="521"/>
      <c r="C1540" s="1122"/>
      <c r="D1540" s="1122"/>
      <c r="E1540" s="1122"/>
      <c r="F1540" s="1122"/>
      <c r="G1540" s="520"/>
      <c r="H1540" s="520"/>
      <c r="I1540" s="520"/>
      <c r="J1540" s="520"/>
      <c r="K1540" s="1122"/>
      <c r="L1540" s="520"/>
      <c r="M1540" s="520"/>
      <c r="N1540" s="520"/>
      <c r="O1540" s="520"/>
      <c r="P1540" s="1122"/>
      <c r="Q1540" s="520"/>
      <c r="R1540" s="520"/>
      <c r="S1540" s="520"/>
      <c r="T1540" s="520"/>
      <c r="U1540" s="1122"/>
      <c r="V1540" s="520"/>
      <c r="W1540" s="520"/>
      <c r="X1540" s="520"/>
      <c r="Y1540" s="520"/>
      <c r="Z1540" s="1122"/>
      <c r="AA1540" s="520"/>
      <c r="AB1540" s="520"/>
      <c r="AC1540" s="520"/>
      <c r="AD1540" s="520"/>
      <c r="AE1540" s="1122"/>
      <c r="AF1540" s="520"/>
      <c r="AG1540" s="520"/>
      <c r="AH1540" s="520"/>
      <c r="AI1540" s="520"/>
      <c r="AJ1540" s="1122"/>
      <c r="AK1540" s="520"/>
      <c r="AL1540" s="520"/>
      <c r="AM1540" s="520"/>
      <c r="AN1540" s="520"/>
      <c r="AO1540" s="1122"/>
      <c r="AP1540" s="520"/>
      <c r="AQ1540" s="520"/>
      <c r="AR1540" s="520"/>
      <c r="AS1540" s="520"/>
      <c r="AT1540" s="1123">
        <v>269.58</v>
      </c>
      <c r="AU1540" s="520"/>
      <c r="AV1540" s="520"/>
      <c r="AW1540" s="520"/>
      <c r="AX1540" s="520"/>
      <c r="AY1540" s="1123">
        <v>269.58</v>
      </c>
      <c r="AZ1540" s="520"/>
      <c r="BA1540" s="520"/>
      <c r="BB1540" s="520"/>
      <c r="BC1540" s="520"/>
      <c r="BD1540" s="1123">
        <v>269.58</v>
      </c>
      <c r="BE1540" s="520"/>
      <c r="BF1540" s="520"/>
      <c r="BG1540" s="520"/>
      <c r="BH1540" s="520"/>
      <c r="BI1540" s="1123">
        <v>269.58</v>
      </c>
      <c r="BJ1540" s="520"/>
      <c r="BK1540" s="520"/>
      <c r="BL1540" s="520"/>
      <c r="BM1540" s="520"/>
      <c r="BN1540" s="1124"/>
      <c r="BO1540" s="520"/>
      <c r="BP1540" s="520"/>
      <c r="BQ1540" s="520"/>
      <c r="BR1540" s="520"/>
      <c r="BS1540" s="1124"/>
      <c r="BT1540" s="728"/>
      <c r="BU1540" s="520"/>
      <c r="BV1540" s="520"/>
      <c r="BW1540" s="520"/>
      <c r="BX1540" s="1122"/>
      <c r="BY1540" s="520"/>
      <c r="BZ1540" s="520"/>
      <c r="CA1540" s="520"/>
      <c r="CB1540" s="520"/>
      <c r="CC1540" s="1122"/>
      <c r="CD1540" s="1122"/>
      <c r="CE1540" s="1122"/>
      <c r="CF1540" s="1122"/>
      <c r="CG1540" s="519"/>
    </row>
    <row r="1541" spans="1:85" s="614" customFormat="1" x14ac:dyDescent="0.3">
      <c r="A1541" s="522"/>
      <c r="B1541" s="352"/>
      <c r="C1541" s="1094"/>
      <c r="D1541" s="1094"/>
      <c r="E1541" s="1094"/>
      <c r="F1541" s="1094"/>
      <c r="G1541" s="197"/>
      <c r="H1541" s="197"/>
      <c r="I1541" s="197"/>
      <c r="J1541" s="197"/>
      <c r="K1541" s="1094"/>
      <c r="L1541" s="197"/>
      <c r="M1541" s="197"/>
      <c r="N1541" s="197"/>
      <c r="O1541" s="197"/>
      <c r="P1541" s="1094"/>
      <c r="Q1541" s="197"/>
      <c r="R1541" s="197"/>
      <c r="S1541" s="197"/>
      <c r="T1541" s="197"/>
      <c r="U1541" s="1094"/>
      <c r="V1541" s="197"/>
      <c r="W1541" s="197"/>
      <c r="X1541" s="197"/>
      <c r="Y1541" s="197"/>
      <c r="Z1541" s="1094"/>
      <c r="AA1541" s="197"/>
      <c r="AB1541" s="197"/>
      <c r="AC1541" s="197"/>
      <c r="AD1541" s="197"/>
      <c r="AE1541" s="1094"/>
      <c r="AF1541" s="197"/>
      <c r="AG1541" s="197"/>
      <c r="AH1541" s="197"/>
      <c r="AI1541" s="197"/>
      <c r="AJ1541" s="1094"/>
      <c r="AK1541" s="197"/>
      <c r="AL1541" s="197"/>
      <c r="AM1541" s="197"/>
      <c r="AN1541" s="197"/>
      <c r="AO1541" s="1094"/>
      <c r="AP1541" s="197"/>
      <c r="AQ1541" s="197"/>
      <c r="AR1541" s="197"/>
      <c r="AS1541" s="197"/>
      <c r="AT1541" s="198"/>
      <c r="AU1541" s="197"/>
      <c r="AV1541" s="197"/>
      <c r="AW1541" s="197"/>
      <c r="AX1541" s="197"/>
      <c r="AY1541" s="198"/>
      <c r="AZ1541" s="197"/>
      <c r="BA1541" s="197"/>
      <c r="BB1541" s="197"/>
      <c r="BC1541" s="197"/>
      <c r="BD1541" s="198"/>
      <c r="BE1541" s="197"/>
      <c r="BF1541" s="197"/>
      <c r="BG1541" s="197"/>
      <c r="BH1541" s="197"/>
      <c r="BI1541" s="198"/>
      <c r="BJ1541" s="197"/>
      <c r="BK1541" s="197"/>
      <c r="BL1541" s="197"/>
      <c r="BM1541" s="197"/>
      <c r="BN1541" s="198"/>
      <c r="BO1541" s="197"/>
      <c r="BP1541" s="197"/>
      <c r="BQ1541" s="197"/>
      <c r="BR1541" s="197"/>
      <c r="BS1541" s="198"/>
      <c r="BT1541" s="727"/>
      <c r="BU1541" s="197"/>
      <c r="BV1541" s="197"/>
      <c r="BW1541" s="197"/>
      <c r="BX1541" s="1094"/>
      <c r="BY1541" s="197"/>
      <c r="BZ1541" s="197"/>
      <c r="CA1541" s="197"/>
      <c r="CB1541" s="197"/>
      <c r="CC1541" s="1094"/>
      <c r="CD1541" s="1094"/>
      <c r="CE1541" s="1094"/>
      <c r="CF1541" s="1094"/>
      <c r="CG1541" s="349"/>
    </row>
    <row r="1542" spans="1:85" s="613" customFormat="1" x14ac:dyDescent="0.3">
      <c r="A1542" s="478" t="s">
        <v>1120</v>
      </c>
      <c r="B1542" s="523"/>
      <c r="C1542" s="78"/>
      <c r="D1542" s="78"/>
      <c r="E1542" s="78"/>
      <c r="F1542" s="78"/>
      <c r="G1542" s="774"/>
      <c r="H1542" s="774"/>
      <c r="I1542" s="774"/>
      <c r="J1542" s="774"/>
      <c r="K1542" s="78"/>
      <c r="L1542" s="774"/>
      <c r="M1542" s="774"/>
      <c r="N1542" s="774"/>
      <c r="O1542" s="774"/>
      <c r="P1542" s="78"/>
      <c r="Q1542" s="774"/>
      <c r="R1542" s="774"/>
      <c r="S1542" s="774"/>
      <c r="T1542" s="774"/>
      <c r="U1542" s="78"/>
      <c r="V1542" s="774"/>
      <c r="W1542" s="774"/>
      <c r="X1542" s="774"/>
      <c r="Y1542" s="774"/>
      <c r="Z1542" s="78"/>
      <c r="AA1542" s="774"/>
      <c r="AB1542" s="774"/>
      <c r="AC1542" s="774"/>
      <c r="AD1542" s="774"/>
      <c r="AE1542" s="78"/>
      <c r="AF1542" s="774"/>
      <c r="AG1542" s="774"/>
      <c r="AH1542" s="774"/>
      <c r="AI1542" s="774"/>
      <c r="AJ1542" s="78"/>
      <c r="AK1542" s="774"/>
      <c r="AL1542" s="774"/>
      <c r="AM1542" s="774"/>
      <c r="AN1542" s="774"/>
      <c r="AO1542" s="78"/>
      <c r="AP1542" s="774"/>
      <c r="AQ1542" s="774"/>
      <c r="AR1542" s="774"/>
      <c r="AS1542" s="774"/>
      <c r="AT1542" s="1119">
        <v>0.254</v>
      </c>
      <c r="AU1542" s="774"/>
      <c r="AV1542" s="774"/>
      <c r="AW1542" s="774"/>
      <c r="AX1542" s="774"/>
      <c r="AY1542" s="1119">
        <v>0.254</v>
      </c>
      <c r="AZ1542" s="774"/>
      <c r="BA1542" s="774"/>
      <c r="BB1542" s="774"/>
      <c r="BC1542" s="774"/>
      <c r="BD1542" s="1119">
        <v>0.254</v>
      </c>
      <c r="BE1542" s="774"/>
      <c r="BF1542" s="774"/>
      <c r="BG1542" s="774"/>
      <c r="BH1542" s="774"/>
      <c r="BI1542" s="1119">
        <v>0.254</v>
      </c>
      <c r="BJ1542" s="774"/>
      <c r="BK1542" s="774"/>
      <c r="BL1542" s="774"/>
      <c r="BM1542" s="774"/>
      <c r="BN1542" s="78"/>
      <c r="BO1542" s="774"/>
      <c r="BP1542" s="774"/>
      <c r="BQ1542" s="774"/>
      <c r="BR1542" s="774"/>
      <c r="BS1542" s="78"/>
      <c r="BT1542" s="775"/>
      <c r="BU1542" s="774"/>
      <c r="BV1542" s="774"/>
      <c r="BW1542" s="774"/>
      <c r="BX1542" s="78"/>
      <c r="BY1542" s="774"/>
      <c r="BZ1542" s="774"/>
      <c r="CA1542" s="774"/>
      <c r="CB1542" s="774"/>
      <c r="CC1542" s="78"/>
      <c r="CD1542" s="78"/>
      <c r="CE1542" s="78"/>
      <c r="CF1542" s="78"/>
      <c r="CG1542" s="532"/>
    </row>
    <row r="1543" spans="1:85" s="615" customFormat="1" x14ac:dyDescent="0.3">
      <c r="A1543" s="522" t="s">
        <v>1119</v>
      </c>
      <c r="B1543" s="521"/>
      <c r="C1543" s="1122"/>
      <c r="D1543" s="1122"/>
      <c r="E1543" s="1122"/>
      <c r="F1543" s="1122"/>
      <c r="G1543" s="520"/>
      <c r="H1543" s="520"/>
      <c r="I1543" s="520"/>
      <c r="J1543" s="520"/>
      <c r="K1543" s="1122"/>
      <c r="L1543" s="520"/>
      <c r="M1543" s="520"/>
      <c r="N1543" s="520"/>
      <c r="O1543" s="520"/>
      <c r="P1543" s="1122"/>
      <c r="Q1543" s="520"/>
      <c r="R1543" s="520"/>
      <c r="S1543" s="520"/>
      <c r="T1543" s="520"/>
      <c r="U1543" s="1122"/>
      <c r="V1543" s="520"/>
      <c r="W1543" s="520"/>
      <c r="X1543" s="520"/>
      <c r="Y1543" s="520"/>
      <c r="Z1543" s="1122"/>
      <c r="AA1543" s="520"/>
      <c r="AB1543" s="520"/>
      <c r="AC1543" s="520"/>
      <c r="AD1543" s="520"/>
      <c r="AE1543" s="1122"/>
      <c r="AF1543" s="520"/>
      <c r="AG1543" s="520"/>
      <c r="AH1543" s="520"/>
      <c r="AI1543" s="520"/>
      <c r="AJ1543" s="1122"/>
      <c r="AK1543" s="520"/>
      <c r="AL1543" s="520"/>
      <c r="AM1543" s="520"/>
      <c r="AN1543" s="520"/>
      <c r="AO1543" s="1122"/>
      <c r="AP1543" s="520"/>
      <c r="AQ1543" s="520"/>
      <c r="AR1543" s="520"/>
      <c r="AS1543" s="520"/>
      <c r="AT1543" s="1123">
        <v>286.81</v>
      </c>
      <c r="AU1543" s="520"/>
      <c r="AV1543" s="520"/>
      <c r="AW1543" s="520"/>
      <c r="AX1543" s="520"/>
      <c r="AY1543" s="1123">
        <v>286.81</v>
      </c>
      <c r="AZ1543" s="520"/>
      <c r="BA1543" s="520"/>
      <c r="BB1543" s="520"/>
      <c r="BC1543" s="520"/>
      <c r="BD1543" s="1123">
        <v>286.81</v>
      </c>
      <c r="BE1543" s="520"/>
      <c r="BF1543" s="520"/>
      <c r="BG1543" s="520"/>
      <c r="BH1543" s="520"/>
      <c r="BI1543" s="1123">
        <v>286.81</v>
      </c>
      <c r="BJ1543" s="520"/>
      <c r="BK1543" s="520"/>
      <c r="BL1543" s="520"/>
      <c r="BM1543" s="520"/>
      <c r="BN1543" s="1124"/>
      <c r="BO1543" s="520"/>
      <c r="BP1543" s="520"/>
      <c r="BQ1543" s="520"/>
      <c r="BR1543" s="520"/>
      <c r="BS1543" s="1124"/>
      <c r="BT1543" s="728"/>
      <c r="BU1543" s="520"/>
      <c r="BV1543" s="520"/>
      <c r="BW1543" s="520"/>
      <c r="BX1543" s="1122"/>
      <c r="BY1543" s="520"/>
      <c r="BZ1543" s="520"/>
      <c r="CA1543" s="520"/>
      <c r="CB1543" s="520"/>
      <c r="CC1543" s="1122"/>
      <c r="CD1543" s="1122"/>
      <c r="CE1543" s="1122"/>
      <c r="CF1543" s="1122"/>
      <c r="CG1543" s="519"/>
    </row>
    <row r="1544" spans="1:85" s="614" customFormat="1" x14ac:dyDescent="0.3">
      <c r="A1544" s="522"/>
      <c r="B1544" s="352"/>
      <c r="C1544" s="1094"/>
      <c r="D1544" s="1094"/>
      <c r="E1544" s="1094"/>
      <c r="F1544" s="1094"/>
      <c r="G1544" s="197"/>
      <c r="H1544" s="197"/>
      <c r="I1544" s="197"/>
      <c r="J1544" s="197"/>
      <c r="K1544" s="1094"/>
      <c r="L1544" s="197"/>
      <c r="M1544" s="197"/>
      <c r="N1544" s="197"/>
      <c r="O1544" s="197"/>
      <c r="P1544" s="1094"/>
      <c r="Q1544" s="197"/>
      <c r="R1544" s="197"/>
      <c r="S1544" s="197"/>
      <c r="T1544" s="197"/>
      <c r="U1544" s="1094"/>
      <c r="V1544" s="197"/>
      <c r="W1544" s="197"/>
      <c r="X1544" s="197"/>
      <c r="Y1544" s="197"/>
      <c r="Z1544" s="1094"/>
      <c r="AA1544" s="197"/>
      <c r="AB1544" s="197"/>
      <c r="AC1544" s="197"/>
      <c r="AD1544" s="197"/>
      <c r="AE1544" s="1094"/>
      <c r="AF1544" s="197"/>
      <c r="AG1544" s="197"/>
      <c r="AH1544" s="197"/>
      <c r="AI1544" s="197"/>
      <c r="AJ1544" s="1094"/>
      <c r="AK1544" s="197"/>
      <c r="AL1544" s="197"/>
      <c r="AM1544" s="197"/>
      <c r="AN1544" s="197"/>
      <c r="AO1544" s="1094"/>
      <c r="AP1544" s="197"/>
      <c r="AQ1544" s="197"/>
      <c r="AR1544" s="197"/>
      <c r="AS1544" s="197"/>
      <c r="AT1544" s="198"/>
      <c r="AU1544" s="197"/>
      <c r="AV1544" s="197"/>
      <c r="AW1544" s="197"/>
      <c r="AX1544" s="197"/>
      <c r="AY1544" s="198"/>
      <c r="AZ1544" s="197"/>
      <c r="BA1544" s="197"/>
      <c r="BB1544" s="197"/>
      <c r="BC1544" s="197"/>
      <c r="BD1544" s="198"/>
      <c r="BE1544" s="197"/>
      <c r="BF1544" s="197"/>
      <c r="BG1544" s="197"/>
      <c r="BH1544" s="197"/>
      <c r="BI1544" s="198"/>
      <c r="BJ1544" s="197"/>
      <c r="BK1544" s="197"/>
      <c r="BL1544" s="197"/>
      <c r="BM1544" s="197"/>
      <c r="BN1544" s="198"/>
      <c r="BO1544" s="197"/>
      <c r="BP1544" s="197"/>
      <c r="BQ1544" s="197"/>
      <c r="BR1544" s="197"/>
      <c r="BS1544" s="198"/>
      <c r="BT1544" s="727"/>
      <c r="BU1544" s="197"/>
      <c r="BV1544" s="197"/>
      <c r="BW1544" s="197"/>
      <c r="BX1544" s="1094"/>
      <c r="BY1544" s="197"/>
      <c r="BZ1544" s="197"/>
      <c r="CA1544" s="197"/>
      <c r="CB1544" s="197"/>
      <c r="CC1544" s="1094"/>
      <c r="CD1544" s="1094"/>
      <c r="CE1544" s="1094"/>
      <c r="CF1544" s="1094"/>
      <c r="CG1544" s="349"/>
    </row>
    <row r="1545" spans="1:85" s="613" customFormat="1" x14ac:dyDescent="0.3">
      <c r="A1545" s="478" t="s">
        <v>1118</v>
      </c>
      <c r="B1545" s="523"/>
      <c r="C1545" s="78"/>
      <c r="D1545" s="78"/>
      <c r="E1545" s="78"/>
      <c r="F1545" s="78"/>
      <c r="G1545" s="774"/>
      <c r="H1545" s="774"/>
      <c r="I1545" s="774"/>
      <c r="J1545" s="774"/>
      <c r="K1545" s="78"/>
      <c r="L1545" s="774"/>
      <c r="M1545" s="774"/>
      <c r="N1545" s="774"/>
      <c r="O1545" s="774"/>
      <c r="P1545" s="78"/>
      <c r="Q1545" s="774"/>
      <c r="R1545" s="774"/>
      <c r="S1545" s="774"/>
      <c r="T1545" s="774"/>
      <c r="U1545" s="78"/>
      <c r="V1545" s="774"/>
      <c r="W1545" s="774"/>
      <c r="X1545" s="774"/>
      <c r="Y1545" s="774"/>
      <c r="Z1545" s="78"/>
      <c r="AA1545" s="774"/>
      <c r="AB1545" s="774"/>
      <c r="AC1545" s="774"/>
      <c r="AD1545" s="774"/>
      <c r="AE1545" s="78"/>
      <c r="AF1545" s="774"/>
      <c r="AG1545" s="774"/>
      <c r="AH1545" s="774"/>
      <c r="AI1545" s="774"/>
      <c r="AJ1545" s="78"/>
      <c r="AK1545" s="774"/>
      <c r="AL1545" s="774"/>
      <c r="AM1545" s="774"/>
      <c r="AN1545" s="774"/>
      <c r="AO1545" s="78"/>
      <c r="AP1545" s="774"/>
      <c r="AQ1545" s="774"/>
      <c r="AR1545" s="774"/>
      <c r="AS1545" s="774"/>
      <c r="AT1545" s="1119">
        <v>0.23499999999999999</v>
      </c>
      <c r="AU1545" s="774"/>
      <c r="AV1545" s="774"/>
      <c r="AW1545" s="774"/>
      <c r="AX1545" s="774"/>
      <c r="AY1545" s="1119">
        <v>0.23499999999999999</v>
      </c>
      <c r="AZ1545" s="774"/>
      <c r="BA1545" s="774"/>
      <c r="BB1545" s="774"/>
      <c r="BC1545" s="774"/>
      <c r="BD1545" s="1119">
        <v>0.23499999999999999</v>
      </c>
      <c r="BE1545" s="774"/>
      <c r="BF1545" s="774"/>
      <c r="BG1545" s="774"/>
      <c r="BH1545" s="774"/>
      <c r="BI1545" s="1119">
        <v>0.23499999999999999</v>
      </c>
      <c r="BJ1545" s="774"/>
      <c r="BK1545" s="774"/>
      <c r="BL1545" s="774"/>
      <c r="BM1545" s="774"/>
      <c r="BN1545" s="78"/>
      <c r="BO1545" s="774"/>
      <c r="BP1545" s="774"/>
      <c r="BQ1545" s="774"/>
      <c r="BR1545" s="774"/>
      <c r="BS1545" s="78"/>
      <c r="BT1545" s="775"/>
      <c r="BU1545" s="774"/>
      <c r="BV1545" s="774"/>
      <c r="BW1545" s="774"/>
      <c r="BX1545" s="78"/>
      <c r="BY1545" s="774"/>
      <c r="BZ1545" s="774"/>
      <c r="CA1545" s="774"/>
      <c r="CB1545" s="774"/>
      <c r="CC1545" s="78"/>
      <c r="CD1545" s="78"/>
      <c r="CE1545" s="78"/>
      <c r="CF1545" s="78"/>
      <c r="CG1545" s="532"/>
    </row>
    <row r="1546" spans="1:85" s="615" customFormat="1" x14ac:dyDescent="0.3">
      <c r="A1546" s="522" t="s">
        <v>1117</v>
      </c>
      <c r="B1546" s="521"/>
      <c r="C1546" s="1122"/>
      <c r="D1546" s="1122"/>
      <c r="E1546" s="1122"/>
      <c r="F1546" s="1122"/>
      <c r="G1546" s="520"/>
      <c r="H1546" s="520"/>
      <c r="I1546" s="520"/>
      <c r="J1546" s="520"/>
      <c r="K1546" s="1122"/>
      <c r="L1546" s="520"/>
      <c r="M1546" s="520"/>
      <c r="N1546" s="520"/>
      <c r="O1546" s="520"/>
      <c r="P1546" s="1122"/>
      <c r="Q1546" s="520"/>
      <c r="R1546" s="520"/>
      <c r="S1546" s="520"/>
      <c r="T1546" s="520"/>
      <c r="U1546" s="1122"/>
      <c r="V1546" s="520"/>
      <c r="W1546" s="520"/>
      <c r="X1546" s="520"/>
      <c r="Y1546" s="520"/>
      <c r="Z1546" s="1122"/>
      <c r="AA1546" s="520"/>
      <c r="AB1546" s="520"/>
      <c r="AC1546" s="520"/>
      <c r="AD1546" s="520"/>
      <c r="AE1546" s="1122"/>
      <c r="AF1546" s="520"/>
      <c r="AG1546" s="520"/>
      <c r="AH1546" s="520"/>
      <c r="AI1546" s="520"/>
      <c r="AJ1546" s="1122"/>
      <c r="AK1546" s="520"/>
      <c r="AL1546" s="520"/>
      <c r="AM1546" s="520"/>
      <c r="AN1546" s="520"/>
      <c r="AO1546" s="1122"/>
      <c r="AP1546" s="520"/>
      <c r="AQ1546" s="520"/>
      <c r="AR1546" s="520"/>
      <c r="AS1546" s="520"/>
      <c r="AT1546" s="1123">
        <v>309.99</v>
      </c>
      <c r="AU1546" s="520"/>
      <c r="AV1546" s="520"/>
      <c r="AW1546" s="520"/>
      <c r="AX1546" s="520"/>
      <c r="AY1546" s="1123">
        <v>309.99</v>
      </c>
      <c r="AZ1546" s="520"/>
      <c r="BA1546" s="520"/>
      <c r="BB1546" s="520"/>
      <c r="BC1546" s="520"/>
      <c r="BD1546" s="1123">
        <v>309.99</v>
      </c>
      <c r="BE1546" s="520"/>
      <c r="BF1546" s="520"/>
      <c r="BG1546" s="520"/>
      <c r="BH1546" s="520"/>
      <c r="BI1546" s="1123">
        <v>309.99</v>
      </c>
      <c r="BJ1546" s="520"/>
      <c r="BK1546" s="520"/>
      <c r="BL1546" s="520"/>
      <c r="BM1546" s="520"/>
      <c r="BN1546" s="1124"/>
      <c r="BO1546" s="520"/>
      <c r="BP1546" s="520"/>
      <c r="BQ1546" s="520"/>
      <c r="BR1546" s="520"/>
      <c r="BS1546" s="1124"/>
      <c r="BT1546" s="728"/>
      <c r="BU1546" s="520"/>
      <c r="BV1546" s="520"/>
      <c r="BW1546" s="520"/>
      <c r="BX1546" s="1122"/>
      <c r="BY1546" s="520"/>
      <c r="BZ1546" s="520"/>
      <c r="CA1546" s="520"/>
      <c r="CB1546" s="520"/>
      <c r="CC1546" s="1122"/>
      <c r="CD1546" s="1122"/>
      <c r="CE1546" s="1122"/>
      <c r="CF1546" s="1122"/>
      <c r="CG1546" s="519"/>
    </row>
    <row r="1547" spans="1:85" s="614" customFormat="1" x14ac:dyDescent="0.3">
      <c r="A1547" s="116"/>
      <c r="B1547" s="352"/>
      <c r="C1547" s="1094"/>
      <c r="D1547" s="1094"/>
      <c r="E1547" s="1094"/>
      <c r="F1547" s="1094"/>
      <c r="G1547" s="197"/>
      <c r="H1547" s="197"/>
      <c r="I1547" s="197"/>
      <c r="J1547" s="197"/>
      <c r="K1547" s="1094"/>
      <c r="L1547" s="197"/>
      <c r="M1547" s="197"/>
      <c r="N1547" s="197"/>
      <c r="O1547" s="197"/>
      <c r="P1547" s="1094"/>
      <c r="Q1547" s="197"/>
      <c r="R1547" s="197"/>
      <c r="S1547" s="197"/>
      <c r="T1547" s="197"/>
      <c r="U1547" s="1094"/>
      <c r="V1547" s="197"/>
      <c r="W1547" s="197"/>
      <c r="X1547" s="197"/>
      <c r="Y1547" s="197"/>
      <c r="Z1547" s="1094"/>
      <c r="AA1547" s="197"/>
      <c r="AB1547" s="197"/>
      <c r="AC1547" s="197"/>
      <c r="AD1547" s="197"/>
      <c r="AE1547" s="1094"/>
      <c r="AF1547" s="197"/>
      <c r="AG1547" s="197"/>
      <c r="AH1547" s="197"/>
      <c r="AI1547" s="197"/>
      <c r="AJ1547" s="1094"/>
      <c r="AK1547" s="197"/>
      <c r="AL1547" s="197"/>
      <c r="AM1547" s="197"/>
      <c r="AN1547" s="197"/>
      <c r="AO1547" s="1094"/>
      <c r="AP1547" s="197"/>
      <c r="AQ1547" s="197"/>
      <c r="AR1547" s="197"/>
      <c r="AS1547" s="197"/>
      <c r="AT1547" s="198"/>
      <c r="AU1547" s="197"/>
      <c r="AV1547" s="197"/>
      <c r="AW1547" s="197"/>
      <c r="AX1547" s="197"/>
      <c r="AY1547" s="198"/>
      <c r="AZ1547" s="197"/>
      <c r="BA1547" s="197"/>
      <c r="BB1547" s="197"/>
      <c r="BC1547" s="197"/>
      <c r="BD1547" s="198"/>
      <c r="BE1547" s="197"/>
      <c r="BF1547" s="197"/>
      <c r="BG1547" s="197"/>
      <c r="BH1547" s="197"/>
      <c r="BI1547" s="198"/>
      <c r="BJ1547" s="197"/>
      <c r="BK1547" s="197"/>
      <c r="BL1547" s="197"/>
      <c r="BM1547" s="197"/>
      <c r="BN1547" s="198"/>
      <c r="BO1547" s="197"/>
      <c r="BP1547" s="197"/>
      <c r="BQ1547" s="197"/>
      <c r="BR1547" s="197"/>
      <c r="BS1547" s="198"/>
      <c r="BT1547" s="727"/>
      <c r="BU1547" s="197"/>
      <c r="BV1547" s="197"/>
      <c r="BW1547" s="197"/>
      <c r="BX1547" s="1094"/>
      <c r="BY1547" s="197"/>
      <c r="BZ1547" s="197"/>
      <c r="CA1547" s="197"/>
      <c r="CB1547" s="197"/>
      <c r="CC1547" s="1094"/>
      <c r="CD1547" s="1094"/>
      <c r="CE1547" s="1094"/>
      <c r="CF1547" s="1094"/>
      <c r="CG1547" s="349"/>
    </row>
    <row r="1548" spans="1:85" s="613" customFormat="1" x14ac:dyDescent="0.3">
      <c r="A1548" s="478" t="s">
        <v>1116</v>
      </c>
      <c r="B1548" s="523"/>
      <c r="C1548" s="78"/>
      <c r="D1548" s="78"/>
      <c r="E1548" s="78"/>
      <c r="F1548" s="78"/>
      <c r="G1548" s="774"/>
      <c r="H1548" s="774"/>
      <c r="I1548" s="774"/>
      <c r="J1548" s="774"/>
      <c r="K1548" s="78"/>
      <c r="L1548" s="774"/>
      <c r="M1548" s="774"/>
      <c r="N1548" s="774"/>
      <c r="O1548" s="774"/>
      <c r="P1548" s="78"/>
      <c r="Q1548" s="774"/>
      <c r="R1548" s="774"/>
      <c r="S1548" s="774"/>
      <c r="T1548" s="774"/>
      <c r="U1548" s="78"/>
      <c r="V1548" s="774"/>
      <c r="W1548" s="774"/>
      <c r="X1548" s="774"/>
      <c r="Y1548" s="774"/>
      <c r="Z1548" s="78"/>
      <c r="AA1548" s="774"/>
      <c r="AB1548" s="774"/>
      <c r="AC1548" s="774"/>
      <c r="AD1548" s="774"/>
      <c r="AE1548" s="78"/>
      <c r="AF1548" s="774"/>
      <c r="AG1548" s="774"/>
      <c r="AH1548" s="774"/>
      <c r="AI1548" s="774"/>
      <c r="AJ1548" s="78"/>
      <c r="AK1548" s="774"/>
      <c r="AL1548" s="774"/>
      <c r="AM1548" s="774"/>
      <c r="AN1548" s="774"/>
      <c r="AO1548" s="78"/>
      <c r="AP1548" s="774"/>
      <c r="AQ1548" s="774"/>
      <c r="AR1548" s="774"/>
      <c r="AS1548" s="774"/>
      <c r="AT1548" s="1119">
        <v>0.221</v>
      </c>
      <c r="AU1548" s="774"/>
      <c r="AV1548" s="774"/>
      <c r="AW1548" s="774"/>
      <c r="AX1548" s="774"/>
      <c r="AY1548" s="1119">
        <v>0.221</v>
      </c>
      <c r="AZ1548" s="774"/>
      <c r="BA1548" s="774"/>
      <c r="BB1548" s="774"/>
      <c r="BC1548" s="774"/>
      <c r="BD1548" s="1119">
        <v>0.221</v>
      </c>
      <c r="BE1548" s="774"/>
      <c r="BF1548" s="774"/>
      <c r="BG1548" s="774"/>
      <c r="BH1548" s="774"/>
      <c r="BI1548" s="1119">
        <v>0.221</v>
      </c>
      <c r="BJ1548" s="774"/>
      <c r="BK1548" s="774"/>
      <c r="BL1548" s="774"/>
      <c r="BM1548" s="774"/>
      <c r="BN1548" s="78"/>
      <c r="BO1548" s="774"/>
      <c r="BP1548" s="774"/>
      <c r="BQ1548" s="774"/>
      <c r="BR1548" s="774"/>
      <c r="BS1548" s="78"/>
      <c r="BT1548" s="775"/>
      <c r="BU1548" s="774"/>
      <c r="BV1548" s="774"/>
      <c r="BW1548" s="774"/>
      <c r="BX1548" s="78"/>
      <c r="BY1548" s="774"/>
      <c r="BZ1548" s="774"/>
      <c r="CA1548" s="774"/>
      <c r="CB1548" s="774"/>
      <c r="CC1548" s="78"/>
      <c r="CD1548" s="78"/>
      <c r="CE1548" s="78"/>
      <c r="CF1548" s="78"/>
      <c r="CG1548" s="532"/>
    </row>
    <row r="1549" spans="1:85" s="615" customFormat="1" x14ac:dyDescent="0.3">
      <c r="A1549" s="522" t="s">
        <v>1115</v>
      </c>
      <c r="B1549" s="521"/>
      <c r="C1549" s="1122"/>
      <c r="D1549" s="1122"/>
      <c r="E1549" s="1122"/>
      <c r="F1549" s="1122"/>
      <c r="G1549" s="520"/>
      <c r="H1549" s="520"/>
      <c r="I1549" s="520"/>
      <c r="J1549" s="520"/>
      <c r="K1549" s="1122"/>
      <c r="L1549" s="520"/>
      <c r="M1549" s="520"/>
      <c r="N1549" s="520"/>
      <c r="O1549" s="520"/>
      <c r="P1549" s="1122"/>
      <c r="Q1549" s="520"/>
      <c r="R1549" s="520"/>
      <c r="S1549" s="520"/>
      <c r="T1549" s="520"/>
      <c r="U1549" s="1122"/>
      <c r="V1549" s="520"/>
      <c r="W1549" s="520"/>
      <c r="X1549" s="520"/>
      <c r="Y1549" s="520"/>
      <c r="Z1549" s="1122"/>
      <c r="AA1549" s="520"/>
      <c r="AB1549" s="520"/>
      <c r="AC1549" s="520"/>
      <c r="AD1549" s="520"/>
      <c r="AE1549" s="1122"/>
      <c r="AF1549" s="520"/>
      <c r="AG1549" s="520"/>
      <c r="AH1549" s="520"/>
      <c r="AI1549" s="520"/>
      <c r="AJ1549" s="1122"/>
      <c r="AK1549" s="520"/>
      <c r="AL1549" s="520"/>
      <c r="AM1549" s="520"/>
      <c r="AN1549" s="520"/>
      <c r="AO1549" s="1122"/>
      <c r="AP1549" s="520"/>
      <c r="AQ1549" s="520"/>
      <c r="AR1549" s="520"/>
      <c r="AS1549" s="520"/>
      <c r="AT1549" s="1123">
        <v>329.81</v>
      </c>
      <c r="AU1549" s="520"/>
      <c r="AV1549" s="520"/>
      <c r="AW1549" s="520"/>
      <c r="AX1549" s="520"/>
      <c r="AY1549" s="1123">
        <v>329.81</v>
      </c>
      <c r="AZ1549" s="520"/>
      <c r="BA1549" s="520"/>
      <c r="BB1549" s="520"/>
      <c r="BC1549" s="520"/>
      <c r="BD1549" s="1123">
        <v>329.81</v>
      </c>
      <c r="BE1549" s="520"/>
      <c r="BF1549" s="520"/>
      <c r="BG1549" s="520"/>
      <c r="BH1549" s="520"/>
      <c r="BI1549" s="1123">
        <v>329.81</v>
      </c>
      <c r="BJ1549" s="520"/>
      <c r="BK1549" s="520"/>
      <c r="BL1549" s="520"/>
      <c r="BM1549" s="520"/>
      <c r="BN1549" s="1124"/>
      <c r="BO1549" s="520"/>
      <c r="BP1549" s="520"/>
      <c r="BQ1549" s="520"/>
      <c r="BR1549" s="520"/>
      <c r="BS1549" s="1124"/>
      <c r="BT1549" s="728"/>
      <c r="BU1549" s="520"/>
      <c r="BV1549" s="520"/>
      <c r="BW1549" s="520"/>
      <c r="BX1549" s="1122"/>
      <c r="BY1549" s="520"/>
      <c r="BZ1549" s="520"/>
      <c r="CA1549" s="520"/>
      <c r="CB1549" s="520"/>
      <c r="CC1549" s="1122"/>
      <c r="CD1549" s="1122"/>
      <c r="CE1549" s="1122"/>
      <c r="CF1549" s="1122"/>
      <c r="CG1549" s="519"/>
    </row>
    <row r="1550" spans="1:85" s="614" customFormat="1" x14ac:dyDescent="0.3">
      <c r="A1550" s="522"/>
      <c r="B1550" s="352"/>
      <c r="C1550" s="1094"/>
      <c r="D1550" s="1094"/>
      <c r="E1550" s="1094"/>
      <c r="F1550" s="1094"/>
      <c r="G1550" s="197"/>
      <c r="H1550" s="197"/>
      <c r="I1550" s="197"/>
      <c r="J1550" s="197"/>
      <c r="K1550" s="1094"/>
      <c r="L1550" s="197"/>
      <c r="M1550" s="197"/>
      <c r="N1550" s="197"/>
      <c r="O1550" s="197"/>
      <c r="P1550" s="1094"/>
      <c r="Q1550" s="197"/>
      <c r="R1550" s="197"/>
      <c r="S1550" s="197"/>
      <c r="T1550" s="197"/>
      <c r="U1550" s="1094"/>
      <c r="V1550" s="197"/>
      <c r="W1550" s="197"/>
      <c r="X1550" s="197"/>
      <c r="Y1550" s="197"/>
      <c r="Z1550" s="1094"/>
      <c r="AA1550" s="197"/>
      <c r="AB1550" s="197"/>
      <c r="AC1550" s="197"/>
      <c r="AD1550" s="197"/>
      <c r="AE1550" s="1094"/>
      <c r="AF1550" s="197"/>
      <c r="AG1550" s="197"/>
      <c r="AH1550" s="197"/>
      <c r="AI1550" s="197"/>
      <c r="AJ1550" s="1094"/>
      <c r="AK1550" s="197"/>
      <c r="AL1550" s="197"/>
      <c r="AM1550" s="197"/>
      <c r="AN1550" s="197"/>
      <c r="AO1550" s="1094"/>
      <c r="AP1550" s="197"/>
      <c r="AQ1550" s="197"/>
      <c r="AR1550" s="197"/>
      <c r="AS1550" s="197"/>
      <c r="AT1550" s="198"/>
      <c r="AU1550" s="197"/>
      <c r="AV1550" s="197"/>
      <c r="AW1550" s="197"/>
      <c r="AX1550" s="197"/>
      <c r="AY1550" s="198"/>
      <c r="AZ1550" s="197"/>
      <c r="BA1550" s="197"/>
      <c r="BB1550" s="197"/>
      <c r="BC1550" s="197"/>
      <c r="BD1550" s="198"/>
      <c r="BE1550" s="197"/>
      <c r="BF1550" s="197"/>
      <c r="BG1550" s="197"/>
      <c r="BH1550" s="197"/>
      <c r="BI1550" s="198"/>
      <c r="BJ1550" s="197"/>
      <c r="BK1550" s="197"/>
      <c r="BL1550" s="197"/>
      <c r="BM1550" s="197"/>
      <c r="BN1550" s="198"/>
      <c r="BO1550" s="197"/>
      <c r="BP1550" s="197"/>
      <c r="BQ1550" s="197"/>
      <c r="BR1550" s="197"/>
      <c r="BS1550" s="198"/>
      <c r="BT1550" s="727"/>
      <c r="BU1550" s="197"/>
      <c r="BV1550" s="197"/>
      <c r="BW1550" s="197"/>
      <c r="BX1550" s="1094"/>
      <c r="BY1550" s="197"/>
      <c r="BZ1550" s="197"/>
      <c r="CA1550" s="197"/>
      <c r="CB1550" s="197"/>
      <c r="CC1550" s="1094"/>
      <c r="CD1550" s="1094"/>
      <c r="CE1550" s="1094"/>
      <c r="CF1550" s="1094"/>
      <c r="CG1550" s="349"/>
    </row>
    <row r="1551" spans="1:85" s="613" customFormat="1" x14ac:dyDescent="0.3">
      <c r="A1551" s="478" t="s">
        <v>1114</v>
      </c>
      <c r="B1551" s="523"/>
      <c r="C1551" s="78"/>
      <c r="D1551" s="78"/>
      <c r="E1551" s="78"/>
      <c r="F1551" s="78"/>
      <c r="G1551" s="774"/>
      <c r="H1551" s="774"/>
      <c r="I1551" s="774"/>
      <c r="J1551" s="774"/>
      <c r="K1551" s="78"/>
      <c r="L1551" s="774"/>
      <c r="M1551" s="774"/>
      <c r="N1551" s="774"/>
      <c r="O1551" s="774"/>
      <c r="P1551" s="78"/>
      <c r="Q1551" s="774"/>
      <c r="R1551" s="774"/>
      <c r="S1551" s="774"/>
      <c r="T1551" s="774"/>
      <c r="U1551" s="78"/>
      <c r="V1551" s="774"/>
      <c r="W1551" s="774"/>
      <c r="X1551" s="774"/>
      <c r="Y1551" s="774"/>
      <c r="Z1551" s="78"/>
      <c r="AA1551" s="774"/>
      <c r="AB1551" s="774"/>
      <c r="AC1551" s="774"/>
      <c r="AD1551" s="774"/>
      <c r="AE1551" s="78"/>
      <c r="AF1551" s="774"/>
      <c r="AG1551" s="774"/>
      <c r="AH1551" s="774"/>
      <c r="AI1551" s="774"/>
      <c r="AJ1551" s="78"/>
      <c r="AK1551" s="774"/>
      <c r="AL1551" s="774"/>
      <c r="AM1551" s="774"/>
      <c r="AN1551" s="774"/>
      <c r="AO1551" s="78"/>
      <c r="AP1551" s="774"/>
      <c r="AQ1551" s="774"/>
      <c r="AR1551" s="774"/>
      <c r="AS1551" s="774"/>
      <c r="AT1551" s="1119">
        <v>0.26200000000000001</v>
      </c>
      <c r="AU1551" s="774"/>
      <c r="AV1551" s="774"/>
      <c r="AW1551" s="774"/>
      <c r="AX1551" s="774"/>
      <c r="AY1551" s="1119">
        <v>0.26200000000000001</v>
      </c>
      <c r="AZ1551" s="774"/>
      <c r="BA1551" s="774"/>
      <c r="BB1551" s="774"/>
      <c r="BC1551" s="774"/>
      <c r="BD1551" s="1119">
        <v>0.26200000000000001</v>
      </c>
      <c r="BE1551" s="774"/>
      <c r="BF1551" s="774"/>
      <c r="BG1551" s="774"/>
      <c r="BH1551" s="774"/>
      <c r="BI1551" s="1119">
        <v>0.26200000000000001</v>
      </c>
      <c r="BJ1551" s="774"/>
      <c r="BK1551" s="774"/>
      <c r="BL1551" s="774"/>
      <c r="BM1551" s="774"/>
      <c r="BN1551" s="78"/>
      <c r="BO1551" s="774"/>
      <c r="BP1551" s="774"/>
      <c r="BQ1551" s="774"/>
      <c r="BR1551" s="774"/>
      <c r="BS1551" s="78"/>
      <c r="BT1551" s="775"/>
      <c r="BU1551" s="774"/>
      <c r="BV1551" s="774"/>
      <c r="BW1551" s="774"/>
      <c r="BX1551" s="78"/>
      <c r="BY1551" s="774"/>
      <c r="BZ1551" s="774"/>
      <c r="CA1551" s="774"/>
      <c r="CB1551" s="774"/>
      <c r="CC1551" s="78"/>
      <c r="CD1551" s="78"/>
      <c r="CE1551" s="78"/>
      <c r="CF1551" s="78"/>
      <c r="CG1551" s="532"/>
    </row>
    <row r="1552" spans="1:85" s="615" customFormat="1" x14ac:dyDescent="0.3">
      <c r="A1552" s="522" t="s">
        <v>1113</v>
      </c>
      <c r="B1552" s="521"/>
      <c r="C1552" s="1122"/>
      <c r="D1552" s="1122"/>
      <c r="E1552" s="1122"/>
      <c r="F1552" s="1122"/>
      <c r="G1552" s="520"/>
      <c r="H1552" s="520"/>
      <c r="I1552" s="520"/>
      <c r="J1552" s="520"/>
      <c r="K1552" s="1122"/>
      <c r="L1552" s="520"/>
      <c r="M1552" s="520"/>
      <c r="N1552" s="520"/>
      <c r="O1552" s="520"/>
      <c r="P1552" s="1122"/>
      <c r="Q1552" s="520"/>
      <c r="R1552" s="520"/>
      <c r="S1552" s="520"/>
      <c r="T1552" s="520"/>
      <c r="U1552" s="1122"/>
      <c r="V1552" s="520"/>
      <c r="W1552" s="520"/>
      <c r="X1552" s="520"/>
      <c r="Y1552" s="520"/>
      <c r="Z1552" s="1122"/>
      <c r="AA1552" s="520"/>
      <c r="AB1552" s="520"/>
      <c r="AC1552" s="520"/>
      <c r="AD1552" s="520"/>
      <c r="AE1552" s="1122"/>
      <c r="AF1552" s="520"/>
      <c r="AG1552" s="520"/>
      <c r="AH1552" s="520"/>
      <c r="AI1552" s="520"/>
      <c r="AJ1552" s="1122"/>
      <c r="AK1552" s="520"/>
      <c r="AL1552" s="520"/>
      <c r="AM1552" s="520"/>
      <c r="AN1552" s="520"/>
      <c r="AO1552" s="1122"/>
      <c r="AP1552" s="520"/>
      <c r="AQ1552" s="520"/>
      <c r="AR1552" s="520"/>
      <c r="AS1552" s="520"/>
      <c r="AT1552" s="1123">
        <v>358</v>
      </c>
      <c r="AU1552" s="520"/>
      <c r="AV1552" s="520"/>
      <c r="AW1552" s="520"/>
      <c r="AX1552" s="520"/>
      <c r="AY1552" s="1123">
        <v>358</v>
      </c>
      <c r="AZ1552" s="520"/>
      <c r="BA1552" s="520"/>
      <c r="BB1552" s="520"/>
      <c r="BC1552" s="520"/>
      <c r="BD1552" s="1123">
        <v>358</v>
      </c>
      <c r="BE1552" s="520"/>
      <c r="BF1552" s="520"/>
      <c r="BG1552" s="520"/>
      <c r="BH1552" s="520"/>
      <c r="BI1552" s="1123">
        <v>358</v>
      </c>
      <c r="BJ1552" s="520"/>
      <c r="BK1552" s="520"/>
      <c r="BL1552" s="520"/>
      <c r="BM1552" s="520"/>
      <c r="BN1552" s="1124"/>
      <c r="BO1552" s="520"/>
      <c r="BP1552" s="520"/>
      <c r="BQ1552" s="520"/>
      <c r="BR1552" s="520"/>
      <c r="BS1552" s="1124"/>
      <c r="BT1552" s="728"/>
      <c r="BU1552" s="520"/>
      <c r="BV1552" s="520"/>
      <c r="BW1552" s="520"/>
      <c r="BX1552" s="1122"/>
      <c r="BY1552" s="520"/>
      <c r="BZ1552" s="520"/>
      <c r="CA1552" s="520"/>
      <c r="CB1552" s="520"/>
      <c r="CC1552" s="1122"/>
      <c r="CD1552" s="1122"/>
      <c r="CE1552" s="1122"/>
      <c r="CF1552" s="1122"/>
      <c r="CG1552" s="519"/>
    </row>
    <row r="1553" spans="1:85" s="614" customFormat="1" x14ac:dyDescent="0.3">
      <c r="A1553" s="522"/>
      <c r="B1553" s="352"/>
      <c r="C1553" s="1094"/>
      <c r="D1553" s="1094"/>
      <c r="E1553" s="1094"/>
      <c r="F1553" s="1094"/>
      <c r="G1553" s="197"/>
      <c r="H1553" s="197"/>
      <c r="I1553" s="197"/>
      <c r="J1553" s="197"/>
      <c r="K1553" s="1094"/>
      <c r="L1553" s="197"/>
      <c r="M1553" s="197"/>
      <c r="N1553" s="197"/>
      <c r="O1553" s="197"/>
      <c r="P1553" s="1094"/>
      <c r="Q1553" s="197"/>
      <c r="R1553" s="197"/>
      <c r="S1553" s="197"/>
      <c r="T1553" s="197"/>
      <c r="U1553" s="1094"/>
      <c r="V1553" s="197"/>
      <c r="W1553" s="197"/>
      <c r="X1553" s="197"/>
      <c r="Y1553" s="197"/>
      <c r="Z1553" s="1094"/>
      <c r="AA1553" s="197"/>
      <c r="AB1553" s="197"/>
      <c r="AC1553" s="197"/>
      <c r="AD1553" s="197"/>
      <c r="AE1553" s="1094"/>
      <c r="AF1553" s="197"/>
      <c r="AG1553" s="197"/>
      <c r="AH1553" s="197"/>
      <c r="AI1553" s="197"/>
      <c r="AJ1553" s="1094"/>
      <c r="AK1553" s="197"/>
      <c r="AL1553" s="197"/>
      <c r="AM1553" s="197"/>
      <c r="AN1553" s="197"/>
      <c r="AO1553" s="1094"/>
      <c r="AP1553" s="197"/>
      <c r="AQ1553" s="197"/>
      <c r="AR1553" s="197"/>
      <c r="AS1553" s="197"/>
      <c r="AT1553" s="198"/>
      <c r="AU1553" s="197"/>
      <c r="AV1553" s="197"/>
      <c r="AW1553" s="197"/>
      <c r="AX1553" s="197"/>
      <c r="AY1553" s="198"/>
      <c r="AZ1553" s="197"/>
      <c r="BA1553" s="197"/>
      <c r="BB1553" s="197"/>
      <c r="BC1553" s="197"/>
      <c r="BD1553" s="198"/>
      <c r="BE1553" s="197"/>
      <c r="BF1553" s="197"/>
      <c r="BG1553" s="197"/>
      <c r="BH1553" s="197"/>
      <c r="BI1553" s="198"/>
      <c r="BJ1553" s="197"/>
      <c r="BK1553" s="197"/>
      <c r="BL1553" s="197"/>
      <c r="BM1553" s="197"/>
      <c r="BN1553" s="198"/>
      <c r="BO1553" s="197"/>
      <c r="BP1553" s="197"/>
      <c r="BQ1553" s="197"/>
      <c r="BR1553" s="197"/>
      <c r="BS1553" s="198"/>
      <c r="BT1553" s="727"/>
      <c r="BU1553" s="197"/>
      <c r="BV1553" s="197"/>
      <c r="BW1553" s="197"/>
      <c r="BX1553" s="1094"/>
      <c r="BY1553" s="197"/>
      <c r="BZ1553" s="197"/>
      <c r="CA1553" s="197"/>
      <c r="CB1553" s="197"/>
      <c r="CC1553" s="1094"/>
      <c r="CD1553" s="1094"/>
      <c r="CE1553" s="1094"/>
      <c r="CF1553" s="1094"/>
      <c r="CG1553" s="349"/>
    </row>
    <row r="1554" spans="1:85" s="613" customFormat="1" x14ac:dyDescent="0.3">
      <c r="A1554" s="478" t="s">
        <v>1112</v>
      </c>
      <c r="B1554" s="523"/>
      <c r="C1554" s="78"/>
      <c r="D1554" s="78"/>
      <c r="E1554" s="78"/>
      <c r="F1554" s="78"/>
      <c r="G1554" s="774"/>
      <c r="H1554" s="774"/>
      <c r="I1554" s="774"/>
      <c r="J1554" s="774"/>
      <c r="K1554" s="78"/>
      <c r="L1554" s="774"/>
      <c r="M1554" s="774"/>
      <c r="N1554" s="774"/>
      <c r="O1554" s="774"/>
      <c r="P1554" s="78"/>
      <c r="Q1554" s="774"/>
      <c r="R1554" s="774"/>
      <c r="S1554" s="774"/>
      <c r="T1554" s="774"/>
      <c r="U1554" s="78"/>
      <c r="V1554" s="774"/>
      <c r="W1554" s="774"/>
      <c r="X1554" s="774"/>
      <c r="Y1554" s="774"/>
      <c r="Z1554" s="78"/>
      <c r="AA1554" s="774"/>
      <c r="AB1554" s="774"/>
      <c r="AC1554" s="774"/>
      <c r="AD1554" s="774"/>
      <c r="AE1554" s="78"/>
      <c r="AF1554" s="774"/>
      <c r="AG1554" s="774"/>
      <c r="AH1554" s="774"/>
      <c r="AI1554" s="774"/>
      <c r="AJ1554" s="78"/>
      <c r="AK1554" s="774"/>
      <c r="AL1554" s="774"/>
      <c r="AM1554" s="774"/>
      <c r="AN1554" s="774"/>
      <c r="AO1554" s="78"/>
      <c r="AP1554" s="774"/>
      <c r="AQ1554" s="774"/>
      <c r="AR1554" s="774"/>
      <c r="AS1554" s="774"/>
      <c r="AT1554" s="1119">
        <v>0.246</v>
      </c>
      <c r="AU1554" s="774"/>
      <c r="AV1554" s="774"/>
      <c r="AW1554" s="774"/>
      <c r="AX1554" s="774"/>
      <c r="AY1554" s="1119">
        <v>0.246</v>
      </c>
      <c r="AZ1554" s="774"/>
      <c r="BA1554" s="774"/>
      <c r="BB1554" s="774"/>
      <c r="BC1554" s="774"/>
      <c r="BD1554" s="1119">
        <v>0.246</v>
      </c>
      <c r="BE1554" s="774"/>
      <c r="BF1554" s="774"/>
      <c r="BG1554" s="774"/>
      <c r="BH1554" s="774"/>
      <c r="BI1554" s="1119">
        <v>0.246</v>
      </c>
      <c r="BJ1554" s="774"/>
      <c r="BK1554" s="774"/>
      <c r="BL1554" s="774"/>
      <c r="BM1554" s="774"/>
      <c r="BN1554" s="78"/>
      <c r="BO1554" s="774"/>
      <c r="BP1554" s="774"/>
      <c r="BQ1554" s="774"/>
      <c r="BR1554" s="774"/>
      <c r="BS1554" s="78"/>
      <c r="BT1554" s="775"/>
      <c r="BU1554" s="774"/>
      <c r="BV1554" s="774"/>
      <c r="BW1554" s="774"/>
      <c r="BX1554" s="78"/>
      <c r="BY1554" s="774"/>
      <c r="BZ1554" s="774"/>
      <c r="CA1554" s="774"/>
      <c r="CB1554" s="774"/>
      <c r="CC1554" s="78"/>
      <c r="CD1554" s="78"/>
      <c r="CE1554" s="78"/>
      <c r="CF1554" s="78"/>
      <c r="CG1554" s="532"/>
    </row>
    <row r="1555" spans="1:85" s="615" customFormat="1" x14ac:dyDescent="0.3">
      <c r="A1555" s="522" t="s">
        <v>1111</v>
      </c>
      <c r="B1555" s="521"/>
      <c r="C1555" s="1122"/>
      <c r="D1555" s="1122"/>
      <c r="E1555" s="1122"/>
      <c r="F1555" s="1122"/>
      <c r="G1555" s="520"/>
      <c r="H1555" s="520"/>
      <c r="I1555" s="520"/>
      <c r="J1555" s="520"/>
      <c r="K1555" s="1122"/>
      <c r="L1555" s="520"/>
      <c r="M1555" s="520"/>
      <c r="N1555" s="520"/>
      <c r="O1555" s="520"/>
      <c r="P1555" s="1122"/>
      <c r="Q1555" s="520"/>
      <c r="R1555" s="520"/>
      <c r="S1555" s="520"/>
      <c r="T1555" s="520"/>
      <c r="U1555" s="1122"/>
      <c r="V1555" s="520"/>
      <c r="W1555" s="520"/>
      <c r="X1555" s="520"/>
      <c r="Y1555" s="520"/>
      <c r="Z1555" s="1122"/>
      <c r="AA1555" s="520"/>
      <c r="AB1555" s="520"/>
      <c r="AC1555" s="520"/>
      <c r="AD1555" s="520"/>
      <c r="AE1555" s="1122"/>
      <c r="AF1555" s="520"/>
      <c r="AG1555" s="520"/>
      <c r="AH1555" s="520"/>
      <c r="AI1555" s="520"/>
      <c r="AJ1555" s="1122"/>
      <c r="AK1555" s="520"/>
      <c r="AL1555" s="520"/>
      <c r="AM1555" s="520"/>
      <c r="AN1555" s="520"/>
      <c r="AO1555" s="1122"/>
      <c r="AP1555" s="520"/>
      <c r="AQ1555" s="520"/>
      <c r="AR1555" s="520"/>
      <c r="AS1555" s="520"/>
      <c r="AT1555" s="1123">
        <v>381.05</v>
      </c>
      <c r="AU1555" s="520"/>
      <c r="AV1555" s="520"/>
      <c r="AW1555" s="520"/>
      <c r="AX1555" s="520"/>
      <c r="AY1555" s="1123">
        <v>381.05</v>
      </c>
      <c r="AZ1555" s="520"/>
      <c r="BA1555" s="520"/>
      <c r="BB1555" s="520"/>
      <c r="BC1555" s="520"/>
      <c r="BD1555" s="1123">
        <v>381.05</v>
      </c>
      <c r="BE1555" s="520"/>
      <c r="BF1555" s="520"/>
      <c r="BG1555" s="520"/>
      <c r="BH1555" s="520"/>
      <c r="BI1555" s="1123">
        <v>381.05</v>
      </c>
      <c r="BJ1555" s="520"/>
      <c r="BK1555" s="520"/>
      <c r="BL1555" s="520"/>
      <c r="BM1555" s="520"/>
      <c r="BN1555" s="1124"/>
      <c r="BO1555" s="520"/>
      <c r="BP1555" s="520"/>
      <c r="BQ1555" s="520"/>
      <c r="BR1555" s="520"/>
      <c r="BS1555" s="1124"/>
      <c r="BT1555" s="728"/>
      <c r="BU1555" s="520"/>
      <c r="BV1555" s="520"/>
      <c r="BW1555" s="520"/>
      <c r="BX1555" s="1122"/>
      <c r="BY1555" s="520"/>
      <c r="BZ1555" s="520"/>
      <c r="CA1555" s="520"/>
      <c r="CB1555" s="520"/>
      <c r="CC1555" s="1122"/>
      <c r="CD1555" s="1122"/>
      <c r="CE1555" s="1122"/>
      <c r="CF1555" s="1122"/>
      <c r="CG1555" s="519"/>
    </row>
    <row r="1556" spans="1:85" s="614" customFormat="1" x14ac:dyDescent="0.3">
      <c r="A1556" s="522"/>
      <c r="B1556" s="352"/>
      <c r="C1556" s="1094"/>
      <c r="D1556" s="1094"/>
      <c r="E1556" s="1094"/>
      <c r="F1556" s="1094"/>
      <c r="G1556" s="197"/>
      <c r="H1556" s="197"/>
      <c r="I1556" s="197"/>
      <c r="J1556" s="197"/>
      <c r="K1556" s="1094"/>
      <c r="L1556" s="197"/>
      <c r="M1556" s="197"/>
      <c r="N1556" s="197"/>
      <c r="O1556" s="197"/>
      <c r="P1556" s="1094"/>
      <c r="Q1556" s="197"/>
      <c r="R1556" s="197"/>
      <c r="S1556" s="197"/>
      <c r="T1556" s="197"/>
      <c r="U1556" s="1094"/>
      <c r="V1556" s="197"/>
      <c r="W1556" s="197"/>
      <c r="X1556" s="197"/>
      <c r="Y1556" s="197"/>
      <c r="Z1556" s="1094"/>
      <c r="AA1556" s="197"/>
      <c r="AB1556" s="197"/>
      <c r="AC1556" s="197"/>
      <c r="AD1556" s="197"/>
      <c r="AE1556" s="1094"/>
      <c r="AF1556" s="197"/>
      <c r="AG1556" s="197"/>
      <c r="AH1556" s="197"/>
      <c r="AI1556" s="197"/>
      <c r="AJ1556" s="1094"/>
      <c r="AK1556" s="197"/>
      <c r="AL1556" s="197"/>
      <c r="AM1556" s="197"/>
      <c r="AN1556" s="197"/>
      <c r="AO1556" s="1094"/>
      <c r="AP1556" s="197"/>
      <c r="AQ1556" s="197"/>
      <c r="AR1556" s="197"/>
      <c r="AS1556" s="197"/>
      <c r="AT1556" s="198"/>
      <c r="AU1556" s="197"/>
      <c r="AV1556" s="197"/>
      <c r="AW1556" s="197"/>
      <c r="AX1556" s="197"/>
      <c r="AY1556" s="198"/>
      <c r="AZ1556" s="197"/>
      <c r="BA1556" s="197"/>
      <c r="BB1556" s="197"/>
      <c r="BC1556" s="197"/>
      <c r="BD1556" s="198"/>
      <c r="BE1556" s="197"/>
      <c r="BF1556" s="197"/>
      <c r="BG1556" s="197"/>
      <c r="BH1556" s="197"/>
      <c r="BI1556" s="198"/>
      <c r="BJ1556" s="197"/>
      <c r="BK1556" s="197"/>
      <c r="BL1556" s="197"/>
      <c r="BM1556" s="197"/>
      <c r="BN1556" s="198"/>
      <c r="BO1556" s="197"/>
      <c r="BP1556" s="197"/>
      <c r="BQ1556" s="197"/>
      <c r="BR1556" s="197"/>
      <c r="BS1556" s="198"/>
      <c r="BT1556" s="727"/>
      <c r="BU1556" s="197"/>
      <c r="BV1556" s="197"/>
      <c r="BW1556" s="197"/>
      <c r="BX1556" s="1094"/>
      <c r="BY1556" s="197"/>
      <c r="BZ1556" s="197"/>
      <c r="CA1556" s="197"/>
      <c r="CB1556" s="197"/>
      <c r="CC1556" s="1094"/>
      <c r="CD1556" s="1094"/>
      <c r="CE1556" s="1094"/>
      <c r="CF1556" s="1094"/>
      <c r="CG1556" s="349"/>
    </row>
    <row r="1557" spans="1:85" s="613" customFormat="1" x14ac:dyDescent="0.3">
      <c r="A1557" s="478" t="s">
        <v>1110</v>
      </c>
      <c r="B1557" s="523"/>
      <c r="C1557" s="78"/>
      <c r="D1557" s="78"/>
      <c r="E1557" s="78"/>
      <c r="F1557" s="78"/>
      <c r="G1557" s="774"/>
      <c r="H1557" s="774"/>
      <c r="I1557" s="774"/>
      <c r="J1557" s="774"/>
      <c r="K1557" s="78"/>
      <c r="L1557" s="774"/>
      <c r="M1557" s="774"/>
      <c r="N1557" s="774"/>
      <c r="O1557" s="774"/>
      <c r="P1557" s="78"/>
      <c r="Q1557" s="774"/>
      <c r="R1557" s="774"/>
      <c r="S1557" s="774"/>
      <c r="T1557" s="774"/>
      <c r="U1557" s="78"/>
      <c r="V1557" s="774"/>
      <c r="W1557" s="774"/>
      <c r="X1557" s="774"/>
      <c r="Y1557" s="774"/>
      <c r="Z1557" s="78"/>
      <c r="AA1557" s="774"/>
      <c r="AB1557" s="774"/>
      <c r="AC1557" s="774"/>
      <c r="AD1557" s="774"/>
      <c r="AE1557" s="78"/>
      <c r="AF1557" s="774"/>
      <c r="AG1557" s="774"/>
      <c r="AH1557" s="774"/>
      <c r="AI1557" s="774"/>
      <c r="AJ1557" s="78"/>
      <c r="AK1557" s="774"/>
      <c r="AL1557" s="774"/>
      <c r="AM1557" s="774"/>
      <c r="AN1557" s="774"/>
      <c r="AO1557" s="78"/>
      <c r="AP1557" s="774"/>
      <c r="AQ1557" s="774"/>
      <c r="AR1557" s="774"/>
      <c r="AS1557" s="774"/>
      <c r="AT1557" s="1119">
        <v>0.25700000000000001</v>
      </c>
      <c r="AU1557" s="774"/>
      <c r="AV1557" s="774"/>
      <c r="AW1557" s="774"/>
      <c r="AX1557" s="774"/>
      <c r="AY1557" s="1119">
        <v>0.25700000000000001</v>
      </c>
      <c r="AZ1557" s="774"/>
      <c r="BA1557" s="774"/>
      <c r="BB1557" s="774"/>
      <c r="BC1557" s="774"/>
      <c r="BD1557" s="1119">
        <v>0.25700000000000001</v>
      </c>
      <c r="BE1557" s="774"/>
      <c r="BF1557" s="774"/>
      <c r="BG1557" s="774"/>
      <c r="BH1557" s="774"/>
      <c r="BI1557" s="1119">
        <v>0.25700000000000001</v>
      </c>
      <c r="BJ1557" s="774"/>
      <c r="BK1557" s="774"/>
      <c r="BL1557" s="774"/>
      <c r="BM1557" s="774"/>
      <c r="BN1557" s="78"/>
      <c r="BO1557" s="774"/>
      <c r="BP1557" s="774"/>
      <c r="BQ1557" s="774"/>
      <c r="BR1557" s="774"/>
      <c r="BS1557" s="78"/>
      <c r="BT1557" s="775"/>
      <c r="BU1557" s="774"/>
      <c r="BV1557" s="774"/>
      <c r="BW1557" s="774"/>
      <c r="BX1557" s="78"/>
      <c r="BY1557" s="774"/>
      <c r="BZ1557" s="774"/>
      <c r="CA1557" s="774"/>
      <c r="CB1557" s="774"/>
      <c r="CC1557" s="78"/>
      <c r="CD1557" s="78"/>
      <c r="CE1557" s="78"/>
      <c r="CF1557" s="78"/>
      <c r="CG1557" s="532"/>
    </row>
    <row r="1558" spans="1:85" s="615" customFormat="1" x14ac:dyDescent="0.3">
      <c r="A1558" s="522" t="s">
        <v>1109</v>
      </c>
      <c r="B1558" s="521"/>
      <c r="C1558" s="1122"/>
      <c r="D1558" s="1122"/>
      <c r="E1558" s="1122"/>
      <c r="F1558" s="1122"/>
      <c r="G1558" s="520"/>
      <c r="H1558" s="520"/>
      <c r="I1558" s="520"/>
      <c r="J1558" s="520"/>
      <c r="K1558" s="1122"/>
      <c r="L1558" s="520"/>
      <c r="M1558" s="520"/>
      <c r="N1558" s="520"/>
      <c r="O1558" s="520"/>
      <c r="P1558" s="1122"/>
      <c r="Q1558" s="520"/>
      <c r="R1558" s="520"/>
      <c r="S1558" s="520"/>
      <c r="T1558" s="520"/>
      <c r="U1558" s="1122"/>
      <c r="V1558" s="520"/>
      <c r="W1558" s="520"/>
      <c r="X1558" s="520"/>
      <c r="Y1558" s="520"/>
      <c r="Z1558" s="1122"/>
      <c r="AA1558" s="520"/>
      <c r="AB1558" s="520"/>
      <c r="AC1558" s="520"/>
      <c r="AD1558" s="520"/>
      <c r="AE1558" s="1122"/>
      <c r="AF1558" s="520"/>
      <c r="AG1558" s="520"/>
      <c r="AH1558" s="520"/>
      <c r="AI1558" s="520"/>
      <c r="AJ1558" s="1122"/>
      <c r="AK1558" s="520"/>
      <c r="AL1558" s="520"/>
      <c r="AM1558" s="520"/>
      <c r="AN1558" s="520"/>
      <c r="AO1558" s="1122"/>
      <c r="AP1558" s="520"/>
      <c r="AQ1558" s="520"/>
      <c r="AR1558" s="520"/>
      <c r="AS1558" s="520"/>
      <c r="AT1558" s="1123">
        <v>364.08</v>
      </c>
      <c r="AU1558" s="520"/>
      <c r="AV1558" s="520"/>
      <c r="AW1558" s="520"/>
      <c r="AX1558" s="520"/>
      <c r="AY1558" s="1123">
        <v>364.08</v>
      </c>
      <c r="AZ1558" s="520"/>
      <c r="BA1558" s="520"/>
      <c r="BB1558" s="520"/>
      <c r="BC1558" s="520"/>
      <c r="BD1558" s="1123">
        <v>364.08</v>
      </c>
      <c r="BE1558" s="520"/>
      <c r="BF1558" s="520"/>
      <c r="BG1558" s="520"/>
      <c r="BH1558" s="520"/>
      <c r="BI1558" s="1123">
        <v>364.08</v>
      </c>
      <c r="BJ1558" s="520"/>
      <c r="BK1558" s="520"/>
      <c r="BL1558" s="520"/>
      <c r="BM1558" s="520"/>
      <c r="BN1558" s="1124"/>
      <c r="BO1558" s="520"/>
      <c r="BP1558" s="520"/>
      <c r="BQ1558" s="520"/>
      <c r="BR1558" s="520"/>
      <c r="BS1558" s="1124"/>
      <c r="BT1558" s="728"/>
      <c r="BU1558" s="520"/>
      <c r="BV1558" s="520"/>
      <c r="BW1558" s="520"/>
      <c r="BX1558" s="1122"/>
      <c r="BY1558" s="520"/>
      <c r="BZ1558" s="520"/>
      <c r="CA1558" s="520"/>
      <c r="CB1558" s="520"/>
      <c r="CC1558" s="1122"/>
      <c r="CD1558" s="1122"/>
      <c r="CE1558" s="1122"/>
      <c r="CF1558" s="1122"/>
      <c r="CG1558" s="519"/>
    </row>
    <row r="1559" spans="1:85" s="614" customFormat="1" x14ac:dyDescent="0.3">
      <c r="A1559" s="522"/>
      <c r="B1559" s="352"/>
      <c r="C1559" s="1094"/>
      <c r="D1559" s="1094"/>
      <c r="E1559" s="1094"/>
      <c r="F1559" s="1094"/>
      <c r="G1559" s="197"/>
      <c r="H1559" s="197"/>
      <c r="I1559" s="197"/>
      <c r="J1559" s="197"/>
      <c r="K1559" s="1094"/>
      <c r="L1559" s="197"/>
      <c r="M1559" s="197"/>
      <c r="N1559" s="197"/>
      <c r="O1559" s="197"/>
      <c r="P1559" s="1094"/>
      <c r="Q1559" s="197"/>
      <c r="R1559" s="197"/>
      <c r="S1559" s="197"/>
      <c r="T1559" s="197"/>
      <c r="U1559" s="1094"/>
      <c r="V1559" s="197"/>
      <c r="W1559" s="197"/>
      <c r="X1559" s="197"/>
      <c r="Y1559" s="197"/>
      <c r="Z1559" s="1094"/>
      <c r="AA1559" s="197"/>
      <c r="AB1559" s="197"/>
      <c r="AC1559" s="197"/>
      <c r="AD1559" s="197"/>
      <c r="AE1559" s="1094"/>
      <c r="AF1559" s="197"/>
      <c r="AG1559" s="197"/>
      <c r="AH1559" s="197"/>
      <c r="AI1559" s="197"/>
      <c r="AJ1559" s="1094"/>
      <c r="AK1559" s="197"/>
      <c r="AL1559" s="197"/>
      <c r="AM1559" s="197"/>
      <c r="AN1559" s="197"/>
      <c r="AO1559" s="1094"/>
      <c r="AP1559" s="197"/>
      <c r="AQ1559" s="197"/>
      <c r="AR1559" s="197"/>
      <c r="AS1559" s="197"/>
      <c r="AT1559" s="198"/>
      <c r="AU1559" s="197"/>
      <c r="AV1559" s="197"/>
      <c r="AW1559" s="197"/>
      <c r="AX1559" s="197"/>
      <c r="AY1559" s="198"/>
      <c r="AZ1559" s="197"/>
      <c r="BA1559" s="197"/>
      <c r="BB1559" s="197"/>
      <c r="BC1559" s="197"/>
      <c r="BD1559" s="198"/>
      <c r="BE1559" s="197"/>
      <c r="BF1559" s="197"/>
      <c r="BG1559" s="197"/>
      <c r="BH1559" s="197"/>
      <c r="BI1559" s="198"/>
      <c r="BJ1559" s="197"/>
      <c r="BK1559" s="197"/>
      <c r="BL1559" s="197"/>
      <c r="BM1559" s="197"/>
      <c r="BN1559" s="198"/>
      <c r="BO1559" s="197"/>
      <c r="BP1559" s="197"/>
      <c r="BQ1559" s="197"/>
      <c r="BR1559" s="197"/>
      <c r="BS1559" s="198"/>
      <c r="BT1559" s="727"/>
      <c r="BU1559" s="197"/>
      <c r="BV1559" s="197"/>
      <c r="BW1559" s="197"/>
      <c r="BX1559" s="1094"/>
      <c r="BY1559" s="197"/>
      <c r="BZ1559" s="197"/>
      <c r="CA1559" s="197"/>
      <c r="CB1559" s="197"/>
      <c r="CC1559" s="1094"/>
      <c r="CD1559" s="1094"/>
      <c r="CE1559" s="1094"/>
      <c r="CF1559" s="1094"/>
      <c r="CG1559" s="349"/>
    </row>
    <row r="1560" spans="1:85" s="613" customFormat="1" x14ac:dyDescent="0.3">
      <c r="A1560" s="478" t="s">
        <v>1108</v>
      </c>
      <c r="B1560" s="523"/>
      <c r="C1560" s="78"/>
      <c r="D1560" s="78"/>
      <c r="E1560" s="78"/>
      <c r="F1560" s="78"/>
      <c r="G1560" s="774"/>
      <c r="H1560" s="774"/>
      <c r="I1560" s="774"/>
      <c r="J1560" s="774"/>
      <c r="K1560" s="78"/>
      <c r="L1560" s="774"/>
      <c r="M1560" s="774"/>
      <c r="N1560" s="774"/>
      <c r="O1560" s="774"/>
      <c r="P1560" s="78"/>
      <c r="Q1560" s="774"/>
      <c r="R1560" s="774"/>
      <c r="S1560" s="774"/>
      <c r="T1560" s="774"/>
      <c r="U1560" s="78"/>
      <c r="V1560" s="774"/>
      <c r="W1560" s="774"/>
      <c r="X1560" s="774"/>
      <c r="Y1560" s="774"/>
      <c r="Z1560" s="78"/>
      <c r="AA1560" s="774"/>
      <c r="AB1560" s="774"/>
      <c r="AC1560" s="774"/>
      <c r="AD1560" s="774"/>
      <c r="AE1560" s="78"/>
      <c r="AF1560" s="774"/>
      <c r="AG1560" s="774"/>
      <c r="AH1560" s="774"/>
      <c r="AI1560" s="774"/>
      <c r="AJ1560" s="78"/>
      <c r="AK1560" s="774"/>
      <c r="AL1560" s="774"/>
      <c r="AM1560" s="774"/>
      <c r="AN1560" s="774"/>
      <c r="AO1560" s="78"/>
      <c r="AP1560" s="774"/>
      <c r="AQ1560" s="774"/>
      <c r="AR1560" s="774"/>
      <c r="AS1560" s="774"/>
      <c r="AT1560" s="1119">
        <v>0.22600000000000001</v>
      </c>
      <c r="AU1560" s="774"/>
      <c r="AV1560" s="774"/>
      <c r="AW1560" s="774"/>
      <c r="AX1560" s="774"/>
      <c r="AY1560" s="1119">
        <v>0.22600000000000001</v>
      </c>
      <c r="AZ1560" s="774"/>
      <c r="BA1560" s="774"/>
      <c r="BB1560" s="774"/>
      <c r="BC1560" s="774"/>
      <c r="BD1560" s="1119">
        <v>0.22600000000000001</v>
      </c>
      <c r="BE1560" s="774"/>
      <c r="BF1560" s="774"/>
      <c r="BG1560" s="774"/>
      <c r="BH1560" s="774"/>
      <c r="BI1560" s="1119">
        <v>0.22600000000000001</v>
      </c>
      <c r="BJ1560" s="774"/>
      <c r="BK1560" s="774"/>
      <c r="BL1560" s="774"/>
      <c r="BM1560" s="774"/>
      <c r="BN1560" s="78"/>
      <c r="BO1560" s="774"/>
      <c r="BP1560" s="774"/>
      <c r="BQ1560" s="774"/>
      <c r="BR1560" s="774"/>
      <c r="BS1560" s="78"/>
      <c r="BT1560" s="775"/>
      <c r="BU1560" s="774"/>
      <c r="BV1560" s="774"/>
      <c r="BW1560" s="774"/>
      <c r="BX1560" s="78"/>
      <c r="BY1560" s="774"/>
      <c r="BZ1560" s="774"/>
      <c r="CA1560" s="774"/>
      <c r="CB1560" s="774"/>
      <c r="CC1560" s="78"/>
      <c r="CD1560" s="78"/>
      <c r="CE1560" s="78"/>
      <c r="CF1560" s="78"/>
      <c r="CG1560" s="532"/>
    </row>
    <row r="1561" spans="1:85" s="615" customFormat="1" x14ac:dyDescent="0.3">
      <c r="A1561" s="522" t="s">
        <v>1107</v>
      </c>
      <c r="B1561" s="521"/>
      <c r="C1561" s="1122"/>
      <c r="D1561" s="1122"/>
      <c r="E1561" s="1122"/>
      <c r="F1561" s="1122"/>
      <c r="G1561" s="520"/>
      <c r="H1561" s="520"/>
      <c r="I1561" s="520"/>
      <c r="J1561" s="520"/>
      <c r="K1561" s="1122"/>
      <c r="L1561" s="520"/>
      <c r="M1561" s="520"/>
      <c r="N1561" s="520"/>
      <c r="O1561" s="520"/>
      <c r="P1561" s="1122"/>
      <c r="Q1561" s="520"/>
      <c r="R1561" s="520"/>
      <c r="S1561" s="520"/>
      <c r="T1561" s="520"/>
      <c r="U1561" s="1122"/>
      <c r="V1561" s="520"/>
      <c r="W1561" s="520"/>
      <c r="X1561" s="520"/>
      <c r="Y1561" s="520"/>
      <c r="Z1561" s="1122"/>
      <c r="AA1561" s="520"/>
      <c r="AB1561" s="520"/>
      <c r="AC1561" s="520"/>
      <c r="AD1561" s="520"/>
      <c r="AE1561" s="1122"/>
      <c r="AF1561" s="520"/>
      <c r="AG1561" s="520"/>
      <c r="AH1561" s="520"/>
      <c r="AI1561" s="520"/>
      <c r="AJ1561" s="1122"/>
      <c r="AK1561" s="520"/>
      <c r="AL1561" s="520"/>
      <c r="AM1561" s="520"/>
      <c r="AN1561" s="520"/>
      <c r="AO1561" s="1122"/>
      <c r="AP1561" s="520"/>
      <c r="AQ1561" s="520"/>
      <c r="AR1561" s="520"/>
      <c r="AS1561" s="520"/>
      <c r="AT1561" s="1123">
        <v>415.27</v>
      </c>
      <c r="AU1561" s="520"/>
      <c r="AV1561" s="520"/>
      <c r="AW1561" s="520"/>
      <c r="AX1561" s="520"/>
      <c r="AY1561" s="1123">
        <v>415.27</v>
      </c>
      <c r="AZ1561" s="520"/>
      <c r="BA1561" s="520"/>
      <c r="BB1561" s="520"/>
      <c r="BC1561" s="520"/>
      <c r="BD1561" s="1123">
        <v>415.27</v>
      </c>
      <c r="BE1561" s="520"/>
      <c r="BF1561" s="520"/>
      <c r="BG1561" s="520"/>
      <c r="BH1561" s="520"/>
      <c r="BI1561" s="1123">
        <v>415.27</v>
      </c>
      <c r="BJ1561" s="520"/>
      <c r="BK1561" s="520"/>
      <c r="BL1561" s="520"/>
      <c r="BM1561" s="520"/>
      <c r="BN1561" s="1124"/>
      <c r="BO1561" s="520"/>
      <c r="BP1561" s="520"/>
      <c r="BQ1561" s="520"/>
      <c r="BR1561" s="520"/>
      <c r="BS1561" s="1124"/>
      <c r="BT1561" s="728"/>
      <c r="BU1561" s="520"/>
      <c r="BV1561" s="520"/>
      <c r="BW1561" s="520"/>
      <c r="BX1561" s="1122"/>
      <c r="BY1561" s="520"/>
      <c r="BZ1561" s="520"/>
      <c r="CA1561" s="520"/>
      <c r="CB1561" s="520"/>
      <c r="CC1561" s="1122"/>
      <c r="CD1561" s="1122"/>
      <c r="CE1561" s="1122"/>
      <c r="CF1561" s="1122"/>
      <c r="CG1561" s="519"/>
    </row>
    <row r="1562" spans="1:85" s="614" customFormat="1" x14ac:dyDescent="0.3">
      <c r="A1562" s="522"/>
      <c r="B1562" s="352"/>
      <c r="C1562" s="1094"/>
      <c r="D1562" s="1094"/>
      <c r="E1562" s="1094"/>
      <c r="F1562" s="1094"/>
      <c r="G1562" s="197"/>
      <c r="H1562" s="197"/>
      <c r="I1562" s="197"/>
      <c r="J1562" s="197"/>
      <c r="K1562" s="1094"/>
      <c r="L1562" s="197"/>
      <c r="M1562" s="197"/>
      <c r="N1562" s="197"/>
      <c r="O1562" s="197"/>
      <c r="P1562" s="1094"/>
      <c r="Q1562" s="197"/>
      <c r="R1562" s="197"/>
      <c r="S1562" s="197"/>
      <c r="T1562" s="197"/>
      <c r="U1562" s="1094"/>
      <c r="V1562" s="197"/>
      <c r="W1562" s="197"/>
      <c r="X1562" s="197"/>
      <c r="Y1562" s="197"/>
      <c r="Z1562" s="1094"/>
      <c r="AA1562" s="197"/>
      <c r="AB1562" s="197"/>
      <c r="AC1562" s="197"/>
      <c r="AD1562" s="197"/>
      <c r="AE1562" s="1094"/>
      <c r="AF1562" s="197"/>
      <c r="AG1562" s="197"/>
      <c r="AH1562" s="197"/>
      <c r="AI1562" s="197"/>
      <c r="AJ1562" s="1094"/>
      <c r="AK1562" s="197"/>
      <c r="AL1562" s="197"/>
      <c r="AM1562" s="197"/>
      <c r="AN1562" s="197"/>
      <c r="AO1562" s="1094"/>
      <c r="AP1562" s="197"/>
      <c r="AQ1562" s="197"/>
      <c r="AR1562" s="197"/>
      <c r="AS1562" s="197"/>
      <c r="AT1562" s="198"/>
      <c r="AU1562" s="197"/>
      <c r="AV1562" s="197"/>
      <c r="AW1562" s="197"/>
      <c r="AX1562" s="197"/>
      <c r="AY1562" s="198"/>
      <c r="AZ1562" s="197"/>
      <c r="BA1562" s="197"/>
      <c r="BB1562" s="197"/>
      <c r="BC1562" s="197"/>
      <c r="BD1562" s="198"/>
      <c r="BE1562" s="197"/>
      <c r="BF1562" s="197"/>
      <c r="BG1562" s="197"/>
      <c r="BH1562" s="197"/>
      <c r="BI1562" s="198"/>
      <c r="BJ1562" s="197"/>
      <c r="BK1562" s="197"/>
      <c r="BL1562" s="197"/>
      <c r="BM1562" s="197"/>
      <c r="BN1562" s="198"/>
      <c r="BO1562" s="197"/>
      <c r="BP1562" s="197"/>
      <c r="BQ1562" s="197"/>
      <c r="BR1562" s="197"/>
      <c r="BS1562" s="198"/>
      <c r="BT1562" s="727"/>
      <c r="BU1562" s="197"/>
      <c r="BV1562" s="197"/>
      <c r="BW1562" s="197"/>
      <c r="BX1562" s="1094"/>
      <c r="BY1562" s="197"/>
      <c r="BZ1562" s="197"/>
      <c r="CA1562" s="197"/>
      <c r="CB1562" s="197"/>
      <c r="CC1562" s="1094"/>
      <c r="CD1562" s="1094"/>
      <c r="CE1562" s="1094"/>
      <c r="CF1562" s="1094"/>
      <c r="CG1562" s="349"/>
    </row>
    <row r="1563" spans="1:85" s="613" customFormat="1" x14ac:dyDescent="0.3">
      <c r="A1563" s="478" t="s">
        <v>1106</v>
      </c>
      <c r="B1563" s="523"/>
      <c r="C1563" s="78"/>
      <c r="D1563" s="78"/>
      <c r="E1563" s="78"/>
      <c r="F1563" s="78"/>
      <c r="G1563" s="774"/>
      <c r="H1563" s="774"/>
      <c r="I1563" s="774"/>
      <c r="J1563" s="774"/>
      <c r="K1563" s="78"/>
      <c r="L1563" s="774"/>
      <c r="M1563" s="774"/>
      <c r="N1563" s="774"/>
      <c r="O1563" s="774"/>
      <c r="P1563" s="78"/>
      <c r="Q1563" s="774"/>
      <c r="R1563" s="774"/>
      <c r="S1563" s="774"/>
      <c r="T1563" s="774"/>
      <c r="U1563" s="78"/>
      <c r="V1563" s="774"/>
      <c r="W1563" s="774"/>
      <c r="X1563" s="774"/>
      <c r="Y1563" s="774"/>
      <c r="Z1563" s="78"/>
      <c r="AA1563" s="774"/>
      <c r="AB1563" s="774"/>
      <c r="AC1563" s="774"/>
      <c r="AD1563" s="774"/>
      <c r="AE1563" s="78"/>
      <c r="AF1563" s="774"/>
      <c r="AG1563" s="774"/>
      <c r="AH1563" s="774"/>
      <c r="AI1563" s="774"/>
      <c r="AJ1563" s="78"/>
      <c r="AK1563" s="774"/>
      <c r="AL1563" s="774"/>
      <c r="AM1563" s="774"/>
      <c r="AN1563" s="774"/>
      <c r="AO1563" s="78"/>
      <c r="AP1563" s="774"/>
      <c r="AQ1563" s="774"/>
      <c r="AR1563" s="774"/>
      <c r="AS1563" s="774"/>
      <c r="AT1563" s="1119">
        <v>0.22</v>
      </c>
      <c r="AU1563" s="774"/>
      <c r="AV1563" s="774"/>
      <c r="AW1563" s="774"/>
      <c r="AX1563" s="774"/>
      <c r="AY1563" s="1119">
        <v>0.22</v>
      </c>
      <c r="AZ1563" s="774"/>
      <c r="BA1563" s="774"/>
      <c r="BB1563" s="774"/>
      <c r="BC1563" s="774"/>
      <c r="BD1563" s="1119">
        <v>0.22</v>
      </c>
      <c r="BE1563" s="774"/>
      <c r="BF1563" s="774"/>
      <c r="BG1563" s="774"/>
      <c r="BH1563" s="774"/>
      <c r="BI1563" s="1119">
        <v>0.22</v>
      </c>
      <c r="BJ1563" s="774"/>
      <c r="BK1563" s="774"/>
      <c r="BL1563" s="774"/>
      <c r="BM1563" s="774"/>
      <c r="BN1563" s="78"/>
      <c r="BO1563" s="774"/>
      <c r="BP1563" s="774"/>
      <c r="BQ1563" s="774"/>
      <c r="BR1563" s="774"/>
      <c r="BS1563" s="78"/>
      <c r="BT1563" s="775"/>
      <c r="BU1563" s="774"/>
      <c r="BV1563" s="774"/>
      <c r="BW1563" s="774"/>
      <c r="BX1563" s="78"/>
      <c r="BY1563" s="774"/>
      <c r="BZ1563" s="774"/>
      <c r="CA1563" s="774"/>
      <c r="CB1563" s="774"/>
      <c r="CC1563" s="78"/>
      <c r="CD1563" s="78"/>
      <c r="CE1563" s="78"/>
      <c r="CF1563" s="78"/>
      <c r="CG1563" s="532"/>
    </row>
    <row r="1564" spans="1:85" s="615" customFormat="1" x14ac:dyDescent="0.3">
      <c r="A1564" s="522" t="s">
        <v>1105</v>
      </c>
      <c r="B1564" s="521"/>
      <c r="C1564" s="1122"/>
      <c r="D1564" s="1122"/>
      <c r="E1564" s="1122"/>
      <c r="F1564" s="1122"/>
      <c r="G1564" s="520"/>
      <c r="H1564" s="520"/>
      <c r="I1564" s="520"/>
      <c r="J1564" s="520"/>
      <c r="K1564" s="1122"/>
      <c r="L1564" s="520"/>
      <c r="M1564" s="520"/>
      <c r="N1564" s="520"/>
      <c r="O1564" s="520"/>
      <c r="P1564" s="1122"/>
      <c r="Q1564" s="520"/>
      <c r="R1564" s="520"/>
      <c r="S1564" s="520"/>
      <c r="T1564" s="520"/>
      <c r="U1564" s="1122"/>
      <c r="V1564" s="520"/>
      <c r="W1564" s="520"/>
      <c r="X1564" s="520"/>
      <c r="Y1564" s="520"/>
      <c r="Z1564" s="1122"/>
      <c r="AA1564" s="520"/>
      <c r="AB1564" s="520"/>
      <c r="AC1564" s="520"/>
      <c r="AD1564" s="520"/>
      <c r="AE1564" s="1122"/>
      <c r="AF1564" s="520"/>
      <c r="AG1564" s="520"/>
      <c r="AH1564" s="520"/>
      <c r="AI1564" s="520"/>
      <c r="AJ1564" s="1122"/>
      <c r="AK1564" s="520"/>
      <c r="AL1564" s="520"/>
      <c r="AM1564" s="520"/>
      <c r="AN1564" s="520"/>
      <c r="AO1564" s="1122"/>
      <c r="AP1564" s="520"/>
      <c r="AQ1564" s="520"/>
      <c r="AR1564" s="520"/>
      <c r="AS1564" s="520"/>
      <c r="AT1564" s="1123">
        <v>425.92</v>
      </c>
      <c r="AU1564" s="520"/>
      <c r="AV1564" s="520"/>
      <c r="AW1564" s="520"/>
      <c r="AX1564" s="520"/>
      <c r="AY1564" s="1123">
        <v>425.92</v>
      </c>
      <c r="AZ1564" s="520"/>
      <c r="BA1564" s="520"/>
      <c r="BB1564" s="520"/>
      <c r="BC1564" s="520"/>
      <c r="BD1564" s="1123">
        <v>425.92</v>
      </c>
      <c r="BE1564" s="520"/>
      <c r="BF1564" s="520"/>
      <c r="BG1564" s="520"/>
      <c r="BH1564" s="520"/>
      <c r="BI1564" s="1123">
        <v>425.92</v>
      </c>
      <c r="BJ1564" s="520"/>
      <c r="BK1564" s="520"/>
      <c r="BL1564" s="520"/>
      <c r="BM1564" s="520"/>
      <c r="BN1564" s="1124"/>
      <c r="BO1564" s="520"/>
      <c r="BP1564" s="520"/>
      <c r="BQ1564" s="520"/>
      <c r="BR1564" s="520"/>
      <c r="BS1564" s="1124"/>
      <c r="BT1564" s="728"/>
      <c r="BU1564" s="520"/>
      <c r="BV1564" s="520"/>
      <c r="BW1564" s="520"/>
      <c r="BX1564" s="1122"/>
      <c r="BY1564" s="520"/>
      <c r="BZ1564" s="520"/>
      <c r="CA1564" s="520"/>
      <c r="CB1564" s="520"/>
      <c r="CC1564" s="1122"/>
      <c r="CD1564" s="1122"/>
      <c r="CE1564" s="1122"/>
      <c r="CF1564" s="1122"/>
      <c r="CG1564" s="519"/>
    </row>
    <row r="1565" spans="1:85" s="614" customFormat="1" x14ac:dyDescent="0.3">
      <c r="A1565" s="522"/>
      <c r="B1565" s="352"/>
      <c r="C1565" s="1094"/>
      <c r="D1565" s="1094"/>
      <c r="E1565" s="1094"/>
      <c r="F1565" s="1094"/>
      <c r="G1565" s="197"/>
      <c r="H1565" s="197"/>
      <c r="I1565" s="197"/>
      <c r="J1565" s="197"/>
      <c r="K1565" s="1094"/>
      <c r="L1565" s="197"/>
      <c r="M1565" s="197"/>
      <c r="N1565" s="197"/>
      <c r="O1565" s="197"/>
      <c r="P1565" s="1094"/>
      <c r="Q1565" s="197"/>
      <c r="R1565" s="197"/>
      <c r="S1565" s="197"/>
      <c r="T1565" s="197"/>
      <c r="U1565" s="1094"/>
      <c r="V1565" s="197"/>
      <c r="W1565" s="197"/>
      <c r="X1565" s="197"/>
      <c r="Y1565" s="197"/>
      <c r="Z1565" s="1094"/>
      <c r="AA1565" s="197"/>
      <c r="AB1565" s="197"/>
      <c r="AC1565" s="197"/>
      <c r="AD1565" s="197"/>
      <c r="AE1565" s="1094"/>
      <c r="AF1565" s="197"/>
      <c r="AG1565" s="197"/>
      <c r="AH1565" s="197"/>
      <c r="AI1565" s="197"/>
      <c r="AJ1565" s="1094"/>
      <c r="AK1565" s="197"/>
      <c r="AL1565" s="197"/>
      <c r="AM1565" s="197"/>
      <c r="AN1565" s="197"/>
      <c r="AO1565" s="1094"/>
      <c r="AP1565" s="197"/>
      <c r="AQ1565" s="197"/>
      <c r="AR1565" s="197"/>
      <c r="AS1565" s="197"/>
      <c r="AT1565" s="198"/>
      <c r="AU1565" s="197"/>
      <c r="AV1565" s="197"/>
      <c r="AW1565" s="197"/>
      <c r="AX1565" s="197"/>
      <c r="AY1565" s="198"/>
      <c r="AZ1565" s="197"/>
      <c r="BA1565" s="197"/>
      <c r="BB1565" s="197"/>
      <c r="BC1565" s="197"/>
      <c r="BD1565" s="198"/>
      <c r="BE1565" s="197"/>
      <c r="BF1565" s="197"/>
      <c r="BG1565" s="197"/>
      <c r="BH1565" s="197"/>
      <c r="BI1565" s="198"/>
      <c r="BJ1565" s="197"/>
      <c r="BK1565" s="197"/>
      <c r="BL1565" s="197"/>
      <c r="BM1565" s="197"/>
      <c r="BN1565" s="198"/>
      <c r="BO1565" s="197"/>
      <c r="BP1565" s="197"/>
      <c r="BQ1565" s="197"/>
      <c r="BR1565" s="197"/>
      <c r="BS1565" s="198"/>
      <c r="BT1565" s="727"/>
      <c r="BU1565" s="197"/>
      <c r="BV1565" s="197"/>
      <c r="BW1565" s="197"/>
      <c r="BX1565" s="1094"/>
      <c r="BY1565" s="197"/>
      <c r="BZ1565" s="197"/>
      <c r="CA1565" s="197"/>
      <c r="CB1565" s="197"/>
      <c r="CC1565" s="1094"/>
      <c r="CD1565" s="1094"/>
      <c r="CE1565" s="1094"/>
      <c r="CF1565" s="1094"/>
      <c r="CG1565" s="349"/>
    </row>
    <row r="1566" spans="1:85" s="613" customFormat="1" x14ac:dyDescent="0.3">
      <c r="A1566" s="478" t="s">
        <v>1104</v>
      </c>
      <c r="B1566" s="523"/>
      <c r="C1566" s="78"/>
      <c r="D1566" s="78"/>
      <c r="E1566" s="78"/>
      <c r="F1566" s="78"/>
      <c r="G1566" s="774"/>
      <c r="H1566" s="774"/>
      <c r="I1566" s="774"/>
      <c r="J1566" s="774"/>
      <c r="K1566" s="78"/>
      <c r="L1566" s="774"/>
      <c r="M1566" s="774"/>
      <c r="N1566" s="774"/>
      <c r="O1566" s="774"/>
      <c r="P1566" s="78"/>
      <c r="Q1566" s="774"/>
      <c r="R1566" s="774"/>
      <c r="S1566" s="774"/>
      <c r="T1566" s="774"/>
      <c r="U1566" s="78"/>
      <c r="V1566" s="774"/>
      <c r="W1566" s="774"/>
      <c r="X1566" s="774"/>
      <c r="Y1566" s="774"/>
      <c r="Z1566" s="78"/>
      <c r="AA1566" s="774"/>
      <c r="AB1566" s="774"/>
      <c r="AC1566" s="774"/>
      <c r="AD1566" s="774"/>
      <c r="AE1566" s="78"/>
      <c r="AF1566" s="774"/>
      <c r="AG1566" s="774"/>
      <c r="AH1566" s="774"/>
      <c r="AI1566" s="774"/>
      <c r="AJ1566" s="78"/>
      <c r="AK1566" s="774"/>
      <c r="AL1566" s="774"/>
      <c r="AM1566" s="774"/>
      <c r="AN1566" s="774"/>
      <c r="AO1566" s="78"/>
      <c r="AP1566" s="774"/>
      <c r="AQ1566" s="774"/>
      <c r="AR1566" s="774"/>
      <c r="AS1566" s="774"/>
      <c r="AT1566" s="1119">
        <v>0.193</v>
      </c>
      <c r="AU1566" s="774"/>
      <c r="AV1566" s="774"/>
      <c r="AW1566" s="774"/>
      <c r="AX1566" s="774"/>
      <c r="AY1566" s="1119">
        <v>0.193</v>
      </c>
      <c r="AZ1566" s="774"/>
      <c r="BA1566" s="774"/>
      <c r="BB1566" s="774"/>
      <c r="BC1566" s="774"/>
      <c r="BD1566" s="1119">
        <v>0.193</v>
      </c>
      <c r="BE1566" s="774"/>
      <c r="BF1566" s="774"/>
      <c r="BG1566" s="774"/>
      <c r="BH1566" s="774"/>
      <c r="BI1566" s="1119">
        <v>0.193</v>
      </c>
      <c r="BJ1566" s="774"/>
      <c r="BK1566" s="774"/>
      <c r="BL1566" s="774"/>
      <c r="BM1566" s="774"/>
      <c r="BN1566" s="78"/>
      <c r="BO1566" s="774"/>
      <c r="BP1566" s="774"/>
      <c r="BQ1566" s="774"/>
      <c r="BR1566" s="774"/>
      <c r="BS1566" s="78"/>
      <c r="BT1566" s="775"/>
      <c r="BU1566" s="774"/>
      <c r="BV1566" s="774"/>
      <c r="BW1566" s="774"/>
      <c r="BX1566" s="78"/>
      <c r="BY1566" s="774"/>
      <c r="BZ1566" s="774"/>
      <c r="CA1566" s="774"/>
      <c r="CB1566" s="774"/>
      <c r="CC1566" s="78"/>
      <c r="CD1566" s="78"/>
      <c r="CE1566" s="78"/>
      <c r="CF1566" s="78"/>
      <c r="CG1566" s="532"/>
    </row>
    <row r="1567" spans="1:85" s="615" customFormat="1" x14ac:dyDescent="0.3">
      <c r="A1567" s="522" t="s">
        <v>1103</v>
      </c>
      <c r="B1567" s="521"/>
      <c r="C1567" s="1122"/>
      <c r="D1567" s="1122"/>
      <c r="E1567" s="1122"/>
      <c r="F1567" s="1122"/>
      <c r="G1567" s="520"/>
      <c r="H1567" s="520"/>
      <c r="I1567" s="520"/>
      <c r="J1567" s="520"/>
      <c r="K1567" s="1122"/>
      <c r="L1567" s="520"/>
      <c r="M1567" s="520"/>
      <c r="N1567" s="520"/>
      <c r="O1567" s="520"/>
      <c r="P1567" s="1122"/>
      <c r="Q1567" s="520"/>
      <c r="R1567" s="520"/>
      <c r="S1567" s="520"/>
      <c r="T1567" s="520"/>
      <c r="U1567" s="1122"/>
      <c r="V1567" s="520"/>
      <c r="W1567" s="520"/>
      <c r="X1567" s="520"/>
      <c r="Y1567" s="520"/>
      <c r="Z1567" s="1122"/>
      <c r="AA1567" s="520"/>
      <c r="AB1567" s="520"/>
      <c r="AC1567" s="520"/>
      <c r="AD1567" s="520"/>
      <c r="AE1567" s="1122"/>
      <c r="AF1567" s="520"/>
      <c r="AG1567" s="520"/>
      <c r="AH1567" s="520"/>
      <c r="AI1567" s="520"/>
      <c r="AJ1567" s="1122"/>
      <c r="AK1567" s="520"/>
      <c r="AL1567" s="520"/>
      <c r="AM1567" s="520"/>
      <c r="AN1567" s="520"/>
      <c r="AO1567" s="1122"/>
      <c r="AP1567" s="520"/>
      <c r="AQ1567" s="520"/>
      <c r="AR1567" s="520"/>
      <c r="AS1567" s="520"/>
      <c r="AT1567" s="1123">
        <v>485.64</v>
      </c>
      <c r="AU1567" s="520"/>
      <c r="AV1567" s="520"/>
      <c r="AW1567" s="520"/>
      <c r="AX1567" s="520"/>
      <c r="AY1567" s="1123">
        <v>485.64</v>
      </c>
      <c r="AZ1567" s="520"/>
      <c r="BA1567" s="520"/>
      <c r="BB1567" s="520"/>
      <c r="BC1567" s="520"/>
      <c r="BD1567" s="1123">
        <v>485.64</v>
      </c>
      <c r="BE1567" s="520"/>
      <c r="BF1567" s="520"/>
      <c r="BG1567" s="520"/>
      <c r="BH1567" s="520"/>
      <c r="BI1567" s="1123">
        <v>485.64</v>
      </c>
      <c r="BJ1567" s="520"/>
      <c r="BK1567" s="520"/>
      <c r="BL1567" s="520"/>
      <c r="BM1567" s="520"/>
      <c r="BN1567" s="1124"/>
      <c r="BO1567" s="520"/>
      <c r="BP1567" s="520"/>
      <c r="BQ1567" s="520"/>
      <c r="BR1567" s="520"/>
      <c r="BS1567" s="1124"/>
      <c r="BT1567" s="728"/>
      <c r="BU1567" s="520"/>
      <c r="BV1567" s="520"/>
      <c r="BW1567" s="520"/>
      <c r="BX1567" s="1122"/>
      <c r="BY1567" s="520"/>
      <c r="BZ1567" s="520"/>
      <c r="CA1567" s="520"/>
      <c r="CB1567" s="520"/>
      <c r="CC1567" s="1122"/>
      <c r="CD1567" s="1122"/>
      <c r="CE1567" s="1122"/>
      <c r="CF1567" s="1122"/>
      <c r="CG1567" s="519"/>
    </row>
    <row r="1568" spans="1:85" s="614" customFormat="1" x14ac:dyDescent="0.3">
      <c r="A1568" s="522"/>
      <c r="B1568" s="352"/>
      <c r="C1568" s="1094"/>
      <c r="D1568" s="1094"/>
      <c r="E1568" s="1094"/>
      <c r="F1568" s="1094"/>
      <c r="G1568" s="197"/>
      <c r="H1568" s="197"/>
      <c r="I1568" s="197"/>
      <c r="J1568" s="197"/>
      <c r="K1568" s="1094"/>
      <c r="L1568" s="197"/>
      <c r="M1568" s="197"/>
      <c r="N1568" s="197"/>
      <c r="O1568" s="197"/>
      <c r="P1568" s="1094"/>
      <c r="Q1568" s="197"/>
      <c r="R1568" s="197"/>
      <c r="S1568" s="197"/>
      <c r="T1568" s="197"/>
      <c r="U1568" s="1094"/>
      <c r="V1568" s="197"/>
      <c r="W1568" s="197"/>
      <c r="X1568" s="197"/>
      <c r="Y1568" s="197"/>
      <c r="Z1568" s="1094"/>
      <c r="AA1568" s="197"/>
      <c r="AB1568" s="197"/>
      <c r="AC1568" s="197"/>
      <c r="AD1568" s="197"/>
      <c r="AE1568" s="1094"/>
      <c r="AF1568" s="197"/>
      <c r="AG1568" s="197"/>
      <c r="AH1568" s="197"/>
      <c r="AI1568" s="197"/>
      <c r="AJ1568" s="1094"/>
      <c r="AK1568" s="197"/>
      <c r="AL1568" s="197"/>
      <c r="AM1568" s="197"/>
      <c r="AN1568" s="197"/>
      <c r="AO1568" s="1094"/>
      <c r="AP1568" s="197"/>
      <c r="AQ1568" s="197"/>
      <c r="AR1568" s="197"/>
      <c r="AS1568" s="197"/>
      <c r="AT1568" s="198"/>
      <c r="AU1568" s="197"/>
      <c r="AV1568" s="197"/>
      <c r="AW1568" s="197"/>
      <c r="AX1568" s="197"/>
      <c r="AY1568" s="198"/>
      <c r="AZ1568" s="197"/>
      <c r="BA1568" s="197"/>
      <c r="BB1568" s="197"/>
      <c r="BC1568" s="197"/>
      <c r="BD1568" s="198"/>
      <c r="BE1568" s="197"/>
      <c r="BF1568" s="197"/>
      <c r="BG1568" s="197"/>
      <c r="BH1568" s="197"/>
      <c r="BI1568" s="198"/>
      <c r="BJ1568" s="197"/>
      <c r="BK1568" s="197"/>
      <c r="BL1568" s="197"/>
      <c r="BM1568" s="197"/>
      <c r="BN1568" s="198"/>
      <c r="BO1568" s="197"/>
      <c r="BP1568" s="197"/>
      <c r="BQ1568" s="197"/>
      <c r="BR1568" s="197"/>
      <c r="BS1568" s="198"/>
      <c r="BT1568" s="727"/>
      <c r="BU1568" s="197"/>
      <c r="BV1568" s="197"/>
      <c r="BW1568" s="197"/>
      <c r="BX1568" s="1094"/>
      <c r="BY1568" s="197"/>
      <c r="BZ1568" s="197"/>
      <c r="CA1568" s="197"/>
      <c r="CB1568" s="197"/>
      <c r="CC1568" s="1094"/>
      <c r="CD1568" s="1094"/>
      <c r="CE1568" s="1094"/>
      <c r="CF1568" s="1094"/>
      <c r="CG1568" s="349"/>
    </row>
    <row r="1569" spans="1:85" s="613" customFormat="1" x14ac:dyDescent="0.3">
      <c r="A1569" s="478" t="s">
        <v>1102</v>
      </c>
      <c r="B1569" s="523"/>
      <c r="C1569" s="78"/>
      <c r="D1569" s="78"/>
      <c r="E1569" s="78"/>
      <c r="F1569" s="78"/>
      <c r="G1569" s="774"/>
      <c r="H1569" s="774"/>
      <c r="I1569" s="774"/>
      <c r="J1569" s="774"/>
      <c r="K1569" s="78"/>
      <c r="L1569" s="774"/>
      <c r="M1569" s="774"/>
      <c r="N1569" s="774"/>
      <c r="O1569" s="774"/>
      <c r="P1569" s="78"/>
      <c r="Q1569" s="774"/>
      <c r="R1569" s="774"/>
      <c r="S1569" s="774"/>
      <c r="T1569" s="774"/>
      <c r="U1569" s="78"/>
      <c r="V1569" s="774"/>
      <c r="W1569" s="774"/>
      <c r="X1569" s="774"/>
      <c r="Y1569" s="774"/>
      <c r="Z1569" s="78"/>
      <c r="AA1569" s="774"/>
      <c r="AB1569" s="774"/>
      <c r="AC1569" s="774"/>
      <c r="AD1569" s="774"/>
      <c r="AE1569" s="78"/>
      <c r="AF1569" s="774"/>
      <c r="AG1569" s="774"/>
      <c r="AH1569" s="774"/>
      <c r="AI1569" s="774"/>
      <c r="AJ1569" s="78"/>
      <c r="AK1569" s="774"/>
      <c r="AL1569" s="774"/>
      <c r="AM1569" s="774"/>
      <c r="AN1569" s="774"/>
      <c r="AO1569" s="78"/>
      <c r="AP1569" s="774"/>
      <c r="AQ1569" s="774"/>
      <c r="AR1569" s="774"/>
      <c r="AS1569" s="774"/>
      <c r="AT1569" s="1119">
        <v>0.188</v>
      </c>
      <c r="AU1569" s="774"/>
      <c r="AV1569" s="774"/>
      <c r="AW1569" s="774"/>
      <c r="AX1569" s="774"/>
      <c r="AY1569" s="1119">
        <v>0.188</v>
      </c>
      <c r="AZ1569" s="774"/>
      <c r="BA1569" s="774"/>
      <c r="BB1569" s="774"/>
      <c r="BC1569" s="774"/>
      <c r="BD1569" s="1119">
        <v>0.188</v>
      </c>
      <c r="BE1569" s="774"/>
      <c r="BF1569" s="774"/>
      <c r="BG1569" s="774"/>
      <c r="BH1569" s="774"/>
      <c r="BI1569" s="1119">
        <v>0.188</v>
      </c>
      <c r="BJ1569" s="774"/>
      <c r="BK1569" s="774"/>
      <c r="BL1569" s="774"/>
      <c r="BM1569" s="774"/>
      <c r="BN1569" s="78"/>
      <c r="BO1569" s="774"/>
      <c r="BP1569" s="774"/>
      <c r="BQ1569" s="774"/>
      <c r="BR1569" s="774"/>
      <c r="BS1569" s="78"/>
      <c r="BT1569" s="775"/>
      <c r="BU1569" s="774"/>
      <c r="BV1569" s="774"/>
      <c r="BW1569" s="774"/>
      <c r="BX1569" s="78"/>
      <c r="BY1569" s="774"/>
      <c r="BZ1569" s="774"/>
      <c r="CA1569" s="774"/>
      <c r="CB1569" s="774"/>
      <c r="CC1569" s="78"/>
      <c r="CD1569" s="78"/>
      <c r="CE1569" s="78"/>
      <c r="CF1569" s="78"/>
      <c r="CG1569" s="532"/>
    </row>
    <row r="1570" spans="1:85" s="615" customFormat="1" x14ac:dyDescent="0.3">
      <c r="A1570" s="522" t="s">
        <v>1101</v>
      </c>
      <c r="B1570" s="521"/>
      <c r="C1570" s="1122"/>
      <c r="D1570" s="1122"/>
      <c r="E1570" s="1122"/>
      <c r="F1570" s="1122"/>
      <c r="G1570" s="520"/>
      <c r="H1570" s="520"/>
      <c r="I1570" s="520"/>
      <c r="J1570" s="520"/>
      <c r="K1570" s="1122"/>
      <c r="L1570" s="520"/>
      <c r="M1570" s="520"/>
      <c r="N1570" s="520"/>
      <c r="O1570" s="520"/>
      <c r="P1570" s="1122"/>
      <c r="Q1570" s="520"/>
      <c r="R1570" s="520"/>
      <c r="S1570" s="520"/>
      <c r="T1570" s="520"/>
      <c r="U1570" s="1122"/>
      <c r="V1570" s="520"/>
      <c r="W1570" s="520"/>
      <c r="X1570" s="520"/>
      <c r="Y1570" s="520"/>
      <c r="Z1570" s="1122"/>
      <c r="AA1570" s="520"/>
      <c r="AB1570" s="520"/>
      <c r="AC1570" s="520"/>
      <c r="AD1570" s="520"/>
      <c r="AE1570" s="1122"/>
      <c r="AF1570" s="520"/>
      <c r="AG1570" s="520"/>
      <c r="AH1570" s="520"/>
      <c r="AI1570" s="520"/>
      <c r="AJ1570" s="1122"/>
      <c r="AK1570" s="520"/>
      <c r="AL1570" s="520"/>
      <c r="AM1570" s="520"/>
      <c r="AN1570" s="520"/>
      <c r="AO1570" s="1122"/>
      <c r="AP1570" s="520"/>
      <c r="AQ1570" s="520"/>
      <c r="AR1570" s="520"/>
      <c r="AS1570" s="520"/>
      <c r="AT1570" s="1123">
        <v>498.62</v>
      </c>
      <c r="AU1570" s="520"/>
      <c r="AV1570" s="520"/>
      <c r="AW1570" s="520"/>
      <c r="AX1570" s="520"/>
      <c r="AY1570" s="1123">
        <v>498.62</v>
      </c>
      <c r="AZ1570" s="520"/>
      <c r="BA1570" s="520"/>
      <c r="BB1570" s="520"/>
      <c r="BC1570" s="520"/>
      <c r="BD1570" s="1123">
        <v>498.62</v>
      </c>
      <c r="BE1570" s="520"/>
      <c r="BF1570" s="520"/>
      <c r="BG1570" s="520"/>
      <c r="BH1570" s="520"/>
      <c r="BI1570" s="1123">
        <v>498.62</v>
      </c>
      <c r="BJ1570" s="520"/>
      <c r="BK1570" s="520"/>
      <c r="BL1570" s="520"/>
      <c r="BM1570" s="520"/>
      <c r="BN1570" s="1124"/>
      <c r="BO1570" s="520"/>
      <c r="BP1570" s="520"/>
      <c r="BQ1570" s="520"/>
      <c r="BR1570" s="520"/>
      <c r="BS1570" s="1124"/>
      <c r="BT1570" s="728"/>
      <c r="BU1570" s="520"/>
      <c r="BV1570" s="520"/>
      <c r="BW1570" s="520"/>
      <c r="BX1570" s="1122"/>
      <c r="BY1570" s="520"/>
      <c r="BZ1570" s="520"/>
      <c r="CA1570" s="520"/>
      <c r="CB1570" s="520"/>
      <c r="CC1570" s="1122"/>
      <c r="CD1570" s="1122"/>
      <c r="CE1570" s="1122"/>
      <c r="CF1570" s="1122"/>
      <c r="CG1570" s="519"/>
    </row>
    <row r="1571" spans="1:85" s="614" customFormat="1" x14ac:dyDescent="0.3">
      <c r="A1571" s="522"/>
      <c r="B1571" s="352"/>
      <c r="C1571" s="1094"/>
      <c r="D1571" s="1094"/>
      <c r="E1571" s="1094"/>
      <c r="F1571" s="1094"/>
      <c r="G1571" s="197"/>
      <c r="H1571" s="197"/>
      <c r="I1571" s="197"/>
      <c r="J1571" s="197"/>
      <c r="K1571" s="1094"/>
      <c r="L1571" s="197"/>
      <c r="M1571" s="197"/>
      <c r="N1571" s="197"/>
      <c r="O1571" s="197"/>
      <c r="P1571" s="1094"/>
      <c r="Q1571" s="197"/>
      <c r="R1571" s="197"/>
      <c r="S1571" s="197"/>
      <c r="T1571" s="197"/>
      <c r="U1571" s="1094"/>
      <c r="V1571" s="197"/>
      <c r="W1571" s="197"/>
      <c r="X1571" s="197"/>
      <c r="Y1571" s="197"/>
      <c r="Z1571" s="1094"/>
      <c r="AA1571" s="197"/>
      <c r="AB1571" s="197"/>
      <c r="AC1571" s="197"/>
      <c r="AD1571" s="197"/>
      <c r="AE1571" s="1094"/>
      <c r="AF1571" s="197"/>
      <c r="AG1571" s="197"/>
      <c r="AH1571" s="197"/>
      <c r="AI1571" s="197"/>
      <c r="AJ1571" s="1094"/>
      <c r="AK1571" s="197"/>
      <c r="AL1571" s="197"/>
      <c r="AM1571" s="197"/>
      <c r="AN1571" s="197"/>
      <c r="AO1571" s="1094"/>
      <c r="AP1571" s="197"/>
      <c r="AQ1571" s="197"/>
      <c r="AR1571" s="197"/>
      <c r="AS1571" s="197"/>
      <c r="AT1571" s="198"/>
      <c r="AU1571" s="197"/>
      <c r="AV1571" s="197"/>
      <c r="AW1571" s="197"/>
      <c r="AX1571" s="197"/>
      <c r="AY1571" s="198"/>
      <c r="AZ1571" s="197"/>
      <c r="BA1571" s="197"/>
      <c r="BB1571" s="197"/>
      <c r="BC1571" s="197"/>
      <c r="BD1571" s="198"/>
      <c r="BE1571" s="197"/>
      <c r="BF1571" s="197"/>
      <c r="BG1571" s="197"/>
      <c r="BH1571" s="197"/>
      <c r="BI1571" s="198"/>
      <c r="BJ1571" s="197"/>
      <c r="BK1571" s="197"/>
      <c r="BL1571" s="197"/>
      <c r="BM1571" s="197"/>
      <c r="BN1571" s="198"/>
      <c r="BO1571" s="197"/>
      <c r="BP1571" s="197"/>
      <c r="BQ1571" s="197"/>
      <c r="BR1571" s="197"/>
      <c r="BS1571" s="198"/>
      <c r="BT1571" s="727"/>
      <c r="BU1571" s="197"/>
      <c r="BV1571" s="197"/>
      <c r="BW1571" s="197"/>
      <c r="BX1571" s="1094"/>
      <c r="BY1571" s="197"/>
      <c r="BZ1571" s="197"/>
      <c r="CA1571" s="197"/>
      <c r="CB1571" s="197"/>
      <c r="CC1571" s="1094"/>
      <c r="CD1571" s="1094"/>
      <c r="CE1571" s="1094"/>
      <c r="CF1571" s="1094"/>
      <c r="CG1571" s="349"/>
    </row>
    <row r="1572" spans="1:85" s="613" customFormat="1" x14ac:dyDescent="0.3">
      <c r="A1572" s="478" t="s">
        <v>1100</v>
      </c>
      <c r="B1572" s="523"/>
      <c r="C1572" s="78"/>
      <c r="D1572" s="78"/>
      <c r="E1572" s="78"/>
      <c r="F1572" s="78"/>
      <c r="G1572" s="774"/>
      <c r="H1572" s="774"/>
      <c r="I1572" s="774"/>
      <c r="J1572" s="774"/>
      <c r="K1572" s="78"/>
      <c r="L1572" s="774"/>
      <c r="M1572" s="774"/>
      <c r="N1572" s="774"/>
      <c r="O1572" s="774"/>
      <c r="P1572" s="78"/>
      <c r="Q1572" s="774"/>
      <c r="R1572" s="774"/>
      <c r="S1572" s="774"/>
      <c r="T1572" s="774"/>
      <c r="U1572" s="78"/>
      <c r="V1572" s="774"/>
      <c r="W1572" s="774"/>
      <c r="X1572" s="774"/>
      <c r="Y1572" s="774"/>
      <c r="Z1572" s="78"/>
      <c r="AA1572" s="774"/>
      <c r="AB1572" s="774"/>
      <c r="AC1572" s="774"/>
      <c r="AD1572" s="774"/>
      <c r="AE1572" s="78"/>
      <c r="AF1572" s="774"/>
      <c r="AG1572" s="774"/>
      <c r="AH1572" s="774"/>
      <c r="AI1572" s="774"/>
      <c r="AJ1572" s="78"/>
      <c r="AK1572" s="774"/>
      <c r="AL1572" s="774"/>
      <c r="AM1572" s="774"/>
      <c r="AN1572" s="774"/>
      <c r="AO1572" s="78"/>
      <c r="AP1572" s="774"/>
      <c r="AQ1572" s="774"/>
      <c r="AR1572" s="774"/>
      <c r="AS1572" s="774"/>
      <c r="AT1572" s="1119">
        <v>0.16900000000000001</v>
      </c>
      <c r="AU1572" s="774"/>
      <c r="AV1572" s="774"/>
      <c r="AW1572" s="774"/>
      <c r="AX1572" s="774"/>
      <c r="AY1572" s="1119">
        <v>0.16900000000000001</v>
      </c>
      <c r="AZ1572" s="774"/>
      <c r="BA1572" s="774"/>
      <c r="BB1572" s="774"/>
      <c r="BC1572" s="774"/>
      <c r="BD1572" s="1119">
        <v>0.16900000000000001</v>
      </c>
      <c r="BE1572" s="774"/>
      <c r="BF1572" s="774"/>
      <c r="BG1572" s="774"/>
      <c r="BH1572" s="774"/>
      <c r="BI1572" s="1119">
        <v>0.16900000000000001</v>
      </c>
      <c r="BJ1572" s="774"/>
      <c r="BK1572" s="774"/>
      <c r="BL1572" s="774"/>
      <c r="BM1572" s="774"/>
      <c r="BN1572" s="78"/>
      <c r="BO1572" s="774"/>
      <c r="BP1572" s="774"/>
      <c r="BQ1572" s="774"/>
      <c r="BR1572" s="774"/>
      <c r="BS1572" s="78"/>
      <c r="BT1572" s="775"/>
      <c r="BU1572" s="774"/>
      <c r="BV1572" s="774"/>
      <c r="BW1572" s="774"/>
      <c r="BX1572" s="78"/>
      <c r="BY1572" s="774"/>
      <c r="BZ1572" s="774"/>
      <c r="CA1572" s="774"/>
      <c r="CB1572" s="774"/>
      <c r="CC1572" s="78"/>
      <c r="CD1572" s="78"/>
      <c r="CE1572" s="78"/>
      <c r="CF1572" s="78"/>
      <c r="CG1572" s="532"/>
    </row>
    <row r="1573" spans="1:85" s="615" customFormat="1" x14ac:dyDescent="0.3">
      <c r="A1573" s="522" t="s">
        <v>1099</v>
      </c>
      <c r="B1573" s="521"/>
      <c r="C1573" s="1122"/>
      <c r="D1573" s="1122"/>
      <c r="E1573" s="1122"/>
      <c r="F1573" s="1122"/>
      <c r="G1573" s="520"/>
      <c r="H1573" s="520"/>
      <c r="I1573" s="520"/>
      <c r="J1573" s="520"/>
      <c r="K1573" s="1122"/>
      <c r="L1573" s="520"/>
      <c r="M1573" s="520"/>
      <c r="N1573" s="520"/>
      <c r="O1573" s="520"/>
      <c r="P1573" s="1122"/>
      <c r="Q1573" s="520"/>
      <c r="R1573" s="520"/>
      <c r="S1573" s="520"/>
      <c r="T1573" s="520"/>
      <c r="U1573" s="1122"/>
      <c r="V1573" s="520"/>
      <c r="W1573" s="520"/>
      <c r="X1573" s="520"/>
      <c r="Y1573" s="520"/>
      <c r="Z1573" s="1122"/>
      <c r="AA1573" s="520"/>
      <c r="AB1573" s="520"/>
      <c r="AC1573" s="520"/>
      <c r="AD1573" s="520"/>
      <c r="AE1573" s="1122"/>
      <c r="AF1573" s="520"/>
      <c r="AG1573" s="520"/>
      <c r="AH1573" s="520"/>
      <c r="AI1573" s="520"/>
      <c r="AJ1573" s="1122"/>
      <c r="AK1573" s="520"/>
      <c r="AL1573" s="520"/>
      <c r="AM1573" s="520"/>
      <c r="AN1573" s="520"/>
      <c r="AO1573" s="1122"/>
      <c r="AP1573" s="520"/>
      <c r="AQ1573" s="520"/>
      <c r="AR1573" s="520"/>
      <c r="AS1573" s="520"/>
      <c r="AT1573" s="1123">
        <v>556.54999999999995</v>
      </c>
      <c r="AU1573" s="520"/>
      <c r="AV1573" s="520"/>
      <c r="AW1573" s="520"/>
      <c r="AX1573" s="520"/>
      <c r="AY1573" s="1123">
        <v>556.54999999999995</v>
      </c>
      <c r="AZ1573" s="520"/>
      <c r="BA1573" s="520"/>
      <c r="BB1573" s="520"/>
      <c r="BC1573" s="520"/>
      <c r="BD1573" s="1123">
        <v>556.54999999999995</v>
      </c>
      <c r="BE1573" s="520"/>
      <c r="BF1573" s="520"/>
      <c r="BG1573" s="520"/>
      <c r="BH1573" s="520"/>
      <c r="BI1573" s="1123">
        <v>556.54999999999995</v>
      </c>
      <c r="BJ1573" s="520"/>
      <c r="BK1573" s="520"/>
      <c r="BL1573" s="520"/>
      <c r="BM1573" s="520"/>
      <c r="BN1573" s="1124"/>
      <c r="BO1573" s="520"/>
      <c r="BP1573" s="520"/>
      <c r="BQ1573" s="520"/>
      <c r="BR1573" s="520"/>
      <c r="BS1573" s="1124"/>
      <c r="BT1573" s="728"/>
      <c r="BU1573" s="520"/>
      <c r="BV1573" s="520"/>
      <c r="BW1573" s="520"/>
      <c r="BX1573" s="1122"/>
      <c r="BY1573" s="520"/>
      <c r="BZ1573" s="520"/>
      <c r="CA1573" s="520"/>
      <c r="CB1573" s="520"/>
      <c r="CC1573" s="1122"/>
      <c r="CD1573" s="1122"/>
      <c r="CE1573" s="1122"/>
      <c r="CF1573" s="1122"/>
      <c r="CG1573" s="519"/>
    </row>
    <row r="1574" spans="1:85" s="614" customFormat="1" x14ac:dyDescent="0.3">
      <c r="A1574" s="522"/>
      <c r="B1574" s="352"/>
      <c r="C1574" s="1094"/>
      <c r="D1574" s="1094"/>
      <c r="E1574" s="1094"/>
      <c r="F1574" s="1094"/>
      <c r="G1574" s="197"/>
      <c r="H1574" s="197"/>
      <c r="I1574" s="197"/>
      <c r="J1574" s="197"/>
      <c r="K1574" s="1094"/>
      <c r="L1574" s="197"/>
      <c r="M1574" s="197"/>
      <c r="N1574" s="197"/>
      <c r="O1574" s="197"/>
      <c r="P1574" s="1094"/>
      <c r="Q1574" s="197"/>
      <c r="R1574" s="197"/>
      <c r="S1574" s="197"/>
      <c r="T1574" s="197"/>
      <c r="U1574" s="1094"/>
      <c r="V1574" s="197"/>
      <c r="W1574" s="197"/>
      <c r="X1574" s="197"/>
      <c r="Y1574" s="197"/>
      <c r="Z1574" s="1094"/>
      <c r="AA1574" s="197"/>
      <c r="AB1574" s="197"/>
      <c r="AC1574" s="197"/>
      <c r="AD1574" s="197"/>
      <c r="AE1574" s="1094"/>
      <c r="AF1574" s="197"/>
      <c r="AG1574" s="197"/>
      <c r="AH1574" s="197"/>
      <c r="AI1574" s="197"/>
      <c r="AJ1574" s="1094"/>
      <c r="AK1574" s="197"/>
      <c r="AL1574" s="197"/>
      <c r="AM1574" s="197"/>
      <c r="AN1574" s="197"/>
      <c r="AO1574" s="1094"/>
      <c r="AP1574" s="197"/>
      <c r="AQ1574" s="197"/>
      <c r="AR1574" s="197"/>
      <c r="AS1574" s="197"/>
      <c r="AT1574" s="198"/>
      <c r="AU1574" s="197"/>
      <c r="AV1574" s="197"/>
      <c r="AW1574" s="197"/>
      <c r="AX1574" s="197"/>
      <c r="AY1574" s="198"/>
      <c r="AZ1574" s="197"/>
      <c r="BA1574" s="197"/>
      <c r="BB1574" s="197"/>
      <c r="BC1574" s="197"/>
      <c r="BD1574" s="198"/>
      <c r="BE1574" s="197"/>
      <c r="BF1574" s="197"/>
      <c r="BG1574" s="197"/>
      <c r="BH1574" s="197"/>
      <c r="BI1574" s="198"/>
      <c r="BJ1574" s="197"/>
      <c r="BK1574" s="197"/>
      <c r="BL1574" s="197"/>
      <c r="BM1574" s="197"/>
      <c r="BN1574" s="198"/>
      <c r="BO1574" s="197"/>
      <c r="BP1574" s="197"/>
      <c r="BQ1574" s="197"/>
      <c r="BR1574" s="197"/>
      <c r="BS1574" s="198"/>
      <c r="BT1574" s="727"/>
      <c r="BU1574" s="197"/>
      <c r="BV1574" s="197"/>
      <c r="BW1574" s="197"/>
      <c r="BX1574" s="1094"/>
      <c r="BY1574" s="197"/>
      <c r="BZ1574" s="197"/>
      <c r="CA1574" s="197"/>
      <c r="CB1574" s="197"/>
      <c r="CC1574" s="1094"/>
      <c r="CD1574" s="1094"/>
      <c r="CE1574" s="1094"/>
      <c r="CF1574" s="1094"/>
      <c r="CG1574" s="349"/>
    </row>
    <row r="1575" spans="1:85" s="613" customFormat="1" x14ac:dyDescent="0.3">
      <c r="A1575" s="478" t="s">
        <v>1098</v>
      </c>
      <c r="B1575" s="523"/>
      <c r="C1575" s="78"/>
      <c r="D1575" s="78"/>
      <c r="E1575" s="78"/>
      <c r="F1575" s="78"/>
      <c r="G1575" s="774"/>
      <c r="H1575" s="774"/>
      <c r="I1575" s="774"/>
      <c r="J1575" s="774"/>
      <c r="K1575" s="78"/>
      <c r="L1575" s="774"/>
      <c r="M1575" s="774"/>
      <c r="N1575" s="774"/>
      <c r="O1575" s="774"/>
      <c r="P1575" s="78"/>
      <c r="Q1575" s="774"/>
      <c r="R1575" s="774"/>
      <c r="S1575" s="774"/>
      <c r="T1575" s="774"/>
      <c r="U1575" s="78"/>
      <c r="V1575" s="774"/>
      <c r="W1575" s="774"/>
      <c r="X1575" s="774"/>
      <c r="Y1575" s="774"/>
      <c r="Z1575" s="78"/>
      <c r="AA1575" s="774"/>
      <c r="AB1575" s="774"/>
      <c r="AC1575" s="774"/>
      <c r="AD1575" s="774"/>
      <c r="AE1575" s="78"/>
      <c r="AF1575" s="774"/>
      <c r="AG1575" s="774"/>
      <c r="AH1575" s="774"/>
      <c r="AI1575" s="774"/>
      <c r="AJ1575" s="78"/>
      <c r="AK1575" s="774"/>
      <c r="AL1575" s="774"/>
      <c r="AM1575" s="774"/>
      <c r="AN1575" s="774"/>
      <c r="AO1575" s="78"/>
      <c r="AP1575" s="774"/>
      <c r="AQ1575" s="774"/>
      <c r="AR1575" s="774"/>
      <c r="AS1575" s="774"/>
      <c r="AT1575" s="1119">
        <v>0.17699999999999999</v>
      </c>
      <c r="AU1575" s="774"/>
      <c r="AV1575" s="774"/>
      <c r="AW1575" s="774"/>
      <c r="AX1575" s="774"/>
      <c r="AY1575" s="1119">
        <v>0.17699999999999999</v>
      </c>
      <c r="AZ1575" s="774"/>
      <c r="BA1575" s="774"/>
      <c r="BB1575" s="774"/>
      <c r="BC1575" s="774"/>
      <c r="BD1575" s="1119">
        <v>0.17699999999999999</v>
      </c>
      <c r="BE1575" s="774"/>
      <c r="BF1575" s="774"/>
      <c r="BG1575" s="774"/>
      <c r="BH1575" s="774"/>
      <c r="BI1575" s="1119">
        <v>0.17699999999999999</v>
      </c>
      <c r="BJ1575" s="774"/>
      <c r="BK1575" s="774"/>
      <c r="BL1575" s="774"/>
      <c r="BM1575" s="774"/>
      <c r="BN1575" s="78"/>
      <c r="BO1575" s="774"/>
      <c r="BP1575" s="774"/>
      <c r="BQ1575" s="774"/>
      <c r="BR1575" s="774"/>
      <c r="BS1575" s="78"/>
      <c r="BT1575" s="775"/>
      <c r="BU1575" s="774"/>
      <c r="BV1575" s="774"/>
      <c r="BW1575" s="774"/>
      <c r="BX1575" s="78"/>
      <c r="BY1575" s="774"/>
      <c r="BZ1575" s="774"/>
      <c r="CA1575" s="774"/>
      <c r="CB1575" s="774"/>
      <c r="CC1575" s="78"/>
      <c r="CD1575" s="78"/>
      <c r="CE1575" s="78"/>
      <c r="CF1575" s="78"/>
      <c r="CG1575" s="532"/>
    </row>
    <row r="1576" spans="1:85" s="615" customFormat="1" x14ac:dyDescent="0.3">
      <c r="A1576" s="522" t="s">
        <v>1097</v>
      </c>
      <c r="B1576" s="521"/>
      <c r="C1576" s="1122"/>
      <c r="D1576" s="1122"/>
      <c r="E1576" s="1122"/>
      <c r="F1576" s="1122"/>
      <c r="G1576" s="520"/>
      <c r="H1576" s="520"/>
      <c r="I1576" s="520"/>
      <c r="J1576" s="520"/>
      <c r="K1576" s="1122"/>
      <c r="L1576" s="520"/>
      <c r="M1576" s="520"/>
      <c r="N1576" s="520"/>
      <c r="O1576" s="520"/>
      <c r="P1576" s="1122"/>
      <c r="Q1576" s="520"/>
      <c r="R1576" s="520"/>
      <c r="S1576" s="520"/>
      <c r="T1576" s="520"/>
      <c r="U1576" s="1122"/>
      <c r="V1576" s="520"/>
      <c r="W1576" s="520"/>
      <c r="X1576" s="520"/>
      <c r="Y1576" s="520"/>
      <c r="Z1576" s="1122"/>
      <c r="AA1576" s="520"/>
      <c r="AB1576" s="520"/>
      <c r="AC1576" s="520"/>
      <c r="AD1576" s="520"/>
      <c r="AE1576" s="1122"/>
      <c r="AF1576" s="520"/>
      <c r="AG1576" s="520"/>
      <c r="AH1576" s="520"/>
      <c r="AI1576" s="520"/>
      <c r="AJ1576" s="1122"/>
      <c r="AK1576" s="520"/>
      <c r="AL1576" s="520"/>
      <c r="AM1576" s="520"/>
      <c r="AN1576" s="520"/>
      <c r="AO1576" s="1122"/>
      <c r="AP1576" s="520"/>
      <c r="AQ1576" s="520"/>
      <c r="AR1576" s="520"/>
      <c r="AS1576" s="520"/>
      <c r="AT1576" s="1123">
        <v>527.51</v>
      </c>
      <c r="AU1576" s="520"/>
      <c r="AV1576" s="520"/>
      <c r="AW1576" s="520"/>
      <c r="AX1576" s="520"/>
      <c r="AY1576" s="1123">
        <v>527.51</v>
      </c>
      <c r="AZ1576" s="520"/>
      <c r="BA1576" s="520"/>
      <c r="BB1576" s="520"/>
      <c r="BC1576" s="520"/>
      <c r="BD1576" s="1123">
        <v>527.51</v>
      </c>
      <c r="BE1576" s="520"/>
      <c r="BF1576" s="520"/>
      <c r="BG1576" s="520"/>
      <c r="BH1576" s="520"/>
      <c r="BI1576" s="1123">
        <v>527.51</v>
      </c>
      <c r="BJ1576" s="520"/>
      <c r="BK1576" s="520"/>
      <c r="BL1576" s="520"/>
      <c r="BM1576" s="520"/>
      <c r="BN1576" s="1124"/>
      <c r="BO1576" s="520"/>
      <c r="BP1576" s="520"/>
      <c r="BQ1576" s="520"/>
      <c r="BR1576" s="520"/>
      <c r="BS1576" s="1124"/>
      <c r="BT1576" s="728"/>
      <c r="BU1576" s="520"/>
      <c r="BV1576" s="520"/>
      <c r="BW1576" s="520"/>
      <c r="BX1576" s="1122"/>
      <c r="BY1576" s="520"/>
      <c r="BZ1576" s="520"/>
      <c r="CA1576" s="520"/>
      <c r="CB1576" s="520"/>
      <c r="CC1576" s="1122"/>
      <c r="CD1576" s="1122"/>
      <c r="CE1576" s="1122"/>
      <c r="CF1576" s="1122"/>
      <c r="CG1576" s="519"/>
    </row>
    <row r="1577" spans="1:85" s="614" customFormat="1" x14ac:dyDescent="0.3">
      <c r="A1577" s="522"/>
      <c r="B1577" s="352"/>
      <c r="C1577" s="1094"/>
      <c r="D1577" s="1094"/>
      <c r="E1577" s="1094"/>
      <c r="F1577" s="1094"/>
      <c r="G1577" s="197"/>
      <c r="H1577" s="197"/>
      <c r="I1577" s="197"/>
      <c r="J1577" s="197"/>
      <c r="K1577" s="1094"/>
      <c r="L1577" s="197"/>
      <c r="M1577" s="197"/>
      <c r="N1577" s="197"/>
      <c r="O1577" s="197"/>
      <c r="P1577" s="1094"/>
      <c r="Q1577" s="197"/>
      <c r="R1577" s="197"/>
      <c r="S1577" s="197"/>
      <c r="T1577" s="197"/>
      <c r="U1577" s="1094"/>
      <c r="V1577" s="197"/>
      <c r="W1577" s="197"/>
      <c r="X1577" s="197"/>
      <c r="Y1577" s="197"/>
      <c r="Z1577" s="1094"/>
      <c r="AA1577" s="197"/>
      <c r="AB1577" s="197"/>
      <c r="AC1577" s="197"/>
      <c r="AD1577" s="197"/>
      <c r="AE1577" s="1094"/>
      <c r="AF1577" s="197"/>
      <c r="AG1577" s="197"/>
      <c r="AH1577" s="197"/>
      <c r="AI1577" s="197"/>
      <c r="AJ1577" s="1094"/>
      <c r="AK1577" s="197"/>
      <c r="AL1577" s="197"/>
      <c r="AM1577" s="197"/>
      <c r="AN1577" s="197"/>
      <c r="AO1577" s="1094"/>
      <c r="AP1577" s="197"/>
      <c r="AQ1577" s="197"/>
      <c r="AR1577" s="197"/>
      <c r="AS1577" s="197"/>
      <c r="AT1577" s="198"/>
      <c r="AU1577" s="197"/>
      <c r="AV1577" s="197"/>
      <c r="AW1577" s="197"/>
      <c r="AX1577" s="197"/>
      <c r="AY1577" s="198"/>
      <c r="AZ1577" s="197"/>
      <c r="BA1577" s="197"/>
      <c r="BB1577" s="197"/>
      <c r="BC1577" s="197"/>
      <c r="BD1577" s="198"/>
      <c r="BE1577" s="197"/>
      <c r="BF1577" s="197"/>
      <c r="BG1577" s="197"/>
      <c r="BH1577" s="197"/>
      <c r="BI1577" s="198"/>
      <c r="BJ1577" s="197"/>
      <c r="BK1577" s="197"/>
      <c r="BL1577" s="197"/>
      <c r="BM1577" s="197"/>
      <c r="BN1577" s="198"/>
      <c r="BO1577" s="197"/>
      <c r="BP1577" s="197"/>
      <c r="BQ1577" s="197"/>
      <c r="BR1577" s="197"/>
      <c r="BS1577" s="198"/>
      <c r="BT1577" s="727"/>
      <c r="BU1577" s="197"/>
      <c r="BV1577" s="197"/>
      <c r="BW1577" s="197"/>
      <c r="BX1577" s="1094"/>
      <c r="BY1577" s="197"/>
      <c r="BZ1577" s="197"/>
      <c r="CA1577" s="197"/>
      <c r="CB1577" s="197"/>
      <c r="CC1577" s="1094"/>
      <c r="CD1577" s="1094"/>
      <c r="CE1577" s="1094"/>
      <c r="CF1577" s="1094"/>
      <c r="CG1577" s="349"/>
    </row>
    <row r="1578" spans="1:85" s="613" customFormat="1" x14ac:dyDescent="0.3">
      <c r="A1578" s="478" t="s">
        <v>1096</v>
      </c>
      <c r="B1578" s="523"/>
      <c r="C1578" s="78"/>
      <c r="D1578" s="78"/>
      <c r="E1578" s="78"/>
      <c r="F1578" s="78"/>
      <c r="G1578" s="774"/>
      <c r="H1578" s="774"/>
      <c r="I1578" s="774"/>
      <c r="J1578" s="774"/>
      <c r="K1578" s="78"/>
      <c r="L1578" s="774"/>
      <c r="M1578" s="774"/>
      <c r="N1578" s="774"/>
      <c r="O1578" s="774"/>
      <c r="P1578" s="78"/>
      <c r="Q1578" s="774"/>
      <c r="R1578" s="774"/>
      <c r="S1578" s="774"/>
      <c r="T1578" s="774"/>
      <c r="U1578" s="78"/>
      <c r="V1578" s="774"/>
      <c r="W1578" s="774"/>
      <c r="X1578" s="774"/>
      <c r="Y1578" s="774"/>
      <c r="Z1578" s="78"/>
      <c r="AA1578" s="774"/>
      <c r="AB1578" s="774"/>
      <c r="AC1578" s="774"/>
      <c r="AD1578" s="774"/>
      <c r="AE1578" s="78"/>
      <c r="AF1578" s="774"/>
      <c r="AG1578" s="774"/>
      <c r="AH1578" s="774"/>
      <c r="AI1578" s="774"/>
      <c r="AJ1578" s="78"/>
      <c r="AK1578" s="774"/>
      <c r="AL1578" s="774"/>
      <c r="AM1578" s="774"/>
      <c r="AN1578" s="774"/>
      <c r="AO1578" s="78"/>
      <c r="AP1578" s="774"/>
      <c r="AQ1578" s="774"/>
      <c r="AR1578" s="774"/>
      <c r="AS1578" s="774"/>
      <c r="AT1578" s="1119">
        <v>0.19400000000000001</v>
      </c>
      <c r="AU1578" s="774"/>
      <c r="AV1578" s="774"/>
      <c r="AW1578" s="774"/>
      <c r="AX1578" s="774"/>
      <c r="AY1578" s="1119">
        <v>0.19400000000000001</v>
      </c>
      <c r="AZ1578" s="774"/>
      <c r="BA1578" s="774"/>
      <c r="BB1578" s="774"/>
      <c r="BC1578" s="774"/>
      <c r="BD1578" s="1119">
        <v>0.19400000000000001</v>
      </c>
      <c r="BE1578" s="774"/>
      <c r="BF1578" s="774"/>
      <c r="BG1578" s="774"/>
      <c r="BH1578" s="774"/>
      <c r="BI1578" s="1119">
        <v>0.19400000000000001</v>
      </c>
      <c r="BJ1578" s="774"/>
      <c r="BK1578" s="774"/>
      <c r="BL1578" s="774"/>
      <c r="BM1578" s="774"/>
      <c r="BN1578" s="78"/>
      <c r="BO1578" s="774"/>
      <c r="BP1578" s="774"/>
      <c r="BQ1578" s="774"/>
      <c r="BR1578" s="774"/>
      <c r="BS1578" s="78"/>
      <c r="BT1578" s="775"/>
      <c r="BU1578" s="774"/>
      <c r="BV1578" s="774"/>
      <c r="BW1578" s="774"/>
      <c r="BX1578" s="78"/>
      <c r="BY1578" s="774"/>
      <c r="BZ1578" s="774"/>
      <c r="CA1578" s="774"/>
      <c r="CB1578" s="774"/>
      <c r="CC1578" s="78"/>
      <c r="CD1578" s="78"/>
      <c r="CE1578" s="78"/>
      <c r="CF1578" s="78"/>
      <c r="CG1578" s="532"/>
    </row>
    <row r="1579" spans="1:85" s="615" customFormat="1" x14ac:dyDescent="0.3">
      <c r="A1579" s="522" t="s">
        <v>1095</v>
      </c>
      <c r="B1579" s="521"/>
      <c r="C1579" s="1122"/>
      <c r="D1579" s="1122"/>
      <c r="E1579" s="1122"/>
      <c r="F1579" s="1122"/>
      <c r="G1579" s="520"/>
      <c r="H1579" s="520"/>
      <c r="I1579" s="520"/>
      <c r="J1579" s="520"/>
      <c r="K1579" s="1122"/>
      <c r="L1579" s="520"/>
      <c r="M1579" s="520"/>
      <c r="N1579" s="520"/>
      <c r="O1579" s="520"/>
      <c r="P1579" s="1122"/>
      <c r="Q1579" s="520"/>
      <c r="R1579" s="520"/>
      <c r="S1579" s="520"/>
      <c r="T1579" s="520"/>
      <c r="U1579" s="1122"/>
      <c r="V1579" s="520"/>
      <c r="W1579" s="520"/>
      <c r="X1579" s="520"/>
      <c r="Y1579" s="520"/>
      <c r="Z1579" s="1122"/>
      <c r="AA1579" s="520"/>
      <c r="AB1579" s="520"/>
      <c r="AC1579" s="520"/>
      <c r="AD1579" s="520"/>
      <c r="AE1579" s="1122"/>
      <c r="AF1579" s="520"/>
      <c r="AG1579" s="520"/>
      <c r="AH1579" s="520"/>
      <c r="AI1579" s="520"/>
      <c r="AJ1579" s="1122"/>
      <c r="AK1579" s="520"/>
      <c r="AL1579" s="520"/>
      <c r="AM1579" s="520"/>
      <c r="AN1579" s="520"/>
      <c r="AO1579" s="1122"/>
      <c r="AP1579" s="520"/>
      <c r="AQ1579" s="520"/>
      <c r="AR1579" s="520"/>
      <c r="AS1579" s="520"/>
      <c r="AT1579" s="1123">
        <v>484.12</v>
      </c>
      <c r="AU1579" s="520"/>
      <c r="AV1579" s="520"/>
      <c r="AW1579" s="520"/>
      <c r="AX1579" s="520"/>
      <c r="AY1579" s="1123">
        <v>484.12</v>
      </c>
      <c r="AZ1579" s="520"/>
      <c r="BA1579" s="520"/>
      <c r="BB1579" s="520"/>
      <c r="BC1579" s="520"/>
      <c r="BD1579" s="1123">
        <v>484.12</v>
      </c>
      <c r="BE1579" s="520"/>
      <c r="BF1579" s="520"/>
      <c r="BG1579" s="520"/>
      <c r="BH1579" s="520"/>
      <c r="BI1579" s="1123">
        <v>484.12</v>
      </c>
      <c r="BJ1579" s="520"/>
      <c r="BK1579" s="520"/>
      <c r="BL1579" s="520"/>
      <c r="BM1579" s="520"/>
      <c r="BN1579" s="1124"/>
      <c r="BO1579" s="520"/>
      <c r="BP1579" s="520"/>
      <c r="BQ1579" s="520"/>
      <c r="BR1579" s="520"/>
      <c r="BS1579" s="1124"/>
      <c r="BT1579" s="728"/>
      <c r="BU1579" s="520"/>
      <c r="BV1579" s="520"/>
      <c r="BW1579" s="520"/>
      <c r="BX1579" s="1122"/>
      <c r="BY1579" s="520"/>
      <c r="BZ1579" s="520"/>
      <c r="CA1579" s="520"/>
      <c r="CB1579" s="520"/>
      <c r="CC1579" s="1122"/>
      <c r="CD1579" s="1122"/>
      <c r="CE1579" s="1122"/>
      <c r="CF1579" s="1122"/>
      <c r="CG1579" s="519"/>
    </row>
    <row r="1580" spans="1:85" s="614" customFormat="1" x14ac:dyDescent="0.3">
      <c r="A1580" s="522"/>
      <c r="B1580" s="352"/>
      <c r="C1580" s="1094"/>
      <c r="D1580" s="1094"/>
      <c r="E1580" s="1094"/>
      <c r="F1580" s="1094"/>
      <c r="G1580" s="197"/>
      <c r="H1580" s="197"/>
      <c r="I1580" s="197"/>
      <c r="J1580" s="197"/>
      <c r="K1580" s="1094"/>
      <c r="L1580" s="197"/>
      <c r="M1580" s="197"/>
      <c r="N1580" s="197"/>
      <c r="O1580" s="197"/>
      <c r="P1580" s="1094"/>
      <c r="Q1580" s="197"/>
      <c r="R1580" s="197"/>
      <c r="S1580" s="197"/>
      <c r="T1580" s="197"/>
      <c r="U1580" s="1094"/>
      <c r="V1580" s="197"/>
      <c r="W1580" s="197"/>
      <c r="X1580" s="197"/>
      <c r="Y1580" s="197"/>
      <c r="Z1580" s="1094"/>
      <c r="AA1580" s="197"/>
      <c r="AB1580" s="197"/>
      <c r="AC1580" s="197"/>
      <c r="AD1580" s="197"/>
      <c r="AE1580" s="1094"/>
      <c r="AF1580" s="197"/>
      <c r="AG1580" s="197"/>
      <c r="AH1580" s="197"/>
      <c r="AI1580" s="197"/>
      <c r="AJ1580" s="1094"/>
      <c r="AK1580" s="197"/>
      <c r="AL1580" s="197"/>
      <c r="AM1580" s="197"/>
      <c r="AN1580" s="197"/>
      <c r="AO1580" s="1094"/>
      <c r="AP1580" s="197"/>
      <c r="AQ1580" s="197"/>
      <c r="AR1580" s="197"/>
      <c r="AS1580" s="197"/>
      <c r="AT1580" s="198"/>
      <c r="AU1580" s="197"/>
      <c r="AV1580" s="197"/>
      <c r="AW1580" s="197"/>
      <c r="AX1580" s="197"/>
      <c r="AY1580" s="198"/>
      <c r="AZ1580" s="197"/>
      <c r="BA1580" s="197"/>
      <c r="BB1580" s="197"/>
      <c r="BC1580" s="197"/>
      <c r="BD1580" s="198"/>
      <c r="BE1580" s="197"/>
      <c r="BF1580" s="197"/>
      <c r="BG1580" s="197"/>
      <c r="BH1580" s="197"/>
      <c r="BI1580" s="198"/>
      <c r="BJ1580" s="197"/>
      <c r="BK1580" s="197"/>
      <c r="BL1580" s="197"/>
      <c r="BM1580" s="197"/>
      <c r="BN1580" s="198"/>
      <c r="BO1580" s="197"/>
      <c r="BP1580" s="197"/>
      <c r="BQ1580" s="197"/>
      <c r="BR1580" s="197"/>
      <c r="BS1580" s="198"/>
      <c r="BT1580" s="727"/>
      <c r="BU1580" s="197"/>
      <c r="BV1580" s="197"/>
      <c r="BW1580" s="197"/>
      <c r="BX1580" s="1094"/>
      <c r="BY1580" s="197"/>
      <c r="BZ1580" s="197"/>
      <c r="CA1580" s="197"/>
      <c r="CB1580" s="197"/>
      <c r="CC1580" s="1094"/>
      <c r="CD1580" s="1094"/>
      <c r="CE1580" s="1094"/>
      <c r="CF1580" s="1094"/>
      <c r="CG1580" s="349"/>
    </row>
    <row r="1581" spans="1:85" s="613" customFormat="1" x14ac:dyDescent="0.3">
      <c r="A1581" s="478" t="s">
        <v>1094</v>
      </c>
      <c r="B1581" s="523"/>
      <c r="C1581" s="78"/>
      <c r="D1581" s="78"/>
      <c r="E1581" s="78"/>
      <c r="F1581" s="78"/>
      <c r="G1581" s="774"/>
      <c r="H1581" s="774"/>
      <c r="I1581" s="774"/>
      <c r="J1581" s="774"/>
      <c r="K1581" s="78"/>
      <c r="L1581" s="774"/>
      <c r="M1581" s="774"/>
      <c r="N1581" s="774"/>
      <c r="O1581" s="774"/>
      <c r="P1581" s="78"/>
      <c r="Q1581" s="774"/>
      <c r="R1581" s="774"/>
      <c r="S1581" s="774"/>
      <c r="T1581" s="774"/>
      <c r="U1581" s="78"/>
      <c r="V1581" s="774"/>
      <c r="W1581" s="774"/>
      <c r="X1581" s="774"/>
      <c r="Y1581" s="774"/>
      <c r="Z1581" s="78"/>
      <c r="AA1581" s="774"/>
      <c r="AB1581" s="774"/>
      <c r="AC1581" s="774"/>
      <c r="AD1581" s="774"/>
      <c r="AE1581" s="78"/>
      <c r="AF1581" s="774"/>
      <c r="AG1581" s="774"/>
      <c r="AH1581" s="774"/>
      <c r="AI1581" s="774"/>
      <c r="AJ1581" s="78"/>
      <c r="AK1581" s="774"/>
      <c r="AL1581" s="774"/>
      <c r="AM1581" s="774"/>
      <c r="AN1581" s="774"/>
      <c r="AO1581" s="78"/>
      <c r="AP1581" s="774"/>
      <c r="AQ1581" s="774"/>
      <c r="AR1581" s="774"/>
      <c r="AS1581" s="774"/>
      <c r="AT1581" s="1119">
        <v>0.186</v>
      </c>
      <c r="AU1581" s="774"/>
      <c r="AV1581" s="774"/>
      <c r="AW1581" s="774"/>
      <c r="AX1581" s="774"/>
      <c r="AY1581" s="1119">
        <v>0.186</v>
      </c>
      <c r="AZ1581" s="774"/>
      <c r="BA1581" s="774"/>
      <c r="BB1581" s="774"/>
      <c r="BC1581" s="774"/>
      <c r="BD1581" s="1119">
        <v>0.186</v>
      </c>
      <c r="BE1581" s="774"/>
      <c r="BF1581" s="774"/>
      <c r="BG1581" s="774"/>
      <c r="BH1581" s="774"/>
      <c r="BI1581" s="1119">
        <v>0.186</v>
      </c>
      <c r="BJ1581" s="774"/>
      <c r="BK1581" s="774"/>
      <c r="BL1581" s="774"/>
      <c r="BM1581" s="774"/>
      <c r="BN1581" s="78"/>
      <c r="BO1581" s="774"/>
      <c r="BP1581" s="774"/>
      <c r="BQ1581" s="774"/>
      <c r="BR1581" s="774"/>
      <c r="BS1581" s="78"/>
      <c r="BT1581" s="775"/>
      <c r="BU1581" s="774"/>
      <c r="BV1581" s="774"/>
      <c r="BW1581" s="774"/>
      <c r="BX1581" s="78"/>
      <c r="BY1581" s="774"/>
      <c r="BZ1581" s="774"/>
      <c r="CA1581" s="774"/>
      <c r="CB1581" s="774"/>
      <c r="CC1581" s="78"/>
      <c r="CD1581" s="78"/>
      <c r="CE1581" s="78"/>
      <c r="CF1581" s="78"/>
      <c r="CG1581" s="532"/>
    </row>
    <row r="1582" spans="1:85" s="615" customFormat="1" x14ac:dyDescent="0.3">
      <c r="A1582" s="522" t="s">
        <v>1093</v>
      </c>
      <c r="B1582" s="521"/>
      <c r="C1582" s="1122"/>
      <c r="D1582" s="1122"/>
      <c r="E1582" s="1122"/>
      <c r="F1582" s="1122"/>
      <c r="G1582" s="520"/>
      <c r="H1582" s="520"/>
      <c r="I1582" s="520"/>
      <c r="J1582" s="520"/>
      <c r="K1582" s="1122"/>
      <c r="L1582" s="520"/>
      <c r="M1582" s="520"/>
      <c r="N1582" s="520"/>
      <c r="O1582" s="520"/>
      <c r="P1582" s="1122"/>
      <c r="Q1582" s="520"/>
      <c r="R1582" s="520"/>
      <c r="S1582" s="520"/>
      <c r="T1582" s="520"/>
      <c r="U1582" s="1122"/>
      <c r="V1582" s="520"/>
      <c r="W1582" s="520"/>
      <c r="X1582" s="520"/>
      <c r="Y1582" s="520"/>
      <c r="Z1582" s="1122"/>
      <c r="AA1582" s="520"/>
      <c r="AB1582" s="520"/>
      <c r="AC1582" s="520"/>
      <c r="AD1582" s="520"/>
      <c r="AE1582" s="1122"/>
      <c r="AF1582" s="520"/>
      <c r="AG1582" s="520"/>
      <c r="AH1582" s="520"/>
      <c r="AI1582" s="520"/>
      <c r="AJ1582" s="1122"/>
      <c r="AK1582" s="520"/>
      <c r="AL1582" s="520"/>
      <c r="AM1582" s="520"/>
      <c r="AN1582" s="520"/>
      <c r="AO1582" s="1122"/>
      <c r="AP1582" s="520"/>
      <c r="AQ1582" s="520"/>
      <c r="AR1582" s="520"/>
      <c r="AS1582" s="520"/>
      <c r="AT1582" s="1123">
        <v>504.58</v>
      </c>
      <c r="AU1582" s="520"/>
      <c r="AV1582" s="520"/>
      <c r="AW1582" s="520"/>
      <c r="AX1582" s="520"/>
      <c r="AY1582" s="1123">
        <v>504.58</v>
      </c>
      <c r="AZ1582" s="520"/>
      <c r="BA1582" s="520"/>
      <c r="BB1582" s="520"/>
      <c r="BC1582" s="520"/>
      <c r="BD1582" s="1123">
        <v>504.58</v>
      </c>
      <c r="BE1582" s="520"/>
      <c r="BF1582" s="520"/>
      <c r="BG1582" s="520"/>
      <c r="BH1582" s="520"/>
      <c r="BI1582" s="1123">
        <v>504.58</v>
      </c>
      <c r="BJ1582" s="520"/>
      <c r="BK1582" s="520"/>
      <c r="BL1582" s="520"/>
      <c r="BM1582" s="520"/>
      <c r="BN1582" s="1124"/>
      <c r="BO1582" s="520"/>
      <c r="BP1582" s="520"/>
      <c r="BQ1582" s="520"/>
      <c r="BR1582" s="520"/>
      <c r="BS1582" s="1124"/>
      <c r="BT1582" s="728"/>
      <c r="BU1582" s="520"/>
      <c r="BV1582" s="520"/>
      <c r="BW1582" s="520"/>
      <c r="BX1582" s="1122"/>
      <c r="BY1582" s="520"/>
      <c r="BZ1582" s="520"/>
      <c r="CA1582" s="520"/>
      <c r="CB1582" s="520"/>
      <c r="CC1582" s="1122"/>
      <c r="CD1582" s="1122"/>
      <c r="CE1582" s="1122"/>
      <c r="CF1582" s="1122"/>
      <c r="CG1582" s="519"/>
    </row>
    <row r="1583" spans="1:85" s="614" customFormat="1" x14ac:dyDescent="0.3">
      <c r="A1583" s="116"/>
      <c r="B1583" s="352"/>
      <c r="C1583" s="1094"/>
      <c r="D1583" s="1094"/>
      <c r="E1583" s="1094"/>
      <c r="F1583" s="1094"/>
      <c r="G1583" s="197"/>
      <c r="H1583" s="197"/>
      <c r="I1583" s="197"/>
      <c r="J1583" s="197"/>
      <c r="K1583" s="1094"/>
      <c r="L1583" s="197"/>
      <c r="M1583" s="197"/>
      <c r="N1583" s="197"/>
      <c r="O1583" s="197"/>
      <c r="P1583" s="1094"/>
      <c r="Q1583" s="197"/>
      <c r="R1583" s="197"/>
      <c r="S1583" s="197"/>
      <c r="T1583" s="197"/>
      <c r="U1583" s="1094"/>
      <c r="V1583" s="197"/>
      <c r="W1583" s="197"/>
      <c r="X1583" s="197"/>
      <c r="Y1583" s="197"/>
      <c r="Z1583" s="1094"/>
      <c r="AA1583" s="197"/>
      <c r="AB1583" s="197"/>
      <c r="AC1583" s="197"/>
      <c r="AD1583" s="197"/>
      <c r="AE1583" s="1094"/>
      <c r="AF1583" s="197"/>
      <c r="AG1583" s="197"/>
      <c r="AH1583" s="197"/>
      <c r="AI1583" s="197"/>
      <c r="AJ1583" s="1094"/>
      <c r="AK1583" s="197"/>
      <c r="AL1583" s="197"/>
      <c r="AM1583" s="197"/>
      <c r="AN1583" s="197"/>
      <c r="AO1583" s="1094"/>
      <c r="AP1583" s="197"/>
      <c r="AQ1583" s="197"/>
      <c r="AR1583" s="197"/>
      <c r="AS1583" s="197"/>
      <c r="AT1583" s="198"/>
      <c r="AU1583" s="197"/>
      <c r="AV1583" s="197"/>
      <c r="AW1583" s="197"/>
      <c r="AX1583" s="197"/>
      <c r="AY1583" s="198"/>
      <c r="AZ1583" s="197"/>
      <c r="BA1583" s="197"/>
      <c r="BB1583" s="197"/>
      <c r="BC1583" s="197"/>
      <c r="BD1583" s="198"/>
      <c r="BE1583" s="197"/>
      <c r="BF1583" s="197"/>
      <c r="BG1583" s="197"/>
      <c r="BH1583" s="197"/>
      <c r="BI1583" s="198"/>
      <c r="BJ1583" s="197"/>
      <c r="BK1583" s="197"/>
      <c r="BL1583" s="197"/>
      <c r="BM1583" s="197"/>
      <c r="BN1583" s="198"/>
      <c r="BO1583" s="197"/>
      <c r="BP1583" s="197"/>
      <c r="BQ1583" s="197"/>
      <c r="BR1583" s="197"/>
      <c r="BS1583" s="198"/>
      <c r="BT1583" s="727"/>
      <c r="BU1583" s="197"/>
      <c r="BV1583" s="197"/>
      <c r="BW1583" s="197"/>
      <c r="BX1583" s="1094"/>
      <c r="BY1583" s="197"/>
      <c r="BZ1583" s="197"/>
      <c r="CA1583" s="197"/>
      <c r="CB1583" s="197"/>
      <c r="CC1583" s="1094"/>
      <c r="CD1583" s="1094"/>
      <c r="CE1583" s="1094"/>
      <c r="CF1583" s="1094"/>
      <c r="CG1583" s="349"/>
    </row>
    <row r="1584" spans="1:85" s="613" customFormat="1" x14ac:dyDescent="0.3">
      <c r="A1584" s="478" t="s">
        <v>1092</v>
      </c>
      <c r="B1584" s="523"/>
      <c r="C1584" s="78"/>
      <c r="D1584" s="78"/>
      <c r="E1584" s="78"/>
      <c r="F1584" s="78"/>
      <c r="G1584" s="774"/>
      <c r="H1584" s="774"/>
      <c r="I1584" s="774"/>
      <c r="J1584" s="774"/>
      <c r="K1584" s="78"/>
      <c r="L1584" s="774"/>
      <c r="M1584" s="774"/>
      <c r="N1584" s="774"/>
      <c r="O1584" s="774"/>
      <c r="P1584" s="78"/>
      <c r="Q1584" s="774"/>
      <c r="R1584" s="774"/>
      <c r="S1584" s="774"/>
      <c r="T1584" s="774"/>
      <c r="U1584" s="78"/>
      <c r="V1584" s="774"/>
      <c r="W1584" s="774"/>
      <c r="X1584" s="774"/>
      <c r="Y1584" s="774"/>
      <c r="Z1584" s="78"/>
      <c r="AA1584" s="774"/>
      <c r="AB1584" s="774"/>
      <c r="AC1584" s="774"/>
      <c r="AD1584" s="774"/>
      <c r="AE1584" s="78"/>
      <c r="AF1584" s="774"/>
      <c r="AG1584" s="774"/>
      <c r="AH1584" s="774"/>
      <c r="AI1584" s="774"/>
      <c r="AJ1584" s="78"/>
      <c r="AK1584" s="774"/>
      <c r="AL1584" s="774"/>
      <c r="AM1584" s="774"/>
      <c r="AN1584" s="774"/>
      <c r="AO1584" s="78"/>
      <c r="AP1584" s="774"/>
      <c r="AQ1584" s="774"/>
      <c r="AR1584" s="774"/>
      <c r="AS1584" s="774"/>
      <c r="AT1584" s="78"/>
      <c r="AU1584" s="774"/>
      <c r="AV1584" s="774"/>
      <c r="AW1584" s="774"/>
      <c r="AX1584" s="774"/>
      <c r="AY1584" s="1119">
        <v>0.17899999999999999</v>
      </c>
      <c r="AZ1584" s="774"/>
      <c r="BA1584" s="774"/>
      <c r="BB1584" s="774"/>
      <c r="BC1584" s="774"/>
      <c r="BD1584" s="1119">
        <v>0.17899999999999999</v>
      </c>
      <c r="BE1584" s="774"/>
      <c r="BF1584" s="774"/>
      <c r="BG1584" s="774"/>
      <c r="BH1584" s="774"/>
      <c r="BI1584" s="1119">
        <v>0.17899999999999999</v>
      </c>
      <c r="BJ1584" s="774"/>
      <c r="BK1584" s="774"/>
      <c r="BL1584" s="774"/>
      <c r="BM1584" s="774"/>
      <c r="BN1584" s="78"/>
      <c r="BO1584" s="774"/>
      <c r="BP1584" s="774"/>
      <c r="BQ1584" s="774"/>
      <c r="BR1584" s="774"/>
      <c r="BS1584" s="78"/>
      <c r="BT1584" s="775"/>
      <c r="BU1584" s="774"/>
      <c r="BV1584" s="774"/>
      <c r="BW1584" s="774"/>
      <c r="BX1584" s="78"/>
      <c r="BY1584" s="774"/>
      <c r="BZ1584" s="774"/>
      <c r="CA1584" s="774"/>
      <c r="CB1584" s="774"/>
      <c r="CC1584" s="78"/>
      <c r="CD1584" s="78"/>
      <c r="CE1584" s="78"/>
      <c r="CF1584" s="78"/>
      <c r="CG1584" s="532"/>
    </row>
    <row r="1585" spans="1:85" s="615" customFormat="1" x14ac:dyDescent="0.3">
      <c r="A1585" s="522" t="s">
        <v>1091</v>
      </c>
      <c r="B1585" s="521"/>
      <c r="C1585" s="1122"/>
      <c r="D1585" s="1122"/>
      <c r="E1585" s="1122"/>
      <c r="F1585" s="1122"/>
      <c r="G1585" s="520"/>
      <c r="H1585" s="520"/>
      <c r="I1585" s="520"/>
      <c r="J1585" s="520"/>
      <c r="K1585" s="1122"/>
      <c r="L1585" s="520"/>
      <c r="M1585" s="520"/>
      <c r="N1585" s="520"/>
      <c r="O1585" s="520"/>
      <c r="P1585" s="1122"/>
      <c r="Q1585" s="520"/>
      <c r="R1585" s="520"/>
      <c r="S1585" s="520"/>
      <c r="T1585" s="520"/>
      <c r="U1585" s="1122"/>
      <c r="V1585" s="520"/>
      <c r="W1585" s="520"/>
      <c r="X1585" s="520"/>
      <c r="Y1585" s="520"/>
      <c r="Z1585" s="1122"/>
      <c r="AA1585" s="520"/>
      <c r="AB1585" s="520"/>
      <c r="AC1585" s="520"/>
      <c r="AD1585" s="520"/>
      <c r="AE1585" s="1122"/>
      <c r="AF1585" s="520"/>
      <c r="AG1585" s="520"/>
      <c r="AH1585" s="520"/>
      <c r="AI1585" s="520"/>
      <c r="AJ1585" s="1122"/>
      <c r="AK1585" s="520"/>
      <c r="AL1585" s="520"/>
      <c r="AM1585" s="520"/>
      <c r="AN1585" s="520"/>
      <c r="AO1585" s="1122"/>
      <c r="AP1585" s="520"/>
      <c r="AQ1585" s="520"/>
      <c r="AR1585" s="520"/>
      <c r="AS1585" s="520"/>
      <c r="AT1585" s="1124"/>
      <c r="AU1585" s="520"/>
      <c r="AV1585" s="520"/>
      <c r="AW1585" s="520"/>
      <c r="AX1585" s="520"/>
      <c r="AY1585" s="1123">
        <v>522.86</v>
      </c>
      <c r="AZ1585" s="520"/>
      <c r="BA1585" s="520"/>
      <c r="BB1585" s="520"/>
      <c r="BC1585" s="520"/>
      <c r="BD1585" s="1123">
        <v>522.86</v>
      </c>
      <c r="BE1585" s="520"/>
      <c r="BF1585" s="520"/>
      <c r="BG1585" s="520"/>
      <c r="BH1585" s="520"/>
      <c r="BI1585" s="1123">
        <v>522.86</v>
      </c>
      <c r="BJ1585" s="520"/>
      <c r="BK1585" s="520"/>
      <c r="BL1585" s="520"/>
      <c r="BM1585" s="520"/>
      <c r="BN1585" s="1124"/>
      <c r="BO1585" s="520"/>
      <c r="BP1585" s="520"/>
      <c r="BQ1585" s="520"/>
      <c r="BR1585" s="520"/>
      <c r="BS1585" s="1124"/>
      <c r="BT1585" s="728"/>
      <c r="BU1585" s="520"/>
      <c r="BV1585" s="520"/>
      <c r="BW1585" s="520"/>
      <c r="BX1585" s="1122"/>
      <c r="BY1585" s="520"/>
      <c r="BZ1585" s="520"/>
      <c r="CA1585" s="520"/>
      <c r="CB1585" s="520"/>
      <c r="CC1585" s="1122"/>
      <c r="CD1585" s="1122"/>
      <c r="CE1585" s="1122"/>
      <c r="CF1585" s="1122"/>
      <c r="CG1585" s="519"/>
    </row>
    <row r="1586" spans="1:85" s="614" customFormat="1" x14ac:dyDescent="0.3">
      <c r="A1586" s="522"/>
      <c r="B1586" s="352"/>
      <c r="C1586" s="1094"/>
      <c r="D1586" s="1094"/>
      <c r="E1586" s="1094"/>
      <c r="F1586" s="1094"/>
      <c r="G1586" s="197"/>
      <c r="H1586" s="197"/>
      <c r="I1586" s="197"/>
      <c r="J1586" s="197"/>
      <c r="K1586" s="1094"/>
      <c r="L1586" s="197"/>
      <c r="M1586" s="197"/>
      <c r="N1586" s="197"/>
      <c r="O1586" s="197"/>
      <c r="P1586" s="1094"/>
      <c r="Q1586" s="197"/>
      <c r="R1586" s="197"/>
      <c r="S1586" s="197"/>
      <c r="T1586" s="197"/>
      <c r="U1586" s="1094"/>
      <c r="V1586" s="197"/>
      <c r="W1586" s="197"/>
      <c r="X1586" s="197"/>
      <c r="Y1586" s="197"/>
      <c r="Z1586" s="1094"/>
      <c r="AA1586" s="197"/>
      <c r="AB1586" s="197"/>
      <c r="AC1586" s="197"/>
      <c r="AD1586" s="197"/>
      <c r="AE1586" s="1094"/>
      <c r="AF1586" s="197"/>
      <c r="AG1586" s="197"/>
      <c r="AH1586" s="197"/>
      <c r="AI1586" s="197"/>
      <c r="AJ1586" s="1094"/>
      <c r="AK1586" s="197"/>
      <c r="AL1586" s="197"/>
      <c r="AM1586" s="197"/>
      <c r="AN1586" s="197"/>
      <c r="AO1586" s="1094"/>
      <c r="AP1586" s="197"/>
      <c r="AQ1586" s="197"/>
      <c r="AR1586" s="197"/>
      <c r="AS1586" s="197"/>
      <c r="AT1586" s="198"/>
      <c r="AU1586" s="197"/>
      <c r="AV1586" s="197"/>
      <c r="AW1586" s="197"/>
      <c r="AX1586" s="197"/>
      <c r="AY1586" s="198"/>
      <c r="AZ1586" s="197"/>
      <c r="BA1586" s="197"/>
      <c r="BB1586" s="197"/>
      <c r="BC1586" s="197"/>
      <c r="BD1586" s="198"/>
      <c r="BE1586" s="197"/>
      <c r="BF1586" s="197"/>
      <c r="BG1586" s="197"/>
      <c r="BH1586" s="197"/>
      <c r="BI1586" s="198"/>
      <c r="BJ1586" s="197"/>
      <c r="BK1586" s="197"/>
      <c r="BL1586" s="197"/>
      <c r="BM1586" s="197"/>
      <c r="BN1586" s="198"/>
      <c r="BO1586" s="197"/>
      <c r="BP1586" s="197"/>
      <c r="BQ1586" s="197"/>
      <c r="BR1586" s="197"/>
      <c r="BS1586" s="198"/>
      <c r="BT1586" s="727"/>
      <c r="BU1586" s="197"/>
      <c r="BV1586" s="197"/>
      <c r="BW1586" s="197"/>
      <c r="BX1586" s="1094"/>
      <c r="BY1586" s="197"/>
      <c r="BZ1586" s="197"/>
      <c r="CA1586" s="197"/>
      <c r="CB1586" s="197"/>
      <c r="CC1586" s="1094"/>
      <c r="CD1586" s="1094"/>
      <c r="CE1586" s="1094"/>
      <c r="CF1586" s="1094"/>
      <c r="CG1586" s="349"/>
    </row>
    <row r="1587" spans="1:85" s="613" customFormat="1" x14ac:dyDescent="0.3">
      <c r="A1587" s="478" t="s">
        <v>1090</v>
      </c>
      <c r="B1587" s="523"/>
      <c r="C1587" s="78"/>
      <c r="D1587" s="78"/>
      <c r="E1587" s="78"/>
      <c r="F1587" s="78"/>
      <c r="G1587" s="774"/>
      <c r="H1587" s="774"/>
      <c r="I1587" s="774"/>
      <c r="J1587" s="774"/>
      <c r="K1587" s="78"/>
      <c r="L1587" s="774"/>
      <c r="M1587" s="774"/>
      <c r="N1587" s="774"/>
      <c r="O1587" s="774"/>
      <c r="P1587" s="78"/>
      <c r="Q1587" s="774"/>
      <c r="R1587" s="774"/>
      <c r="S1587" s="774"/>
      <c r="T1587" s="774"/>
      <c r="U1587" s="78"/>
      <c r="V1587" s="774"/>
      <c r="W1587" s="774"/>
      <c r="X1587" s="774"/>
      <c r="Y1587" s="774"/>
      <c r="Z1587" s="78"/>
      <c r="AA1587" s="774"/>
      <c r="AB1587" s="774"/>
      <c r="AC1587" s="774"/>
      <c r="AD1587" s="774"/>
      <c r="AE1587" s="78"/>
      <c r="AF1587" s="774"/>
      <c r="AG1587" s="774"/>
      <c r="AH1587" s="774"/>
      <c r="AI1587" s="774"/>
      <c r="AJ1587" s="78"/>
      <c r="AK1587" s="774"/>
      <c r="AL1587" s="774"/>
      <c r="AM1587" s="774"/>
      <c r="AN1587" s="774"/>
      <c r="AO1587" s="78"/>
      <c r="AP1587" s="774"/>
      <c r="AQ1587" s="774"/>
      <c r="AR1587" s="774"/>
      <c r="AS1587" s="774"/>
      <c r="AT1587" s="78"/>
      <c r="AU1587" s="774"/>
      <c r="AV1587" s="774"/>
      <c r="AW1587" s="774"/>
      <c r="AX1587" s="774"/>
      <c r="AY1587" s="1119">
        <v>0.193</v>
      </c>
      <c r="AZ1587" s="774"/>
      <c r="BA1587" s="774"/>
      <c r="BB1587" s="774"/>
      <c r="BC1587" s="774"/>
      <c r="BD1587" s="1119">
        <v>0.193</v>
      </c>
      <c r="BE1587" s="774"/>
      <c r="BF1587" s="774"/>
      <c r="BG1587" s="774"/>
      <c r="BH1587" s="774"/>
      <c r="BI1587" s="1119">
        <v>0.193</v>
      </c>
      <c r="BJ1587" s="774"/>
      <c r="BK1587" s="774"/>
      <c r="BL1587" s="774"/>
      <c r="BM1587" s="774"/>
      <c r="BN1587" s="78"/>
      <c r="BO1587" s="774"/>
      <c r="BP1587" s="774"/>
      <c r="BQ1587" s="774"/>
      <c r="BR1587" s="774"/>
      <c r="BS1587" s="78"/>
      <c r="BT1587" s="775"/>
      <c r="BU1587" s="774"/>
      <c r="BV1587" s="774"/>
      <c r="BW1587" s="774"/>
      <c r="BX1587" s="78"/>
      <c r="BY1587" s="774"/>
      <c r="BZ1587" s="774"/>
      <c r="CA1587" s="774"/>
      <c r="CB1587" s="774"/>
      <c r="CC1587" s="78"/>
      <c r="CD1587" s="78"/>
      <c r="CE1587" s="78"/>
      <c r="CF1587" s="78"/>
      <c r="CG1587" s="532"/>
    </row>
    <row r="1588" spans="1:85" s="615" customFormat="1" x14ac:dyDescent="0.3">
      <c r="A1588" s="522" t="s">
        <v>1089</v>
      </c>
      <c r="B1588" s="521"/>
      <c r="C1588" s="1122"/>
      <c r="D1588" s="1122"/>
      <c r="E1588" s="1122"/>
      <c r="F1588" s="1122"/>
      <c r="G1588" s="520"/>
      <c r="H1588" s="520"/>
      <c r="I1588" s="520"/>
      <c r="J1588" s="520"/>
      <c r="K1588" s="1122"/>
      <c r="L1588" s="520"/>
      <c r="M1588" s="520"/>
      <c r="N1588" s="520"/>
      <c r="O1588" s="520"/>
      <c r="P1588" s="1122"/>
      <c r="Q1588" s="520"/>
      <c r="R1588" s="520"/>
      <c r="S1588" s="520"/>
      <c r="T1588" s="520"/>
      <c r="U1588" s="1122"/>
      <c r="V1588" s="520"/>
      <c r="W1588" s="520"/>
      <c r="X1588" s="520"/>
      <c r="Y1588" s="520"/>
      <c r="Z1588" s="1122"/>
      <c r="AA1588" s="520"/>
      <c r="AB1588" s="520"/>
      <c r="AC1588" s="520"/>
      <c r="AD1588" s="520"/>
      <c r="AE1588" s="1122"/>
      <c r="AF1588" s="520"/>
      <c r="AG1588" s="520"/>
      <c r="AH1588" s="520"/>
      <c r="AI1588" s="520"/>
      <c r="AJ1588" s="1122"/>
      <c r="AK1588" s="520"/>
      <c r="AL1588" s="520"/>
      <c r="AM1588" s="520"/>
      <c r="AN1588" s="520"/>
      <c r="AO1588" s="1122"/>
      <c r="AP1588" s="520"/>
      <c r="AQ1588" s="520"/>
      <c r="AR1588" s="520"/>
      <c r="AS1588" s="520"/>
      <c r="AT1588" s="1124"/>
      <c r="AU1588" s="520"/>
      <c r="AV1588" s="520"/>
      <c r="AW1588" s="520"/>
      <c r="AX1588" s="520"/>
      <c r="AY1588" s="1123">
        <v>539.04</v>
      </c>
      <c r="AZ1588" s="520"/>
      <c r="BA1588" s="520"/>
      <c r="BB1588" s="520"/>
      <c r="BC1588" s="520"/>
      <c r="BD1588" s="1123">
        <v>539.04</v>
      </c>
      <c r="BE1588" s="520"/>
      <c r="BF1588" s="520"/>
      <c r="BG1588" s="520"/>
      <c r="BH1588" s="520"/>
      <c r="BI1588" s="1123">
        <v>539.04</v>
      </c>
      <c r="BJ1588" s="520"/>
      <c r="BK1588" s="520"/>
      <c r="BL1588" s="520"/>
      <c r="BM1588" s="520"/>
      <c r="BN1588" s="1124"/>
      <c r="BO1588" s="520"/>
      <c r="BP1588" s="520"/>
      <c r="BQ1588" s="520"/>
      <c r="BR1588" s="520"/>
      <c r="BS1588" s="1124"/>
      <c r="BT1588" s="728"/>
      <c r="BU1588" s="520"/>
      <c r="BV1588" s="520"/>
      <c r="BW1588" s="520"/>
      <c r="BX1588" s="1122"/>
      <c r="BY1588" s="520"/>
      <c r="BZ1588" s="520"/>
      <c r="CA1588" s="520"/>
      <c r="CB1588" s="520"/>
      <c r="CC1588" s="1122"/>
      <c r="CD1588" s="1122"/>
      <c r="CE1588" s="1122"/>
      <c r="CF1588" s="1122"/>
      <c r="CG1588" s="519"/>
    </row>
    <row r="1589" spans="1:85" s="614" customFormat="1" x14ac:dyDescent="0.3">
      <c r="A1589" s="522"/>
      <c r="B1589" s="352"/>
      <c r="C1589" s="1094"/>
      <c r="D1589" s="1094"/>
      <c r="E1589" s="1094"/>
      <c r="F1589" s="1094"/>
      <c r="G1589" s="197"/>
      <c r="H1589" s="197"/>
      <c r="I1589" s="197"/>
      <c r="J1589" s="197"/>
      <c r="K1589" s="1094"/>
      <c r="L1589" s="197"/>
      <c r="M1589" s="197"/>
      <c r="N1589" s="197"/>
      <c r="O1589" s="197"/>
      <c r="P1589" s="1094"/>
      <c r="Q1589" s="197"/>
      <c r="R1589" s="197"/>
      <c r="S1589" s="197"/>
      <c r="T1589" s="197"/>
      <c r="U1589" s="1094"/>
      <c r="V1589" s="197"/>
      <c r="W1589" s="197"/>
      <c r="X1589" s="197"/>
      <c r="Y1589" s="197"/>
      <c r="Z1589" s="1094"/>
      <c r="AA1589" s="197"/>
      <c r="AB1589" s="197"/>
      <c r="AC1589" s="197"/>
      <c r="AD1589" s="197"/>
      <c r="AE1589" s="1094"/>
      <c r="AF1589" s="197"/>
      <c r="AG1589" s="197"/>
      <c r="AH1589" s="197"/>
      <c r="AI1589" s="197"/>
      <c r="AJ1589" s="1094"/>
      <c r="AK1589" s="197"/>
      <c r="AL1589" s="197"/>
      <c r="AM1589" s="197"/>
      <c r="AN1589" s="197"/>
      <c r="AO1589" s="1094"/>
      <c r="AP1589" s="197"/>
      <c r="AQ1589" s="197"/>
      <c r="AR1589" s="197"/>
      <c r="AS1589" s="197"/>
      <c r="AT1589" s="198"/>
      <c r="AU1589" s="197"/>
      <c r="AV1589" s="197"/>
      <c r="AW1589" s="197"/>
      <c r="AX1589" s="197"/>
      <c r="AY1589" s="198"/>
      <c r="AZ1589" s="197"/>
      <c r="BA1589" s="197"/>
      <c r="BB1589" s="197"/>
      <c r="BC1589" s="197"/>
      <c r="BD1589" s="198"/>
      <c r="BE1589" s="197"/>
      <c r="BF1589" s="197"/>
      <c r="BG1589" s="197"/>
      <c r="BH1589" s="197"/>
      <c r="BI1589" s="198"/>
      <c r="BJ1589" s="197"/>
      <c r="BK1589" s="197"/>
      <c r="BL1589" s="197"/>
      <c r="BM1589" s="197"/>
      <c r="BN1589" s="198"/>
      <c r="BO1589" s="197"/>
      <c r="BP1589" s="197"/>
      <c r="BQ1589" s="197"/>
      <c r="BR1589" s="197"/>
      <c r="BS1589" s="198"/>
      <c r="BT1589" s="727"/>
      <c r="BU1589" s="197"/>
      <c r="BV1589" s="197"/>
      <c r="BW1589" s="197"/>
      <c r="BX1589" s="1094"/>
      <c r="BY1589" s="197"/>
      <c r="BZ1589" s="197"/>
      <c r="CA1589" s="197"/>
      <c r="CB1589" s="197"/>
      <c r="CC1589" s="1094"/>
      <c r="CD1589" s="1094"/>
      <c r="CE1589" s="1094"/>
      <c r="CF1589" s="1094"/>
      <c r="CG1589" s="349"/>
    </row>
    <row r="1590" spans="1:85" s="613" customFormat="1" x14ac:dyDescent="0.3">
      <c r="A1590" s="478" t="s">
        <v>1088</v>
      </c>
      <c r="B1590" s="523"/>
      <c r="C1590" s="78"/>
      <c r="D1590" s="78"/>
      <c r="E1590" s="78"/>
      <c r="F1590" s="78"/>
      <c r="G1590" s="774"/>
      <c r="H1590" s="774"/>
      <c r="I1590" s="774"/>
      <c r="J1590" s="774"/>
      <c r="K1590" s="78"/>
      <c r="L1590" s="774"/>
      <c r="M1590" s="774"/>
      <c r="N1590" s="774"/>
      <c r="O1590" s="774"/>
      <c r="P1590" s="78"/>
      <c r="Q1590" s="774"/>
      <c r="R1590" s="774"/>
      <c r="S1590" s="774"/>
      <c r="T1590" s="774"/>
      <c r="U1590" s="78"/>
      <c r="V1590" s="774"/>
      <c r="W1590" s="774"/>
      <c r="X1590" s="774"/>
      <c r="Y1590" s="774"/>
      <c r="Z1590" s="78"/>
      <c r="AA1590" s="774"/>
      <c r="AB1590" s="774"/>
      <c r="AC1590" s="774"/>
      <c r="AD1590" s="774"/>
      <c r="AE1590" s="78"/>
      <c r="AF1590" s="774"/>
      <c r="AG1590" s="774"/>
      <c r="AH1590" s="774"/>
      <c r="AI1590" s="774"/>
      <c r="AJ1590" s="78"/>
      <c r="AK1590" s="774"/>
      <c r="AL1590" s="774"/>
      <c r="AM1590" s="774"/>
      <c r="AN1590" s="774"/>
      <c r="AO1590" s="78"/>
      <c r="AP1590" s="774"/>
      <c r="AQ1590" s="774"/>
      <c r="AR1590" s="774"/>
      <c r="AS1590" s="774"/>
      <c r="AT1590" s="78"/>
      <c r="AU1590" s="774"/>
      <c r="AV1590" s="774"/>
      <c r="AW1590" s="774"/>
      <c r="AX1590" s="774"/>
      <c r="AY1590" s="1119">
        <v>0.189</v>
      </c>
      <c r="AZ1590" s="774"/>
      <c r="BA1590" s="774"/>
      <c r="BB1590" s="774"/>
      <c r="BC1590" s="774"/>
      <c r="BD1590" s="1119">
        <v>0.189</v>
      </c>
      <c r="BE1590" s="774"/>
      <c r="BF1590" s="774"/>
      <c r="BG1590" s="774"/>
      <c r="BH1590" s="774"/>
      <c r="BI1590" s="1119">
        <v>0.189</v>
      </c>
      <c r="BJ1590" s="774"/>
      <c r="BK1590" s="774"/>
      <c r="BL1590" s="774"/>
      <c r="BM1590" s="774"/>
      <c r="BN1590" s="78"/>
      <c r="BO1590" s="774"/>
      <c r="BP1590" s="774"/>
      <c r="BQ1590" s="774"/>
      <c r="BR1590" s="774"/>
      <c r="BS1590" s="78"/>
      <c r="BT1590" s="775"/>
      <c r="BU1590" s="774"/>
      <c r="BV1590" s="774"/>
      <c r="BW1590" s="774"/>
      <c r="BX1590" s="78"/>
      <c r="BY1590" s="774"/>
      <c r="BZ1590" s="774"/>
      <c r="CA1590" s="774"/>
      <c r="CB1590" s="774"/>
      <c r="CC1590" s="78"/>
      <c r="CD1590" s="78"/>
      <c r="CE1590" s="78"/>
      <c r="CF1590" s="78"/>
      <c r="CG1590" s="532"/>
    </row>
    <row r="1591" spans="1:85" s="615" customFormat="1" x14ac:dyDescent="0.3">
      <c r="A1591" s="522" t="s">
        <v>1087</v>
      </c>
      <c r="B1591" s="521"/>
      <c r="C1591" s="1122"/>
      <c r="D1591" s="1122"/>
      <c r="E1591" s="1122"/>
      <c r="F1591" s="1122"/>
      <c r="G1591" s="520"/>
      <c r="H1591" s="520"/>
      <c r="I1591" s="520"/>
      <c r="J1591" s="520"/>
      <c r="K1591" s="1122"/>
      <c r="L1591" s="520"/>
      <c r="M1591" s="520"/>
      <c r="N1591" s="520"/>
      <c r="O1591" s="520"/>
      <c r="P1591" s="1122"/>
      <c r="Q1591" s="520"/>
      <c r="R1591" s="520"/>
      <c r="S1591" s="520"/>
      <c r="T1591" s="520"/>
      <c r="U1591" s="1122"/>
      <c r="V1591" s="520"/>
      <c r="W1591" s="520"/>
      <c r="X1591" s="520"/>
      <c r="Y1591" s="520"/>
      <c r="Z1591" s="1122"/>
      <c r="AA1591" s="520"/>
      <c r="AB1591" s="520"/>
      <c r="AC1591" s="520"/>
      <c r="AD1591" s="520"/>
      <c r="AE1591" s="1122"/>
      <c r="AF1591" s="520"/>
      <c r="AG1591" s="520"/>
      <c r="AH1591" s="520"/>
      <c r="AI1591" s="520"/>
      <c r="AJ1591" s="1122"/>
      <c r="AK1591" s="520"/>
      <c r="AL1591" s="520"/>
      <c r="AM1591" s="520"/>
      <c r="AN1591" s="520"/>
      <c r="AO1591" s="1122"/>
      <c r="AP1591" s="520"/>
      <c r="AQ1591" s="520"/>
      <c r="AR1591" s="520"/>
      <c r="AS1591" s="520"/>
      <c r="AT1591" s="1124"/>
      <c r="AU1591" s="520"/>
      <c r="AV1591" s="520"/>
      <c r="AW1591" s="520"/>
      <c r="AX1591" s="520"/>
      <c r="AY1591" s="1123">
        <v>550.64</v>
      </c>
      <c r="AZ1591" s="520"/>
      <c r="BA1591" s="520"/>
      <c r="BB1591" s="520"/>
      <c r="BC1591" s="520"/>
      <c r="BD1591" s="1123">
        <v>550.64</v>
      </c>
      <c r="BE1591" s="520"/>
      <c r="BF1591" s="520"/>
      <c r="BG1591" s="520"/>
      <c r="BH1591" s="520"/>
      <c r="BI1591" s="1123">
        <v>550.64</v>
      </c>
      <c r="BJ1591" s="520"/>
      <c r="BK1591" s="520"/>
      <c r="BL1591" s="520"/>
      <c r="BM1591" s="520"/>
      <c r="BN1591" s="1124"/>
      <c r="BO1591" s="520"/>
      <c r="BP1591" s="520"/>
      <c r="BQ1591" s="520"/>
      <c r="BR1591" s="520"/>
      <c r="BS1591" s="1124"/>
      <c r="BT1591" s="728"/>
      <c r="BU1591" s="520"/>
      <c r="BV1591" s="520"/>
      <c r="BW1591" s="520"/>
      <c r="BX1591" s="1122"/>
      <c r="BY1591" s="520"/>
      <c r="BZ1591" s="520"/>
      <c r="CA1591" s="520"/>
      <c r="CB1591" s="520"/>
      <c r="CC1591" s="1122"/>
      <c r="CD1591" s="1122"/>
      <c r="CE1591" s="1122"/>
      <c r="CF1591" s="1122"/>
      <c r="CG1591" s="519"/>
    </row>
    <row r="1592" spans="1:85" s="614" customFormat="1" x14ac:dyDescent="0.3">
      <c r="A1592" s="522"/>
      <c r="B1592" s="352"/>
      <c r="C1592" s="1094"/>
      <c r="D1592" s="1094"/>
      <c r="E1592" s="1094"/>
      <c r="F1592" s="1094"/>
      <c r="G1592" s="197"/>
      <c r="H1592" s="197"/>
      <c r="I1592" s="197"/>
      <c r="J1592" s="197"/>
      <c r="K1592" s="1094"/>
      <c r="L1592" s="197"/>
      <c r="M1592" s="197"/>
      <c r="N1592" s="197"/>
      <c r="O1592" s="197"/>
      <c r="P1592" s="1094"/>
      <c r="Q1592" s="197"/>
      <c r="R1592" s="197"/>
      <c r="S1592" s="197"/>
      <c r="T1592" s="197"/>
      <c r="U1592" s="1094"/>
      <c r="V1592" s="197"/>
      <c r="W1592" s="197"/>
      <c r="X1592" s="197"/>
      <c r="Y1592" s="197"/>
      <c r="Z1592" s="1094"/>
      <c r="AA1592" s="197"/>
      <c r="AB1592" s="197"/>
      <c r="AC1592" s="197"/>
      <c r="AD1592" s="197"/>
      <c r="AE1592" s="1094"/>
      <c r="AF1592" s="197"/>
      <c r="AG1592" s="197"/>
      <c r="AH1592" s="197"/>
      <c r="AI1592" s="197"/>
      <c r="AJ1592" s="1094"/>
      <c r="AK1592" s="197"/>
      <c r="AL1592" s="197"/>
      <c r="AM1592" s="197"/>
      <c r="AN1592" s="197"/>
      <c r="AO1592" s="1094"/>
      <c r="AP1592" s="197"/>
      <c r="AQ1592" s="197"/>
      <c r="AR1592" s="197"/>
      <c r="AS1592" s="197"/>
      <c r="AT1592" s="198"/>
      <c r="AU1592" s="197"/>
      <c r="AV1592" s="197"/>
      <c r="AW1592" s="197"/>
      <c r="AX1592" s="197"/>
      <c r="AY1592" s="198"/>
      <c r="AZ1592" s="197"/>
      <c r="BA1592" s="197"/>
      <c r="BB1592" s="197"/>
      <c r="BC1592" s="197"/>
      <c r="BD1592" s="198"/>
      <c r="BE1592" s="197"/>
      <c r="BF1592" s="197"/>
      <c r="BG1592" s="197"/>
      <c r="BH1592" s="197"/>
      <c r="BI1592" s="198"/>
      <c r="BJ1592" s="197"/>
      <c r="BK1592" s="197"/>
      <c r="BL1592" s="197"/>
      <c r="BM1592" s="197"/>
      <c r="BN1592" s="198"/>
      <c r="BO1592" s="197"/>
      <c r="BP1592" s="197"/>
      <c r="BQ1592" s="197"/>
      <c r="BR1592" s="197"/>
      <c r="BS1592" s="198"/>
      <c r="BT1592" s="727"/>
      <c r="BU1592" s="197"/>
      <c r="BV1592" s="197"/>
      <c r="BW1592" s="197"/>
      <c r="BX1592" s="1094"/>
      <c r="BY1592" s="197"/>
      <c r="BZ1592" s="197"/>
      <c r="CA1592" s="197"/>
      <c r="CB1592" s="197"/>
      <c r="CC1592" s="1094"/>
      <c r="CD1592" s="1094"/>
      <c r="CE1592" s="1094"/>
      <c r="CF1592" s="1094"/>
      <c r="CG1592" s="349"/>
    </row>
    <row r="1593" spans="1:85" s="613" customFormat="1" x14ac:dyDescent="0.3">
      <c r="A1593" s="478" t="s">
        <v>1086</v>
      </c>
      <c r="B1593" s="523"/>
      <c r="C1593" s="78"/>
      <c r="D1593" s="78"/>
      <c r="E1593" s="78"/>
      <c r="F1593" s="78"/>
      <c r="G1593" s="774"/>
      <c r="H1593" s="774"/>
      <c r="I1593" s="774"/>
      <c r="J1593" s="774"/>
      <c r="K1593" s="78"/>
      <c r="L1593" s="774"/>
      <c r="M1593" s="774"/>
      <c r="N1593" s="774"/>
      <c r="O1593" s="774"/>
      <c r="P1593" s="78"/>
      <c r="Q1593" s="774"/>
      <c r="R1593" s="774"/>
      <c r="S1593" s="774"/>
      <c r="T1593" s="774"/>
      <c r="U1593" s="78"/>
      <c r="V1593" s="774"/>
      <c r="W1593" s="774"/>
      <c r="X1593" s="774"/>
      <c r="Y1593" s="774"/>
      <c r="Z1593" s="78"/>
      <c r="AA1593" s="774"/>
      <c r="AB1593" s="774"/>
      <c r="AC1593" s="774"/>
      <c r="AD1593" s="774"/>
      <c r="AE1593" s="78"/>
      <c r="AF1593" s="774"/>
      <c r="AG1593" s="774"/>
      <c r="AH1593" s="774"/>
      <c r="AI1593" s="774"/>
      <c r="AJ1593" s="78"/>
      <c r="AK1593" s="774"/>
      <c r="AL1593" s="774"/>
      <c r="AM1593" s="774"/>
      <c r="AN1593" s="774"/>
      <c r="AO1593" s="78"/>
      <c r="AP1593" s="774"/>
      <c r="AQ1593" s="774"/>
      <c r="AR1593" s="774"/>
      <c r="AS1593" s="774"/>
      <c r="AT1593" s="78"/>
      <c r="AU1593" s="774"/>
      <c r="AV1593" s="774"/>
      <c r="AW1593" s="774"/>
      <c r="AX1593" s="774"/>
      <c r="AY1593" s="1119">
        <v>0.19400000000000001</v>
      </c>
      <c r="AZ1593" s="774"/>
      <c r="BA1593" s="774"/>
      <c r="BB1593" s="774"/>
      <c r="BC1593" s="774"/>
      <c r="BD1593" s="1119">
        <v>0.19400000000000001</v>
      </c>
      <c r="BE1593" s="774"/>
      <c r="BF1593" s="774"/>
      <c r="BG1593" s="774"/>
      <c r="BH1593" s="774"/>
      <c r="BI1593" s="1119">
        <v>0.19400000000000001</v>
      </c>
      <c r="BJ1593" s="774"/>
      <c r="BK1593" s="774"/>
      <c r="BL1593" s="774"/>
      <c r="BM1593" s="774"/>
      <c r="BN1593" s="78"/>
      <c r="BO1593" s="774"/>
      <c r="BP1593" s="774"/>
      <c r="BQ1593" s="774"/>
      <c r="BR1593" s="774"/>
      <c r="BS1593" s="78"/>
      <c r="BT1593" s="775"/>
      <c r="BU1593" s="774"/>
      <c r="BV1593" s="774"/>
      <c r="BW1593" s="774"/>
      <c r="BX1593" s="78"/>
      <c r="BY1593" s="774"/>
      <c r="BZ1593" s="774"/>
      <c r="CA1593" s="774"/>
      <c r="CB1593" s="774"/>
      <c r="CC1593" s="78"/>
      <c r="CD1593" s="78"/>
      <c r="CE1593" s="78"/>
      <c r="CF1593" s="78"/>
      <c r="CG1593" s="532"/>
    </row>
    <row r="1594" spans="1:85" s="615" customFormat="1" x14ac:dyDescent="0.3">
      <c r="A1594" s="522" t="s">
        <v>1085</v>
      </c>
      <c r="B1594" s="521"/>
      <c r="C1594" s="1122"/>
      <c r="D1594" s="1122"/>
      <c r="E1594" s="1122"/>
      <c r="F1594" s="1122"/>
      <c r="G1594" s="520"/>
      <c r="H1594" s="520"/>
      <c r="I1594" s="520"/>
      <c r="J1594" s="520"/>
      <c r="K1594" s="1122"/>
      <c r="L1594" s="520"/>
      <c r="M1594" s="520"/>
      <c r="N1594" s="520"/>
      <c r="O1594" s="520"/>
      <c r="P1594" s="1122"/>
      <c r="Q1594" s="520"/>
      <c r="R1594" s="520"/>
      <c r="S1594" s="520"/>
      <c r="T1594" s="520"/>
      <c r="U1594" s="1122"/>
      <c r="V1594" s="520"/>
      <c r="W1594" s="520"/>
      <c r="X1594" s="520"/>
      <c r="Y1594" s="520"/>
      <c r="Z1594" s="1122"/>
      <c r="AA1594" s="520"/>
      <c r="AB1594" s="520"/>
      <c r="AC1594" s="520"/>
      <c r="AD1594" s="520"/>
      <c r="AE1594" s="1122"/>
      <c r="AF1594" s="520"/>
      <c r="AG1594" s="520"/>
      <c r="AH1594" s="520"/>
      <c r="AI1594" s="520"/>
      <c r="AJ1594" s="1122"/>
      <c r="AK1594" s="520"/>
      <c r="AL1594" s="520"/>
      <c r="AM1594" s="520"/>
      <c r="AN1594" s="520"/>
      <c r="AO1594" s="1122"/>
      <c r="AP1594" s="520"/>
      <c r="AQ1594" s="520"/>
      <c r="AR1594" s="520"/>
      <c r="AS1594" s="520"/>
      <c r="AT1594" s="1124"/>
      <c r="AU1594" s="520"/>
      <c r="AV1594" s="520"/>
      <c r="AW1594" s="520"/>
      <c r="AX1594" s="520"/>
      <c r="AY1594" s="1123">
        <v>539.41999999999996</v>
      </c>
      <c r="AZ1594" s="520"/>
      <c r="BA1594" s="520"/>
      <c r="BB1594" s="520"/>
      <c r="BC1594" s="520"/>
      <c r="BD1594" s="1123">
        <v>539.41999999999996</v>
      </c>
      <c r="BE1594" s="520"/>
      <c r="BF1594" s="520"/>
      <c r="BG1594" s="520"/>
      <c r="BH1594" s="520"/>
      <c r="BI1594" s="1123">
        <v>539.41999999999996</v>
      </c>
      <c r="BJ1594" s="520"/>
      <c r="BK1594" s="520"/>
      <c r="BL1594" s="520"/>
      <c r="BM1594" s="520"/>
      <c r="BN1594" s="1124"/>
      <c r="BO1594" s="520"/>
      <c r="BP1594" s="520"/>
      <c r="BQ1594" s="520"/>
      <c r="BR1594" s="520"/>
      <c r="BS1594" s="1124"/>
      <c r="BT1594" s="728"/>
      <c r="BU1594" s="520"/>
      <c r="BV1594" s="520"/>
      <c r="BW1594" s="520"/>
      <c r="BX1594" s="1122"/>
      <c r="BY1594" s="520"/>
      <c r="BZ1594" s="520"/>
      <c r="CA1594" s="520"/>
      <c r="CB1594" s="520"/>
      <c r="CC1594" s="1122"/>
      <c r="CD1594" s="1122"/>
      <c r="CE1594" s="1122"/>
      <c r="CF1594" s="1122"/>
      <c r="CG1594" s="519"/>
    </row>
    <row r="1595" spans="1:85" s="614" customFormat="1" x14ac:dyDescent="0.3">
      <c r="A1595" s="522"/>
      <c r="B1595" s="352"/>
      <c r="C1595" s="1094"/>
      <c r="D1595" s="1094"/>
      <c r="E1595" s="1094"/>
      <c r="F1595" s="1094"/>
      <c r="G1595" s="197"/>
      <c r="H1595" s="197"/>
      <c r="I1595" s="197"/>
      <c r="J1595" s="197"/>
      <c r="K1595" s="1094"/>
      <c r="L1595" s="197"/>
      <c r="M1595" s="197"/>
      <c r="N1595" s="197"/>
      <c r="O1595" s="197"/>
      <c r="P1595" s="1094"/>
      <c r="Q1595" s="197"/>
      <c r="R1595" s="197"/>
      <c r="S1595" s="197"/>
      <c r="T1595" s="197"/>
      <c r="U1595" s="1094"/>
      <c r="V1595" s="197"/>
      <c r="W1595" s="197"/>
      <c r="X1595" s="197"/>
      <c r="Y1595" s="197"/>
      <c r="Z1595" s="1094"/>
      <c r="AA1595" s="197"/>
      <c r="AB1595" s="197"/>
      <c r="AC1595" s="197"/>
      <c r="AD1595" s="197"/>
      <c r="AE1595" s="1094"/>
      <c r="AF1595" s="197"/>
      <c r="AG1595" s="197"/>
      <c r="AH1595" s="197"/>
      <c r="AI1595" s="197"/>
      <c r="AJ1595" s="1094"/>
      <c r="AK1595" s="197"/>
      <c r="AL1595" s="197"/>
      <c r="AM1595" s="197"/>
      <c r="AN1595" s="197"/>
      <c r="AO1595" s="1094"/>
      <c r="AP1595" s="197"/>
      <c r="AQ1595" s="197"/>
      <c r="AR1595" s="197"/>
      <c r="AS1595" s="197"/>
      <c r="AT1595" s="198"/>
      <c r="AU1595" s="197"/>
      <c r="AV1595" s="197"/>
      <c r="AW1595" s="197"/>
      <c r="AX1595" s="197"/>
      <c r="AY1595" s="198"/>
      <c r="AZ1595" s="197"/>
      <c r="BA1595" s="197"/>
      <c r="BB1595" s="197"/>
      <c r="BC1595" s="197"/>
      <c r="BD1595" s="198"/>
      <c r="BE1595" s="197"/>
      <c r="BF1595" s="197"/>
      <c r="BG1595" s="197"/>
      <c r="BH1595" s="197"/>
      <c r="BI1595" s="198"/>
      <c r="BJ1595" s="197"/>
      <c r="BK1595" s="197"/>
      <c r="BL1595" s="197"/>
      <c r="BM1595" s="197"/>
      <c r="BN1595" s="198"/>
      <c r="BO1595" s="197"/>
      <c r="BP1595" s="197"/>
      <c r="BQ1595" s="197"/>
      <c r="BR1595" s="197"/>
      <c r="BS1595" s="198"/>
      <c r="BT1595" s="727"/>
      <c r="BU1595" s="197"/>
      <c r="BV1595" s="197"/>
      <c r="BW1595" s="197"/>
      <c r="BX1595" s="1094"/>
      <c r="BY1595" s="197"/>
      <c r="BZ1595" s="197"/>
      <c r="CA1595" s="197"/>
      <c r="CB1595" s="197"/>
      <c r="CC1595" s="1094"/>
      <c r="CD1595" s="1094"/>
      <c r="CE1595" s="1094"/>
      <c r="CF1595" s="1094"/>
      <c r="CG1595" s="349"/>
    </row>
    <row r="1596" spans="1:85" s="613" customFormat="1" x14ac:dyDescent="0.3">
      <c r="A1596" s="478" t="s">
        <v>1084</v>
      </c>
      <c r="B1596" s="523"/>
      <c r="C1596" s="78"/>
      <c r="D1596" s="78"/>
      <c r="E1596" s="78"/>
      <c r="F1596" s="78"/>
      <c r="G1596" s="774"/>
      <c r="H1596" s="774"/>
      <c r="I1596" s="774"/>
      <c r="J1596" s="774"/>
      <c r="K1596" s="78"/>
      <c r="L1596" s="774"/>
      <c r="M1596" s="774"/>
      <c r="N1596" s="774"/>
      <c r="O1596" s="774"/>
      <c r="P1596" s="78"/>
      <c r="Q1596" s="774"/>
      <c r="R1596" s="774"/>
      <c r="S1596" s="774"/>
      <c r="T1596" s="774"/>
      <c r="U1596" s="78"/>
      <c r="V1596" s="774"/>
      <c r="W1596" s="774"/>
      <c r="X1596" s="774"/>
      <c r="Y1596" s="774"/>
      <c r="Z1596" s="78"/>
      <c r="AA1596" s="774"/>
      <c r="AB1596" s="774"/>
      <c r="AC1596" s="774"/>
      <c r="AD1596" s="774"/>
      <c r="AE1596" s="78"/>
      <c r="AF1596" s="774"/>
      <c r="AG1596" s="774"/>
      <c r="AH1596" s="774"/>
      <c r="AI1596" s="774"/>
      <c r="AJ1596" s="78"/>
      <c r="AK1596" s="774"/>
      <c r="AL1596" s="774"/>
      <c r="AM1596" s="774"/>
      <c r="AN1596" s="774"/>
      <c r="AO1596" s="78"/>
      <c r="AP1596" s="774"/>
      <c r="AQ1596" s="774"/>
      <c r="AR1596" s="774"/>
      <c r="AS1596" s="774"/>
      <c r="AT1596" s="78"/>
      <c r="AU1596" s="774"/>
      <c r="AV1596" s="774"/>
      <c r="AW1596" s="774"/>
      <c r="AX1596" s="774"/>
      <c r="AY1596" s="1119">
        <v>0.20399999999999999</v>
      </c>
      <c r="AZ1596" s="774"/>
      <c r="BA1596" s="774"/>
      <c r="BB1596" s="774"/>
      <c r="BC1596" s="774"/>
      <c r="BD1596" s="1119">
        <v>0.20399999999999999</v>
      </c>
      <c r="BE1596" s="774"/>
      <c r="BF1596" s="774"/>
      <c r="BG1596" s="774"/>
      <c r="BH1596" s="774"/>
      <c r="BI1596" s="1119">
        <v>0.20399999999999999</v>
      </c>
      <c r="BJ1596" s="774"/>
      <c r="BK1596" s="774"/>
      <c r="BL1596" s="774"/>
      <c r="BM1596" s="774"/>
      <c r="BN1596" s="78"/>
      <c r="BO1596" s="774"/>
      <c r="BP1596" s="774"/>
      <c r="BQ1596" s="774"/>
      <c r="BR1596" s="774"/>
      <c r="BS1596" s="78"/>
      <c r="BT1596" s="775"/>
      <c r="BU1596" s="774"/>
      <c r="BV1596" s="774"/>
      <c r="BW1596" s="774"/>
      <c r="BX1596" s="78"/>
      <c r="BY1596" s="774"/>
      <c r="BZ1596" s="774"/>
      <c r="CA1596" s="774"/>
      <c r="CB1596" s="774"/>
      <c r="CC1596" s="78"/>
      <c r="CD1596" s="78"/>
      <c r="CE1596" s="78"/>
      <c r="CF1596" s="78"/>
      <c r="CG1596" s="532"/>
    </row>
    <row r="1597" spans="1:85" s="615" customFormat="1" x14ac:dyDescent="0.3">
      <c r="A1597" s="522" t="s">
        <v>1083</v>
      </c>
      <c r="B1597" s="521"/>
      <c r="C1597" s="1122"/>
      <c r="D1597" s="1122"/>
      <c r="E1597" s="1122"/>
      <c r="F1597" s="1122"/>
      <c r="G1597" s="520"/>
      <c r="H1597" s="520"/>
      <c r="I1597" s="520"/>
      <c r="J1597" s="520"/>
      <c r="K1597" s="1122"/>
      <c r="L1597" s="520"/>
      <c r="M1597" s="520"/>
      <c r="N1597" s="520"/>
      <c r="O1597" s="520"/>
      <c r="P1597" s="1122"/>
      <c r="Q1597" s="520"/>
      <c r="R1597" s="520"/>
      <c r="S1597" s="520"/>
      <c r="T1597" s="520"/>
      <c r="U1597" s="1122"/>
      <c r="V1597" s="520"/>
      <c r="W1597" s="520"/>
      <c r="X1597" s="520"/>
      <c r="Y1597" s="520"/>
      <c r="Z1597" s="1122"/>
      <c r="AA1597" s="520"/>
      <c r="AB1597" s="520"/>
      <c r="AC1597" s="520"/>
      <c r="AD1597" s="520"/>
      <c r="AE1597" s="1122"/>
      <c r="AF1597" s="520"/>
      <c r="AG1597" s="520"/>
      <c r="AH1597" s="520"/>
      <c r="AI1597" s="520"/>
      <c r="AJ1597" s="1122"/>
      <c r="AK1597" s="520"/>
      <c r="AL1597" s="520"/>
      <c r="AM1597" s="520"/>
      <c r="AN1597" s="520"/>
      <c r="AO1597" s="1122"/>
      <c r="AP1597" s="520"/>
      <c r="AQ1597" s="520"/>
      <c r="AR1597" s="520"/>
      <c r="AS1597" s="520"/>
      <c r="AT1597" s="1124"/>
      <c r="AU1597" s="520"/>
      <c r="AV1597" s="520"/>
      <c r="AW1597" s="520"/>
      <c r="AX1597" s="520"/>
      <c r="AY1597" s="1123">
        <v>509.11</v>
      </c>
      <c r="AZ1597" s="520"/>
      <c r="BA1597" s="520"/>
      <c r="BB1597" s="520"/>
      <c r="BC1597" s="520"/>
      <c r="BD1597" s="1123">
        <v>509.11</v>
      </c>
      <c r="BE1597" s="520"/>
      <c r="BF1597" s="520"/>
      <c r="BG1597" s="520"/>
      <c r="BH1597" s="520"/>
      <c r="BI1597" s="1123">
        <v>509.11</v>
      </c>
      <c r="BJ1597" s="520"/>
      <c r="BK1597" s="520"/>
      <c r="BL1597" s="520"/>
      <c r="BM1597" s="520"/>
      <c r="BN1597" s="1124"/>
      <c r="BO1597" s="520"/>
      <c r="BP1597" s="520"/>
      <c r="BQ1597" s="520"/>
      <c r="BR1597" s="520"/>
      <c r="BS1597" s="1124"/>
      <c r="BT1597" s="728"/>
      <c r="BU1597" s="520"/>
      <c r="BV1597" s="520"/>
      <c r="BW1597" s="520"/>
      <c r="BX1597" s="1122"/>
      <c r="BY1597" s="520"/>
      <c r="BZ1597" s="520"/>
      <c r="CA1597" s="520"/>
      <c r="CB1597" s="520"/>
      <c r="CC1597" s="1122"/>
      <c r="CD1597" s="1122"/>
      <c r="CE1597" s="1122"/>
      <c r="CF1597" s="1122"/>
      <c r="CG1597" s="519"/>
    </row>
    <row r="1598" spans="1:85" s="614" customFormat="1" x14ac:dyDescent="0.3">
      <c r="A1598" s="522"/>
      <c r="B1598" s="352"/>
      <c r="C1598" s="1094"/>
      <c r="D1598" s="1094"/>
      <c r="E1598" s="1094"/>
      <c r="F1598" s="1094"/>
      <c r="G1598" s="197"/>
      <c r="H1598" s="197"/>
      <c r="I1598" s="197"/>
      <c r="J1598" s="197"/>
      <c r="K1598" s="1094"/>
      <c r="L1598" s="197"/>
      <c r="M1598" s="197"/>
      <c r="N1598" s="197"/>
      <c r="O1598" s="197"/>
      <c r="P1598" s="1094"/>
      <c r="Q1598" s="197"/>
      <c r="R1598" s="197"/>
      <c r="S1598" s="197"/>
      <c r="T1598" s="197"/>
      <c r="U1598" s="1094"/>
      <c r="V1598" s="197"/>
      <c r="W1598" s="197"/>
      <c r="X1598" s="197"/>
      <c r="Y1598" s="197"/>
      <c r="Z1598" s="1094"/>
      <c r="AA1598" s="197"/>
      <c r="AB1598" s="197"/>
      <c r="AC1598" s="197"/>
      <c r="AD1598" s="197"/>
      <c r="AE1598" s="1094"/>
      <c r="AF1598" s="197"/>
      <c r="AG1598" s="197"/>
      <c r="AH1598" s="197"/>
      <c r="AI1598" s="197"/>
      <c r="AJ1598" s="1094"/>
      <c r="AK1598" s="197"/>
      <c r="AL1598" s="197"/>
      <c r="AM1598" s="197"/>
      <c r="AN1598" s="197"/>
      <c r="AO1598" s="1094"/>
      <c r="AP1598" s="197"/>
      <c r="AQ1598" s="197"/>
      <c r="AR1598" s="197"/>
      <c r="AS1598" s="197"/>
      <c r="AT1598" s="198"/>
      <c r="AU1598" s="197"/>
      <c r="AV1598" s="197"/>
      <c r="AW1598" s="197"/>
      <c r="AX1598" s="197"/>
      <c r="AY1598" s="198"/>
      <c r="AZ1598" s="197"/>
      <c r="BA1598" s="197"/>
      <c r="BB1598" s="197"/>
      <c r="BC1598" s="197"/>
      <c r="BD1598" s="198"/>
      <c r="BE1598" s="197"/>
      <c r="BF1598" s="197"/>
      <c r="BG1598" s="197"/>
      <c r="BH1598" s="197"/>
      <c r="BI1598" s="198"/>
      <c r="BJ1598" s="197"/>
      <c r="BK1598" s="197"/>
      <c r="BL1598" s="197"/>
      <c r="BM1598" s="197"/>
      <c r="BN1598" s="198"/>
      <c r="BO1598" s="197"/>
      <c r="BP1598" s="197"/>
      <c r="BQ1598" s="197"/>
      <c r="BR1598" s="197"/>
      <c r="BS1598" s="198"/>
      <c r="BT1598" s="727"/>
      <c r="BU1598" s="197"/>
      <c r="BV1598" s="197"/>
      <c r="BW1598" s="197"/>
      <c r="BX1598" s="1094"/>
      <c r="BY1598" s="197"/>
      <c r="BZ1598" s="197"/>
      <c r="CA1598" s="197"/>
      <c r="CB1598" s="197"/>
      <c r="CC1598" s="1094"/>
      <c r="CD1598" s="1094"/>
      <c r="CE1598" s="1094"/>
      <c r="CF1598" s="1094"/>
      <c r="CG1598" s="349"/>
    </row>
    <row r="1599" spans="1:85" s="613" customFormat="1" x14ac:dyDescent="0.3">
      <c r="A1599" s="478" t="s">
        <v>1082</v>
      </c>
      <c r="B1599" s="523"/>
      <c r="C1599" s="78"/>
      <c r="D1599" s="78"/>
      <c r="E1599" s="78"/>
      <c r="F1599" s="78"/>
      <c r="G1599" s="774"/>
      <c r="H1599" s="774"/>
      <c r="I1599" s="774"/>
      <c r="J1599" s="774"/>
      <c r="K1599" s="78"/>
      <c r="L1599" s="774"/>
      <c r="M1599" s="774"/>
      <c r="N1599" s="774"/>
      <c r="O1599" s="774"/>
      <c r="P1599" s="78"/>
      <c r="Q1599" s="774"/>
      <c r="R1599" s="774"/>
      <c r="S1599" s="774"/>
      <c r="T1599" s="774"/>
      <c r="U1599" s="78"/>
      <c r="V1599" s="774"/>
      <c r="W1599" s="774"/>
      <c r="X1599" s="774"/>
      <c r="Y1599" s="774"/>
      <c r="Z1599" s="78"/>
      <c r="AA1599" s="774"/>
      <c r="AB1599" s="774"/>
      <c r="AC1599" s="774"/>
      <c r="AD1599" s="774"/>
      <c r="AE1599" s="78"/>
      <c r="AF1599" s="774"/>
      <c r="AG1599" s="774"/>
      <c r="AH1599" s="774"/>
      <c r="AI1599" s="774"/>
      <c r="AJ1599" s="78"/>
      <c r="AK1599" s="774"/>
      <c r="AL1599" s="774"/>
      <c r="AM1599" s="774"/>
      <c r="AN1599" s="774"/>
      <c r="AO1599" s="78"/>
      <c r="AP1599" s="774"/>
      <c r="AQ1599" s="774"/>
      <c r="AR1599" s="774"/>
      <c r="AS1599" s="774"/>
      <c r="AT1599" s="78"/>
      <c r="AU1599" s="774"/>
      <c r="AV1599" s="774"/>
      <c r="AW1599" s="774"/>
      <c r="AX1599" s="774"/>
      <c r="AY1599" s="1119">
        <v>0.20899999999999999</v>
      </c>
      <c r="AZ1599" s="774"/>
      <c r="BA1599" s="774"/>
      <c r="BB1599" s="774"/>
      <c r="BC1599" s="774"/>
      <c r="BD1599" s="1119">
        <v>0.20899999999999999</v>
      </c>
      <c r="BE1599" s="774"/>
      <c r="BF1599" s="774"/>
      <c r="BG1599" s="774"/>
      <c r="BH1599" s="774"/>
      <c r="BI1599" s="1119">
        <v>0.20899999999999999</v>
      </c>
      <c r="BJ1599" s="774"/>
      <c r="BK1599" s="774"/>
      <c r="BL1599" s="774"/>
      <c r="BM1599" s="774"/>
      <c r="BN1599" s="78"/>
      <c r="BO1599" s="774"/>
      <c r="BP1599" s="774"/>
      <c r="BQ1599" s="774"/>
      <c r="BR1599" s="774"/>
      <c r="BS1599" s="78"/>
      <c r="BT1599" s="775"/>
      <c r="BU1599" s="774"/>
      <c r="BV1599" s="774"/>
      <c r="BW1599" s="774"/>
      <c r="BX1599" s="78"/>
      <c r="BY1599" s="774"/>
      <c r="BZ1599" s="774"/>
      <c r="CA1599" s="774"/>
      <c r="CB1599" s="774"/>
      <c r="CC1599" s="78"/>
      <c r="CD1599" s="78"/>
      <c r="CE1599" s="78"/>
      <c r="CF1599" s="78"/>
      <c r="CG1599" s="532"/>
    </row>
    <row r="1600" spans="1:85" s="615" customFormat="1" x14ac:dyDescent="0.3">
      <c r="A1600" s="522" t="s">
        <v>1081</v>
      </c>
      <c r="B1600" s="521"/>
      <c r="C1600" s="1122"/>
      <c r="D1600" s="1122"/>
      <c r="E1600" s="1122"/>
      <c r="F1600" s="1122"/>
      <c r="G1600" s="520"/>
      <c r="H1600" s="520"/>
      <c r="I1600" s="520"/>
      <c r="J1600" s="520"/>
      <c r="K1600" s="1122"/>
      <c r="L1600" s="520"/>
      <c r="M1600" s="520"/>
      <c r="N1600" s="520"/>
      <c r="O1600" s="520"/>
      <c r="P1600" s="1122"/>
      <c r="Q1600" s="520"/>
      <c r="R1600" s="520"/>
      <c r="S1600" s="520"/>
      <c r="T1600" s="520"/>
      <c r="U1600" s="1122"/>
      <c r="V1600" s="520"/>
      <c r="W1600" s="520"/>
      <c r="X1600" s="520"/>
      <c r="Y1600" s="520"/>
      <c r="Z1600" s="1122"/>
      <c r="AA1600" s="520"/>
      <c r="AB1600" s="520"/>
      <c r="AC1600" s="520"/>
      <c r="AD1600" s="520"/>
      <c r="AE1600" s="1122"/>
      <c r="AF1600" s="520"/>
      <c r="AG1600" s="520"/>
      <c r="AH1600" s="520"/>
      <c r="AI1600" s="520"/>
      <c r="AJ1600" s="1122"/>
      <c r="AK1600" s="520"/>
      <c r="AL1600" s="520"/>
      <c r="AM1600" s="520"/>
      <c r="AN1600" s="520"/>
      <c r="AO1600" s="1122"/>
      <c r="AP1600" s="520"/>
      <c r="AQ1600" s="520"/>
      <c r="AR1600" s="520"/>
      <c r="AS1600" s="520"/>
      <c r="AT1600" s="1124"/>
      <c r="AU1600" s="520"/>
      <c r="AV1600" s="520"/>
      <c r="AW1600" s="520"/>
      <c r="AX1600" s="520"/>
      <c r="AY1600" s="1123">
        <v>499.08</v>
      </c>
      <c r="AZ1600" s="520"/>
      <c r="BA1600" s="520"/>
      <c r="BB1600" s="520"/>
      <c r="BC1600" s="520"/>
      <c r="BD1600" s="1123">
        <v>499.08</v>
      </c>
      <c r="BE1600" s="520"/>
      <c r="BF1600" s="520"/>
      <c r="BG1600" s="520"/>
      <c r="BH1600" s="520"/>
      <c r="BI1600" s="1123">
        <v>499.08</v>
      </c>
      <c r="BJ1600" s="520"/>
      <c r="BK1600" s="520"/>
      <c r="BL1600" s="520"/>
      <c r="BM1600" s="520"/>
      <c r="BN1600" s="1124"/>
      <c r="BO1600" s="520"/>
      <c r="BP1600" s="520"/>
      <c r="BQ1600" s="520"/>
      <c r="BR1600" s="520"/>
      <c r="BS1600" s="1124"/>
      <c r="BT1600" s="728"/>
      <c r="BU1600" s="520"/>
      <c r="BV1600" s="520"/>
      <c r="BW1600" s="520"/>
      <c r="BX1600" s="1122"/>
      <c r="BY1600" s="520"/>
      <c r="BZ1600" s="520"/>
      <c r="CA1600" s="520"/>
      <c r="CB1600" s="520"/>
      <c r="CC1600" s="1122"/>
      <c r="CD1600" s="1122"/>
      <c r="CE1600" s="1122"/>
      <c r="CF1600" s="1122"/>
      <c r="CG1600" s="519"/>
    </row>
    <row r="1601" spans="1:85" s="614" customFormat="1" x14ac:dyDescent="0.3">
      <c r="A1601" s="522"/>
      <c r="B1601" s="352"/>
      <c r="C1601" s="1094"/>
      <c r="D1601" s="1094"/>
      <c r="E1601" s="1094"/>
      <c r="F1601" s="1094"/>
      <c r="G1601" s="197"/>
      <c r="H1601" s="197"/>
      <c r="I1601" s="197"/>
      <c r="J1601" s="197"/>
      <c r="K1601" s="1094"/>
      <c r="L1601" s="197"/>
      <c r="M1601" s="197"/>
      <c r="N1601" s="197"/>
      <c r="O1601" s="197"/>
      <c r="P1601" s="1094"/>
      <c r="Q1601" s="197"/>
      <c r="R1601" s="197"/>
      <c r="S1601" s="197"/>
      <c r="T1601" s="197"/>
      <c r="U1601" s="1094"/>
      <c r="V1601" s="197"/>
      <c r="W1601" s="197"/>
      <c r="X1601" s="197"/>
      <c r="Y1601" s="197"/>
      <c r="Z1601" s="1094"/>
      <c r="AA1601" s="197"/>
      <c r="AB1601" s="197"/>
      <c r="AC1601" s="197"/>
      <c r="AD1601" s="197"/>
      <c r="AE1601" s="1094"/>
      <c r="AF1601" s="197"/>
      <c r="AG1601" s="197"/>
      <c r="AH1601" s="197"/>
      <c r="AI1601" s="197"/>
      <c r="AJ1601" s="1094"/>
      <c r="AK1601" s="197"/>
      <c r="AL1601" s="197"/>
      <c r="AM1601" s="197"/>
      <c r="AN1601" s="197"/>
      <c r="AO1601" s="1094"/>
      <c r="AP1601" s="197"/>
      <c r="AQ1601" s="197"/>
      <c r="AR1601" s="197"/>
      <c r="AS1601" s="197"/>
      <c r="AT1601" s="198"/>
      <c r="AU1601" s="197"/>
      <c r="AV1601" s="197"/>
      <c r="AW1601" s="197"/>
      <c r="AX1601" s="197"/>
      <c r="AY1601" s="198"/>
      <c r="AZ1601" s="197"/>
      <c r="BA1601" s="197"/>
      <c r="BB1601" s="197"/>
      <c r="BC1601" s="197"/>
      <c r="BD1601" s="198"/>
      <c r="BE1601" s="197"/>
      <c r="BF1601" s="197"/>
      <c r="BG1601" s="197"/>
      <c r="BH1601" s="197"/>
      <c r="BI1601" s="198"/>
      <c r="BJ1601" s="197"/>
      <c r="BK1601" s="197"/>
      <c r="BL1601" s="197"/>
      <c r="BM1601" s="197"/>
      <c r="BN1601" s="198"/>
      <c r="BO1601" s="197"/>
      <c r="BP1601" s="197"/>
      <c r="BQ1601" s="197"/>
      <c r="BR1601" s="197"/>
      <c r="BS1601" s="198"/>
      <c r="BT1601" s="727"/>
      <c r="BU1601" s="197"/>
      <c r="BV1601" s="197"/>
      <c r="BW1601" s="197"/>
      <c r="BX1601" s="1094"/>
      <c r="BY1601" s="197"/>
      <c r="BZ1601" s="197"/>
      <c r="CA1601" s="197"/>
      <c r="CB1601" s="197"/>
      <c r="CC1601" s="1094"/>
      <c r="CD1601" s="1094"/>
      <c r="CE1601" s="1094"/>
      <c r="CF1601" s="1094"/>
      <c r="CG1601" s="349"/>
    </row>
    <row r="1602" spans="1:85" s="613" customFormat="1" x14ac:dyDescent="0.3">
      <c r="A1602" s="478" t="s">
        <v>1080</v>
      </c>
      <c r="B1602" s="523"/>
      <c r="C1602" s="78"/>
      <c r="D1602" s="78"/>
      <c r="E1602" s="78"/>
      <c r="F1602" s="78"/>
      <c r="G1602" s="774"/>
      <c r="H1602" s="774"/>
      <c r="I1602" s="774"/>
      <c r="J1602" s="774"/>
      <c r="K1602" s="78"/>
      <c r="L1602" s="774"/>
      <c r="M1602" s="774"/>
      <c r="N1602" s="774"/>
      <c r="O1602" s="774"/>
      <c r="P1602" s="78"/>
      <c r="Q1602" s="774"/>
      <c r="R1602" s="774"/>
      <c r="S1602" s="774"/>
      <c r="T1602" s="774"/>
      <c r="U1602" s="78"/>
      <c r="V1602" s="774"/>
      <c r="W1602" s="774"/>
      <c r="X1602" s="774"/>
      <c r="Y1602" s="774"/>
      <c r="Z1602" s="78"/>
      <c r="AA1602" s="774"/>
      <c r="AB1602" s="774"/>
      <c r="AC1602" s="774"/>
      <c r="AD1602" s="774"/>
      <c r="AE1602" s="78"/>
      <c r="AF1602" s="774"/>
      <c r="AG1602" s="774"/>
      <c r="AH1602" s="774"/>
      <c r="AI1602" s="774"/>
      <c r="AJ1602" s="78"/>
      <c r="AK1602" s="774"/>
      <c r="AL1602" s="774"/>
      <c r="AM1602" s="774"/>
      <c r="AN1602" s="774"/>
      <c r="AO1602" s="78"/>
      <c r="AP1602" s="774"/>
      <c r="AQ1602" s="774"/>
      <c r="AR1602" s="774"/>
      <c r="AS1602" s="774"/>
      <c r="AT1602" s="78"/>
      <c r="AU1602" s="774"/>
      <c r="AV1602" s="774"/>
      <c r="AW1602" s="774"/>
      <c r="AX1602" s="774"/>
      <c r="AY1602" s="1119">
        <v>0.19500000000000001</v>
      </c>
      <c r="AZ1602" s="774"/>
      <c r="BA1602" s="774"/>
      <c r="BB1602" s="774"/>
      <c r="BC1602" s="774"/>
      <c r="BD1602" s="1119">
        <v>0.19500000000000001</v>
      </c>
      <c r="BE1602" s="774"/>
      <c r="BF1602" s="774"/>
      <c r="BG1602" s="774"/>
      <c r="BH1602" s="774"/>
      <c r="BI1602" s="1119">
        <v>0.19500000000000001</v>
      </c>
      <c r="BJ1602" s="774"/>
      <c r="BK1602" s="774"/>
      <c r="BL1602" s="774"/>
      <c r="BM1602" s="774"/>
      <c r="BN1602" s="78"/>
      <c r="BO1602" s="774"/>
      <c r="BP1602" s="774"/>
      <c r="BQ1602" s="774"/>
      <c r="BR1602" s="774"/>
      <c r="BS1602" s="78"/>
      <c r="BT1602" s="775"/>
      <c r="BU1602" s="774"/>
      <c r="BV1602" s="774"/>
      <c r="BW1602" s="774"/>
      <c r="BX1602" s="78"/>
      <c r="BY1602" s="774"/>
      <c r="BZ1602" s="774"/>
      <c r="CA1602" s="774"/>
      <c r="CB1602" s="774"/>
      <c r="CC1602" s="78"/>
      <c r="CD1602" s="78"/>
      <c r="CE1602" s="78"/>
      <c r="CF1602" s="78"/>
      <c r="CG1602" s="532"/>
    </row>
    <row r="1603" spans="1:85" s="615" customFormat="1" x14ac:dyDescent="0.3">
      <c r="A1603" s="522" t="s">
        <v>1079</v>
      </c>
      <c r="B1603" s="521"/>
      <c r="C1603" s="1122"/>
      <c r="D1603" s="1122"/>
      <c r="E1603" s="1122"/>
      <c r="F1603" s="1122"/>
      <c r="G1603" s="520"/>
      <c r="H1603" s="520"/>
      <c r="I1603" s="520"/>
      <c r="J1603" s="520"/>
      <c r="K1603" s="1122"/>
      <c r="L1603" s="520"/>
      <c r="M1603" s="520"/>
      <c r="N1603" s="520"/>
      <c r="O1603" s="520"/>
      <c r="P1603" s="1122"/>
      <c r="Q1603" s="520"/>
      <c r="R1603" s="520"/>
      <c r="S1603" s="520"/>
      <c r="T1603" s="520"/>
      <c r="U1603" s="1122"/>
      <c r="V1603" s="520"/>
      <c r="W1603" s="520"/>
      <c r="X1603" s="520"/>
      <c r="Y1603" s="520"/>
      <c r="Z1603" s="1122"/>
      <c r="AA1603" s="520"/>
      <c r="AB1603" s="520"/>
      <c r="AC1603" s="520"/>
      <c r="AD1603" s="520"/>
      <c r="AE1603" s="1122"/>
      <c r="AF1603" s="520"/>
      <c r="AG1603" s="520"/>
      <c r="AH1603" s="520"/>
      <c r="AI1603" s="520"/>
      <c r="AJ1603" s="1122"/>
      <c r="AK1603" s="520"/>
      <c r="AL1603" s="520"/>
      <c r="AM1603" s="520"/>
      <c r="AN1603" s="520"/>
      <c r="AO1603" s="1122"/>
      <c r="AP1603" s="520"/>
      <c r="AQ1603" s="520"/>
      <c r="AR1603" s="520"/>
      <c r="AS1603" s="520"/>
      <c r="AT1603" s="1124"/>
      <c r="AU1603" s="520"/>
      <c r="AV1603" s="520"/>
      <c r="AW1603" s="520"/>
      <c r="AX1603" s="520"/>
      <c r="AY1603" s="1123">
        <v>533.54</v>
      </c>
      <c r="AZ1603" s="520"/>
      <c r="BA1603" s="520"/>
      <c r="BB1603" s="520"/>
      <c r="BC1603" s="520"/>
      <c r="BD1603" s="1123">
        <v>533.54</v>
      </c>
      <c r="BE1603" s="520"/>
      <c r="BF1603" s="520"/>
      <c r="BG1603" s="520"/>
      <c r="BH1603" s="520"/>
      <c r="BI1603" s="1123">
        <v>533.54</v>
      </c>
      <c r="BJ1603" s="520"/>
      <c r="BK1603" s="520"/>
      <c r="BL1603" s="520"/>
      <c r="BM1603" s="520"/>
      <c r="BN1603" s="1124"/>
      <c r="BO1603" s="520"/>
      <c r="BP1603" s="520"/>
      <c r="BQ1603" s="520"/>
      <c r="BR1603" s="520"/>
      <c r="BS1603" s="1124"/>
      <c r="BT1603" s="728"/>
      <c r="BU1603" s="520"/>
      <c r="BV1603" s="520"/>
      <c r="BW1603" s="520"/>
      <c r="BX1603" s="1122"/>
      <c r="BY1603" s="520"/>
      <c r="BZ1603" s="520"/>
      <c r="CA1603" s="520"/>
      <c r="CB1603" s="520"/>
      <c r="CC1603" s="1122"/>
      <c r="CD1603" s="1122"/>
      <c r="CE1603" s="1122"/>
      <c r="CF1603" s="1122"/>
      <c r="CG1603" s="519"/>
    </row>
    <row r="1604" spans="1:85" s="614" customFormat="1" x14ac:dyDescent="0.3">
      <c r="A1604" s="522"/>
      <c r="B1604" s="352"/>
      <c r="C1604" s="1094"/>
      <c r="D1604" s="1094"/>
      <c r="E1604" s="1094"/>
      <c r="F1604" s="1094"/>
      <c r="G1604" s="197"/>
      <c r="H1604" s="197"/>
      <c r="I1604" s="197"/>
      <c r="J1604" s="197"/>
      <c r="K1604" s="1094"/>
      <c r="L1604" s="197"/>
      <c r="M1604" s="197"/>
      <c r="N1604" s="197"/>
      <c r="O1604" s="197"/>
      <c r="P1604" s="1094"/>
      <c r="Q1604" s="197"/>
      <c r="R1604" s="197"/>
      <c r="S1604" s="197"/>
      <c r="T1604" s="197"/>
      <c r="U1604" s="1094"/>
      <c r="V1604" s="197"/>
      <c r="W1604" s="197"/>
      <c r="X1604" s="197"/>
      <c r="Y1604" s="197"/>
      <c r="Z1604" s="1094"/>
      <c r="AA1604" s="197"/>
      <c r="AB1604" s="197"/>
      <c r="AC1604" s="197"/>
      <c r="AD1604" s="197"/>
      <c r="AE1604" s="1094"/>
      <c r="AF1604" s="197"/>
      <c r="AG1604" s="197"/>
      <c r="AH1604" s="197"/>
      <c r="AI1604" s="197"/>
      <c r="AJ1604" s="1094"/>
      <c r="AK1604" s="197"/>
      <c r="AL1604" s="197"/>
      <c r="AM1604" s="197"/>
      <c r="AN1604" s="197"/>
      <c r="AO1604" s="1094"/>
      <c r="AP1604" s="197"/>
      <c r="AQ1604" s="197"/>
      <c r="AR1604" s="197"/>
      <c r="AS1604" s="197"/>
      <c r="AT1604" s="198"/>
      <c r="AU1604" s="197"/>
      <c r="AV1604" s="197"/>
      <c r="AW1604" s="197"/>
      <c r="AX1604" s="197"/>
      <c r="AY1604" s="198"/>
      <c r="AZ1604" s="197"/>
      <c r="BA1604" s="197"/>
      <c r="BB1604" s="197"/>
      <c r="BC1604" s="197"/>
      <c r="BD1604" s="198"/>
      <c r="BE1604" s="197"/>
      <c r="BF1604" s="197"/>
      <c r="BG1604" s="197"/>
      <c r="BH1604" s="197"/>
      <c r="BI1604" s="198"/>
      <c r="BJ1604" s="197"/>
      <c r="BK1604" s="197"/>
      <c r="BL1604" s="197"/>
      <c r="BM1604" s="197"/>
      <c r="BN1604" s="198"/>
      <c r="BO1604" s="197"/>
      <c r="BP1604" s="197"/>
      <c r="BQ1604" s="197"/>
      <c r="BR1604" s="197"/>
      <c r="BS1604" s="198"/>
      <c r="BT1604" s="727"/>
      <c r="BU1604" s="197"/>
      <c r="BV1604" s="197"/>
      <c r="BW1604" s="197"/>
      <c r="BX1604" s="1094"/>
      <c r="BY1604" s="197"/>
      <c r="BZ1604" s="197"/>
      <c r="CA1604" s="197"/>
      <c r="CB1604" s="197"/>
      <c r="CC1604" s="1094"/>
      <c r="CD1604" s="1094"/>
      <c r="CE1604" s="1094"/>
      <c r="CF1604" s="1094"/>
      <c r="CG1604" s="349"/>
    </row>
    <row r="1605" spans="1:85" s="613" customFormat="1" x14ac:dyDescent="0.3">
      <c r="A1605" s="478" t="s">
        <v>1078</v>
      </c>
      <c r="B1605" s="523"/>
      <c r="C1605" s="78"/>
      <c r="D1605" s="78"/>
      <c r="E1605" s="78"/>
      <c r="F1605" s="78"/>
      <c r="G1605" s="774"/>
      <c r="H1605" s="774"/>
      <c r="I1605" s="774"/>
      <c r="J1605" s="774"/>
      <c r="K1605" s="78"/>
      <c r="L1605" s="774"/>
      <c r="M1605" s="774"/>
      <c r="N1605" s="774"/>
      <c r="O1605" s="774"/>
      <c r="P1605" s="78"/>
      <c r="Q1605" s="774"/>
      <c r="R1605" s="774"/>
      <c r="S1605" s="774"/>
      <c r="T1605" s="774"/>
      <c r="U1605" s="78"/>
      <c r="V1605" s="774"/>
      <c r="W1605" s="774"/>
      <c r="X1605" s="774"/>
      <c r="Y1605" s="774"/>
      <c r="Z1605" s="78"/>
      <c r="AA1605" s="774"/>
      <c r="AB1605" s="774"/>
      <c r="AC1605" s="774"/>
      <c r="AD1605" s="774"/>
      <c r="AE1605" s="78"/>
      <c r="AF1605" s="774"/>
      <c r="AG1605" s="774"/>
      <c r="AH1605" s="774"/>
      <c r="AI1605" s="774"/>
      <c r="AJ1605" s="78"/>
      <c r="AK1605" s="774"/>
      <c r="AL1605" s="774"/>
      <c r="AM1605" s="774"/>
      <c r="AN1605" s="774"/>
      <c r="AO1605" s="78"/>
      <c r="AP1605" s="774"/>
      <c r="AQ1605" s="774"/>
      <c r="AR1605" s="774"/>
      <c r="AS1605" s="774"/>
      <c r="AT1605" s="78"/>
      <c r="AU1605" s="774"/>
      <c r="AV1605" s="774"/>
      <c r="AW1605" s="774"/>
      <c r="AX1605" s="774"/>
      <c r="AY1605" s="1119">
        <v>0.20200000000000001</v>
      </c>
      <c r="AZ1605" s="774"/>
      <c r="BA1605" s="774"/>
      <c r="BB1605" s="774"/>
      <c r="BC1605" s="774"/>
      <c r="BD1605" s="1119">
        <v>0.20200000000000001</v>
      </c>
      <c r="BE1605" s="774"/>
      <c r="BF1605" s="774"/>
      <c r="BG1605" s="774"/>
      <c r="BH1605" s="774"/>
      <c r="BI1605" s="1119">
        <v>0.20200000000000001</v>
      </c>
      <c r="BJ1605" s="774"/>
      <c r="BK1605" s="774"/>
      <c r="BL1605" s="774"/>
      <c r="BM1605" s="774"/>
      <c r="BN1605" s="78"/>
      <c r="BO1605" s="774"/>
      <c r="BP1605" s="774"/>
      <c r="BQ1605" s="774"/>
      <c r="BR1605" s="774"/>
      <c r="BS1605" s="78"/>
      <c r="BT1605" s="775"/>
      <c r="BU1605" s="774"/>
      <c r="BV1605" s="774"/>
      <c r="BW1605" s="774"/>
      <c r="BX1605" s="78"/>
      <c r="BY1605" s="774"/>
      <c r="BZ1605" s="774"/>
      <c r="CA1605" s="774"/>
      <c r="CB1605" s="774"/>
      <c r="CC1605" s="78"/>
      <c r="CD1605" s="78"/>
      <c r="CE1605" s="78"/>
      <c r="CF1605" s="78"/>
      <c r="CG1605" s="532"/>
    </row>
    <row r="1606" spans="1:85" s="615" customFormat="1" x14ac:dyDescent="0.3">
      <c r="A1606" s="522" t="s">
        <v>1077</v>
      </c>
      <c r="B1606" s="521"/>
      <c r="C1606" s="1122"/>
      <c r="D1606" s="1122"/>
      <c r="E1606" s="1122"/>
      <c r="F1606" s="1122"/>
      <c r="G1606" s="520"/>
      <c r="H1606" s="520"/>
      <c r="I1606" s="520"/>
      <c r="J1606" s="520"/>
      <c r="K1606" s="1122"/>
      <c r="L1606" s="520"/>
      <c r="M1606" s="520"/>
      <c r="N1606" s="520"/>
      <c r="O1606" s="520"/>
      <c r="P1606" s="1122"/>
      <c r="Q1606" s="520"/>
      <c r="R1606" s="520"/>
      <c r="S1606" s="520"/>
      <c r="T1606" s="520"/>
      <c r="U1606" s="1122"/>
      <c r="V1606" s="520"/>
      <c r="W1606" s="520"/>
      <c r="X1606" s="520"/>
      <c r="Y1606" s="520"/>
      <c r="Z1606" s="1122"/>
      <c r="AA1606" s="520"/>
      <c r="AB1606" s="520"/>
      <c r="AC1606" s="520"/>
      <c r="AD1606" s="520"/>
      <c r="AE1606" s="1122"/>
      <c r="AF1606" s="520"/>
      <c r="AG1606" s="520"/>
      <c r="AH1606" s="520"/>
      <c r="AI1606" s="520"/>
      <c r="AJ1606" s="1122"/>
      <c r="AK1606" s="520"/>
      <c r="AL1606" s="520"/>
      <c r="AM1606" s="520"/>
      <c r="AN1606" s="520"/>
      <c r="AO1606" s="1122"/>
      <c r="AP1606" s="520"/>
      <c r="AQ1606" s="520"/>
      <c r="AR1606" s="520"/>
      <c r="AS1606" s="520"/>
      <c r="AT1606" s="1124"/>
      <c r="AU1606" s="520"/>
      <c r="AV1606" s="520"/>
      <c r="AW1606" s="520"/>
      <c r="AX1606" s="520"/>
      <c r="AY1606" s="1123">
        <v>515.15</v>
      </c>
      <c r="AZ1606" s="520"/>
      <c r="BA1606" s="520"/>
      <c r="BB1606" s="520"/>
      <c r="BC1606" s="520"/>
      <c r="BD1606" s="1123">
        <v>515.15</v>
      </c>
      <c r="BE1606" s="520"/>
      <c r="BF1606" s="520"/>
      <c r="BG1606" s="520"/>
      <c r="BH1606" s="520"/>
      <c r="BI1606" s="1123">
        <v>515.15</v>
      </c>
      <c r="BJ1606" s="520"/>
      <c r="BK1606" s="520"/>
      <c r="BL1606" s="520"/>
      <c r="BM1606" s="520"/>
      <c r="BN1606" s="1124"/>
      <c r="BO1606" s="520"/>
      <c r="BP1606" s="520"/>
      <c r="BQ1606" s="520"/>
      <c r="BR1606" s="520"/>
      <c r="BS1606" s="1124"/>
      <c r="BT1606" s="728"/>
      <c r="BU1606" s="520"/>
      <c r="BV1606" s="520"/>
      <c r="BW1606" s="520"/>
      <c r="BX1606" s="1122"/>
      <c r="BY1606" s="520"/>
      <c r="BZ1606" s="520"/>
      <c r="CA1606" s="520"/>
      <c r="CB1606" s="520"/>
      <c r="CC1606" s="1122"/>
      <c r="CD1606" s="1122"/>
      <c r="CE1606" s="1122"/>
      <c r="CF1606" s="1122"/>
      <c r="CG1606" s="519"/>
    </row>
    <row r="1607" spans="1:85" s="614" customFormat="1" x14ac:dyDescent="0.3">
      <c r="A1607" s="522"/>
      <c r="B1607" s="352"/>
      <c r="C1607" s="1094"/>
      <c r="D1607" s="1094"/>
      <c r="E1607" s="1094"/>
      <c r="F1607" s="1094"/>
      <c r="G1607" s="197"/>
      <c r="H1607" s="197"/>
      <c r="I1607" s="197"/>
      <c r="J1607" s="197"/>
      <c r="K1607" s="1094"/>
      <c r="L1607" s="197"/>
      <c r="M1607" s="197"/>
      <c r="N1607" s="197"/>
      <c r="O1607" s="197"/>
      <c r="P1607" s="1094"/>
      <c r="Q1607" s="197"/>
      <c r="R1607" s="197"/>
      <c r="S1607" s="197"/>
      <c r="T1607" s="197"/>
      <c r="U1607" s="1094"/>
      <c r="V1607" s="197"/>
      <c r="W1607" s="197"/>
      <c r="X1607" s="197"/>
      <c r="Y1607" s="197"/>
      <c r="Z1607" s="1094"/>
      <c r="AA1607" s="197"/>
      <c r="AB1607" s="197"/>
      <c r="AC1607" s="197"/>
      <c r="AD1607" s="197"/>
      <c r="AE1607" s="1094"/>
      <c r="AF1607" s="197"/>
      <c r="AG1607" s="197"/>
      <c r="AH1607" s="197"/>
      <c r="AI1607" s="197"/>
      <c r="AJ1607" s="1094"/>
      <c r="AK1607" s="197"/>
      <c r="AL1607" s="197"/>
      <c r="AM1607" s="197"/>
      <c r="AN1607" s="197"/>
      <c r="AO1607" s="1094"/>
      <c r="AP1607" s="197"/>
      <c r="AQ1607" s="197"/>
      <c r="AR1607" s="197"/>
      <c r="AS1607" s="197"/>
      <c r="AT1607" s="198"/>
      <c r="AU1607" s="197"/>
      <c r="AV1607" s="197"/>
      <c r="AW1607" s="197"/>
      <c r="AX1607" s="197"/>
      <c r="AY1607" s="198"/>
      <c r="AZ1607" s="197"/>
      <c r="BA1607" s="197"/>
      <c r="BB1607" s="197"/>
      <c r="BC1607" s="197"/>
      <c r="BD1607" s="198"/>
      <c r="BE1607" s="197"/>
      <c r="BF1607" s="197"/>
      <c r="BG1607" s="197"/>
      <c r="BH1607" s="197"/>
      <c r="BI1607" s="198"/>
      <c r="BJ1607" s="197"/>
      <c r="BK1607" s="197"/>
      <c r="BL1607" s="197"/>
      <c r="BM1607" s="197"/>
      <c r="BN1607" s="198"/>
      <c r="BO1607" s="197"/>
      <c r="BP1607" s="197"/>
      <c r="BQ1607" s="197"/>
      <c r="BR1607" s="197"/>
      <c r="BS1607" s="198"/>
      <c r="BT1607" s="727"/>
      <c r="BU1607" s="197"/>
      <c r="BV1607" s="197"/>
      <c r="BW1607" s="197"/>
      <c r="BX1607" s="1094"/>
      <c r="BY1607" s="197"/>
      <c r="BZ1607" s="197"/>
      <c r="CA1607" s="197"/>
      <c r="CB1607" s="197"/>
      <c r="CC1607" s="1094"/>
      <c r="CD1607" s="1094"/>
      <c r="CE1607" s="1094"/>
      <c r="CF1607" s="1094"/>
      <c r="CG1607" s="349"/>
    </row>
    <row r="1608" spans="1:85" s="613" customFormat="1" x14ac:dyDescent="0.3">
      <c r="A1608" s="478" t="s">
        <v>1076</v>
      </c>
      <c r="B1608" s="523"/>
      <c r="C1608" s="78"/>
      <c r="D1608" s="78"/>
      <c r="E1608" s="78"/>
      <c r="F1608" s="78"/>
      <c r="G1608" s="774"/>
      <c r="H1608" s="774"/>
      <c r="I1608" s="774"/>
      <c r="J1608" s="774"/>
      <c r="K1608" s="78"/>
      <c r="L1608" s="774"/>
      <c r="M1608" s="774"/>
      <c r="N1608" s="774"/>
      <c r="O1608" s="774"/>
      <c r="P1608" s="78"/>
      <c r="Q1608" s="774"/>
      <c r="R1608" s="774"/>
      <c r="S1608" s="774"/>
      <c r="T1608" s="774"/>
      <c r="U1608" s="78"/>
      <c r="V1608" s="774"/>
      <c r="W1608" s="774"/>
      <c r="X1608" s="774"/>
      <c r="Y1608" s="774"/>
      <c r="Z1608" s="78"/>
      <c r="AA1608" s="774"/>
      <c r="AB1608" s="774"/>
      <c r="AC1608" s="774"/>
      <c r="AD1608" s="774"/>
      <c r="AE1608" s="78"/>
      <c r="AF1608" s="774"/>
      <c r="AG1608" s="774"/>
      <c r="AH1608" s="774"/>
      <c r="AI1608" s="774"/>
      <c r="AJ1608" s="78"/>
      <c r="AK1608" s="774"/>
      <c r="AL1608" s="774"/>
      <c r="AM1608" s="774"/>
      <c r="AN1608" s="774"/>
      <c r="AO1608" s="78"/>
      <c r="AP1608" s="774"/>
      <c r="AQ1608" s="774"/>
      <c r="AR1608" s="774"/>
      <c r="AS1608" s="774"/>
      <c r="AT1608" s="78"/>
      <c r="AU1608" s="774"/>
      <c r="AV1608" s="774"/>
      <c r="AW1608" s="774"/>
      <c r="AX1608" s="774"/>
      <c r="AY1608" s="1119">
        <v>0.17899999999999999</v>
      </c>
      <c r="AZ1608" s="774"/>
      <c r="BA1608" s="774"/>
      <c r="BB1608" s="774"/>
      <c r="BC1608" s="774"/>
      <c r="BD1608" s="1119">
        <v>0.17899999999999999</v>
      </c>
      <c r="BE1608" s="774"/>
      <c r="BF1608" s="774"/>
      <c r="BG1608" s="774"/>
      <c r="BH1608" s="774"/>
      <c r="BI1608" s="1119">
        <v>0.17899999999999999</v>
      </c>
      <c r="BJ1608" s="774"/>
      <c r="BK1608" s="774"/>
      <c r="BL1608" s="774"/>
      <c r="BM1608" s="774"/>
      <c r="BN1608" s="78"/>
      <c r="BO1608" s="774"/>
      <c r="BP1608" s="774"/>
      <c r="BQ1608" s="774"/>
      <c r="BR1608" s="774"/>
      <c r="BS1608" s="78"/>
      <c r="BT1608" s="775"/>
      <c r="BU1608" s="774"/>
      <c r="BV1608" s="774"/>
      <c r="BW1608" s="774"/>
      <c r="BX1608" s="78"/>
      <c r="BY1608" s="774"/>
      <c r="BZ1608" s="774"/>
      <c r="CA1608" s="774"/>
      <c r="CB1608" s="774"/>
      <c r="CC1608" s="78"/>
      <c r="CD1608" s="78"/>
      <c r="CE1608" s="78"/>
      <c r="CF1608" s="78"/>
      <c r="CG1608" s="532"/>
    </row>
    <row r="1609" spans="1:85" s="615" customFormat="1" x14ac:dyDescent="0.3">
      <c r="A1609" s="522" t="s">
        <v>1075</v>
      </c>
      <c r="B1609" s="521"/>
      <c r="C1609" s="1122"/>
      <c r="D1609" s="1122"/>
      <c r="E1609" s="1122"/>
      <c r="F1609" s="1122"/>
      <c r="G1609" s="520"/>
      <c r="H1609" s="520"/>
      <c r="I1609" s="520"/>
      <c r="J1609" s="520"/>
      <c r="K1609" s="1122"/>
      <c r="L1609" s="520"/>
      <c r="M1609" s="520"/>
      <c r="N1609" s="520"/>
      <c r="O1609" s="520"/>
      <c r="P1609" s="1122"/>
      <c r="Q1609" s="520"/>
      <c r="R1609" s="520"/>
      <c r="S1609" s="520"/>
      <c r="T1609" s="520"/>
      <c r="U1609" s="1122"/>
      <c r="V1609" s="520"/>
      <c r="W1609" s="520"/>
      <c r="X1609" s="520"/>
      <c r="Y1609" s="520"/>
      <c r="Z1609" s="1122"/>
      <c r="AA1609" s="520"/>
      <c r="AB1609" s="520"/>
      <c r="AC1609" s="520"/>
      <c r="AD1609" s="520"/>
      <c r="AE1609" s="1122"/>
      <c r="AF1609" s="520"/>
      <c r="AG1609" s="520"/>
      <c r="AH1609" s="520"/>
      <c r="AI1609" s="520"/>
      <c r="AJ1609" s="1122"/>
      <c r="AK1609" s="520"/>
      <c r="AL1609" s="520"/>
      <c r="AM1609" s="520"/>
      <c r="AN1609" s="520"/>
      <c r="AO1609" s="1122"/>
      <c r="AP1609" s="520"/>
      <c r="AQ1609" s="520"/>
      <c r="AR1609" s="520"/>
      <c r="AS1609" s="520"/>
      <c r="AT1609" s="1124"/>
      <c r="AU1609" s="520"/>
      <c r="AV1609" s="520"/>
      <c r="AW1609" s="520"/>
      <c r="AX1609" s="520"/>
      <c r="AY1609" s="1123">
        <v>582.07000000000005</v>
      </c>
      <c r="AZ1609" s="520"/>
      <c r="BA1609" s="520"/>
      <c r="BB1609" s="520"/>
      <c r="BC1609" s="520"/>
      <c r="BD1609" s="1123">
        <v>582.07000000000005</v>
      </c>
      <c r="BE1609" s="520"/>
      <c r="BF1609" s="520"/>
      <c r="BG1609" s="520"/>
      <c r="BH1609" s="520"/>
      <c r="BI1609" s="1123">
        <v>582.07000000000005</v>
      </c>
      <c r="BJ1609" s="520"/>
      <c r="BK1609" s="520"/>
      <c r="BL1609" s="520"/>
      <c r="BM1609" s="520"/>
      <c r="BN1609" s="1124"/>
      <c r="BO1609" s="520"/>
      <c r="BP1609" s="520"/>
      <c r="BQ1609" s="520"/>
      <c r="BR1609" s="520"/>
      <c r="BS1609" s="1124"/>
      <c r="BT1609" s="728"/>
      <c r="BU1609" s="520"/>
      <c r="BV1609" s="520"/>
      <c r="BW1609" s="520"/>
      <c r="BX1609" s="1122"/>
      <c r="BY1609" s="520"/>
      <c r="BZ1609" s="520"/>
      <c r="CA1609" s="520"/>
      <c r="CB1609" s="520"/>
      <c r="CC1609" s="1122"/>
      <c r="CD1609" s="1122"/>
      <c r="CE1609" s="1122"/>
      <c r="CF1609" s="1122"/>
      <c r="CG1609" s="519"/>
    </row>
    <row r="1610" spans="1:85" s="614" customFormat="1" x14ac:dyDescent="0.3">
      <c r="A1610" s="522"/>
      <c r="B1610" s="352"/>
      <c r="C1610" s="1094"/>
      <c r="D1610" s="1094"/>
      <c r="E1610" s="1094"/>
      <c r="F1610" s="1094"/>
      <c r="G1610" s="197"/>
      <c r="H1610" s="197"/>
      <c r="I1610" s="197"/>
      <c r="J1610" s="197"/>
      <c r="K1610" s="1094"/>
      <c r="L1610" s="197"/>
      <c r="M1610" s="197"/>
      <c r="N1610" s="197"/>
      <c r="O1610" s="197"/>
      <c r="P1610" s="1094"/>
      <c r="Q1610" s="197"/>
      <c r="R1610" s="197"/>
      <c r="S1610" s="197"/>
      <c r="T1610" s="197"/>
      <c r="U1610" s="1094"/>
      <c r="V1610" s="197"/>
      <c r="W1610" s="197"/>
      <c r="X1610" s="197"/>
      <c r="Y1610" s="197"/>
      <c r="Z1610" s="1094"/>
      <c r="AA1610" s="197"/>
      <c r="AB1610" s="197"/>
      <c r="AC1610" s="197"/>
      <c r="AD1610" s="197"/>
      <c r="AE1610" s="1094"/>
      <c r="AF1610" s="197"/>
      <c r="AG1610" s="197"/>
      <c r="AH1610" s="197"/>
      <c r="AI1610" s="197"/>
      <c r="AJ1610" s="1094"/>
      <c r="AK1610" s="197"/>
      <c r="AL1610" s="197"/>
      <c r="AM1610" s="197"/>
      <c r="AN1610" s="197"/>
      <c r="AO1610" s="1094"/>
      <c r="AP1610" s="197"/>
      <c r="AQ1610" s="197"/>
      <c r="AR1610" s="197"/>
      <c r="AS1610" s="197"/>
      <c r="AT1610" s="198"/>
      <c r="AU1610" s="197"/>
      <c r="AV1610" s="197"/>
      <c r="AW1610" s="197"/>
      <c r="AX1610" s="197"/>
      <c r="AY1610" s="198"/>
      <c r="AZ1610" s="197"/>
      <c r="BA1610" s="197"/>
      <c r="BB1610" s="197"/>
      <c r="BC1610" s="197"/>
      <c r="BD1610" s="198"/>
      <c r="BE1610" s="197"/>
      <c r="BF1610" s="197"/>
      <c r="BG1610" s="197"/>
      <c r="BH1610" s="197"/>
      <c r="BI1610" s="198"/>
      <c r="BJ1610" s="197"/>
      <c r="BK1610" s="197"/>
      <c r="BL1610" s="197"/>
      <c r="BM1610" s="197"/>
      <c r="BN1610" s="198"/>
      <c r="BO1610" s="197"/>
      <c r="BP1610" s="197"/>
      <c r="BQ1610" s="197"/>
      <c r="BR1610" s="197"/>
      <c r="BS1610" s="198"/>
      <c r="BT1610" s="727"/>
      <c r="BU1610" s="197"/>
      <c r="BV1610" s="197"/>
      <c r="BW1610" s="197"/>
      <c r="BX1610" s="1094"/>
      <c r="BY1610" s="197"/>
      <c r="BZ1610" s="197"/>
      <c r="CA1610" s="197"/>
      <c r="CB1610" s="197"/>
      <c r="CC1610" s="1094"/>
      <c r="CD1610" s="1094"/>
      <c r="CE1610" s="1094"/>
      <c r="CF1610" s="1094"/>
      <c r="CG1610" s="349"/>
    </row>
    <row r="1611" spans="1:85" s="613" customFormat="1" x14ac:dyDescent="0.3">
      <c r="A1611" s="478" t="s">
        <v>1074</v>
      </c>
      <c r="B1611" s="523"/>
      <c r="C1611" s="78"/>
      <c r="D1611" s="78"/>
      <c r="E1611" s="78"/>
      <c r="F1611" s="78"/>
      <c r="G1611" s="774"/>
      <c r="H1611" s="774"/>
      <c r="I1611" s="774"/>
      <c r="J1611" s="774"/>
      <c r="K1611" s="78"/>
      <c r="L1611" s="774"/>
      <c r="M1611" s="774"/>
      <c r="N1611" s="774"/>
      <c r="O1611" s="774"/>
      <c r="P1611" s="78"/>
      <c r="Q1611" s="774"/>
      <c r="R1611" s="774"/>
      <c r="S1611" s="774"/>
      <c r="T1611" s="774"/>
      <c r="U1611" s="78"/>
      <c r="V1611" s="774"/>
      <c r="W1611" s="774"/>
      <c r="X1611" s="774"/>
      <c r="Y1611" s="774"/>
      <c r="Z1611" s="78"/>
      <c r="AA1611" s="774"/>
      <c r="AB1611" s="774"/>
      <c r="AC1611" s="774"/>
      <c r="AD1611" s="774"/>
      <c r="AE1611" s="78"/>
      <c r="AF1611" s="774"/>
      <c r="AG1611" s="774"/>
      <c r="AH1611" s="774"/>
      <c r="AI1611" s="774"/>
      <c r="AJ1611" s="78"/>
      <c r="AK1611" s="774"/>
      <c r="AL1611" s="774"/>
      <c r="AM1611" s="774"/>
      <c r="AN1611" s="774"/>
      <c r="AO1611" s="78"/>
      <c r="AP1611" s="774"/>
      <c r="AQ1611" s="774"/>
      <c r="AR1611" s="774"/>
      <c r="AS1611" s="774"/>
      <c r="AT1611" s="78"/>
      <c r="AU1611" s="774"/>
      <c r="AV1611" s="774"/>
      <c r="AW1611" s="774"/>
      <c r="AX1611" s="774"/>
      <c r="AY1611" s="1119">
        <v>0.17</v>
      </c>
      <c r="AZ1611" s="774"/>
      <c r="BA1611" s="774"/>
      <c r="BB1611" s="774"/>
      <c r="BC1611" s="774"/>
      <c r="BD1611" s="1119">
        <v>0.17</v>
      </c>
      <c r="BE1611" s="774"/>
      <c r="BF1611" s="774"/>
      <c r="BG1611" s="774"/>
      <c r="BH1611" s="774"/>
      <c r="BI1611" s="1119">
        <v>0.17</v>
      </c>
      <c r="BJ1611" s="774"/>
      <c r="BK1611" s="774"/>
      <c r="BL1611" s="774"/>
      <c r="BM1611" s="774"/>
      <c r="BN1611" s="78"/>
      <c r="BO1611" s="774"/>
      <c r="BP1611" s="774"/>
      <c r="BQ1611" s="774"/>
      <c r="BR1611" s="774"/>
      <c r="BS1611" s="78"/>
      <c r="BT1611" s="775"/>
      <c r="BU1611" s="774"/>
      <c r="BV1611" s="774"/>
      <c r="BW1611" s="774"/>
      <c r="BX1611" s="78"/>
      <c r="BY1611" s="774"/>
      <c r="BZ1611" s="774"/>
      <c r="CA1611" s="774"/>
      <c r="CB1611" s="774"/>
      <c r="CC1611" s="78"/>
      <c r="CD1611" s="78"/>
      <c r="CE1611" s="78"/>
      <c r="CF1611" s="78"/>
      <c r="CG1611" s="532"/>
    </row>
    <row r="1612" spans="1:85" s="615" customFormat="1" x14ac:dyDescent="0.3">
      <c r="A1612" s="522" t="s">
        <v>1073</v>
      </c>
      <c r="B1612" s="521"/>
      <c r="C1612" s="1122"/>
      <c r="D1612" s="1122"/>
      <c r="E1612" s="1122"/>
      <c r="F1612" s="1122"/>
      <c r="G1612" s="520"/>
      <c r="H1612" s="520"/>
      <c r="I1612" s="520"/>
      <c r="J1612" s="520"/>
      <c r="K1612" s="1122"/>
      <c r="L1612" s="520"/>
      <c r="M1612" s="520"/>
      <c r="N1612" s="520"/>
      <c r="O1612" s="520"/>
      <c r="P1612" s="1122"/>
      <c r="Q1612" s="520"/>
      <c r="R1612" s="520"/>
      <c r="S1612" s="520"/>
      <c r="T1612" s="520"/>
      <c r="U1612" s="1122"/>
      <c r="V1612" s="520"/>
      <c r="W1612" s="520"/>
      <c r="X1612" s="520"/>
      <c r="Y1612" s="520"/>
      <c r="Z1612" s="1122"/>
      <c r="AA1612" s="520"/>
      <c r="AB1612" s="520"/>
      <c r="AC1612" s="520"/>
      <c r="AD1612" s="520"/>
      <c r="AE1612" s="1122"/>
      <c r="AF1612" s="520"/>
      <c r="AG1612" s="520"/>
      <c r="AH1612" s="520"/>
      <c r="AI1612" s="520"/>
      <c r="AJ1612" s="1122"/>
      <c r="AK1612" s="520"/>
      <c r="AL1612" s="520"/>
      <c r="AM1612" s="520"/>
      <c r="AN1612" s="520"/>
      <c r="AO1612" s="1122"/>
      <c r="AP1612" s="520"/>
      <c r="AQ1612" s="520"/>
      <c r="AR1612" s="520"/>
      <c r="AS1612" s="520"/>
      <c r="AT1612" s="1124"/>
      <c r="AU1612" s="520"/>
      <c r="AV1612" s="520"/>
      <c r="AW1612" s="520"/>
      <c r="AX1612" s="520"/>
      <c r="AY1612" s="1123">
        <v>613.15</v>
      </c>
      <c r="AZ1612" s="520"/>
      <c r="BA1612" s="520"/>
      <c r="BB1612" s="520"/>
      <c r="BC1612" s="520"/>
      <c r="BD1612" s="1123">
        <v>613.15</v>
      </c>
      <c r="BE1612" s="520"/>
      <c r="BF1612" s="520"/>
      <c r="BG1612" s="520"/>
      <c r="BH1612" s="520"/>
      <c r="BI1612" s="1123">
        <v>613.15</v>
      </c>
      <c r="BJ1612" s="520"/>
      <c r="BK1612" s="520"/>
      <c r="BL1612" s="520"/>
      <c r="BM1612" s="520"/>
      <c r="BN1612" s="1124"/>
      <c r="BO1612" s="520"/>
      <c r="BP1612" s="520"/>
      <c r="BQ1612" s="520"/>
      <c r="BR1612" s="520"/>
      <c r="BS1612" s="1124"/>
      <c r="BT1612" s="728"/>
      <c r="BU1612" s="520"/>
      <c r="BV1612" s="520"/>
      <c r="BW1612" s="520"/>
      <c r="BX1612" s="1122"/>
      <c r="BY1612" s="520"/>
      <c r="BZ1612" s="520"/>
      <c r="CA1612" s="520"/>
      <c r="CB1612" s="520"/>
      <c r="CC1612" s="1122"/>
      <c r="CD1612" s="1122"/>
      <c r="CE1612" s="1122"/>
      <c r="CF1612" s="1122"/>
      <c r="CG1612" s="519"/>
    </row>
    <row r="1613" spans="1:85" s="614" customFormat="1" x14ac:dyDescent="0.3">
      <c r="A1613" s="522"/>
      <c r="B1613" s="352"/>
      <c r="C1613" s="1094"/>
      <c r="D1613" s="1094"/>
      <c r="E1613" s="1094"/>
      <c r="F1613" s="1094"/>
      <c r="G1613" s="197"/>
      <c r="H1613" s="197"/>
      <c r="I1613" s="197"/>
      <c r="J1613" s="197"/>
      <c r="K1613" s="1094"/>
      <c r="L1613" s="197"/>
      <c r="M1613" s="197"/>
      <c r="N1613" s="197"/>
      <c r="O1613" s="197"/>
      <c r="P1613" s="1094"/>
      <c r="Q1613" s="197"/>
      <c r="R1613" s="197"/>
      <c r="S1613" s="197"/>
      <c r="T1613" s="197"/>
      <c r="U1613" s="1094"/>
      <c r="V1613" s="197"/>
      <c r="W1613" s="197"/>
      <c r="X1613" s="197"/>
      <c r="Y1613" s="197"/>
      <c r="Z1613" s="1094"/>
      <c r="AA1613" s="197"/>
      <c r="AB1613" s="197"/>
      <c r="AC1613" s="197"/>
      <c r="AD1613" s="197"/>
      <c r="AE1613" s="1094"/>
      <c r="AF1613" s="197"/>
      <c r="AG1613" s="197"/>
      <c r="AH1613" s="197"/>
      <c r="AI1613" s="197"/>
      <c r="AJ1613" s="1094"/>
      <c r="AK1613" s="197"/>
      <c r="AL1613" s="197"/>
      <c r="AM1613" s="197"/>
      <c r="AN1613" s="197"/>
      <c r="AO1613" s="1094"/>
      <c r="AP1613" s="197"/>
      <c r="AQ1613" s="197"/>
      <c r="AR1613" s="197"/>
      <c r="AS1613" s="197"/>
      <c r="AT1613" s="198"/>
      <c r="AU1613" s="197"/>
      <c r="AV1613" s="197"/>
      <c r="AW1613" s="197"/>
      <c r="AX1613" s="197"/>
      <c r="AY1613" s="198"/>
      <c r="AZ1613" s="197"/>
      <c r="BA1613" s="197"/>
      <c r="BB1613" s="197"/>
      <c r="BC1613" s="197"/>
      <c r="BD1613" s="198"/>
      <c r="BE1613" s="197"/>
      <c r="BF1613" s="197"/>
      <c r="BG1613" s="197"/>
      <c r="BH1613" s="197"/>
      <c r="BI1613" s="198"/>
      <c r="BJ1613" s="197"/>
      <c r="BK1613" s="197"/>
      <c r="BL1613" s="197"/>
      <c r="BM1613" s="197"/>
      <c r="BN1613" s="198"/>
      <c r="BO1613" s="197"/>
      <c r="BP1613" s="197"/>
      <c r="BQ1613" s="197"/>
      <c r="BR1613" s="197"/>
      <c r="BS1613" s="198"/>
      <c r="BT1613" s="727"/>
      <c r="BU1613" s="197"/>
      <c r="BV1613" s="197"/>
      <c r="BW1613" s="197"/>
      <c r="BX1613" s="1094"/>
      <c r="BY1613" s="197"/>
      <c r="BZ1613" s="197"/>
      <c r="CA1613" s="197"/>
      <c r="CB1613" s="197"/>
      <c r="CC1613" s="1094"/>
      <c r="CD1613" s="1094"/>
      <c r="CE1613" s="1094"/>
      <c r="CF1613" s="1094"/>
      <c r="CG1613" s="349"/>
    </row>
    <row r="1614" spans="1:85" s="613" customFormat="1" x14ac:dyDescent="0.3">
      <c r="A1614" s="478" t="s">
        <v>1072</v>
      </c>
      <c r="B1614" s="523"/>
      <c r="C1614" s="78"/>
      <c r="D1614" s="78"/>
      <c r="E1614" s="78"/>
      <c r="F1614" s="78"/>
      <c r="G1614" s="774"/>
      <c r="H1614" s="774"/>
      <c r="I1614" s="774"/>
      <c r="J1614" s="774"/>
      <c r="K1614" s="78"/>
      <c r="L1614" s="774"/>
      <c r="M1614" s="774"/>
      <c r="N1614" s="774"/>
      <c r="O1614" s="774"/>
      <c r="P1614" s="78"/>
      <c r="Q1614" s="774"/>
      <c r="R1614" s="774"/>
      <c r="S1614" s="774"/>
      <c r="T1614" s="774"/>
      <c r="U1614" s="78"/>
      <c r="V1614" s="774"/>
      <c r="W1614" s="774"/>
      <c r="X1614" s="774"/>
      <c r="Y1614" s="774"/>
      <c r="Z1614" s="78"/>
      <c r="AA1614" s="774"/>
      <c r="AB1614" s="774"/>
      <c r="AC1614" s="774"/>
      <c r="AD1614" s="774"/>
      <c r="AE1614" s="78"/>
      <c r="AF1614" s="774"/>
      <c r="AG1614" s="774"/>
      <c r="AH1614" s="774"/>
      <c r="AI1614" s="774"/>
      <c r="AJ1614" s="78"/>
      <c r="AK1614" s="774"/>
      <c r="AL1614" s="774"/>
      <c r="AM1614" s="774"/>
      <c r="AN1614" s="774"/>
      <c r="AO1614" s="78"/>
      <c r="AP1614" s="774"/>
      <c r="AQ1614" s="774"/>
      <c r="AR1614" s="774"/>
      <c r="AS1614" s="774"/>
      <c r="AT1614" s="78"/>
      <c r="AU1614" s="774"/>
      <c r="AV1614" s="774"/>
      <c r="AW1614" s="774"/>
      <c r="AX1614" s="774"/>
      <c r="AY1614" s="1119">
        <v>0.153</v>
      </c>
      <c r="AZ1614" s="774"/>
      <c r="BA1614" s="774"/>
      <c r="BB1614" s="774"/>
      <c r="BC1614" s="774"/>
      <c r="BD1614" s="1119">
        <v>0.153</v>
      </c>
      <c r="BE1614" s="774"/>
      <c r="BF1614" s="774"/>
      <c r="BG1614" s="774"/>
      <c r="BH1614" s="774"/>
      <c r="BI1614" s="1119">
        <v>0.153</v>
      </c>
      <c r="BJ1614" s="774"/>
      <c r="BK1614" s="774"/>
      <c r="BL1614" s="774"/>
      <c r="BM1614" s="774"/>
      <c r="BN1614" s="78"/>
      <c r="BO1614" s="774"/>
      <c r="BP1614" s="774"/>
      <c r="BQ1614" s="774"/>
      <c r="BR1614" s="774"/>
      <c r="BS1614" s="78"/>
      <c r="BT1614" s="775"/>
      <c r="BU1614" s="774"/>
      <c r="BV1614" s="774"/>
      <c r="BW1614" s="774"/>
      <c r="BX1614" s="78"/>
      <c r="BY1614" s="774"/>
      <c r="BZ1614" s="774"/>
      <c r="CA1614" s="774"/>
      <c r="CB1614" s="774"/>
      <c r="CC1614" s="78"/>
      <c r="CD1614" s="78"/>
      <c r="CE1614" s="78"/>
      <c r="CF1614" s="78"/>
      <c r="CG1614" s="532"/>
    </row>
    <row r="1615" spans="1:85" s="615" customFormat="1" x14ac:dyDescent="0.3">
      <c r="A1615" s="522" t="s">
        <v>1071</v>
      </c>
      <c r="B1615" s="521"/>
      <c r="C1615" s="1122"/>
      <c r="D1615" s="1122"/>
      <c r="E1615" s="1122"/>
      <c r="F1615" s="1122"/>
      <c r="G1615" s="520"/>
      <c r="H1615" s="520"/>
      <c r="I1615" s="520"/>
      <c r="J1615" s="520"/>
      <c r="K1615" s="1122"/>
      <c r="L1615" s="520"/>
      <c r="M1615" s="520"/>
      <c r="N1615" s="520"/>
      <c r="O1615" s="520"/>
      <c r="P1615" s="1122"/>
      <c r="Q1615" s="520"/>
      <c r="R1615" s="520"/>
      <c r="S1615" s="520"/>
      <c r="T1615" s="520"/>
      <c r="U1615" s="1122"/>
      <c r="V1615" s="520"/>
      <c r="W1615" s="520"/>
      <c r="X1615" s="520"/>
      <c r="Y1615" s="520"/>
      <c r="Z1615" s="1122"/>
      <c r="AA1615" s="520"/>
      <c r="AB1615" s="520"/>
      <c r="AC1615" s="520"/>
      <c r="AD1615" s="520"/>
      <c r="AE1615" s="1122"/>
      <c r="AF1615" s="520"/>
      <c r="AG1615" s="520"/>
      <c r="AH1615" s="520"/>
      <c r="AI1615" s="520"/>
      <c r="AJ1615" s="1122"/>
      <c r="AK1615" s="520"/>
      <c r="AL1615" s="520"/>
      <c r="AM1615" s="520"/>
      <c r="AN1615" s="520"/>
      <c r="AO1615" s="1122"/>
      <c r="AP1615" s="520"/>
      <c r="AQ1615" s="520"/>
      <c r="AR1615" s="520"/>
      <c r="AS1615" s="520"/>
      <c r="AT1615" s="1124"/>
      <c r="AU1615" s="520"/>
      <c r="AV1615" s="520"/>
      <c r="AW1615" s="520"/>
      <c r="AX1615" s="520"/>
      <c r="AY1615" s="1123">
        <v>681.17</v>
      </c>
      <c r="AZ1615" s="520"/>
      <c r="BA1615" s="520"/>
      <c r="BB1615" s="520"/>
      <c r="BC1615" s="520"/>
      <c r="BD1615" s="1123">
        <v>681.17</v>
      </c>
      <c r="BE1615" s="520"/>
      <c r="BF1615" s="520"/>
      <c r="BG1615" s="520"/>
      <c r="BH1615" s="520"/>
      <c r="BI1615" s="1123">
        <v>681.17</v>
      </c>
      <c r="BJ1615" s="520"/>
      <c r="BK1615" s="520"/>
      <c r="BL1615" s="520"/>
      <c r="BM1615" s="520"/>
      <c r="BN1615" s="1124"/>
      <c r="BO1615" s="520"/>
      <c r="BP1615" s="520"/>
      <c r="BQ1615" s="520"/>
      <c r="BR1615" s="520"/>
      <c r="BS1615" s="1124"/>
      <c r="BT1615" s="728"/>
      <c r="BU1615" s="520"/>
      <c r="BV1615" s="520"/>
      <c r="BW1615" s="520"/>
      <c r="BX1615" s="1122"/>
      <c r="BY1615" s="520"/>
      <c r="BZ1615" s="520"/>
      <c r="CA1615" s="520"/>
      <c r="CB1615" s="520"/>
      <c r="CC1615" s="1122"/>
      <c r="CD1615" s="1122"/>
      <c r="CE1615" s="1122"/>
      <c r="CF1615" s="1122"/>
      <c r="CG1615" s="519"/>
    </row>
    <row r="1616" spans="1:85" s="614" customFormat="1" x14ac:dyDescent="0.3">
      <c r="A1616" s="522"/>
      <c r="B1616" s="352"/>
      <c r="C1616" s="1094"/>
      <c r="D1616" s="1094"/>
      <c r="E1616" s="1094"/>
      <c r="F1616" s="1094"/>
      <c r="G1616" s="197"/>
      <c r="H1616" s="197"/>
      <c r="I1616" s="197"/>
      <c r="J1616" s="197"/>
      <c r="K1616" s="1094"/>
      <c r="L1616" s="197"/>
      <c r="M1616" s="197"/>
      <c r="N1616" s="197"/>
      <c r="O1616" s="197"/>
      <c r="P1616" s="1094"/>
      <c r="Q1616" s="197"/>
      <c r="R1616" s="197"/>
      <c r="S1616" s="197"/>
      <c r="T1616" s="197"/>
      <c r="U1616" s="1094"/>
      <c r="V1616" s="197"/>
      <c r="W1616" s="197"/>
      <c r="X1616" s="197"/>
      <c r="Y1616" s="197"/>
      <c r="Z1616" s="1094"/>
      <c r="AA1616" s="197"/>
      <c r="AB1616" s="197"/>
      <c r="AC1616" s="197"/>
      <c r="AD1616" s="197"/>
      <c r="AE1616" s="1094"/>
      <c r="AF1616" s="197"/>
      <c r="AG1616" s="197"/>
      <c r="AH1616" s="197"/>
      <c r="AI1616" s="197"/>
      <c r="AJ1616" s="1094"/>
      <c r="AK1616" s="197"/>
      <c r="AL1616" s="197"/>
      <c r="AM1616" s="197"/>
      <c r="AN1616" s="197"/>
      <c r="AO1616" s="1094"/>
      <c r="AP1616" s="197"/>
      <c r="AQ1616" s="197"/>
      <c r="AR1616" s="197"/>
      <c r="AS1616" s="197"/>
      <c r="AT1616" s="198"/>
      <c r="AU1616" s="197"/>
      <c r="AV1616" s="197"/>
      <c r="AW1616" s="197"/>
      <c r="AX1616" s="197"/>
      <c r="AY1616" s="198"/>
      <c r="AZ1616" s="197"/>
      <c r="BA1616" s="197"/>
      <c r="BB1616" s="197"/>
      <c r="BC1616" s="197"/>
      <c r="BD1616" s="198"/>
      <c r="BE1616" s="197"/>
      <c r="BF1616" s="197"/>
      <c r="BG1616" s="197"/>
      <c r="BH1616" s="197"/>
      <c r="BI1616" s="198"/>
      <c r="BJ1616" s="197"/>
      <c r="BK1616" s="197"/>
      <c r="BL1616" s="197"/>
      <c r="BM1616" s="197"/>
      <c r="BN1616" s="198"/>
      <c r="BO1616" s="197"/>
      <c r="BP1616" s="197"/>
      <c r="BQ1616" s="197"/>
      <c r="BR1616" s="197"/>
      <c r="BS1616" s="198"/>
      <c r="BT1616" s="727"/>
      <c r="BU1616" s="197"/>
      <c r="BV1616" s="197"/>
      <c r="BW1616" s="197"/>
      <c r="BX1616" s="1094"/>
      <c r="BY1616" s="197"/>
      <c r="BZ1616" s="197"/>
      <c r="CA1616" s="197"/>
      <c r="CB1616" s="197"/>
      <c r="CC1616" s="1094"/>
      <c r="CD1616" s="1094"/>
      <c r="CE1616" s="1094"/>
      <c r="CF1616" s="1094"/>
      <c r="CG1616" s="349"/>
    </row>
    <row r="1617" spans="1:85" s="613" customFormat="1" x14ac:dyDescent="0.3">
      <c r="A1617" s="478" t="s">
        <v>1070</v>
      </c>
      <c r="B1617" s="523"/>
      <c r="C1617" s="78"/>
      <c r="D1617" s="78"/>
      <c r="E1617" s="78"/>
      <c r="F1617" s="78"/>
      <c r="G1617" s="774"/>
      <c r="H1617" s="774"/>
      <c r="I1617" s="774"/>
      <c r="J1617" s="774"/>
      <c r="K1617" s="78"/>
      <c r="L1617" s="774"/>
      <c r="M1617" s="774"/>
      <c r="N1617" s="774"/>
      <c r="O1617" s="774"/>
      <c r="P1617" s="78"/>
      <c r="Q1617" s="774"/>
      <c r="R1617" s="774"/>
      <c r="S1617" s="774"/>
      <c r="T1617" s="774"/>
      <c r="U1617" s="78"/>
      <c r="V1617" s="774"/>
      <c r="W1617" s="774"/>
      <c r="X1617" s="774"/>
      <c r="Y1617" s="774"/>
      <c r="Z1617" s="78"/>
      <c r="AA1617" s="774"/>
      <c r="AB1617" s="774"/>
      <c r="AC1617" s="774"/>
      <c r="AD1617" s="774"/>
      <c r="AE1617" s="78"/>
      <c r="AF1617" s="774"/>
      <c r="AG1617" s="774"/>
      <c r="AH1617" s="774"/>
      <c r="AI1617" s="774"/>
      <c r="AJ1617" s="78"/>
      <c r="AK1617" s="774"/>
      <c r="AL1617" s="774"/>
      <c r="AM1617" s="774"/>
      <c r="AN1617" s="774"/>
      <c r="AO1617" s="78"/>
      <c r="AP1617" s="774"/>
      <c r="AQ1617" s="774"/>
      <c r="AR1617" s="774"/>
      <c r="AS1617" s="774"/>
      <c r="AT1617" s="78"/>
      <c r="AU1617" s="774"/>
      <c r="AV1617" s="774"/>
      <c r="AW1617" s="774"/>
      <c r="AX1617" s="774"/>
      <c r="AY1617" s="1119">
        <v>0.16900000000000001</v>
      </c>
      <c r="AZ1617" s="774"/>
      <c r="BA1617" s="774"/>
      <c r="BB1617" s="774"/>
      <c r="BC1617" s="774"/>
      <c r="BD1617" s="1119">
        <v>0.16900000000000001</v>
      </c>
      <c r="BE1617" s="774"/>
      <c r="BF1617" s="774"/>
      <c r="BG1617" s="774"/>
      <c r="BH1617" s="774"/>
      <c r="BI1617" s="1119">
        <v>0.16900000000000001</v>
      </c>
      <c r="BJ1617" s="774"/>
      <c r="BK1617" s="774"/>
      <c r="BL1617" s="774"/>
      <c r="BM1617" s="774"/>
      <c r="BN1617" s="78"/>
      <c r="BO1617" s="774"/>
      <c r="BP1617" s="774"/>
      <c r="BQ1617" s="774"/>
      <c r="BR1617" s="774"/>
      <c r="BS1617" s="78"/>
      <c r="BT1617" s="775"/>
      <c r="BU1617" s="774"/>
      <c r="BV1617" s="774"/>
      <c r="BW1617" s="774"/>
      <c r="BX1617" s="78"/>
      <c r="BY1617" s="774"/>
      <c r="BZ1617" s="774"/>
      <c r="CA1617" s="774"/>
      <c r="CB1617" s="774"/>
      <c r="CC1617" s="78"/>
      <c r="CD1617" s="78"/>
      <c r="CE1617" s="78"/>
      <c r="CF1617" s="78"/>
      <c r="CG1617" s="532"/>
    </row>
    <row r="1618" spans="1:85" s="615" customFormat="1" x14ac:dyDescent="0.3">
      <c r="A1618" s="522" t="s">
        <v>1069</v>
      </c>
      <c r="B1618" s="521"/>
      <c r="C1618" s="1122"/>
      <c r="D1618" s="1122"/>
      <c r="E1618" s="1122"/>
      <c r="F1618" s="1122"/>
      <c r="G1618" s="520"/>
      <c r="H1618" s="520"/>
      <c r="I1618" s="520"/>
      <c r="J1618" s="520"/>
      <c r="K1618" s="1122"/>
      <c r="L1618" s="520"/>
      <c r="M1618" s="520"/>
      <c r="N1618" s="520"/>
      <c r="O1618" s="520"/>
      <c r="P1618" s="1122"/>
      <c r="Q1618" s="520"/>
      <c r="R1618" s="520"/>
      <c r="S1618" s="520"/>
      <c r="T1618" s="520"/>
      <c r="U1618" s="1122"/>
      <c r="V1618" s="520"/>
      <c r="W1618" s="520"/>
      <c r="X1618" s="520"/>
      <c r="Y1618" s="520"/>
      <c r="Z1618" s="1122"/>
      <c r="AA1618" s="520"/>
      <c r="AB1618" s="520"/>
      <c r="AC1618" s="520"/>
      <c r="AD1618" s="520"/>
      <c r="AE1618" s="1122"/>
      <c r="AF1618" s="520"/>
      <c r="AG1618" s="520"/>
      <c r="AH1618" s="520"/>
      <c r="AI1618" s="520"/>
      <c r="AJ1618" s="1122"/>
      <c r="AK1618" s="520"/>
      <c r="AL1618" s="520"/>
      <c r="AM1618" s="520"/>
      <c r="AN1618" s="520"/>
      <c r="AO1618" s="1122"/>
      <c r="AP1618" s="520"/>
      <c r="AQ1618" s="520"/>
      <c r="AR1618" s="520"/>
      <c r="AS1618" s="520"/>
      <c r="AT1618" s="1124"/>
      <c r="AU1618" s="520"/>
      <c r="AV1618" s="520"/>
      <c r="AW1618" s="520"/>
      <c r="AX1618" s="520"/>
      <c r="AY1618" s="1123">
        <v>617.77</v>
      </c>
      <c r="AZ1618" s="520"/>
      <c r="BA1618" s="520"/>
      <c r="BB1618" s="520"/>
      <c r="BC1618" s="520"/>
      <c r="BD1618" s="1123">
        <v>617.77</v>
      </c>
      <c r="BE1618" s="520"/>
      <c r="BF1618" s="520"/>
      <c r="BG1618" s="520"/>
      <c r="BH1618" s="520"/>
      <c r="BI1618" s="1123">
        <v>617.77</v>
      </c>
      <c r="BJ1618" s="520"/>
      <c r="BK1618" s="520"/>
      <c r="BL1618" s="520"/>
      <c r="BM1618" s="520"/>
      <c r="BN1618" s="1124"/>
      <c r="BO1618" s="520"/>
      <c r="BP1618" s="520"/>
      <c r="BQ1618" s="520"/>
      <c r="BR1618" s="520"/>
      <c r="BS1618" s="1124"/>
      <c r="BT1618" s="728"/>
      <c r="BU1618" s="520"/>
      <c r="BV1618" s="520"/>
      <c r="BW1618" s="520"/>
      <c r="BX1618" s="1122"/>
      <c r="BY1618" s="520"/>
      <c r="BZ1618" s="520"/>
      <c r="CA1618" s="520"/>
      <c r="CB1618" s="520"/>
      <c r="CC1618" s="1122"/>
      <c r="CD1618" s="1122"/>
      <c r="CE1618" s="1122"/>
      <c r="CF1618" s="1122"/>
      <c r="CG1618" s="519"/>
    </row>
    <row r="1619" spans="1:85" s="614" customFormat="1" x14ac:dyDescent="0.3">
      <c r="A1619" s="351"/>
      <c r="B1619" s="352"/>
      <c r="C1619" s="1094"/>
      <c r="D1619" s="1094"/>
      <c r="E1619" s="1094"/>
      <c r="F1619" s="1094"/>
      <c r="G1619" s="197"/>
      <c r="H1619" s="197"/>
      <c r="I1619" s="197"/>
      <c r="J1619" s="197"/>
      <c r="K1619" s="1094"/>
      <c r="L1619" s="197"/>
      <c r="M1619" s="197"/>
      <c r="N1619" s="197"/>
      <c r="O1619" s="197"/>
      <c r="P1619" s="1094"/>
      <c r="Q1619" s="197"/>
      <c r="R1619" s="197"/>
      <c r="S1619" s="197"/>
      <c r="T1619" s="197"/>
      <c r="U1619" s="1094"/>
      <c r="V1619" s="197"/>
      <c r="W1619" s="197"/>
      <c r="X1619" s="197"/>
      <c r="Y1619" s="197"/>
      <c r="Z1619" s="1094"/>
      <c r="AA1619" s="197"/>
      <c r="AB1619" s="197"/>
      <c r="AC1619" s="197"/>
      <c r="AD1619" s="197"/>
      <c r="AE1619" s="1094"/>
      <c r="AF1619" s="197"/>
      <c r="AG1619" s="197"/>
      <c r="AH1619" s="197"/>
      <c r="AI1619" s="197"/>
      <c r="AJ1619" s="1094"/>
      <c r="AK1619" s="197"/>
      <c r="AL1619" s="197"/>
      <c r="AM1619" s="197"/>
      <c r="AN1619" s="197"/>
      <c r="AO1619" s="1094"/>
      <c r="AP1619" s="197"/>
      <c r="AQ1619" s="197"/>
      <c r="AR1619" s="197"/>
      <c r="AS1619" s="197"/>
      <c r="AT1619" s="198"/>
      <c r="AU1619" s="197"/>
      <c r="AV1619" s="197"/>
      <c r="AW1619" s="197"/>
      <c r="AX1619" s="197"/>
      <c r="AY1619" s="198"/>
      <c r="AZ1619" s="197"/>
      <c r="BA1619" s="197"/>
      <c r="BB1619" s="197"/>
      <c r="BC1619" s="197"/>
      <c r="BD1619" s="198"/>
      <c r="BE1619" s="197"/>
      <c r="BF1619" s="197"/>
      <c r="BG1619" s="197"/>
      <c r="BH1619" s="197"/>
      <c r="BI1619" s="198"/>
      <c r="BJ1619" s="197"/>
      <c r="BK1619" s="197"/>
      <c r="BL1619" s="197"/>
      <c r="BM1619" s="197"/>
      <c r="BN1619" s="198"/>
      <c r="BO1619" s="197"/>
      <c r="BP1619" s="197"/>
      <c r="BQ1619" s="197"/>
      <c r="BR1619" s="197"/>
      <c r="BS1619" s="198"/>
      <c r="BT1619" s="727"/>
      <c r="BU1619" s="197"/>
      <c r="BV1619" s="197"/>
      <c r="BW1619" s="197"/>
      <c r="BX1619" s="1094"/>
      <c r="BY1619" s="197"/>
      <c r="BZ1619" s="197"/>
      <c r="CA1619" s="197"/>
      <c r="CB1619" s="197"/>
      <c r="CC1619" s="1094"/>
      <c r="CD1619" s="1094"/>
      <c r="CE1619" s="1094"/>
      <c r="CF1619" s="1094"/>
      <c r="CG1619" s="349"/>
    </row>
    <row r="1620" spans="1:85" s="613" customFormat="1" x14ac:dyDescent="0.3">
      <c r="A1620" s="478" t="s">
        <v>1068</v>
      </c>
      <c r="B1620" s="523"/>
      <c r="C1620" s="78"/>
      <c r="D1620" s="78"/>
      <c r="E1620" s="78"/>
      <c r="F1620" s="78"/>
      <c r="G1620" s="774"/>
      <c r="H1620" s="774"/>
      <c r="I1620" s="774"/>
      <c r="J1620" s="774"/>
      <c r="K1620" s="78"/>
      <c r="L1620" s="774"/>
      <c r="M1620" s="774"/>
      <c r="N1620" s="774"/>
      <c r="O1620" s="774"/>
      <c r="P1620" s="78"/>
      <c r="Q1620" s="774"/>
      <c r="R1620" s="774"/>
      <c r="S1620" s="774"/>
      <c r="T1620" s="774"/>
      <c r="U1620" s="78"/>
      <c r="V1620" s="774"/>
      <c r="W1620" s="774"/>
      <c r="X1620" s="774"/>
      <c r="Y1620" s="774"/>
      <c r="Z1620" s="78"/>
      <c r="AA1620" s="774"/>
      <c r="AB1620" s="774"/>
      <c r="AC1620" s="774"/>
      <c r="AD1620" s="774"/>
      <c r="AE1620" s="78"/>
      <c r="AF1620" s="774"/>
      <c r="AG1620" s="774"/>
      <c r="AH1620" s="774"/>
      <c r="AI1620" s="774"/>
      <c r="AJ1620" s="78"/>
      <c r="AK1620" s="774"/>
      <c r="AL1620" s="774"/>
      <c r="AM1620" s="774"/>
      <c r="AN1620" s="774"/>
      <c r="AO1620" s="78"/>
      <c r="AP1620" s="774"/>
      <c r="AQ1620" s="774"/>
      <c r="AR1620" s="774"/>
      <c r="AS1620" s="774"/>
      <c r="AT1620" s="78"/>
      <c r="AU1620" s="774"/>
      <c r="AV1620" s="774"/>
      <c r="AW1620" s="774"/>
      <c r="AX1620" s="774"/>
      <c r="AY1620" s="78"/>
      <c r="AZ1620" s="774"/>
      <c r="BA1620" s="774"/>
      <c r="BB1620" s="774"/>
      <c r="BC1620" s="774"/>
      <c r="BD1620" s="1119">
        <v>0.17399999999999999</v>
      </c>
      <c r="BE1620" s="774"/>
      <c r="BF1620" s="774"/>
      <c r="BG1620" s="774"/>
      <c r="BH1620" s="774"/>
      <c r="BI1620" s="1119">
        <v>0.17399999999999999</v>
      </c>
      <c r="BJ1620" s="774"/>
      <c r="BK1620" s="774"/>
      <c r="BL1620" s="774"/>
      <c r="BM1620" s="774"/>
      <c r="BN1620" s="78"/>
      <c r="BO1620" s="774"/>
      <c r="BP1620" s="774"/>
      <c r="BQ1620" s="774"/>
      <c r="BR1620" s="774"/>
      <c r="BS1620" s="78"/>
      <c r="BT1620" s="775"/>
      <c r="BU1620" s="774"/>
      <c r="BV1620" s="774"/>
      <c r="BW1620" s="774"/>
      <c r="BX1620" s="78"/>
      <c r="BY1620" s="774"/>
      <c r="BZ1620" s="774"/>
      <c r="CA1620" s="774"/>
      <c r="CB1620" s="774"/>
      <c r="CC1620" s="78"/>
      <c r="CD1620" s="78"/>
      <c r="CE1620" s="78"/>
      <c r="CF1620" s="78"/>
      <c r="CG1620" s="532"/>
    </row>
    <row r="1621" spans="1:85" s="615" customFormat="1" x14ac:dyDescent="0.3">
      <c r="A1621" s="522" t="s">
        <v>1067</v>
      </c>
      <c r="B1621" s="521"/>
      <c r="C1621" s="1122"/>
      <c r="D1621" s="1122"/>
      <c r="E1621" s="1122"/>
      <c r="F1621" s="1122"/>
      <c r="G1621" s="520"/>
      <c r="H1621" s="520"/>
      <c r="I1621" s="520"/>
      <c r="J1621" s="520"/>
      <c r="K1621" s="1122"/>
      <c r="L1621" s="520"/>
      <c r="M1621" s="520"/>
      <c r="N1621" s="520"/>
      <c r="O1621" s="520"/>
      <c r="P1621" s="1122"/>
      <c r="Q1621" s="520"/>
      <c r="R1621" s="520"/>
      <c r="S1621" s="520"/>
      <c r="T1621" s="520"/>
      <c r="U1621" s="1122"/>
      <c r="V1621" s="520"/>
      <c r="W1621" s="520"/>
      <c r="X1621" s="520"/>
      <c r="Y1621" s="520"/>
      <c r="Z1621" s="1122"/>
      <c r="AA1621" s="520"/>
      <c r="AB1621" s="520"/>
      <c r="AC1621" s="520"/>
      <c r="AD1621" s="520"/>
      <c r="AE1621" s="1122"/>
      <c r="AF1621" s="520"/>
      <c r="AG1621" s="520"/>
      <c r="AH1621" s="520"/>
      <c r="AI1621" s="520"/>
      <c r="AJ1621" s="1122"/>
      <c r="AK1621" s="520"/>
      <c r="AL1621" s="520"/>
      <c r="AM1621" s="520"/>
      <c r="AN1621" s="520"/>
      <c r="AO1621" s="1122"/>
      <c r="AP1621" s="520"/>
      <c r="AQ1621" s="520"/>
      <c r="AR1621" s="520"/>
      <c r="AS1621" s="520"/>
      <c r="AT1621" s="1124"/>
      <c r="AU1621" s="520"/>
      <c r="AV1621" s="520"/>
      <c r="AW1621" s="520"/>
      <c r="AX1621" s="520"/>
      <c r="AY1621" s="1124"/>
      <c r="AZ1621" s="520"/>
      <c r="BA1621" s="520"/>
      <c r="BB1621" s="520"/>
      <c r="BC1621" s="520"/>
      <c r="BD1621" s="1123">
        <v>597.37</v>
      </c>
      <c r="BE1621" s="520"/>
      <c r="BF1621" s="520"/>
      <c r="BG1621" s="520"/>
      <c r="BH1621" s="520"/>
      <c r="BI1621" s="1123">
        <v>597.37</v>
      </c>
      <c r="BJ1621" s="520"/>
      <c r="BK1621" s="520"/>
      <c r="BL1621" s="520"/>
      <c r="BM1621" s="520"/>
      <c r="BN1621" s="1124"/>
      <c r="BO1621" s="520"/>
      <c r="BP1621" s="520"/>
      <c r="BQ1621" s="520"/>
      <c r="BR1621" s="520"/>
      <c r="BS1621" s="1124"/>
      <c r="BT1621" s="728"/>
      <c r="BU1621" s="520"/>
      <c r="BV1621" s="520"/>
      <c r="BW1621" s="520"/>
      <c r="BX1621" s="1122"/>
      <c r="BY1621" s="520"/>
      <c r="BZ1621" s="520"/>
      <c r="CA1621" s="520"/>
      <c r="CB1621" s="520"/>
      <c r="CC1621" s="1122"/>
      <c r="CD1621" s="1122"/>
      <c r="CE1621" s="1122"/>
      <c r="CF1621" s="1122"/>
      <c r="CG1621" s="519"/>
    </row>
    <row r="1622" spans="1:85" s="614" customFormat="1" x14ac:dyDescent="0.3">
      <c r="A1622" s="522"/>
      <c r="B1622" s="352"/>
      <c r="C1622" s="1094"/>
      <c r="D1622" s="1094"/>
      <c r="E1622" s="1094"/>
      <c r="F1622" s="1094"/>
      <c r="G1622" s="197"/>
      <c r="H1622" s="197"/>
      <c r="I1622" s="197"/>
      <c r="J1622" s="197"/>
      <c r="K1622" s="1094"/>
      <c r="L1622" s="197"/>
      <c r="M1622" s="197"/>
      <c r="N1622" s="197"/>
      <c r="O1622" s="197"/>
      <c r="P1622" s="1094"/>
      <c r="Q1622" s="197"/>
      <c r="R1622" s="197"/>
      <c r="S1622" s="197"/>
      <c r="T1622" s="197"/>
      <c r="U1622" s="1094"/>
      <c r="V1622" s="197"/>
      <c r="W1622" s="197"/>
      <c r="X1622" s="197"/>
      <c r="Y1622" s="197"/>
      <c r="Z1622" s="1094"/>
      <c r="AA1622" s="197"/>
      <c r="AB1622" s="197"/>
      <c r="AC1622" s="197"/>
      <c r="AD1622" s="197"/>
      <c r="AE1622" s="1094"/>
      <c r="AF1622" s="197"/>
      <c r="AG1622" s="197"/>
      <c r="AH1622" s="197"/>
      <c r="AI1622" s="197"/>
      <c r="AJ1622" s="1094"/>
      <c r="AK1622" s="197"/>
      <c r="AL1622" s="197"/>
      <c r="AM1622" s="197"/>
      <c r="AN1622" s="197"/>
      <c r="AO1622" s="1094"/>
      <c r="AP1622" s="197"/>
      <c r="AQ1622" s="197"/>
      <c r="AR1622" s="197"/>
      <c r="AS1622" s="197"/>
      <c r="AT1622" s="198"/>
      <c r="AU1622" s="197"/>
      <c r="AV1622" s="197"/>
      <c r="AW1622" s="197"/>
      <c r="AX1622" s="197"/>
      <c r="AY1622" s="198"/>
      <c r="AZ1622" s="197"/>
      <c r="BA1622" s="197"/>
      <c r="BB1622" s="197"/>
      <c r="BC1622" s="197"/>
      <c r="BD1622" s="198"/>
      <c r="BE1622" s="197"/>
      <c r="BF1622" s="197"/>
      <c r="BG1622" s="197"/>
      <c r="BH1622" s="197"/>
      <c r="BI1622" s="198"/>
      <c r="BJ1622" s="197"/>
      <c r="BK1622" s="197"/>
      <c r="BL1622" s="197"/>
      <c r="BM1622" s="197"/>
      <c r="BN1622" s="198"/>
      <c r="BO1622" s="197"/>
      <c r="BP1622" s="197"/>
      <c r="BQ1622" s="197"/>
      <c r="BR1622" s="197"/>
      <c r="BS1622" s="198"/>
      <c r="BT1622" s="727"/>
      <c r="BU1622" s="197"/>
      <c r="BV1622" s="197"/>
      <c r="BW1622" s="197"/>
      <c r="BX1622" s="1094"/>
      <c r="BY1622" s="197"/>
      <c r="BZ1622" s="197"/>
      <c r="CA1622" s="197"/>
      <c r="CB1622" s="197"/>
      <c r="CC1622" s="1094"/>
      <c r="CD1622" s="1094"/>
      <c r="CE1622" s="1094"/>
      <c r="CF1622" s="1094"/>
      <c r="CG1622" s="349"/>
    </row>
    <row r="1623" spans="1:85" s="613" customFormat="1" x14ac:dyDescent="0.3">
      <c r="A1623" s="478" t="s">
        <v>1066</v>
      </c>
      <c r="B1623" s="523"/>
      <c r="C1623" s="78"/>
      <c r="D1623" s="78"/>
      <c r="E1623" s="78"/>
      <c r="F1623" s="78"/>
      <c r="G1623" s="774"/>
      <c r="H1623" s="774"/>
      <c r="I1623" s="774"/>
      <c r="J1623" s="774"/>
      <c r="K1623" s="78"/>
      <c r="L1623" s="774"/>
      <c r="M1623" s="774"/>
      <c r="N1623" s="774"/>
      <c r="O1623" s="774"/>
      <c r="P1623" s="78"/>
      <c r="Q1623" s="774"/>
      <c r="R1623" s="774"/>
      <c r="S1623" s="774"/>
      <c r="T1623" s="774"/>
      <c r="U1623" s="78"/>
      <c r="V1623" s="774"/>
      <c r="W1623" s="774"/>
      <c r="X1623" s="774"/>
      <c r="Y1623" s="774"/>
      <c r="Z1623" s="78"/>
      <c r="AA1623" s="774"/>
      <c r="AB1623" s="774"/>
      <c r="AC1623" s="774"/>
      <c r="AD1623" s="774"/>
      <c r="AE1623" s="78"/>
      <c r="AF1623" s="774"/>
      <c r="AG1623" s="774"/>
      <c r="AH1623" s="774"/>
      <c r="AI1623" s="774"/>
      <c r="AJ1623" s="78"/>
      <c r="AK1623" s="774"/>
      <c r="AL1623" s="774"/>
      <c r="AM1623" s="774"/>
      <c r="AN1623" s="774"/>
      <c r="AO1623" s="78"/>
      <c r="AP1623" s="774"/>
      <c r="AQ1623" s="774"/>
      <c r="AR1623" s="774"/>
      <c r="AS1623" s="774"/>
      <c r="AT1623" s="78"/>
      <c r="AU1623" s="774"/>
      <c r="AV1623" s="774"/>
      <c r="AW1623" s="774"/>
      <c r="AX1623" s="774"/>
      <c r="AY1623" s="78"/>
      <c r="AZ1623" s="774"/>
      <c r="BA1623" s="774"/>
      <c r="BB1623" s="774"/>
      <c r="BC1623" s="774"/>
      <c r="BD1623" s="1119">
        <v>0.45600000000000002</v>
      </c>
      <c r="BE1623" s="774"/>
      <c r="BF1623" s="774"/>
      <c r="BG1623" s="774"/>
      <c r="BH1623" s="774"/>
      <c r="BI1623" s="1119">
        <v>0.45600000000000002</v>
      </c>
      <c r="BJ1623" s="774"/>
      <c r="BK1623" s="774"/>
      <c r="BL1623" s="774"/>
      <c r="BM1623" s="774"/>
      <c r="BN1623" s="78"/>
      <c r="BO1623" s="774"/>
      <c r="BP1623" s="774"/>
      <c r="BQ1623" s="774"/>
      <c r="BR1623" s="774"/>
      <c r="BS1623" s="78"/>
      <c r="BT1623" s="775"/>
      <c r="BU1623" s="774"/>
      <c r="BV1623" s="774"/>
      <c r="BW1623" s="774"/>
      <c r="BX1623" s="78"/>
      <c r="BY1623" s="774"/>
      <c r="BZ1623" s="774"/>
      <c r="CA1623" s="774"/>
      <c r="CB1623" s="774"/>
      <c r="CC1623" s="78"/>
      <c r="CD1623" s="78"/>
      <c r="CE1623" s="78"/>
      <c r="CF1623" s="78"/>
      <c r="CG1623" s="532"/>
    </row>
    <row r="1624" spans="1:85" s="615" customFormat="1" x14ac:dyDescent="0.3">
      <c r="A1624" s="522" t="s">
        <v>1065</v>
      </c>
      <c r="B1624" s="521"/>
      <c r="C1624" s="1122"/>
      <c r="D1624" s="1122"/>
      <c r="E1624" s="1122"/>
      <c r="F1624" s="1122"/>
      <c r="G1624" s="520"/>
      <c r="H1624" s="520"/>
      <c r="I1624" s="520"/>
      <c r="J1624" s="520"/>
      <c r="K1624" s="1122"/>
      <c r="L1624" s="520"/>
      <c r="M1624" s="520"/>
      <c r="N1624" s="520"/>
      <c r="O1624" s="520"/>
      <c r="P1624" s="1122"/>
      <c r="Q1624" s="520"/>
      <c r="R1624" s="520"/>
      <c r="S1624" s="520"/>
      <c r="T1624" s="520"/>
      <c r="U1624" s="1122"/>
      <c r="V1624" s="520"/>
      <c r="W1624" s="520"/>
      <c r="X1624" s="520"/>
      <c r="Y1624" s="520"/>
      <c r="Z1624" s="1122"/>
      <c r="AA1624" s="520"/>
      <c r="AB1624" s="520"/>
      <c r="AC1624" s="520"/>
      <c r="AD1624" s="520"/>
      <c r="AE1624" s="1122"/>
      <c r="AF1624" s="520"/>
      <c r="AG1624" s="520"/>
      <c r="AH1624" s="520"/>
      <c r="AI1624" s="520"/>
      <c r="AJ1624" s="1122"/>
      <c r="AK1624" s="520"/>
      <c r="AL1624" s="520"/>
      <c r="AM1624" s="520"/>
      <c r="AN1624" s="520"/>
      <c r="AO1624" s="1122"/>
      <c r="AP1624" s="520"/>
      <c r="AQ1624" s="520"/>
      <c r="AR1624" s="520"/>
      <c r="AS1624" s="520"/>
      <c r="AT1624" s="1124"/>
      <c r="AU1624" s="520"/>
      <c r="AV1624" s="520"/>
      <c r="AW1624" s="520"/>
      <c r="AX1624" s="520"/>
      <c r="AY1624" s="1124"/>
      <c r="AZ1624" s="520"/>
      <c r="BA1624" s="520"/>
      <c r="BB1624" s="520"/>
      <c r="BC1624" s="520"/>
      <c r="BD1624" s="1123">
        <v>457.13</v>
      </c>
      <c r="BE1624" s="520"/>
      <c r="BF1624" s="520"/>
      <c r="BG1624" s="520"/>
      <c r="BH1624" s="520"/>
      <c r="BI1624" s="1123">
        <v>457.13</v>
      </c>
      <c r="BJ1624" s="520"/>
      <c r="BK1624" s="520"/>
      <c r="BL1624" s="520"/>
      <c r="BM1624" s="520"/>
      <c r="BN1624" s="1124"/>
      <c r="BO1624" s="520"/>
      <c r="BP1624" s="520"/>
      <c r="BQ1624" s="520"/>
      <c r="BR1624" s="520"/>
      <c r="BS1624" s="1124"/>
      <c r="BT1624" s="728"/>
      <c r="BU1624" s="520"/>
      <c r="BV1624" s="520"/>
      <c r="BW1624" s="520"/>
      <c r="BX1624" s="1122"/>
      <c r="BY1624" s="520"/>
      <c r="BZ1624" s="520"/>
      <c r="CA1624" s="520"/>
      <c r="CB1624" s="520"/>
      <c r="CC1624" s="1122"/>
      <c r="CD1624" s="1122"/>
      <c r="CE1624" s="1122"/>
      <c r="CF1624" s="1122"/>
      <c r="CG1624" s="519"/>
    </row>
    <row r="1625" spans="1:85" s="614" customFormat="1" x14ac:dyDescent="0.3">
      <c r="A1625" s="522"/>
      <c r="B1625" s="352"/>
      <c r="C1625" s="1094"/>
      <c r="D1625" s="1094"/>
      <c r="E1625" s="1094"/>
      <c r="F1625" s="1094"/>
      <c r="G1625" s="197"/>
      <c r="H1625" s="197"/>
      <c r="I1625" s="197"/>
      <c r="J1625" s="197"/>
      <c r="K1625" s="1094"/>
      <c r="L1625" s="197"/>
      <c r="M1625" s="197"/>
      <c r="N1625" s="197"/>
      <c r="O1625" s="197"/>
      <c r="P1625" s="1094"/>
      <c r="Q1625" s="197"/>
      <c r="R1625" s="197"/>
      <c r="S1625" s="197"/>
      <c r="T1625" s="197"/>
      <c r="U1625" s="1094"/>
      <c r="V1625" s="197"/>
      <c r="W1625" s="197"/>
      <c r="X1625" s="197"/>
      <c r="Y1625" s="197"/>
      <c r="Z1625" s="1094"/>
      <c r="AA1625" s="197"/>
      <c r="AB1625" s="197"/>
      <c r="AC1625" s="197"/>
      <c r="AD1625" s="197"/>
      <c r="AE1625" s="1094"/>
      <c r="AF1625" s="197"/>
      <c r="AG1625" s="197"/>
      <c r="AH1625" s="197"/>
      <c r="AI1625" s="197"/>
      <c r="AJ1625" s="1094"/>
      <c r="AK1625" s="197"/>
      <c r="AL1625" s="197"/>
      <c r="AM1625" s="197"/>
      <c r="AN1625" s="197"/>
      <c r="AO1625" s="1094"/>
      <c r="AP1625" s="197"/>
      <c r="AQ1625" s="197"/>
      <c r="AR1625" s="197"/>
      <c r="AS1625" s="197"/>
      <c r="AT1625" s="198"/>
      <c r="AU1625" s="197"/>
      <c r="AV1625" s="197"/>
      <c r="AW1625" s="197"/>
      <c r="AX1625" s="197"/>
      <c r="AY1625" s="198"/>
      <c r="AZ1625" s="197"/>
      <c r="BA1625" s="197"/>
      <c r="BB1625" s="197"/>
      <c r="BC1625" s="197"/>
      <c r="BD1625" s="198"/>
      <c r="BE1625" s="197"/>
      <c r="BF1625" s="197"/>
      <c r="BG1625" s="197"/>
      <c r="BH1625" s="197"/>
      <c r="BI1625" s="198"/>
      <c r="BJ1625" s="197"/>
      <c r="BK1625" s="197"/>
      <c r="BL1625" s="197"/>
      <c r="BM1625" s="197"/>
      <c r="BN1625" s="198"/>
      <c r="BO1625" s="197"/>
      <c r="BP1625" s="197"/>
      <c r="BQ1625" s="197"/>
      <c r="BR1625" s="197"/>
      <c r="BS1625" s="198"/>
      <c r="BT1625" s="727"/>
      <c r="BU1625" s="197"/>
      <c r="BV1625" s="197"/>
      <c r="BW1625" s="197"/>
      <c r="BX1625" s="1094"/>
      <c r="BY1625" s="197"/>
      <c r="BZ1625" s="197"/>
      <c r="CA1625" s="197"/>
      <c r="CB1625" s="197"/>
      <c r="CC1625" s="1094"/>
      <c r="CD1625" s="1094"/>
      <c r="CE1625" s="1094"/>
      <c r="CF1625" s="1094"/>
      <c r="CG1625" s="349"/>
    </row>
    <row r="1626" spans="1:85" s="613" customFormat="1" x14ac:dyDescent="0.3">
      <c r="A1626" s="478" t="s">
        <v>1064</v>
      </c>
      <c r="B1626" s="523"/>
      <c r="C1626" s="78"/>
      <c r="D1626" s="78"/>
      <c r="E1626" s="78"/>
      <c r="F1626" s="78"/>
      <c r="G1626" s="774"/>
      <c r="H1626" s="774"/>
      <c r="I1626" s="774"/>
      <c r="J1626" s="774"/>
      <c r="K1626" s="78"/>
      <c r="L1626" s="774"/>
      <c r="M1626" s="774"/>
      <c r="N1626" s="774"/>
      <c r="O1626" s="774"/>
      <c r="P1626" s="78"/>
      <c r="Q1626" s="774"/>
      <c r="R1626" s="774"/>
      <c r="S1626" s="774"/>
      <c r="T1626" s="774"/>
      <c r="U1626" s="78"/>
      <c r="V1626" s="774"/>
      <c r="W1626" s="774"/>
      <c r="X1626" s="774"/>
      <c r="Y1626" s="774"/>
      <c r="Z1626" s="78"/>
      <c r="AA1626" s="774"/>
      <c r="AB1626" s="774"/>
      <c r="AC1626" s="774"/>
      <c r="AD1626" s="774"/>
      <c r="AE1626" s="78"/>
      <c r="AF1626" s="774"/>
      <c r="AG1626" s="774"/>
      <c r="AH1626" s="774"/>
      <c r="AI1626" s="774"/>
      <c r="AJ1626" s="78"/>
      <c r="AK1626" s="774"/>
      <c r="AL1626" s="774"/>
      <c r="AM1626" s="774"/>
      <c r="AN1626" s="774"/>
      <c r="AO1626" s="78"/>
      <c r="AP1626" s="774"/>
      <c r="AQ1626" s="774"/>
      <c r="AR1626" s="774"/>
      <c r="AS1626" s="774"/>
      <c r="AT1626" s="78"/>
      <c r="AU1626" s="774"/>
      <c r="AV1626" s="774"/>
      <c r="AW1626" s="774"/>
      <c r="AX1626" s="774"/>
      <c r="AY1626" s="78"/>
      <c r="AZ1626" s="774"/>
      <c r="BA1626" s="774"/>
      <c r="BB1626" s="774"/>
      <c r="BC1626" s="774"/>
      <c r="BD1626" s="1119">
        <v>0.53900000000000003</v>
      </c>
      <c r="BE1626" s="774"/>
      <c r="BF1626" s="774"/>
      <c r="BG1626" s="774"/>
      <c r="BH1626" s="774"/>
      <c r="BI1626" s="1119">
        <v>0.53900000000000003</v>
      </c>
      <c r="BJ1626" s="774"/>
      <c r="BK1626" s="774"/>
      <c r="BL1626" s="774"/>
      <c r="BM1626" s="774"/>
      <c r="BN1626" s="78"/>
      <c r="BO1626" s="774"/>
      <c r="BP1626" s="774"/>
      <c r="BQ1626" s="774"/>
      <c r="BR1626" s="774"/>
      <c r="BS1626" s="78"/>
      <c r="BT1626" s="775"/>
      <c r="BU1626" s="774"/>
      <c r="BV1626" s="774"/>
      <c r="BW1626" s="774"/>
      <c r="BX1626" s="78"/>
      <c r="BY1626" s="774"/>
      <c r="BZ1626" s="774"/>
      <c r="CA1626" s="774"/>
      <c r="CB1626" s="774"/>
      <c r="CC1626" s="78"/>
      <c r="CD1626" s="78"/>
      <c r="CE1626" s="78"/>
      <c r="CF1626" s="78"/>
      <c r="CG1626" s="532"/>
    </row>
    <row r="1627" spans="1:85" s="615" customFormat="1" x14ac:dyDescent="0.3">
      <c r="A1627" s="522" t="s">
        <v>1063</v>
      </c>
      <c r="B1627" s="521"/>
      <c r="C1627" s="1122"/>
      <c r="D1627" s="1122"/>
      <c r="E1627" s="1122"/>
      <c r="F1627" s="1122"/>
      <c r="G1627" s="520"/>
      <c r="H1627" s="520"/>
      <c r="I1627" s="520"/>
      <c r="J1627" s="520"/>
      <c r="K1627" s="1122"/>
      <c r="L1627" s="520"/>
      <c r="M1627" s="520"/>
      <c r="N1627" s="520"/>
      <c r="O1627" s="520"/>
      <c r="P1627" s="1122"/>
      <c r="Q1627" s="520"/>
      <c r="R1627" s="520"/>
      <c r="S1627" s="520"/>
      <c r="T1627" s="520"/>
      <c r="U1627" s="1122"/>
      <c r="V1627" s="520"/>
      <c r="W1627" s="520"/>
      <c r="X1627" s="520"/>
      <c r="Y1627" s="520"/>
      <c r="Z1627" s="1122"/>
      <c r="AA1627" s="520"/>
      <c r="AB1627" s="520"/>
      <c r="AC1627" s="520"/>
      <c r="AD1627" s="520"/>
      <c r="AE1627" s="1122"/>
      <c r="AF1627" s="520"/>
      <c r="AG1627" s="520"/>
      <c r="AH1627" s="520"/>
      <c r="AI1627" s="520"/>
      <c r="AJ1627" s="1122"/>
      <c r="AK1627" s="520"/>
      <c r="AL1627" s="520"/>
      <c r="AM1627" s="520"/>
      <c r="AN1627" s="520"/>
      <c r="AO1627" s="1122"/>
      <c r="AP1627" s="520"/>
      <c r="AQ1627" s="520"/>
      <c r="AR1627" s="520"/>
      <c r="AS1627" s="520"/>
      <c r="AT1627" s="1124"/>
      <c r="AU1627" s="520"/>
      <c r="AV1627" s="520"/>
      <c r="AW1627" s="520"/>
      <c r="AX1627" s="520"/>
      <c r="AY1627" s="1124"/>
      <c r="AZ1627" s="520"/>
      <c r="BA1627" s="520"/>
      <c r="BB1627" s="520"/>
      <c r="BC1627" s="520"/>
      <c r="BD1627" s="1123">
        <v>386.24</v>
      </c>
      <c r="BE1627" s="520"/>
      <c r="BF1627" s="520"/>
      <c r="BG1627" s="520"/>
      <c r="BH1627" s="520"/>
      <c r="BI1627" s="1123">
        <v>386.24</v>
      </c>
      <c r="BJ1627" s="520"/>
      <c r="BK1627" s="520"/>
      <c r="BL1627" s="520"/>
      <c r="BM1627" s="520"/>
      <c r="BN1627" s="1124"/>
      <c r="BO1627" s="520"/>
      <c r="BP1627" s="520"/>
      <c r="BQ1627" s="520"/>
      <c r="BR1627" s="520"/>
      <c r="BS1627" s="1124"/>
      <c r="BT1627" s="728"/>
      <c r="BU1627" s="520"/>
      <c r="BV1627" s="520"/>
      <c r="BW1627" s="520"/>
      <c r="BX1627" s="1122"/>
      <c r="BY1627" s="520"/>
      <c r="BZ1627" s="520"/>
      <c r="CA1627" s="520"/>
      <c r="CB1627" s="520"/>
      <c r="CC1627" s="1122"/>
      <c r="CD1627" s="1122"/>
      <c r="CE1627" s="1122"/>
      <c r="CF1627" s="1122"/>
      <c r="CG1627" s="519"/>
    </row>
    <row r="1628" spans="1:85" s="614" customFormat="1" x14ac:dyDescent="0.3">
      <c r="A1628" s="522"/>
      <c r="B1628" s="352"/>
      <c r="C1628" s="1094"/>
      <c r="D1628" s="1094"/>
      <c r="E1628" s="1094"/>
      <c r="F1628" s="1094"/>
      <c r="G1628" s="197"/>
      <c r="H1628" s="197"/>
      <c r="I1628" s="197"/>
      <c r="J1628" s="197"/>
      <c r="K1628" s="1094"/>
      <c r="L1628" s="197"/>
      <c r="M1628" s="197"/>
      <c r="N1628" s="197"/>
      <c r="O1628" s="197"/>
      <c r="P1628" s="1094"/>
      <c r="Q1628" s="197"/>
      <c r="R1628" s="197"/>
      <c r="S1628" s="197"/>
      <c r="T1628" s="197"/>
      <c r="U1628" s="1094"/>
      <c r="V1628" s="197"/>
      <c r="W1628" s="197"/>
      <c r="X1628" s="197"/>
      <c r="Y1628" s="197"/>
      <c r="Z1628" s="1094"/>
      <c r="AA1628" s="197"/>
      <c r="AB1628" s="197"/>
      <c r="AC1628" s="197"/>
      <c r="AD1628" s="197"/>
      <c r="AE1628" s="1094"/>
      <c r="AF1628" s="197"/>
      <c r="AG1628" s="197"/>
      <c r="AH1628" s="197"/>
      <c r="AI1628" s="197"/>
      <c r="AJ1628" s="1094"/>
      <c r="AK1628" s="197"/>
      <c r="AL1628" s="197"/>
      <c r="AM1628" s="197"/>
      <c r="AN1628" s="197"/>
      <c r="AO1628" s="1094"/>
      <c r="AP1628" s="197"/>
      <c r="AQ1628" s="197"/>
      <c r="AR1628" s="197"/>
      <c r="AS1628" s="197"/>
      <c r="AT1628" s="198"/>
      <c r="AU1628" s="197"/>
      <c r="AV1628" s="197"/>
      <c r="AW1628" s="197"/>
      <c r="AX1628" s="197"/>
      <c r="AY1628" s="198"/>
      <c r="AZ1628" s="197"/>
      <c r="BA1628" s="197"/>
      <c r="BB1628" s="197"/>
      <c r="BC1628" s="197"/>
      <c r="BD1628" s="198"/>
      <c r="BE1628" s="197"/>
      <c r="BF1628" s="197"/>
      <c r="BG1628" s="197"/>
      <c r="BH1628" s="197"/>
      <c r="BI1628" s="198"/>
      <c r="BJ1628" s="197"/>
      <c r="BK1628" s="197"/>
      <c r="BL1628" s="197"/>
      <c r="BM1628" s="197"/>
      <c r="BN1628" s="198"/>
      <c r="BO1628" s="197"/>
      <c r="BP1628" s="197"/>
      <c r="BQ1628" s="197"/>
      <c r="BR1628" s="197"/>
      <c r="BS1628" s="198"/>
      <c r="BT1628" s="727"/>
      <c r="BU1628" s="197"/>
      <c r="BV1628" s="197"/>
      <c r="BW1628" s="197"/>
      <c r="BX1628" s="1094"/>
      <c r="BY1628" s="197"/>
      <c r="BZ1628" s="197"/>
      <c r="CA1628" s="197"/>
      <c r="CB1628" s="197"/>
      <c r="CC1628" s="1094"/>
      <c r="CD1628" s="1094"/>
      <c r="CE1628" s="1094"/>
      <c r="CF1628" s="1094"/>
      <c r="CG1628" s="349"/>
    </row>
    <row r="1629" spans="1:85" s="613" customFormat="1" x14ac:dyDescent="0.3">
      <c r="A1629" s="478" t="s">
        <v>1062</v>
      </c>
      <c r="B1629" s="523"/>
      <c r="C1629" s="78"/>
      <c r="D1629" s="78"/>
      <c r="E1629" s="78"/>
      <c r="F1629" s="78"/>
      <c r="G1629" s="774"/>
      <c r="H1629" s="774"/>
      <c r="I1629" s="774"/>
      <c r="J1629" s="774"/>
      <c r="K1629" s="78"/>
      <c r="L1629" s="774"/>
      <c r="M1629" s="774"/>
      <c r="N1629" s="774"/>
      <c r="O1629" s="774"/>
      <c r="P1629" s="78"/>
      <c r="Q1629" s="774"/>
      <c r="R1629" s="774"/>
      <c r="S1629" s="774"/>
      <c r="T1629" s="774"/>
      <c r="U1629" s="78"/>
      <c r="V1629" s="774"/>
      <c r="W1629" s="774"/>
      <c r="X1629" s="774"/>
      <c r="Y1629" s="774"/>
      <c r="Z1629" s="78"/>
      <c r="AA1629" s="774"/>
      <c r="AB1629" s="774"/>
      <c r="AC1629" s="774"/>
      <c r="AD1629" s="774"/>
      <c r="AE1629" s="78"/>
      <c r="AF1629" s="774"/>
      <c r="AG1629" s="774"/>
      <c r="AH1629" s="774"/>
      <c r="AI1629" s="774"/>
      <c r="AJ1629" s="78"/>
      <c r="AK1629" s="774"/>
      <c r="AL1629" s="774"/>
      <c r="AM1629" s="774"/>
      <c r="AN1629" s="774"/>
      <c r="AO1629" s="78"/>
      <c r="AP1629" s="774"/>
      <c r="AQ1629" s="774"/>
      <c r="AR1629" s="774"/>
      <c r="AS1629" s="774"/>
      <c r="AT1629" s="78"/>
      <c r="AU1629" s="774"/>
      <c r="AV1629" s="774"/>
      <c r="AW1629" s="774"/>
      <c r="AX1629" s="774"/>
      <c r="AY1629" s="78"/>
      <c r="AZ1629" s="774"/>
      <c r="BA1629" s="774"/>
      <c r="BB1629" s="774"/>
      <c r="BC1629" s="774"/>
      <c r="BD1629" s="1119">
        <v>0.55800000000000005</v>
      </c>
      <c r="BE1629" s="774"/>
      <c r="BF1629" s="774"/>
      <c r="BG1629" s="774"/>
      <c r="BH1629" s="774"/>
      <c r="BI1629" s="1119">
        <v>0.55800000000000005</v>
      </c>
      <c r="BJ1629" s="774"/>
      <c r="BK1629" s="774"/>
      <c r="BL1629" s="774"/>
      <c r="BM1629" s="774"/>
      <c r="BN1629" s="78"/>
      <c r="BO1629" s="774"/>
      <c r="BP1629" s="774"/>
      <c r="BQ1629" s="774"/>
      <c r="BR1629" s="774"/>
      <c r="BS1629" s="78"/>
      <c r="BT1629" s="775"/>
      <c r="BU1629" s="774"/>
      <c r="BV1629" s="774"/>
      <c r="BW1629" s="774"/>
      <c r="BX1629" s="78"/>
      <c r="BY1629" s="774"/>
      <c r="BZ1629" s="774"/>
      <c r="CA1629" s="774"/>
      <c r="CB1629" s="774"/>
      <c r="CC1629" s="78"/>
      <c r="CD1629" s="78"/>
      <c r="CE1629" s="78"/>
      <c r="CF1629" s="78"/>
      <c r="CG1629" s="532"/>
    </row>
    <row r="1630" spans="1:85" s="615" customFormat="1" x14ac:dyDescent="0.3">
      <c r="A1630" s="522" t="s">
        <v>1061</v>
      </c>
      <c r="B1630" s="521"/>
      <c r="C1630" s="1122"/>
      <c r="D1630" s="1122"/>
      <c r="E1630" s="1122"/>
      <c r="F1630" s="1122"/>
      <c r="G1630" s="520"/>
      <c r="H1630" s="520"/>
      <c r="I1630" s="520"/>
      <c r="J1630" s="520"/>
      <c r="K1630" s="1122"/>
      <c r="L1630" s="520"/>
      <c r="M1630" s="520"/>
      <c r="N1630" s="520"/>
      <c r="O1630" s="520"/>
      <c r="P1630" s="1122"/>
      <c r="Q1630" s="520"/>
      <c r="R1630" s="520"/>
      <c r="S1630" s="520"/>
      <c r="T1630" s="520"/>
      <c r="U1630" s="1122"/>
      <c r="V1630" s="520"/>
      <c r="W1630" s="520"/>
      <c r="X1630" s="520"/>
      <c r="Y1630" s="520"/>
      <c r="Z1630" s="1122"/>
      <c r="AA1630" s="520"/>
      <c r="AB1630" s="520"/>
      <c r="AC1630" s="520"/>
      <c r="AD1630" s="520"/>
      <c r="AE1630" s="1122"/>
      <c r="AF1630" s="520"/>
      <c r="AG1630" s="520"/>
      <c r="AH1630" s="520"/>
      <c r="AI1630" s="520"/>
      <c r="AJ1630" s="1122"/>
      <c r="AK1630" s="520"/>
      <c r="AL1630" s="520"/>
      <c r="AM1630" s="520"/>
      <c r="AN1630" s="520"/>
      <c r="AO1630" s="1122"/>
      <c r="AP1630" s="520"/>
      <c r="AQ1630" s="520"/>
      <c r="AR1630" s="520"/>
      <c r="AS1630" s="520"/>
      <c r="AT1630" s="1124"/>
      <c r="AU1630" s="520"/>
      <c r="AV1630" s="520"/>
      <c r="AW1630" s="520"/>
      <c r="AX1630" s="520"/>
      <c r="AY1630" s="1124"/>
      <c r="AZ1630" s="520"/>
      <c r="BA1630" s="520"/>
      <c r="BB1630" s="520"/>
      <c r="BC1630" s="520"/>
      <c r="BD1630" s="1123">
        <v>373.47</v>
      </c>
      <c r="BE1630" s="520"/>
      <c r="BF1630" s="520"/>
      <c r="BG1630" s="520"/>
      <c r="BH1630" s="520"/>
      <c r="BI1630" s="1123">
        <v>373.47</v>
      </c>
      <c r="BJ1630" s="520"/>
      <c r="BK1630" s="520"/>
      <c r="BL1630" s="520"/>
      <c r="BM1630" s="520"/>
      <c r="BN1630" s="1124"/>
      <c r="BO1630" s="520"/>
      <c r="BP1630" s="520"/>
      <c r="BQ1630" s="520"/>
      <c r="BR1630" s="520"/>
      <c r="BS1630" s="1124"/>
      <c r="BT1630" s="728"/>
      <c r="BU1630" s="520"/>
      <c r="BV1630" s="520"/>
      <c r="BW1630" s="520"/>
      <c r="BX1630" s="1122"/>
      <c r="BY1630" s="520"/>
      <c r="BZ1630" s="520"/>
      <c r="CA1630" s="520"/>
      <c r="CB1630" s="520"/>
      <c r="CC1630" s="1122"/>
      <c r="CD1630" s="1122"/>
      <c r="CE1630" s="1122"/>
      <c r="CF1630" s="1122"/>
      <c r="CG1630" s="519"/>
    </row>
    <row r="1631" spans="1:85" s="614" customFormat="1" x14ac:dyDescent="0.3">
      <c r="A1631" s="522"/>
      <c r="B1631" s="352"/>
      <c r="C1631" s="1094"/>
      <c r="D1631" s="1094"/>
      <c r="E1631" s="1094"/>
      <c r="F1631" s="1094"/>
      <c r="G1631" s="197"/>
      <c r="H1631" s="197"/>
      <c r="I1631" s="197"/>
      <c r="J1631" s="197"/>
      <c r="K1631" s="1094"/>
      <c r="L1631" s="197"/>
      <c r="M1631" s="197"/>
      <c r="N1631" s="197"/>
      <c r="O1631" s="197"/>
      <c r="P1631" s="1094"/>
      <c r="Q1631" s="197"/>
      <c r="R1631" s="197"/>
      <c r="S1631" s="197"/>
      <c r="T1631" s="197"/>
      <c r="U1631" s="1094"/>
      <c r="V1631" s="197"/>
      <c r="W1631" s="197"/>
      <c r="X1631" s="197"/>
      <c r="Y1631" s="197"/>
      <c r="Z1631" s="1094"/>
      <c r="AA1631" s="197"/>
      <c r="AB1631" s="197"/>
      <c r="AC1631" s="197"/>
      <c r="AD1631" s="197"/>
      <c r="AE1631" s="1094"/>
      <c r="AF1631" s="197"/>
      <c r="AG1631" s="197"/>
      <c r="AH1631" s="197"/>
      <c r="AI1631" s="197"/>
      <c r="AJ1631" s="1094"/>
      <c r="AK1631" s="197"/>
      <c r="AL1631" s="197"/>
      <c r="AM1631" s="197"/>
      <c r="AN1631" s="197"/>
      <c r="AO1631" s="1094"/>
      <c r="AP1631" s="197"/>
      <c r="AQ1631" s="197"/>
      <c r="AR1631" s="197"/>
      <c r="AS1631" s="197"/>
      <c r="AT1631" s="198"/>
      <c r="AU1631" s="197"/>
      <c r="AV1631" s="197"/>
      <c r="AW1631" s="197"/>
      <c r="AX1631" s="197"/>
      <c r="AY1631" s="198"/>
      <c r="AZ1631" s="197"/>
      <c r="BA1631" s="197"/>
      <c r="BB1631" s="197"/>
      <c r="BC1631" s="197"/>
      <c r="BD1631" s="198"/>
      <c r="BE1631" s="197"/>
      <c r="BF1631" s="197"/>
      <c r="BG1631" s="197"/>
      <c r="BH1631" s="197"/>
      <c r="BI1631" s="198"/>
      <c r="BJ1631" s="197"/>
      <c r="BK1631" s="197"/>
      <c r="BL1631" s="197"/>
      <c r="BM1631" s="197"/>
      <c r="BN1631" s="198"/>
      <c r="BO1631" s="197"/>
      <c r="BP1631" s="197"/>
      <c r="BQ1631" s="197"/>
      <c r="BR1631" s="197"/>
      <c r="BS1631" s="198"/>
      <c r="BT1631" s="727"/>
      <c r="BU1631" s="197"/>
      <c r="BV1631" s="197"/>
      <c r="BW1631" s="197"/>
      <c r="BX1631" s="1094"/>
      <c r="BY1631" s="197"/>
      <c r="BZ1631" s="197"/>
      <c r="CA1631" s="197"/>
      <c r="CB1631" s="197"/>
      <c r="CC1631" s="1094"/>
      <c r="CD1631" s="1094"/>
      <c r="CE1631" s="1094"/>
      <c r="CF1631" s="1094"/>
      <c r="CG1631" s="349"/>
    </row>
    <row r="1632" spans="1:85" s="613" customFormat="1" x14ac:dyDescent="0.3">
      <c r="A1632" s="478" t="s">
        <v>1060</v>
      </c>
      <c r="B1632" s="523"/>
      <c r="C1632" s="78"/>
      <c r="D1632" s="78"/>
      <c r="E1632" s="78"/>
      <c r="F1632" s="78"/>
      <c r="G1632" s="774"/>
      <c r="H1632" s="774"/>
      <c r="I1632" s="774"/>
      <c r="J1632" s="774"/>
      <c r="K1632" s="78"/>
      <c r="L1632" s="774"/>
      <c r="M1632" s="774"/>
      <c r="N1632" s="774"/>
      <c r="O1632" s="774"/>
      <c r="P1632" s="78"/>
      <c r="Q1632" s="774"/>
      <c r="R1632" s="774"/>
      <c r="S1632" s="774"/>
      <c r="T1632" s="774"/>
      <c r="U1632" s="78"/>
      <c r="V1632" s="774"/>
      <c r="W1632" s="774"/>
      <c r="X1632" s="774"/>
      <c r="Y1632" s="774"/>
      <c r="Z1632" s="78"/>
      <c r="AA1632" s="774"/>
      <c r="AB1632" s="774"/>
      <c r="AC1632" s="774"/>
      <c r="AD1632" s="774"/>
      <c r="AE1632" s="78"/>
      <c r="AF1632" s="774"/>
      <c r="AG1632" s="774"/>
      <c r="AH1632" s="774"/>
      <c r="AI1632" s="774"/>
      <c r="AJ1632" s="78"/>
      <c r="AK1632" s="774"/>
      <c r="AL1632" s="774"/>
      <c r="AM1632" s="774"/>
      <c r="AN1632" s="774"/>
      <c r="AO1632" s="78"/>
      <c r="AP1632" s="774"/>
      <c r="AQ1632" s="774"/>
      <c r="AR1632" s="774"/>
      <c r="AS1632" s="774"/>
      <c r="AT1632" s="78"/>
      <c r="AU1632" s="774"/>
      <c r="AV1632" s="774"/>
      <c r="AW1632" s="774"/>
      <c r="AX1632" s="774"/>
      <c r="AY1632" s="78"/>
      <c r="AZ1632" s="774"/>
      <c r="BA1632" s="774"/>
      <c r="BB1632" s="774"/>
      <c r="BC1632" s="774"/>
      <c r="BD1632" s="1119">
        <v>1.0449999999999999</v>
      </c>
      <c r="BE1632" s="774"/>
      <c r="BF1632" s="774"/>
      <c r="BG1632" s="774"/>
      <c r="BH1632" s="774"/>
      <c r="BI1632" s="1119">
        <v>1.0449999999999999</v>
      </c>
      <c r="BJ1632" s="774"/>
      <c r="BK1632" s="774"/>
      <c r="BL1632" s="774"/>
      <c r="BM1632" s="774"/>
      <c r="BN1632" s="78"/>
      <c r="BO1632" s="774"/>
      <c r="BP1632" s="774"/>
      <c r="BQ1632" s="774"/>
      <c r="BR1632" s="774"/>
      <c r="BS1632" s="78"/>
      <c r="BT1632" s="775"/>
      <c r="BU1632" s="774"/>
      <c r="BV1632" s="774"/>
      <c r="BW1632" s="774"/>
      <c r="BX1632" s="78"/>
      <c r="BY1632" s="774"/>
      <c r="BZ1632" s="774"/>
      <c r="CA1632" s="774"/>
      <c r="CB1632" s="774"/>
      <c r="CC1632" s="78"/>
      <c r="CD1632" s="78"/>
      <c r="CE1632" s="78"/>
      <c r="CF1632" s="78"/>
      <c r="CG1632" s="532"/>
    </row>
    <row r="1633" spans="1:85" s="615" customFormat="1" x14ac:dyDescent="0.3">
      <c r="A1633" s="522" t="s">
        <v>1059</v>
      </c>
      <c r="B1633" s="521"/>
      <c r="C1633" s="1122"/>
      <c r="D1633" s="1122"/>
      <c r="E1633" s="1122"/>
      <c r="F1633" s="1122"/>
      <c r="G1633" s="520"/>
      <c r="H1633" s="520"/>
      <c r="I1633" s="520"/>
      <c r="J1633" s="520"/>
      <c r="K1633" s="1122"/>
      <c r="L1633" s="520"/>
      <c r="M1633" s="520"/>
      <c r="N1633" s="520"/>
      <c r="O1633" s="520"/>
      <c r="P1633" s="1122"/>
      <c r="Q1633" s="520"/>
      <c r="R1633" s="520"/>
      <c r="S1633" s="520"/>
      <c r="T1633" s="520"/>
      <c r="U1633" s="1122"/>
      <c r="V1633" s="520"/>
      <c r="W1633" s="520"/>
      <c r="X1633" s="520"/>
      <c r="Y1633" s="520"/>
      <c r="Z1633" s="1122"/>
      <c r="AA1633" s="520"/>
      <c r="AB1633" s="520"/>
      <c r="AC1633" s="520"/>
      <c r="AD1633" s="520"/>
      <c r="AE1633" s="1122"/>
      <c r="AF1633" s="520"/>
      <c r="AG1633" s="520"/>
      <c r="AH1633" s="520"/>
      <c r="AI1633" s="520"/>
      <c r="AJ1633" s="1122"/>
      <c r="AK1633" s="520"/>
      <c r="AL1633" s="520"/>
      <c r="AM1633" s="520"/>
      <c r="AN1633" s="520"/>
      <c r="AO1633" s="1122"/>
      <c r="AP1633" s="520"/>
      <c r="AQ1633" s="520"/>
      <c r="AR1633" s="520"/>
      <c r="AS1633" s="520"/>
      <c r="AT1633" s="1124"/>
      <c r="AU1633" s="520"/>
      <c r="AV1633" s="520"/>
      <c r="AW1633" s="520"/>
      <c r="AX1633" s="520"/>
      <c r="AY1633" s="1124"/>
      <c r="AZ1633" s="520"/>
      <c r="BA1633" s="520"/>
      <c r="BB1633" s="520"/>
      <c r="BC1633" s="520"/>
      <c r="BD1633" s="1123">
        <v>199.46</v>
      </c>
      <c r="BE1633" s="520"/>
      <c r="BF1633" s="520"/>
      <c r="BG1633" s="520"/>
      <c r="BH1633" s="520"/>
      <c r="BI1633" s="1123">
        <v>199.46</v>
      </c>
      <c r="BJ1633" s="520"/>
      <c r="BK1633" s="520"/>
      <c r="BL1633" s="520"/>
      <c r="BM1633" s="520"/>
      <c r="BN1633" s="1124"/>
      <c r="BO1633" s="520"/>
      <c r="BP1633" s="520"/>
      <c r="BQ1633" s="520"/>
      <c r="BR1633" s="520"/>
      <c r="BS1633" s="1124"/>
      <c r="BT1633" s="728"/>
      <c r="BU1633" s="520"/>
      <c r="BV1633" s="520"/>
      <c r="BW1633" s="520"/>
      <c r="BX1633" s="1122"/>
      <c r="BY1633" s="520"/>
      <c r="BZ1633" s="520"/>
      <c r="CA1633" s="520"/>
      <c r="CB1633" s="520"/>
      <c r="CC1633" s="1122"/>
      <c r="CD1633" s="1122"/>
      <c r="CE1633" s="1122"/>
      <c r="CF1633" s="1122"/>
      <c r="CG1633" s="519"/>
    </row>
    <row r="1634" spans="1:85" s="614" customFormat="1" x14ac:dyDescent="0.3">
      <c r="A1634" s="522"/>
      <c r="B1634" s="352"/>
      <c r="C1634" s="1094"/>
      <c r="D1634" s="1094"/>
      <c r="E1634" s="1094"/>
      <c r="F1634" s="1094"/>
      <c r="G1634" s="197"/>
      <c r="H1634" s="197"/>
      <c r="I1634" s="197"/>
      <c r="J1634" s="197"/>
      <c r="K1634" s="1094"/>
      <c r="L1634" s="197"/>
      <c r="M1634" s="197"/>
      <c r="N1634" s="197"/>
      <c r="O1634" s="197"/>
      <c r="P1634" s="1094"/>
      <c r="Q1634" s="197"/>
      <c r="R1634" s="197"/>
      <c r="S1634" s="197"/>
      <c r="T1634" s="197"/>
      <c r="U1634" s="1094"/>
      <c r="V1634" s="197"/>
      <c r="W1634" s="197"/>
      <c r="X1634" s="197"/>
      <c r="Y1634" s="197"/>
      <c r="Z1634" s="1094"/>
      <c r="AA1634" s="197"/>
      <c r="AB1634" s="197"/>
      <c r="AC1634" s="197"/>
      <c r="AD1634" s="197"/>
      <c r="AE1634" s="1094"/>
      <c r="AF1634" s="197"/>
      <c r="AG1634" s="197"/>
      <c r="AH1634" s="197"/>
      <c r="AI1634" s="197"/>
      <c r="AJ1634" s="1094"/>
      <c r="AK1634" s="197"/>
      <c r="AL1634" s="197"/>
      <c r="AM1634" s="197"/>
      <c r="AN1634" s="197"/>
      <c r="AO1634" s="1094"/>
      <c r="AP1634" s="197"/>
      <c r="AQ1634" s="197"/>
      <c r="AR1634" s="197"/>
      <c r="AS1634" s="197"/>
      <c r="AT1634" s="198"/>
      <c r="AU1634" s="197"/>
      <c r="AV1634" s="197"/>
      <c r="AW1634" s="197"/>
      <c r="AX1634" s="197"/>
      <c r="AY1634" s="198"/>
      <c r="AZ1634" s="197"/>
      <c r="BA1634" s="197"/>
      <c r="BB1634" s="197"/>
      <c r="BC1634" s="197"/>
      <c r="BD1634" s="198"/>
      <c r="BE1634" s="197"/>
      <c r="BF1634" s="197"/>
      <c r="BG1634" s="197"/>
      <c r="BH1634" s="197"/>
      <c r="BI1634" s="198"/>
      <c r="BJ1634" s="197"/>
      <c r="BK1634" s="197"/>
      <c r="BL1634" s="197"/>
      <c r="BM1634" s="197"/>
      <c r="BN1634" s="198"/>
      <c r="BO1634" s="197"/>
      <c r="BP1634" s="197"/>
      <c r="BQ1634" s="197"/>
      <c r="BR1634" s="197"/>
      <c r="BS1634" s="198"/>
      <c r="BT1634" s="727"/>
      <c r="BU1634" s="197"/>
      <c r="BV1634" s="197"/>
      <c r="BW1634" s="197"/>
      <c r="BX1634" s="1094"/>
      <c r="BY1634" s="197"/>
      <c r="BZ1634" s="197"/>
      <c r="CA1634" s="197"/>
      <c r="CB1634" s="197"/>
      <c r="CC1634" s="1094"/>
      <c r="CD1634" s="1094"/>
      <c r="CE1634" s="1094"/>
      <c r="CF1634" s="1094"/>
      <c r="CG1634" s="349"/>
    </row>
    <row r="1635" spans="1:85" s="613" customFormat="1" x14ac:dyDescent="0.3">
      <c r="A1635" s="478" t="s">
        <v>1058</v>
      </c>
      <c r="B1635" s="523"/>
      <c r="C1635" s="78"/>
      <c r="D1635" s="78"/>
      <c r="E1635" s="78"/>
      <c r="F1635" s="78"/>
      <c r="G1635" s="774"/>
      <c r="H1635" s="774"/>
      <c r="I1635" s="774"/>
      <c r="J1635" s="774"/>
      <c r="K1635" s="78"/>
      <c r="L1635" s="774"/>
      <c r="M1635" s="774"/>
      <c r="N1635" s="774"/>
      <c r="O1635" s="774"/>
      <c r="P1635" s="78"/>
      <c r="Q1635" s="774"/>
      <c r="R1635" s="774"/>
      <c r="S1635" s="774"/>
      <c r="T1635" s="774"/>
      <c r="U1635" s="78"/>
      <c r="V1635" s="774"/>
      <c r="W1635" s="774"/>
      <c r="X1635" s="774"/>
      <c r="Y1635" s="774"/>
      <c r="Z1635" s="78"/>
      <c r="AA1635" s="774"/>
      <c r="AB1635" s="774"/>
      <c r="AC1635" s="774"/>
      <c r="AD1635" s="774"/>
      <c r="AE1635" s="78"/>
      <c r="AF1635" s="774"/>
      <c r="AG1635" s="774"/>
      <c r="AH1635" s="774"/>
      <c r="AI1635" s="774"/>
      <c r="AJ1635" s="78"/>
      <c r="AK1635" s="774"/>
      <c r="AL1635" s="774"/>
      <c r="AM1635" s="774"/>
      <c r="AN1635" s="774"/>
      <c r="AO1635" s="78"/>
      <c r="AP1635" s="774"/>
      <c r="AQ1635" s="774"/>
      <c r="AR1635" s="774"/>
      <c r="AS1635" s="774"/>
      <c r="AT1635" s="78"/>
      <c r="AU1635" s="774"/>
      <c r="AV1635" s="774"/>
      <c r="AW1635" s="774"/>
      <c r="AX1635" s="774"/>
      <c r="AY1635" s="78"/>
      <c r="AZ1635" s="774"/>
      <c r="BA1635" s="774"/>
      <c r="BB1635" s="774"/>
      <c r="BC1635" s="774"/>
      <c r="BD1635" s="1119">
        <v>1.08</v>
      </c>
      <c r="BE1635" s="774"/>
      <c r="BF1635" s="774"/>
      <c r="BG1635" s="774"/>
      <c r="BH1635" s="774"/>
      <c r="BI1635" s="1119">
        <v>1.08</v>
      </c>
      <c r="BJ1635" s="774"/>
      <c r="BK1635" s="774"/>
      <c r="BL1635" s="774"/>
      <c r="BM1635" s="774"/>
      <c r="BN1635" s="78"/>
      <c r="BO1635" s="774"/>
      <c r="BP1635" s="774"/>
      <c r="BQ1635" s="774"/>
      <c r="BR1635" s="774"/>
      <c r="BS1635" s="78"/>
      <c r="BT1635" s="775"/>
      <c r="BU1635" s="774"/>
      <c r="BV1635" s="774"/>
      <c r="BW1635" s="774"/>
      <c r="BX1635" s="78"/>
      <c r="BY1635" s="774"/>
      <c r="BZ1635" s="774"/>
      <c r="CA1635" s="774"/>
      <c r="CB1635" s="774"/>
      <c r="CC1635" s="78"/>
      <c r="CD1635" s="78"/>
      <c r="CE1635" s="78"/>
      <c r="CF1635" s="78"/>
      <c r="CG1635" s="532"/>
    </row>
    <row r="1636" spans="1:85" s="615" customFormat="1" x14ac:dyDescent="0.3">
      <c r="A1636" s="522" t="s">
        <v>1057</v>
      </c>
      <c r="B1636" s="521"/>
      <c r="C1636" s="1122"/>
      <c r="D1636" s="1122"/>
      <c r="E1636" s="1122"/>
      <c r="F1636" s="1122"/>
      <c r="G1636" s="520"/>
      <c r="H1636" s="520"/>
      <c r="I1636" s="520"/>
      <c r="J1636" s="520"/>
      <c r="K1636" s="1122"/>
      <c r="L1636" s="520"/>
      <c r="M1636" s="520"/>
      <c r="N1636" s="520"/>
      <c r="O1636" s="520"/>
      <c r="P1636" s="1122"/>
      <c r="Q1636" s="520"/>
      <c r="R1636" s="520"/>
      <c r="S1636" s="520"/>
      <c r="T1636" s="520"/>
      <c r="U1636" s="1122"/>
      <c r="V1636" s="520"/>
      <c r="W1636" s="520"/>
      <c r="X1636" s="520"/>
      <c r="Y1636" s="520"/>
      <c r="Z1636" s="1122"/>
      <c r="AA1636" s="520"/>
      <c r="AB1636" s="520"/>
      <c r="AC1636" s="520"/>
      <c r="AD1636" s="520"/>
      <c r="AE1636" s="1122"/>
      <c r="AF1636" s="520"/>
      <c r="AG1636" s="520"/>
      <c r="AH1636" s="520"/>
      <c r="AI1636" s="520"/>
      <c r="AJ1636" s="1122"/>
      <c r="AK1636" s="520"/>
      <c r="AL1636" s="520"/>
      <c r="AM1636" s="520"/>
      <c r="AN1636" s="520"/>
      <c r="AO1636" s="1122"/>
      <c r="AP1636" s="520"/>
      <c r="AQ1636" s="520"/>
      <c r="AR1636" s="520"/>
      <c r="AS1636" s="520"/>
      <c r="AT1636" s="1124"/>
      <c r="AU1636" s="520"/>
      <c r="AV1636" s="520"/>
      <c r="AW1636" s="520"/>
      <c r="AX1636" s="520"/>
      <c r="AY1636" s="1124"/>
      <c r="AZ1636" s="520"/>
      <c r="BA1636" s="520"/>
      <c r="BB1636" s="520"/>
      <c r="BC1636" s="520"/>
      <c r="BD1636" s="1123">
        <v>192.91</v>
      </c>
      <c r="BE1636" s="520"/>
      <c r="BF1636" s="520"/>
      <c r="BG1636" s="520"/>
      <c r="BH1636" s="520"/>
      <c r="BI1636" s="1123">
        <v>192.91</v>
      </c>
      <c r="BJ1636" s="520"/>
      <c r="BK1636" s="520"/>
      <c r="BL1636" s="520"/>
      <c r="BM1636" s="520"/>
      <c r="BN1636" s="1124"/>
      <c r="BO1636" s="520"/>
      <c r="BP1636" s="520"/>
      <c r="BQ1636" s="520"/>
      <c r="BR1636" s="520"/>
      <c r="BS1636" s="1124"/>
      <c r="BT1636" s="728"/>
      <c r="BU1636" s="520"/>
      <c r="BV1636" s="520"/>
      <c r="BW1636" s="520"/>
      <c r="BX1636" s="1122"/>
      <c r="BY1636" s="520"/>
      <c r="BZ1636" s="520"/>
      <c r="CA1636" s="520"/>
      <c r="CB1636" s="520"/>
      <c r="CC1636" s="1122"/>
      <c r="CD1636" s="1122"/>
      <c r="CE1636" s="1122"/>
      <c r="CF1636" s="1122"/>
      <c r="CG1636" s="519"/>
    </row>
    <row r="1637" spans="1:85" s="614" customFormat="1" x14ac:dyDescent="0.3">
      <c r="A1637" s="522"/>
      <c r="B1637" s="352"/>
      <c r="C1637" s="1094"/>
      <c r="D1637" s="1094"/>
      <c r="E1637" s="1094"/>
      <c r="F1637" s="1094"/>
      <c r="G1637" s="197"/>
      <c r="H1637" s="197"/>
      <c r="I1637" s="197"/>
      <c r="J1637" s="197"/>
      <c r="K1637" s="1094"/>
      <c r="L1637" s="197"/>
      <c r="M1637" s="197"/>
      <c r="N1637" s="197"/>
      <c r="O1637" s="197"/>
      <c r="P1637" s="1094"/>
      <c r="Q1637" s="197"/>
      <c r="R1637" s="197"/>
      <c r="S1637" s="197"/>
      <c r="T1637" s="197"/>
      <c r="U1637" s="1094"/>
      <c r="V1637" s="197"/>
      <c r="W1637" s="197"/>
      <c r="X1637" s="197"/>
      <c r="Y1637" s="197"/>
      <c r="Z1637" s="1094"/>
      <c r="AA1637" s="197"/>
      <c r="AB1637" s="197"/>
      <c r="AC1637" s="197"/>
      <c r="AD1637" s="197"/>
      <c r="AE1637" s="1094"/>
      <c r="AF1637" s="197"/>
      <c r="AG1637" s="197"/>
      <c r="AH1637" s="197"/>
      <c r="AI1637" s="197"/>
      <c r="AJ1637" s="1094"/>
      <c r="AK1637" s="197"/>
      <c r="AL1637" s="197"/>
      <c r="AM1637" s="197"/>
      <c r="AN1637" s="197"/>
      <c r="AO1637" s="1094"/>
      <c r="AP1637" s="197"/>
      <c r="AQ1637" s="197"/>
      <c r="AR1637" s="197"/>
      <c r="AS1637" s="197"/>
      <c r="AT1637" s="198"/>
      <c r="AU1637" s="197"/>
      <c r="AV1637" s="197"/>
      <c r="AW1637" s="197"/>
      <c r="AX1637" s="197"/>
      <c r="AY1637" s="198"/>
      <c r="AZ1637" s="197"/>
      <c r="BA1637" s="197"/>
      <c r="BB1637" s="197"/>
      <c r="BC1637" s="197"/>
      <c r="BD1637" s="198"/>
      <c r="BE1637" s="197"/>
      <c r="BF1637" s="197"/>
      <c r="BG1637" s="197"/>
      <c r="BH1637" s="197"/>
      <c r="BI1637" s="198"/>
      <c r="BJ1637" s="197"/>
      <c r="BK1637" s="197"/>
      <c r="BL1637" s="197"/>
      <c r="BM1637" s="197"/>
      <c r="BN1637" s="198"/>
      <c r="BO1637" s="197"/>
      <c r="BP1637" s="197"/>
      <c r="BQ1637" s="197"/>
      <c r="BR1637" s="197"/>
      <c r="BS1637" s="198"/>
      <c r="BT1637" s="727"/>
      <c r="BU1637" s="197"/>
      <c r="BV1637" s="197"/>
      <c r="BW1637" s="197"/>
      <c r="BX1637" s="1094"/>
      <c r="BY1637" s="197"/>
      <c r="BZ1637" s="197"/>
      <c r="CA1637" s="197"/>
      <c r="CB1637" s="197"/>
      <c r="CC1637" s="1094"/>
      <c r="CD1637" s="1094"/>
      <c r="CE1637" s="1094"/>
      <c r="CF1637" s="1094"/>
      <c r="CG1637" s="349"/>
    </row>
    <row r="1638" spans="1:85" s="613" customFormat="1" x14ac:dyDescent="0.3">
      <c r="A1638" s="478" t="s">
        <v>1056</v>
      </c>
      <c r="B1638" s="523"/>
      <c r="C1638" s="78"/>
      <c r="D1638" s="78"/>
      <c r="E1638" s="78"/>
      <c r="F1638" s="78"/>
      <c r="G1638" s="774"/>
      <c r="H1638" s="774"/>
      <c r="I1638" s="774"/>
      <c r="J1638" s="774"/>
      <c r="K1638" s="78"/>
      <c r="L1638" s="774"/>
      <c r="M1638" s="774"/>
      <c r="N1638" s="774"/>
      <c r="O1638" s="774"/>
      <c r="P1638" s="78"/>
      <c r="Q1638" s="774"/>
      <c r="R1638" s="774"/>
      <c r="S1638" s="774"/>
      <c r="T1638" s="774"/>
      <c r="U1638" s="78"/>
      <c r="V1638" s="774"/>
      <c r="W1638" s="774"/>
      <c r="X1638" s="774"/>
      <c r="Y1638" s="774"/>
      <c r="Z1638" s="78"/>
      <c r="AA1638" s="774"/>
      <c r="AB1638" s="774"/>
      <c r="AC1638" s="774"/>
      <c r="AD1638" s="774"/>
      <c r="AE1638" s="78"/>
      <c r="AF1638" s="774"/>
      <c r="AG1638" s="774"/>
      <c r="AH1638" s="774"/>
      <c r="AI1638" s="774"/>
      <c r="AJ1638" s="78"/>
      <c r="AK1638" s="774"/>
      <c r="AL1638" s="774"/>
      <c r="AM1638" s="774"/>
      <c r="AN1638" s="774"/>
      <c r="AO1638" s="78"/>
      <c r="AP1638" s="774"/>
      <c r="AQ1638" s="774"/>
      <c r="AR1638" s="774"/>
      <c r="AS1638" s="774"/>
      <c r="AT1638" s="78"/>
      <c r="AU1638" s="774"/>
      <c r="AV1638" s="774"/>
      <c r="AW1638" s="774"/>
      <c r="AX1638" s="774"/>
      <c r="AY1638" s="78"/>
      <c r="AZ1638" s="774"/>
      <c r="BA1638" s="774"/>
      <c r="BB1638" s="774"/>
      <c r="BC1638" s="774"/>
      <c r="BD1638" s="1119">
        <v>1.1579999999999999</v>
      </c>
      <c r="BE1638" s="774"/>
      <c r="BF1638" s="774"/>
      <c r="BG1638" s="774"/>
      <c r="BH1638" s="774"/>
      <c r="BI1638" s="1119">
        <v>1.1579999999999999</v>
      </c>
      <c r="BJ1638" s="774"/>
      <c r="BK1638" s="774"/>
      <c r="BL1638" s="774"/>
      <c r="BM1638" s="774"/>
      <c r="BN1638" s="78"/>
      <c r="BO1638" s="774"/>
      <c r="BP1638" s="774"/>
      <c r="BQ1638" s="774"/>
      <c r="BR1638" s="774"/>
      <c r="BS1638" s="78"/>
      <c r="BT1638" s="775"/>
      <c r="BU1638" s="774"/>
      <c r="BV1638" s="774"/>
      <c r="BW1638" s="774"/>
      <c r="BX1638" s="78"/>
      <c r="BY1638" s="774"/>
      <c r="BZ1638" s="774"/>
      <c r="CA1638" s="774"/>
      <c r="CB1638" s="774"/>
      <c r="CC1638" s="78"/>
      <c r="CD1638" s="78"/>
      <c r="CE1638" s="78"/>
      <c r="CF1638" s="78"/>
      <c r="CG1638" s="532"/>
    </row>
    <row r="1639" spans="1:85" s="615" customFormat="1" x14ac:dyDescent="0.3">
      <c r="A1639" s="522" t="s">
        <v>1055</v>
      </c>
      <c r="B1639" s="521"/>
      <c r="C1639" s="1122"/>
      <c r="D1639" s="1122"/>
      <c r="E1639" s="1122"/>
      <c r="F1639" s="1122"/>
      <c r="G1639" s="520"/>
      <c r="H1639" s="520"/>
      <c r="I1639" s="520"/>
      <c r="J1639" s="520"/>
      <c r="K1639" s="1122"/>
      <c r="L1639" s="520"/>
      <c r="M1639" s="520"/>
      <c r="N1639" s="520"/>
      <c r="O1639" s="520"/>
      <c r="P1639" s="1122"/>
      <c r="Q1639" s="520"/>
      <c r="R1639" s="520"/>
      <c r="S1639" s="520"/>
      <c r="T1639" s="520"/>
      <c r="U1639" s="1122"/>
      <c r="V1639" s="520"/>
      <c r="W1639" s="520"/>
      <c r="X1639" s="520"/>
      <c r="Y1639" s="520"/>
      <c r="Z1639" s="1122"/>
      <c r="AA1639" s="520"/>
      <c r="AB1639" s="520"/>
      <c r="AC1639" s="520"/>
      <c r="AD1639" s="520"/>
      <c r="AE1639" s="1122"/>
      <c r="AF1639" s="520"/>
      <c r="AG1639" s="520"/>
      <c r="AH1639" s="520"/>
      <c r="AI1639" s="520"/>
      <c r="AJ1639" s="1122"/>
      <c r="AK1639" s="520"/>
      <c r="AL1639" s="520"/>
      <c r="AM1639" s="520"/>
      <c r="AN1639" s="520"/>
      <c r="AO1639" s="1122"/>
      <c r="AP1639" s="520"/>
      <c r="AQ1639" s="520"/>
      <c r="AR1639" s="520"/>
      <c r="AS1639" s="520"/>
      <c r="AT1639" s="1124"/>
      <c r="AU1639" s="520"/>
      <c r="AV1639" s="520"/>
      <c r="AW1639" s="520"/>
      <c r="AX1639" s="520"/>
      <c r="AY1639" s="1124"/>
      <c r="AZ1639" s="520"/>
      <c r="BA1639" s="520"/>
      <c r="BB1639" s="520"/>
      <c r="BC1639" s="520"/>
      <c r="BD1639" s="1123">
        <v>179.95</v>
      </c>
      <c r="BE1639" s="520"/>
      <c r="BF1639" s="520"/>
      <c r="BG1639" s="520"/>
      <c r="BH1639" s="520"/>
      <c r="BI1639" s="1123">
        <v>179.95</v>
      </c>
      <c r="BJ1639" s="520"/>
      <c r="BK1639" s="520"/>
      <c r="BL1639" s="520"/>
      <c r="BM1639" s="520"/>
      <c r="BN1639" s="1124"/>
      <c r="BO1639" s="520"/>
      <c r="BP1639" s="520"/>
      <c r="BQ1639" s="520"/>
      <c r="BR1639" s="520"/>
      <c r="BS1639" s="1124"/>
      <c r="BT1639" s="728"/>
      <c r="BU1639" s="520"/>
      <c r="BV1639" s="520"/>
      <c r="BW1639" s="520"/>
      <c r="BX1639" s="1122"/>
      <c r="BY1639" s="520"/>
      <c r="BZ1639" s="520"/>
      <c r="CA1639" s="520"/>
      <c r="CB1639" s="520"/>
      <c r="CC1639" s="1122"/>
      <c r="CD1639" s="1122"/>
      <c r="CE1639" s="1122"/>
      <c r="CF1639" s="1122"/>
      <c r="CG1639" s="519"/>
    </row>
    <row r="1640" spans="1:85" s="614" customFormat="1" x14ac:dyDescent="0.3">
      <c r="A1640" s="522"/>
      <c r="B1640" s="352"/>
      <c r="C1640" s="1094"/>
      <c r="D1640" s="1094"/>
      <c r="E1640" s="1094"/>
      <c r="F1640" s="1094"/>
      <c r="G1640" s="197"/>
      <c r="H1640" s="197"/>
      <c r="I1640" s="197"/>
      <c r="J1640" s="197"/>
      <c r="K1640" s="1094"/>
      <c r="L1640" s="197"/>
      <c r="M1640" s="197"/>
      <c r="N1640" s="197"/>
      <c r="O1640" s="197"/>
      <c r="P1640" s="1094"/>
      <c r="Q1640" s="197"/>
      <c r="R1640" s="197"/>
      <c r="S1640" s="197"/>
      <c r="T1640" s="197"/>
      <c r="U1640" s="1094"/>
      <c r="V1640" s="197"/>
      <c r="W1640" s="197"/>
      <c r="X1640" s="197"/>
      <c r="Y1640" s="197"/>
      <c r="Z1640" s="1094"/>
      <c r="AA1640" s="197"/>
      <c r="AB1640" s="197"/>
      <c r="AC1640" s="197"/>
      <c r="AD1640" s="197"/>
      <c r="AE1640" s="1094"/>
      <c r="AF1640" s="197"/>
      <c r="AG1640" s="197"/>
      <c r="AH1640" s="197"/>
      <c r="AI1640" s="197"/>
      <c r="AJ1640" s="1094"/>
      <c r="AK1640" s="197"/>
      <c r="AL1640" s="197"/>
      <c r="AM1640" s="197"/>
      <c r="AN1640" s="197"/>
      <c r="AO1640" s="1094"/>
      <c r="AP1640" s="197"/>
      <c r="AQ1640" s="197"/>
      <c r="AR1640" s="197"/>
      <c r="AS1640" s="197"/>
      <c r="AT1640" s="198"/>
      <c r="AU1640" s="197"/>
      <c r="AV1640" s="197"/>
      <c r="AW1640" s="197"/>
      <c r="AX1640" s="197"/>
      <c r="AY1640" s="198"/>
      <c r="AZ1640" s="197"/>
      <c r="BA1640" s="197"/>
      <c r="BB1640" s="197"/>
      <c r="BC1640" s="197"/>
      <c r="BD1640" s="198"/>
      <c r="BE1640" s="197"/>
      <c r="BF1640" s="197"/>
      <c r="BG1640" s="197"/>
      <c r="BH1640" s="197"/>
      <c r="BI1640" s="198"/>
      <c r="BJ1640" s="197"/>
      <c r="BK1640" s="197"/>
      <c r="BL1640" s="197"/>
      <c r="BM1640" s="197"/>
      <c r="BN1640" s="198"/>
      <c r="BO1640" s="197"/>
      <c r="BP1640" s="197"/>
      <c r="BQ1640" s="197"/>
      <c r="BR1640" s="197"/>
      <c r="BS1640" s="198"/>
      <c r="BT1640" s="727"/>
      <c r="BU1640" s="197"/>
      <c r="BV1640" s="197"/>
      <c r="BW1640" s="197"/>
      <c r="BX1640" s="1094"/>
      <c r="BY1640" s="197"/>
      <c r="BZ1640" s="197"/>
      <c r="CA1640" s="197"/>
      <c r="CB1640" s="197"/>
      <c r="CC1640" s="1094"/>
      <c r="CD1640" s="1094"/>
      <c r="CE1640" s="1094"/>
      <c r="CF1640" s="1094"/>
      <c r="CG1640" s="349"/>
    </row>
    <row r="1641" spans="1:85" s="613" customFormat="1" x14ac:dyDescent="0.3">
      <c r="A1641" s="478" t="s">
        <v>1054</v>
      </c>
      <c r="B1641" s="523"/>
      <c r="C1641" s="78"/>
      <c r="D1641" s="78"/>
      <c r="E1641" s="78"/>
      <c r="F1641" s="78"/>
      <c r="G1641" s="774"/>
      <c r="H1641" s="774"/>
      <c r="I1641" s="774"/>
      <c r="J1641" s="774"/>
      <c r="K1641" s="78"/>
      <c r="L1641" s="774"/>
      <c r="M1641" s="774"/>
      <c r="N1641" s="774"/>
      <c r="O1641" s="774"/>
      <c r="P1641" s="78"/>
      <c r="Q1641" s="774"/>
      <c r="R1641" s="774"/>
      <c r="S1641" s="774"/>
      <c r="T1641" s="774"/>
      <c r="U1641" s="78"/>
      <c r="V1641" s="774"/>
      <c r="W1641" s="774"/>
      <c r="X1641" s="774"/>
      <c r="Y1641" s="774"/>
      <c r="Z1641" s="78"/>
      <c r="AA1641" s="774"/>
      <c r="AB1641" s="774"/>
      <c r="AC1641" s="774"/>
      <c r="AD1641" s="774"/>
      <c r="AE1641" s="78"/>
      <c r="AF1641" s="774"/>
      <c r="AG1641" s="774"/>
      <c r="AH1641" s="774"/>
      <c r="AI1641" s="774"/>
      <c r="AJ1641" s="78"/>
      <c r="AK1641" s="774"/>
      <c r="AL1641" s="774"/>
      <c r="AM1641" s="774"/>
      <c r="AN1641" s="774"/>
      <c r="AO1641" s="78"/>
      <c r="AP1641" s="774"/>
      <c r="AQ1641" s="774"/>
      <c r="AR1641" s="774"/>
      <c r="AS1641" s="774"/>
      <c r="AT1641" s="78"/>
      <c r="AU1641" s="774"/>
      <c r="AV1641" s="774"/>
      <c r="AW1641" s="774"/>
      <c r="AX1641" s="774"/>
      <c r="AY1641" s="78"/>
      <c r="AZ1641" s="774"/>
      <c r="BA1641" s="774"/>
      <c r="BB1641" s="774"/>
      <c r="BC1641" s="774"/>
      <c r="BD1641" s="1119">
        <v>0.92100000000000004</v>
      </c>
      <c r="BE1641" s="774"/>
      <c r="BF1641" s="774"/>
      <c r="BG1641" s="774"/>
      <c r="BH1641" s="774"/>
      <c r="BI1641" s="1119">
        <v>0.92100000000000004</v>
      </c>
      <c r="BJ1641" s="774"/>
      <c r="BK1641" s="774"/>
      <c r="BL1641" s="774"/>
      <c r="BM1641" s="774"/>
      <c r="BN1641" s="78"/>
      <c r="BO1641" s="774"/>
      <c r="BP1641" s="774"/>
      <c r="BQ1641" s="774"/>
      <c r="BR1641" s="774"/>
      <c r="BS1641" s="78"/>
      <c r="BT1641" s="775"/>
      <c r="BU1641" s="774"/>
      <c r="BV1641" s="774"/>
      <c r="BW1641" s="774"/>
      <c r="BX1641" s="78"/>
      <c r="BY1641" s="774"/>
      <c r="BZ1641" s="774"/>
      <c r="CA1641" s="774"/>
      <c r="CB1641" s="774"/>
      <c r="CC1641" s="78"/>
      <c r="CD1641" s="78"/>
      <c r="CE1641" s="78"/>
      <c r="CF1641" s="78"/>
      <c r="CG1641" s="532"/>
    </row>
    <row r="1642" spans="1:85" s="615" customFormat="1" x14ac:dyDescent="0.3">
      <c r="A1642" s="522" t="s">
        <v>1053</v>
      </c>
      <c r="B1642" s="521"/>
      <c r="C1642" s="1122"/>
      <c r="D1642" s="1122"/>
      <c r="E1642" s="1122"/>
      <c r="F1642" s="1122"/>
      <c r="G1642" s="520"/>
      <c r="H1642" s="520"/>
      <c r="I1642" s="520"/>
      <c r="J1642" s="520"/>
      <c r="K1642" s="1122"/>
      <c r="L1642" s="520"/>
      <c r="M1642" s="520"/>
      <c r="N1642" s="520"/>
      <c r="O1642" s="520"/>
      <c r="P1642" s="1122"/>
      <c r="Q1642" s="520"/>
      <c r="R1642" s="520"/>
      <c r="S1642" s="520"/>
      <c r="T1642" s="520"/>
      <c r="U1642" s="1122"/>
      <c r="V1642" s="520"/>
      <c r="W1642" s="520"/>
      <c r="X1642" s="520"/>
      <c r="Y1642" s="520"/>
      <c r="Z1642" s="1122"/>
      <c r="AA1642" s="520"/>
      <c r="AB1642" s="520"/>
      <c r="AC1642" s="520"/>
      <c r="AD1642" s="520"/>
      <c r="AE1642" s="1122"/>
      <c r="AF1642" s="520"/>
      <c r="AG1642" s="520"/>
      <c r="AH1642" s="520"/>
      <c r="AI1642" s="520"/>
      <c r="AJ1642" s="1122"/>
      <c r="AK1642" s="520"/>
      <c r="AL1642" s="520"/>
      <c r="AM1642" s="520"/>
      <c r="AN1642" s="520"/>
      <c r="AO1642" s="1122"/>
      <c r="AP1642" s="520"/>
      <c r="AQ1642" s="520"/>
      <c r="AR1642" s="520"/>
      <c r="AS1642" s="520"/>
      <c r="AT1642" s="1124"/>
      <c r="AU1642" s="520"/>
      <c r="AV1642" s="520"/>
      <c r="AW1642" s="520"/>
      <c r="AX1642" s="520"/>
      <c r="AY1642" s="1124"/>
      <c r="AZ1642" s="520"/>
      <c r="BA1642" s="520"/>
      <c r="BB1642" s="520"/>
      <c r="BC1642" s="520"/>
      <c r="BD1642" s="1123">
        <v>226.21</v>
      </c>
      <c r="BE1642" s="520"/>
      <c r="BF1642" s="520"/>
      <c r="BG1642" s="520"/>
      <c r="BH1642" s="520"/>
      <c r="BI1642" s="1123">
        <v>226.21</v>
      </c>
      <c r="BJ1642" s="520"/>
      <c r="BK1642" s="520"/>
      <c r="BL1642" s="520"/>
      <c r="BM1642" s="520"/>
      <c r="BN1642" s="1124"/>
      <c r="BO1642" s="520"/>
      <c r="BP1642" s="520"/>
      <c r="BQ1642" s="520"/>
      <c r="BR1642" s="520"/>
      <c r="BS1642" s="1124"/>
      <c r="BT1642" s="728"/>
      <c r="BU1642" s="520"/>
      <c r="BV1642" s="520"/>
      <c r="BW1642" s="520"/>
      <c r="BX1642" s="1122"/>
      <c r="BY1642" s="520"/>
      <c r="BZ1642" s="520"/>
      <c r="CA1642" s="520"/>
      <c r="CB1642" s="520"/>
      <c r="CC1642" s="1122"/>
      <c r="CD1642" s="1122"/>
      <c r="CE1642" s="1122"/>
      <c r="CF1642" s="1122"/>
      <c r="CG1642" s="519"/>
    </row>
    <row r="1643" spans="1:85" s="614" customFormat="1" x14ac:dyDescent="0.3">
      <c r="A1643" s="522"/>
      <c r="B1643" s="352"/>
      <c r="C1643" s="1094"/>
      <c r="D1643" s="1094"/>
      <c r="E1643" s="1094"/>
      <c r="F1643" s="1094"/>
      <c r="G1643" s="197"/>
      <c r="H1643" s="197"/>
      <c r="I1643" s="197"/>
      <c r="J1643" s="197"/>
      <c r="K1643" s="1094"/>
      <c r="L1643" s="197"/>
      <c r="M1643" s="197"/>
      <c r="N1643" s="197"/>
      <c r="O1643" s="197"/>
      <c r="P1643" s="1094"/>
      <c r="Q1643" s="197"/>
      <c r="R1643" s="197"/>
      <c r="S1643" s="197"/>
      <c r="T1643" s="197"/>
      <c r="U1643" s="1094"/>
      <c r="V1643" s="197"/>
      <c r="W1643" s="197"/>
      <c r="X1643" s="197"/>
      <c r="Y1643" s="197"/>
      <c r="Z1643" s="1094"/>
      <c r="AA1643" s="197"/>
      <c r="AB1643" s="197"/>
      <c r="AC1643" s="197"/>
      <c r="AD1643" s="197"/>
      <c r="AE1643" s="1094"/>
      <c r="AF1643" s="197"/>
      <c r="AG1643" s="197"/>
      <c r="AH1643" s="197"/>
      <c r="AI1643" s="197"/>
      <c r="AJ1643" s="1094"/>
      <c r="AK1643" s="197"/>
      <c r="AL1643" s="197"/>
      <c r="AM1643" s="197"/>
      <c r="AN1643" s="197"/>
      <c r="AO1643" s="1094"/>
      <c r="AP1643" s="197"/>
      <c r="AQ1643" s="197"/>
      <c r="AR1643" s="197"/>
      <c r="AS1643" s="197"/>
      <c r="AT1643" s="198"/>
      <c r="AU1643" s="197"/>
      <c r="AV1643" s="197"/>
      <c r="AW1643" s="197"/>
      <c r="AX1643" s="197"/>
      <c r="AY1643" s="198"/>
      <c r="AZ1643" s="197"/>
      <c r="BA1643" s="197"/>
      <c r="BB1643" s="197"/>
      <c r="BC1643" s="197"/>
      <c r="BD1643" s="198"/>
      <c r="BE1643" s="197"/>
      <c r="BF1643" s="197"/>
      <c r="BG1643" s="197"/>
      <c r="BH1643" s="197"/>
      <c r="BI1643" s="198"/>
      <c r="BJ1643" s="197"/>
      <c r="BK1643" s="197"/>
      <c r="BL1643" s="197"/>
      <c r="BM1643" s="197"/>
      <c r="BN1643" s="198"/>
      <c r="BO1643" s="197"/>
      <c r="BP1643" s="197"/>
      <c r="BQ1643" s="197"/>
      <c r="BR1643" s="197"/>
      <c r="BS1643" s="198"/>
      <c r="BT1643" s="727"/>
      <c r="BU1643" s="197"/>
      <c r="BV1643" s="197"/>
      <c r="BW1643" s="197"/>
      <c r="BX1643" s="1094"/>
      <c r="BY1643" s="197"/>
      <c r="BZ1643" s="197"/>
      <c r="CA1643" s="197"/>
      <c r="CB1643" s="197"/>
      <c r="CC1643" s="1094"/>
      <c r="CD1643" s="1094"/>
      <c r="CE1643" s="1094"/>
      <c r="CF1643" s="1094"/>
      <c r="CG1643" s="349"/>
    </row>
    <row r="1644" spans="1:85" s="613" customFormat="1" x14ac:dyDescent="0.3">
      <c r="A1644" s="478" t="s">
        <v>1052</v>
      </c>
      <c r="B1644" s="523"/>
      <c r="C1644" s="78"/>
      <c r="D1644" s="78"/>
      <c r="E1644" s="78"/>
      <c r="F1644" s="78"/>
      <c r="G1644" s="774"/>
      <c r="H1644" s="774"/>
      <c r="I1644" s="774"/>
      <c r="J1644" s="774"/>
      <c r="K1644" s="78"/>
      <c r="L1644" s="774"/>
      <c r="M1644" s="774"/>
      <c r="N1644" s="774"/>
      <c r="O1644" s="774"/>
      <c r="P1644" s="78"/>
      <c r="Q1644" s="774"/>
      <c r="R1644" s="774"/>
      <c r="S1644" s="774"/>
      <c r="T1644" s="774"/>
      <c r="U1644" s="78"/>
      <c r="V1644" s="774"/>
      <c r="W1644" s="774"/>
      <c r="X1644" s="774"/>
      <c r="Y1644" s="774"/>
      <c r="Z1644" s="78"/>
      <c r="AA1644" s="774"/>
      <c r="AB1644" s="774"/>
      <c r="AC1644" s="774"/>
      <c r="AD1644" s="774"/>
      <c r="AE1644" s="78"/>
      <c r="AF1644" s="774"/>
      <c r="AG1644" s="774"/>
      <c r="AH1644" s="774"/>
      <c r="AI1644" s="774"/>
      <c r="AJ1644" s="78"/>
      <c r="AK1644" s="774"/>
      <c r="AL1644" s="774"/>
      <c r="AM1644" s="774"/>
      <c r="AN1644" s="774"/>
      <c r="AO1644" s="78"/>
      <c r="AP1644" s="774"/>
      <c r="AQ1644" s="774"/>
      <c r="AR1644" s="774"/>
      <c r="AS1644" s="774"/>
      <c r="AT1644" s="78"/>
      <c r="AU1644" s="774"/>
      <c r="AV1644" s="774"/>
      <c r="AW1644" s="774"/>
      <c r="AX1644" s="774"/>
      <c r="AY1644" s="78"/>
      <c r="AZ1644" s="774"/>
      <c r="BA1644" s="774"/>
      <c r="BB1644" s="774"/>
      <c r="BC1644" s="774"/>
      <c r="BD1644" s="1119">
        <v>0.90500000000000003</v>
      </c>
      <c r="BE1644" s="774"/>
      <c r="BF1644" s="774"/>
      <c r="BG1644" s="774"/>
      <c r="BH1644" s="774"/>
      <c r="BI1644" s="1119">
        <v>0.90500000000000003</v>
      </c>
      <c r="BJ1644" s="774"/>
      <c r="BK1644" s="774"/>
      <c r="BL1644" s="774"/>
      <c r="BM1644" s="774"/>
      <c r="BN1644" s="78"/>
      <c r="BO1644" s="774"/>
      <c r="BP1644" s="774"/>
      <c r="BQ1644" s="774"/>
      <c r="BR1644" s="774"/>
      <c r="BS1644" s="78"/>
      <c r="BT1644" s="775"/>
      <c r="BU1644" s="774"/>
      <c r="BV1644" s="774"/>
      <c r="BW1644" s="774"/>
      <c r="BX1644" s="78"/>
      <c r="BY1644" s="774"/>
      <c r="BZ1644" s="774"/>
      <c r="CA1644" s="774"/>
      <c r="CB1644" s="774"/>
      <c r="CC1644" s="78"/>
      <c r="CD1644" s="78"/>
      <c r="CE1644" s="78"/>
      <c r="CF1644" s="78"/>
      <c r="CG1644" s="532"/>
    </row>
    <row r="1645" spans="1:85" s="615" customFormat="1" x14ac:dyDescent="0.3">
      <c r="A1645" s="522" t="s">
        <v>1051</v>
      </c>
      <c r="B1645" s="521"/>
      <c r="C1645" s="1122"/>
      <c r="D1645" s="1122"/>
      <c r="E1645" s="1122"/>
      <c r="F1645" s="1122"/>
      <c r="G1645" s="520"/>
      <c r="H1645" s="520"/>
      <c r="I1645" s="520"/>
      <c r="J1645" s="520"/>
      <c r="K1645" s="1122"/>
      <c r="L1645" s="520"/>
      <c r="M1645" s="520"/>
      <c r="N1645" s="520"/>
      <c r="O1645" s="520"/>
      <c r="P1645" s="1122"/>
      <c r="Q1645" s="520"/>
      <c r="R1645" s="520"/>
      <c r="S1645" s="520"/>
      <c r="T1645" s="520"/>
      <c r="U1645" s="1122"/>
      <c r="V1645" s="520"/>
      <c r="W1645" s="520"/>
      <c r="X1645" s="520"/>
      <c r="Y1645" s="520"/>
      <c r="Z1645" s="1122"/>
      <c r="AA1645" s="520"/>
      <c r="AB1645" s="520"/>
      <c r="AC1645" s="520"/>
      <c r="AD1645" s="520"/>
      <c r="AE1645" s="1122"/>
      <c r="AF1645" s="520"/>
      <c r="AG1645" s="520"/>
      <c r="AH1645" s="520"/>
      <c r="AI1645" s="520"/>
      <c r="AJ1645" s="1122"/>
      <c r="AK1645" s="520"/>
      <c r="AL1645" s="520"/>
      <c r="AM1645" s="520"/>
      <c r="AN1645" s="520"/>
      <c r="AO1645" s="1122"/>
      <c r="AP1645" s="520"/>
      <c r="AQ1645" s="520"/>
      <c r="AR1645" s="520"/>
      <c r="AS1645" s="520"/>
      <c r="AT1645" s="1124"/>
      <c r="AU1645" s="520"/>
      <c r="AV1645" s="520"/>
      <c r="AW1645" s="520"/>
      <c r="AX1645" s="520"/>
      <c r="AY1645" s="1124"/>
      <c r="AZ1645" s="520"/>
      <c r="BA1645" s="520"/>
      <c r="BB1645" s="520"/>
      <c r="BC1645" s="520"/>
      <c r="BD1645" s="1123">
        <v>230.04</v>
      </c>
      <c r="BE1645" s="520"/>
      <c r="BF1645" s="520"/>
      <c r="BG1645" s="520"/>
      <c r="BH1645" s="520"/>
      <c r="BI1645" s="1123">
        <v>230.04</v>
      </c>
      <c r="BJ1645" s="520"/>
      <c r="BK1645" s="520"/>
      <c r="BL1645" s="520"/>
      <c r="BM1645" s="520"/>
      <c r="BN1645" s="1124"/>
      <c r="BO1645" s="520"/>
      <c r="BP1645" s="520"/>
      <c r="BQ1645" s="520"/>
      <c r="BR1645" s="520"/>
      <c r="BS1645" s="1124"/>
      <c r="BT1645" s="728"/>
      <c r="BU1645" s="520"/>
      <c r="BV1645" s="520"/>
      <c r="BW1645" s="520"/>
      <c r="BX1645" s="1122"/>
      <c r="BY1645" s="520"/>
      <c r="BZ1645" s="520"/>
      <c r="CA1645" s="520"/>
      <c r="CB1645" s="520"/>
      <c r="CC1645" s="1122"/>
      <c r="CD1645" s="1122"/>
      <c r="CE1645" s="1122"/>
      <c r="CF1645" s="1122"/>
      <c r="CG1645" s="519"/>
    </row>
    <row r="1646" spans="1:85" s="614" customFormat="1" x14ac:dyDescent="0.3">
      <c r="A1646" s="522"/>
      <c r="B1646" s="352"/>
      <c r="C1646" s="1094"/>
      <c r="D1646" s="1094"/>
      <c r="E1646" s="1094"/>
      <c r="F1646" s="1094"/>
      <c r="G1646" s="197"/>
      <c r="H1646" s="197"/>
      <c r="I1646" s="197"/>
      <c r="J1646" s="197"/>
      <c r="K1646" s="1094"/>
      <c r="L1646" s="197"/>
      <c r="M1646" s="197"/>
      <c r="N1646" s="197"/>
      <c r="O1646" s="197"/>
      <c r="P1646" s="1094"/>
      <c r="Q1646" s="197"/>
      <c r="R1646" s="197"/>
      <c r="S1646" s="197"/>
      <c r="T1646" s="197"/>
      <c r="U1646" s="1094"/>
      <c r="V1646" s="197"/>
      <c r="W1646" s="197"/>
      <c r="X1646" s="197"/>
      <c r="Y1646" s="197"/>
      <c r="Z1646" s="1094"/>
      <c r="AA1646" s="197"/>
      <c r="AB1646" s="197"/>
      <c r="AC1646" s="197"/>
      <c r="AD1646" s="197"/>
      <c r="AE1646" s="1094"/>
      <c r="AF1646" s="197"/>
      <c r="AG1646" s="197"/>
      <c r="AH1646" s="197"/>
      <c r="AI1646" s="197"/>
      <c r="AJ1646" s="1094"/>
      <c r="AK1646" s="197"/>
      <c r="AL1646" s="197"/>
      <c r="AM1646" s="197"/>
      <c r="AN1646" s="197"/>
      <c r="AO1646" s="1094"/>
      <c r="AP1646" s="197"/>
      <c r="AQ1646" s="197"/>
      <c r="AR1646" s="197"/>
      <c r="AS1646" s="197"/>
      <c r="AT1646" s="198"/>
      <c r="AU1646" s="197"/>
      <c r="AV1646" s="197"/>
      <c r="AW1646" s="197"/>
      <c r="AX1646" s="197"/>
      <c r="AY1646" s="198"/>
      <c r="AZ1646" s="197"/>
      <c r="BA1646" s="197"/>
      <c r="BB1646" s="197"/>
      <c r="BC1646" s="197"/>
      <c r="BD1646" s="198"/>
      <c r="BE1646" s="197"/>
      <c r="BF1646" s="197"/>
      <c r="BG1646" s="197"/>
      <c r="BH1646" s="197"/>
      <c r="BI1646" s="198"/>
      <c r="BJ1646" s="197"/>
      <c r="BK1646" s="197"/>
      <c r="BL1646" s="197"/>
      <c r="BM1646" s="197"/>
      <c r="BN1646" s="198"/>
      <c r="BO1646" s="197"/>
      <c r="BP1646" s="197"/>
      <c r="BQ1646" s="197"/>
      <c r="BR1646" s="197"/>
      <c r="BS1646" s="198"/>
      <c r="BT1646" s="727"/>
      <c r="BU1646" s="197"/>
      <c r="BV1646" s="197"/>
      <c r="BW1646" s="197"/>
      <c r="BX1646" s="1094"/>
      <c r="BY1646" s="197"/>
      <c r="BZ1646" s="197"/>
      <c r="CA1646" s="197"/>
      <c r="CB1646" s="197"/>
      <c r="CC1646" s="1094"/>
      <c r="CD1646" s="1094"/>
      <c r="CE1646" s="1094"/>
      <c r="CF1646" s="1094"/>
      <c r="CG1646" s="349"/>
    </row>
    <row r="1647" spans="1:85" s="613" customFormat="1" x14ac:dyDescent="0.3">
      <c r="A1647" s="478" t="s">
        <v>1050</v>
      </c>
      <c r="B1647" s="523"/>
      <c r="C1647" s="78"/>
      <c r="D1647" s="78"/>
      <c r="E1647" s="78"/>
      <c r="F1647" s="78"/>
      <c r="G1647" s="774"/>
      <c r="H1647" s="774"/>
      <c r="I1647" s="774"/>
      <c r="J1647" s="774"/>
      <c r="K1647" s="78"/>
      <c r="L1647" s="774"/>
      <c r="M1647" s="774"/>
      <c r="N1647" s="774"/>
      <c r="O1647" s="774"/>
      <c r="P1647" s="78"/>
      <c r="Q1647" s="774"/>
      <c r="R1647" s="774"/>
      <c r="S1647" s="774"/>
      <c r="T1647" s="774"/>
      <c r="U1647" s="78"/>
      <c r="V1647" s="774"/>
      <c r="W1647" s="774"/>
      <c r="X1647" s="774"/>
      <c r="Y1647" s="774"/>
      <c r="Z1647" s="78"/>
      <c r="AA1647" s="774"/>
      <c r="AB1647" s="774"/>
      <c r="AC1647" s="774"/>
      <c r="AD1647" s="774"/>
      <c r="AE1647" s="78"/>
      <c r="AF1647" s="774"/>
      <c r="AG1647" s="774"/>
      <c r="AH1647" s="774"/>
      <c r="AI1647" s="774"/>
      <c r="AJ1647" s="78"/>
      <c r="AK1647" s="774"/>
      <c r="AL1647" s="774"/>
      <c r="AM1647" s="774"/>
      <c r="AN1647" s="774"/>
      <c r="AO1647" s="78"/>
      <c r="AP1647" s="774"/>
      <c r="AQ1647" s="774"/>
      <c r="AR1647" s="774"/>
      <c r="AS1647" s="774"/>
      <c r="AT1647" s="78"/>
      <c r="AU1647" s="774"/>
      <c r="AV1647" s="774"/>
      <c r="AW1647" s="774"/>
      <c r="AX1647" s="774"/>
      <c r="AY1647" s="78"/>
      <c r="AZ1647" s="774"/>
      <c r="BA1647" s="774"/>
      <c r="BB1647" s="774"/>
      <c r="BC1647" s="774"/>
      <c r="BD1647" s="1119">
        <v>0.872</v>
      </c>
      <c r="BE1647" s="774"/>
      <c r="BF1647" s="774"/>
      <c r="BG1647" s="774"/>
      <c r="BH1647" s="774"/>
      <c r="BI1647" s="1119">
        <v>0.872</v>
      </c>
      <c r="BJ1647" s="774"/>
      <c r="BK1647" s="774"/>
      <c r="BL1647" s="774"/>
      <c r="BM1647" s="774"/>
      <c r="BN1647" s="78"/>
      <c r="BO1647" s="774"/>
      <c r="BP1647" s="774"/>
      <c r="BQ1647" s="774"/>
      <c r="BR1647" s="774"/>
      <c r="BS1647" s="78"/>
      <c r="BT1647" s="775"/>
      <c r="BU1647" s="774"/>
      <c r="BV1647" s="774"/>
      <c r="BW1647" s="774"/>
      <c r="BX1647" s="78"/>
      <c r="BY1647" s="774"/>
      <c r="BZ1647" s="774"/>
      <c r="CA1647" s="774"/>
      <c r="CB1647" s="774"/>
      <c r="CC1647" s="78"/>
      <c r="CD1647" s="78"/>
      <c r="CE1647" s="78"/>
      <c r="CF1647" s="78"/>
      <c r="CG1647" s="532"/>
    </row>
    <row r="1648" spans="1:85" s="615" customFormat="1" x14ac:dyDescent="0.3">
      <c r="A1648" s="522" t="s">
        <v>1049</v>
      </c>
      <c r="B1648" s="521"/>
      <c r="C1648" s="1122"/>
      <c r="D1648" s="1122"/>
      <c r="E1648" s="1122"/>
      <c r="F1648" s="1122"/>
      <c r="G1648" s="520"/>
      <c r="H1648" s="520"/>
      <c r="I1648" s="520"/>
      <c r="J1648" s="520"/>
      <c r="K1648" s="1122"/>
      <c r="L1648" s="520"/>
      <c r="M1648" s="520"/>
      <c r="N1648" s="520"/>
      <c r="O1648" s="520"/>
      <c r="P1648" s="1122"/>
      <c r="Q1648" s="520"/>
      <c r="R1648" s="520"/>
      <c r="S1648" s="520"/>
      <c r="T1648" s="520"/>
      <c r="U1648" s="1122"/>
      <c r="V1648" s="520"/>
      <c r="W1648" s="520"/>
      <c r="X1648" s="520"/>
      <c r="Y1648" s="520"/>
      <c r="Z1648" s="1122"/>
      <c r="AA1648" s="520"/>
      <c r="AB1648" s="520"/>
      <c r="AC1648" s="520"/>
      <c r="AD1648" s="520"/>
      <c r="AE1648" s="1122"/>
      <c r="AF1648" s="520"/>
      <c r="AG1648" s="520"/>
      <c r="AH1648" s="520"/>
      <c r="AI1648" s="520"/>
      <c r="AJ1648" s="1122"/>
      <c r="AK1648" s="520"/>
      <c r="AL1648" s="520"/>
      <c r="AM1648" s="520"/>
      <c r="AN1648" s="520"/>
      <c r="AO1648" s="1122"/>
      <c r="AP1648" s="520"/>
      <c r="AQ1648" s="520"/>
      <c r="AR1648" s="520"/>
      <c r="AS1648" s="520"/>
      <c r="AT1648" s="1124"/>
      <c r="AU1648" s="520"/>
      <c r="AV1648" s="520"/>
      <c r="AW1648" s="520"/>
      <c r="AX1648" s="520"/>
      <c r="AY1648" s="1124"/>
      <c r="AZ1648" s="520"/>
      <c r="BA1648" s="520"/>
      <c r="BB1648" s="520"/>
      <c r="BC1648" s="520"/>
      <c r="BD1648" s="1123">
        <v>239.04</v>
      </c>
      <c r="BE1648" s="520"/>
      <c r="BF1648" s="520"/>
      <c r="BG1648" s="520"/>
      <c r="BH1648" s="520"/>
      <c r="BI1648" s="1123">
        <v>239.04</v>
      </c>
      <c r="BJ1648" s="520"/>
      <c r="BK1648" s="520"/>
      <c r="BL1648" s="520"/>
      <c r="BM1648" s="520"/>
      <c r="BN1648" s="1124"/>
      <c r="BO1648" s="520"/>
      <c r="BP1648" s="520"/>
      <c r="BQ1648" s="520"/>
      <c r="BR1648" s="520"/>
      <c r="BS1648" s="1124"/>
      <c r="BT1648" s="728"/>
      <c r="BU1648" s="520"/>
      <c r="BV1648" s="520"/>
      <c r="BW1648" s="520"/>
      <c r="BX1648" s="1122"/>
      <c r="BY1648" s="520"/>
      <c r="BZ1648" s="520"/>
      <c r="CA1648" s="520"/>
      <c r="CB1648" s="520"/>
      <c r="CC1648" s="1122"/>
      <c r="CD1648" s="1122"/>
      <c r="CE1648" s="1122"/>
      <c r="CF1648" s="1122"/>
      <c r="CG1648" s="519"/>
    </row>
    <row r="1649" spans="1:85" s="614" customFormat="1" x14ac:dyDescent="0.3">
      <c r="A1649" s="522"/>
      <c r="B1649" s="352"/>
      <c r="C1649" s="1094"/>
      <c r="D1649" s="1094"/>
      <c r="E1649" s="1094"/>
      <c r="F1649" s="1094"/>
      <c r="G1649" s="197"/>
      <c r="H1649" s="197"/>
      <c r="I1649" s="197"/>
      <c r="J1649" s="197"/>
      <c r="K1649" s="1094"/>
      <c r="L1649" s="197"/>
      <c r="M1649" s="197"/>
      <c r="N1649" s="197"/>
      <c r="O1649" s="197"/>
      <c r="P1649" s="1094"/>
      <c r="Q1649" s="197"/>
      <c r="R1649" s="197"/>
      <c r="S1649" s="197"/>
      <c r="T1649" s="197"/>
      <c r="U1649" s="1094"/>
      <c r="V1649" s="197"/>
      <c r="W1649" s="197"/>
      <c r="X1649" s="197"/>
      <c r="Y1649" s="197"/>
      <c r="Z1649" s="1094"/>
      <c r="AA1649" s="197"/>
      <c r="AB1649" s="197"/>
      <c r="AC1649" s="197"/>
      <c r="AD1649" s="197"/>
      <c r="AE1649" s="1094"/>
      <c r="AF1649" s="197"/>
      <c r="AG1649" s="197"/>
      <c r="AH1649" s="197"/>
      <c r="AI1649" s="197"/>
      <c r="AJ1649" s="1094"/>
      <c r="AK1649" s="197"/>
      <c r="AL1649" s="197"/>
      <c r="AM1649" s="197"/>
      <c r="AN1649" s="197"/>
      <c r="AO1649" s="1094"/>
      <c r="AP1649" s="197"/>
      <c r="AQ1649" s="197"/>
      <c r="AR1649" s="197"/>
      <c r="AS1649" s="197"/>
      <c r="AT1649" s="198"/>
      <c r="AU1649" s="197"/>
      <c r="AV1649" s="197"/>
      <c r="AW1649" s="197"/>
      <c r="AX1649" s="197"/>
      <c r="AY1649" s="198"/>
      <c r="AZ1649" s="197"/>
      <c r="BA1649" s="197"/>
      <c r="BB1649" s="197"/>
      <c r="BC1649" s="197"/>
      <c r="BD1649" s="198"/>
      <c r="BE1649" s="197"/>
      <c r="BF1649" s="197"/>
      <c r="BG1649" s="197"/>
      <c r="BH1649" s="197"/>
      <c r="BI1649" s="198"/>
      <c r="BJ1649" s="197"/>
      <c r="BK1649" s="197"/>
      <c r="BL1649" s="197"/>
      <c r="BM1649" s="197"/>
      <c r="BN1649" s="198"/>
      <c r="BO1649" s="197"/>
      <c r="BP1649" s="197"/>
      <c r="BQ1649" s="197"/>
      <c r="BR1649" s="197"/>
      <c r="BS1649" s="198"/>
      <c r="BT1649" s="727"/>
      <c r="BU1649" s="197"/>
      <c r="BV1649" s="197"/>
      <c r="BW1649" s="197"/>
      <c r="BX1649" s="1094"/>
      <c r="BY1649" s="197"/>
      <c r="BZ1649" s="197"/>
      <c r="CA1649" s="197"/>
      <c r="CB1649" s="197"/>
      <c r="CC1649" s="1094"/>
      <c r="CD1649" s="1094"/>
      <c r="CE1649" s="1094"/>
      <c r="CF1649" s="1094"/>
      <c r="CG1649" s="349"/>
    </row>
    <row r="1650" spans="1:85" s="613" customFormat="1" x14ac:dyDescent="0.3">
      <c r="A1650" s="478" t="s">
        <v>1048</v>
      </c>
      <c r="B1650" s="523"/>
      <c r="C1650" s="78"/>
      <c r="D1650" s="78"/>
      <c r="E1650" s="78"/>
      <c r="F1650" s="78"/>
      <c r="G1650" s="774"/>
      <c r="H1650" s="774"/>
      <c r="I1650" s="774"/>
      <c r="J1650" s="774"/>
      <c r="K1650" s="78"/>
      <c r="L1650" s="774"/>
      <c r="M1650" s="774"/>
      <c r="N1650" s="774"/>
      <c r="O1650" s="774"/>
      <c r="P1650" s="78"/>
      <c r="Q1650" s="774"/>
      <c r="R1650" s="774"/>
      <c r="S1650" s="774"/>
      <c r="T1650" s="774"/>
      <c r="U1650" s="78"/>
      <c r="V1650" s="774"/>
      <c r="W1650" s="774"/>
      <c r="X1650" s="774"/>
      <c r="Y1650" s="774"/>
      <c r="Z1650" s="78"/>
      <c r="AA1650" s="774"/>
      <c r="AB1650" s="774"/>
      <c r="AC1650" s="774"/>
      <c r="AD1650" s="774"/>
      <c r="AE1650" s="78"/>
      <c r="AF1650" s="774"/>
      <c r="AG1650" s="774"/>
      <c r="AH1650" s="774"/>
      <c r="AI1650" s="774"/>
      <c r="AJ1650" s="78"/>
      <c r="AK1650" s="774"/>
      <c r="AL1650" s="774"/>
      <c r="AM1650" s="774"/>
      <c r="AN1650" s="774"/>
      <c r="AO1650" s="78"/>
      <c r="AP1650" s="774"/>
      <c r="AQ1650" s="774"/>
      <c r="AR1650" s="774"/>
      <c r="AS1650" s="774"/>
      <c r="AT1650" s="78"/>
      <c r="AU1650" s="774"/>
      <c r="AV1650" s="774"/>
      <c r="AW1650" s="774"/>
      <c r="AX1650" s="774"/>
      <c r="AY1650" s="78"/>
      <c r="AZ1650" s="774"/>
      <c r="BA1650" s="774"/>
      <c r="BB1650" s="774"/>
      <c r="BC1650" s="774"/>
      <c r="BD1650" s="1119">
        <v>0.72599999999999998</v>
      </c>
      <c r="BE1650" s="774"/>
      <c r="BF1650" s="774"/>
      <c r="BG1650" s="774"/>
      <c r="BH1650" s="774"/>
      <c r="BI1650" s="1119">
        <v>0.72599999999999998</v>
      </c>
      <c r="BJ1650" s="774"/>
      <c r="BK1650" s="774"/>
      <c r="BL1650" s="774"/>
      <c r="BM1650" s="774"/>
      <c r="BN1650" s="78"/>
      <c r="BO1650" s="774"/>
      <c r="BP1650" s="774"/>
      <c r="BQ1650" s="774"/>
      <c r="BR1650" s="774"/>
      <c r="BS1650" s="78"/>
      <c r="BT1650" s="775"/>
      <c r="BU1650" s="774"/>
      <c r="BV1650" s="774"/>
      <c r="BW1650" s="774"/>
      <c r="BX1650" s="78"/>
      <c r="BY1650" s="774"/>
      <c r="BZ1650" s="774"/>
      <c r="CA1650" s="774"/>
      <c r="CB1650" s="774"/>
      <c r="CC1650" s="78"/>
      <c r="CD1650" s="78"/>
      <c r="CE1650" s="78"/>
      <c r="CF1650" s="78"/>
      <c r="CG1650" s="532"/>
    </row>
    <row r="1651" spans="1:85" s="615" customFormat="1" x14ac:dyDescent="0.3">
      <c r="A1651" s="522" t="s">
        <v>1047</v>
      </c>
      <c r="B1651" s="521"/>
      <c r="C1651" s="1122"/>
      <c r="D1651" s="1122"/>
      <c r="E1651" s="1122"/>
      <c r="F1651" s="1122"/>
      <c r="G1651" s="520"/>
      <c r="H1651" s="520"/>
      <c r="I1651" s="520"/>
      <c r="J1651" s="520"/>
      <c r="K1651" s="1122"/>
      <c r="L1651" s="520"/>
      <c r="M1651" s="520"/>
      <c r="N1651" s="520"/>
      <c r="O1651" s="520"/>
      <c r="P1651" s="1122"/>
      <c r="Q1651" s="520"/>
      <c r="R1651" s="520"/>
      <c r="S1651" s="520"/>
      <c r="T1651" s="520"/>
      <c r="U1651" s="1122"/>
      <c r="V1651" s="520"/>
      <c r="W1651" s="520"/>
      <c r="X1651" s="520"/>
      <c r="Y1651" s="520"/>
      <c r="Z1651" s="1122"/>
      <c r="AA1651" s="520"/>
      <c r="AB1651" s="520"/>
      <c r="AC1651" s="520"/>
      <c r="AD1651" s="520"/>
      <c r="AE1651" s="1122"/>
      <c r="AF1651" s="520"/>
      <c r="AG1651" s="520"/>
      <c r="AH1651" s="520"/>
      <c r="AI1651" s="520"/>
      <c r="AJ1651" s="1122"/>
      <c r="AK1651" s="520"/>
      <c r="AL1651" s="520"/>
      <c r="AM1651" s="520"/>
      <c r="AN1651" s="520"/>
      <c r="AO1651" s="1122"/>
      <c r="AP1651" s="520"/>
      <c r="AQ1651" s="520"/>
      <c r="AR1651" s="520"/>
      <c r="AS1651" s="520"/>
      <c r="AT1651" s="1124"/>
      <c r="AU1651" s="520"/>
      <c r="AV1651" s="520"/>
      <c r="AW1651" s="520"/>
      <c r="AX1651" s="520"/>
      <c r="AY1651" s="1124"/>
      <c r="AZ1651" s="520"/>
      <c r="BA1651" s="520"/>
      <c r="BB1651" s="520"/>
      <c r="BC1651" s="520"/>
      <c r="BD1651" s="1123">
        <v>286.75</v>
      </c>
      <c r="BE1651" s="520"/>
      <c r="BF1651" s="520"/>
      <c r="BG1651" s="520"/>
      <c r="BH1651" s="520"/>
      <c r="BI1651" s="1123">
        <v>286.75</v>
      </c>
      <c r="BJ1651" s="520"/>
      <c r="BK1651" s="520"/>
      <c r="BL1651" s="520"/>
      <c r="BM1651" s="520"/>
      <c r="BN1651" s="1124"/>
      <c r="BO1651" s="520"/>
      <c r="BP1651" s="520"/>
      <c r="BQ1651" s="520"/>
      <c r="BR1651" s="520"/>
      <c r="BS1651" s="1124"/>
      <c r="BT1651" s="728"/>
      <c r="BU1651" s="520"/>
      <c r="BV1651" s="520"/>
      <c r="BW1651" s="520"/>
      <c r="BX1651" s="1122"/>
      <c r="BY1651" s="520"/>
      <c r="BZ1651" s="520"/>
      <c r="CA1651" s="520"/>
      <c r="CB1651" s="520"/>
      <c r="CC1651" s="1122"/>
      <c r="CD1651" s="1122"/>
      <c r="CE1651" s="1122"/>
      <c r="CF1651" s="1122"/>
      <c r="CG1651" s="519"/>
    </row>
    <row r="1652" spans="1:85" s="614" customFormat="1" x14ac:dyDescent="0.3">
      <c r="A1652" s="522"/>
      <c r="B1652" s="352"/>
      <c r="C1652" s="1094"/>
      <c r="D1652" s="1094"/>
      <c r="E1652" s="1094"/>
      <c r="F1652" s="1094"/>
      <c r="G1652" s="197"/>
      <c r="H1652" s="197"/>
      <c r="I1652" s="197"/>
      <c r="J1652" s="197"/>
      <c r="K1652" s="1094"/>
      <c r="L1652" s="197"/>
      <c r="M1652" s="197"/>
      <c r="N1652" s="197"/>
      <c r="O1652" s="197"/>
      <c r="P1652" s="1094"/>
      <c r="Q1652" s="197"/>
      <c r="R1652" s="197"/>
      <c r="S1652" s="197"/>
      <c r="T1652" s="197"/>
      <c r="U1652" s="1094"/>
      <c r="V1652" s="197"/>
      <c r="W1652" s="197"/>
      <c r="X1652" s="197"/>
      <c r="Y1652" s="197"/>
      <c r="Z1652" s="1094"/>
      <c r="AA1652" s="197"/>
      <c r="AB1652" s="197"/>
      <c r="AC1652" s="197"/>
      <c r="AD1652" s="197"/>
      <c r="AE1652" s="1094"/>
      <c r="AF1652" s="197"/>
      <c r="AG1652" s="197"/>
      <c r="AH1652" s="197"/>
      <c r="AI1652" s="197"/>
      <c r="AJ1652" s="1094"/>
      <c r="AK1652" s="197"/>
      <c r="AL1652" s="197"/>
      <c r="AM1652" s="197"/>
      <c r="AN1652" s="197"/>
      <c r="AO1652" s="1094"/>
      <c r="AP1652" s="197"/>
      <c r="AQ1652" s="197"/>
      <c r="AR1652" s="197"/>
      <c r="AS1652" s="197"/>
      <c r="AT1652" s="198"/>
      <c r="AU1652" s="197"/>
      <c r="AV1652" s="197"/>
      <c r="AW1652" s="197"/>
      <c r="AX1652" s="197"/>
      <c r="AY1652" s="198"/>
      <c r="AZ1652" s="197"/>
      <c r="BA1652" s="197"/>
      <c r="BB1652" s="197"/>
      <c r="BC1652" s="197"/>
      <c r="BD1652" s="198"/>
      <c r="BE1652" s="197"/>
      <c r="BF1652" s="197"/>
      <c r="BG1652" s="197"/>
      <c r="BH1652" s="197"/>
      <c r="BI1652" s="198"/>
      <c r="BJ1652" s="197"/>
      <c r="BK1652" s="197"/>
      <c r="BL1652" s="197"/>
      <c r="BM1652" s="197"/>
      <c r="BN1652" s="198"/>
      <c r="BO1652" s="197"/>
      <c r="BP1652" s="197"/>
      <c r="BQ1652" s="197"/>
      <c r="BR1652" s="197"/>
      <c r="BS1652" s="198"/>
      <c r="BT1652" s="727"/>
      <c r="BU1652" s="197"/>
      <c r="BV1652" s="197"/>
      <c r="BW1652" s="197"/>
      <c r="BX1652" s="1094"/>
      <c r="BY1652" s="197"/>
      <c r="BZ1652" s="197"/>
      <c r="CA1652" s="197"/>
      <c r="CB1652" s="197"/>
      <c r="CC1652" s="1094"/>
      <c r="CD1652" s="1094"/>
      <c r="CE1652" s="1094"/>
      <c r="CF1652" s="1094"/>
      <c r="CG1652" s="349"/>
    </row>
    <row r="1653" spans="1:85" s="613" customFormat="1" x14ac:dyDescent="0.3">
      <c r="A1653" s="478" t="s">
        <v>1046</v>
      </c>
      <c r="B1653" s="523"/>
      <c r="C1653" s="78"/>
      <c r="D1653" s="78"/>
      <c r="E1653" s="78"/>
      <c r="F1653" s="78"/>
      <c r="G1653" s="774"/>
      <c r="H1653" s="774"/>
      <c r="I1653" s="774"/>
      <c r="J1653" s="774"/>
      <c r="K1653" s="78"/>
      <c r="L1653" s="774"/>
      <c r="M1653" s="774"/>
      <c r="N1653" s="774"/>
      <c r="O1653" s="774"/>
      <c r="P1653" s="78"/>
      <c r="Q1653" s="774"/>
      <c r="R1653" s="774"/>
      <c r="S1653" s="774"/>
      <c r="T1653" s="774"/>
      <c r="U1653" s="78"/>
      <c r="V1653" s="774"/>
      <c r="W1653" s="774"/>
      <c r="X1653" s="774"/>
      <c r="Y1653" s="774"/>
      <c r="Z1653" s="78"/>
      <c r="AA1653" s="774"/>
      <c r="AB1653" s="774"/>
      <c r="AC1653" s="774"/>
      <c r="AD1653" s="774"/>
      <c r="AE1653" s="78"/>
      <c r="AF1653" s="774"/>
      <c r="AG1653" s="774"/>
      <c r="AH1653" s="774"/>
      <c r="AI1653" s="774"/>
      <c r="AJ1653" s="78"/>
      <c r="AK1653" s="774"/>
      <c r="AL1653" s="774"/>
      <c r="AM1653" s="774"/>
      <c r="AN1653" s="774"/>
      <c r="AO1653" s="78"/>
      <c r="AP1653" s="774"/>
      <c r="AQ1653" s="774"/>
      <c r="AR1653" s="774"/>
      <c r="AS1653" s="774"/>
      <c r="AT1653" s="78"/>
      <c r="AU1653" s="774"/>
      <c r="AV1653" s="774"/>
      <c r="AW1653" s="774"/>
      <c r="AX1653" s="774"/>
      <c r="AY1653" s="78"/>
      <c r="AZ1653" s="774"/>
      <c r="BA1653" s="774"/>
      <c r="BB1653" s="774"/>
      <c r="BC1653" s="774"/>
      <c r="BD1653" s="1119">
        <v>0.65800000000000003</v>
      </c>
      <c r="BE1653" s="774"/>
      <c r="BF1653" s="774"/>
      <c r="BG1653" s="774"/>
      <c r="BH1653" s="774"/>
      <c r="BI1653" s="1119">
        <v>0.65800000000000003</v>
      </c>
      <c r="BJ1653" s="774"/>
      <c r="BK1653" s="774"/>
      <c r="BL1653" s="774"/>
      <c r="BM1653" s="774"/>
      <c r="BN1653" s="78"/>
      <c r="BO1653" s="774"/>
      <c r="BP1653" s="774"/>
      <c r="BQ1653" s="774"/>
      <c r="BR1653" s="774"/>
      <c r="BS1653" s="78"/>
      <c r="BT1653" s="775"/>
      <c r="BU1653" s="774"/>
      <c r="BV1653" s="774"/>
      <c r="BW1653" s="774"/>
      <c r="BX1653" s="78"/>
      <c r="BY1653" s="774"/>
      <c r="BZ1653" s="774"/>
      <c r="CA1653" s="774"/>
      <c r="CB1653" s="774"/>
      <c r="CC1653" s="78"/>
      <c r="CD1653" s="78"/>
      <c r="CE1653" s="78"/>
      <c r="CF1653" s="78"/>
      <c r="CG1653" s="532"/>
    </row>
    <row r="1654" spans="1:85" s="615" customFormat="1" x14ac:dyDescent="0.3">
      <c r="A1654" s="522" t="s">
        <v>1045</v>
      </c>
      <c r="B1654" s="521"/>
      <c r="C1654" s="1122"/>
      <c r="D1654" s="1122"/>
      <c r="E1654" s="1122"/>
      <c r="F1654" s="1122"/>
      <c r="G1654" s="520"/>
      <c r="H1654" s="520"/>
      <c r="I1654" s="520"/>
      <c r="J1654" s="520"/>
      <c r="K1654" s="1122"/>
      <c r="L1654" s="520"/>
      <c r="M1654" s="520"/>
      <c r="N1654" s="520"/>
      <c r="O1654" s="520"/>
      <c r="P1654" s="1122"/>
      <c r="Q1654" s="520"/>
      <c r="R1654" s="520"/>
      <c r="S1654" s="520"/>
      <c r="T1654" s="520"/>
      <c r="U1654" s="1122"/>
      <c r="V1654" s="520"/>
      <c r="W1654" s="520"/>
      <c r="X1654" s="520"/>
      <c r="Y1654" s="520"/>
      <c r="Z1654" s="1122"/>
      <c r="AA1654" s="520"/>
      <c r="AB1654" s="520"/>
      <c r="AC1654" s="520"/>
      <c r="AD1654" s="520"/>
      <c r="AE1654" s="1122"/>
      <c r="AF1654" s="520"/>
      <c r="AG1654" s="520"/>
      <c r="AH1654" s="520"/>
      <c r="AI1654" s="520"/>
      <c r="AJ1654" s="1122"/>
      <c r="AK1654" s="520"/>
      <c r="AL1654" s="520"/>
      <c r="AM1654" s="520"/>
      <c r="AN1654" s="520"/>
      <c r="AO1654" s="1122"/>
      <c r="AP1654" s="520"/>
      <c r="AQ1654" s="520"/>
      <c r="AR1654" s="520"/>
      <c r="AS1654" s="520"/>
      <c r="AT1654" s="1124"/>
      <c r="AU1654" s="520"/>
      <c r="AV1654" s="520"/>
      <c r="AW1654" s="520"/>
      <c r="AX1654" s="520"/>
      <c r="AY1654" s="1124"/>
      <c r="AZ1654" s="520"/>
      <c r="BA1654" s="520"/>
      <c r="BB1654" s="520"/>
      <c r="BC1654" s="520"/>
      <c r="BD1654" s="1123">
        <v>316.95</v>
      </c>
      <c r="BE1654" s="520"/>
      <c r="BF1654" s="520"/>
      <c r="BG1654" s="520"/>
      <c r="BH1654" s="520"/>
      <c r="BI1654" s="1123">
        <v>316.95</v>
      </c>
      <c r="BJ1654" s="520"/>
      <c r="BK1654" s="520"/>
      <c r="BL1654" s="520"/>
      <c r="BM1654" s="520"/>
      <c r="BN1654" s="1124"/>
      <c r="BO1654" s="520"/>
      <c r="BP1654" s="520"/>
      <c r="BQ1654" s="520"/>
      <c r="BR1654" s="520"/>
      <c r="BS1654" s="1124"/>
      <c r="BT1654" s="728"/>
      <c r="BU1654" s="520"/>
      <c r="BV1654" s="520"/>
      <c r="BW1654" s="520"/>
      <c r="BX1654" s="1122"/>
      <c r="BY1654" s="520"/>
      <c r="BZ1654" s="520"/>
      <c r="CA1654" s="520"/>
      <c r="CB1654" s="520"/>
      <c r="CC1654" s="1122"/>
      <c r="CD1654" s="1122"/>
      <c r="CE1654" s="1122"/>
      <c r="CF1654" s="1122"/>
      <c r="CG1654" s="519"/>
    </row>
    <row r="1655" spans="1:85" s="614" customFormat="1" x14ac:dyDescent="0.3">
      <c r="A1655" s="116"/>
      <c r="B1655" s="352"/>
      <c r="C1655" s="1094"/>
      <c r="D1655" s="1094"/>
      <c r="E1655" s="1094"/>
      <c r="F1655" s="1094"/>
      <c r="G1655" s="197"/>
      <c r="H1655" s="197"/>
      <c r="I1655" s="197"/>
      <c r="J1655" s="197"/>
      <c r="K1655" s="1094"/>
      <c r="L1655" s="197"/>
      <c r="M1655" s="197"/>
      <c r="N1655" s="197"/>
      <c r="O1655" s="197"/>
      <c r="P1655" s="1094"/>
      <c r="Q1655" s="197"/>
      <c r="R1655" s="197"/>
      <c r="S1655" s="197"/>
      <c r="T1655" s="197"/>
      <c r="U1655" s="1094"/>
      <c r="V1655" s="197"/>
      <c r="W1655" s="197"/>
      <c r="X1655" s="197"/>
      <c r="Y1655" s="197"/>
      <c r="Z1655" s="1094"/>
      <c r="AA1655" s="197"/>
      <c r="AB1655" s="197"/>
      <c r="AC1655" s="197"/>
      <c r="AD1655" s="197"/>
      <c r="AE1655" s="1094"/>
      <c r="AF1655" s="197"/>
      <c r="AG1655" s="197"/>
      <c r="AH1655" s="197"/>
      <c r="AI1655" s="197"/>
      <c r="AJ1655" s="1094"/>
      <c r="AK1655" s="197"/>
      <c r="AL1655" s="197"/>
      <c r="AM1655" s="197"/>
      <c r="AN1655" s="197"/>
      <c r="AO1655" s="1094"/>
      <c r="AP1655" s="197"/>
      <c r="AQ1655" s="197"/>
      <c r="AR1655" s="197"/>
      <c r="AS1655" s="197"/>
      <c r="AT1655" s="198"/>
      <c r="AU1655" s="197"/>
      <c r="AV1655" s="197"/>
      <c r="AW1655" s="197"/>
      <c r="AX1655" s="197"/>
      <c r="AY1655" s="198"/>
      <c r="AZ1655" s="197"/>
      <c r="BA1655" s="197"/>
      <c r="BB1655" s="197"/>
      <c r="BC1655" s="197"/>
      <c r="BD1655" s="198"/>
      <c r="BE1655" s="197"/>
      <c r="BF1655" s="197"/>
      <c r="BG1655" s="197"/>
      <c r="BH1655" s="197"/>
      <c r="BI1655" s="1094"/>
      <c r="BJ1655" s="197"/>
      <c r="BK1655" s="197"/>
      <c r="BL1655" s="197"/>
      <c r="BM1655" s="197"/>
      <c r="BN1655" s="1094"/>
      <c r="BO1655" s="197"/>
      <c r="BP1655" s="197"/>
      <c r="BQ1655" s="197"/>
      <c r="BR1655" s="197"/>
      <c r="BS1655" s="1094"/>
      <c r="BT1655" s="727"/>
      <c r="BU1655" s="197"/>
      <c r="BV1655" s="197"/>
      <c r="BW1655" s="197"/>
      <c r="BX1655" s="1094"/>
      <c r="BY1655" s="197"/>
      <c r="BZ1655" s="197"/>
      <c r="CA1655" s="197"/>
      <c r="CB1655" s="197"/>
      <c r="CC1655" s="1094"/>
      <c r="CD1655" s="1094"/>
      <c r="CE1655" s="1094"/>
      <c r="CF1655" s="1094"/>
      <c r="CG1655" s="349"/>
    </row>
    <row r="1656" spans="1:85" s="613" customFormat="1" x14ac:dyDescent="0.3">
      <c r="A1656" s="478" t="s">
        <v>1068</v>
      </c>
      <c r="B1656" s="523"/>
      <c r="C1656" s="78"/>
      <c r="D1656" s="78"/>
      <c r="E1656" s="78"/>
      <c r="F1656" s="78"/>
      <c r="G1656" s="774"/>
      <c r="H1656" s="774"/>
      <c r="I1656" s="774"/>
      <c r="J1656" s="774"/>
      <c r="K1656" s="78"/>
      <c r="L1656" s="774"/>
      <c r="M1656" s="774"/>
      <c r="N1656" s="774"/>
      <c r="O1656" s="774"/>
      <c r="P1656" s="78"/>
      <c r="Q1656" s="774"/>
      <c r="R1656" s="774"/>
      <c r="S1656" s="774"/>
      <c r="T1656" s="774"/>
      <c r="U1656" s="78"/>
      <c r="V1656" s="774"/>
      <c r="W1656" s="774"/>
      <c r="X1656" s="774"/>
      <c r="Y1656" s="774"/>
      <c r="Z1656" s="78"/>
      <c r="AA1656" s="774"/>
      <c r="AB1656" s="774"/>
      <c r="AC1656" s="774"/>
      <c r="AD1656" s="774"/>
      <c r="AE1656" s="78"/>
      <c r="AF1656" s="774"/>
      <c r="AG1656" s="774"/>
      <c r="AH1656" s="774"/>
      <c r="AI1656" s="774"/>
      <c r="AJ1656" s="78"/>
      <c r="AK1656" s="774"/>
      <c r="AL1656" s="774"/>
      <c r="AM1656" s="774"/>
      <c r="AN1656" s="774"/>
      <c r="AO1656" s="78"/>
      <c r="AP1656" s="774"/>
      <c r="AQ1656" s="774"/>
      <c r="AR1656" s="774"/>
      <c r="AS1656" s="774"/>
      <c r="AT1656" s="78"/>
      <c r="AU1656" s="774"/>
      <c r="AV1656" s="774"/>
      <c r="AW1656" s="774"/>
      <c r="AX1656" s="774"/>
      <c r="AY1656" s="78"/>
      <c r="AZ1656" s="774"/>
      <c r="BA1656" s="774"/>
      <c r="BB1656" s="774"/>
      <c r="BC1656" s="774"/>
      <c r="BD1656" s="78"/>
      <c r="BE1656" s="774"/>
      <c r="BF1656" s="774"/>
      <c r="BG1656" s="774"/>
      <c r="BH1656" s="774"/>
      <c r="BI1656" s="1119">
        <v>0.70599999999999996</v>
      </c>
      <c r="BJ1656" s="774"/>
      <c r="BK1656" s="774"/>
      <c r="BL1656" s="774"/>
      <c r="BM1656" s="774"/>
      <c r="BN1656" s="78"/>
      <c r="BO1656" s="774"/>
      <c r="BP1656" s="774"/>
      <c r="BQ1656" s="774"/>
      <c r="BR1656" s="774"/>
      <c r="BS1656" s="78"/>
      <c r="BT1656" s="775"/>
      <c r="BU1656" s="774"/>
      <c r="BV1656" s="774"/>
      <c r="BW1656" s="774"/>
      <c r="BX1656" s="78"/>
      <c r="BY1656" s="774"/>
      <c r="BZ1656" s="774"/>
      <c r="CA1656" s="774"/>
      <c r="CB1656" s="774"/>
      <c r="CC1656" s="78"/>
      <c r="CD1656" s="78"/>
      <c r="CE1656" s="78"/>
      <c r="CF1656" s="78"/>
      <c r="CG1656" s="532"/>
    </row>
    <row r="1657" spans="1:85" s="615" customFormat="1" x14ac:dyDescent="0.3">
      <c r="A1657" s="522" t="s">
        <v>1067</v>
      </c>
      <c r="B1657" s="521"/>
      <c r="C1657" s="1122"/>
      <c r="D1657" s="1122"/>
      <c r="E1657" s="1122"/>
      <c r="F1657" s="1122"/>
      <c r="G1657" s="520"/>
      <c r="H1657" s="520"/>
      <c r="I1657" s="520"/>
      <c r="J1657" s="520"/>
      <c r="K1657" s="1122"/>
      <c r="L1657" s="520"/>
      <c r="M1657" s="520"/>
      <c r="N1657" s="520"/>
      <c r="O1657" s="520"/>
      <c r="P1657" s="1122"/>
      <c r="Q1657" s="520"/>
      <c r="R1657" s="520"/>
      <c r="S1657" s="520"/>
      <c r="T1657" s="520"/>
      <c r="U1657" s="1122"/>
      <c r="V1657" s="520"/>
      <c r="W1657" s="520"/>
      <c r="X1657" s="520"/>
      <c r="Y1657" s="520"/>
      <c r="Z1657" s="1122"/>
      <c r="AA1657" s="520"/>
      <c r="AB1657" s="520"/>
      <c r="AC1657" s="520"/>
      <c r="AD1657" s="520"/>
      <c r="AE1657" s="1122"/>
      <c r="AF1657" s="520"/>
      <c r="AG1657" s="520"/>
      <c r="AH1657" s="520"/>
      <c r="AI1657" s="520"/>
      <c r="AJ1657" s="1122"/>
      <c r="AK1657" s="520"/>
      <c r="AL1657" s="520"/>
      <c r="AM1657" s="520"/>
      <c r="AN1657" s="520"/>
      <c r="AO1657" s="1122"/>
      <c r="AP1657" s="520"/>
      <c r="AQ1657" s="520"/>
      <c r="AR1657" s="520"/>
      <c r="AS1657" s="520"/>
      <c r="AT1657" s="1124"/>
      <c r="AU1657" s="520"/>
      <c r="AV1657" s="520"/>
      <c r="AW1657" s="520"/>
      <c r="AX1657" s="520"/>
      <c r="AY1657" s="1124"/>
      <c r="AZ1657" s="520"/>
      <c r="BA1657" s="520"/>
      <c r="BB1657" s="520"/>
      <c r="BC1657" s="520"/>
      <c r="BD1657" s="1124"/>
      <c r="BE1657" s="520"/>
      <c r="BF1657" s="520"/>
      <c r="BG1657" s="520"/>
      <c r="BH1657" s="520"/>
      <c r="BI1657" s="1123">
        <v>294.95</v>
      </c>
      <c r="BJ1657" s="520"/>
      <c r="BK1657" s="520"/>
      <c r="BL1657" s="520"/>
      <c r="BM1657" s="520"/>
      <c r="BN1657" s="1124"/>
      <c r="BO1657" s="520"/>
      <c r="BP1657" s="520"/>
      <c r="BQ1657" s="520"/>
      <c r="BR1657" s="520"/>
      <c r="BS1657" s="1124"/>
      <c r="BT1657" s="728"/>
      <c r="BU1657" s="520"/>
      <c r="BV1657" s="520"/>
      <c r="BW1657" s="520"/>
      <c r="BX1657" s="1122"/>
      <c r="BY1657" s="520"/>
      <c r="BZ1657" s="520"/>
      <c r="CA1657" s="520"/>
      <c r="CB1657" s="520"/>
      <c r="CC1657" s="1122"/>
      <c r="CD1657" s="1122"/>
      <c r="CE1657" s="1122"/>
      <c r="CF1657" s="1122"/>
      <c r="CG1657" s="519"/>
    </row>
    <row r="1658" spans="1:85" s="614" customFormat="1" x14ac:dyDescent="0.3">
      <c r="A1658" s="116"/>
      <c r="B1658" s="352"/>
      <c r="C1658" s="1094"/>
      <c r="D1658" s="1094"/>
      <c r="E1658" s="1094"/>
      <c r="F1658" s="1094"/>
      <c r="G1658" s="197"/>
      <c r="H1658" s="197"/>
      <c r="I1658" s="197"/>
      <c r="J1658" s="197"/>
      <c r="K1658" s="1094"/>
      <c r="L1658" s="197"/>
      <c r="M1658" s="197"/>
      <c r="N1658" s="197"/>
      <c r="O1658" s="197"/>
      <c r="P1658" s="1094"/>
      <c r="Q1658" s="197"/>
      <c r="R1658" s="197"/>
      <c r="S1658" s="197"/>
      <c r="T1658" s="197"/>
      <c r="U1658" s="1094"/>
      <c r="V1658" s="197"/>
      <c r="W1658" s="197"/>
      <c r="X1658" s="197"/>
      <c r="Y1658" s="197"/>
      <c r="Z1658" s="1094"/>
      <c r="AA1658" s="197"/>
      <c r="AB1658" s="197"/>
      <c r="AC1658" s="197"/>
      <c r="AD1658" s="197"/>
      <c r="AE1658" s="1094"/>
      <c r="AF1658" s="197"/>
      <c r="AG1658" s="197"/>
      <c r="AH1658" s="197"/>
      <c r="AI1658" s="197"/>
      <c r="AJ1658" s="1094"/>
      <c r="AK1658" s="197"/>
      <c r="AL1658" s="197"/>
      <c r="AM1658" s="197"/>
      <c r="AN1658" s="197"/>
      <c r="AO1658" s="1094"/>
      <c r="AP1658" s="197"/>
      <c r="AQ1658" s="197"/>
      <c r="AR1658" s="197"/>
      <c r="AS1658" s="197"/>
      <c r="AT1658" s="198"/>
      <c r="AU1658" s="197"/>
      <c r="AV1658" s="197"/>
      <c r="AW1658" s="197"/>
      <c r="AX1658" s="197"/>
      <c r="AY1658" s="198"/>
      <c r="AZ1658" s="197"/>
      <c r="BA1658" s="197"/>
      <c r="BB1658" s="197"/>
      <c r="BC1658" s="197"/>
      <c r="BD1658" s="198"/>
      <c r="BE1658" s="197"/>
      <c r="BF1658" s="197"/>
      <c r="BG1658" s="197"/>
      <c r="BH1658" s="197"/>
      <c r="BI1658" s="1094"/>
      <c r="BJ1658" s="197"/>
      <c r="BK1658" s="197"/>
      <c r="BL1658" s="197"/>
      <c r="BM1658" s="197"/>
      <c r="BN1658" s="1094"/>
      <c r="BO1658" s="197"/>
      <c r="BP1658" s="197"/>
      <c r="BQ1658" s="197"/>
      <c r="BR1658" s="197"/>
      <c r="BS1658" s="1094"/>
      <c r="BT1658" s="727"/>
      <c r="BU1658" s="197"/>
      <c r="BV1658" s="197"/>
      <c r="BW1658" s="197"/>
      <c r="BX1658" s="1094"/>
      <c r="BY1658" s="197"/>
      <c r="BZ1658" s="197"/>
      <c r="CA1658" s="197"/>
      <c r="CB1658" s="197"/>
      <c r="CC1658" s="1094"/>
      <c r="CD1658" s="1094"/>
      <c r="CE1658" s="1094"/>
      <c r="CF1658" s="1094"/>
      <c r="CG1658" s="349"/>
    </row>
    <row r="1659" spans="1:85" s="613" customFormat="1" x14ac:dyDescent="0.3">
      <c r="A1659" s="478" t="s">
        <v>1066</v>
      </c>
      <c r="B1659" s="523"/>
      <c r="C1659" s="78"/>
      <c r="D1659" s="78"/>
      <c r="E1659" s="78"/>
      <c r="F1659" s="78"/>
      <c r="G1659" s="774"/>
      <c r="H1659" s="774"/>
      <c r="I1659" s="774"/>
      <c r="J1659" s="774"/>
      <c r="K1659" s="78"/>
      <c r="L1659" s="774"/>
      <c r="M1659" s="774"/>
      <c r="N1659" s="774"/>
      <c r="O1659" s="774"/>
      <c r="P1659" s="78"/>
      <c r="Q1659" s="774"/>
      <c r="R1659" s="774"/>
      <c r="S1659" s="774"/>
      <c r="T1659" s="774"/>
      <c r="U1659" s="78"/>
      <c r="V1659" s="774"/>
      <c r="W1659" s="774"/>
      <c r="X1659" s="774"/>
      <c r="Y1659" s="774"/>
      <c r="Z1659" s="78"/>
      <c r="AA1659" s="774"/>
      <c r="AB1659" s="774"/>
      <c r="AC1659" s="774"/>
      <c r="AD1659" s="774"/>
      <c r="AE1659" s="78"/>
      <c r="AF1659" s="774"/>
      <c r="AG1659" s="774"/>
      <c r="AH1659" s="774"/>
      <c r="AI1659" s="774"/>
      <c r="AJ1659" s="78"/>
      <c r="AK1659" s="774"/>
      <c r="AL1659" s="774"/>
      <c r="AM1659" s="774"/>
      <c r="AN1659" s="774"/>
      <c r="AO1659" s="78"/>
      <c r="AP1659" s="774"/>
      <c r="AQ1659" s="774"/>
      <c r="AR1659" s="774"/>
      <c r="AS1659" s="774"/>
      <c r="AT1659" s="78"/>
      <c r="AU1659" s="774"/>
      <c r="AV1659" s="774"/>
      <c r="AW1659" s="774"/>
      <c r="AX1659" s="774"/>
      <c r="AY1659" s="78"/>
      <c r="AZ1659" s="774"/>
      <c r="BA1659" s="774"/>
      <c r="BB1659" s="774"/>
      <c r="BC1659" s="774"/>
      <c r="BD1659" s="78"/>
      <c r="BE1659" s="774"/>
      <c r="BF1659" s="774"/>
      <c r="BG1659" s="774"/>
      <c r="BH1659" s="774"/>
      <c r="BI1659" s="1119">
        <v>0.46</v>
      </c>
      <c r="BJ1659" s="774"/>
      <c r="BK1659" s="774"/>
      <c r="BL1659" s="774"/>
      <c r="BM1659" s="774"/>
      <c r="BN1659" s="78"/>
      <c r="BO1659" s="774"/>
      <c r="BP1659" s="774"/>
      <c r="BQ1659" s="774"/>
      <c r="BR1659" s="774"/>
      <c r="BS1659" s="78"/>
      <c r="BT1659" s="775"/>
      <c r="BU1659" s="774"/>
      <c r="BV1659" s="774"/>
      <c r="BW1659" s="774"/>
      <c r="BX1659" s="78"/>
      <c r="BY1659" s="774"/>
      <c r="BZ1659" s="774"/>
      <c r="CA1659" s="774"/>
      <c r="CB1659" s="774"/>
      <c r="CC1659" s="78"/>
      <c r="CD1659" s="78"/>
      <c r="CE1659" s="78"/>
      <c r="CF1659" s="78"/>
      <c r="CG1659" s="532"/>
    </row>
    <row r="1660" spans="1:85" s="615" customFormat="1" x14ac:dyDescent="0.3">
      <c r="A1660" s="522" t="s">
        <v>1065</v>
      </c>
      <c r="B1660" s="521"/>
      <c r="C1660" s="1122"/>
      <c r="D1660" s="1122"/>
      <c r="E1660" s="1122"/>
      <c r="F1660" s="1122"/>
      <c r="G1660" s="520"/>
      <c r="H1660" s="520"/>
      <c r="I1660" s="520"/>
      <c r="J1660" s="520"/>
      <c r="K1660" s="1122"/>
      <c r="L1660" s="520"/>
      <c r="M1660" s="520"/>
      <c r="N1660" s="520"/>
      <c r="O1660" s="520"/>
      <c r="P1660" s="1122"/>
      <c r="Q1660" s="520"/>
      <c r="R1660" s="520"/>
      <c r="S1660" s="520"/>
      <c r="T1660" s="520"/>
      <c r="U1660" s="1122"/>
      <c r="V1660" s="520"/>
      <c r="W1660" s="520"/>
      <c r="X1660" s="520"/>
      <c r="Y1660" s="520"/>
      <c r="Z1660" s="1122"/>
      <c r="AA1660" s="520"/>
      <c r="AB1660" s="520"/>
      <c r="AC1660" s="520"/>
      <c r="AD1660" s="520"/>
      <c r="AE1660" s="1122"/>
      <c r="AF1660" s="520"/>
      <c r="AG1660" s="520"/>
      <c r="AH1660" s="520"/>
      <c r="AI1660" s="520"/>
      <c r="AJ1660" s="1122"/>
      <c r="AK1660" s="520"/>
      <c r="AL1660" s="520"/>
      <c r="AM1660" s="520"/>
      <c r="AN1660" s="520"/>
      <c r="AO1660" s="1122"/>
      <c r="AP1660" s="520"/>
      <c r="AQ1660" s="520"/>
      <c r="AR1660" s="520"/>
      <c r="AS1660" s="520"/>
      <c r="AT1660" s="1124"/>
      <c r="AU1660" s="520"/>
      <c r="AV1660" s="520"/>
      <c r="AW1660" s="520"/>
      <c r="AX1660" s="520"/>
      <c r="AY1660" s="1124"/>
      <c r="AZ1660" s="520"/>
      <c r="BA1660" s="520"/>
      <c r="BB1660" s="520"/>
      <c r="BC1660" s="520"/>
      <c r="BD1660" s="1124"/>
      <c r="BE1660" s="520"/>
      <c r="BF1660" s="520"/>
      <c r="BG1660" s="520"/>
      <c r="BH1660" s="520"/>
      <c r="BI1660" s="1123">
        <v>361.99</v>
      </c>
      <c r="BJ1660" s="520"/>
      <c r="BK1660" s="520"/>
      <c r="BL1660" s="520"/>
      <c r="BM1660" s="520"/>
      <c r="BN1660" s="1124"/>
      <c r="BO1660" s="520"/>
      <c r="BP1660" s="520"/>
      <c r="BQ1660" s="520"/>
      <c r="BR1660" s="520"/>
      <c r="BS1660" s="1124"/>
      <c r="BT1660" s="728"/>
      <c r="BU1660" s="520"/>
      <c r="BV1660" s="520"/>
      <c r="BW1660" s="520"/>
      <c r="BX1660" s="1122"/>
      <c r="BY1660" s="520"/>
      <c r="BZ1660" s="520"/>
      <c r="CA1660" s="520"/>
      <c r="CB1660" s="520"/>
      <c r="CC1660" s="1122"/>
      <c r="CD1660" s="1122"/>
      <c r="CE1660" s="1122"/>
      <c r="CF1660" s="1122"/>
      <c r="CG1660" s="519"/>
    </row>
    <row r="1661" spans="1:85" s="614" customFormat="1" x14ac:dyDescent="0.3">
      <c r="A1661" s="116"/>
      <c r="B1661" s="352"/>
      <c r="C1661" s="1094"/>
      <c r="D1661" s="1094"/>
      <c r="E1661" s="1094"/>
      <c r="F1661" s="1094"/>
      <c r="G1661" s="197"/>
      <c r="H1661" s="197"/>
      <c r="I1661" s="197"/>
      <c r="J1661" s="197"/>
      <c r="K1661" s="1094"/>
      <c r="L1661" s="197"/>
      <c r="M1661" s="197"/>
      <c r="N1661" s="197"/>
      <c r="O1661" s="197"/>
      <c r="P1661" s="1094"/>
      <c r="Q1661" s="197"/>
      <c r="R1661" s="197"/>
      <c r="S1661" s="197"/>
      <c r="T1661" s="197"/>
      <c r="U1661" s="1094"/>
      <c r="V1661" s="197"/>
      <c r="W1661" s="197"/>
      <c r="X1661" s="197"/>
      <c r="Y1661" s="197"/>
      <c r="Z1661" s="1094"/>
      <c r="AA1661" s="197"/>
      <c r="AB1661" s="197"/>
      <c r="AC1661" s="197"/>
      <c r="AD1661" s="197"/>
      <c r="AE1661" s="1094"/>
      <c r="AF1661" s="197"/>
      <c r="AG1661" s="197"/>
      <c r="AH1661" s="197"/>
      <c r="AI1661" s="197"/>
      <c r="AJ1661" s="1094"/>
      <c r="AK1661" s="197"/>
      <c r="AL1661" s="197"/>
      <c r="AM1661" s="197"/>
      <c r="AN1661" s="197"/>
      <c r="AO1661" s="1094"/>
      <c r="AP1661" s="197"/>
      <c r="AQ1661" s="197"/>
      <c r="AR1661" s="197"/>
      <c r="AS1661" s="197"/>
      <c r="AT1661" s="198"/>
      <c r="AU1661" s="197"/>
      <c r="AV1661" s="197"/>
      <c r="AW1661" s="197"/>
      <c r="AX1661" s="197"/>
      <c r="AY1661" s="198"/>
      <c r="AZ1661" s="197"/>
      <c r="BA1661" s="197"/>
      <c r="BB1661" s="197"/>
      <c r="BC1661" s="197"/>
      <c r="BD1661" s="198"/>
      <c r="BE1661" s="197"/>
      <c r="BF1661" s="197"/>
      <c r="BG1661" s="197"/>
      <c r="BH1661" s="197"/>
      <c r="BI1661" s="1094"/>
      <c r="BJ1661" s="197"/>
      <c r="BK1661" s="197"/>
      <c r="BL1661" s="197"/>
      <c r="BM1661" s="197"/>
      <c r="BN1661" s="1094"/>
      <c r="BO1661" s="197"/>
      <c r="BP1661" s="197"/>
      <c r="BQ1661" s="197"/>
      <c r="BR1661" s="197"/>
      <c r="BS1661" s="1094"/>
      <c r="BT1661" s="727"/>
      <c r="BU1661" s="197"/>
      <c r="BV1661" s="197"/>
      <c r="BW1661" s="197"/>
      <c r="BX1661" s="1094"/>
      <c r="BY1661" s="197"/>
      <c r="BZ1661" s="197"/>
      <c r="CA1661" s="197"/>
      <c r="CB1661" s="197"/>
      <c r="CC1661" s="1094"/>
      <c r="CD1661" s="1094"/>
      <c r="CE1661" s="1094"/>
      <c r="CF1661" s="1094"/>
      <c r="CG1661" s="349"/>
    </row>
    <row r="1662" spans="1:85" s="613" customFormat="1" x14ac:dyDescent="0.3">
      <c r="A1662" s="478" t="s">
        <v>1064</v>
      </c>
      <c r="B1662" s="523"/>
      <c r="C1662" s="78"/>
      <c r="D1662" s="78"/>
      <c r="E1662" s="78"/>
      <c r="F1662" s="78"/>
      <c r="G1662" s="774"/>
      <c r="H1662" s="774"/>
      <c r="I1662" s="774"/>
      <c r="J1662" s="774"/>
      <c r="K1662" s="78"/>
      <c r="L1662" s="774"/>
      <c r="M1662" s="774"/>
      <c r="N1662" s="774"/>
      <c r="O1662" s="774"/>
      <c r="P1662" s="78"/>
      <c r="Q1662" s="774"/>
      <c r="R1662" s="774"/>
      <c r="S1662" s="774"/>
      <c r="T1662" s="774"/>
      <c r="U1662" s="78"/>
      <c r="V1662" s="774"/>
      <c r="W1662" s="774"/>
      <c r="X1662" s="774"/>
      <c r="Y1662" s="774"/>
      <c r="Z1662" s="78"/>
      <c r="AA1662" s="774"/>
      <c r="AB1662" s="774"/>
      <c r="AC1662" s="774"/>
      <c r="AD1662" s="774"/>
      <c r="AE1662" s="78"/>
      <c r="AF1662" s="774"/>
      <c r="AG1662" s="774"/>
      <c r="AH1662" s="774"/>
      <c r="AI1662" s="774"/>
      <c r="AJ1662" s="78"/>
      <c r="AK1662" s="774"/>
      <c r="AL1662" s="774"/>
      <c r="AM1662" s="774"/>
      <c r="AN1662" s="774"/>
      <c r="AO1662" s="78"/>
      <c r="AP1662" s="774"/>
      <c r="AQ1662" s="774"/>
      <c r="AR1662" s="774"/>
      <c r="AS1662" s="774"/>
      <c r="AT1662" s="78"/>
      <c r="AU1662" s="774"/>
      <c r="AV1662" s="774"/>
      <c r="AW1662" s="774"/>
      <c r="AX1662" s="774"/>
      <c r="AY1662" s="78"/>
      <c r="AZ1662" s="774"/>
      <c r="BA1662" s="774"/>
      <c r="BB1662" s="774"/>
      <c r="BC1662" s="774"/>
      <c r="BD1662" s="78"/>
      <c r="BE1662" s="774"/>
      <c r="BF1662" s="774"/>
      <c r="BG1662" s="774"/>
      <c r="BH1662" s="774"/>
      <c r="BI1662" s="1119">
        <v>0.53200000000000003</v>
      </c>
      <c r="BJ1662" s="774"/>
      <c r="BK1662" s="774"/>
      <c r="BL1662" s="774"/>
      <c r="BM1662" s="774"/>
      <c r="BN1662" s="78"/>
      <c r="BO1662" s="774"/>
      <c r="BP1662" s="774"/>
      <c r="BQ1662" s="774"/>
      <c r="BR1662" s="774"/>
      <c r="BS1662" s="78"/>
      <c r="BT1662" s="775"/>
      <c r="BU1662" s="774"/>
      <c r="BV1662" s="774"/>
      <c r="BW1662" s="774"/>
      <c r="BX1662" s="78"/>
      <c r="BY1662" s="774"/>
      <c r="BZ1662" s="774"/>
      <c r="CA1662" s="774"/>
      <c r="CB1662" s="774"/>
      <c r="CC1662" s="78"/>
      <c r="CD1662" s="78"/>
      <c r="CE1662" s="78"/>
      <c r="CF1662" s="78"/>
      <c r="CG1662" s="532"/>
    </row>
    <row r="1663" spans="1:85" s="615" customFormat="1" x14ac:dyDescent="0.3">
      <c r="A1663" s="522" t="s">
        <v>1063</v>
      </c>
      <c r="B1663" s="521"/>
      <c r="C1663" s="1122"/>
      <c r="D1663" s="1122"/>
      <c r="E1663" s="1122"/>
      <c r="F1663" s="1122"/>
      <c r="G1663" s="520"/>
      <c r="H1663" s="520"/>
      <c r="I1663" s="520"/>
      <c r="J1663" s="520"/>
      <c r="K1663" s="1122"/>
      <c r="L1663" s="520"/>
      <c r="M1663" s="520"/>
      <c r="N1663" s="520"/>
      <c r="O1663" s="520"/>
      <c r="P1663" s="1122"/>
      <c r="Q1663" s="520"/>
      <c r="R1663" s="520"/>
      <c r="S1663" s="520"/>
      <c r="T1663" s="520"/>
      <c r="U1663" s="1122"/>
      <c r="V1663" s="520"/>
      <c r="W1663" s="520"/>
      <c r="X1663" s="520"/>
      <c r="Y1663" s="520"/>
      <c r="Z1663" s="1122"/>
      <c r="AA1663" s="520"/>
      <c r="AB1663" s="520"/>
      <c r="AC1663" s="520"/>
      <c r="AD1663" s="520"/>
      <c r="AE1663" s="1122"/>
      <c r="AF1663" s="520"/>
      <c r="AG1663" s="520"/>
      <c r="AH1663" s="520"/>
      <c r="AI1663" s="520"/>
      <c r="AJ1663" s="1122"/>
      <c r="AK1663" s="520"/>
      <c r="AL1663" s="520"/>
      <c r="AM1663" s="520"/>
      <c r="AN1663" s="520"/>
      <c r="AO1663" s="1122"/>
      <c r="AP1663" s="520"/>
      <c r="AQ1663" s="520"/>
      <c r="AR1663" s="520"/>
      <c r="AS1663" s="520"/>
      <c r="AT1663" s="1124"/>
      <c r="AU1663" s="520"/>
      <c r="AV1663" s="520"/>
      <c r="AW1663" s="520"/>
      <c r="AX1663" s="520"/>
      <c r="AY1663" s="1124"/>
      <c r="AZ1663" s="520"/>
      <c r="BA1663" s="520"/>
      <c r="BB1663" s="520"/>
      <c r="BC1663" s="520"/>
      <c r="BD1663" s="1124"/>
      <c r="BE1663" s="520"/>
      <c r="BF1663" s="520"/>
      <c r="BG1663" s="520"/>
      <c r="BH1663" s="520"/>
      <c r="BI1663" s="1123">
        <v>313.48</v>
      </c>
      <c r="BJ1663" s="520"/>
      <c r="BK1663" s="520"/>
      <c r="BL1663" s="520"/>
      <c r="BM1663" s="520"/>
      <c r="BN1663" s="1124"/>
      <c r="BO1663" s="520"/>
      <c r="BP1663" s="520"/>
      <c r="BQ1663" s="520"/>
      <c r="BR1663" s="520"/>
      <c r="BS1663" s="1124"/>
      <c r="BT1663" s="728"/>
      <c r="BU1663" s="520"/>
      <c r="BV1663" s="520"/>
      <c r="BW1663" s="520"/>
      <c r="BX1663" s="1122"/>
      <c r="BY1663" s="520"/>
      <c r="BZ1663" s="520"/>
      <c r="CA1663" s="520"/>
      <c r="CB1663" s="520"/>
      <c r="CC1663" s="1122"/>
      <c r="CD1663" s="1122"/>
      <c r="CE1663" s="1122"/>
      <c r="CF1663" s="1122"/>
      <c r="CG1663" s="519"/>
    </row>
    <row r="1664" spans="1:85" s="614" customFormat="1" x14ac:dyDescent="0.3">
      <c r="A1664" s="116"/>
      <c r="B1664" s="352"/>
      <c r="C1664" s="1094"/>
      <c r="D1664" s="1094"/>
      <c r="E1664" s="1094"/>
      <c r="F1664" s="1094"/>
      <c r="G1664" s="197"/>
      <c r="H1664" s="197"/>
      <c r="I1664" s="197"/>
      <c r="J1664" s="197"/>
      <c r="K1664" s="1094"/>
      <c r="L1664" s="197"/>
      <c r="M1664" s="197"/>
      <c r="N1664" s="197"/>
      <c r="O1664" s="197"/>
      <c r="P1664" s="1094"/>
      <c r="Q1664" s="197"/>
      <c r="R1664" s="197"/>
      <c r="S1664" s="197"/>
      <c r="T1664" s="197"/>
      <c r="U1664" s="1094"/>
      <c r="V1664" s="197"/>
      <c r="W1664" s="197"/>
      <c r="X1664" s="197"/>
      <c r="Y1664" s="197"/>
      <c r="Z1664" s="1094"/>
      <c r="AA1664" s="197"/>
      <c r="AB1664" s="197"/>
      <c r="AC1664" s="197"/>
      <c r="AD1664" s="197"/>
      <c r="AE1664" s="1094"/>
      <c r="AF1664" s="197"/>
      <c r="AG1664" s="197"/>
      <c r="AH1664" s="197"/>
      <c r="AI1664" s="197"/>
      <c r="AJ1664" s="1094"/>
      <c r="AK1664" s="197"/>
      <c r="AL1664" s="197"/>
      <c r="AM1664" s="197"/>
      <c r="AN1664" s="197"/>
      <c r="AO1664" s="1094"/>
      <c r="AP1664" s="197"/>
      <c r="AQ1664" s="197"/>
      <c r="AR1664" s="197"/>
      <c r="AS1664" s="197"/>
      <c r="AT1664" s="198"/>
      <c r="AU1664" s="197"/>
      <c r="AV1664" s="197"/>
      <c r="AW1664" s="197"/>
      <c r="AX1664" s="197"/>
      <c r="AY1664" s="198"/>
      <c r="AZ1664" s="197"/>
      <c r="BA1664" s="197"/>
      <c r="BB1664" s="197"/>
      <c r="BC1664" s="197"/>
      <c r="BD1664" s="198"/>
      <c r="BE1664" s="197"/>
      <c r="BF1664" s="197"/>
      <c r="BG1664" s="197"/>
      <c r="BH1664" s="197"/>
      <c r="BI1664" s="1094"/>
      <c r="BJ1664" s="197"/>
      <c r="BK1664" s="197"/>
      <c r="BL1664" s="197"/>
      <c r="BM1664" s="197"/>
      <c r="BN1664" s="1094"/>
      <c r="BO1664" s="197"/>
      <c r="BP1664" s="197"/>
      <c r="BQ1664" s="197"/>
      <c r="BR1664" s="197"/>
      <c r="BS1664" s="1094"/>
      <c r="BT1664" s="727"/>
      <c r="BU1664" s="197"/>
      <c r="BV1664" s="197"/>
      <c r="BW1664" s="197"/>
      <c r="BX1664" s="1094"/>
      <c r="BY1664" s="197"/>
      <c r="BZ1664" s="197"/>
      <c r="CA1664" s="197"/>
      <c r="CB1664" s="197"/>
      <c r="CC1664" s="1094"/>
      <c r="CD1664" s="1094"/>
      <c r="CE1664" s="1094"/>
      <c r="CF1664" s="1094"/>
      <c r="CG1664" s="349"/>
    </row>
    <row r="1665" spans="1:85" s="613" customFormat="1" x14ac:dyDescent="0.3">
      <c r="A1665" s="478" t="s">
        <v>2101</v>
      </c>
      <c r="B1665" s="523"/>
      <c r="C1665" s="78"/>
      <c r="D1665" s="78"/>
      <c r="E1665" s="78"/>
      <c r="F1665" s="78"/>
      <c r="G1665" s="774"/>
      <c r="H1665" s="774"/>
      <c r="I1665" s="774"/>
      <c r="J1665" s="774"/>
      <c r="K1665" s="78"/>
      <c r="L1665" s="774"/>
      <c r="M1665" s="774"/>
      <c r="N1665" s="774"/>
      <c r="O1665" s="774"/>
      <c r="P1665" s="78"/>
      <c r="Q1665" s="774"/>
      <c r="R1665" s="774"/>
      <c r="S1665" s="774"/>
      <c r="T1665" s="774"/>
      <c r="U1665" s="78"/>
      <c r="V1665" s="774"/>
      <c r="W1665" s="774"/>
      <c r="X1665" s="774"/>
      <c r="Y1665" s="774"/>
      <c r="Z1665" s="78"/>
      <c r="AA1665" s="774"/>
      <c r="AB1665" s="774"/>
      <c r="AC1665" s="774"/>
      <c r="AD1665" s="774"/>
      <c r="AE1665" s="78"/>
      <c r="AF1665" s="774"/>
      <c r="AG1665" s="774"/>
      <c r="AH1665" s="774"/>
      <c r="AI1665" s="774"/>
      <c r="AJ1665" s="78"/>
      <c r="AK1665" s="774"/>
      <c r="AL1665" s="774"/>
      <c r="AM1665" s="774"/>
      <c r="AN1665" s="774"/>
      <c r="AO1665" s="78"/>
      <c r="AP1665" s="774"/>
      <c r="AQ1665" s="774"/>
      <c r="AR1665" s="774"/>
      <c r="AS1665" s="774"/>
      <c r="AT1665" s="78"/>
      <c r="AU1665" s="774"/>
      <c r="AV1665" s="774"/>
      <c r="AW1665" s="774"/>
      <c r="AX1665" s="774"/>
      <c r="AY1665" s="78"/>
      <c r="AZ1665" s="774"/>
      <c r="BA1665" s="774"/>
      <c r="BB1665" s="774"/>
      <c r="BC1665" s="774"/>
      <c r="BD1665" s="78"/>
      <c r="BE1665" s="774"/>
      <c r="BF1665" s="774"/>
      <c r="BG1665" s="774"/>
      <c r="BH1665" s="774"/>
      <c r="BI1665" s="1119">
        <v>0.47899999999999998</v>
      </c>
      <c r="BJ1665" s="774"/>
      <c r="BK1665" s="774"/>
      <c r="BL1665" s="774"/>
      <c r="BM1665" s="774"/>
      <c r="BN1665" s="78"/>
      <c r="BO1665" s="774"/>
      <c r="BP1665" s="774"/>
      <c r="BQ1665" s="774"/>
      <c r="BR1665" s="774"/>
      <c r="BS1665" s="78"/>
      <c r="BT1665" s="775"/>
      <c r="BU1665" s="774"/>
      <c r="BV1665" s="774"/>
      <c r="BW1665" s="774"/>
      <c r="BX1665" s="78"/>
      <c r="BY1665" s="774"/>
      <c r="BZ1665" s="774"/>
      <c r="CA1665" s="774"/>
      <c r="CB1665" s="774"/>
      <c r="CC1665" s="78"/>
      <c r="CD1665" s="78"/>
      <c r="CE1665" s="78"/>
      <c r="CF1665" s="78"/>
      <c r="CG1665" s="532"/>
    </row>
    <row r="1666" spans="1:85" s="615" customFormat="1" x14ac:dyDescent="0.3">
      <c r="A1666" s="522" t="s">
        <v>2102</v>
      </c>
      <c r="B1666" s="521"/>
      <c r="C1666" s="1122"/>
      <c r="D1666" s="1122"/>
      <c r="E1666" s="1122"/>
      <c r="F1666" s="1122"/>
      <c r="G1666" s="520"/>
      <c r="H1666" s="520"/>
      <c r="I1666" s="520"/>
      <c r="J1666" s="520"/>
      <c r="K1666" s="1122"/>
      <c r="L1666" s="520"/>
      <c r="M1666" s="520"/>
      <c r="N1666" s="520"/>
      <c r="O1666" s="520"/>
      <c r="P1666" s="1122"/>
      <c r="Q1666" s="520"/>
      <c r="R1666" s="520"/>
      <c r="S1666" s="520"/>
      <c r="T1666" s="520"/>
      <c r="U1666" s="1122"/>
      <c r="V1666" s="520"/>
      <c r="W1666" s="520"/>
      <c r="X1666" s="520"/>
      <c r="Y1666" s="520"/>
      <c r="Z1666" s="1122"/>
      <c r="AA1666" s="520"/>
      <c r="AB1666" s="520"/>
      <c r="AC1666" s="520"/>
      <c r="AD1666" s="520"/>
      <c r="AE1666" s="1122"/>
      <c r="AF1666" s="520"/>
      <c r="AG1666" s="520"/>
      <c r="AH1666" s="520"/>
      <c r="AI1666" s="520"/>
      <c r="AJ1666" s="1122"/>
      <c r="AK1666" s="520"/>
      <c r="AL1666" s="520"/>
      <c r="AM1666" s="520"/>
      <c r="AN1666" s="520"/>
      <c r="AO1666" s="1122"/>
      <c r="AP1666" s="520"/>
      <c r="AQ1666" s="520"/>
      <c r="AR1666" s="520"/>
      <c r="AS1666" s="520"/>
      <c r="AT1666" s="1124"/>
      <c r="AU1666" s="520"/>
      <c r="AV1666" s="520"/>
      <c r="AW1666" s="520"/>
      <c r="AX1666" s="520"/>
      <c r="AY1666" s="1124"/>
      <c r="AZ1666" s="520"/>
      <c r="BA1666" s="520"/>
      <c r="BB1666" s="520"/>
      <c r="BC1666" s="520"/>
      <c r="BD1666" s="1124"/>
      <c r="BE1666" s="520"/>
      <c r="BF1666" s="520"/>
      <c r="BG1666" s="520"/>
      <c r="BH1666" s="520"/>
      <c r="BI1666" s="1123">
        <v>348.28</v>
      </c>
      <c r="BJ1666" s="520"/>
      <c r="BK1666" s="520"/>
      <c r="BL1666" s="520"/>
      <c r="BM1666" s="520"/>
      <c r="BN1666" s="1124"/>
      <c r="BO1666" s="520"/>
      <c r="BP1666" s="520"/>
      <c r="BQ1666" s="520"/>
      <c r="BR1666" s="520"/>
      <c r="BS1666" s="1124"/>
      <c r="BT1666" s="728"/>
      <c r="BU1666" s="520"/>
      <c r="BV1666" s="520"/>
      <c r="BW1666" s="520"/>
      <c r="BX1666" s="1122"/>
      <c r="BY1666" s="520"/>
      <c r="BZ1666" s="520"/>
      <c r="CA1666" s="520"/>
      <c r="CB1666" s="520"/>
      <c r="CC1666" s="1122"/>
      <c r="CD1666" s="1122"/>
      <c r="CE1666" s="1122"/>
      <c r="CF1666" s="1122"/>
      <c r="CG1666" s="519"/>
    </row>
    <row r="1667" spans="1:85" s="614" customFormat="1" x14ac:dyDescent="0.3">
      <c r="A1667" s="116"/>
      <c r="B1667" s="352"/>
      <c r="C1667" s="1094"/>
      <c r="D1667" s="1094"/>
      <c r="E1667" s="1094"/>
      <c r="F1667" s="1094"/>
      <c r="G1667" s="197"/>
      <c r="H1667" s="197"/>
      <c r="I1667" s="197"/>
      <c r="J1667" s="197"/>
      <c r="K1667" s="1094"/>
      <c r="L1667" s="197"/>
      <c r="M1667" s="197"/>
      <c r="N1667" s="197"/>
      <c r="O1667" s="197"/>
      <c r="P1667" s="1094"/>
      <c r="Q1667" s="197"/>
      <c r="R1667" s="197"/>
      <c r="S1667" s="197"/>
      <c r="T1667" s="197"/>
      <c r="U1667" s="1094"/>
      <c r="V1667" s="197"/>
      <c r="W1667" s="197"/>
      <c r="X1667" s="197"/>
      <c r="Y1667" s="197"/>
      <c r="Z1667" s="1094"/>
      <c r="AA1667" s="197"/>
      <c r="AB1667" s="197"/>
      <c r="AC1667" s="197"/>
      <c r="AD1667" s="197"/>
      <c r="AE1667" s="1094"/>
      <c r="AF1667" s="197"/>
      <c r="AG1667" s="197"/>
      <c r="AH1667" s="197"/>
      <c r="AI1667" s="197"/>
      <c r="AJ1667" s="1094"/>
      <c r="AK1667" s="197"/>
      <c r="AL1667" s="197"/>
      <c r="AM1667" s="197"/>
      <c r="AN1667" s="197"/>
      <c r="AO1667" s="1094"/>
      <c r="AP1667" s="197"/>
      <c r="AQ1667" s="197"/>
      <c r="AR1667" s="197"/>
      <c r="AS1667" s="197"/>
      <c r="AT1667" s="198"/>
      <c r="AU1667" s="197"/>
      <c r="AV1667" s="197"/>
      <c r="AW1667" s="197"/>
      <c r="AX1667" s="197"/>
      <c r="AY1667" s="198"/>
      <c r="AZ1667" s="197"/>
      <c r="BA1667" s="197"/>
      <c r="BB1667" s="197"/>
      <c r="BC1667" s="197"/>
      <c r="BD1667" s="198"/>
      <c r="BE1667" s="197"/>
      <c r="BF1667" s="197"/>
      <c r="BG1667" s="197"/>
      <c r="BH1667" s="197"/>
      <c r="BI1667" s="1094"/>
      <c r="BJ1667" s="197"/>
      <c r="BK1667" s="197"/>
      <c r="BL1667" s="197"/>
      <c r="BM1667" s="197"/>
      <c r="BN1667" s="1094"/>
      <c r="BO1667" s="197"/>
      <c r="BP1667" s="197"/>
      <c r="BQ1667" s="197"/>
      <c r="BR1667" s="197"/>
      <c r="BS1667" s="1094"/>
      <c r="BT1667" s="727"/>
      <c r="BU1667" s="197"/>
      <c r="BV1667" s="197"/>
      <c r="BW1667" s="197"/>
      <c r="BX1667" s="1094"/>
      <c r="BY1667" s="197"/>
      <c r="BZ1667" s="197"/>
      <c r="CA1667" s="197"/>
      <c r="CB1667" s="197"/>
      <c r="CC1667" s="1094"/>
      <c r="CD1667" s="1094"/>
      <c r="CE1667" s="1094"/>
      <c r="CF1667" s="1094"/>
      <c r="CG1667" s="349"/>
    </row>
    <row r="1668" spans="1:85" s="613" customFormat="1" x14ac:dyDescent="0.3">
      <c r="A1668" s="478" t="s">
        <v>2103</v>
      </c>
      <c r="B1668" s="523"/>
      <c r="C1668" s="78"/>
      <c r="D1668" s="78"/>
      <c r="E1668" s="78"/>
      <c r="F1668" s="78"/>
      <c r="G1668" s="774"/>
      <c r="H1668" s="774"/>
      <c r="I1668" s="774"/>
      <c r="J1668" s="774"/>
      <c r="K1668" s="78"/>
      <c r="L1668" s="774"/>
      <c r="M1668" s="774"/>
      <c r="N1668" s="774"/>
      <c r="O1668" s="774"/>
      <c r="P1668" s="78"/>
      <c r="Q1668" s="774"/>
      <c r="R1668" s="774"/>
      <c r="S1668" s="774"/>
      <c r="T1668" s="774"/>
      <c r="U1668" s="78"/>
      <c r="V1668" s="774"/>
      <c r="W1668" s="774"/>
      <c r="X1668" s="774"/>
      <c r="Y1668" s="774"/>
      <c r="Z1668" s="78"/>
      <c r="AA1668" s="774"/>
      <c r="AB1668" s="774"/>
      <c r="AC1668" s="774"/>
      <c r="AD1668" s="774"/>
      <c r="AE1668" s="78"/>
      <c r="AF1668" s="774"/>
      <c r="AG1668" s="774"/>
      <c r="AH1668" s="774"/>
      <c r="AI1668" s="774"/>
      <c r="AJ1668" s="78"/>
      <c r="AK1668" s="774"/>
      <c r="AL1668" s="774"/>
      <c r="AM1668" s="774"/>
      <c r="AN1668" s="774"/>
      <c r="AO1668" s="78"/>
      <c r="AP1668" s="774"/>
      <c r="AQ1668" s="774"/>
      <c r="AR1668" s="774"/>
      <c r="AS1668" s="774"/>
      <c r="AT1668" s="78"/>
      <c r="AU1668" s="774"/>
      <c r="AV1668" s="774"/>
      <c r="AW1668" s="774"/>
      <c r="AX1668" s="774"/>
      <c r="AY1668" s="78"/>
      <c r="AZ1668" s="774"/>
      <c r="BA1668" s="774"/>
      <c r="BB1668" s="774"/>
      <c r="BC1668" s="774"/>
      <c r="BD1668" s="78"/>
      <c r="BE1668" s="774"/>
      <c r="BF1668" s="774"/>
      <c r="BG1668" s="774"/>
      <c r="BH1668" s="774"/>
      <c r="BI1668" s="1119">
        <v>0.51400000000000001</v>
      </c>
      <c r="BJ1668" s="774"/>
      <c r="BK1668" s="774"/>
      <c r="BL1668" s="774"/>
      <c r="BM1668" s="774"/>
      <c r="BN1668" s="78"/>
      <c r="BO1668" s="774"/>
      <c r="BP1668" s="774"/>
      <c r="BQ1668" s="774"/>
      <c r="BR1668" s="774"/>
      <c r="BS1668" s="78"/>
      <c r="BT1668" s="775"/>
      <c r="BU1668" s="774"/>
      <c r="BV1668" s="774"/>
      <c r="BW1668" s="774"/>
      <c r="BX1668" s="78"/>
      <c r="BY1668" s="774"/>
      <c r="BZ1668" s="774"/>
      <c r="CA1668" s="774"/>
      <c r="CB1668" s="774"/>
      <c r="CC1668" s="78"/>
      <c r="CD1668" s="78"/>
      <c r="CE1668" s="78"/>
      <c r="CF1668" s="78"/>
      <c r="CG1668" s="532"/>
    </row>
    <row r="1669" spans="1:85" s="615" customFormat="1" x14ac:dyDescent="0.3">
      <c r="A1669" s="522" t="s">
        <v>2104</v>
      </c>
      <c r="B1669" s="521"/>
      <c r="C1669" s="1122"/>
      <c r="D1669" s="1122"/>
      <c r="E1669" s="1122"/>
      <c r="F1669" s="1122"/>
      <c r="G1669" s="520"/>
      <c r="H1669" s="520"/>
      <c r="I1669" s="520"/>
      <c r="J1669" s="520"/>
      <c r="K1669" s="1122"/>
      <c r="L1669" s="520"/>
      <c r="M1669" s="520"/>
      <c r="N1669" s="520"/>
      <c r="O1669" s="520"/>
      <c r="P1669" s="1122"/>
      <c r="Q1669" s="520"/>
      <c r="R1669" s="520"/>
      <c r="S1669" s="520"/>
      <c r="T1669" s="520"/>
      <c r="U1669" s="1122"/>
      <c r="V1669" s="520"/>
      <c r="W1669" s="520"/>
      <c r="X1669" s="520"/>
      <c r="Y1669" s="520"/>
      <c r="Z1669" s="1122"/>
      <c r="AA1669" s="520"/>
      <c r="AB1669" s="520"/>
      <c r="AC1669" s="520"/>
      <c r="AD1669" s="520"/>
      <c r="AE1669" s="1122"/>
      <c r="AF1669" s="520"/>
      <c r="AG1669" s="520"/>
      <c r="AH1669" s="520"/>
      <c r="AI1669" s="520"/>
      <c r="AJ1669" s="1122"/>
      <c r="AK1669" s="520"/>
      <c r="AL1669" s="520"/>
      <c r="AM1669" s="520"/>
      <c r="AN1669" s="520"/>
      <c r="AO1669" s="1122"/>
      <c r="AP1669" s="520"/>
      <c r="AQ1669" s="520"/>
      <c r="AR1669" s="520"/>
      <c r="AS1669" s="520"/>
      <c r="AT1669" s="1124"/>
      <c r="AU1669" s="520"/>
      <c r="AV1669" s="520"/>
      <c r="AW1669" s="520"/>
      <c r="AX1669" s="520"/>
      <c r="AY1669" s="1124"/>
      <c r="AZ1669" s="520"/>
      <c r="BA1669" s="520"/>
      <c r="BB1669" s="520"/>
      <c r="BC1669" s="520"/>
      <c r="BD1669" s="1124"/>
      <c r="BE1669" s="520"/>
      <c r="BF1669" s="520"/>
      <c r="BG1669" s="520"/>
      <c r="BH1669" s="520"/>
      <c r="BI1669" s="1123">
        <v>324.12</v>
      </c>
      <c r="BJ1669" s="520"/>
      <c r="BK1669" s="520"/>
      <c r="BL1669" s="520"/>
      <c r="BM1669" s="520"/>
      <c r="BN1669" s="1124"/>
      <c r="BO1669" s="520"/>
      <c r="BP1669" s="520"/>
      <c r="BQ1669" s="520"/>
      <c r="BR1669" s="520"/>
      <c r="BS1669" s="1124"/>
      <c r="BT1669" s="728"/>
      <c r="BU1669" s="520"/>
      <c r="BV1669" s="520"/>
      <c r="BW1669" s="520"/>
      <c r="BX1669" s="1122"/>
      <c r="BY1669" s="520"/>
      <c r="BZ1669" s="520"/>
      <c r="CA1669" s="520"/>
      <c r="CB1669" s="520"/>
      <c r="CC1669" s="1122"/>
      <c r="CD1669" s="1122"/>
      <c r="CE1669" s="1122"/>
      <c r="CF1669" s="1122"/>
      <c r="CG1669" s="519"/>
    </row>
    <row r="1670" spans="1:85" s="614" customFormat="1" x14ac:dyDescent="0.3">
      <c r="A1670" s="116"/>
      <c r="B1670" s="352"/>
      <c r="C1670" s="1094"/>
      <c r="D1670" s="1094"/>
      <c r="E1670" s="1094"/>
      <c r="F1670" s="1094"/>
      <c r="G1670" s="197"/>
      <c r="H1670" s="197"/>
      <c r="I1670" s="197"/>
      <c r="J1670" s="197"/>
      <c r="K1670" s="1094"/>
      <c r="L1670" s="197"/>
      <c r="M1670" s="197"/>
      <c r="N1670" s="197"/>
      <c r="O1670" s="197"/>
      <c r="P1670" s="1094"/>
      <c r="Q1670" s="197"/>
      <c r="R1670" s="197"/>
      <c r="S1670" s="197"/>
      <c r="T1670" s="197"/>
      <c r="U1670" s="1094"/>
      <c r="V1670" s="197"/>
      <c r="W1670" s="197"/>
      <c r="X1670" s="197"/>
      <c r="Y1670" s="197"/>
      <c r="Z1670" s="1094"/>
      <c r="AA1670" s="197"/>
      <c r="AB1670" s="197"/>
      <c r="AC1670" s="197"/>
      <c r="AD1670" s="197"/>
      <c r="AE1670" s="1094"/>
      <c r="AF1670" s="197"/>
      <c r="AG1670" s="197"/>
      <c r="AH1670" s="197"/>
      <c r="AI1670" s="197"/>
      <c r="AJ1670" s="1094"/>
      <c r="AK1670" s="197"/>
      <c r="AL1670" s="197"/>
      <c r="AM1670" s="197"/>
      <c r="AN1670" s="197"/>
      <c r="AO1670" s="1094"/>
      <c r="AP1670" s="197"/>
      <c r="AQ1670" s="197"/>
      <c r="AR1670" s="197"/>
      <c r="AS1670" s="197"/>
      <c r="AT1670" s="198"/>
      <c r="AU1670" s="197"/>
      <c r="AV1670" s="197"/>
      <c r="AW1670" s="197"/>
      <c r="AX1670" s="197"/>
      <c r="AY1670" s="198"/>
      <c r="AZ1670" s="197"/>
      <c r="BA1670" s="197"/>
      <c r="BB1670" s="197"/>
      <c r="BC1670" s="197"/>
      <c r="BD1670" s="198"/>
      <c r="BE1670" s="197"/>
      <c r="BF1670" s="197"/>
      <c r="BG1670" s="197"/>
      <c r="BH1670" s="197"/>
      <c r="BI1670" s="1094"/>
      <c r="BJ1670" s="197"/>
      <c r="BK1670" s="197"/>
      <c r="BL1670" s="197"/>
      <c r="BM1670" s="197"/>
      <c r="BN1670" s="1094"/>
      <c r="BO1670" s="197"/>
      <c r="BP1670" s="197"/>
      <c r="BQ1670" s="197"/>
      <c r="BR1670" s="197"/>
      <c r="BS1670" s="1094"/>
      <c r="BT1670" s="727"/>
      <c r="BU1670" s="197"/>
      <c r="BV1670" s="197"/>
      <c r="BW1670" s="197"/>
      <c r="BX1670" s="1094"/>
      <c r="BY1670" s="197"/>
      <c r="BZ1670" s="197"/>
      <c r="CA1670" s="197"/>
      <c r="CB1670" s="197"/>
      <c r="CC1670" s="1094"/>
      <c r="CD1670" s="1094"/>
      <c r="CE1670" s="1094"/>
      <c r="CF1670" s="1094"/>
      <c r="CG1670" s="349"/>
    </row>
    <row r="1671" spans="1:85" s="613" customFormat="1" x14ac:dyDescent="0.3">
      <c r="A1671" s="478" t="s">
        <v>1058</v>
      </c>
      <c r="B1671" s="523"/>
      <c r="C1671" s="78"/>
      <c r="D1671" s="78"/>
      <c r="E1671" s="78"/>
      <c r="F1671" s="78"/>
      <c r="G1671" s="774"/>
      <c r="H1671" s="774"/>
      <c r="I1671" s="774"/>
      <c r="J1671" s="774"/>
      <c r="K1671" s="78"/>
      <c r="L1671" s="774"/>
      <c r="M1671" s="774"/>
      <c r="N1671" s="774"/>
      <c r="O1671" s="774"/>
      <c r="P1671" s="78"/>
      <c r="Q1671" s="774"/>
      <c r="R1671" s="774"/>
      <c r="S1671" s="774"/>
      <c r="T1671" s="774"/>
      <c r="U1671" s="78"/>
      <c r="V1671" s="774"/>
      <c r="W1671" s="774"/>
      <c r="X1671" s="774"/>
      <c r="Y1671" s="774"/>
      <c r="Z1671" s="78"/>
      <c r="AA1671" s="774"/>
      <c r="AB1671" s="774"/>
      <c r="AC1671" s="774"/>
      <c r="AD1671" s="774"/>
      <c r="AE1671" s="78"/>
      <c r="AF1671" s="774"/>
      <c r="AG1671" s="774"/>
      <c r="AH1671" s="774"/>
      <c r="AI1671" s="774"/>
      <c r="AJ1671" s="78"/>
      <c r="AK1671" s="774"/>
      <c r="AL1671" s="774"/>
      <c r="AM1671" s="774"/>
      <c r="AN1671" s="774"/>
      <c r="AO1671" s="78"/>
      <c r="AP1671" s="774"/>
      <c r="AQ1671" s="774"/>
      <c r="AR1671" s="774"/>
      <c r="AS1671" s="774"/>
      <c r="AT1671" s="78"/>
      <c r="AU1671" s="774"/>
      <c r="AV1671" s="774"/>
      <c r="AW1671" s="774"/>
      <c r="AX1671" s="774"/>
      <c r="AY1671" s="78"/>
      <c r="AZ1671" s="774"/>
      <c r="BA1671" s="774"/>
      <c r="BB1671" s="774"/>
      <c r="BC1671" s="774"/>
      <c r="BD1671" s="78"/>
      <c r="BE1671" s="774"/>
      <c r="BF1671" s="774"/>
      <c r="BG1671" s="774"/>
      <c r="BH1671" s="774"/>
      <c r="BI1671" s="1119">
        <v>0.41299999999999998</v>
      </c>
      <c r="BJ1671" s="774"/>
      <c r="BK1671" s="774"/>
      <c r="BL1671" s="774"/>
      <c r="BM1671" s="774"/>
      <c r="BN1671" s="78"/>
      <c r="BO1671" s="774"/>
      <c r="BP1671" s="774"/>
      <c r="BQ1671" s="774"/>
      <c r="BR1671" s="774"/>
      <c r="BS1671" s="78"/>
      <c r="BT1671" s="775"/>
      <c r="BU1671" s="774"/>
      <c r="BV1671" s="774"/>
      <c r="BW1671" s="774"/>
      <c r="BX1671" s="78"/>
      <c r="BY1671" s="774"/>
      <c r="BZ1671" s="774"/>
      <c r="CA1671" s="774"/>
      <c r="CB1671" s="774"/>
      <c r="CC1671" s="78"/>
      <c r="CD1671" s="78"/>
      <c r="CE1671" s="78"/>
      <c r="CF1671" s="78"/>
      <c r="CG1671" s="532"/>
    </row>
    <row r="1672" spans="1:85" s="615" customFormat="1" x14ac:dyDescent="0.3">
      <c r="A1672" s="522" t="s">
        <v>2105</v>
      </c>
      <c r="B1672" s="521"/>
      <c r="C1672" s="1122"/>
      <c r="D1672" s="1122"/>
      <c r="E1672" s="1122"/>
      <c r="F1672" s="1122"/>
      <c r="G1672" s="520"/>
      <c r="H1672" s="520"/>
      <c r="I1672" s="520"/>
      <c r="J1672" s="520"/>
      <c r="K1672" s="1122"/>
      <c r="L1672" s="520"/>
      <c r="M1672" s="520"/>
      <c r="N1672" s="520"/>
      <c r="O1672" s="520"/>
      <c r="P1672" s="1122"/>
      <c r="Q1672" s="520"/>
      <c r="R1672" s="520"/>
      <c r="S1672" s="520"/>
      <c r="T1672" s="520"/>
      <c r="U1672" s="1122"/>
      <c r="V1672" s="520"/>
      <c r="W1672" s="520"/>
      <c r="X1672" s="520"/>
      <c r="Y1672" s="520"/>
      <c r="Z1672" s="1122"/>
      <c r="AA1672" s="520"/>
      <c r="AB1672" s="520"/>
      <c r="AC1672" s="520"/>
      <c r="AD1672" s="520"/>
      <c r="AE1672" s="1122"/>
      <c r="AF1672" s="520"/>
      <c r="AG1672" s="520"/>
      <c r="AH1672" s="520"/>
      <c r="AI1672" s="520"/>
      <c r="AJ1672" s="1122"/>
      <c r="AK1672" s="520"/>
      <c r="AL1672" s="520"/>
      <c r="AM1672" s="520"/>
      <c r="AN1672" s="520"/>
      <c r="AO1672" s="1122"/>
      <c r="AP1672" s="520"/>
      <c r="AQ1672" s="520"/>
      <c r="AR1672" s="520"/>
      <c r="AS1672" s="520"/>
      <c r="AT1672" s="1124"/>
      <c r="AU1672" s="520"/>
      <c r="AV1672" s="520"/>
      <c r="AW1672" s="520"/>
      <c r="AX1672" s="520"/>
      <c r="AY1672" s="1124"/>
      <c r="AZ1672" s="520"/>
      <c r="BA1672" s="520"/>
      <c r="BB1672" s="520"/>
      <c r="BC1672" s="520"/>
      <c r="BD1672" s="1124"/>
      <c r="BE1672" s="520"/>
      <c r="BF1672" s="520"/>
      <c r="BG1672" s="520"/>
      <c r="BH1672" s="520"/>
      <c r="BI1672" s="1123">
        <v>403.13</v>
      </c>
      <c r="BJ1672" s="520"/>
      <c r="BK1672" s="520"/>
      <c r="BL1672" s="520"/>
      <c r="BM1672" s="520"/>
      <c r="BN1672" s="1124"/>
      <c r="BO1672" s="520"/>
      <c r="BP1672" s="520"/>
      <c r="BQ1672" s="520"/>
      <c r="BR1672" s="520"/>
      <c r="BS1672" s="1124"/>
      <c r="BT1672" s="728"/>
      <c r="BU1672" s="520"/>
      <c r="BV1672" s="520"/>
      <c r="BW1672" s="520"/>
      <c r="BX1672" s="1122"/>
      <c r="BY1672" s="520"/>
      <c r="BZ1672" s="520"/>
      <c r="CA1672" s="520"/>
      <c r="CB1672" s="520"/>
      <c r="CC1672" s="1122"/>
      <c r="CD1672" s="1122"/>
      <c r="CE1672" s="1122"/>
      <c r="CF1672" s="1122"/>
      <c r="CG1672" s="519"/>
    </row>
    <row r="1673" spans="1:85" s="614" customFormat="1" x14ac:dyDescent="0.3">
      <c r="A1673" s="116"/>
      <c r="B1673" s="352"/>
      <c r="C1673" s="1094"/>
      <c r="D1673" s="1094"/>
      <c r="E1673" s="1094"/>
      <c r="F1673" s="1094"/>
      <c r="G1673" s="197"/>
      <c r="H1673" s="197"/>
      <c r="I1673" s="197"/>
      <c r="J1673" s="197"/>
      <c r="K1673" s="1094"/>
      <c r="L1673" s="197"/>
      <c r="M1673" s="197"/>
      <c r="N1673" s="197"/>
      <c r="O1673" s="197"/>
      <c r="P1673" s="1094"/>
      <c r="Q1673" s="197"/>
      <c r="R1673" s="197"/>
      <c r="S1673" s="197"/>
      <c r="T1673" s="197"/>
      <c r="U1673" s="1094"/>
      <c r="V1673" s="197"/>
      <c r="W1673" s="197"/>
      <c r="X1673" s="197"/>
      <c r="Y1673" s="197"/>
      <c r="Z1673" s="1094"/>
      <c r="AA1673" s="197"/>
      <c r="AB1673" s="197"/>
      <c r="AC1673" s="197"/>
      <c r="AD1673" s="197"/>
      <c r="AE1673" s="1094"/>
      <c r="AF1673" s="197"/>
      <c r="AG1673" s="197"/>
      <c r="AH1673" s="197"/>
      <c r="AI1673" s="197"/>
      <c r="AJ1673" s="1094"/>
      <c r="AK1673" s="197"/>
      <c r="AL1673" s="197"/>
      <c r="AM1673" s="197"/>
      <c r="AN1673" s="197"/>
      <c r="AO1673" s="1094"/>
      <c r="AP1673" s="197"/>
      <c r="AQ1673" s="197"/>
      <c r="AR1673" s="197"/>
      <c r="AS1673" s="197"/>
      <c r="AT1673" s="198"/>
      <c r="AU1673" s="197"/>
      <c r="AV1673" s="197"/>
      <c r="AW1673" s="197"/>
      <c r="AX1673" s="197"/>
      <c r="AY1673" s="198"/>
      <c r="AZ1673" s="197"/>
      <c r="BA1673" s="197"/>
      <c r="BB1673" s="197"/>
      <c r="BC1673" s="197"/>
      <c r="BD1673" s="198"/>
      <c r="BE1673" s="197"/>
      <c r="BF1673" s="197"/>
      <c r="BG1673" s="197"/>
      <c r="BH1673" s="197"/>
      <c r="BI1673" s="1094"/>
      <c r="BJ1673" s="197"/>
      <c r="BK1673" s="197"/>
      <c r="BL1673" s="197"/>
      <c r="BM1673" s="197"/>
      <c r="BN1673" s="1094"/>
      <c r="BO1673" s="197"/>
      <c r="BP1673" s="197"/>
      <c r="BQ1673" s="197"/>
      <c r="BR1673" s="197"/>
      <c r="BS1673" s="1094"/>
      <c r="BT1673" s="727"/>
      <c r="BU1673" s="197"/>
      <c r="BV1673" s="197"/>
      <c r="BW1673" s="197"/>
      <c r="BX1673" s="1094"/>
      <c r="BY1673" s="197"/>
      <c r="BZ1673" s="197"/>
      <c r="CA1673" s="197"/>
      <c r="CB1673" s="197"/>
      <c r="CC1673" s="1094"/>
      <c r="CD1673" s="1094"/>
      <c r="CE1673" s="1094"/>
      <c r="CF1673" s="1094"/>
      <c r="CG1673" s="349"/>
    </row>
    <row r="1674" spans="1:85" s="613" customFormat="1" x14ac:dyDescent="0.3">
      <c r="A1674" s="478" t="s">
        <v>2106</v>
      </c>
      <c r="B1674" s="523"/>
      <c r="C1674" s="78"/>
      <c r="D1674" s="78"/>
      <c r="E1674" s="78"/>
      <c r="F1674" s="78"/>
      <c r="G1674" s="774"/>
      <c r="H1674" s="774"/>
      <c r="I1674" s="774"/>
      <c r="J1674" s="774"/>
      <c r="K1674" s="78"/>
      <c r="L1674" s="774"/>
      <c r="M1674" s="774"/>
      <c r="N1674" s="774"/>
      <c r="O1674" s="774"/>
      <c r="P1674" s="78"/>
      <c r="Q1674" s="774"/>
      <c r="R1674" s="774"/>
      <c r="S1674" s="774"/>
      <c r="T1674" s="774"/>
      <c r="U1674" s="78"/>
      <c r="V1674" s="774"/>
      <c r="W1674" s="774"/>
      <c r="X1674" s="774"/>
      <c r="Y1674" s="774"/>
      <c r="Z1674" s="78"/>
      <c r="AA1674" s="774"/>
      <c r="AB1674" s="774"/>
      <c r="AC1674" s="774"/>
      <c r="AD1674" s="774"/>
      <c r="AE1674" s="78"/>
      <c r="AF1674" s="774"/>
      <c r="AG1674" s="774"/>
      <c r="AH1674" s="774"/>
      <c r="AI1674" s="774"/>
      <c r="AJ1674" s="78"/>
      <c r="AK1674" s="774"/>
      <c r="AL1674" s="774"/>
      <c r="AM1674" s="774"/>
      <c r="AN1674" s="774"/>
      <c r="AO1674" s="78"/>
      <c r="AP1674" s="774"/>
      <c r="AQ1674" s="774"/>
      <c r="AR1674" s="774"/>
      <c r="AS1674" s="774"/>
      <c r="AT1674" s="78"/>
      <c r="AU1674" s="774"/>
      <c r="AV1674" s="774"/>
      <c r="AW1674" s="774"/>
      <c r="AX1674" s="774"/>
      <c r="AY1674" s="78"/>
      <c r="AZ1674" s="774"/>
      <c r="BA1674" s="774"/>
      <c r="BB1674" s="774"/>
      <c r="BC1674" s="774"/>
      <c r="BD1674" s="78"/>
      <c r="BE1674" s="774"/>
      <c r="BF1674" s="774"/>
      <c r="BG1674" s="774"/>
      <c r="BH1674" s="774"/>
      <c r="BI1674" s="1119">
        <v>0.378</v>
      </c>
      <c r="BJ1674" s="774"/>
      <c r="BK1674" s="774"/>
      <c r="BL1674" s="774"/>
      <c r="BM1674" s="774"/>
      <c r="BN1674" s="78"/>
      <c r="BO1674" s="774"/>
      <c r="BP1674" s="774"/>
      <c r="BQ1674" s="774"/>
      <c r="BR1674" s="774"/>
      <c r="BS1674" s="78"/>
      <c r="BT1674" s="775"/>
      <c r="BU1674" s="774"/>
      <c r="BV1674" s="774"/>
      <c r="BW1674" s="774"/>
      <c r="BX1674" s="78"/>
      <c r="BY1674" s="774"/>
      <c r="BZ1674" s="774"/>
      <c r="CA1674" s="774"/>
      <c r="CB1674" s="774"/>
      <c r="CC1674" s="78"/>
      <c r="CD1674" s="78"/>
      <c r="CE1674" s="78"/>
      <c r="CF1674" s="78"/>
      <c r="CG1674" s="532"/>
    </row>
    <row r="1675" spans="1:85" s="615" customFormat="1" x14ac:dyDescent="0.3">
      <c r="A1675" s="522" t="s">
        <v>2107</v>
      </c>
      <c r="B1675" s="521"/>
      <c r="C1675" s="1122"/>
      <c r="D1675" s="1122"/>
      <c r="E1675" s="1122"/>
      <c r="F1675" s="1122"/>
      <c r="G1675" s="520"/>
      <c r="H1675" s="520"/>
      <c r="I1675" s="520"/>
      <c r="J1675" s="520"/>
      <c r="K1675" s="1122"/>
      <c r="L1675" s="520"/>
      <c r="M1675" s="520"/>
      <c r="N1675" s="520"/>
      <c r="O1675" s="520"/>
      <c r="P1675" s="1122"/>
      <c r="Q1675" s="520"/>
      <c r="R1675" s="520"/>
      <c r="S1675" s="520"/>
      <c r="T1675" s="520"/>
      <c r="U1675" s="1122"/>
      <c r="V1675" s="520"/>
      <c r="W1675" s="520"/>
      <c r="X1675" s="520"/>
      <c r="Y1675" s="520"/>
      <c r="Z1675" s="1122"/>
      <c r="AA1675" s="520"/>
      <c r="AB1675" s="520"/>
      <c r="AC1675" s="520"/>
      <c r="AD1675" s="520"/>
      <c r="AE1675" s="1122"/>
      <c r="AF1675" s="520"/>
      <c r="AG1675" s="520"/>
      <c r="AH1675" s="520"/>
      <c r="AI1675" s="520"/>
      <c r="AJ1675" s="1122"/>
      <c r="AK1675" s="520"/>
      <c r="AL1675" s="520"/>
      <c r="AM1675" s="520"/>
      <c r="AN1675" s="520"/>
      <c r="AO1675" s="1122"/>
      <c r="AP1675" s="520"/>
      <c r="AQ1675" s="520"/>
      <c r="AR1675" s="520"/>
      <c r="AS1675" s="520"/>
      <c r="AT1675" s="1124"/>
      <c r="AU1675" s="520"/>
      <c r="AV1675" s="520"/>
      <c r="AW1675" s="520"/>
      <c r="AX1675" s="520"/>
      <c r="AY1675" s="1124"/>
      <c r="AZ1675" s="520"/>
      <c r="BA1675" s="520"/>
      <c r="BB1675" s="520"/>
      <c r="BC1675" s="520"/>
      <c r="BD1675" s="1124"/>
      <c r="BE1675" s="520"/>
      <c r="BF1675" s="520"/>
      <c r="BG1675" s="520"/>
      <c r="BH1675" s="520"/>
      <c r="BI1675" s="1123">
        <v>441.44</v>
      </c>
      <c r="BJ1675" s="520"/>
      <c r="BK1675" s="520"/>
      <c r="BL1675" s="520"/>
      <c r="BM1675" s="520"/>
      <c r="BN1675" s="1124"/>
      <c r="BO1675" s="520"/>
      <c r="BP1675" s="520"/>
      <c r="BQ1675" s="520"/>
      <c r="BR1675" s="520"/>
      <c r="BS1675" s="1124"/>
      <c r="BT1675" s="728"/>
      <c r="BU1675" s="520"/>
      <c r="BV1675" s="520"/>
      <c r="BW1675" s="520"/>
      <c r="BX1675" s="1122"/>
      <c r="BY1675" s="520"/>
      <c r="BZ1675" s="520"/>
      <c r="CA1675" s="520"/>
      <c r="CB1675" s="520"/>
      <c r="CC1675" s="1122"/>
      <c r="CD1675" s="1122"/>
      <c r="CE1675" s="1122"/>
      <c r="CF1675" s="1122"/>
      <c r="CG1675" s="519"/>
    </row>
    <row r="1676" spans="1:85" s="614" customFormat="1" x14ac:dyDescent="0.3">
      <c r="A1676" s="116"/>
      <c r="B1676" s="352"/>
      <c r="C1676" s="1094"/>
      <c r="D1676" s="1094"/>
      <c r="E1676" s="1094"/>
      <c r="F1676" s="1094"/>
      <c r="G1676" s="197"/>
      <c r="H1676" s="197"/>
      <c r="I1676" s="197"/>
      <c r="J1676" s="197"/>
      <c r="K1676" s="1094"/>
      <c r="L1676" s="197"/>
      <c r="M1676" s="197"/>
      <c r="N1676" s="197"/>
      <c r="O1676" s="197"/>
      <c r="P1676" s="1094"/>
      <c r="Q1676" s="197"/>
      <c r="R1676" s="197"/>
      <c r="S1676" s="197"/>
      <c r="T1676" s="197"/>
      <c r="U1676" s="1094"/>
      <c r="V1676" s="197"/>
      <c r="W1676" s="197"/>
      <c r="X1676" s="197"/>
      <c r="Y1676" s="197"/>
      <c r="Z1676" s="1094"/>
      <c r="AA1676" s="197"/>
      <c r="AB1676" s="197"/>
      <c r="AC1676" s="197"/>
      <c r="AD1676" s="197"/>
      <c r="AE1676" s="1094"/>
      <c r="AF1676" s="197"/>
      <c r="AG1676" s="197"/>
      <c r="AH1676" s="197"/>
      <c r="AI1676" s="197"/>
      <c r="AJ1676" s="1094"/>
      <c r="AK1676" s="197"/>
      <c r="AL1676" s="197"/>
      <c r="AM1676" s="197"/>
      <c r="AN1676" s="197"/>
      <c r="AO1676" s="1094"/>
      <c r="AP1676" s="197"/>
      <c r="AQ1676" s="197"/>
      <c r="AR1676" s="197"/>
      <c r="AS1676" s="197"/>
      <c r="AT1676" s="198"/>
      <c r="AU1676" s="197"/>
      <c r="AV1676" s="197"/>
      <c r="AW1676" s="197"/>
      <c r="AX1676" s="197"/>
      <c r="AY1676" s="198"/>
      <c r="AZ1676" s="197"/>
      <c r="BA1676" s="197"/>
      <c r="BB1676" s="197"/>
      <c r="BC1676" s="197"/>
      <c r="BD1676" s="198"/>
      <c r="BE1676" s="197"/>
      <c r="BF1676" s="197"/>
      <c r="BG1676" s="197"/>
      <c r="BH1676" s="197"/>
      <c r="BI1676" s="1094"/>
      <c r="BJ1676" s="197"/>
      <c r="BK1676" s="197"/>
      <c r="BL1676" s="197"/>
      <c r="BM1676" s="197"/>
      <c r="BN1676" s="1094"/>
      <c r="BO1676" s="197"/>
      <c r="BP1676" s="197"/>
      <c r="BQ1676" s="197"/>
      <c r="BR1676" s="197"/>
      <c r="BS1676" s="1094"/>
      <c r="BT1676" s="727"/>
      <c r="BU1676" s="197"/>
      <c r="BV1676" s="197"/>
      <c r="BW1676" s="197"/>
      <c r="BX1676" s="1094"/>
      <c r="BY1676" s="197"/>
      <c r="BZ1676" s="197"/>
      <c r="CA1676" s="197"/>
      <c r="CB1676" s="197"/>
      <c r="CC1676" s="1094"/>
      <c r="CD1676" s="1094"/>
      <c r="CE1676" s="1094"/>
      <c r="CF1676" s="1094"/>
      <c r="CG1676" s="349"/>
    </row>
    <row r="1677" spans="1:85" s="613" customFormat="1" x14ac:dyDescent="0.3">
      <c r="A1677" s="478" t="s">
        <v>1054</v>
      </c>
      <c r="B1677" s="523"/>
      <c r="C1677" s="78"/>
      <c r="D1677" s="78"/>
      <c r="E1677" s="78"/>
      <c r="F1677" s="78"/>
      <c r="G1677" s="774"/>
      <c r="H1677" s="774"/>
      <c r="I1677" s="774"/>
      <c r="J1677" s="774"/>
      <c r="K1677" s="78"/>
      <c r="L1677" s="774"/>
      <c r="M1677" s="774"/>
      <c r="N1677" s="774"/>
      <c r="O1677" s="774"/>
      <c r="P1677" s="78"/>
      <c r="Q1677" s="774"/>
      <c r="R1677" s="774"/>
      <c r="S1677" s="774"/>
      <c r="T1677" s="774"/>
      <c r="U1677" s="78"/>
      <c r="V1677" s="774"/>
      <c r="W1677" s="774"/>
      <c r="X1677" s="774"/>
      <c r="Y1677" s="774"/>
      <c r="Z1677" s="78"/>
      <c r="AA1677" s="774"/>
      <c r="AB1677" s="774"/>
      <c r="AC1677" s="774"/>
      <c r="AD1677" s="774"/>
      <c r="AE1677" s="78"/>
      <c r="AF1677" s="774"/>
      <c r="AG1677" s="774"/>
      <c r="AH1677" s="774"/>
      <c r="AI1677" s="774"/>
      <c r="AJ1677" s="78"/>
      <c r="AK1677" s="774"/>
      <c r="AL1677" s="774"/>
      <c r="AM1677" s="774"/>
      <c r="AN1677" s="774"/>
      <c r="AO1677" s="78"/>
      <c r="AP1677" s="774"/>
      <c r="AQ1677" s="774"/>
      <c r="AR1677" s="774"/>
      <c r="AS1677" s="774"/>
      <c r="AT1677" s="78"/>
      <c r="AU1677" s="774"/>
      <c r="AV1677" s="774"/>
      <c r="AW1677" s="774"/>
      <c r="AX1677" s="774"/>
      <c r="AY1677" s="78"/>
      <c r="AZ1677" s="774"/>
      <c r="BA1677" s="774"/>
      <c r="BB1677" s="774"/>
      <c r="BC1677" s="774"/>
      <c r="BD1677" s="78"/>
      <c r="BE1677" s="774"/>
      <c r="BF1677" s="774"/>
      <c r="BG1677" s="774"/>
      <c r="BH1677" s="774"/>
      <c r="BI1677" s="1119">
        <v>0.38</v>
      </c>
      <c r="BJ1677" s="774"/>
      <c r="BK1677" s="774"/>
      <c r="BL1677" s="774"/>
      <c r="BM1677" s="774"/>
      <c r="BN1677" s="78"/>
      <c r="BO1677" s="774"/>
      <c r="BP1677" s="774"/>
      <c r="BQ1677" s="774"/>
      <c r="BR1677" s="774"/>
      <c r="BS1677" s="78"/>
      <c r="BT1677" s="775"/>
      <c r="BU1677" s="774"/>
      <c r="BV1677" s="774"/>
      <c r="BW1677" s="774"/>
      <c r="BX1677" s="78"/>
      <c r="BY1677" s="774"/>
      <c r="BZ1677" s="774"/>
      <c r="CA1677" s="774"/>
      <c r="CB1677" s="774"/>
      <c r="CC1677" s="78"/>
      <c r="CD1677" s="78"/>
      <c r="CE1677" s="78"/>
      <c r="CF1677" s="78"/>
      <c r="CG1677" s="532"/>
    </row>
    <row r="1678" spans="1:85" s="615" customFormat="1" x14ac:dyDescent="0.3">
      <c r="A1678" s="522" t="s">
        <v>2108</v>
      </c>
      <c r="B1678" s="521"/>
      <c r="C1678" s="1122"/>
      <c r="D1678" s="1122"/>
      <c r="E1678" s="1122"/>
      <c r="F1678" s="1122"/>
      <c r="G1678" s="520"/>
      <c r="H1678" s="520"/>
      <c r="I1678" s="520"/>
      <c r="J1678" s="520"/>
      <c r="K1678" s="1122"/>
      <c r="L1678" s="520"/>
      <c r="M1678" s="520"/>
      <c r="N1678" s="520"/>
      <c r="O1678" s="520"/>
      <c r="P1678" s="1122"/>
      <c r="Q1678" s="520"/>
      <c r="R1678" s="520"/>
      <c r="S1678" s="520"/>
      <c r="T1678" s="520"/>
      <c r="U1678" s="1122"/>
      <c r="V1678" s="520"/>
      <c r="W1678" s="520"/>
      <c r="X1678" s="520"/>
      <c r="Y1678" s="520"/>
      <c r="Z1678" s="1122"/>
      <c r="AA1678" s="520"/>
      <c r="AB1678" s="520"/>
      <c r="AC1678" s="520"/>
      <c r="AD1678" s="520"/>
      <c r="AE1678" s="1122"/>
      <c r="AF1678" s="520"/>
      <c r="AG1678" s="520"/>
      <c r="AH1678" s="520"/>
      <c r="AI1678" s="520"/>
      <c r="AJ1678" s="1122"/>
      <c r="AK1678" s="520"/>
      <c r="AL1678" s="520"/>
      <c r="AM1678" s="520"/>
      <c r="AN1678" s="520"/>
      <c r="AO1678" s="1122"/>
      <c r="AP1678" s="520"/>
      <c r="AQ1678" s="520"/>
      <c r="AR1678" s="520"/>
      <c r="AS1678" s="520"/>
      <c r="AT1678" s="1124"/>
      <c r="AU1678" s="520"/>
      <c r="AV1678" s="520"/>
      <c r="AW1678" s="520"/>
      <c r="AX1678" s="520"/>
      <c r="AY1678" s="1124"/>
      <c r="AZ1678" s="520"/>
      <c r="BA1678" s="520"/>
      <c r="BB1678" s="520"/>
      <c r="BC1678" s="520"/>
      <c r="BD1678" s="1124"/>
      <c r="BE1678" s="520"/>
      <c r="BF1678" s="520"/>
      <c r="BG1678" s="520"/>
      <c r="BH1678" s="520"/>
      <c r="BI1678" s="1123">
        <v>438.62</v>
      </c>
      <c r="BJ1678" s="520"/>
      <c r="BK1678" s="520"/>
      <c r="BL1678" s="520"/>
      <c r="BM1678" s="520"/>
      <c r="BN1678" s="1124"/>
      <c r="BO1678" s="520"/>
      <c r="BP1678" s="520"/>
      <c r="BQ1678" s="520"/>
      <c r="BR1678" s="520"/>
      <c r="BS1678" s="1124"/>
      <c r="BT1678" s="728"/>
      <c r="BU1678" s="520"/>
      <c r="BV1678" s="520"/>
      <c r="BW1678" s="520"/>
      <c r="BX1678" s="1122"/>
      <c r="BY1678" s="520"/>
      <c r="BZ1678" s="520"/>
      <c r="CA1678" s="520"/>
      <c r="CB1678" s="520"/>
      <c r="CC1678" s="1122"/>
      <c r="CD1678" s="1122"/>
      <c r="CE1678" s="1122"/>
      <c r="CF1678" s="1122"/>
      <c r="CG1678" s="519"/>
    </row>
    <row r="1679" spans="1:85" s="614" customFormat="1" x14ac:dyDescent="0.3">
      <c r="A1679" s="116"/>
      <c r="B1679" s="352"/>
      <c r="C1679" s="1094"/>
      <c r="D1679" s="1094"/>
      <c r="E1679" s="1094"/>
      <c r="F1679" s="1094"/>
      <c r="G1679" s="197"/>
      <c r="H1679" s="197"/>
      <c r="I1679" s="197"/>
      <c r="J1679" s="197"/>
      <c r="K1679" s="1094"/>
      <c r="L1679" s="197"/>
      <c r="M1679" s="197"/>
      <c r="N1679" s="197"/>
      <c r="O1679" s="197"/>
      <c r="P1679" s="1094"/>
      <c r="Q1679" s="197"/>
      <c r="R1679" s="197"/>
      <c r="S1679" s="197"/>
      <c r="T1679" s="197"/>
      <c r="U1679" s="1094"/>
      <c r="V1679" s="197"/>
      <c r="W1679" s="197"/>
      <c r="X1679" s="197"/>
      <c r="Y1679" s="197"/>
      <c r="Z1679" s="1094"/>
      <c r="AA1679" s="197"/>
      <c r="AB1679" s="197"/>
      <c r="AC1679" s="197"/>
      <c r="AD1679" s="197"/>
      <c r="AE1679" s="1094"/>
      <c r="AF1679" s="197"/>
      <c r="AG1679" s="197"/>
      <c r="AH1679" s="197"/>
      <c r="AI1679" s="197"/>
      <c r="AJ1679" s="1094"/>
      <c r="AK1679" s="197"/>
      <c r="AL1679" s="197"/>
      <c r="AM1679" s="197"/>
      <c r="AN1679" s="197"/>
      <c r="AO1679" s="1094"/>
      <c r="AP1679" s="197"/>
      <c r="AQ1679" s="197"/>
      <c r="AR1679" s="197"/>
      <c r="AS1679" s="197"/>
      <c r="AT1679" s="198"/>
      <c r="AU1679" s="197"/>
      <c r="AV1679" s="197"/>
      <c r="AW1679" s="197"/>
      <c r="AX1679" s="197"/>
      <c r="AY1679" s="198"/>
      <c r="AZ1679" s="197"/>
      <c r="BA1679" s="197"/>
      <c r="BB1679" s="197"/>
      <c r="BC1679" s="197"/>
      <c r="BD1679" s="198"/>
      <c r="BE1679" s="197"/>
      <c r="BF1679" s="197"/>
      <c r="BG1679" s="197"/>
      <c r="BH1679" s="197"/>
      <c r="BI1679" s="1094"/>
      <c r="BJ1679" s="197"/>
      <c r="BK1679" s="197"/>
      <c r="BL1679" s="197"/>
      <c r="BM1679" s="197"/>
      <c r="BN1679" s="1094"/>
      <c r="BO1679" s="197"/>
      <c r="BP1679" s="197"/>
      <c r="BQ1679" s="197"/>
      <c r="BR1679" s="197"/>
      <c r="BS1679" s="1094"/>
      <c r="BT1679" s="727"/>
      <c r="BU1679" s="197"/>
      <c r="BV1679" s="197"/>
      <c r="BW1679" s="197"/>
      <c r="BX1679" s="1094"/>
      <c r="BY1679" s="197"/>
      <c r="BZ1679" s="197"/>
      <c r="CA1679" s="197"/>
      <c r="CB1679" s="197"/>
      <c r="CC1679" s="1094"/>
      <c r="CD1679" s="1094"/>
      <c r="CE1679" s="1094"/>
      <c r="CF1679" s="1094"/>
      <c r="CG1679" s="349"/>
    </row>
    <row r="1680" spans="1:85" s="613" customFormat="1" x14ac:dyDescent="0.3">
      <c r="A1680" s="478" t="s">
        <v>2109</v>
      </c>
      <c r="B1680" s="523"/>
      <c r="C1680" s="78"/>
      <c r="D1680" s="78"/>
      <c r="E1680" s="78"/>
      <c r="F1680" s="78"/>
      <c r="G1680" s="774"/>
      <c r="H1680" s="774"/>
      <c r="I1680" s="774"/>
      <c r="J1680" s="774"/>
      <c r="K1680" s="78"/>
      <c r="L1680" s="774"/>
      <c r="M1680" s="774"/>
      <c r="N1680" s="774"/>
      <c r="O1680" s="774"/>
      <c r="P1680" s="78"/>
      <c r="Q1680" s="774"/>
      <c r="R1680" s="774"/>
      <c r="S1680" s="774"/>
      <c r="T1680" s="774"/>
      <c r="U1680" s="78"/>
      <c r="V1680" s="774"/>
      <c r="W1680" s="774"/>
      <c r="X1680" s="774"/>
      <c r="Y1680" s="774"/>
      <c r="Z1680" s="78"/>
      <c r="AA1680" s="774"/>
      <c r="AB1680" s="774"/>
      <c r="AC1680" s="774"/>
      <c r="AD1680" s="774"/>
      <c r="AE1680" s="78"/>
      <c r="AF1680" s="774"/>
      <c r="AG1680" s="774"/>
      <c r="AH1680" s="774"/>
      <c r="AI1680" s="774"/>
      <c r="AJ1680" s="78"/>
      <c r="AK1680" s="774"/>
      <c r="AL1680" s="774"/>
      <c r="AM1680" s="774"/>
      <c r="AN1680" s="774"/>
      <c r="AO1680" s="78"/>
      <c r="AP1680" s="774"/>
      <c r="AQ1680" s="774"/>
      <c r="AR1680" s="774"/>
      <c r="AS1680" s="774"/>
      <c r="AT1680" s="78"/>
      <c r="AU1680" s="774"/>
      <c r="AV1680" s="774"/>
      <c r="AW1680" s="774"/>
      <c r="AX1680" s="774"/>
      <c r="AY1680" s="78"/>
      <c r="AZ1680" s="774"/>
      <c r="BA1680" s="774"/>
      <c r="BB1680" s="774"/>
      <c r="BC1680" s="774"/>
      <c r="BD1680" s="78"/>
      <c r="BE1680" s="774"/>
      <c r="BF1680" s="774"/>
      <c r="BG1680" s="774"/>
      <c r="BH1680" s="774"/>
      <c r="BI1680" s="1119">
        <v>0.379</v>
      </c>
      <c r="BJ1680" s="774"/>
      <c r="BK1680" s="774"/>
      <c r="BL1680" s="774"/>
      <c r="BM1680" s="774"/>
      <c r="BN1680" s="78"/>
      <c r="BO1680" s="774"/>
      <c r="BP1680" s="774"/>
      <c r="BQ1680" s="774"/>
      <c r="BR1680" s="774"/>
      <c r="BS1680" s="78"/>
      <c r="BT1680" s="775"/>
      <c r="BU1680" s="774"/>
      <c r="BV1680" s="774"/>
      <c r="BW1680" s="774"/>
      <c r="BX1680" s="78"/>
      <c r="BY1680" s="774"/>
      <c r="BZ1680" s="774"/>
      <c r="CA1680" s="774"/>
      <c r="CB1680" s="774"/>
      <c r="CC1680" s="78"/>
      <c r="CD1680" s="78"/>
      <c r="CE1680" s="78"/>
      <c r="CF1680" s="78"/>
      <c r="CG1680" s="532"/>
    </row>
    <row r="1681" spans="1:85" s="615" customFormat="1" x14ac:dyDescent="0.3">
      <c r="A1681" s="522" t="s">
        <v>2110</v>
      </c>
      <c r="B1681" s="521"/>
      <c r="C1681" s="1122"/>
      <c r="D1681" s="1122"/>
      <c r="E1681" s="1122"/>
      <c r="F1681" s="1122"/>
      <c r="G1681" s="520"/>
      <c r="H1681" s="520"/>
      <c r="I1681" s="520"/>
      <c r="J1681" s="520"/>
      <c r="K1681" s="1122"/>
      <c r="L1681" s="520"/>
      <c r="M1681" s="520"/>
      <c r="N1681" s="520"/>
      <c r="O1681" s="520"/>
      <c r="P1681" s="1122"/>
      <c r="Q1681" s="520"/>
      <c r="R1681" s="520"/>
      <c r="S1681" s="520"/>
      <c r="T1681" s="520"/>
      <c r="U1681" s="1122"/>
      <c r="V1681" s="520"/>
      <c r="W1681" s="520"/>
      <c r="X1681" s="520"/>
      <c r="Y1681" s="520"/>
      <c r="Z1681" s="1122"/>
      <c r="AA1681" s="520"/>
      <c r="AB1681" s="520"/>
      <c r="AC1681" s="520"/>
      <c r="AD1681" s="520"/>
      <c r="AE1681" s="1122"/>
      <c r="AF1681" s="520"/>
      <c r="AG1681" s="520"/>
      <c r="AH1681" s="520"/>
      <c r="AI1681" s="520"/>
      <c r="AJ1681" s="1122"/>
      <c r="AK1681" s="520"/>
      <c r="AL1681" s="520"/>
      <c r="AM1681" s="520"/>
      <c r="AN1681" s="520"/>
      <c r="AO1681" s="1122"/>
      <c r="AP1681" s="520"/>
      <c r="AQ1681" s="520"/>
      <c r="AR1681" s="520"/>
      <c r="AS1681" s="520"/>
      <c r="AT1681" s="1124"/>
      <c r="AU1681" s="520"/>
      <c r="AV1681" s="520"/>
      <c r="AW1681" s="520"/>
      <c r="AX1681" s="520"/>
      <c r="AY1681" s="1124"/>
      <c r="AZ1681" s="520"/>
      <c r="BA1681" s="520"/>
      <c r="BB1681" s="520"/>
      <c r="BC1681" s="520"/>
      <c r="BD1681" s="1124"/>
      <c r="BE1681" s="520"/>
      <c r="BF1681" s="520"/>
      <c r="BG1681" s="520"/>
      <c r="BH1681" s="520"/>
      <c r="BI1681" s="1123">
        <v>439.88</v>
      </c>
      <c r="BJ1681" s="520"/>
      <c r="BK1681" s="520"/>
      <c r="BL1681" s="520"/>
      <c r="BM1681" s="520"/>
      <c r="BN1681" s="1124"/>
      <c r="BO1681" s="520"/>
      <c r="BP1681" s="520"/>
      <c r="BQ1681" s="520"/>
      <c r="BR1681" s="520"/>
      <c r="BS1681" s="1124"/>
      <c r="BT1681" s="728"/>
      <c r="BU1681" s="520"/>
      <c r="BV1681" s="520"/>
      <c r="BW1681" s="520"/>
      <c r="BX1681" s="1122"/>
      <c r="BY1681" s="520"/>
      <c r="BZ1681" s="520"/>
      <c r="CA1681" s="520"/>
      <c r="CB1681" s="520"/>
      <c r="CC1681" s="1122"/>
      <c r="CD1681" s="1122"/>
      <c r="CE1681" s="1122"/>
      <c r="CF1681" s="1122"/>
      <c r="CG1681" s="519"/>
    </row>
    <row r="1682" spans="1:85" s="614" customFormat="1" x14ac:dyDescent="0.3">
      <c r="A1682" s="116"/>
      <c r="B1682" s="352"/>
      <c r="C1682" s="1094"/>
      <c r="D1682" s="1094"/>
      <c r="E1682" s="1094"/>
      <c r="F1682" s="1094"/>
      <c r="G1682" s="197"/>
      <c r="H1682" s="197"/>
      <c r="I1682" s="197"/>
      <c r="J1682" s="197"/>
      <c r="K1682" s="1094"/>
      <c r="L1682" s="197"/>
      <c r="M1682" s="197"/>
      <c r="N1682" s="197"/>
      <c r="O1682" s="197"/>
      <c r="P1682" s="1094"/>
      <c r="Q1682" s="197"/>
      <c r="R1682" s="197"/>
      <c r="S1682" s="197"/>
      <c r="T1682" s="197"/>
      <c r="U1682" s="1094"/>
      <c r="V1682" s="197"/>
      <c r="W1682" s="197"/>
      <c r="X1682" s="197"/>
      <c r="Y1682" s="197"/>
      <c r="Z1682" s="1094"/>
      <c r="AA1682" s="197"/>
      <c r="AB1682" s="197"/>
      <c r="AC1682" s="197"/>
      <c r="AD1682" s="197"/>
      <c r="AE1682" s="1094"/>
      <c r="AF1682" s="197"/>
      <c r="AG1682" s="197"/>
      <c r="AH1682" s="197"/>
      <c r="AI1682" s="197"/>
      <c r="AJ1682" s="1094"/>
      <c r="AK1682" s="197"/>
      <c r="AL1682" s="197"/>
      <c r="AM1682" s="197"/>
      <c r="AN1682" s="197"/>
      <c r="AO1682" s="1094"/>
      <c r="AP1682" s="197"/>
      <c r="AQ1682" s="197"/>
      <c r="AR1682" s="197"/>
      <c r="AS1682" s="197"/>
      <c r="AT1682" s="198"/>
      <c r="AU1682" s="197"/>
      <c r="AV1682" s="197"/>
      <c r="AW1682" s="197"/>
      <c r="AX1682" s="197"/>
      <c r="AY1682" s="198"/>
      <c r="AZ1682" s="197"/>
      <c r="BA1682" s="197"/>
      <c r="BB1682" s="197"/>
      <c r="BC1682" s="197"/>
      <c r="BD1682" s="198"/>
      <c r="BE1682" s="197"/>
      <c r="BF1682" s="197"/>
      <c r="BG1682" s="197"/>
      <c r="BH1682" s="197"/>
      <c r="BI1682" s="1094"/>
      <c r="BJ1682" s="197"/>
      <c r="BK1682" s="197"/>
      <c r="BL1682" s="197"/>
      <c r="BM1682" s="197"/>
      <c r="BN1682" s="1094"/>
      <c r="BO1682" s="197"/>
      <c r="BP1682" s="197"/>
      <c r="BQ1682" s="197"/>
      <c r="BR1682" s="197"/>
      <c r="BS1682" s="1094"/>
      <c r="BT1682" s="727"/>
      <c r="BU1682" s="197"/>
      <c r="BV1682" s="197"/>
      <c r="BW1682" s="197"/>
      <c r="BX1682" s="1094"/>
      <c r="BY1682" s="197"/>
      <c r="BZ1682" s="197"/>
      <c r="CA1682" s="197"/>
      <c r="CB1682" s="197"/>
      <c r="CC1682" s="1094"/>
      <c r="CD1682" s="1094"/>
      <c r="CE1682" s="1094"/>
      <c r="CF1682" s="1094"/>
      <c r="CG1682" s="349"/>
    </row>
    <row r="1683" spans="1:85" s="613" customFormat="1" x14ac:dyDescent="0.3">
      <c r="A1683" s="478" t="s">
        <v>2111</v>
      </c>
      <c r="B1683" s="523"/>
      <c r="C1683" s="78"/>
      <c r="D1683" s="78"/>
      <c r="E1683" s="78"/>
      <c r="F1683" s="78"/>
      <c r="G1683" s="774"/>
      <c r="H1683" s="774"/>
      <c r="I1683" s="774"/>
      <c r="J1683" s="774"/>
      <c r="K1683" s="78"/>
      <c r="L1683" s="774"/>
      <c r="M1683" s="774"/>
      <c r="N1683" s="774"/>
      <c r="O1683" s="774"/>
      <c r="P1683" s="78"/>
      <c r="Q1683" s="774"/>
      <c r="R1683" s="774"/>
      <c r="S1683" s="774"/>
      <c r="T1683" s="774"/>
      <c r="U1683" s="78"/>
      <c r="V1683" s="774"/>
      <c r="W1683" s="774"/>
      <c r="X1683" s="774"/>
      <c r="Y1683" s="774"/>
      <c r="Z1683" s="78"/>
      <c r="AA1683" s="774"/>
      <c r="AB1683" s="774"/>
      <c r="AC1683" s="774"/>
      <c r="AD1683" s="774"/>
      <c r="AE1683" s="78"/>
      <c r="AF1683" s="774"/>
      <c r="AG1683" s="774"/>
      <c r="AH1683" s="774"/>
      <c r="AI1683" s="774"/>
      <c r="AJ1683" s="78"/>
      <c r="AK1683" s="774"/>
      <c r="AL1683" s="774"/>
      <c r="AM1683" s="774"/>
      <c r="AN1683" s="774"/>
      <c r="AO1683" s="78"/>
      <c r="AP1683" s="774"/>
      <c r="AQ1683" s="774"/>
      <c r="AR1683" s="774"/>
      <c r="AS1683" s="774"/>
      <c r="AT1683" s="78"/>
      <c r="AU1683" s="774"/>
      <c r="AV1683" s="774"/>
      <c r="AW1683" s="774"/>
      <c r="AX1683" s="774"/>
      <c r="AY1683" s="78"/>
      <c r="AZ1683" s="774"/>
      <c r="BA1683" s="774"/>
      <c r="BB1683" s="774"/>
      <c r="BC1683" s="774"/>
      <c r="BD1683" s="78"/>
      <c r="BE1683" s="774"/>
      <c r="BF1683" s="774"/>
      <c r="BG1683" s="774"/>
      <c r="BH1683" s="774"/>
      <c r="BI1683" s="1119">
        <v>0.438</v>
      </c>
      <c r="BJ1683" s="774"/>
      <c r="BK1683" s="774"/>
      <c r="BL1683" s="774"/>
      <c r="BM1683" s="774"/>
      <c r="BN1683" s="78"/>
      <c r="BO1683" s="774"/>
      <c r="BP1683" s="774"/>
      <c r="BQ1683" s="774"/>
      <c r="BR1683" s="774"/>
      <c r="BS1683" s="78"/>
      <c r="BT1683" s="775"/>
      <c r="BU1683" s="774"/>
      <c r="BV1683" s="774"/>
      <c r="BW1683" s="774"/>
      <c r="BX1683" s="78"/>
      <c r="BY1683" s="774"/>
      <c r="BZ1683" s="774"/>
      <c r="CA1683" s="774"/>
      <c r="CB1683" s="774"/>
      <c r="CC1683" s="78"/>
      <c r="CD1683" s="78"/>
      <c r="CE1683" s="78"/>
      <c r="CF1683" s="78"/>
      <c r="CG1683" s="532"/>
    </row>
    <row r="1684" spans="1:85" s="615" customFormat="1" x14ac:dyDescent="0.3">
      <c r="A1684" s="522" t="s">
        <v>2112</v>
      </c>
      <c r="B1684" s="521"/>
      <c r="C1684" s="1122"/>
      <c r="D1684" s="1122"/>
      <c r="E1684" s="1122"/>
      <c r="F1684" s="1122"/>
      <c r="G1684" s="520"/>
      <c r="H1684" s="520"/>
      <c r="I1684" s="520"/>
      <c r="J1684" s="520"/>
      <c r="K1684" s="1122"/>
      <c r="L1684" s="520"/>
      <c r="M1684" s="520"/>
      <c r="N1684" s="520"/>
      <c r="O1684" s="520"/>
      <c r="P1684" s="1122"/>
      <c r="Q1684" s="520"/>
      <c r="R1684" s="520"/>
      <c r="S1684" s="520"/>
      <c r="T1684" s="520"/>
      <c r="U1684" s="1122"/>
      <c r="V1684" s="520"/>
      <c r="W1684" s="520"/>
      <c r="X1684" s="520"/>
      <c r="Y1684" s="520"/>
      <c r="Z1684" s="1122"/>
      <c r="AA1684" s="520"/>
      <c r="AB1684" s="520"/>
      <c r="AC1684" s="520"/>
      <c r="AD1684" s="520"/>
      <c r="AE1684" s="1122"/>
      <c r="AF1684" s="520"/>
      <c r="AG1684" s="520"/>
      <c r="AH1684" s="520"/>
      <c r="AI1684" s="520"/>
      <c r="AJ1684" s="1122"/>
      <c r="AK1684" s="520"/>
      <c r="AL1684" s="520"/>
      <c r="AM1684" s="520"/>
      <c r="AN1684" s="520"/>
      <c r="AO1684" s="1122"/>
      <c r="AP1684" s="520"/>
      <c r="AQ1684" s="520"/>
      <c r="AR1684" s="520"/>
      <c r="AS1684" s="520"/>
      <c r="AT1684" s="1124"/>
      <c r="AU1684" s="520"/>
      <c r="AV1684" s="520"/>
      <c r="AW1684" s="520"/>
      <c r="AX1684" s="520"/>
      <c r="AY1684" s="1124"/>
      <c r="AZ1684" s="520"/>
      <c r="BA1684" s="520"/>
      <c r="BB1684" s="520"/>
      <c r="BC1684" s="520"/>
      <c r="BD1684" s="1124"/>
      <c r="BE1684" s="520"/>
      <c r="BF1684" s="520"/>
      <c r="BG1684" s="520"/>
      <c r="BH1684" s="520"/>
      <c r="BI1684" s="1123">
        <v>380.33</v>
      </c>
      <c r="BJ1684" s="520"/>
      <c r="BK1684" s="520"/>
      <c r="BL1684" s="520"/>
      <c r="BM1684" s="520"/>
      <c r="BN1684" s="1124"/>
      <c r="BO1684" s="520"/>
      <c r="BP1684" s="520"/>
      <c r="BQ1684" s="520"/>
      <c r="BR1684" s="520"/>
      <c r="BS1684" s="1124"/>
      <c r="BT1684" s="728"/>
      <c r="BU1684" s="520"/>
      <c r="BV1684" s="520"/>
      <c r="BW1684" s="520"/>
      <c r="BX1684" s="1122"/>
      <c r="BY1684" s="520"/>
      <c r="BZ1684" s="520"/>
      <c r="CA1684" s="520"/>
      <c r="CB1684" s="520"/>
      <c r="CC1684" s="1122"/>
      <c r="CD1684" s="1122"/>
      <c r="CE1684" s="1122"/>
      <c r="CF1684" s="1122"/>
      <c r="CG1684" s="519"/>
    </row>
    <row r="1685" spans="1:85" s="614" customFormat="1" x14ac:dyDescent="0.3">
      <c r="A1685" s="116"/>
      <c r="B1685" s="352"/>
      <c r="C1685" s="1094"/>
      <c r="D1685" s="1094"/>
      <c r="E1685" s="1094"/>
      <c r="F1685" s="1094"/>
      <c r="G1685" s="197"/>
      <c r="H1685" s="197"/>
      <c r="I1685" s="197"/>
      <c r="J1685" s="197"/>
      <c r="K1685" s="1094"/>
      <c r="L1685" s="197"/>
      <c r="M1685" s="197"/>
      <c r="N1685" s="197"/>
      <c r="O1685" s="197"/>
      <c r="P1685" s="1094"/>
      <c r="Q1685" s="197"/>
      <c r="R1685" s="197"/>
      <c r="S1685" s="197"/>
      <c r="T1685" s="197"/>
      <c r="U1685" s="1094"/>
      <c r="V1685" s="197"/>
      <c r="W1685" s="197"/>
      <c r="X1685" s="197"/>
      <c r="Y1685" s="197"/>
      <c r="Z1685" s="1094"/>
      <c r="AA1685" s="197"/>
      <c r="AB1685" s="197"/>
      <c r="AC1685" s="197"/>
      <c r="AD1685" s="197"/>
      <c r="AE1685" s="1094"/>
      <c r="AF1685" s="197"/>
      <c r="AG1685" s="197"/>
      <c r="AH1685" s="197"/>
      <c r="AI1685" s="197"/>
      <c r="AJ1685" s="1094"/>
      <c r="AK1685" s="197"/>
      <c r="AL1685" s="197"/>
      <c r="AM1685" s="197"/>
      <c r="AN1685" s="197"/>
      <c r="AO1685" s="1094"/>
      <c r="AP1685" s="197"/>
      <c r="AQ1685" s="197"/>
      <c r="AR1685" s="197"/>
      <c r="AS1685" s="197"/>
      <c r="AT1685" s="198"/>
      <c r="AU1685" s="197"/>
      <c r="AV1685" s="197"/>
      <c r="AW1685" s="197"/>
      <c r="AX1685" s="197"/>
      <c r="AY1685" s="198"/>
      <c r="AZ1685" s="197"/>
      <c r="BA1685" s="197"/>
      <c r="BB1685" s="197"/>
      <c r="BC1685" s="197"/>
      <c r="BD1685" s="198"/>
      <c r="BE1685" s="197"/>
      <c r="BF1685" s="197"/>
      <c r="BG1685" s="197"/>
      <c r="BH1685" s="197"/>
      <c r="BI1685" s="1094"/>
      <c r="BJ1685" s="197"/>
      <c r="BK1685" s="197"/>
      <c r="BL1685" s="197"/>
      <c r="BM1685" s="197"/>
      <c r="BN1685" s="1094"/>
      <c r="BO1685" s="197"/>
      <c r="BP1685" s="197"/>
      <c r="BQ1685" s="197"/>
      <c r="BR1685" s="197"/>
      <c r="BS1685" s="1094"/>
      <c r="BT1685" s="727"/>
      <c r="BU1685" s="197"/>
      <c r="BV1685" s="197"/>
      <c r="BW1685" s="197"/>
      <c r="BX1685" s="1094"/>
      <c r="BY1685" s="197"/>
      <c r="BZ1685" s="197"/>
      <c r="CA1685" s="197"/>
      <c r="CB1685" s="197"/>
      <c r="CC1685" s="1094"/>
      <c r="CD1685" s="1094"/>
      <c r="CE1685" s="1094"/>
      <c r="CF1685" s="1094"/>
      <c r="CG1685" s="349"/>
    </row>
    <row r="1686" spans="1:85" s="613" customFormat="1" x14ac:dyDescent="0.3">
      <c r="A1686" s="478" t="s">
        <v>1048</v>
      </c>
      <c r="B1686" s="523"/>
      <c r="C1686" s="78"/>
      <c r="D1686" s="78"/>
      <c r="E1686" s="78"/>
      <c r="F1686" s="78"/>
      <c r="G1686" s="774"/>
      <c r="H1686" s="774"/>
      <c r="I1686" s="774"/>
      <c r="J1686" s="774"/>
      <c r="K1686" s="78"/>
      <c r="L1686" s="774"/>
      <c r="M1686" s="774"/>
      <c r="N1686" s="774"/>
      <c r="O1686" s="774"/>
      <c r="P1686" s="78"/>
      <c r="Q1686" s="774"/>
      <c r="R1686" s="774"/>
      <c r="S1686" s="774"/>
      <c r="T1686" s="774"/>
      <c r="U1686" s="78"/>
      <c r="V1686" s="774"/>
      <c r="W1686" s="774"/>
      <c r="X1686" s="774"/>
      <c r="Y1686" s="774"/>
      <c r="Z1686" s="78"/>
      <c r="AA1686" s="774"/>
      <c r="AB1686" s="774"/>
      <c r="AC1686" s="774"/>
      <c r="AD1686" s="774"/>
      <c r="AE1686" s="78"/>
      <c r="AF1686" s="774"/>
      <c r="AG1686" s="774"/>
      <c r="AH1686" s="774"/>
      <c r="AI1686" s="774"/>
      <c r="AJ1686" s="78"/>
      <c r="AK1686" s="774"/>
      <c r="AL1686" s="774"/>
      <c r="AM1686" s="774"/>
      <c r="AN1686" s="774"/>
      <c r="AO1686" s="78"/>
      <c r="AP1686" s="774"/>
      <c r="AQ1686" s="774"/>
      <c r="AR1686" s="774"/>
      <c r="AS1686" s="774"/>
      <c r="AT1686" s="78"/>
      <c r="AU1686" s="774"/>
      <c r="AV1686" s="774"/>
      <c r="AW1686" s="774"/>
      <c r="AX1686" s="774"/>
      <c r="AY1686" s="78"/>
      <c r="AZ1686" s="774"/>
      <c r="BA1686" s="774"/>
      <c r="BB1686" s="774"/>
      <c r="BC1686" s="774"/>
      <c r="BD1686" s="78"/>
      <c r="BE1686" s="774"/>
      <c r="BF1686" s="774"/>
      <c r="BG1686" s="774"/>
      <c r="BH1686" s="774"/>
      <c r="BI1686" s="1119">
        <v>0.39600000000000002</v>
      </c>
      <c r="BJ1686" s="774"/>
      <c r="BK1686" s="774"/>
      <c r="BL1686" s="774"/>
      <c r="BM1686" s="774"/>
      <c r="BN1686" s="78"/>
      <c r="BO1686" s="774"/>
      <c r="BP1686" s="774"/>
      <c r="BQ1686" s="774"/>
      <c r="BR1686" s="774"/>
      <c r="BS1686" s="78"/>
      <c r="BT1686" s="775"/>
      <c r="BU1686" s="774"/>
      <c r="BV1686" s="774"/>
      <c r="BW1686" s="774"/>
      <c r="BX1686" s="78"/>
      <c r="BY1686" s="774"/>
      <c r="BZ1686" s="774"/>
      <c r="CA1686" s="774"/>
      <c r="CB1686" s="774"/>
      <c r="CC1686" s="78"/>
      <c r="CD1686" s="78"/>
      <c r="CE1686" s="78"/>
      <c r="CF1686" s="78"/>
      <c r="CG1686" s="532"/>
    </row>
    <row r="1687" spans="1:85" s="615" customFormat="1" x14ac:dyDescent="0.3">
      <c r="A1687" s="522" t="s">
        <v>1047</v>
      </c>
      <c r="B1687" s="521"/>
      <c r="C1687" s="1122"/>
      <c r="D1687" s="1122"/>
      <c r="E1687" s="1122"/>
      <c r="F1687" s="1122"/>
      <c r="G1687" s="520"/>
      <c r="H1687" s="520"/>
      <c r="I1687" s="520"/>
      <c r="J1687" s="520"/>
      <c r="K1687" s="1122"/>
      <c r="L1687" s="520"/>
      <c r="M1687" s="520"/>
      <c r="N1687" s="520"/>
      <c r="O1687" s="520"/>
      <c r="P1687" s="1122"/>
      <c r="Q1687" s="520"/>
      <c r="R1687" s="520"/>
      <c r="S1687" s="520"/>
      <c r="T1687" s="520"/>
      <c r="U1687" s="1122"/>
      <c r="V1687" s="520"/>
      <c r="W1687" s="520"/>
      <c r="X1687" s="520"/>
      <c r="Y1687" s="520"/>
      <c r="Z1687" s="1122"/>
      <c r="AA1687" s="520"/>
      <c r="AB1687" s="520"/>
      <c r="AC1687" s="520"/>
      <c r="AD1687" s="520"/>
      <c r="AE1687" s="1122"/>
      <c r="AF1687" s="520"/>
      <c r="AG1687" s="520"/>
      <c r="AH1687" s="520"/>
      <c r="AI1687" s="520"/>
      <c r="AJ1687" s="1122"/>
      <c r="AK1687" s="520"/>
      <c r="AL1687" s="520"/>
      <c r="AM1687" s="520"/>
      <c r="AN1687" s="520"/>
      <c r="AO1687" s="1122"/>
      <c r="AP1687" s="520"/>
      <c r="AQ1687" s="520"/>
      <c r="AR1687" s="520"/>
      <c r="AS1687" s="520"/>
      <c r="AT1687" s="1124"/>
      <c r="AU1687" s="520"/>
      <c r="AV1687" s="520"/>
      <c r="AW1687" s="520"/>
      <c r="AX1687" s="520"/>
      <c r="AY1687" s="1124"/>
      <c r="AZ1687" s="520"/>
      <c r="BA1687" s="520"/>
      <c r="BB1687" s="520"/>
      <c r="BC1687" s="520"/>
      <c r="BD1687" s="1124"/>
      <c r="BE1687" s="520"/>
      <c r="BF1687" s="520"/>
      <c r="BG1687" s="520"/>
      <c r="BH1687" s="520"/>
      <c r="BI1687" s="1123">
        <v>420.19</v>
      </c>
      <c r="BJ1687" s="520"/>
      <c r="BK1687" s="520"/>
      <c r="BL1687" s="520"/>
      <c r="BM1687" s="520"/>
      <c r="BN1687" s="1124"/>
      <c r="BO1687" s="520"/>
      <c r="BP1687" s="520"/>
      <c r="BQ1687" s="520"/>
      <c r="BR1687" s="520"/>
      <c r="BS1687" s="1124"/>
      <c r="BT1687" s="728"/>
      <c r="BU1687" s="520"/>
      <c r="BV1687" s="520"/>
      <c r="BW1687" s="520"/>
      <c r="BX1687" s="1122"/>
      <c r="BY1687" s="520"/>
      <c r="BZ1687" s="520"/>
      <c r="CA1687" s="520"/>
      <c r="CB1687" s="520"/>
      <c r="CC1687" s="1122"/>
      <c r="CD1687" s="1122"/>
      <c r="CE1687" s="1122"/>
      <c r="CF1687" s="1122"/>
      <c r="CG1687" s="519"/>
    </row>
    <row r="1688" spans="1:85" s="614" customFormat="1" x14ac:dyDescent="0.3">
      <c r="A1688" s="116"/>
      <c r="B1688" s="352"/>
      <c r="C1688" s="1094"/>
      <c r="D1688" s="1094"/>
      <c r="E1688" s="1094"/>
      <c r="F1688" s="1094"/>
      <c r="G1688" s="197"/>
      <c r="H1688" s="197"/>
      <c r="I1688" s="197"/>
      <c r="J1688" s="197"/>
      <c r="K1688" s="1094"/>
      <c r="L1688" s="197"/>
      <c r="M1688" s="197"/>
      <c r="N1688" s="197"/>
      <c r="O1688" s="197"/>
      <c r="P1688" s="1094"/>
      <c r="Q1688" s="197"/>
      <c r="R1688" s="197"/>
      <c r="S1688" s="197"/>
      <c r="T1688" s="197"/>
      <c r="U1688" s="1094"/>
      <c r="V1688" s="197"/>
      <c r="W1688" s="197"/>
      <c r="X1688" s="197"/>
      <c r="Y1688" s="197"/>
      <c r="Z1688" s="1094"/>
      <c r="AA1688" s="197"/>
      <c r="AB1688" s="197"/>
      <c r="AC1688" s="197"/>
      <c r="AD1688" s="197"/>
      <c r="AE1688" s="1094"/>
      <c r="AF1688" s="197"/>
      <c r="AG1688" s="197"/>
      <c r="AH1688" s="197"/>
      <c r="AI1688" s="197"/>
      <c r="AJ1688" s="1094"/>
      <c r="AK1688" s="197"/>
      <c r="AL1688" s="197"/>
      <c r="AM1688" s="197"/>
      <c r="AN1688" s="197"/>
      <c r="AO1688" s="1094"/>
      <c r="AP1688" s="197"/>
      <c r="AQ1688" s="197"/>
      <c r="AR1688" s="197"/>
      <c r="AS1688" s="197"/>
      <c r="AT1688" s="198"/>
      <c r="AU1688" s="197"/>
      <c r="AV1688" s="197"/>
      <c r="AW1688" s="197"/>
      <c r="AX1688" s="197"/>
      <c r="AY1688" s="198"/>
      <c r="AZ1688" s="197"/>
      <c r="BA1688" s="197"/>
      <c r="BB1688" s="197"/>
      <c r="BC1688" s="197"/>
      <c r="BD1688" s="198"/>
      <c r="BE1688" s="197"/>
      <c r="BF1688" s="197"/>
      <c r="BG1688" s="197"/>
      <c r="BH1688" s="197"/>
      <c r="BI1688" s="1094"/>
      <c r="BJ1688" s="197"/>
      <c r="BK1688" s="197"/>
      <c r="BL1688" s="197"/>
      <c r="BM1688" s="197"/>
      <c r="BN1688" s="1094"/>
      <c r="BO1688" s="197"/>
      <c r="BP1688" s="197"/>
      <c r="BQ1688" s="197"/>
      <c r="BR1688" s="197"/>
      <c r="BS1688" s="1094"/>
      <c r="BT1688" s="727"/>
      <c r="BU1688" s="197"/>
      <c r="BV1688" s="197"/>
      <c r="BW1688" s="197"/>
      <c r="BX1688" s="1094"/>
      <c r="BY1688" s="197"/>
      <c r="BZ1688" s="197"/>
      <c r="CA1688" s="197"/>
      <c r="CB1688" s="197"/>
      <c r="CC1688" s="1094"/>
      <c r="CD1688" s="1094"/>
      <c r="CE1688" s="1094"/>
      <c r="CF1688" s="1094"/>
      <c r="CG1688" s="349"/>
    </row>
    <row r="1689" spans="1:85" s="613" customFormat="1" x14ac:dyDescent="0.3">
      <c r="A1689" s="478" t="s">
        <v>1046</v>
      </c>
      <c r="B1689" s="523"/>
      <c r="C1689" s="78"/>
      <c r="D1689" s="78"/>
      <c r="E1689" s="78"/>
      <c r="F1689" s="78"/>
      <c r="G1689" s="774"/>
      <c r="H1689" s="774"/>
      <c r="I1689" s="774"/>
      <c r="J1689" s="774"/>
      <c r="K1689" s="78"/>
      <c r="L1689" s="774"/>
      <c r="M1689" s="774"/>
      <c r="N1689" s="774"/>
      <c r="O1689" s="774"/>
      <c r="P1689" s="78"/>
      <c r="Q1689" s="774"/>
      <c r="R1689" s="774"/>
      <c r="S1689" s="774"/>
      <c r="T1689" s="774"/>
      <c r="U1689" s="78"/>
      <c r="V1689" s="774"/>
      <c r="W1689" s="774"/>
      <c r="X1689" s="774"/>
      <c r="Y1689" s="774"/>
      <c r="Z1689" s="78"/>
      <c r="AA1689" s="774"/>
      <c r="AB1689" s="774"/>
      <c r="AC1689" s="774"/>
      <c r="AD1689" s="774"/>
      <c r="AE1689" s="78"/>
      <c r="AF1689" s="774"/>
      <c r="AG1689" s="774"/>
      <c r="AH1689" s="774"/>
      <c r="AI1689" s="774"/>
      <c r="AJ1689" s="78"/>
      <c r="AK1689" s="774"/>
      <c r="AL1689" s="774"/>
      <c r="AM1689" s="774"/>
      <c r="AN1689" s="774"/>
      <c r="AO1689" s="78"/>
      <c r="AP1689" s="774"/>
      <c r="AQ1689" s="774"/>
      <c r="AR1689" s="774"/>
      <c r="AS1689" s="774"/>
      <c r="AT1689" s="78"/>
      <c r="AU1689" s="774"/>
      <c r="AV1689" s="774"/>
      <c r="AW1689" s="774"/>
      <c r="AX1689" s="774"/>
      <c r="AY1689" s="78"/>
      <c r="AZ1689" s="774"/>
      <c r="BA1689" s="774"/>
      <c r="BB1689" s="774"/>
      <c r="BC1689" s="774"/>
      <c r="BD1689" s="78"/>
      <c r="BE1689" s="774"/>
      <c r="BF1689" s="774"/>
      <c r="BG1689" s="774"/>
      <c r="BH1689" s="774"/>
      <c r="BI1689" s="1119">
        <v>0.35799999999999998</v>
      </c>
      <c r="BJ1689" s="774"/>
      <c r="BK1689" s="774"/>
      <c r="BL1689" s="774"/>
      <c r="BM1689" s="774"/>
      <c r="BN1689" s="78"/>
      <c r="BO1689" s="774"/>
      <c r="BP1689" s="774"/>
      <c r="BQ1689" s="774"/>
      <c r="BR1689" s="774"/>
      <c r="BS1689" s="78"/>
      <c r="BT1689" s="775"/>
      <c r="BU1689" s="774"/>
      <c r="BV1689" s="774"/>
      <c r="BW1689" s="774"/>
      <c r="BX1689" s="78"/>
      <c r="BY1689" s="774"/>
      <c r="BZ1689" s="774"/>
      <c r="CA1689" s="774"/>
      <c r="CB1689" s="774"/>
      <c r="CC1689" s="78"/>
      <c r="CD1689" s="78"/>
      <c r="CE1689" s="78"/>
      <c r="CF1689" s="78"/>
      <c r="CG1689" s="532"/>
    </row>
    <row r="1690" spans="1:85" s="615" customFormat="1" x14ac:dyDescent="0.3">
      <c r="A1690" s="522" t="s">
        <v>1045</v>
      </c>
      <c r="B1690" s="521"/>
      <c r="C1690" s="1122"/>
      <c r="D1690" s="1122"/>
      <c r="E1690" s="1122"/>
      <c r="F1690" s="1122"/>
      <c r="G1690" s="520"/>
      <c r="H1690" s="520"/>
      <c r="I1690" s="520"/>
      <c r="J1690" s="520"/>
      <c r="K1690" s="1122"/>
      <c r="L1690" s="520"/>
      <c r="M1690" s="520"/>
      <c r="N1690" s="520"/>
      <c r="O1690" s="520"/>
      <c r="P1690" s="1122"/>
      <c r="Q1690" s="520"/>
      <c r="R1690" s="520"/>
      <c r="S1690" s="520"/>
      <c r="T1690" s="520"/>
      <c r="U1690" s="1122"/>
      <c r="V1690" s="520"/>
      <c r="W1690" s="520"/>
      <c r="X1690" s="520"/>
      <c r="Y1690" s="520"/>
      <c r="Z1690" s="1122"/>
      <c r="AA1690" s="520"/>
      <c r="AB1690" s="520"/>
      <c r="AC1690" s="520"/>
      <c r="AD1690" s="520"/>
      <c r="AE1690" s="1122"/>
      <c r="AF1690" s="520"/>
      <c r="AG1690" s="520"/>
      <c r="AH1690" s="520"/>
      <c r="AI1690" s="520"/>
      <c r="AJ1690" s="1122"/>
      <c r="AK1690" s="520"/>
      <c r="AL1690" s="520"/>
      <c r="AM1690" s="520"/>
      <c r="AN1690" s="520"/>
      <c r="AO1690" s="1122"/>
      <c r="AP1690" s="520"/>
      <c r="AQ1690" s="520"/>
      <c r="AR1690" s="520"/>
      <c r="AS1690" s="520"/>
      <c r="AT1690" s="1124"/>
      <c r="AU1690" s="520"/>
      <c r="AV1690" s="520"/>
      <c r="AW1690" s="520"/>
      <c r="AX1690" s="520"/>
      <c r="AY1690" s="1124"/>
      <c r="AZ1690" s="520"/>
      <c r="BA1690" s="520"/>
      <c r="BB1690" s="520"/>
      <c r="BC1690" s="520"/>
      <c r="BD1690" s="1124"/>
      <c r="BE1690" s="520"/>
      <c r="BF1690" s="520"/>
      <c r="BG1690" s="520"/>
      <c r="BH1690" s="520"/>
      <c r="BI1690" s="1123">
        <v>465.74</v>
      </c>
      <c r="BJ1690" s="520"/>
      <c r="BK1690" s="520"/>
      <c r="BL1690" s="520"/>
      <c r="BM1690" s="520"/>
      <c r="BN1690" s="1124"/>
      <c r="BO1690" s="520"/>
      <c r="BP1690" s="520"/>
      <c r="BQ1690" s="520"/>
      <c r="BR1690" s="520"/>
      <c r="BS1690" s="1124"/>
      <c r="BT1690" s="728"/>
      <c r="BU1690" s="520"/>
      <c r="BV1690" s="520"/>
      <c r="BW1690" s="520"/>
      <c r="BX1690" s="1122"/>
      <c r="BY1690" s="520"/>
      <c r="BZ1690" s="520"/>
      <c r="CA1690" s="520"/>
      <c r="CB1690" s="520"/>
      <c r="CC1690" s="1122"/>
      <c r="CD1690" s="1122"/>
      <c r="CE1690" s="1122"/>
      <c r="CF1690" s="1122"/>
      <c r="CG1690" s="519"/>
    </row>
    <row r="1691" spans="1:85" s="614" customFormat="1" x14ac:dyDescent="0.3">
      <c r="A1691" s="116"/>
      <c r="B1691" s="352"/>
      <c r="C1691" s="1094"/>
      <c r="D1691" s="1094"/>
      <c r="E1691" s="1094"/>
      <c r="F1691" s="1094"/>
      <c r="G1691" s="197"/>
      <c r="H1691" s="197"/>
      <c r="I1691" s="197"/>
      <c r="J1691" s="197"/>
      <c r="K1691" s="1094"/>
      <c r="L1691" s="197"/>
      <c r="M1691" s="197"/>
      <c r="N1691" s="197"/>
      <c r="O1691" s="197"/>
      <c r="P1691" s="1094"/>
      <c r="Q1691" s="197"/>
      <c r="R1691" s="197"/>
      <c r="S1691" s="197"/>
      <c r="T1691" s="197"/>
      <c r="U1691" s="1094"/>
      <c r="V1691" s="197"/>
      <c r="W1691" s="197"/>
      <c r="X1691" s="197"/>
      <c r="Y1691" s="197"/>
      <c r="Z1691" s="1094"/>
      <c r="AA1691" s="197"/>
      <c r="AB1691" s="197"/>
      <c r="AC1691" s="197"/>
      <c r="AD1691" s="197"/>
      <c r="AE1691" s="1094"/>
      <c r="AF1691" s="197"/>
      <c r="AG1691" s="197"/>
      <c r="AH1691" s="197"/>
      <c r="AI1691" s="197"/>
      <c r="AJ1691" s="1094"/>
      <c r="AK1691" s="197"/>
      <c r="AL1691" s="197"/>
      <c r="AM1691" s="197"/>
      <c r="AN1691" s="197"/>
      <c r="AO1691" s="1094"/>
      <c r="AP1691" s="197"/>
      <c r="AQ1691" s="197"/>
      <c r="AR1691" s="197"/>
      <c r="AS1691" s="197"/>
      <c r="AT1691" s="198"/>
      <c r="AU1691" s="197"/>
      <c r="AV1691" s="197"/>
      <c r="AW1691" s="197"/>
      <c r="AX1691" s="197"/>
      <c r="AY1691" s="198"/>
      <c r="AZ1691" s="197"/>
      <c r="BA1691" s="197"/>
      <c r="BB1691" s="197"/>
      <c r="BC1691" s="197"/>
      <c r="BD1691" s="198"/>
      <c r="BE1691" s="197"/>
      <c r="BF1691" s="197"/>
      <c r="BG1691" s="197"/>
      <c r="BH1691" s="197"/>
      <c r="BI1691" s="1094"/>
      <c r="BJ1691" s="197"/>
      <c r="BK1691" s="197"/>
      <c r="BL1691" s="197"/>
      <c r="BM1691" s="197"/>
      <c r="BN1691" s="1094"/>
      <c r="BO1691" s="197"/>
      <c r="BP1691" s="197"/>
      <c r="BQ1691" s="197"/>
      <c r="BR1691" s="197"/>
      <c r="BS1691" s="1094"/>
      <c r="BT1691" s="727"/>
      <c r="BU1691" s="197"/>
      <c r="BV1691" s="197"/>
      <c r="BW1691" s="197"/>
      <c r="BX1691" s="1094"/>
      <c r="BY1691" s="197"/>
      <c r="BZ1691" s="197"/>
      <c r="CA1691" s="197"/>
      <c r="CB1691" s="197"/>
      <c r="CC1691" s="1094"/>
      <c r="CD1691" s="1094"/>
      <c r="CE1691" s="1094"/>
      <c r="CF1691" s="1094"/>
      <c r="CG1691" s="349"/>
    </row>
    <row r="1692" spans="1:85" s="612" customFormat="1" x14ac:dyDescent="0.3">
      <c r="A1692" s="106" t="s">
        <v>1044</v>
      </c>
      <c r="B1692" s="514"/>
      <c r="C1692" s="1097"/>
      <c r="D1692" s="1097"/>
      <c r="E1692" s="1097"/>
      <c r="F1692" s="1097"/>
      <c r="G1692" s="772"/>
      <c r="H1692" s="772"/>
      <c r="I1692" s="772"/>
      <c r="J1692" s="772"/>
      <c r="K1692" s="1097"/>
      <c r="L1692" s="772"/>
      <c r="M1692" s="772"/>
      <c r="N1692" s="772"/>
      <c r="O1692" s="772"/>
      <c r="P1692" s="1097"/>
      <c r="Q1692" s="772"/>
      <c r="R1692" s="772"/>
      <c r="S1692" s="772"/>
      <c r="T1692" s="772"/>
      <c r="U1692" s="1097"/>
      <c r="V1692" s="772"/>
      <c r="W1692" s="772"/>
      <c r="X1692" s="772"/>
      <c r="Y1692" s="772"/>
      <c r="Z1692" s="1097"/>
      <c r="AA1692" s="772"/>
      <c r="AB1692" s="772"/>
      <c r="AC1692" s="772"/>
      <c r="AD1692" s="772"/>
      <c r="AE1692" s="1097"/>
      <c r="AF1692" s="772"/>
      <c r="AG1692" s="772"/>
      <c r="AH1692" s="772"/>
      <c r="AI1692" s="772"/>
      <c r="AJ1692" s="1097"/>
      <c r="AK1692" s="772"/>
      <c r="AL1692" s="772"/>
      <c r="AM1692" s="772"/>
      <c r="AN1692" s="772"/>
      <c r="AO1692" s="1097"/>
      <c r="AP1692" s="772"/>
      <c r="AQ1692" s="772"/>
      <c r="AR1692" s="772"/>
      <c r="AS1692" s="772"/>
      <c r="AT1692" s="1125">
        <v>6.2270000000000003</v>
      </c>
      <c r="AU1692" s="772"/>
      <c r="AV1692" s="772"/>
      <c r="AW1692" s="772"/>
      <c r="AX1692" s="772"/>
      <c r="AY1692" s="1125">
        <v>9.4350000000000005</v>
      </c>
      <c r="AZ1692" s="772"/>
      <c r="BA1692" s="772"/>
      <c r="BB1692" s="772"/>
      <c r="BC1692" s="772"/>
      <c r="BD1692" s="1129">
        <v>18.977</v>
      </c>
      <c r="BE1692" s="772"/>
      <c r="BF1692" s="772"/>
      <c r="BG1692" s="772"/>
      <c r="BH1692" s="772"/>
      <c r="BI1692" s="1125">
        <v>22.588999999999999</v>
      </c>
      <c r="BJ1692" s="772"/>
      <c r="BK1692" s="772"/>
      <c r="BL1692" s="772"/>
      <c r="BM1692" s="772"/>
      <c r="BN1692" s="1097"/>
      <c r="BO1692" s="772"/>
      <c r="BP1692" s="772"/>
      <c r="BQ1692" s="772"/>
      <c r="BR1692" s="772"/>
      <c r="BS1692" s="1097"/>
      <c r="BT1692" s="838"/>
      <c r="BU1692" s="772"/>
      <c r="BV1692" s="772"/>
      <c r="BW1692" s="772"/>
      <c r="BX1692" s="1097"/>
      <c r="BY1692" s="772"/>
      <c r="BZ1692" s="772"/>
      <c r="CA1692" s="772"/>
      <c r="CB1692" s="772"/>
      <c r="CC1692" s="1097"/>
      <c r="CD1692" s="1097"/>
      <c r="CE1692" s="1097"/>
      <c r="CF1692" s="1097"/>
      <c r="CG1692" s="348"/>
    </row>
    <row r="1693" spans="1:85" s="612" customFormat="1" x14ac:dyDescent="0.3">
      <c r="A1693" s="106"/>
      <c r="B1693" s="514"/>
      <c r="C1693" s="1097"/>
      <c r="D1693" s="1097"/>
      <c r="E1693" s="1097"/>
      <c r="F1693" s="1097"/>
      <c r="G1693" s="772"/>
      <c r="H1693" s="772"/>
      <c r="I1693" s="772"/>
      <c r="J1693" s="772"/>
      <c r="K1693" s="1097"/>
      <c r="L1693" s="772"/>
      <c r="M1693" s="772"/>
      <c r="N1693" s="772"/>
      <c r="O1693" s="772"/>
      <c r="P1693" s="1097"/>
      <c r="Q1693" s="772"/>
      <c r="R1693" s="772"/>
      <c r="S1693" s="772"/>
      <c r="T1693" s="772"/>
      <c r="U1693" s="1097"/>
      <c r="V1693" s="772"/>
      <c r="W1693" s="772"/>
      <c r="X1693" s="772"/>
      <c r="Y1693" s="772"/>
      <c r="Z1693" s="1097"/>
      <c r="AA1693" s="772"/>
      <c r="AB1693" s="772"/>
      <c r="AC1693" s="772"/>
      <c r="AD1693" s="772"/>
      <c r="AE1693" s="1097"/>
      <c r="AF1693" s="772"/>
      <c r="AG1693" s="772"/>
      <c r="AH1693" s="772"/>
      <c r="AI1693" s="772"/>
      <c r="AJ1693" s="1097"/>
      <c r="AK1693" s="772"/>
      <c r="AL1693" s="772"/>
      <c r="AM1693" s="772"/>
      <c r="AN1693" s="772"/>
      <c r="AO1693" s="1097"/>
      <c r="AP1693" s="772"/>
      <c r="AQ1693" s="772"/>
      <c r="AR1693" s="772"/>
      <c r="AS1693" s="772"/>
      <c r="AT1693" s="1097"/>
      <c r="AU1693" s="772"/>
      <c r="AV1693" s="772"/>
      <c r="AW1693" s="772"/>
      <c r="AX1693" s="772"/>
      <c r="AY1693" s="1097"/>
      <c r="AZ1693" s="772"/>
      <c r="BA1693" s="772"/>
      <c r="BB1693" s="772"/>
      <c r="BC1693" s="772"/>
      <c r="BD1693" s="1130"/>
      <c r="BE1693" s="772"/>
      <c r="BF1693" s="772"/>
      <c r="BG1693" s="772"/>
      <c r="BH1693" s="772"/>
      <c r="BI1693" s="1097"/>
      <c r="BJ1693" s="772"/>
      <c r="BK1693" s="772"/>
      <c r="BL1693" s="772"/>
      <c r="BM1693" s="772"/>
      <c r="BN1693" s="1097"/>
      <c r="BO1693" s="772"/>
      <c r="BP1693" s="772"/>
      <c r="BQ1693" s="772"/>
      <c r="BR1693" s="772"/>
      <c r="BS1693" s="1097"/>
      <c r="BT1693" s="838"/>
      <c r="BU1693" s="772"/>
      <c r="BV1693" s="772"/>
      <c r="BW1693" s="772"/>
      <c r="BX1693" s="1097"/>
      <c r="BY1693" s="772"/>
      <c r="BZ1693" s="772"/>
      <c r="CA1693" s="772"/>
      <c r="CB1693" s="772"/>
      <c r="CC1693" s="1097"/>
      <c r="CD1693" s="1097"/>
      <c r="CE1693" s="1097"/>
      <c r="CF1693" s="1097"/>
      <c r="CG1693" s="348"/>
    </row>
    <row r="1694" spans="1:85" s="613" customFormat="1" x14ac:dyDescent="0.3">
      <c r="A1694" s="107" t="s">
        <v>2113</v>
      </c>
      <c r="B1694" s="523"/>
      <c r="C1694" s="78"/>
      <c r="D1694" s="78"/>
      <c r="E1694" s="78"/>
      <c r="F1694" s="78"/>
      <c r="G1694" s="774"/>
      <c r="H1694" s="774"/>
      <c r="I1694" s="774"/>
      <c r="J1694" s="774"/>
      <c r="K1694" s="78"/>
      <c r="L1694" s="774"/>
      <c r="M1694" s="774"/>
      <c r="N1694" s="774"/>
      <c r="O1694" s="774"/>
      <c r="P1694" s="78"/>
      <c r="Q1694" s="774"/>
      <c r="R1694" s="774"/>
      <c r="S1694" s="774"/>
      <c r="T1694" s="774"/>
      <c r="U1694" s="78"/>
      <c r="V1694" s="774"/>
      <c r="W1694" s="774"/>
      <c r="X1694" s="774"/>
      <c r="Y1694" s="774"/>
      <c r="Z1694" s="78"/>
      <c r="AA1694" s="774"/>
      <c r="AB1694" s="774"/>
      <c r="AC1694" s="774"/>
      <c r="AD1694" s="774"/>
      <c r="AE1694" s="78"/>
      <c r="AF1694" s="774"/>
      <c r="AG1694" s="774"/>
      <c r="AH1694" s="774"/>
      <c r="AI1694" s="774"/>
      <c r="AJ1694" s="78"/>
      <c r="AK1694" s="774"/>
      <c r="AL1694" s="774"/>
      <c r="AM1694" s="774"/>
      <c r="AN1694" s="774"/>
      <c r="AO1694" s="78"/>
      <c r="AP1694" s="774"/>
      <c r="AQ1694" s="774"/>
      <c r="AR1694" s="774"/>
      <c r="AS1694" s="774"/>
      <c r="AT1694" s="78"/>
      <c r="AU1694" s="774"/>
      <c r="AV1694" s="774"/>
      <c r="AW1694" s="774"/>
      <c r="AX1694" s="774"/>
      <c r="AY1694" s="78"/>
      <c r="AZ1694" s="774"/>
      <c r="BA1694" s="774"/>
      <c r="BB1694" s="774"/>
      <c r="BC1694" s="774"/>
      <c r="BD1694" s="78"/>
      <c r="BE1694" s="774"/>
      <c r="BF1694" s="774"/>
      <c r="BG1694" s="774"/>
      <c r="BH1694" s="774"/>
      <c r="BI1694" s="1119">
        <v>3700</v>
      </c>
      <c r="BJ1694" s="774"/>
      <c r="BK1694" s="774"/>
      <c r="BL1694" s="774"/>
      <c r="BM1694" s="774"/>
      <c r="BN1694" s="78"/>
      <c r="BO1694" s="774"/>
      <c r="BP1694" s="774"/>
      <c r="BQ1694" s="774"/>
      <c r="BR1694" s="774"/>
      <c r="BS1694" s="78"/>
      <c r="BT1694" s="775"/>
      <c r="BU1694" s="774"/>
      <c r="BV1694" s="774"/>
      <c r="BW1694" s="774"/>
      <c r="BX1694" s="78"/>
      <c r="BY1694" s="774"/>
      <c r="BZ1694" s="774"/>
      <c r="CA1694" s="774"/>
      <c r="CB1694" s="774"/>
      <c r="CC1694" s="78"/>
      <c r="CD1694" s="78"/>
      <c r="CE1694" s="78"/>
      <c r="CF1694" s="78"/>
      <c r="CG1694" s="532"/>
    </row>
    <row r="1695" spans="1:85" s="613" customFormat="1" x14ac:dyDescent="0.3">
      <c r="A1695" s="107" t="s">
        <v>2114</v>
      </c>
      <c r="B1695" s="523"/>
      <c r="C1695" s="78"/>
      <c r="D1695" s="78"/>
      <c r="E1695" s="78"/>
      <c r="F1695" s="78"/>
      <c r="G1695" s="774"/>
      <c r="H1695" s="774"/>
      <c r="I1695" s="774"/>
      <c r="J1695" s="774"/>
      <c r="K1695" s="78"/>
      <c r="L1695" s="774"/>
      <c r="M1695" s="774"/>
      <c r="N1695" s="774"/>
      <c r="O1695" s="774"/>
      <c r="P1695" s="78"/>
      <c r="Q1695" s="774"/>
      <c r="R1695" s="774"/>
      <c r="S1695" s="774"/>
      <c r="T1695" s="774"/>
      <c r="U1695" s="78"/>
      <c r="V1695" s="774"/>
      <c r="W1695" s="774"/>
      <c r="X1695" s="774"/>
      <c r="Y1695" s="774"/>
      <c r="Z1695" s="78"/>
      <c r="AA1695" s="774"/>
      <c r="AB1695" s="774"/>
      <c r="AC1695" s="774"/>
      <c r="AD1695" s="774"/>
      <c r="AE1695" s="78"/>
      <c r="AF1695" s="774"/>
      <c r="AG1695" s="774"/>
      <c r="AH1695" s="774"/>
      <c r="AI1695" s="774"/>
      <c r="AJ1695" s="78"/>
      <c r="AK1695" s="774"/>
      <c r="AL1695" s="774"/>
      <c r="AM1695" s="774"/>
      <c r="AN1695" s="774"/>
      <c r="AO1695" s="78"/>
      <c r="AP1695" s="774"/>
      <c r="AQ1695" s="774"/>
      <c r="AR1695" s="774"/>
      <c r="AS1695" s="774"/>
      <c r="AT1695" s="78"/>
      <c r="AU1695" s="774"/>
      <c r="AV1695" s="774"/>
      <c r="AW1695" s="774"/>
      <c r="AX1695" s="774"/>
      <c r="AY1695" s="78"/>
      <c r="AZ1695" s="774"/>
      <c r="BA1695" s="774"/>
      <c r="BB1695" s="774"/>
      <c r="BC1695" s="774"/>
      <c r="BD1695" s="78"/>
      <c r="BE1695" s="774"/>
      <c r="BF1695" s="774"/>
      <c r="BG1695" s="774"/>
      <c r="BH1695" s="774"/>
      <c r="BI1695" s="1119">
        <v>2511.1469999999999</v>
      </c>
      <c r="BJ1695" s="774"/>
      <c r="BK1695" s="774"/>
      <c r="BL1695" s="774"/>
      <c r="BM1695" s="774"/>
      <c r="BN1695" s="78"/>
      <c r="BO1695" s="774"/>
      <c r="BP1695" s="774"/>
      <c r="BQ1695" s="774"/>
      <c r="BR1695" s="774"/>
      <c r="BS1695" s="78"/>
      <c r="BT1695" s="775"/>
      <c r="BU1695" s="774"/>
      <c r="BV1695" s="774"/>
      <c r="BW1695" s="774"/>
      <c r="BX1695" s="78"/>
      <c r="BY1695" s="774"/>
      <c r="BZ1695" s="774"/>
      <c r="CA1695" s="774"/>
      <c r="CB1695" s="774"/>
      <c r="CC1695" s="78"/>
      <c r="CD1695" s="78"/>
      <c r="CE1695" s="78"/>
      <c r="CF1695" s="78"/>
      <c r="CG1695" s="532"/>
    </row>
    <row r="1696" spans="1:85" s="613" customFormat="1" x14ac:dyDescent="0.3">
      <c r="A1696" s="174" t="s">
        <v>2115</v>
      </c>
      <c r="B1696" s="528"/>
      <c r="C1696" s="1100"/>
      <c r="D1696" s="1100"/>
      <c r="E1696" s="1100"/>
      <c r="F1696" s="1100"/>
      <c r="G1696" s="840"/>
      <c r="H1696" s="840"/>
      <c r="I1696" s="840"/>
      <c r="J1696" s="840"/>
      <c r="K1696" s="1100"/>
      <c r="L1696" s="840"/>
      <c r="M1696" s="840"/>
      <c r="N1696" s="840"/>
      <c r="O1696" s="840"/>
      <c r="P1696" s="1100"/>
      <c r="Q1696" s="840"/>
      <c r="R1696" s="840"/>
      <c r="S1696" s="840"/>
      <c r="T1696" s="840"/>
      <c r="U1696" s="1100"/>
      <c r="V1696" s="840"/>
      <c r="W1696" s="840"/>
      <c r="X1696" s="840"/>
      <c r="Y1696" s="840"/>
      <c r="Z1696" s="1100"/>
      <c r="AA1696" s="840"/>
      <c r="AB1696" s="840"/>
      <c r="AC1696" s="840"/>
      <c r="AD1696" s="840"/>
      <c r="AE1696" s="1100"/>
      <c r="AF1696" s="840"/>
      <c r="AG1696" s="840"/>
      <c r="AH1696" s="840"/>
      <c r="AI1696" s="840"/>
      <c r="AJ1696" s="1100"/>
      <c r="AK1696" s="840"/>
      <c r="AL1696" s="840"/>
      <c r="AM1696" s="840"/>
      <c r="AN1696" s="840"/>
      <c r="AO1696" s="1100"/>
      <c r="AP1696" s="840"/>
      <c r="AQ1696" s="840"/>
      <c r="AR1696" s="840"/>
      <c r="AS1696" s="840"/>
      <c r="AT1696" s="1100"/>
      <c r="AU1696" s="840"/>
      <c r="AV1696" s="840"/>
      <c r="AW1696" s="840"/>
      <c r="AX1696" s="840"/>
      <c r="AY1696" s="1100"/>
      <c r="AZ1696" s="840"/>
      <c r="BA1696" s="840"/>
      <c r="BB1696" s="840"/>
      <c r="BC1696" s="840"/>
      <c r="BD1696" s="1100"/>
      <c r="BE1696" s="840"/>
      <c r="BF1696" s="840"/>
      <c r="BG1696" s="840"/>
      <c r="BH1696" s="840"/>
      <c r="BI1696" s="1120">
        <v>173.554</v>
      </c>
      <c r="BJ1696" s="840"/>
      <c r="BK1696" s="840"/>
      <c r="BL1696" s="840"/>
      <c r="BM1696" s="840"/>
      <c r="BN1696" s="1100"/>
      <c r="BO1696" s="840"/>
      <c r="BP1696" s="840"/>
      <c r="BQ1696" s="840"/>
      <c r="BR1696" s="840"/>
      <c r="BS1696" s="1100"/>
      <c r="BT1696" s="841"/>
      <c r="BU1696" s="840"/>
      <c r="BV1696" s="840"/>
      <c r="BW1696" s="840"/>
      <c r="BX1696" s="1100"/>
      <c r="BY1696" s="840"/>
      <c r="BZ1696" s="840"/>
      <c r="CA1696" s="840"/>
      <c r="CB1696" s="840"/>
      <c r="CC1696" s="1100"/>
      <c r="CD1696" s="1100"/>
      <c r="CE1696" s="1100"/>
      <c r="CF1696" s="1100"/>
      <c r="CG1696" s="532"/>
    </row>
    <row r="1697" spans="1:85" s="612" customFormat="1" x14ac:dyDescent="0.3">
      <c r="A1697" s="106" t="s">
        <v>2116</v>
      </c>
      <c r="B1697" s="514"/>
      <c r="C1697" s="1097"/>
      <c r="D1697" s="1097"/>
      <c r="E1697" s="1097"/>
      <c r="F1697" s="1097"/>
      <c r="G1697" s="772"/>
      <c r="H1697" s="772"/>
      <c r="I1697" s="772"/>
      <c r="J1697" s="772"/>
      <c r="K1697" s="1097"/>
      <c r="L1697" s="772"/>
      <c r="M1697" s="772"/>
      <c r="N1697" s="772"/>
      <c r="O1697" s="772"/>
      <c r="P1697" s="1097"/>
      <c r="Q1697" s="772"/>
      <c r="R1697" s="772"/>
      <c r="S1697" s="772"/>
      <c r="T1697" s="772"/>
      <c r="U1697" s="1097"/>
      <c r="V1697" s="772"/>
      <c r="W1697" s="772"/>
      <c r="X1697" s="772"/>
      <c r="Y1697" s="772"/>
      <c r="Z1697" s="1097"/>
      <c r="AA1697" s="772"/>
      <c r="AB1697" s="772"/>
      <c r="AC1697" s="772"/>
      <c r="AD1697" s="772"/>
      <c r="AE1697" s="1097"/>
      <c r="AF1697" s="772"/>
      <c r="AG1697" s="772"/>
      <c r="AH1697" s="772"/>
      <c r="AI1697" s="772"/>
      <c r="AJ1697" s="1097"/>
      <c r="AK1697" s="772"/>
      <c r="AL1697" s="772"/>
      <c r="AM1697" s="772"/>
      <c r="AN1697" s="772"/>
      <c r="AO1697" s="1097"/>
      <c r="AP1697" s="772"/>
      <c r="AQ1697" s="772"/>
      <c r="AR1697" s="772"/>
      <c r="AS1697" s="772"/>
      <c r="AT1697" s="1097"/>
      <c r="AU1697" s="772"/>
      <c r="AV1697" s="772"/>
      <c r="AW1697" s="772"/>
      <c r="AX1697" s="772"/>
      <c r="AY1697" s="1097"/>
      <c r="AZ1697" s="772"/>
      <c r="BA1697" s="772"/>
      <c r="BB1697" s="772"/>
      <c r="BC1697" s="772"/>
      <c r="BD1697" s="1097"/>
      <c r="BE1697" s="772"/>
      <c r="BF1697" s="772"/>
      <c r="BG1697" s="772"/>
      <c r="BH1697" s="772"/>
      <c r="BI1697" s="1097">
        <f>SUM(BI1694:BI1696)</f>
      </c>
      <c r="BJ1697" s="772"/>
      <c r="BK1697" s="772"/>
      <c r="BL1697" s="772"/>
      <c r="BM1697" s="772"/>
      <c r="BN1697" s="1097"/>
      <c r="BO1697" s="772"/>
      <c r="BP1697" s="772"/>
      <c r="BQ1697" s="772"/>
      <c r="BR1697" s="772"/>
      <c r="BS1697" s="1097"/>
      <c r="BT1697" s="838"/>
      <c r="BU1697" s="772"/>
      <c r="BV1697" s="772"/>
      <c r="BW1697" s="772"/>
      <c r="BX1697" s="1097"/>
      <c r="BY1697" s="772"/>
      <c r="BZ1697" s="772"/>
      <c r="CA1697" s="772"/>
      <c r="CB1697" s="772"/>
      <c r="CC1697" s="1097"/>
      <c r="CD1697" s="1097"/>
      <c r="CE1697" s="1097"/>
      <c r="CF1697" s="1097"/>
      <c r="CG1697" s="348"/>
    </row>
    <row r="1698" spans="1:85" s="617" customFormat="1" x14ac:dyDescent="0.3">
      <c r="A1698" s="116" t="s">
        <v>2117</v>
      </c>
      <c r="B1698" s="525"/>
      <c r="C1698" s="1099"/>
      <c r="D1698" s="1099"/>
      <c r="E1698" s="1099"/>
      <c r="F1698" s="1099"/>
      <c r="G1698" s="185"/>
      <c r="H1698" s="185"/>
      <c r="I1698" s="185"/>
      <c r="J1698" s="185"/>
      <c r="K1698" s="1099"/>
      <c r="L1698" s="185"/>
      <c r="M1698" s="185"/>
      <c r="N1698" s="185"/>
      <c r="O1698" s="185"/>
      <c r="P1698" s="1099"/>
      <c r="Q1698" s="185"/>
      <c r="R1698" s="185"/>
      <c r="S1698" s="185"/>
      <c r="T1698" s="185"/>
      <c r="U1698" s="1099"/>
      <c r="V1698" s="185"/>
      <c r="W1698" s="185"/>
      <c r="X1698" s="185"/>
      <c r="Y1698" s="185"/>
      <c r="Z1698" s="1099"/>
      <c r="AA1698" s="185"/>
      <c r="AB1698" s="185"/>
      <c r="AC1698" s="185"/>
      <c r="AD1698" s="185"/>
      <c r="AE1698" s="1099"/>
      <c r="AF1698" s="185"/>
      <c r="AG1698" s="185"/>
      <c r="AH1698" s="185"/>
      <c r="AI1698" s="185"/>
      <c r="AJ1698" s="1099"/>
      <c r="AK1698" s="185"/>
      <c r="AL1698" s="185"/>
      <c r="AM1698" s="185"/>
      <c r="AN1698" s="185"/>
      <c r="AO1698" s="1099"/>
      <c r="AP1698" s="185"/>
      <c r="AQ1698" s="185"/>
      <c r="AR1698" s="185"/>
      <c r="AS1698" s="185"/>
      <c r="AT1698" s="83"/>
      <c r="AU1698" s="185"/>
      <c r="AV1698" s="185"/>
      <c r="AW1698" s="185"/>
      <c r="AX1698" s="185"/>
      <c r="AY1698" s="83"/>
      <c r="AZ1698" s="185"/>
      <c r="BA1698" s="185"/>
      <c r="BB1698" s="185"/>
      <c r="BC1698" s="185"/>
      <c r="BD1698" s="83"/>
      <c r="BE1698" s="185"/>
      <c r="BF1698" s="185"/>
      <c r="BG1698" s="185"/>
      <c r="BH1698" s="185"/>
      <c r="BI1698" s="83">
        <f>BI1695/BI1697</f>
      </c>
      <c r="BJ1698" s="185"/>
      <c r="BK1698" s="185"/>
      <c r="BL1698" s="185"/>
      <c r="BM1698" s="185"/>
      <c r="BN1698" s="83"/>
      <c r="BO1698" s="185"/>
      <c r="BP1698" s="185"/>
      <c r="BQ1698" s="185"/>
      <c r="BR1698" s="185"/>
      <c r="BS1698" s="83"/>
      <c r="BT1698" s="730"/>
      <c r="BU1698" s="185"/>
      <c r="BV1698" s="185"/>
      <c r="BW1698" s="185"/>
      <c r="BX1698" s="1099"/>
      <c r="BY1698" s="185"/>
      <c r="BZ1698" s="185"/>
      <c r="CA1698" s="185"/>
      <c r="CB1698" s="185"/>
      <c r="CC1698" s="1099"/>
      <c r="CD1698" s="1099"/>
      <c r="CE1698" s="1099"/>
      <c r="CF1698" s="1099"/>
      <c r="CG1698" s="524"/>
    </row>
    <row r="1699" spans="1:85" s="612" customFormat="1" x14ac:dyDescent="0.3">
      <c r="A1699" s="106"/>
      <c r="B1699" s="514"/>
      <c r="C1699" s="1097"/>
      <c r="D1699" s="1097"/>
      <c r="E1699" s="1097"/>
      <c r="F1699" s="1097"/>
      <c r="G1699" s="772"/>
      <c r="H1699" s="772"/>
      <c r="I1699" s="772"/>
      <c r="J1699" s="772"/>
      <c r="K1699" s="1097"/>
      <c r="L1699" s="772"/>
      <c r="M1699" s="772"/>
      <c r="N1699" s="772"/>
      <c r="O1699" s="772"/>
      <c r="P1699" s="1097"/>
      <c r="Q1699" s="772"/>
      <c r="R1699" s="772"/>
      <c r="S1699" s="772"/>
      <c r="T1699" s="772"/>
      <c r="U1699" s="1097"/>
      <c r="V1699" s="772"/>
      <c r="W1699" s="772"/>
      <c r="X1699" s="772"/>
      <c r="Y1699" s="772"/>
      <c r="Z1699" s="1097"/>
      <c r="AA1699" s="772"/>
      <c r="AB1699" s="772"/>
      <c r="AC1699" s="772"/>
      <c r="AD1699" s="772"/>
      <c r="AE1699" s="1097"/>
      <c r="AF1699" s="772"/>
      <c r="AG1699" s="772"/>
      <c r="AH1699" s="772"/>
      <c r="AI1699" s="772"/>
      <c r="AJ1699" s="1097"/>
      <c r="AK1699" s="772"/>
      <c r="AL1699" s="772"/>
      <c r="AM1699" s="772"/>
      <c r="AN1699" s="772"/>
      <c r="AO1699" s="1097"/>
      <c r="AP1699" s="772"/>
      <c r="AQ1699" s="772"/>
      <c r="AR1699" s="772"/>
      <c r="AS1699" s="772"/>
      <c r="AT1699" s="1097"/>
      <c r="AU1699" s="772"/>
      <c r="AV1699" s="772"/>
      <c r="AW1699" s="772"/>
      <c r="AX1699" s="772"/>
      <c r="AY1699" s="1097"/>
      <c r="AZ1699" s="772"/>
      <c r="BA1699" s="772"/>
      <c r="BB1699" s="772"/>
      <c r="BC1699" s="772"/>
      <c r="BD1699" s="1130"/>
      <c r="BE1699" s="772"/>
      <c r="BF1699" s="772"/>
      <c r="BG1699" s="772"/>
      <c r="BH1699" s="772"/>
      <c r="BI1699" s="1097"/>
      <c r="BJ1699" s="772"/>
      <c r="BK1699" s="772"/>
      <c r="BL1699" s="772"/>
      <c r="BM1699" s="772"/>
      <c r="BN1699" s="1097"/>
      <c r="BO1699" s="772"/>
      <c r="BP1699" s="772"/>
      <c r="BQ1699" s="772"/>
      <c r="BR1699" s="772"/>
      <c r="BS1699" s="1097"/>
      <c r="BT1699" s="838"/>
      <c r="BU1699" s="772"/>
      <c r="BV1699" s="772"/>
      <c r="BW1699" s="772"/>
      <c r="BX1699" s="1097"/>
      <c r="BY1699" s="772"/>
      <c r="BZ1699" s="772"/>
      <c r="CA1699" s="772"/>
      <c r="CB1699" s="772"/>
      <c r="CC1699" s="1097"/>
      <c r="CD1699" s="1097"/>
      <c r="CE1699" s="1097"/>
      <c r="CF1699" s="1097"/>
      <c r="CG1699" s="348"/>
    </row>
    <row r="1700" spans="1:85" s="613" customFormat="1" x14ac:dyDescent="0.3">
      <c r="A1700" s="478" t="s">
        <v>2118</v>
      </c>
      <c r="B1700" s="523"/>
      <c r="C1700" s="78"/>
      <c r="D1700" s="78"/>
      <c r="E1700" s="78"/>
      <c r="F1700" s="78"/>
      <c r="G1700" s="774"/>
      <c r="H1700" s="774"/>
      <c r="I1700" s="774"/>
      <c r="J1700" s="774"/>
      <c r="K1700" s="78"/>
      <c r="L1700" s="774"/>
      <c r="M1700" s="774"/>
      <c r="N1700" s="774"/>
      <c r="O1700" s="774"/>
      <c r="P1700" s="78"/>
      <c r="Q1700" s="774"/>
      <c r="R1700" s="774"/>
      <c r="S1700" s="774"/>
      <c r="T1700" s="774"/>
      <c r="U1700" s="78"/>
      <c r="V1700" s="774"/>
      <c r="W1700" s="774"/>
      <c r="X1700" s="774"/>
      <c r="Y1700" s="774"/>
      <c r="Z1700" s="78"/>
      <c r="AA1700" s="774"/>
      <c r="AB1700" s="774"/>
      <c r="AC1700" s="774"/>
      <c r="AD1700" s="774"/>
      <c r="AE1700" s="78"/>
      <c r="AF1700" s="774"/>
      <c r="AG1700" s="774"/>
      <c r="AH1700" s="774"/>
      <c r="AI1700" s="774"/>
      <c r="AJ1700" s="78"/>
      <c r="AK1700" s="774"/>
      <c r="AL1700" s="774"/>
      <c r="AM1700" s="774"/>
      <c r="AN1700" s="774"/>
      <c r="AO1700" s="78"/>
      <c r="AP1700" s="774"/>
      <c r="AQ1700" s="774"/>
      <c r="AR1700" s="774"/>
      <c r="AS1700" s="774"/>
      <c r="AT1700" s="78"/>
      <c r="AU1700" s="774"/>
      <c r="AV1700" s="774"/>
      <c r="AW1700" s="774"/>
      <c r="AX1700" s="774"/>
      <c r="AY1700" s="78"/>
      <c r="AZ1700" s="774"/>
      <c r="BA1700" s="774"/>
      <c r="BB1700" s="774"/>
      <c r="BC1700" s="774"/>
      <c r="BD1700" s="78"/>
      <c r="BE1700" s="774"/>
      <c r="BF1700" s="774"/>
      <c r="BG1700" s="774"/>
      <c r="BH1700" s="774"/>
      <c r="BI1700" s="1119">
        <v>0.254</v>
      </c>
      <c r="BJ1700" s="774"/>
      <c r="BK1700" s="774"/>
      <c r="BL1700" s="774"/>
      <c r="BM1700" s="774"/>
      <c r="BN1700" s="78"/>
      <c r="BO1700" s="774"/>
      <c r="BP1700" s="774"/>
      <c r="BQ1700" s="774"/>
      <c r="BR1700" s="774"/>
      <c r="BS1700" s="78"/>
      <c r="BT1700" s="775"/>
      <c r="BU1700" s="774"/>
      <c r="BV1700" s="774"/>
      <c r="BW1700" s="774"/>
      <c r="BX1700" s="78"/>
      <c r="BY1700" s="774"/>
      <c r="BZ1700" s="774"/>
      <c r="CA1700" s="774"/>
      <c r="CB1700" s="774"/>
      <c r="CC1700" s="78"/>
      <c r="CD1700" s="78"/>
      <c r="CE1700" s="78"/>
      <c r="CF1700" s="78"/>
      <c r="CG1700" s="532"/>
    </row>
    <row r="1701" spans="1:85" s="615" customFormat="1" x14ac:dyDescent="0.3">
      <c r="A1701" s="522" t="s">
        <v>2119</v>
      </c>
      <c r="B1701" s="521"/>
      <c r="C1701" s="1122"/>
      <c r="D1701" s="1122"/>
      <c r="E1701" s="1122"/>
      <c r="F1701" s="1122"/>
      <c r="G1701" s="520"/>
      <c r="H1701" s="520"/>
      <c r="I1701" s="520"/>
      <c r="J1701" s="520"/>
      <c r="K1701" s="1122"/>
      <c r="L1701" s="520"/>
      <c r="M1701" s="520"/>
      <c r="N1701" s="520"/>
      <c r="O1701" s="520"/>
      <c r="P1701" s="1122"/>
      <c r="Q1701" s="520"/>
      <c r="R1701" s="520"/>
      <c r="S1701" s="520"/>
      <c r="T1701" s="520"/>
      <c r="U1701" s="1122"/>
      <c r="V1701" s="520"/>
      <c r="W1701" s="520"/>
      <c r="X1701" s="520"/>
      <c r="Y1701" s="520"/>
      <c r="Z1701" s="1122"/>
      <c r="AA1701" s="520"/>
      <c r="AB1701" s="520"/>
      <c r="AC1701" s="520"/>
      <c r="AD1701" s="520"/>
      <c r="AE1701" s="1122"/>
      <c r="AF1701" s="520"/>
      <c r="AG1701" s="520"/>
      <c r="AH1701" s="520"/>
      <c r="AI1701" s="520"/>
      <c r="AJ1701" s="1122"/>
      <c r="AK1701" s="520"/>
      <c r="AL1701" s="520"/>
      <c r="AM1701" s="520"/>
      <c r="AN1701" s="520"/>
      <c r="AO1701" s="1122"/>
      <c r="AP1701" s="520"/>
      <c r="AQ1701" s="520"/>
      <c r="AR1701" s="520"/>
      <c r="AS1701" s="520"/>
      <c r="AT1701" s="1124"/>
      <c r="AU1701" s="520"/>
      <c r="AV1701" s="520"/>
      <c r="AW1701" s="520"/>
      <c r="AX1701" s="520"/>
      <c r="AY1701" s="1124"/>
      <c r="AZ1701" s="520"/>
      <c r="BA1701" s="520"/>
      <c r="BB1701" s="520"/>
      <c r="BC1701" s="520"/>
      <c r="BD1701" s="1124"/>
      <c r="BE1701" s="520"/>
      <c r="BF1701" s="520"/>
      <c r="BG1701" s="520"/>
      <c r="BH1701" s="520"/>
      <c r="BI1701" s="1123">
        <v>613.15</v>
      </c>
      <c r="BJ1701" s="520"/>
      <c r="BK1701" s="520"/>
      <c r="BL1701" s="520"/>
      <c r="BM1701" s="520"/>
      <c r="BN1701" s="1124"/>
      <c r="BO1701" s="520"/>
      <c r="BP1701" s="520"/>
      <c r="BQ1701" s="520"/>
      <c r="BR1701" s="520"/>
      <c r="BS1701" s="1124"/>
      <c r="BT1701" s="728"/>
      <c r="BU1701" s="520"/>
      <c r="BV1701" s="520"/>
      <c r="BW1701" s="520"/>
      <c r="BX1701" s="1122"/>
      <c r="BY1701" s="520"/>
      <c r="BZ1701" s="520"/>
      <c r="CA1701" s="520"/>
      <c r="CB1701" s="520"/>
      <c r="CC1701" s="1122"/>
      <c r="CD1701" s="1122"/>
      <c r="CE1701" s="1122"/>
      <c r="CF1701" s="1122"/>
      <c r="CG1701" s="519"/>
    </row>
    <row r="1702" spans="1:85" s="612" customFormat="1" x14ac:dyDescent="0.3">
      <c r="A1702" s="106"/>
      <c r="B1702" s="514"/>
      <c r="C1702" s="1097"/>
      <c r="D1702" s="1097"/>
      <c r="E1702" s="1097"/>
      <c r="F1702" s="1097"/>
      <c r="G1702" s="772"/>
      <c r="H1702" s="772"/>
      <c r="I1702" s="772"/>
      <c r="J1702" s="772"/>
      <c r="K1702" s="1097"/>
      <c r="L1702" s="772"/>
      <c r="M1702" s="772"/>
      <c r="N1702" s="772"/>
      <c r="O1702" s="772"/>
      <c r="P1702" s="1097"/>
      <c r="Q1702" s="772"/>
      <c r="R1702" s="772"/>
      <c r="S1702" s="772"/>
      <c r="T1702" s="772"/>
      <c r="U1702" s="1097"/>
      <c r="V1702" s="772"/>
      <c r="W1702" s="772"/>
      <c r="X1702" s="772"/>
      <c r="Y1702" s="772"/>
      <c r="Z1702" s="1097"/>
      <c r="AA1702" s="772"/>
      <c r="AB1702" s="772"/>
      <c r="AC1702" s="772"/>
      <c r="AD1702" s="772"/>
      <c r="AE1702" s="1097"/>
      <c r="AF1702" s="772"/>
      <c r="AG1702" s="772"/>
      <c r="AH1702" s="772"/>
      <c r="AI1702" s="772"/>
      <c r="AJ1702" s="1097"/>
      <c r="AK1702" s="772"/>
      <c r="AL1702" s="772"/>
      <c r="AM1702" s="772"/>
      <c r="AN1702" s="772"/>
      <c r="AO1702" s="1097"/>
      <c r="AP1702" s="772"/>
      <c r="AQ1702" s="772"/>
      <c r="AR1702" s="772"/>
      <c r="AS1702" s="772"/>
      <c r="AT1702" s="1097"/>
      <c r="AU1702" s="772"/>
      <c r="AV1702" s="772"/>
      <c r="AW1702" s="772"/>
      <c r="AX1702" s="772"/>
      <c r="AY1702" s="1097"/>
      <c r="AZ1702" s="772"/>
      <c r="BA1702" s="772"/>
      <c r="BB1702" s="772"/>
      <c r="BC1702" s="772"/>
      <c r="BD1702" s="1130"/>
      <c r="BE1702" s="772"/>
      <c r="BF1702" s="772"/>
      <c r="BG1702" s="772"/>
      <c r="BH1702" s="772"/>
      <c r="BI1702" s="1097"/>
      <c r="BJ1702" s="772"/>
      <c r="BK1702" s="772"/>
      <c r="BL1702" s="772"/>
      <c r="BM1702" s="772"/>
      <c r="BN1702" s="1097"/>
      <c r="BO1702" s="772"/>
      <c r="BP1702" s="772"/>
      <c r="BQ1702" s="772"/>
      <c r="BR1702" s="772"/>
      <c r="BS1702" s="1097"/>
      <c r="BT1702" s="838"/>
      <c r="BU1702" s="772"/>
      <c r="BV1702" s="772"/>
      <c r="BW1702" s="772"/>
      <c r="BX1702" s="1097"/>
      <c r="BY1702" s="772"/>
      <c r="BZ1702" s="772"/>
      <c r="CA1702" s="772"/>
      <c r="CB1702" s="772"/>
      <c r="CC1702" s="1097"/>
      <c r="CD1702" s="1097"/>
      <c r="CE1702" s="1097"/>
      <c r="CF1702" s="1097"/>
      <c r="CG1702" s="348"/>
    </row>
    <row r="1703" spans="1:85" s="613" customFormat="1" x14ac:dyDescent="0.3">
      <c r="A1703" s="478" t="s">
        <v>2120</v>
      </c>
      <c r="B1703" s="523"/>
      <c r="C1703" s="78"/>
      <c r="D1703" s="78"/>
      <c r="E1703" s="78"/>
      <c r="F1703" s="78"/>
      <c r="G1703" s="774"/>
      <c r="H1703" s="774"/>
      <c r="I1703" s="774"/>
      <c r="J1703" s="774"/>
      <c r="K1703" s="78"/>
      <c r="L1703" s="774"/>
      <c r="M1703" s="774"/>
      <c r="N1703" s="774"/>
      <c r="O1703" s="774"/>
      <c r="P1703" s="78"/>
      <c r="Q1703" s="774"/>
      <c r="R1703" s="774"/>
      <c r="S1703" s="774"/>
      <c r="T1703" s="774"/>
      <c r="U1703" s="78"/>
      <c r="V1703" s="774"/>
      <c r="W1703" s="774"/>
      <c r="X1703" s="774"/>
      <c r="Y1703" s="774"/>
      <c r="Z1703" s="78"/>
      <c r="AA1703" s="774"/>
      <c r="AB1703" s="774"/>
      <c r="AC1703" s="774"/>
      <c r="AD1703" s="774"/>
      <c r="AE1703" s="78"/>
      <c r="AF1703" s="774"/>
      <c r="AG1703" s="774"/>
      <c r="AH1703" s="774"/>
      <c r="AI1703" s="774"/>
      <c r="AJ1703" s="78"/>
      <c r="AK1703" s="774"/>
      <c r="AL1703" s="774"/>
      <c r="AM1703" s="774"/>
      <c r="AN1703" s="774"/>
      <c r="AO1703" s="78"/>
      <c r="AP1703" s="774"/>
      <c r="AQ1703" s="774"/>
      <c r="AR1703" s="774"/>
      <c r="AS1703" s="774"/>
      <c r="AT1703" s="78"/>
      <c r="AU1703" s="774"/>
      <c r="AV1703" s="774"/>
      <c r="AW1703" s="774"/>
      <c r="AX1703" s="774"/>
      <c r="AY1703" s="78"/>
      <c r="AZ1703" s="774"/>
      <c r="BA1703" s="774"/>
      <c r="BB1703" s="774"/>
      <c r="BC1703" s="774"/>
      <c r="BD1703" s="78"/>
      <c r="BE1703" s="774"/>
      <c r="BF1703" s="774"/>
      <c r="BG1703" s="774"/>
      <c r="BH1703" s="774"/>
      <c r="BI1703" s="1119">
        <v>0.45900000000000002</v>
      </c>
      <c r="BJ1703" s="774"/>
      <c r="BK1703" s="774"/>
      <c r="BL1703" s="774"/>
      <c r="BM1703" s="774"/>
      <c r="BN1703" s="78"/>
      <c r="BO1703" s="774"/>
      <c r="BP1703" s="774"/>
      <c r="BQ1703" s="774"/>
      <c r="BR1703" s="774"/>
      <c r="BS1703" s="78"/>
      <c r="BT1703" s="775"/>
      <c r="BU1703" s="774"/>
      <c r="BV1703" s="774"/>
      <c r="BW1703" s="774"/>
      <c r="BX1703" s="78"/>
      <c r="BY1703" s="774"/>
      <c r="BZ1703" s="774"/>
      <c r="CA1703" s="774"/>
      <c r="CB1703" s="774"/>
      <c r="CC1703" s="78"/>
      <c r="CD1703" s="78"/>
      <c r="CE1703" s="78"/>
      <c r="CF1703" s="78"/>
      <c r="CG1703" s="532"/>
    </row>
    <row r="1704" spans="1:85" s="615" customFormat="1" x14ac:dyDescent="0.3">
      <c r="A1704" s="522" t="s">
        <v>2121</v>
      </c>
      <c r="B1704" s="521"/>
      <c r="C1704" s="1122"/>
      <c r="D1704" s="1122"/>
      <c r="E1704" s="1122"/>
      <c r="F1704" s="1122"/>
      <c r="G1704" s="520"/>
      <c r="H1704" s="520"/>
      <c r="I1704" s="520"/>
      <c r="J1704" s="520"/>
      <c r="K1704" s="1122"/>
      <c r="L1704" s="520"/>
      <c r="M1704" s="520"/>
      <c r="N1704" s="520"/>
      <c r="O1704" s="520"/>
      <c r="P1704" s="1122"/>
      <c r="Q1704" s="520"/>
      <c r="R1704" s="520"/>
      <c r="S1704" s="520"/>
      <c r="T1704" s="520"/>
      <c r="U1704" s="1122"/>
      <c r="V1704" s="520"/>
      <c r="W1704" s="520"/>
      <c r="X1704" s="520"/>
      <c r="Y1704" s="520"/>
      <c r="Z1704" s="1122"/>
      <c r="AA1704" s="520"/>
      <c r="AB1704" s="520"/>
      <c r="AC1704" s="520"/>
      <c r="AD1704" s="520"/>
      <c r="AE1704" s="1122"/>
      <c r="AF1704" s="520"/>
      <c r="AG1704" s="520"/>
      <c r="AH1704" s="520"/>
      <c r="AI1704" s="520"/>
      <c r="AJ1704" s="1122"/>
      <c r="AK1704" s="520"/>
      <c r="AL1704" s="520"/>
      <c r="AM1704" s="520"/>
      <c r="AN1704" s="520"/>
      <c r="AO1704" s="1122"/>
      <c r="AP1704" s="520"/>
      <c r="AQ1704" s="520"/>
      <c r="AR1704" s="520"/>
      <c r="AS1704" s="520"/>
      <c r="AT1704" s="1124"/>
      <c r="AU1704" s="520"/>
      <c r="AV1704" s="520"/>
      <c r="AW1704" s="520"/>
      <c r="AX1704" s="520"/>
      <c r="AY1704" s="1124"/>
      <c r="AZ1704" s="520"/>
      <c r="BA1704" s="520"/>
      <c r="BB1704" s="520"/>
      <c r="BC1704" s="520"/>
      <c r="BD1704" s="1124"/>
      <c r="BE1704" s="520"/>
      <c r="BF1704" s="520"/>
      <c r="BG1704" s="520"/>
      <c r="BH1704" s="520"/>
      <c r="BI1704" s="1123">
        <v>681.17</v>
      </c>
      <c r="BJ1704" s="520"/>
      <c r="BK1704" s="520"/>
      <c r="BL1704" s="520"/>
      <c r="BM1704" s="520"/>
      <c r="BN1704" s="1124"/>
      <c r="BO1704" s="520"/>
      <c r="BP1704" s="520"/>
      <c r="BQ1704" s="520"/>
      <c r="BR1704" s="520"/>
      <c r="BS1704" s="1124"/>
      <c r="BT1704" s="728"/>
      <c r="BU1704" s="520"/>
      <c r="BV1704" s="520"/>
      <c r="BW1704" s="520"/>
      <c r="BX1704" s="1122"/>
      <c r="BY1704" s="520"/>
      <c r="BZ1704" s="520"/>
      <c r="CA1704" s="520"/>
      <c r="CB1704" s="520"/>
      <c r="CC1704" s="1122"/>
      <c r="CD1704" s="1122"/>
      <c r="CE1704" s="1122"/>
      <c r="CF1704" s="1122"/>
      <c r="CG1704" s="519"/>
    </row>
    <row r="1705" spans="1:85" s="612" customFormat="1" x14ac:dyDescent="0.3">
      <c r="A1705" s="106"/>
      <c r="B1705" s="514"/>
      <c r="C1705" s="1097"/>
      <c r="D1705" s="1097"/>
      <c r="E1705" s="1097"/>
      <c r="F1705" s="1097"/>
      <c r="G1705" s="772"/>
      <c r="H1705" s="772"/>
      <c r="I1705" s="772"/>
      <c r="J1705" s="772"/>
      <c r="K1705" s="1097"/>
      <c r="L1705" s="772"/>
      <c r="M1705" s="772"/>
      <c r="N1705" s="772"/>
      <c r="O1705" s="772"/>
      <c r="P1705" s="1097"/>
      <c r="Q1705" s="772"/>
      <c r="R1705" s="772"/>
      <c r="S1705" s="772"/>
      <c r="T1705" s="772"/>
      <c r="U1705" s="1097"/>
      <c r="V1705" s="772"/>
      <c r="W1705" s="772"/>
      <c r="X1705" s="772"/>
      <c r="Y1705" s="772"/>
      <c r="Z1705" s="1097"/>
      <c r="AA1705" s="772"/>
      <c r="AB1705" s="772"/>
      <c r="AC1705" s="772"/>
      <c r="AD1705" s="772"/>
      <c r="AE1705" s="1097"/>
      <c r="AF1705" s="772"/>
      <c r="AG1705" s="772"/>
      <c r="AH1705" s="772"/>
      <c r="AI1705" s="772"/>
      <c r="AJ1705" s="1097"/>
      <c r="AK1705" s="772"/>
      <c r="AL1705" s="772"/>
      <c r="AM1705" s="772"/>
      <c r="AN1705" s="772"/>
      <c r="AO1705" s="1097"/>
      <c r="AP1705" s="772"/>
      <c r="AQ1705" s="772"/>
      <c r="AR1705" s="772"/>
      <c r="AS1705" s="772"/>
      <c r="AT1705" s="1097"/>
      <c r="AU1705" s="772"/>
      <c r="AV1705" s="772"/>
      <c r="AW1705" s="772"/>
      <c r="AX1705" s="772"/>
      <c r="AY1705" s="1097"/>
      <c r="AZ1705" s="772"/>
      <c r="BA1705" s="772"/>
      <c r="BB1705" s="772"/>
      <c r="BC1705" s="772"/>
      <c r="BD1705" s="1130"/>
      <c r="BE1705" s="772"/>
      <c r="BF1705" s="772"/>
      <c r="BG1705" s="772"/>
      <c r="BH1705" s="772"/>
      <c r="BI1705" s="1097"/>
      <c r="BJ1705" s="772"/>
      <c r="BK1705" s="772"/>
      <c r="BL1705" s="772"/>
      <c r="BM1705" s="772"/>
      <c r="BN1705" s="1097"/>
      <c r="BO1705" s="772"/>
      <c r="BP1705" s="772"/>
      <c r="BQ1705" s="772"/>
      <c r="BR1705" s="772"/>
      <c r="BS1705" s="1097"/>
      <c r="BT1705" s="838"/>
      <c r="BU1705" s="772"/>
      <c r="BV1705" s="772"/>
      <c r="BW1705" s="772"/>
      <c r="BX1705" s="1097"/>
      <c r="BY1705" s="772"/>
      <c r="BZ1705" s="772"/>
      <c r="CA1705" s="772"/>
      <c r="CB1705" s="772"/>
      <c r="CC1705" s="1097"/>
      <c r="CD1705" s="1097"/>
      <c r="CE1705" s="1097"/>
      <c r="CF1705" s="1097"/>
      <c r="CG1705" s="348"/>
    </row>
    <row r="1706" spans="1:85" s="613" customFormat="1" x14ac:dyDescent="0.3">
      <c r="A1706" s="478" t="s">
        <v>2122</v>
      </c>
      <c r="B1706" s="523"/>
      <c r="C1706" s="78"/>
      <c r="D1706" s="78"/>
      <c r="E1706" s="78"/>
      <c r="F1706" s="78"/>
      <c r="G1706" s="774"/>
      <c r="H1706" s="774"/>
      <c r="I1706" s="774"/>
      <c r="J1706" s="774"/>
      <c r="K1706" s="78"/>
      <c r="L1706" s="774"/>
      <c r="M1706" s="774"/>
      <c r="N1706" s="774"/>
      <c r="O1706" s="774"/>
      <c r="P1706" s="78"/>
      <c r="Q1706" s="774"/>
      <c r="R1706" s="774"/>
      <c r="S1706" s="774"/>
      <c r="T1706" s="774"/>
      <c r="U1706" s="78"/>
      <c r="V1706" s="774"/>
      <c r="W1706" s="774"/>
      <c r="X1706" s="774"/>
      <c r="Y1706" s="774"/>
      <c r="Z1706" s="78"/>
      <c r="AA1706" s="774"/>
      <c r="AB1706" s="774"/>
      <c r="AC1706" s="774"/>
      <c r="AD1706" s="774"/>
      <c r="AE1706" s="78"/>
      <c r="AF1706" s="774"/>
      <c r="AG1706" s="774"/>
      <c r="AH1706" s="774"/>
      <c r="AI1706" s="774"/>
      <c r="AJ1706" s="78"/>
      <c r="AK1706" s="774"/>
      <c r="AL1706" s="774"/>
      <c r="AM1706" s="774"/>
      <c r="AN1706" s="774"/>
      <c r="AO1706" s="78"/>
      <c r="AP1706" s="774"/>
      <c r="AQ1706" s="774"/>
      <c r="AR1706" s="774"/>
      <c r="AS1706" s="774"/>
      <c r="AT1706" s="78"/>
      <c r="AU1706" s="774"/>
      <c r="AV1706" s="774"/>
      <c r="AW1706" s="774"/>
      <c r="AX1706" s="774"/>
      <c r="AY1706" s="78"/>
      <c r="AZ1706" s="774"/>
      <c r="BA1706" s="774"/>
      <c r="BB1706" s="774"/>
      <c r="BC1706" s="774"/>
      <c r="BD1706" s="78"/>
      <c r="BE1706" s="774"/>
      <c r="BF1706" s="774"/>
      <c r="BG1706" s="774"/>
      <c r="BH1706" s="774"/>
      <c r="BI1706" s="1119">
        <v>0.50600000000000001</v>
      </c>
      <c r="BJ1706" s="774"/>
      <c r="BK1706" s="774"/>
      <c r="BL1706" s="774"/>
      <c r="BM1706" s="774"/>
      <c r="BN1706" s="78"/>
      <c r="BO1706" s="774"/>
      <c r="BP1706" s="774"/>
      <c r="BQ1706" s="774"/>
      <c r="BR1706" s="774"/>
      <c r="BS1706" s="78"/>
      <c r="BT1706" s="775"/>
      <c r="BU1706" s="774"/>
      <c r="BV1706" s="774"/>
      <c r="BW1706" s="774"/>
      <c r="BX1706" s="78"/>
      <c r="BY1706" s="774"/>
      <c r="BZ1706" s="774"/>
      <c r="CA1706" s="774"/>
      <c r="CB1706" s="774"/>
      <c r="CC1706" s="78"/>
      <c r="CD1706" s="78"/>
      <c r="CE1706" s="78"/>
      <c r="CF1706" s="78"/>
      <c r="CG1706" s="532"/>
    </row>
    <row r="1707" spans="1:85" s="615" customFormat="1" x14ac:dyDescent="0.3">
      <c r="A1707" s="522" t="s">
        <v>2123</v>
      </c>
      <c r="B1707" s="521"/>
      <c r="C1707" s="1122"/>
      <c r="D1707" s="1122"/>
      <c r="E1707" s="1122"/>
      <c r="F1707" s="1122"/>
      <c r="G1707" s="520"/>
      <c r="H1707" s="520"/>
      <c r="I1707" s="520"/>
      <c r="J1707" s="520"/>
      <c r="K1707" s="1122"/>
      <c r="L1707" s="520"/>
      <c r="M1707" s="520"/>
      <c r="N1707" s="520"/>
      <c r="O1707" s="520"/>
      <c r="P1707" s="1122"/>
      <c r="Q1707" s="520"/>
      <c r="R1707" s="520"/>
      <c r="S1707" s="520"/>
      <c r="T1707" s="520"/>
      <c r="U1707" s="1122"/>
      <c r="V1707" s="520"/>
      <c r="W1707" s="520"/>
      <c r="X1707" s="520"/>
      <c r="Y1707" s="520"/>
      <c r="Z1707" s="1122"/>
      <c r="AA1707" s="520"/>
      <c r="AB1707" s="520"/>
      <c r="AC1707" s="520"/>
      <c r="AD1707" s="520"/>
      <c r="AE1707" s="1122"/>
      <c r="AF1707" s="520"/>
      <c r="AG1707" s="520"/>
      <c r="AH1707" s="520"/>
      <c r="AI1707" s="520"/>
      <c r="AJ1707" s="1122"/>
      <c r="AK1707" s="520"/>
      <c r="AL1707" s="520"/>
      <c r="AM1707" s="520"/>
      <c r="AN1707" s="520"/>
      <c r="AO1707" s="1122"/>
      <c r="AP1707" s="520"/>
      <c r="AQ1707" s="520"/>
      <c r="AR1707" s="520"/>
      <c r="AS1707" s="520"/>
      <c r="AT1707" s="1124"/>
      <c r="AU1707" s="520"/>
      <c r="AV1707" s="520"/>
      <c r="AW1707" s="520"/>
      <c r="AX1707" s="520"/>
      <c r="AY1707" s="1124"/>
      <c r="AZ1707" s="520"/>
      <c r="BA1707" s="520"/>
      <c r="BB1707" s="520"/>
      <c r="BC1707" s="520"/>
      <c r="BD1707" s="1124"/>
      <c r="BE1707" s="520"/>
      <c r="BF1707" s="520"/>
      <c r="BG1707" s="520"/>
      <c r="BH1707" s="520"/>
      <c r="BI1707" s="1123">
        <v>617.77</v>
      </c>
      <c r="BJ1707" s="520"/>
      <c r="BK1707" s="520"/>
      <c r="BL1707" s="520"/>
      <c r="BM1707" s="520"/>
      <c r="BN1707" s="1124"/>
      <c r="BO1707" s="520"/>
      <c r="BP1707" s="520"/>
      <c r="BQ1707" s="520"/>
      <c r="BR1707" s="520"/>
      <c r="BS1707" s="1124"/>
      <c r="BT1707" s="728"/>
      <c r="BU1707" s="520"/>
      <c r="BV1707" s="520"/>
      <c r="BW1707" s="520"/>
      <c r="BX1707" s="1122"/>
      <c r="BY1707" s="520"/>
      <c r="BZ1707" s="520"/>
      <c r="CA1707" s="520"/>
      <c r="CB1707" s="520"/>
      <c r="CC1707" s="1122"/>
      <c r="CD1707" s="1122"/>
      <c r="CE1707" s="1122"/>
      <c r="CF1707" s="1122"/>
      <c r="CG1707" s="519"/>
    </row>
    <row r="1708" spans="1:85" s="612" customFormat="1" x14ac:dyDescent="0.3">
      <c r="A1708" s="106"/>
      <c r="B1708" s="514"/>
      <c r="C1708" s="1097"/>
      <c r="D1708" s="1097"/>
      <c r="E1708" s="1097"/>
      <c r="F1708" s="1097"/>
      <c r="G1708" s="772"/>
      <c r="H1708" s="772"/>
      <c r="I1708" s="772"/>
      <c r="J1708" s="772"/>
      <c r="K1708" s="1097"/>
      <c r="L1708" s="772"/>
      <c r="M1708" s="772"/>
      <c r="N1708" s="772"/>
      <c r="O1708" s="772"/>
      <c r="P1708" s="1097"/>
      <c r="Q1708" s="772"/>
      <c r="R1708" s="772"/>
      <c r="S1708" s="772"/>
      <c r="T1708" s="772"/>
      <c r="U1708" s="1097"/>
      <c r="V1708" s="772"/>
      <c r="W1708" s="772"/>
      <c r="X1708" s="772"/>
      <c r="Y1708" s="772"/>
      <c r="Z1708" s="1097"/>
      <c r="AA1708" s="772"/>
      <c r="AB1708" s="772"/>
      <c r="AC1708" s="772"/>
      <c r="AD1708" s="772"/>
      <c r="AE1708" s="1097"/>
      <c r="AF1708" s="772"/>
      <c r="AG1708" s="772"/>
      <c r="AH1708" s="772"/>
      <c r="AI1708" s="772"/>
      <c r="AJ1708" s="1097"/>
      <c r="AK1708" s="772"/>
      <c r="AL1708" s="772"/>
      <c r="AM1708" s="772"/>
      <c r="AN1708" s="772"/>
      <c r="AO1708" s="1097"/>
      <c r="AP1708" s="772"/>
      <c r="AQ1708" s="772"/>
      <c r="AR1708" s="772"/>
      <c r="AS1708" s="772"/>
      <c r="AT1708" s="1097"/>
      <c r="AU1708" s="772"/>
      <c r="AV1708" s="772"/>
      <c r="AW1708" s="772"/>
      <c r="AX1708" s="772"/>
      <c r="AY1708" s="1097"/>
      <c r="AZ1708" s="772"/>
      <c r="BA1708" s="772"/>
      <c r="BB1708" s="772"/>
      <c r="BC1708" s="772"/>
      <c r="BD1708" s="1130"/>
      <c r="BE1708" s="772"/>
      <c r="BF1708" s="772"/>
      <c r="BG1708" s="772"/>
      <c r="BH1708" s="772"/>
      <c r="BI1708" s="1097"/>
      <c r="BJ1708" s="772"/>
      <c r="BK1708" s="772"/>
      <c r="BL1708" s="772"/>
      <c r="BM1708" s="772"/>
      <c r="BN1708" s="1097"/>
      <c r="BO1708" s="772"/>
      <c r="BP1708" s="772"/>
      <c r="BQ1708" s="772"/>
      <c r="BR1708" s="772"/>
      <c r="BS1708" s="1097"/>
      <c r="BT1708" s="838"/>
      <c r="BU1708" s="772"/>
      <c r="BV1708" s="772"/>
      <c r="BW1708" s="772"/>
      <c r="BX1708" s="1097"/>
      <c r="BY1708" s="772"/>
      <c r="BZ1708" s="772"/>
      <c r="CA1708" s="772"/>
      <c r="CB1708" s="772"/>
      <c r="CC1708" s="1097"/>
      <c r="CD1708" s="1097"/>
      <c r="CE1708" s="1097"/>
      <c r="CF1708" s="1097"/>
      <c r="CG1708" s="348"/>
    </row>
    <row r="1709" spans="1:85" s="613" customFormat="1" x14ac:dyDescent="0.3">
      <c r="A1709" s="478" t="s">
        <v>2124</v>
      </c>
      <c r="B1709" s="523"/>
      <c r="C1709" s="78"/>
      <c r="D1709" s="78"/>
      <c r="E1709" s="78"/>
      <c r="F1709" s="78"/>
      <c r="G1709" s="774"/>
      <c r="H1709" s="774"/>
      <c r="I1709" s="774"/>
      <c r="J1709" s="774"/>
      <c r="K1709" s="78"/>
      <c r="L1709" s="774"/>
      <c r="M1709" s="774"/>
      <c r="N1709" s="774"/>
      <c r="O1709" s="774"/>
      <c r="P1709" s="78"/>
      <c r="Q1709" s="774"/>
      <c r="R1709" s="774"/>
      <c r="S1709" s="774"/>
      <c r="T1709" s="774"/>
      <c r="U1709" s="78"/>
      <c r="V1709" s="774"/>
      <c r="W1709" s="774"/>
      <c r="X1709" s="774"/>
      <c r="Y1709" s="774"/>
      <c r="Z1709" s="78"/>
      <c r="AA1709" s="774"/>
      <c r="AB1709" s="774"/>
      <c r="AC1709" s="774"/>
      <c r="AD1709" s="774"/>
      <c r="AE1709" s="78"/>
      <c r="AF1709" s="774"/>
      <c r="AG1709" s="774"/>
      <c r="AH1709" s="774"/>
      <c r="AI1709" s="774"/>
      <c r="AJ1709" s="78"/>
      <c r="AK1709" s="774"/>
      <c r="AL1709" s="774"/>
      <c r="AM1709" s="774"/>
      <c r="AN1709" s="774"/>
      <c r="AO1709" s="78"/>
      <c r="AP1709" s="774"/>
      <c r="AQ1709" s="774"/>
      <c r="AR1709" s="774"/>
      <c r="AS1709" s="774"/>
      <c r="AT1709" s="78"/>
      <c r="AU1709" s="774"/>
      <c r="AV1709" s="774"/>
      <c r="AW1709" s="774"/>
      <c r="AX1709" s="774"/>
      <c r="AY1709" s="78"/>
      <c r="AZ1709" s="774"/>
      <c r="BA1709" s="774"/>
      <c r="BB1709" s="774"/>
      <c r="BC1709" s="774"/>
      <c r="BD1709" s="78"/>
      <c r="BE1709" s="774"/>
      <c r="BF1709" s="774"/>
      <c r="BG1709" s="774"/>
      <c r="BH1709" s="774"/>
      <c r="BI1709" s="1119">
        <v>0.52300000000000002</v>
      </c>
      <c r="BJ1709" s="774"/>
      <c r="BK1709" s="774"/>
      <c r="BL1709" s="774"/>
      <c r="BM1709" s="774"/>
      <c r="BN1709" s="78"/>
      <c r="BO1709" s="774"/>
      <c r="BP1709" s="774"/>
      <c r="BQ1709" s="774"/>
      <c r="BR1709" s="774"/>
      <c r="BS1709" s="78"/>
      <c r="BT1709" s="775"/>
      <c r="BU1709" s="774"/>
      <c r="BV1709" s="774"/>
      <c r="BW1709" s="774"/>
      <c r="BX1709" s="78"/>
      <c r="BY1709" s="774"/>
      <c r="BZ1709" s="774"/>
      <c r="CA1709" s="774"/>
      <c r="CB1709" s="774"/>
      <c r="CC1709" s="78"/>
      <c r="CD1709" s="78"/>
      <c r="CE1709" s="78"/>
      <c r="CF1709" s="78"/>
      <c r="CG1709" s="532"/>
    </row>
    <row r="1710" spans="1:85" s="615" customFormat="1" x14ac:dyDescent="0.3">
      <c r="A1710" s="522" t="s">
        <v>2125</v>
      </c>
      <c r="B1710" s="521"/>
      <c r="C1710" s="1122"/>
      <c r="D1710" s="1122"/>
      <c r="E1710" s="1122"/>
      <c r="F1710" s="1122"/>
      <c r="G1710" s="520"/>
      <c r="H1710" s="520"/>
      <c r="I1710" s="520"/>
      <c r="J1710" s="520"/>
      <c r="K1710" s="1122"/>
      <c r="L1710" s="520"/>
      <c r="M1710" s="520"/>
      <c r="N1710" s="520"/>
      <c r="O1710" s="520"/>
      <c r="P1710" s="1122"/>
      <c r="Q1710" s="520"/>
      <c r="R1710" s="520"/>
      <c r="S1710" s="520"/>
      <c r="T1710" s="520"/>
      <c r="U1710" s="1122"/>
      <c r="V1710" s="520"/>
      <c r="W1710" s="520"/>
      <c r="X1710" s="520"/>
      <c r="Y1710" s="520"/>
      <c r="Z1710" s="1122"/>
      <c r="AA1710" s="520"/>
      <c r="AB1710" s="520"/>
      <c r="AC1710" s="520"/>
      <c r="AD1710" s="520"/>
      <c r="AE1710" s="1122"/>
      <c r="AF1710" s="520"/>
      <c r="AG1710" s="520"/>
      <c r="AH1710" s="520"/>
      <c r="AI1710" s="520"/>
      <c r="AJ1710" s="1122"/>
      <c r="AK1710" s="520"/>
      <c r="AL1710" s="520"/>
      <c r="AM1710" s="520"/>
      <c r="AN1710" s="520"/>
      <c r="AO1710" s="1122"/>
      <c r="AP1710" s="520"/>
      <c r="AQ1710" s="520"/>
      <c r="AR1710" s="520"/>
      <c r="AS1710" s="520"/>
      <c r="AT1710" s="1124"/>
      <c r="AU1710" s="520"/>
      <c r="AV1710" s="520"/>
      <c r="AW1710" s="520"/>
      <c r="AX1710" s="520"/>
      <c r="AY1710" s="1124"/>
      <c r="AZ1710" s="520"/>
      <c r="BA1710" s="520"/>
      <c r="BB1710" s="520"/>
      <c r="BC1710" s="520"/>
      <c r="BD1710" s="1124"/>
      <c r="BE1710" s="520"/>
      <c r="BF1710" s="520"/>
      <c r="BG1710" s="520"/>
      <c r="BH1710" s="520"/>
      <c r="BI1710" s="1123">
        <v>597.37</v>
      </c>
      <c r="BJ1710" s="520"/>
      <c r="BK1710" s="520"/>
      <c r="BL1710" s="520"/>
      <c r="BM1710" s="520"/>
      <c r="BN1710" s="1124"/>
      <c r="BO1710" s="520"/>
      <c r="BP1710" s="520"/>
      <c r="BQ1710" s="520"/>
      <c r="BR1710" s="520"/>
      <c r="BS1710" s="1124"/>
      <c r="BT1710" s="728"/>
      <c r="BU1710" s="520"/>
      <c r="BV1710" s="520"/>
      <c r="BW1710" s="520"/>
      <c r="BX1710" s="1122"/>
      <c r="BY1710" s="520"/>
      <c r="BZ1710" s="520"/>
      <c r="CA1710" s="520"/>
      <c r="CB1710" s="520"/>
      <c r="CC1710" s="1122"/>
      <c r="CD1710" s="1122"/>
      <c r="CE1710" s="1122"/>
      <c r="CF1710" s="1122"/>
      <c r="CG1710" s="519"/>
    </row>
    <row r="1711" spans="1:85" s="612" customFormat="1" x14ac:dyDescent="0.3">
      <c r="A1711" s="106"/>
      <c r="B1711" s="514"/>
      <c r="C1711" s="1097"/>
      <c r="D1711" s="1097"/>
      <c r="E1711" s="1097"/>
      <c r="F1711" s="1097"/>
      <c r="G1711" s="772"/>
      <c r="H1711" s="772"/>
      <c r="I1711" s="772"/>
      <c r="J1711" s="772"/>
      <c r="K1711" s="1097"/>
      <c r="L1711" s="772"/>
      <c r="M1711" s="772"/>
      <c r="N1711" s="772"/>
      <c r="O1711" s="772"/>
      <c r="P1711" s="1097"/>
      <c r="Q1711" s="772"/>
      <c r="R1711" s="772"/>
      <c r="S1711" s="772"/>
      <c r="T1711" s="772"/>
      <c r="U1711" s="1097"/>
      <c r="V1711" s="772"/>
      <c r="W1711" s="772"/>
      <c r="X1711" s="772"/>
      <c r="Y1711" s="772"/>
      <c r="Z1711" s="1097"/>
      <c r="AA1711" s="772"/>
      <c r="AB1711" s="772"/>
      <c r="AC1711" s="772"/>
      <c r="AD1711" s="772"/>
      <c r="AE1711" s="1097"/>
      <c r="AF1711" s="772"/>
      <c r="AG1711" s="772"/>
      <c r="AH1711" s="772"/>
      <c r="AI1711" s="772"/>
      <c r="AJ1711" s="1097"/>
      <c r="AK1711" s="772"/>
      <c r="AL1711" s="772"/>
      <c r="AM1711" s="772"/>
      <c r="AN1711" s="772"/>
      <c r="AO1711" s="1097"/>
      <c r="AP1711" s="772"/>
      <c r="AQ1711" s="772"/>
      <c r="AR1711" s="772"/>
      <c r="AS1711" s="772"/>
      <c r="AT1711" s="1097"/>
      <c r="AU1711" s="772"/>
      <c r="AV1711" s="772"/>
      <c r="AW1711" s="772"/>
      <c r="AX1711" s="772"/>
      <c r="AY1711" s="1097"/>
      <c r="AZ1711" s="772"/>
      <c r="BA1711" s="772"/>
      <c r="BB1711" s="772"/>
      <c r="BC1711" s="772"/>
      <c r="BD1711" s="1130"/>
      <c r="BE1711" s="772"/>
      <c r="BF1711" s="772"/>
      <c r="BG1711" s="772"/>
      <c r="BH1711" s="772"/>
      <c r="BI1711" s="1097"/>
      <c r="BJ1711" s="772"/>
      <c r="BK1711" s="772"/>
      <c r="BL1711" s="772"/>
      <c r="BM1711" s="772"/>
      <c r="BN1711" s="1097"/>
      <c r="BO1711" s="772"/>
      <c r="BP1711" s="772"/>
      <c r="BQ1711" s="772"/>
      <c r="BR1711" s="772"/>
      <c r="BS1711" s="1097"/>
      <c r="BT1711" s="838"/>
      <c r="BU1711" s="772"/>
      <c r="BV1711" s="772"/>
      <c r="BW1711" s="772"/>
      <c r="BX1711" s="1097"/>
      <c r="BY1711" s="772"/>
      <c r="BZ1711" s="772"/>
      <c r="CA1711" s="772"/>
      <c r="CB1711" s="772"/>
      <c r="CC1711" s="1097"/>
      <c r="CD1711" s="1097"/>
      <c r="CE1711" s="1097"/>
      <c r="CF1711" s="1097"/>
      <c r="CG1711" s="348"/>
    </row>
    <row r="1712" spans="1:85" s="613" customFormat="1" x14ac:dyDescent="0.3">
      <c r="A1712" s="478" t="s">
        <v>2126</v>
      </c>
      <c r="B1712" s="523"/>
      <c r="C1712" s="78"/>
      <c r="D1712" s="78"/>
      <c r="E1712" s="78"/>
      <c r="F1712" s="78"/>
      <c r="G1712" s="774"/>
      <c r="H1712" s="774"/>
      <c r="I1712" s="774"/>
      <c r="J1712" s="774"/>
      <c r="K1712" s="78"/>
      <c r="L1712" s="774"/>
      <c r="M1712" s="774"/>
      <c r="N1712" s="774"/>
      <c r="O1712" s="774"/>
      <c r="P1712" s="78"/>
      <c r="Q1712" s="774"/>
      <c r="R1712" s="774"/>
      <c r="S1712" s="774"/>
      <c r="T1712" s="774"/>
      <c r="U1712" s="78"/>
      <c r="V1712" s="774"/>
      <c r="W1712" s="774"/>
      <c r="X1712" s="774"/>
      <c r="Y1712" s="774"/>
      <c r="Z1712" s="78"/>
      <c r="AA1712" s="774"/>
      <c r="AB1712" s="774"/>
      <c r="AC1712" s="774"/>
      <c r="AD1712" s="774"/>
      <c r="AE1712" s="78"/>
      <c r="AF1712" s="774"/>
      <c r="AG1712" s="774"/>
      <c r="AH1712" s="774"/>
      <c r="AI1712" s="774"/>
      <c r="AJ1712" s="78"/>
      <c r="AK1712" s="774"/>
      <c r="AL1712" s="774"/>
      <c r="AM1712" s="774"/>
      <c r="AN1712" s="774"/>
      <c r="AO1712" s="78"/>
      <c r="AP1712" s="774"/>
      <c r="AQ1712" s="774"/>
      <c r="AR1712" s="774"/>
      <c r="AS1712" s="774"/>
      <c r="AT1712" s="78"/>
      <c r="AU1712" s="774"/>
      <c r="AV1712" s="774"/>
      <c r="AW1712" s="774"/>
      <c r="AX1712" s="774"/>
      <c r="AY1712" s="78"/>
      <c r="AZ1712" s="774"/>
      <c r="BA1712" s="774"/>
      <c r="BB1712" s="774"/>
      <c r="BC1712" s="774"/>
      <c r="BD1712" s="78"/>
      <c r="BE1712" s="774"/>
      <c r="BF1712" s="774"/>
      <c r="BG1712" s="774"/>
      <c r="BH1712" s="774"/>
      <c r="BI1712" s="1119">
        <v>0.68400000000000005</v>
      </c>
      <c r="BJ1712" s="774"/>
      <c r="BK1712" s="774"/>
      <c r="BL1712" s="774"/>
      <c r="BM1712" s="774"/>
      <c r="BN1712" s="78"/>
      <c r="BO1712" s="774"/>
      <c r="BP1712" s="774"/>
      <c r="BQ1712" s="774"/>
      <c r="BR1712" s="774"/>
      <c r="BS1712" s="78"/>
      <c r="BT1712" s="775"/>
      <c r="BU1712" s="774"/>
      <c r="BV1712" s="774"/>
      <c r="BW1712" s="774"/>
      <c r="BX1712" s="78"/>
      <c r="BY1712" s="774"/>
      <c r="BZ1712" s="774"/>
      <c r="CA1712" s="774"/>
      <c r="CB1712" s="774"/>
      <c r="CC1712" s="78"/>
      <c r="CD1712" s="78"/>
      <c r="CE1712" s="78"/>
      <c r="CF1712" s="78"/>
      <c r="CG1712" s="532"/>
    </row>
    <row r="1713" spans="1:85" s="615" customFormat="1" x14ac:dyDescent="0.3">
      <c r="A1713" s="522" t="s">
        <v>2127</v>
      </c>
      <c r="B1713" s="521"/>
      <c r="C1713" s="1122"/>
      <c r="D1713" s="1122"/>
      <c r="E1713" s="1122"/>
      <c r="F1713" s="1122"/>
      <c r="G1713" s="520"/>
      <c r="H1713" s="520"/>
      <c r="I1713" s="520"/>
      <c r="J1713" s="520"/>
      <c r="K1713" s="1122"/>
      <c r="L1713" s="520"/>
      <c r="M1713" s="520"/>
      <c r="N1713" s="520"/>
      <c r="O1713" s="520"/>
      <c r="P1713" s="1122"/>
      <c r="Q1713" s="520"/>
      <c r="R1713" s="520"/>
      <c r="S1713" s="520"/>
      <c r="T1713" s="520"/>
      <c r="U1713" s="1122"/>
      <c r="V1713" s="520"/>
      <c r="W1713" s="520"/>
      <c r="X1713" s="520"/>
      <c r="Y1713" s="520"/>
      <c r="Z1713" s="1122"/>
      <c r="AA1713" s="520"/>
      <c r="AB1713" s="520"/>
      <c r="AC1713" s="520"/>
      <c r="AD1713" s="520"/>
      <c r="AE1713" s="1122"/>
      <c r="AF1713" s="520"/>
      <c r="AG1713" s="520"/>
      <c r="AH1713" s="520"/>
      <c r="AI1713" s="520"/>
      <c r="AJ1713" s="1122"/>
      <c r="AK1713" s="520"/>
      <c r="AL1713" s="520"/>
      <c r="AM1713" s="520"/>
      <c r="AN1713" s="520"/>
      <c r="AO1713" s="1122"/>
      <c r="AP1713" s="520"/>
      <c r="AQ1713" s="520"/>
      <c r="AR1713" s="520"/>
      <c r="AS1713" s="520"/>
      <c r="AT1713" s="1124"/>
      <c r="AU1713" s="520"/>
      <c r="AV1713" s="520"/>
      <c r="AW1713" s="520"/>
      <c r="AX1713" s="520"/>
      <c r="AY1713" s="1124"/>
      <c r="AZ1713" s="520"/>
      <c r="BA1713" s="520"/>
      <c r="BB1713" s="520"/>
      <c r="BC1713" s="520"/>
      <c r="BD1713" s="1124"/>
      <c r="BE1713" s="520"/>
      <c r="BF1713" s="520"/>
      <c r="BG1713" s="520"/>
      <c r="BH1713" s="520"/>
      <c r="BI1713" s="1123">
        <v>457.13</v>
      </c>
      <c r="BJ1713" s="520"/>
      <c r="BK1713" s="520"/>
      <c r="BL1713" s="520"/>
      <c r="BM1713" s="520"/>
      <c r="BN1713" s="1124"/>
      <c r="BO1713" s="520"/>
      <c r="BP1713" s="520"/>
      <c r="BQ1713" s="520"/>
      <c r="BR1713" s="520"/>
      <c r="BS1713" s="1124"/>
      <c r="BT1713" s="728"/>
      <c r="BU1713" s="520"/>
      <c r="BV1713" s="520"/>
      <c r="BW1713" s="520"/>
      <c r="BX1713" s="1122"/>
      <c r="BY1713" s="520"/>
      <c r="BZ1713" s="520"/>
      <c r="CA1713" s="520"/>
      <c r="CB1713" s="520"/>
      <c r="CC1713" s="1122"/>
      <c r="CD1713" s="1122"/>
      <c r="CE1713" s="1122"/>
      <c r="CF1713" s="1122"/>
      <c r="CG1713" s="519"/>
    </row>
    <row r="1714" spans="1:85" s="612" customFormat="1" x14ac:dyDescent="0.3">
      <c r="A1714" s="106"/>
      <c r="B1714" s="514"/>
      <c r="C1714" s="1097"/>
      <c r="D1714" s="1097"/>
      <c r="E1714" s="1097"/>
      <c r="F1714" s="1097"/>
      <c r="G1714" s="772"/>
      <c r="H1714" s="772"/>
      <c r="I1714" s="772"/>
      <c r="J1714" s="772"/>
      <c r="K1714" s="1097"/>
      <c r="L1714" s="772"/>
      <c r="M1714" s="772"/>
      <c r="N1714" s="772"/>
      <c r="O1714" s="772"/>
      <c r="P1714" s="1097"/>
      <c r="Q1714" s="772"/>
      <c r="R1714" s="772"/>
      <c r="S1714" s="772"/>
      <c r="T1714" s="772"/>
      <c r="U1714" s="1097"/>
      <c r="V1714" s="772"/>
      <c r="W1714" s="772"/>
      <c r="X1714" s="772"/>
      <c r="Y1714" s="772"/>
      <c r="Z1714" s="1097"/>
      <c r="AA1714" s="772"/>
      <c r="AB1714" s="772"/>
      <c r="AC1714" s="772"/>
      <c r="AD1714" s="772"/>
      <c r="AE1714" s="1097"/>
      <c r="AF1714" s="772"/>
      <c r="AG1714" s="772"/>
      <c r="AH1714" s="772"/>
      <c r="AI1714" s="772"/>
      <c r="AJ1714" s="1097"/>
      <c r="AK1714" s="772"/>
      <c r="AL1714" s="772"/>
      <c r="AM1714" s="772"/>
      <c r="AN1714" s="772"/>
      <c r="AO1714" s="1097"/>
      <c r="AP1714" s="772"/>
      <c r="AQ1714" s="772"/>
      <c r="AR1714" s="772"/>
      <c r="AS1714" s="772"/>
      <c r="AT1714" s="1097"/>
      <c r="AU1714" s="772"/>
      <c r="AV1714" s="772"/>
      <c r="AW1714" s="772"/>
      <c r="AX1714" s="772"/>
      <c r="AY1714" s="1097"/>
      <c r="AZ1714" s="772"/>
      <c r="BA1714" s="772"/>
      <c r="BB1714" s="772"/>
      <c r="BC1714" s="772"/>
      <c r="BD1714" s="1130"/>
      <c r="BE1714" s="772"/>
      <c r="BF1714" s="772"/>
      <c r="BG1714" s="772"/>
      <c r="BH1714" s="772"/>
      <c r="BI1714" s="1097"/>
      <c r="BJ1714" s="772"/>
      <c r="BK1714" s="772"/>
      <c r="BL1714" s="772"/>
      <c r="BM1714" s="772"/>
      <c r="BN1714" s="1097"/>
      <c r="BO1714" s="772"/>
      <c r="BP1714" s="772"/>
      <c r="BQ1714" s="772"/>
      <c r="BR1714" s="772"/>
      <c r="BS1714" s="1097"/>
      <c r="BT1714" s="838"/>
      <c r="BU1714" s="772"/>
      <c r="BV1714" s="772"/>
      <c r="BW1714" s="772"/>
      <c r="BX1714" s="1097"/>
      <c r="BY1714" s="772"/>
      <c r="BZ1714" s="772"/>
      <c r="CA1714" s="772"/>
      <c r="CB1714" s="772"/>
      <c r="CC1714" s="1097"/>
      <c r="CD1714" s="1097"/>
      <c r="CE1714" s="1097"/>
      <c r="CF1714" s="1097"/>
      <c r="CG1714" s="348"/>
    </row>
    <row r="1715" spans="1:85" s="613" customFormat="1" x14ac:dyDescent="0.3">
      <c r="A1715" s="478" t="s">
        <v>2128</v>
      </c>
      <c r="B1715" s="523"/>
      <c r="C1715" s="78"/>
      <c r="D1715" s="78"/>
      <c r="E1715" s="78"/>
      <c r="F1715" s="78"/>
      <c r="G1715" s="774"/>
      <c r="H1715" s="774"/>
      <c r="I1715" s="774"/>
      <c r="J1715" s="774"/>
      <c r="K1715" s="78"/>
      <c r="L1715" s="774"/>
      <c r="M1715" s="774"/>
      <c r="N1715" s="774"/>
      <c r="O1715" s="774"/>
      <c r="P1715" s="78"/>
      <c r="Q1715" s="774"/>
      <c r="R1715" s="774"/>
      <c r="S1715" s="774"/>
      <c r="T1715" s="774"/>
      <c r="U1715" s="78"/>
      <c r="V1715" s="774"/>
      <c r="W1715" s="774"/>
      <c r="X1715" s="774"/>
      <c r="Y1715" s="774"/>
      <c r="Z1715" s="78"/>
      <c r="AA1715" s="774"/>
      <c r="AB1715" s="774"/>
      <c r="AC1715" s="774"/>
      <c r="AD1715" s="774"/>
      <c r="AE1715" s="78"/>
      <c r="AF1715" s="774"/>
      <c r="AG1715" s="774"/>
      <c r="AH1715" s="774"/>
      <c r="AI1715" s="774"/>
      <c r="AJ1715" s="78"/>
      <c r="AK1715" s="774"/>
      <c r="AL1715" s="774"/>
      <c r="AM1715" s="774"/>
      <c r="AN1715" s="774"/>
      <c r="AO1715" s="78"/>
      <c r="AP1715" s="774"/>
      <c r="AQ1715" s="774"/>
      <c r="AR1715" s="774"/>
      <c r="AS1715" s="774"/>
      <c r="AT1715" s="78"/>
      <c r="AU1715" s="774"/>
      <c r="AV1715" s="774"/>
      <c r="AW1715" s="774"/>
      <c r="AX1715" s="774"/>
      <c r="AY1715" s="78"/>
      <c r="AZ1715" s="774"/>
      <c r="BA1715" s="774"/>
      <c r="BB1715" s="774"/>
      <c r="BC1715" s="774"/>
      <c r="BD1715" s="78"/>
      <c r="BE1715" s="774"/>
      <c r="BF1715" s="774"/>
      <c r="BG1715" s="774"/>
      <c r="BH1715" s="774"/>
      <c r="BI1715" s="1119">
        <v>0.85</v>
      </c>
      <c r="BJ1715" s="774"/>
      <c r="BK1715" s="774"/>
      <c r="BL1715" s="774"/>
      <c r="BM1715" s="774"/>
      <c r="BN1715" s="78"/>
      <c r="BO1715" s="774"/>
      <c r="BP1715" s="774"/>
      <c r="BQ1715" s="774"/>
      <c r="BR1715" s="774"/>
      <c r="BS1715" s="78"/>
      <c r="BT1715" s="775"/>
      <c r="BU1715" s="774"/>
      <c r="BV1715" s="774"/>
      <c r="BW1715" s="774"/>
      <c r="BX1715" s="78"/>
      <c r="BY1715" s="774"/>
      <c r="BZ1715" s="774"/>
      <c r="CA1715" s="774"/>
      <c r="CB1715" s="774"/>
      <c r="CC1715" s="78"/>
      <c r="CD1715" s="78"/>
      <c r="CE1715" s="78"/>
      <c r="CF1715" s="78"/>
      <c r="CG1715" s="532"/>
    </row>
    <row r="1716" spans="1:85" s="615" customFormat="1" x14ac:dyDescent="0.3">
      <c r="A1716" s="522" t="s">
        <v>2129</v>
      </c>
      <c r="B1716" s="521"/>
      <c r="C1716" s="1122"/>
      <c r="D1716" s="1122"/>
      <c r="E1716" s="1122"/>
      <c r="F1716" s="1122"/>
      <c r="G1716" s="520"/>
      <c r="H1716" s="520"/>
      <c r="I1716" s="520"/>
      <c r="J1716" s="520"/>
      <c r="K1716" s="1122"/>
      <c r="L1716" s="520"/>
      <c r="M1716" s="520"/>
      <c r="N1716" s="520"/>
      <c r="O1716" s="520"/>
      <c r="P1716" s="1122"/>
      <c r="Q1716" s="520"/>
      <c r="R1716" s="520"/>
      <c r="S1716" s="520"/>
      <c r="T1716" s="520"/>
      <c r="U1716" s="1122"/>
      <c r="V1716" s="520"/>
      <c r="W1716" s="520"/>
      <c r="X1716" s="520"/>
      <c r="Y1716" s="520"/>
      <c r="Z1716" s="1122"/>
      <c r="AA1716" s="520"/>
      <c r="AB1716" s="520"/>
      <c r="AC1716" s="520"/>
      <c r="AD1716" s="520"/>
      <c r="AE1716" s="1122"/>
      <c r="AF1716" s="520"/>
      <c r="AG1716" s="520"/>
      <c r="AH1716" s="520"/>
      <c r="AI1716" s="520"/>
      <c r="AJ1716" s="1122"/>
      <c r="AK1716" s="520"/>
      <c r="AL1716" s="520"/>
      <c r="AM1716" s="520"/>
      <c r="AN1716" s="520"/>
      <c r="AO1716" s="1122"/>
      <c r="AP1716" s="520"/>
      <c r="AQ1716" s="520"/>
      <c r="AR1716" s="520"/>
      <c r="AS1716" s="520"/>
      <c r="AT1716" s="1124"/>
      <c r="AU1716" s="520"/>
      <c r="AV1716" s="520"/>
      <c r="AW1716" s="520"/>
      <c r="AX1716" s="520"/>
      <c r="AY1716" s="1124"/>
      <c r="AZ1716" s="520"/>
      <c r="BA1716" s="520"/>
      <c r="BB1716" s="520"/>
      <c r="BC1716" s="520"/>
      <c r="BD1716" s="1124"/>
      <c r="BE1716" s="520"/>
      <c r="BF1716" s="520"/>
      <c r="BG1716" s="520"/>
      <c r="BH1716" s="520"/>
      <c r="BI1716" s="1123">
        <v>441.44</v>
      </c>
      <c r="BJ1716" s="520"/>
      <c r="BK1716" s="520"/>
      <c r="BL1716" s="520"/>
      <c r="BM1716" s="520"/>
      <c r="BN1716" s="1124"/>
      <c r="BO1716" s="520"/>
      <c r="BP1716" s="520"/>
      <c r="BQ1716" s="520"/>
      <c r="BR1716" s="520"/>
      <c r="BS1716" s="1124"/>
      <c r="BT1716" s="728"/>
      <c r="BU1716" s="520"/>
      <c r="BV1716" s="520"/>
      <c r="BW1716" s="520"/>
      <c r="BX1716" s="1122"/>
      <c r="BY1716" s="520"/>
      <c r="BZ1716" s="520"/>
      <c r="CA1716" s="520"/>
      <c r="CB1716" s="520"/>
      <c r="CC1716" s="1122"/>
      <c r="CD1716" s="1122"/>
      <c r="CE1716" s="1122"/>
      <c r="CF1716" s="1122"/>
      <c r="CG1716" s="519"/>
    </row>
    <row r="1717" spans="1:85" s="612" customFormat="1" x14ac:dyDescent="0.3">
      <c r="A1717" s="522"/>
      <c r="B1717" s="514"/>
      <c r="C1717" s="1097"/>
      <c r="D1717" s="1097"/>
      <c r="E1717" s="1097"/>
      <c r="F1717" s="1097"/>
      <c r="G1717" s="772"/>
      <c r="H1717" s="772"/>
      <c r="I1717" s="772"/>
      <c r="J1717" s="772"/>
      <c r="K1717" s="1097"/>
      <c r="L1717" s="772"/>
      <c r="M1717" s="772"/>
      <c r="N1717" s="772"/>
      <c r="O1717" s="772"/>
      <c r="P1717" s="1097"/>
      <c r="Q1717" s="772"/>
      <c r="R1717" s="772"/>
      <c r="S1717" s="772"/>
      <c r="T1717" s="772"/>
      <c r="U1717" s="1097"/>
      <c r="V1717" s="772"/>
      <c r="W1717" s="772"/>
      <c r="X1717" s="772"/>
      <c r="Y1717" s="772"/>
      <c r="Z1717" s="1097"/>
      <c r="AA1717" s="772"/>
      <c r="AB1717" s="772"/>
      <c r="AC1717" s="772"/>
      <c r="AD1717" s="772"/>
      <c r="AE1717" s="1097"/>
      <c r="AF1717" s="772"/>
      <c r="AG1717" s="772"/>
      <c r="AH1717" s="772"/>
      <c r="AI1717" s="772"/>
      <c r="AJ1717" s="1097"/>
      <c r="AK1717" s="772"/>
      <c r="AL1717" s="772"/>
      <c r="AM1717" s="772"/>
      <c r="AN1717" s="772"/>
      <c r="AO1717" s="1097"/>
      <c r="AP1717" s="772"/>
      <c r="AQ1717" s="772"/>
      <c r="AR1717" s="772"/>
      <c r="AS1717" s="772"/>
      <c r="AT1717" s="1097"/>
      <c r="AU1717" s="772"/>
      <c r="AV1717" s="772"/>
      <c r="AW1717" s="772"/>
      <c r="AX1717" s="772"/>
      <c r="AY1717" s="1097"/>
      <c r="AZ1717" s="772"/>
      <c r="BA1717" s="772"/>
      <c r="BB1717" s="772"/>
      <c r="BC1717" s="772"/>
      <c r="BD1717" s="1130"/>
      <c r="BE1717" s="772"/>
      <c r="BF1717" s="772"/>
      <c r="BG1717" s="772"/>
      <c r="BH1717" s="772"/>
      <c r="BI1717" s="1097"/>
      <c r="BJ1717" s="772"/>
      <c r="BK1717" s="772"/>
      <c r="BL1717" s="772"/>
      <c r="BM1717" s="772"/>
      <c r="BN1717" s="1097"/>
      <c r="BO1717" s="772"/>
      <c r="BP1717" s="772"/>
      <c r="BQ1717" s="772"/>
      <c r="BR1717" s="772"/>
      <c r="BS1717" s="1097"/>
      <c r="BT1717" s="838"/>
      <c r="BU1717" s="772"/>
      <c r="BV1717" s="772"/>
      <c r="BW1717" s="772"/>
      <c r="BX1717" s="1097"/>
      <c r="BY1717" s="772"/>
      <c r="BZ1717" s="772"/>
      <c r="CA1717" s="772"/>
      <c r="CB1717" s="772"/>
      <c r="CC1717" s="1097"/>
      <c r="CD1717" s="1097"/>
      <c r="CE1717" s="1097"/>
      <c r="CF1717" s="1097"/>
      <c r="CG1717" s="348"/>
    </row>
    <row r="1718" spans="1:85" s="613" customFormat="1" x14ac:dyDescent="0.3">
      <c r="A1718" s="478" t="s">
        <v>2130</v>
      </c>
      <c r="B1718" s="523"/>
      <c r="C1718" s="78"/>
      <c r="D1718" s="78"/>
      <c r="E1718" s="78"/>
      <c r="F1718" s="78"/>
      <c r="G1718" s="774"/>
      <c r="H1718" s="774"/>
      <c r="I1718" s="774"/>
      <c r="J1718" s="774"/>
      <c r="K1718" s="78"/>
      <c r="L1718" s="774"/>
      <c r="M1718" s="774"/>
      <c r="N1718" s="774"/>
      <c r="O1718" s="774"/>
      <c r="P1718" s="78"/>
      <c r="Q1718" s="774"/>
      <c r="R1718" s="774"/>
      <c r="S1718" s="774"/>
      <c r="T1718" s="774"/>
      <c r="U1718" s="78"/>
      <c r="V1718" s="774"/>
      <c r="W1718" s="774"/>
      <c r="X1718" s="774"/>
      <c r="Y1718" s="774"/>
      <c r="Z1718" s="78"/>
      <c r="AA1718" s="774"/>
      <c r="AB1718" s="774"/>
      <c r="AC1718" s="774"/>
      <c r="AD1718" s="774"/>
      <c r="AE1718" s="78"/>
      <c r="AF1718" s="774"/>
      <c r="AG1718" s="774"/>
      <c r="AH1718" s="774"/>
      <c r="AI1718" s="774"/>
      <c r="AJ1718" s="78"/>
      <c r="AK1718" s="774"/>
      <c r="AL1718" s="774"/>
      <c r="AM1718" s="774"/>
      <c r="AN1718" s="774"/>
      <c r="AO1718" s="78"/>
      <c r="AP1718" s="774"/>
      <c r="AQ1718" s="774"/>
      <c r="AR1718" s="774"/>
      <c r="AS1718" s="774"/>
      <c r="AT1718" s="78"/>
      <c r="AU1718" s="774"/>
      <c r="AV1718" s="774"/>
      <c r="AW1718" s="774"/>
      <c r="AX1718" s="774"/>
      <c r="AY1718" s="78"/>
      <c r="AZ1718" s="774"/>
      <c r="BA1718" s="774"/>
      <c r="BB1718" s="774"/>
      <c r="BC1718" s="774"/>
      <c r="BD1718" s="78"/>
      <c r="BE1718" s="774"/>
      <c r="BF1718" s="774"/>
      <c r="BG1718" s="774"/>
      <c r="BH1718" s="774"/>
      <c r="BI1718" s="1119">
        <v>0.85499999999999998</v>
      </c>
      <c r="BJ1718" s="774"/>
      <c r="BK1718" s="774"/>
      <c r="BL1718" s="774"/>
      <c r="BM1718" s="774"/>
      <c r="BN1718" s="78"/>
      <c r="BO1718" s="774"/>
      <c r="BP1718" s="774"/>
      <c r="BQ1718" s="774"/>
      <c r="BR1718" s="774"/>
      <c r="BS1718" s="78"/>
      <c r="BT1718" s="775"/>
      <c r="BU1718" s="774"/>
      <c r="BV1718" s="774"/>
      <c r="BW1718" s="774"/>
      <c r="BX1718" s="78"/>
      <c r="BY1718" s="774"/>
      <c r="BZ1718" s="774"/>
      <c r="CA1718" s="774"/>
      <c r="CB1718" s="774"/>
      <c r="CC1718" s="78"/>
      <c r="CD1718" s="78"/>
      <c r="CE1718" s="78"/>
      <c r="CF1718" s="78"/>
      <c r="CG1718" s="532"/>
    </row>
    <row r="1719" spans="1:85" s="615" customFormat="1" x14ac:dyDescent="0.3">
      <c r="A1719" s="522" t="s">
        <v>2131</v>
      </c>
      <c r="B1719" s="521"/>
      <c r="C1719" s="1122"/>
      <c r="D1719" s="1122"/>
      <c r="E1719" s="1122"/>
      <c r="F1719" s="1122"/>
      <c r="G1719" s="520"/>
      <c r="H1719" s="520"/>
      <c r="I1719" s="520"/>
      <c r="J1719" s="520"/>
      <c r="K1719" s="1122"/>
      <c r="L1719" s="520"/>
      <c r="M1719" s="520"/>
      <c r="N1719" s="520"/>
      <c r="O1719" s="520"/>
      <c r="P1719" s="1122"/>
      <c r="Q1719" s="520"/>
      <c r="R1719" s="520"/>
      <c r="S1719" s="520"/>
      <c r="T1719" s="520"/>
      <c r="U1719" s="1122"/>
      <c r="V1719" s="520"/>
      <c r="W1719" s="520"/>
      <c r="X1719" s="520"/>
      <c r="Y1719" s="520"/>
      <c r="Z1719" s="1122"/>
      <c r="AA1719" s="520"/>
      <c r="AB1719" s="520"/>
      <c r="AC1719" s="520"/>
      <c r="AD1719" s="520"/>
      <c r="AE1719" s="1122"/>
      <c r="AF1719" s="520"/>
      <c r="AG1719" s="520"/>
      <c r="AH1719" s="520"/>
      <c r="AI1719" s="520"/>
      <c r="AJ1719" s="1122"/>
      <c r="AK1719" s="520"/>
      <c r="AL1719" s="520"/>
      <c r="AM1719" s="520"/>
      <c r="AN1719" s="520"/>
      <c r="AO1719" s="1122"/>
      <c r="AP1719" s="520"/>
      <c r="AQ1719" s="520"/>
      <c r="AR1719" s="520"/>
      <c r="AS1719" s="520"/>
      <c r="AT1719" s="1124"/>
      <c r="AU1719" s="520"/>
      <c r="AV1719" s="520"/>
      <c r="AW1719" s="520"/>
      <c r="AX1719" s="520"/>
      <c r="AY1719" s="1124"/>
      <c r="AZ1719" s="520"/>
      <c r="BA1719" s="520"/>
      <c r="BB1719" s="520"/>
      <c r="BC1719" s="520"/>
      <c r="BD1719" s="1124"/>
      <c r="BE1719" s="520"/>
      <c r="BF1719" s="520"/>
      <c r="BG1719" s="520"/>
      <c r="BH1719" s="520"/>
      <c r="BI1719" s="1123">
        <v>438.62</v>
      </c>
      <c r="BJ1719" s="520"/>
      <c r="BK1719" s="520"/>
      <c r="BL1719" s="520"/>
      <c r="BM1719" s="520"/>
      <c r="BN1719" s="1124"/>
      <c r="BO1719" s="520"/>
      <c r="BP1719" s="520"/>
      <c r="BQ1719" s="520"/>
      <c r="BR1719" s="520"/>
      <c r="BS1719" s="1124"/>
      <c r="BT1719" s="728"/>
      <c r="BU1719" s="520"/>
      <c r="BV1719" s="520"/>
      <c r="BW1719" s="520"/>
      <c r="BX1719" s="1122"/>
      <c r="BY1719" s="520"/>
      <c r="BZ1719" s="520"/>
      <c r="CA1719" s="520"/>
      <c r="CB1719" s="520"/>
      <c r="CC1719" s="1122"/>
      <c r="CD1719" s="1122"/>
      <c r="CE1719" s="1122"/>
      <c r="CF1719" s="1122"/>
      <c r="CG1719" s="519"/>
    </row>
    <row r="1720" spans="1:85" s="612" customFormat="1" x14ac:dyDescent="0.3">
      <c r="A1720" s="522"/>
      <c r="B1720" s="514"/>
      <c r="C1720" s="1097"/>
      <c r="D1720" s="1097"/>
      <c r="E1720" s="1097"/>
      <c r="F1720" s="1097"/>
      <c r="G1720" s="772"/>
      <c r="H1720" s="772"/>
      <c r="I1720" s="772"/>
      <c r="J1720" s="772"/>
      <c r="K1720" s="1097"/>
      <c r="L1720" s="772"/>
      <c r="M1720" s="772"/>
      <c r="N1720" s="772"/>
      <c r="O1720" s="772"/>
      <c r="P1720" s="1097"/>
      <c r="Q1720" s="772"/>
      <c r="R1720" s="772"/>
      <c r="S1720" s="772"/>
      <c r="T1720" s="772"/>
      <c r="U1720" s="1097"/>
      <c r="V1720" s="772"/>
      <c r="W1720" s="772"/>
      <c r="X1720" s="772"/>
      <c r="Y1720" s="772"/>
      <c r="Z1720" s="1097"/>
      <c r="AA1720" s="772"/>
      <c r="AB1720" s="772"/>
      <c r="AC1720" s="772"/>
      <c r="AD1720" s="772"/>
      <c r="AE1720" s="1097"/>
      <c r="AF1720" s="772"/>
      <c r="AG1720" s="772"/>
      <c r="AH1720" s="772"/>
      <c r="AI1720" s="772"/>
      <c r="AJ1720" s="1097"/>
      <c r="AK1720" s="772"/>
      <c r="AL1720" s="772"/>
      <c r="AM1720" s="772"/>
      <c r="AN1720" s="772"/>
      <c r="AO1720" s="1097"/>
      <c r="AP1720" s="772"/>
      <c r="AQ1720" s="772"/>
      <c r="AR1720" s="772"/>
      <c r="AS1720" s="772"/>
      <c r="AT1720" s="1097"/>
      <c r="AU1720" s="772"/>
      <c r="AV1720" s="772"/>
      <c r="AW1720" s="772"/>
      <c r="AX1720" s="772"/>
      <c r="AY1720" s="1097"/>
      <c r="AZ1720" s="772"/>
      <c r="BA1720" s="772"/>
      <c r="BB1720" s="772"/>
      <c r="BC1720" s="772"/>
      <c r="BD1720" s="1130"/>
      <c r="BE1720" s="772"/>
      <c r="BF1720" s="772"/>
      <c r="BG1720" s="772"/>
      <c r="BH1720" s="772"/>
      <c r="BI1720" s="1097"/>
      <c r="BJ1720" s="772"/>
      <c r="BK1720" s="772"/>
      <c r="BL1720" s="772"/>
      <c r="BM1720" s="772"/>
      <c r="BN1720" s="1097"/>
      <c r="BO1720" s="772"/>
      <c r="BP1720" s="772"/>
      <c r="BQ1720" s="772"/>
      <c r="BR1720" s="772"/>
      <c r="BS1720" s="1097"/>
      <c r="BT1720" s="838"/>
      <c r="BU1720" s="772"/>
      <c r="BV1720" s="772"/>
      <c r="BW1720" s="772"/>
      <c r="BX1720" s="1097"/>
      <c r="BY1720" s="772"/>
      <c r="BZ1720" s="772"/>
      <c r="CA1720" s="772"/>
      <c r="CB1720" s="772"/>
      <c r="CC1720" s="1097"/>
      <c r="CD1720" s="1097"/>
      <c r="CE1720" s="1097"/>
      <c r="CF1720" s="1097"/>
      <c r="CG1720" s="348"/>
    </row>
    <row r="1721" spans="1:85" s="613" customFormat="1" x14ac:dyDescent="0.3">
      <c r="A1721" s="478" t="s">
        <v>2132</v>
      </c>
      <c r="B1721" s="523"/>
      <c r="C1721" s="78"/>
      <c r="D1721" s="78"/>
      <c r="E1721" s="78"/>
      <c r="F1721" s="78"/>
      <c r="G1721" s="774"/>
      <c r="H1721" s="774"/>
      <c r="I1721" s="774"/>
      <c r="J1721" s="774"/>
      <c r="K1721" s="78"/>
      <c r="L1721" s="774"/>
      <c r="M1721" s="774"/>
      <c r="N1721" s="774"/>
      <c r="O1721" s="774"/>
      <c r="P1721" s="78"/>
      <c r="Q1721" s="774"/>
      <c r="R1721" s="774"/>
      <c r="S1721" s="774"/>
      <c r="T1721" s="774"/>
      <c r="U1721" s="78"/>
      <c r="V1721" s="774"/>
      <c r="W1721" s="774"/>
      <c r="X1721" s="774"/>
      <c r="Y1721" s="774"/>
      <c r="Z1721" s="78"/>
      <c r="AA1721" s="774"/>
      <c r="AB1721" s="774"/>
      <c r="AC1721" s="774"/>
      <c r="AD1721" s="774"/>
      <c r="AE1721" s="78"/>
      <c r="AF1721" s="774"/>
      <c r="AG1721" s="774"/>
      <c r="AH1721" s="774"/>
      <c r="AI1721" s="774"/>
      <c r="AJ1721" s="78"/>
      <c r="AK1721" s="774"/>
      <c r="AL1721" s="774"/>
      <c r="AM1721" s="774"/>
      <c r="AN1721" s="774"/>
      <c r="AO1721" s="78"/>
      <c r="AP1721" s="774"/>
      <c r="AQ1721" s="774"/>
      <c r="AR1721" s="774"/>
      <c r="AS1721" s="774"/>
      <c r="AT1721" s="78"/>
      <c r="AU1721" s="774"/>
      <c r="AV1721" s="774"/>
      <c r="AW1721" s="774"/>
      <c r="AX1721" s="774"/>
      <c r="AY1721" s="78"/>
      <c r="AZ1721" s="774"/>
      <c r="BA1721" s="774"/>
      <c r="BB1721" s="774"/>
      <c r="BC1721" s="774"/>
      <c r="BD1721" s="78"/>
      <c r="BE1721" s="774"/>
      <c r="BF1721" s="774"/>
      <c r="BG1721" s="774"/>
      <c r="BH1721" s="774"/>
      <c r="BI1721" s="1119">
        <v>0.85199999999999998</v>
      </c>
      <c r="BJ1721" s="774"/>
      <c r="BK1721" s="774"/>
      <c r="BL1721" s="774"/>
      <c r="BM1721" s="774"/>
      <c r="BN1721" s="78"/>
      <c r="BO1721" s="774"/>
      <c r="BP1721" s="774"/>
      <c r="BQ1721" s="774"/>
      <c r="BR1721" s="774"/>
      <c r="BS1721" s="78"/>
      <c r="BT1721" s="775"/>
      <c r="BU1721" s="774"/>
      <c r="BV1721" s="774"/>
      <c r="BW1721" s="774"/>
      <c r="BX1721" s="78"/>
      <c r="BY1721" s="774"/>
      <c r="BZ1721" s="774"/>
      <c r="CA1721" s="774"/>
      <c r="CB1721" s="774"/>
      <c r="CC1721" s="78"/>
      <c r="CD1721" s="78"/>
      <c r="CE1721" s="78"/>
      <c r="CF1721" s="78"/>
      <c r="CG1721" s="532"/>
    </row>
    <row r="1722" spans="1:85" s="615" customFormat="1" x14ac:dyDescent="0.3">
      <c r="A1722" s="522" t="s">
        <v>2133</v>
      </c>
      <c r="B1722" s="521"/>
      <c r="C1722" s="1122"/>
      <c r="D1722" s="1122"/>
      <c r="E1722" s="1122"/>
      <c r="F1722" s="1122"/>
      <c r="G1722" s="520"/>
      <c r="H1722" s="520"/>
      <c r="I1722" s="520"/>
      <c r="J1722" s="520"/>
      <c r="K1722" s="1122"/>
      <c r="L1722" s="520"/>
      <c r="M1722" s="520"/>
      <c r="N1722" s="520"/>
      <c r="O1722" s="520"/>
      <c r="P1722" s="1122"/>
      <c r="Q1722" s="520"/>
      <c r="R1722" s="520"/>
      <c r="S1722" s="520"/>
      <c r="T1722" s="520"/>
      <c r="U1722" s="1122"/>
      <c r="V1722" s="520"/>
      <c r="W1722" s="520"/>
      <c r="X1722" s="520"/>
      <c r="Y1722" s="520"/>
      <c r="Z1722" s="1122"/>
      <c r="AA1722" s="520"/>
      <c r="AB1722" s="520"/>
      <c r="AC1722" s="520"/>
      <c r="AD1722" s="520"/>
      <c r="AE1722" s="1122"/>
      <c r="AF1722" s="520"/>
      <c r="AG1722" s="520"/>
      <c r="AH1722" s="520"/>
      <c r="AI1722" s="520"/>
      <c r="AJ1722" s="1122"/>
      <c r="AK1722" s="520"/>
      <c r="AL1722" s="520"/>
      <c r="AM1722" s="520"/>
      <c r="AN1722" s="520"/>
      <c r="AO1722" s="1122"/>
      <c r="AP1722" s="520"/>
      <c r="AQ1722" s="520"/>
      <c r="AR1722" s="520"/>
      <c r="AS1722" s="520"/>
      <c r="AT1722" s="1124"/>
      <c r="AU1722" s="520"/>
      <c r="AV1722" s="520"/>
      <c r="AW1722" s="520"/>
      <c r="AX1722" s="520"/>
      <c r="AY1722" s="1124"/>
      <c r="AZ1722" s="520"/>
      <c r="BA1722" s="520"/>
      <c r="BB1722" s="520"/>
      <c r="BC1722" s="520"/>
      <c r="BD1722" s="1124"/>
      <c r="BE1722" s="520"/>
      <c r="BF1722" s="520"/>
      <c r="BG1722" s="520"/>
      <c r="BH1722" s="520"/>
      <c r="BI1722" s="1123">
        <v>439.88</v>
      </c>
      <c r="BJ1722" s="520"/>
      <c r="BK1722" s="520"/>
      <c r="BL1722" s="520"/>
      <c r="BM1722" s="520"/>
      <c r="BN1722" s="1124"/>
      <c r="BO1722" s="520"/>
      <c r="BP1722" s="520"/>
      <c r="BQ1722" s="520"/>
      <c r="BR1722" s="520"/>
      <c r="BS1722" s="1124"/>
      <c r="BT1722" s="728"/>
      <c r="BU1722" s="520"/>
      <c r="BV1722" s="520"/>
      <c r="BW1722" s="520"/>
      <c r="BX1722" s="1122"/>
      <c r="BY1722" s="520"/>
      <c r="BZ1722" s="520"/>
      <c r="CA1722" s="520"/>
      <c r="CB1722" s="520"/>
      <c r="CC1722" s="1122"/>
      <c r="CD1722" s="1122"/>
      <c r="CE1722" s="1122"/>
      <c r="CF1722" s="1122"/>
      <c r="CG1722" s="519"/>
    </row>
    <row r="1723" spans="1:85" s="612" customFormat="1" x14ac:dyDescent="0.3">
      <c r="A1723" s="522"/>
      <c r="B1723" s="514"/>
      <c r="C1723" s="1097"/>
      <c r="D1723" s="1097"/>
      <c r="E1723" s="1097"/>
      <c r="F1723" s="1097"/>
      <c r="G1723" s="772"/>
      <c r="H1723" s="772"/>
      <c r="I1723" s="772"/>
      <c r="J1723" s="772"/>
      <c r="K1723" s="1097"/>
      <c r="L1723" s="772"/>
      <c r="M1723" s="772"/>
      <c r="N1723" s="772"/>
      <c r="O1723" s="772"/>
      <c r="P1723" s="1097"/>
      <c r="Q1723" s="772"/>
      <c r="R1723" s="772"/>
      <c r="S1723" s="772"/>
      <c r="T1723" s="772"/>
      <c r="U1723" s="1097"/>
      <c r="V1723" s="772"/>
      <c r="W1723" s="772"/>
      <c r="X1723" s="772"/>
      <c r="Y1723" s="772"/>
      <c r="Z1723" s="1097"/>
      <c r="AA1723" s="772"/>
      <c r="AB1723" s="772"/>
      <c r="AC1723" s="772"/>
      <c r="AD1723" s="772"/>
      <c r="AE1723" s="1097"/>
      <c r="AF1723" s="772"/>
      <c r="AG1723" s="772"/>
      <c r="AH1723" s="772"/>
      <c r="AI1723" s="772"/>
      <c r="AJ1723" s="1097"/>
      <c r="AK1723" s="772"/>
      <c r="AL1723" s="772"/>
      <c r="AM1723" s="772"/>
      <c r="AN1723" s="772"/>
      <c r="AO1723" s="1097"/>
      <c r="AP1723" s="772"/>
      <c r="AQ1723" s="772"/>
      <c r="AR1723" s="772"/>
      <c r="AS1723" s="772"/>
      <c r="AT1723" s="1097"/>
      <c r="AU1723" s="772"/>
      <c r="AV1723" s="772"/>
      <c r="AW1723" s="772"/>
      <c r="AX1723" s="772"/>
      <c r="AY1723" s="1097"/>
      <c r="AZ1723" s="772"/>
      <c r="BA1723" s="772"/>
      <c r="BB1723" s="772"/>
      <c r="BC1723" s="772"/>
      <c r="BD1723" s="1130"/>
      <c r="BE1723" s="772"/>
      <c r="BF1723" s="772"/>
      <c r="BG1723" s="772"/>
      <c r="BH1723" s="772"/>
      <c r="BI1723" s="1097"/>
      <c r="BJ1723" s="772"/>
      <c r="BK1723" s="772"/>
      <c r="BL1723" s="772"/>
      <c r="BM1723" s="772"/>
      <c r="BN1723" s="1097"/>
      <c r="BO1723" s="772"/>
      <c r="BP1723" s="772"/>
      <c r="BQ1723" s="772"/>
      <c r="BR1723" s="772"/>
      <c r="BS1723" s="1097"/>
      <c r="BT1723" s="838"/>
      <c r="BU1723" s="772"/>
      <c r="BV1723" s="772"/>
      <c r="BW1723" s="772"/>
      <c r="BX1723" s="1097"/>
      <c r="BY1723" s="772"/>
      <c r="BZ1723" s="772"/>
      <c r="CA1723" s="772"/>
      <c r="CB1723" s="772"/>
      <c r="CC1723" s="1097"/>
      <c r="CD1723" s="1097"/>
      <c r="CE1723" s="1097"/>
      <c r="CF1723" s="1097"/>
      <c r="CG1723" s="348"/>
    </row>
    <row r="1724" spans="1:85" s="613" customFormat="1" x14ac:dyDescent="0.3">
      <c r="A1724" s="478" t="s">
        <v>2134</v>
      </c>
      <c r="B1724" s="523"/>
      <c r="C1724" s="78"/>
      <c r="D1724" s="78"/>
      <c r="E1724" s="78"/>
      <c r="F1724" s="78"/>
      <c r="G1724" s="774"/>
      <c r="H1724" s="774"/>
      <c r="I1724" s="774"/>
      <c r="J1724" s="774"/>
      <c r="K1724" s="78"/>
      <c r="L1724" s="774"/>
      <c r="M1724" s="774"/>
      <c r="N1724" s="774"/>
      <c r="O1724" s="774"/>
      <c r="P1724" s="78"/>
      <c r="Q1724" s="774"/>
      <c r="R1724" s="774"/>
      <c r="S1724" s="774"/>
      <c r="T1724" s="774"/>
      <c r="U1724" s="78"/>
      <c r="V1724" s="774"/>
      <c r="W1724" s="774"/>
      <c r="X1724" s="774"/>
      <c r="Y1724" s="774"/>
      <c r="Z1724" s="78"/>
      <c r="AA1724" s="774"/>
      <c r="AB1724" s="774"/>
      <c r="AC1724" s="774"/>
      <c r="AD1724" s="774"/>
      <c r="AE1724" s="78"/>
      <c r="AF1724" s="774"/>
      <c r="AG1724" s="774"/>
      <c r="AH1724" s="774"/>
      <c r="AI1724" s="774"/>
      <c r="AJ1724" s="78"/>
      <c r="AK1724" s="774"/>
      <c r="AL1724" s="774"/>
      <c r="AM1724" s="774"/>
      <c r="AN1724" s="774"/>
      <c r="AO1724" s="78"/>
      <c r="AP1724" s="774"/>
      <c r="AQ1724" s="774"/>
      <c r="AR1724" s="774"/>
      <c r="AS1724" s="774"/>
      <c r="AT1724" s="78"/>
      <c r="AU1724" s="774"/>
      <c r="AV1724" s="774"/>
      <c r="AW1724" s="774"/>
      <c r="AX1724" s="774"/>
      <c r="AY1724" s="78"/>
      <c r="AZ1724" s="774"/>
      <c r="BA1724" s="774"/>
      <c r="BB1724" s="774"/>
      <c r="BC1724" s="774"/>
      <c r="BD1724" s="78"/>
      <c r="BE1724" s="774"/>
      <c r="BF1724" s="774"/>
      <c r="BG1724" s="774"/>
      <c r="BH1724" s="774"/>
      <c r="BI1724" s="1119">
        <v>0.98599999999999999</v>
      </c>
      <c r="BJ1724" s="774"/>
      <c r="BK1724" s="774"/>
      <c r="BL1724" s="774"/>
      <c r="BM1724" s="774"/>
      <c r="BN1724" s="78"/>
      <c r="BO1724" s="774"/>
      <c r="BP1724" s="774"/>
      <c r="BQ1724" s="774"/>
      <c r="BR1724" s="774"/>
      <c r="BS1724" s="78"/>
      <c r="BT1724" s="775"/>
      <c r="BU1724" s="774"/>
      <c r="BV1724" s="774"/>
      <c r="BW1724" s="774"/>
      <c r="BX1724" s="78"/>
      <c r="BY1724" s="774"/>
      <c r="BZ1724" s="774"/>
      <c r="CA1724" s="774"/>
      <c r="CB1724" s="774"/>
      <c r="CC1724" s="78"/>
      <c r="CD1724" s="78"/>
      <c r="CE1724" s="78"/>
      <c r="CF1724" s="78"/>
      <c r="CG1724" s="532"/>
    </row>
    <row r="1725" spans="1:85" s="615" customFormat="1" x14ac:dyDescent="0.3">
      <c r="A1725" s="522" t="s">
        <v>2135</v>
      </c>
      <c r="B1725" s="521"/>
      <c r="C1725" s="1122"/>
      <c r="D1725" s="1122"/>
      <c r="E1725" s="1122"/>
      <c r="F1725" s="1122"/>
      <c r="G1725" s="520"/>
      <c r="H1725" s="520"/>
      <c r="I1725" s="520"/>
      <c r="J1725" s="520"/>
      <c r="K1725" s="1122"/>
      <c r="L1725" s="520"/>
      <c r="M1725" s="520"/>
      <c r="N1725" s="520"/>
      <c r="O1725" s="520"/>
      <c r="P1725" s="1122"/>
      <c r="Q1725" s="520"/>
      <c r="R1725" s="520"/>
      <c r="S1725" s="520"/>
      <c r="T1725" s="520"/>
      <c r="U1725" s="1122"/>
      <c r="V1725" s="520"/>
      <c r="W1725" s="520"/>
      <c r="X1725" s="520"/>
      <c r="Y1725" s="520"/>
      <c r="Z1725" s="1122"/>
      <c r="AA1725" s="520"/>
      <c r="AB1725" s="520"/>
      <c r="AC1725" s="520"/>
      <c r="AD1725" s="520"/>
      <c r="AE1725" s="1122"/>
      <c r="AF1725" s="520"/>
      <c r="AG1725" s="520"/>
      <c r="AH1725" s="520"/>
      <c r="AI1725" s="520"/>
      <c r="AJ1725" s="1122"/>
      <c r="AK1725" s="520"/>
      <c r="AL1725" s="520"/>
      <c r="AM1725" s="520"/>
      <c r="AN1725" s="520"/>
      <c r="AO1725" s="1122"/>
      <c r="AP1725" s="520"/>
      <c r="AQ1725" s="520"/>
      <c r="AR1725" s="520"/>
      <c r="AS1725" s="520"/>
      <c r="AT1725" s="1124"/>
      <c r="AU1725" s="520"/>
      <c r="AV1725" s="520"/>
      <c r="AW1725" s="520"/>
      <c r="AX1725" s="520"/>
      <c r="AY1725" s="1124"/>
      <c r="AZ1725" s="520"/>
      <c r="BA1725" s="520"/>
      <c r="BB1725" s="520"/>
      <c r="BC1725" s="520"/>
      <c r="BD1725" s="1124"/>
      <c r="BE1725" s="520"/>
      <c r="BF1725" s="520"/>
      <c r="BG1725" s="520"/>
      <c r="BH1725" s="520"/>
      <c r="BI1725" s="1123">
        <v>380.33</v>
      </c>
      <c r="BJ1725" s="520"/>
      <c r="BK1725" s="520"/>
      <c r="BL1725" s="520"/>
      <c r="BM1725" s="520"/>
      <c r="BN1725" s="1124"/>
      <c r="BO1725" s="520"/>
      <c r="BP1725" s="520"/>
      <c r="BQ1725" s="520"/>
      <c r="BR1725" s="520"/>
      <c r="BS1725" s="1124"/>
      <c r="BT1725" s="728"/>
      <c r="BU1725" s="520"/>
      <c r="BV1725" s="520"/>
      <c r="BW1725" s="520"/>
      <c r="BX1725" s="1122"/>
      <c r="BY1725" s="520"/>
      <c r="BZ1725" s="520"/>
      <c r="CA1725" s="520"/>
      <c r="CB1725" s="520"/>
      <c r="CC1725" s="1122"/>
      <c r="CD1725" s="1122"/>
      <c r="CE1725" s="1122"/>
      <c r="CF1725" s="1122"/>
      <c r="CG1725" s="519"/>
    </row>
    <row r="1726" spans="1:85" s="612" customFormat="1" x14ac:dyDescent="0.3">
      <c r="A1726" s="106"/>
      <c r="B1726" s="514"/>
      <c r="C1726" s="1097"/>
      <c r="D1726" s="1097"/>
      <c r="E1726" s="1097"/>
      <c r="F1726" s="1097"/>
      <c r="G1726" s="772"/>
      <c r="H1726" s="772"/>
      <c r="I1726" s="772"/>
      <c r="J1726" s="772"/>
      <c r="K1726" s="1097"/>
      <c r="L1726" s="772"/>
      <c r="M1726" s="772"/>
      <c r="N1726" s="772"/>
      <c r="O1726" s="772"/>
      <c r="P1726" s="1097"/>
      <c r="Q1726" s="772"/>
      <c r="R1726" s="772"/>
      <c r="S1726" s="772"/>
      <c r="T1726" s="772"/>
      <c r="U1726" s="1097"/>
      <c r="V1726" s="772"/>
      <c r="W1726" s="772"/>
      <c r="X1726" s="772"/>
      <c r="Y1726" s="772"/>
      <c r="Z1726" s="1097"/>
      <c r="AA1726" s="772"/>
      <c r="AB1726" s="772"/>
      <c r="AC1726" s="772"/>
      <c r="AD1726" s="772"/>
      <c r="AE1726" s="1097"/>
      <c r="AF1726" s="772"/>
      <c r="AG1726" s="772"/>
      <c r="AH1726" s="772"/>
      <c r="AI1726" s="772"/>
      <c r="AJ1726" s="1097"/>
      <c r="AK1726" s="772"/>
      <c r="AL1726" s="772"/>
      <c r="AM1726" s="772"/>
      <c r="AN1726" s="772"/>
      <c r="AO1726" s="1097"/>
      <c r="AP1726" s="772"/>
      <c r="AQ1726" s="772"/>
      <c r="AR1726" s="772"/>
      <c r="AS1726" s="772"/>
      <c r="AT1726" s="1097"/>
      <c r="AU1726" s="772"/>
      <c r="AV1726" s="772"/>
      <c r="AW1726" s="772"/>
      <c r="AX1726" s="772"/>
      <c r="AY1726" s="1097"/>
      <c r="AZ1726" s="772"/>
      <c r="BA1726" s="772"/>
      <c r="BB1726" s="772"/>
      <c r="BC1726" s="772"/>
      <c r="BD1726" s="1130"/>
      <c r="BE1726" s="772"/>
      <c r="BF1726" s="772"/>
      <c r="BG1726" s="772"/>
      <c r="BH1726" s="772"/>
      <c r="BI1726" s="1097"/>
      <c r="BJ1726" s="772"/>
      <c r="BK1726" s="772"/>
      <c r="BL1726" s="772"/>
      <c r="BM1726" s="772"/>
      <c r="BN1726" s="1097"/>
      <c r="BO1726" s="772"/>
      <c r="BP1726" s="772"/>
      <c r="BQ1726" s="772"/>
      <c r="BR1726" s="772"/>
      <c r="BS1726" s="1097"/>
      <c r="BT1726" s="838"/>
      <c r="BU1726" s="772"/>
      <c r="BV1726" s="772"/>
      <c r="BW1726" s="772"/>
      <c r="BX1726" s="1097"/>
      <c r="BY1726" s="772"/>
      <c r="BZ1726" s="772"/>
      <c r="CA1726" s="772"/>
      <c r="CB1726" s="772"/>
      <c r="CC1726" s="1097"/>
      <c r="CD1726" s="1097"/>
      <c r="CE1726" s="1097"/>
      <c r="CF1726" s="1097"/>
      <c r="CG1726" s="348"/>
    </row>
    <row r="1727" spans="1:85" s="613" customFormat="1" x14ac:dyDescent="0.3">
      <c r="A1727" s="478" t="s">
        <v>2136</v>
      </c>
      <c r="B1727" s="523"/>
      <c r="C1727" s="78"/>
      <c r="D1727" s="78"/>
      <c r="E1727" s="78"/>
      <c r="F1727" s="78"/>
      <c r="G1727" s="774"/>
      <c r="H1727" s="774"/>
      <c r="I1727" s="774"/>
      <c r="J1727" s="774"/>
      <c r="K1727" s="78"/>
      <c r="L1727" s="774"/>
      <c r="M1727" s="774"/>
      <c r="N1727" s="774"/>
      <c r="O1727" s="774"/>
      <c r="P1727" s="78"/>
      <c r="Q1727" s="774"/>
      <c r="R1727" s="774"/>
      <c r="S1727" s="774"/>
      <c r="T1727" s="774"/>
      <c r="U1727" s="78"/>
      <c r="V1727" s="774"/>
      <c r="W1727" s="774"/>
      <c r="X1727" s="774"/>
      <c r="Y1727" s="774"/>
      <c r="Z1727" s="78"/>
      <c r="AA1727" s="774"/>
      <c r="AB1727" s="774"/>
      <c r="AC1727" s="774"/>
      <c r="AD1727" s="774"/>
      <c r="AE1727" s="78"/>
      <c r="AF1727" s="774"/>
      <c r="AG1727" s="774"/>
      <c r="AH1727" s="774"/>
      <c r="AI1727" s="774"/>
      <c r="AJ1727" s="78"/>
      <c r="AK1727" s="774"/>
      <c r="AL1727" s="774"/>
      <c r="AM1727" s="774"/>
      <c r="AN1727" s="774"/>
      <c r="AO1727" s="78"/>
      <c r="AP1727" s="774"/>
      <c r="AQ1727" s="774"/>
      <c r="AR1727" s="774"/>
      <c r="AS1727" s="774"/>
      <c r="AT1727" s="78"/>
      <c r="AU1727" s="774"/>
      <c r="AV1727" s="774"/>
      <c r="AW1727" s="774"/>
      <c r="AX1727" s="774"/>
      <c r="AY1727" s="78"/>
      <c r="AZ1727" s="774"/>
      <c r="BA1727" s="774"/>
      <c r="BB1727" s="774"/>
      <c r="BC1727" s="774"/>
      <c r="BD1727" s="78"/>
      <c r="BE1727" s="774"/>
      <c r="BF1727" s="774"/>
      <c r="BG1727" s="774"/>
      <c r="BH1727" s="774"/>
      <c r="BI1727" s="1119">
        <v>0.89300000000000002</v>
      </c>
      <c r="BJ1727" s="774"/>
      <c r="BK1727" s="774"/>
      <c r="BL1727" s="774"/>
      <c r="BM1727" s="774"/>
      <c r="BN1727" s="78"/>
      <c r="BO1727" s="774"/>
      <c r="BP1727" s="774"/>
      <c r="BQ1727" s="774"/>
      <c r="BR1727" s="774"/>
      <c r="BS1727" s="78"/>
      <c r="BT1727" s="775"/>
      <c r="BU1727" s="774"/>
      <c r="BV1727" s="774"/>
      <c r="BW1727" s="774"/>
      <c r="BX1727" s="78"/>
      <c r="BY1727" s="774"/>
      <c r="BZ1727" s="774"/>
      <c r="CA1727" s="774"/>
      <c r="CB1727" s="774"/>
      <c r="CC1727" s="78"/>
      <c r="CD1727" s="78"/>
      <c r="CE1727" s="78"/>
      <c r="CF1727" s="78"/>
      <c r="CG1727" s="532"/>
    </row>
    <row r="1728" spans="1:85" s="615" customFormat="1" x14ac:dyDescent="0.3">
      <c r="A1728" s="522" t="s">
        <v>2137</v>
      </c>
      <c r="B1728" s="521"/>
      <c r="C1728" s="1122"/>
      <c r="D1728" s="1122"/>
      <c r="E1728" s="1122"/>
      <c r="F1728" s="1122"/>
      <c r="G1728" s="520"/>
      <c r="H1728" s="520"/>
      <c r="I1728" s="520"/>
      <c r="J1728" s="520"/>
      <c r="K1728" s="1122"/>
      <c r="L1728" s="520"/>
      <c r="M1728" s="520"/>
      <c r="N1728" s="520"/>
      <c r="O1728" s="520"/>
      <c r="P1728" s="1122"/>
      <c r="Q1728" s="520"/>
      <c r="R1728" s="520"/>
      <c r="S1728" s="520"/>
      <c r="T1728" s="520"/>
      <c r="U1728" s="1122"/>
      <c r="V1728" s="520"/>
      <c r="W1728" s="520"/>
      <c r="X1728" s="520"/>
      <c r="Y1728" s="520"/>
      <c r="Z1728" s="1122"/>
      <c r="AA1728" s="520"/>
      <c r="AB1728" s="520"/>
      <c r="AC1728" s="520"/>
      <c r="AD1728" s="520"/>
      <c r="AE1728" s="1122"/>
      <c r="AF1728" s="520"/>
      <c r="AG1728" s="520"/>
      <c r="AH1728" s="520"/>
      <c r="AI1728" s="520"/>
      <c r="AJ1728" s="1122"/>
      <c r="AK1728" s="520"/>
      <c r="AL1728" s="520"/>
      <c r="AM1728" s="520"/>
      <c r="AN1728" s="520"/>
      <c r="AO1728" s="1122"/>
      <c r="AP1728" s="520"/>
      <c r="AQ1728" s="520"/>
      <c r="AR1728" s="520"/>
      <c r="AS1728" s="520"/>
      <c r="AT1728" s="1124"/>
      <c r="AU1728" s="520"/>
      <c r="AV1728" s="520"/>
      <c r="AW1728" s="520"/>
      <c r="AX1728" s="520"/>
      <c r="AY1728" s="1124"/>
      <c r="AZ1728" s="520"/>
      <c r="BA1728" s="520"/>
      <c r="BB1728" s="520"/>
      <c r="BC1728" s="520"/>
      <c r="BD1728" s="1124"/>
      <c r="BE1728" s="520"/>
      <c r="BF1728" s="520"/>
      <c r="BG1728" s="520"/>
      <c r="BH1728" s="520"/>
      <c r="BI1728" s="1123">
        <v>420.19</v>
      </c>
      <c r="BJ1728" s="520"/>
      <c r="BK1728" s="520"/>
      <c r="BL1728" s="520"/>
      <c r="BM1728" s="520"/>
      <c r="BN1728" s="1124"/>
      <c r="BO1728" s="520"/>
      <c r="BP1728" s="520"/>
      <c r="BQ1728" s="520"/>
      <c r="BR1728" s="520"/>
      <c r="BS1728" s="1124"/>
      <c r="BT1728" s="728"/>
      <c r="BU1728" s="520"/>
      <c r="BV1728" s="520"/>
      <c r="BW1728" s="520"/>
      <c r="BX1728" s="1122"/>
      <c r="BY1728" s="520"/>
      <c r="BZ1728" s="520"/>
      <c r="CA1728" s="520"/>
      <c r="CB1728" s="520"/>
      <c r="CC1728" s="1122"/>
      <c r="CD1728" s="1122"/>
      <c r="CE1728" s="1122"/>
      <c r="CF1728" s="1122"/>
      <c r="CG1728" s="519"/>
    </row>
    <row r="1729" spans="1:85" s="612" customFormat="1" x14ac:dyDescent="0.3">
      <c r="A1729" s="106"/>
      <c r="B1729" s="514"/>
      <c r="C1729" s="1097"/>
      <c r="D1729" s="1097"/>
      <c r="E1729" s="1097"/>
      <c r="F1729" s="1097"/>
      <c r="G1729" s="772"/>
      <c r="H1729" s="772"/>
      <c r="I1729" s="772"/>
      <c r="J1729" s="772"/>
      <c r="K1729" s="1097"/>
      <c r="L1729" s="772"/>
      <c r="M1729" s="772"/>
      <c r="N1729" s="772"/>
      <c r="O1729" s="772"/>
      <c r="P1729" s="1097"/>
      <c r="Q1729" s="772"/>
      <c r="R1729" s="772"/>
      <c r="S1729" s="772"/>
      <c r="T1729" s="772"/>
      <c r="U1729" s="1097"/>
      <c r="V1729" s="772"/>
      <c r="W1729" s="772"/>
      <c r="X1729" s="772"/>
      <c r="Y1729" s="772"/>
      <c r="Z1729" s="1097"/>
      <c r="AA1729" s="772"/>
      <c r="AB1729" s="772"/>
      <c r="AC1729" s="772"/>
      <c r="AD1729" s="772"/>
      <c r="AE1729" s="1097"/>
      <c r="AF1729" s="772"/>
      <c r="AG1729" s="772"/>
      <c r="AH1729" s="772"/>
      <c r="AI1729" s="772"/>
      <c r="AJ1729" s="1097"/>
      <c r="AK1729" s="772"/>
      <c r="AL1729" s="772"/>
      <c r="AM1729" s="772"/>
      <c r="AN1729" s="772"/>
      <c r="AO1729" s="1097"/>
      <c r="AP1729" s="772"/>
      <c r="AQ1729" s="772"/>
      <c r="AR1729" s="772"/>
      <c r="AS1729" s="772"/>
      <c r="AT1729" s="1097"/>
      <c r="AU1729" s="772"/>
      <c r="AV1729" s="772"/>
      <c r="AW1729" s="772"/>
      <c r="AX1729" s="772"/>
      <c r="AY1729" s="1097"/>
      <c r="AZ1729" s="772"/>
      <c r="BA1729" s="772"/>
      <c r="BB1729" s="772"/>
      <c r="BC1729" s="772"/>
      <c r="BD1729" s="1130"/>
      <c r="BE1729" s="772"/>
      <c r="BF1729" s="772"/>
      <c r="BG1729" s="772"/>
      <c r="BH1729" s="772"/>
      <c r="BI1729" s="1097"/>
      <c r="BJ1729" s="772"/>
      <c r="BK1729" s="772"/>
      <c r="BL1729" s="772"/>
      <c r="BM1729" s="772"/>
      <c r="BN1729" s="1097"/>
      <c r="BO1729" s="772"/>
      <c r="BP1729" s="772"/>
      <c r="BQ1729" s="772"/>
      <c r="BR1729" s="772"/>
      <c r="BS1729" s="1097"/>
      <c r="BT1729" s="838"/>
      <c r="BU1729" s="772"/>
      <c r="BV1729" s="772"/>
      <c r="BW1729" s="772"/>
      <c r="BX1729" s="1097"/>
      <c r="BY1729" s="772"/>
      <c r="BZ1729" s="772"/>
      <c r="CA1729" s="772"/>
      <c r="CB1729" s="772"/>
      <c r="CC1729" s="1097"/>
      <c r="CD1729" s="1097"/>
      <c r="CE1729" s="1097"/>
      <c r="CF1729" s="1097"/>
      <c r="CG1729" s="348"/>
    </row>
    <row r="1730" spans="1:85" s="613" customFormat="1" x14ac:dyDescent="0.3">
      <c r="A1730" s="478" t="s">
        <v>2138</v>
      </c>
      <c r="B1730" s="523"/>
      <c r="C1730" s="78"/>
      <c r="D1730" s="78"/>
      <c r="E1730" s="78"/>
      <c r="F1730" s="78"/>
      <c r="G1730" s="774"/>
      <c r="H1730" s="774"/>
      <c r="I1730" s="774"/>
      <c r="J1730" s="774"/>
      <c r="K1730" s="78"/>
      <c r="L1730" s="774"/>
      <c r="M1730" s="774"/>
      <c r="N1730" s="774"/>
      <c r="O1730" s="774"/>
      <c r="P1730" s="78"/>
      <c r="Q1730" s="774"/>
      <c r="R1730" s="774"/>
      <c r="S1730" s="774"/>
      <c r="T1730" s="774"/>
      <c r="U1730" s="78"/>
      <c r="V1730" s="774"/>
      <c r="W1730" s="774"/>
      <c r="X1730" s="774"/>
      <c r="Y1730" s="774"/>
      <c r="Z1730" s="78"/>
      <c r="AA1730" s="774"/>
      <c r="AB1730" s="774"/>
      <c r="AC1730" s="774"/>
      <c r="AD1730" s="774"/>
      <c r="AE1730" s="78"/>
      <c r="AF1730" s="774"/>
      <c r="AG1730" s="774"/>
      <c r="AH1730" s="774"/>
      <c r="AI1730" s="774"/>
      <c r="AJ1730" s="78"/>
      <c r="AK1730" s="774"/>
      <c r="AL1730" s="774"/>
      <c r="AM1730" s="774"/>
      <c r="AN1730" s="774"/>
      <c r="AO1730" s="78"/>
      <c r="AP1730" s="774"/>
      <c r="AQ1730" s="774"/>
      <c r="AR1730" s="774"/>
      <c r="AS1730" s="774"/>
      <c r="AT1730" s="78"/>
      <c r="AU1730" s="774"/>
      <c r="AV1730" s="774"/>
      <c r="AW1730" s="774"/>
      <c r="AX1730" s="774"/>
      <c r="AY1730" s="78"/>
      <c r="AZ1730" s="774"/>
      <c r="BA1730" s="774"/>
      <c r="BB1730" s="774"/>
      <c r="BC1730" s="774"/>
      <c r="BD1730" s="78"/>
      <c r="BE1730" s="774"/>
      <c r="BF1730" s="774"/>
      <c r="BG1730" s="774"/>
      <c r="BH1730" s="774"/>
      <c r="BI1730" s="1119">
        <v>0.80500000000000005</v>
      </c>
      <c r="BJ1730" s="774"/>
      <c r="BK1730" s="774"/>
      <c r="BL1730" s="774"/>
      <c r="BM1730" s="774"/>
      <c r="BN1730" s="78"/>
      <c r="BO1730" s="774"/>
      <c r="BP1730" s="774"/>
      <c r="BQ1730" s="774"/>
      <c r="BR1730" s="774"/>
      <c r="BS1730" s="78"/>
      <c r="BT1730" s="775"/>
      <c r="BU1730" s="774"/>
      <c r="BV1730" s="774"/>
      <c r="BW1730" s="774"/>
      <c r="BX1730" s="78"/>
      <c r="BY1730" s="774"/>
      <c r="BZ1730" s="774"/>
      <c r="CA1730" s="774"/>
      <c r="CB1730" s="774"/>
      <c r="CC1730" s="78"/>
      <c r="CD1730" s="78"/>
      <c r="CE1730" s="78"/>
      <c r="CF1730" s="78"/>
      <c r="CG1730" s="532"/>
    </row>
    <row r="1731" spans="1:85" s="615" customFormat="1" x14ac:dyDescent="0.3">
      <c r="A1731" s="522" t="s">
        <v>2139</v>
      </c>
      <c r="B1731" s="521"/>
      <c r="C1731" s="1122"/>
      <c r="D1731" s="1122"/>
      <c r="E1731" s="1122"/>
      <c r="F1731" s="1122"/>
      <c r="G1731" s="520"/>
      <c r="H1731" s="520"/>
      <c r="I1731" s="520"/>
      <c r="J1731" s="520"/>
      <c r="K1731" s="1122"/>
      <c r="L1731" s="520"/>
      <c r="M1731" s="520"/>
      <c r="N1731" s="520"/>
      <c r="O1731" s="520"/>
      <c r="P1731" s="1122"/>
      <c r="Q1731" s="520"/>
      <c r="R1731" s="520"/>
      <c r="S1731" s="520"/>
      <c r="T1731" s="520"/>
      <c r="U1731" s="1122"/>
      <c r="V1731" s="520"/>
      <c r="W1731" s="520"/>
      <c r="X1731" s="520"/>
      <c r="Y1731" s="520"/>
      <c r="Z1731" s="1122"/>
      <c r="AA1731" s="520"/>
      <c r="AB1731" s="520"/>
      <c r="AC1731" s="520"/>
      <c r="AD1731" s="520"/>
      <c r="AE1731" s="1122"/>
      <c r="AF1731" s="520"/>
      <c r="AG1731" s="520"/>
      <c r="AH1731" s="520"/>
      <c r="AI1731" s="520"/>
      <c r="AJ1731" s="1122"/>
      <c r="AK1731" s="520"/>
      <c r="AL1731" s="520"/>
      <c r="AM1731" s="520"/>
      <c r="AN1731" s="520"/>
      <c r="AO1731" s="1122"/>
      <c r="AP1731" s="520"/>
      <c r="AQ1731" s="520"/>
      <c r="AR1731" s="520"/>
      <c r="AS1731" s="520"/>
      <c r="AT1731" s="1124"/>
      <c r="AU1731" s="520"/>
      <c r="AV1731" s="520"/>
      <c r="AW1731" s="520"/>
      <c r="AX1731" s="520"/>
      <c r="AY1731" s="1124"/>
      <c r="AZ1731" s="520"/>
      <c r="BA1731" s="520"/>
      <c r="BB1731" s="520"/>
      <c r="BC1731" s="520"/>
      <c r="BD1731" s="1124"/>
      <c r="BE1731" s="520"/>
      <c r="BF1731" s="520"/>
      <c r="BG1731" s="520"/>
      <c r="BH1731" s="520"/>
      <c r="BI1731" s="1123">
        <v>465.74</v>
      </c>
      <c r="BJ1731" s="520"/>
      <c r="BK1731" s="520"/>
      <c r="BL1731" s="520"/>
      <c r="BM1731" s="520"/>
      <c r="BN1731" s="1124"/>
      <c r="BO1731" s="520"/>
      <c r="BP1731" s="520"/>
      <c r="BQ1731" s="520"/>
      <c r="BR1731" s="520"/>
      <c r="BS1731" s="1124"/>
      <c r="BT1731" s="728"/>
      <c r="BU1731" s="520"/>
      <c r="BV1731" s="520"/>
      <c r="BW1731" s="520"/>
      <c r="BX1731" s="1122"/>
      <c r="BY1731" s="520"/>
      <c r="BZ1731" s="520"/>
      <c r="CA1731" s="520"/>
      <c r="CB1731" s="520"/>
      <c r="CC1731" s="1122"/>
      <c r="CD1731" s="1122"/>
      <c r="CE1731" s="1122"/>
      <c r="CF1731" s="1122"/>
      <c r="CG1731" s="519"/>
    </row>
    <row r="1732" spans="1:85" s="615" customFormat="1" x14ac:dyDescent="0.3">
      <c r="A1732" s="522"/>
      <c r="B1732" s="521"/>
      <c r="C1732" s="1122"/>
      <c r="D1732" s="1122"/>
      <c r="E1732" s="1122"/>
      <c r="F1732" s="1122"/>
      <c r="G1732" s="520"/>
      <c r="H1732" s="520"/>
      <c r="I1732" s="520"/>
      <c r="J1732" s="520"/>
      <c r="K1732" s="1122"/>
      <c r="L1732" s="520"/>
      <c r="M1732" s="520"/>
      <c r="N1732" s="520"/>
      <c r="O1732" s="520"/>
      <c r="P1732" s="1122"/>
      <c r="Q1732" s="520"/>
      <c r="R1732" s="520"/>
      <c r="S1732" s="520"/>
      <c r="T1732" s="520"/>
      <c r="U1732" s="1122"/>
      <c r="V1732" s="520"/>
      <c r="W1732" s="520"/>
      <c r="X1732" s="520"/>
      <c r="Y1732" s="520"/>
      <c r="Z1732" s="1122"/>
      <c r="AA1732" s="520"/>
      <c r="AB1732" s="520"/>
      <c r="AC1732" s="520"/>
      <c r="AD1732" s="520"/>
      <c r="AE1732" s="1122"/>
      <c r="AF1732" s="520"/>
      <c r="AG1732" s="520"/>
      <c r="AH1732" s="520"/>
      <c r="AI1732" s="520"/>
      <c r="AJ1732" s="1122"/>
      <c r="AK1732" s="520"/>
      <c r="AL1732" s="520"/>
      <c r="AM1732" s="520"/>
      <c r="AN1732" s="520"/>
      <c r="AO1732" s="1122"/>
      <c r="AP1732" s="520"/>
      <c r="AQ1732" s="520"/>
      <c r="AR1732" s="520"/>
      <c r="AS1732" s="520"/>
      <c r="AT1732" s="1124"/>
      <c r="AU1732" s="520"/>
      <c r="AV1732" s="520"/>
      <c r="AW1732" s="520"/>
      <c r="AX1732" s="520"/>
      <c r="AY1732" s="1124"/>
      <c r="AZ1732" s="520"/>
      <c r="BA1732" s="520"/>
      <c r="BB1732" s="520"/>
      <c r="BC1732" s="520"/>
      <c r="BD1732" s="1124"/>
      <c r="BE1732" s="520"/>
      <c r="BF1732" s="520"/>
      <c r="BG1732" s="520"/>
      <c r="BH1732" s="520"/>
      <c r="BI1732" s="1124"/>
      <c r="BJ1732" s="520"/>
      <c r="BK1732" s="520"/>
      <c r="BL1732" s="520"/>
      <c r="BM1732" s="520"/>
      <c r="BN1732" s="1124"/>
      <c r="BO1732" s="520"/>
      <c r="BP1732" s="520"/>
      <c r="BQ1732" s="520"/>
      <c r="BR1732" s="520"/>
      <c r="BS1732" s="1124"/>
      <c r="BT1732" s="728"/>
      <c r="BU1732" s="520"/>
      <c r="BV1732" s="520"/>
      <c r="BW1732" s="520"/>
      <c r="BX1732" s="1122"/>
      <c r="BY1732" s="520"/>
      <c r="BZ1732" s="520"/>
      <c r="CA1732" s="520"/>
      <c r="CB1732" s="520"/>
      <c r="CC1732" s="1122"/>
      <c r="CD1732" s="1122"/>
      <c r="CE1732" s="1122"/>
      <c r="CF1732" s="1122"/>
      <c r="CG1732" s="519"/>
    </row>
    <row r="1733" spans="1:85" s="612" customFormat="1" x14ac:dyDescent="0.3">
      <c r="A1733" s="106" t="s">
        <v>2162</v>
      </c>
      <c r="B1733" s="514"/>
      <c r="C1733" s="1097"/>
      <c r="D1733" s="1097"/>
      <c r="E1733" s="1097"/>
      <c r="F1733" s="1097"/>
      <c r="G1733" s="772"/>
      <c r="H1733" s="772"/>
      <c r="I1733" s="772"/>
      <c r="J1733" s="772"/>
      <c r="K1733" s="1097"/>
      <c r="L1733" s="772"/>
      <c r="M1733" s="772"/>
      <c r="N1733" s="772"/>
      <c r="O1733" s="772"/>
      <c r="P1733" s="1097"/>
      <c r="Q1733" s="772"/>
      <c r="R1733" s="772"/>
      <c r="S1733" s="772"/>
      <c r="T1733" s="772"/>
      <c r="U1733" s="1097"/>
      <c r="V1733" s="772"/>
      <c r="W1733" s="772"/>
      <c r="X1733" s="772"/>
      <c r="Y1733" s="772"/>
      <c r="Z1733" s="1097"/>
      <c r="AA1733" s="772"/>
      <c r="AB1733" s="772"/>
      <c r="AC1733" s="772"/>
      <c r="AD1733" s="772"/>
      <c r="AE1733" s="1097"/>
      <c r="AF1733" s="772"/>
      <c r="AG1733" s="772"/>
      <c r="AH1733" s="772"/>
      <c r="AI1733" s="772"/>
      <c r="AJ1733" s="1097"/>
      <c r="AK1733" s="772"/>
      <c r="AL1733" s="772"/>
      <c r="AM1733" s="772"/>
      <c r="AN1733" s="772"/>
      <c r="AO1733" s="1097"/>
      <c r="AP1733" s="772"/>
      <c r="AQ1733" s="772"/>
      <c r="AR1733" s="772"/>
      <c r="AS1733" s="772"/>
      <c r="AT1733" s="1097"/>
      <c r="AU1733" s="772"/>
      <c r="AV1733" s="772"/>
      <c r="AW1733" s="772"/>
      <c r="AX1733" s="772"/>
      <c r="AY1733" s="1097"/>
      <c r="AZ1733" s="772"/>
      <c r="BA1733" s="772"/>
      <c r="BB1733" s="772"/>
      <c r="BC1733" s="772"/>
      <c r="BD1733" s="1130"/>
      <c r="BE1733" s="772"/>
      <c r="BF1733" s="772"/>
      <c r="BG1733" s="772"/>
      <c r="BH1733" s="772"/>
      <c r="BI1733" s="1125">
        <v>9.51</v>
      </c>
      <c r="BJ1733" s="772"/>
      <c r="BK1733" s="772"/>
      <c r="BL1733" s="772"/>
      <c r="BM1733" s="772"/>
      <c r="BN1733" s="1097"/>
      <c r="BO1733" s="772"/>
      <c r="BP1733" s="772"/>
      <c r="BQ1733" s="772"/>
      <c r="BR1733" s="772"/>
      <c r="BS1733" s="1097"/>
      <c r="BT1733" s="838"/>
      <c r="BU1733" s="772"/>
      <c r="BV1733" s="772"/>
      <c r="BW1733" s="772"/>
      <c r="BX1733" s="1097"/>
      <c r="BY1733" s="772"/>
      <c r="BZ1733" s="772"/>
      <c r="CA1733" s="772"/>
      <c r="CB1733" s="772"/>
      <c r="CC1733" s="1097"/>
      <c r="CD1733" s="1097"/>
      <c r="CE1733" s="1097"/>
      <c r="CF1733" s="1097"/>
      <c r="CG1733" s="348"/>
    </row>
    <row r="1734" spans="1:85" s="615" customFormat="1" x14ac:dyDescent="0.3">
      <c r="A1734" s="522"/>
      <c r="B1734" s="521"/>
      <c r="C1734" s="1122"/>
      <c r="D1734" s="1122"/>
      <c r="E1734" s="1122"/>
      <c r="F1734" s="1122"/>
      <c r="G1734" s="520"/>
      <c r="H1734" s="520"/>
      <c r="I1734" s="520"/>
      <c r="J1734" s="520"/>
      <c r="K1734" s="1122"/>
      <c r="L1734" s="520"/>
      <c r="M1734" s="520"/>
      <c r="N1734" s="520"/>
      <c r="O1734" s="520"/>
      <c r="P1734" s="1122"/>
      <c r="Q1734" s="520"/>
      <c r="R1734" s="520"/>
      <c r="S1734" s="520"/>
      <c r="T1734" s="520"/>
      <c r="U1734" s="1122"/>
      <c r="V1734" s="520"/>
      <c r="W1734" s="520"/>
      <c r="X1734" s="520"/>
      <c r="Y1734" s="520"/>
      <c r="Z1734" s="1122"/>
      <c r="AA1734" s="520"/>
      <c r="AB1734" s="520"/>
      <c r="AC1734" s="520"/>
      <c r="AD1734" s="520"/>
      <c r="AE1734" s="1122"/>
      <c r="AF1734" s="520"/>
      <c r="AG1734" s="520"/>
      <c r="AH1734" s="520"/>
      <c r="AI1734" s="520"/>
      <c r="AJ1734" s="1122"/>
      <c r="AK1734" s="520"/>
      <c r="AL1734" s="520"/>
      <c r="AM1734" s="520"/>
      <c r="AN1734" s="520"/>
      <c r="AO1734" s="1122"/>
      <c r="AP1734" s="520"/>
      <c r="AQ1734" s="520"/>
      <c r="AR1734" s="520"/>
      <c r="AS1734" s="520"/>
      <c r="AT1734" s="1124"/>
      <c r="AU1734" s="520"/>
      <c r="AV1734" s="520"/>
      <c r="AW1734" s="520"/>
      <c r="AX1734" s="520"/>
      <c r="AY1734" s="1124"/>
      <c r="AZ1734" s="520"/>
      <c r="BA1734" s="520"/>
      <c r="BB1734" s="520"/>
      <c r="BC1734" s="520"/>
      <c r="BD1734" s="1124"/>
      <c r="BE1734" s="520"/>
      <c r="BF1734" s="520"/>
      <c r="BG1734" s="520"/>
      <c r="BH1734" s="520"/>
      <c r="BI1734" s="1124"/>
      <c r="BJ1734" s="520"/>
      <c r="BK1734" s="520"/>
      <c r="BL1734" s="520"/>
      <c r="BM1734" s="520"/>
      <c r="BN1734" s="1124"/>
      <c r="BO1734" s="520"/>
      <c r="BP1734" s="520"/>
      <c r="BQ1734" s="520"/>
      <c r="BR1734" s="520"/>
      <c r="BS1734" s="1124"/>
      <c r="BT1734" s="728"/>
      <c r="BU1734" s="520"/>
      <c r="BV1734" s="520"/>
      <c r="BW1734" s="520"/>
      <c r="BX1734" s="1122"/>
      <c r="BY1734" s="520"/>
      <c r="BZ1734" s="520"/>
      <c r="CA1734" s="520"/>
      <c r="CB1734" s="520"/>
      <c r="CC1734" s="1122"/>
      <c r="CD1734" s="1122"/>
      <c r="CE1734" s="1122"/>
      <c r="CF1734" s="1122"/>
      <c r="CG1734" s="519"/>
    </row>
    <row r="1735" spans="1:85" s="614" customFormat="1" x14ac:dyDescent="0.3">
      <c r="A1735" s="776" t="s">
        <v>1043</v>
      </c>
      <c r="B1735" s="776"/>
      <c r="C1735" s="776"/>
      <c r="D1735" s="776"/>
      <c r="E1735" s="776"/>
      <c r="F1735" s="776"/>
      <c r="G1735" s="776"/>
      <c r="H1735" s="776"/>
      <c r="I1735" s="776"/>
      <c r="J1735" s="776"/>
      <c r="K1735" s="776"/>
      <c r="L1735" s="776"/>
      <c r="M1735" s="776"/>
      <c r="N1735" s="776"/>
      <c r="O1735" s="776"/>
      <c r="P1735" s="776"/>
      <c r="Q1735" s="776"/>
      <c r="R1735" s="776"/>
      <c r="S1735" s="776"/>
      <c r="T1735" s="776"/>
      <c r="U1735" s="776"/>
      <c r="V1735" s="776"/>
      <c r="W1735" s="776"/>
      <c r="X1735" s="776"/>
      <c r="Y1735" s="776"/>
      <c r="Z1735" s="776"/>
      <c r="AA1735" s="776"/>
      <c r="AB1735" s="776"/>
      <c r="AC1735" s="776"/>
      <c r="AD1735" s="776"/>
      <c r="AE1735" s="776"/>
      <c r="AF1735" s="776"/>
      <c r="AG1735" s="776"/>
      <c r="AH1735" s="776"/>
      <c r="AI1735" s="776"/>
      <c r="AJ1735" s="776"/>
      <c r="AK1735" s="776"/>
      <c r="AL1735" s="776"/>
      <c r="AM1735" s="776"/>
      <c r="AN1735" s="776"/>
      <c r="AO1735" s="776"/>
      <c r="AP1735" s="776"/>
      <c r="AQ1735" s="776"/>
      <c r="AR1735" s="776"/>
      <c r="AS1735" s="776"/>
      <c r="AT1735" s="776"/>
      <c r="AU1735" s="776"/>
      <c r="AV1735" s="776"/>
      <c r="AW1735" s="776"/>
      <c r="AX1735" s="776"/>
      <c r="AY1735" s="776"/>
      <c r="AZ1735" s="776"/>
      <c r="BA1735" s="776"/>
      <c r="BB1735" s="776"/>
      <c r="BC1735" s="776"/>
      <c r="BD1735" s="776"/>
      <c r="BE1735" s="776"/>
      <c r="BF1735" s="776"/>
      <c r="BG1735" s="776"/>
      <c r="BH1735" s="776"/>
      <c r="BI1735" s="776"/>
      <c r="BJ1735" s="776"/>
      <c r="BK1735" s="776"/>
      <c r="BL1735" s="776"/>
      <c r="BM1735" s="776"/>
      <c r="BN1735" s="776"/>
      <c r="BO1735" s="776"/>
      <c r="BP1735" s="776"/>
      <c r="BQ1735" s="776"/>
      <c r="BR1735" s="776"/>
      <c r="BS1735" s="776"/>
      <c r="BT1735" s="777"/>
      <c r="BU1735" s="776"/>
      <c r="BV1735" s="776"/>
      <c r="BW1735" s="776"/>
      <c r="BX1735" s="776"/>
      <c r="BY1735" s="776"/>
      <c r="BZ1735" s="776"/>
      <c r="CA1735" s="776"/>
      <c r="CB1735" s="776"/>
      <c r="CC1735" s="776"/>
      <c r="CD1735" s="776"/>
      <c r="CE1735" s="776"/>
      <c r="CF1735" s="776"/>
      <c r="CG1735" s="349"/>
    </row>
    <row r="1736" spans="1:85" s="611" customFormat="1" x14ac:dyDescent="0.3">
      <c r="A1736" s="518" t="s">
        <v>1042</v>
      </c>
      <c r="B1736" s="513"/>
      <c r="C1736" s="198"/>
      <c r="D1736" s="198"/>
      <c r="E1736" s="198"/>
      <c r="F1736" s="198"/>
      <c r="G1736" s="194"/>
      <c r="H1736" s="194"/>
      <c r="I1736" s="194"/>
      <c r="J1736" s="194"/>
      <c r="K1736" s="198"/>
      <c r="L1736" s="194"/>
      <c r="M1736" s="194"/>
      <c r="N1736" s="194"/>
      <c r="O1736" s="194"/>
      <c r="P1736" s="198"/>
      <c r="Q1736" s="194"/>
      <c r="R1736" s="194"/>
      <c r="S1736" s="194"/>
      <c r="T1736" s="194"/>
      <c r="U1736" s="198"/>
      <c r="V1736" s="194"/>
      <c r="W1736" s="194"/>
      <c r="X1736" s="194"/>
      <c r="Y1736" s="194"/>
      <c r="Z1736" s="198"/>
      <c r="AA1736" s="194"/>
      <c r="AB1736" s="194"/>
      <c r="AC1736" s="194"/>
      <c r="AD1736" s="194"/>
      <c r="AE1736" s="198"/>
      <c r="AF1736" s="194"/>
      <c r="AG1736" s="194"/>
      <c r="AH1736" s="194"/>
      <c r="AI1736" s="194"/>
      <c r="AJ1736" s="198"/>
      <c r="AK1736" s="194"/>
      <c r="AL1736" s="194"/>
      <c r="AM1736" s="194"/>
      <c r="AN1736" s="194"/>
      <c r="AO1736" s="198"/>
      <c r="AP1736" s="194"/>
      <c r="AQ1736" s="194"/>
      <c r="AR1736" s="194"/>
      <c r="AS1736" s="194"/>
      <c r="AT1736" s="1131">
        <v>12</v>
      </c>
      <c r="AU1736" s="194"/>
      <c r="AV1736" s="194"/>
      <c r="AW1736" s="194"/>
      <c r="AX1736" s="194"/>
      <c r="AY1736" s="1131">
        <v>12</v>
      </c>
      <c r="AZ1736" s="194"/>
      <c r="BA1736" s="194"/>
      <c r="BB1736" s="194"/>
      <c r="BC1736" s="194"/>
      <c r="BD1736" s="1131">
        <v>12</v>
      </c>
      <c r="BE1736" s="194"/>
      <c r="BF1736" s="194"/>
      <c r="BG1736" s="194"/>
      <c r="BH1736" s="194"/>
      <c r="BI1736" s="1131">
        <v>13</v>
      </c>
      <c r="BJ1736" s="194"/>
      <c r="BK1736" s="194"/>
      <c r="BL1736" s="194"/>
      <c r="BM1736" s="194"/>
      <c r="BN1736" s="1131">
        <v>13</v>
      </c>
      <c r="BO1736" s="194"/>
      <c r="BP1736" s="194"/>
      <c r="BQ1736" s="194"/>
      <c r="BR1736" s="194"/>
      <c r="BS1736" s="198"/>
      <c r="BT1736" s="726"/>
      <c r="BU1736" s="194"/>
      <c r="BV1736" s="194"/>
      <c r="BW1736" s="194"/>
      <c r="BX1736" s="198"/>
      <c r="BY1736" s="194"/>
      <c r="BZ1736" s="194"/>
      <c r="CA1736" s="194"/>
      <c r="CB1736" s="194"/>
      <c r="CC1736" s="198"/>
      <c r="CD1736" s="198"/>
      <c r="CE1736" s="198"/>
      <c r="CF1736" s="198"/>
      <c r="CG1736" s="347"/>
    </row>
    <row r="1737" spans="1:85" s="611" customFormat="1" x14ac:dyDescent="0.3">
      <c r="A1737" s="518" t="s">
        <v>1041</v>
      </c>
      <c r="B1737" s="513"/>
      <c r="C1737" s="198"/>
      <c r="D1737" s="198"/>
      <c r="E1737" s="198"/>
      <c r="F1737" s="198"/>
      <c r="G1737" s="194"/>
      <c r="H1737" s="194"/>
      <c r="I1737" s="194"/>
      <c r="J1737" s="194"/>
      <c r="K1737" s="198"/>
      <c r="L1737" s="194"/>
      <c r="M1737" s="194"/>
      <c r="N1737" s="194"/>
      <c r="O1737" s="194"/>
      <c r="P1737" s="198"/>
      <c r="Q1737" s="194"/>
      <c r="R1737" s="194"/>
      <c r="S1737" s="194"/>
      <c r="T1737" s="194"/>
      <c r="U1737" s="198"/>
      <c r="V1737" s="194"/>
      <c r="W1737" s="194"/>
      <c r="X1737" s="194"/>
      <c r="Y1737" s="194"/>
      <c r="Z1737" s="198"/>
      <c r="AA1737" s="194"/>
      <c r="AB1737" s="194"/>
      <c r="AC1737" s="194"/>
      <c r="AD1737" s="194"/>
      <c r="AE1737" s="198"/>
      <c r="AF1737" s="194"/>
      <c r="AG1737" s="194"/>
      <c r="AH1737" s="194"/>
      <c r="AI1737" s="194"/>
      <c r="AJ1737" s="198"/>
      <c r="AK1737" s="194"/>
      <c r="AL1737" s="194"/>
      <c r="AM1737" s="194"/>
      <c r="AN1737" s="194"/>
      <c r="AO1737" s="198"/>
      <c r="AP1737" s="194"/>
      <c r="AQ1737" s="194"/>
      <c r="AR1737" s="194"/>
      <c r="AS1737" s="194"/>
      <c r="AT1737" s="1131">
        <v>9</v>
      </c>
      <c r="AU1737" s="194"/>
      <c r="AV1737" s="194"/>
      <c r="AW1737" s="194"/>
      <c r="AX1737" s="194"/>
      <c r="AY1737" s="1131">
        <v>10</v>
      </c>
      <c r="AZ1737" s="194"/>
      <c r="BA1737" s="194"/>
      <c r="BB1737" s="194"/>
      <c r="BC1737" s="194"/>
      <c r="BD1737" s="1131">
        <v>9</v>
      </c>
      <c r="BE1737" s="194"/>
      <c r="BF1737" s="194"/>
      <c r="BG1737" s="194"/>
      <c r="BH1737" s="194"/>
      <c r="BI1737" s="1131">
        <v>10</v>
      </c>
      <c r="BJ1737" s="194"/>
      <c r="BK1737" s="194"/>
      <c r="BL1737" s="194"/>
      <c r="BM1737" s="194"/>
      <c r="BN1737" s="1131">
        <v>10</v>
      </c>
      <c r="BO1737" s="194"/>
      <c r="BP1737" s="194"/>
      <c r="BQ1737" s="194"/>
      <c r="BR1737" s="194"/>
      <c r="BS1737" s="198"/>
      <c r="BT1737" s="726"/>
      <c r="BU1737" s="194"/>
      <c r="BV1737" s="194"/>
      <c r="BW1737" s="194"/>
      <c r="BX1737" s="198"/>
      <c r="BY1737" s="194"/>
      <c r="BZ1737" s="194"/>
      <c r="CA1737" s="194"/>
      <c r="CB1737" s="194"/>
      <c r="CC1737" s="198"/>
      <c r="CD1737" s="198"/>
      <c r="CE1737" s="198"/>
      <c r="CF1737" s="198"/>
      <c r="CG1737" s="347"/>
    </row>
    <row r="1738" spans="1:85" s="611" customFormat="1" x14ac:dyDescent="0.3">
      <c r="A1738" s="518" t="s">
        <v>1040</v>
      </c>
      <c r="B1738" s="513"/>
      <c r="C1738" s="198"/>
      <c r="D1738" s="198"/>
      <c r="E1738" s="198"/>
      <c r="F1738" s="198"/>
      <c r="G1738" s="194"/>
      <c r="H1738" s="194"/>
      <c r="I1738" s="194"/>
      <c r="J1738" s="194"/>
      <c r="K1738" s="198"/>
      <c r="L1738" s="194"/>
      <c r="M1738" s="194"/>
      <c r="N1738" s="194"/>
      <c r="O1738" s="194"/>
      <c r="P1738" s="198"/>
      <c r="Q1738" s="194"/>
      <c r="R1738" s="194"/>
      <c r="S1738" s="194"/>
      <c r="T1738" s="194"/>
      <c r="U1738" s="198"/>
      <c r="V1738" s="194"/>
      <c r="W1738" s="194"/>
      <c r="X1738" s="194"/>
      <c r="Y1738" s="194"/>
      <c r="Z1738" s="198"/>
      <c r="AA1738" s="194"/>
      <c r="AB1738" s="194"/>
      <c r="AC1738" s="194"/>
      <c r="AD1738" s="194"/>
      <c r="AE1738" s="198"/>
      <c r="AF1738" s="194"/>
      <c r="AG1738" s="194"/>
      <c r="AH1738" s="194"/>
      <c r="AI1738" s="194"/>
      <c r="AJ1738" s="198"/>
      <c r="AK1738" s="194"/>
      <c r="AL1738" s="194"/>
      <c r="AM1738" s="194"/>
      <c r="AN1738" s="194"/>
      <c r="AO1738" s="198"/>
      <c r="AP1738" s="194"/>
      <c r="AQ1738" s="194"/>
      <c r="AR1738" s="194"/>
      <c r="AS1738" s="194"/>
      <c r="AT1738" s="1131">
        <v>3</v>
      </c>
      <c r="AU1738" s="194"/>
      <c r="AV1738" s="194"/>
      <c r="AW1738" s="194"/>
      <c r="AX1738" s="194"/>
      <c r="AY1738" s="1131">
        <v>3</v>
      </c>
      <c r="AZ1738" s="194"/>
      <c r="BA1738" s="194"/>
      <c r="BB1738" s="194"/>
      <c r="BC1738" s="194"/>
      <c r="BD1738" s="1131">
        <v>3</v>
      </c>
      <c r="BE1738" s="194"/>
      <c r="BF1738" s="194"/>
      <c r="BG1738" s="194"/>
      <c r="BH1738" s="194"/>
      <c r="BI1738" s="1131">
        <v>4</v>
      </c>
      <c r="BJ1738" s="194"/>
      <c r="BK1738" s="194"/>
      <c r="BL1738" s="194"/>
      <c r="BM1738" s="194"/>
      <c r="BN1738" s="1131">
        <v>4</v>
      </c>
      <c r="BO1738" s="194"/>
      <c r="BP1738" s="194"/>
      <c r="BQ1738" s="194"/>
      <c r="BR1738" s="194"/>
      <c r="BS1738" s="198"/>
      <c r="BT1738" s="726"/>
      <c r="BU1738" s="194"/>
      <c r="BV1738" s="194"/>
      <c r="BW1738" s="194"/>
      <c r="BX1738" s="198"/>
      <c r="BY1738" s="194"/>
      <c r="BZ1738" s="194"/>
      <c r="CA1738" s="194"/>
      <c r="CB1738" s="194"/>
      <c r="CC1738" s="198"/>
      <c r="CD1738" s="198"/>
      <c r="CE1738" s="198"/>
      <c r="CF1738" s="198"/>
      <c r="CG1738" s="347"/>
    </row>
    <row r="1739" spans="1:85" s="611" customFormat="1" x14ac:dyDescent="0.3">
      <c r="A1739" s="518" t="s">
        <v>1039</v>
      </c>
      <c r="B1739" s="513"/>
      <c r="C1739" s="198"/>
      <c r="D1739" s="198"/>
      <c r="E1739" s="198"/>
      <c r="F1739" s="198"/>
      <c r="G1739" s="194"/>
      <c r="H1739" s="194"/>
      <c r="I1739" s="194"/>
      <c r="J1739" s="194"/>
      <c r="K1739" s="198"/>
      <c r="L1739" s="194"/>
      <c r="M1739" s="194"/>
      <c r="N1739" s="194"/>
      <c r="O1739" s="194"/>
      <c r="P1739" s="198"/>
      <c r="Q1739" s="194"/>
      <c r="R1739" s="194"/>
      <c r="S1739" s="194"/>
      <c r="T1739" s="194"/>
      <c r="U1739" s="198"/>
      <c r="V1739" s="194"/>
      <c r="W1739" s="194"/>
      <c r="X1739" s="194"/>
      <c r="Y1739" s="194"/>
      <c r="Z1739" s="198"/>
      <c r="AA1739" s="194"/>
      <c r="AB1739" s="194"/>
      <c r="AC1739" s="194"/>
      <c r="AD1739" s="194"/>
      <c r="AE1739" s="198"/>
      <c r="AF1739" s="194"/>
      <c r="AG1739" s="194"/>
      <c r="AH1739" s="194"/>
      <c r="AI1739" s="194"/>
      <c r="AJ1739" s="198"/>
      <c r="AK1739" s="194"/>
      <c r="AL1739" s="194"/>
      <c r="AM1739" s="194"/>
      <c r="AN1739" s="194"/>
      <c r="AO1739" s="198"/>
      <c r="AP1739" s="194"/>
      <c r="AQ1739" s="194"/>
      <c r="AR1739" s="194"/>
      <c r="AS1739" s="194"/>
      <c r="AT1739" s="198"/>
      <c r="AU1739" s="194"/>
      <c r="AV1739" s="194"/>
      <c r="AW1739" s="194"/>
      <c r="AX1739" s="194"/>
      <c r="AY1739" s="198"/>
      <c r="AZ1739" s="194"/>
      <c r="BA1739" s="194"/>
      <c r="BB1739" s="194"/>
      <c r="BC1739" s="194"/>
      <c r="BD1739" s="1131">
        <v>1</v>
      </c>
      <c r="BE1739" s="194"/>
      <c r="BF1739" s="194"/>
      <c r="BG1739" s="194"/>
      <c r="BH1739" s="194"/>
      <c r="BI1739" s="1131">
        <f>1+1</f>
      </c>
      <c r="BJ1739" s="194"/>
      <c r="BK1739" s="194"/>
      <c r="BL1739" s="194"/>
      <c r="BM1739" s="194"/>
      <c r="BN1739" s="1131">
        <v>2</v>
      </c>
      <c r="BO1739" s="194"/>
      <c r="BP1739" s="194"/>
      <c r="BQ1739" s="194"/>
      <c r="BR1739" s="194"/>
      <c r="BS1739" s="198"/>
      <c r="BT1739" s="726"/>
      <c r="BU1739" s="194"/>
      <c r="BV1739" s="194"/>
      <c r="BW1739" s="194"/>
      <c r="BX1739" s="198"/>
      <c r="BY1739" s="194"/>
      <c r="BZ1739" s="194"/>
      <c r="CA1739" s="194"/>
      <c r="CB1739" s="194"/>
      <c r="CC1739" s="198"/>
      <c r="CD1739" s="198"/>
      <c r="CE1739" s="198"/>
      <c r="CF1739" s="198"/>
      <c r="CG1739" s="347"/>
    </row>
    <row r="1740" spans="1:85" s="614" customFormat="1" x14ac:dyDescent="0.3">
      <c r="A1740" s="518"/>
      <c r="B1740" s="352"/>
      <c r="C1740" s="1094"/>
      <c r="D1740" s="1094"/>
      <c r="E1740" s="1094"/>
      <c r="F1740" s="1094"/>
      <c r="G1740" s="197"/>
      <c r="H1740" s="197"/>
      <c r="I1740" s="197"/>
      <c r="J1740" s="197"/>
      <c r="K1740" s="1094"/>
      <c r="L1740" s="197"/>
      <c r="M1740" s="197"/>
      <c r="N1740" s="197"/>
      <c r="O1740" s="197"/>
      <c r="P1740" s="1094"/>
      <c r="Q1740" s="197"/>
      <c r="R1740" s="197"/>
      <c r="S1740" s="197"/>
      <c r="T1740" s="197"/>
      <c r="U1740" s="1094"/>
      <c r="V1740" s="197"/>
      <c r="W1740" s="197"/>
      <c r="X1740" s="197"/>
      <c r="Y1740" s="197"/>
      <c r="Z1740" s="1094"/>
      <c r="AA1740" s="197"/>
      <c r="AB1740" s="197"/>
      <c r="AC1740" s="197"/>
      <c r="AD1740" s="197"/>
      <c r="AE1740" s="1094"/>
      <c r="AF1740" s="197"/>
      <c r="AG1740" s="197"/>
      <c r="AH1740" s="197"/>
      <c r="AI1740" s="197"/>
      <c r="AJ1740" s="1094"/>
      <c r="AK1740" s="197"/>
      <c r="AL1740" s="197"/>
      <c r="AM1740" s="197"/>
      <c r="AN1740" s="197"/>
      <c r="AO1740" s="1094"/>
      <c r="AP1740" s="197"/>
      <c r="AQ1740" s="197"/>
      <c r="AR1740" s="197"/>
      <c r="AS1740" s="197"/>
      <c r="AT1740" s="198"/>
      <c r="AU1740" s="194"/>
      <c r="AV1740" s="194"/>
      <c r="AW1740" s="194"/>
      <c r="AX1740" s="194"/>
      <c r="AY1740" s="198"/>
      <c r="AZ1740" s="194"/>
      <c r="BA1740" s="194"/>
      <c r="BB1740" s="194"/>
      <c r="BC1740" s="194"/>
      <c r="BD1740" s="198"/>
      <c r="BE1740" s="197"/>
      <c r="BF1740" s="197"/>
      <c r="BG1740" s="197"/>
      <c r="BH1740" s="197"/>
      <c r="BI1740" s="1094"/>
      <c r="BJ1740" s="197"/>
      <c r="BK1740" s="197"/>
      <c r="BL1740" s="197"/>
      <c r="BM1740" s="197"/>
      <c r="BN1740" s="1094"/>
      <c r="BO1740" s="197"/>
      <c r="BP1740" s="197"/>
      <c r="BQ1740" s="197"/>
      <c r="BR1740" s="197"/>
      <c r="BS1740" s="1094"/>
      <c r="BT1740" s="727"/>
      <c r="BU1740" s="197"/>
      <c r="BV1740" s="197"/>
      <c r="BW1740" s="197"/>
      <c r="BX1740" s="1094"/>
      <c r="BY1740" s="197"/>
      <c r="BZ1740" s="197"/>
      <c r="CA1740" s="197"/>
      <c r="CB1740" s="197"/>
      <c r="CC1740" s="1094"/>
      <c r="CD1740" s="1094"/>
      <c r="CE1740" s="1094"/>
      <c r="CF1740" s="1094"/>
      <c r="CG1740" s="349"/>
    </row>
    <row r="1741" spans="1:85" s="611" customFormat="1" x14ac:dyDescent="0.3">
      <c r="A1741" s="518" t="s">
        <v>1038</v>
      </c>
      <c r="B1741" s="513"/>
      <c r="C1741" s="198"/>
      <c r="D1741" s="198"/>
      <c r="E1741" s="198"/>
      <c r="F1741" s="198"/>
      <c r="G1741" s="194"/>
      <c r="H1741" s="194"/>
      <c r="I1741" s="194"/>
      <c r="J1741" s="194"/>
      <c r="K1741" s="198"/>
      <c r="L1741" s="194"/>
      <c r="M1741" s="194"/>
      <c r="N1741" s="194"/>
      <c r="O1741" s="194"/>
      <c r="P1741" s="198"/>
      <c r="Q1741" s="194"/>
      <c r="R1741" s="194"/>
      <c r="S1741" s="194"/>
      <c r="T1741" s="194"/>
      <c r="U1741" s="198"/>
      <c r="V1741" s="194"/>
      <c r="W1741" s="194"/>
      <c r="X1741" s="194"/>
      <c r="Y1741" s="194"/>
      <c r="Z1741" s="198"/>
      <c r="AA1741" s="194"/>
      <c r="AB1741" s="194"/>
      <c r="AC1741" s="194"/>
      <c r="AD1741" s="194"/>
      <c r="AE1741" s="198"/>
      <c r="AF1741" s="194"/>
      <c r="AG1741" s="194"/>
      <c r="AH1741" s="194"/>
      <c r="AI1741" s="194"/>
      <c r="AJ1741" s="198"/>
      <c r="AK1741" s="194"/>
      <c r="AL1741" s="194"/>
      <c r="AM1741" s="194"/>
      <c r="AN1741" s="194"/>
      <c r="AO1741" s="198"/>
      <c r="AP1741" s="194"/>
      <c r="AQ1741" s="194"/>
      <c r="AR1741" s="194"/>
      <c r="AS1741" s="194"/>
      <c r="AT1741" s="1131">
        <v>4</v>
      </c>
      <c r="AU1741" s="194"/>
      <c r="AV1741" s="194"/>
      <c r="AW1741" s="194"/>
      <c r="AX1741" s="194"/>
      <c r="AY1741" s="1131">
        <v>4</v>
      </c>
      <c r="AZ1741" s="194"/>
      <c r="BA1741" s="194"/>
      <c r="BB1741" s="194"/>
      <c r="BC1741" s="194"/>
      <c r="BD1741" s="1131">
        <v>4</v>
      </c>
      <c r="BE1741" s="194"/>
      <c r="BF1741" s="194"/>
      <c r="BG1741" s="194"/>
      <c r="BH1741" s="194"/>
      <c r="BI1741" s="1131">
        <v>9</v>
      </c>
      <c r="BJ1741" s="194"/>
      <c r="BK1741" s="194"/>
      <c r="BL1741" s="194"/>
      <c r="BM1741" s="194"/>
      <c r="BN1741" s="1131">
        <v>12</v>
      </c>
      <c r="BO1741" s="194"/>
      <c r="BP1741" s="194"/>
      <c r="BQ1741" s="194"/>
      <c r="BR1741" s="194"/>
      <c r="BS1741" s="198"/>
      <c r="BT1741" s="726"/>
      <c r="BU1741" s="194"/>
      <c r="BV1741" s="194"/>
      <c r="BW1741" s="194"/>
      <c r="BX1741" s="198"/>
      <c r="BY1741" s="194"/>
      <c r="BZ1741" s="194"/>
      <c r="CA1741" s="194"/>
      <c r="CB1741" s="194"/>
      <c r="CC1741" s="198"/>
      <c r="CD1741" s="198"/>
      <c r="CE1741" s="198"/>
      <c r="CF1741" s="198"/>
      <c r="CG1741" s="347"/>
    </row>
    <row r="1742" spans="1:85" s="614" customFormat="1" x14ac:dyDescent="0.3">
      <c r="A1742" s="351"/>
      <c r="B1742" s="352"/>
      <c r="C1742" s="1094"/>
      <c r="D1742" s="1094"/>
      <c r="E1742" s="1094"/>
      <c r="F1742" s="1094"/>
      <c r="G1742" s="197"/>
      <c r="H1742" s="197"/>
      <c r="I1742" s="197"/>
      <c r="J1742" s="197"/>
      <c r="K1742" s="1094"/>
      <c r="L1742" s="197"/>
      <c r="M1742" s="197"/>
      <c r="N1742" s="197"/>
      <c r="O1742" s="197"/>
      <c r="P1742" s="1094"/>
      <c r="Q1742" s="197"/>
      <c r="R1742" s="197"/>
      <c r="S1742" s="197"/>
      <c r="T1742" s="197"/>
      <c r="U1742" s="1094"/>
      <c r="V1742" s="197"/>
      <c r="W1742" s="197"/>
      <c r="X1742" s="197"/>
      <c r="Y1742" s="197"/>
      <c r="Z1742" s="1094"/>
      <c r="AA1742" s="197"/>
      <c r="AB1742" s="197"/>
      <c r="AC1742" s="197"/>
      <c r="AD1742" s="197"/>
      <c r="AE1742" s="1094"/>
      <c r="AF1742" s="197"/>
      <c r="AG1742" s="197"/>
      <c r="AH1742" s="197"/>
      <c r="AI1742" s="197"/>
      <c r="AJ1742" s="1094"/>
      <c r="AK1742" s="197"/>
      <c r="AL1742" s="197"/>
      <c r="AM1742" s="197"/>
      <c r="AN1742" s="197"/>
      <c r="AO1742" s="1094"/>
      <c r="AP1742" s="197"/>
      <c r="AQ1742" s="197"/>
      <c r="AR1742" s="197"/>
      <c r="AS1742" s="197"/>
      <c r="AT1742" s="1094"/>
      <c r="AU1742" s="197"/>
      <c r="AV1742" s="197"/>
      <c r="AW1742" s="197"/>
      <c r="AX1742" s="197"/>
      <c r="AY1742" s="1094"/>
      <c r="AZ1742" s="197"/>
      <c r="BA1742" s="197"/>
      <c r="BB1742" s="197"/>
      <c r="BC1742" s="197"/>
      <c r="BD1742" s="1094"/>
      <c r="BE1742" s="197"/>
      <c r="BF1742" s="197"/>
      <c r="BG1742" s="197"/>
      <c r="BH1742" s="197"/>
      <c r="BI1742" s="1094"/>
      <c r="BJ1742" s="197"/>
      <c r="BK1742" s="197"/>
      <c r="BL1742" s="197"/>
      <c r="BM1742" s="197"/>
      <c r="BN1742" s="1094"/>
      <c r="BO1742" s="197"/>
      <c r="BP1742" s="197"/>
      <c r="BQ1742" s="197"/>
      <c r="BR1742" s="197"/>
      <c r="BS1742" s="1094"/>
      <c r="BT1742" s="727"/>
      <c r="BU1742" s="197"/>
      <c r="BV1742" s="197"/>
      <c r="BW1742" s="197"/>
      <c r="BX1742" s="1094"/>
      <c r="BY1742" s="197"/>
      <c r="BZ1742" s="197"/>
      <c r="CA1742" s="197"/>
      <c r="CB1742" s="197"/>
      <c r="CC1742" s="1094"/>
      <c r="CD1742" s="1094"/>
      <c r="CE1742" s="1094"/>
      <c r="CF1742" s="1094"/>
      <c r="CG1742" s="349"/>
    </row>
    <row r="1743" spans="1:85" s="614" customFormat="1" x14ac:dyDescent="0.3">
      <c r="A1743" s="776" t="s">
        <v>1037</v>
      </c>
      <c r="B1743" s="776"/>
      <c r="C1743" s="776"/>
      <c r="D1743" s="776"/>
      <c r="E1743" s="776"/>
      <c r="F1743" s="776"/>
      <c r="G1743" s="776"/>
      <c r="H1743" s="776"/>
      <c r="I1743" s="776"/>
      <c r="J1743" s="776"/>
      <c r="K1743" s="776"/>
      <c r="L1743" s="776"/>
      <c r="M1743" s="776"/>
      <c r="N1743" s="776"/>
      <c r="O1743" s="776"/>
      <c r="P1743" s="776"/>
      <c r="Q1743" s="776"/>
      <c r="R1743" s="776"/>
      <c r="S1743" s="776"/>
      <c r="T1743" s="776"/>
      <c r="U1743" s="776"/>
      <c r="V1743" s="776"/>
      <c r="W1743" s="776"/>
      <c r="X1743" s="776"/>
      <c r="Y1743" s="776"/>
      <c r="Z1743" s="776"/>
      <c r="AA1743" s="776"/>
      <c r="AB1743" s="776"/>
      <c r="AC1743" s="776"/>
      <c r="AD1743" s="776"/>
      <c r="AE1743" s="776"/>
      <c r="AF1743" s="776"/>
      <c r="AG1743" s="776"/>
      <c r="AH1743" s="776"/>
      <c r="AI1743" s="776"/>
      <c r="AJ1743" s="776"/>
      <c r="AK1743" s="776"/>
      <c r="AL1743" s="776"/>
      <c r="AM1743" s="776"/>
      <c r="AN1743" s="776"/>
      <c r="AO1743" s="776"/>
      <c r="AP1743" s="776"/>
      <c r="AQ1743" s="776"/>
      <c r="AR1743" s="776"/>
      <c r="AS1743" s="776"/>
      <c r="AT1743" s="776"/>
      <c r="AU1743" s="776"/>
      <c r="AV1743" s="776"/>
      <c r="AW1743" s="776"/>
      <c r="AX1743" s="776"/>
      <c r="AY1743" s="776"/>
      <c r="AZ1743" s="776"/>
      <c r="BA1743" s="776"/>
      <c r="BB1743" s="776"/>
      <c r="BC1743" s="776"/>
      <c r="BD1743" s="776"/>
      <c r="BE1743" s="776"/>
      <c r="BF1743" s="776"/>
      <c r="BG1743" s="776"/>
      <c r="BH1743" s="776"/>
      <c r="BI1743" s="776"/>
      <c r="BJ1743" s="776"/>
      <c r="BK1743" s="776"/>
      <c r="BL1743" s="776"/>
      <c r="BM1743" s="776"/>
      <c r="BN1743" s="776"/>
      <c r="BO1743" s="776"/>
      <c r="BP1743" s="776"/>
      <c r="BQ1743" s="776"/>
      <c r="BR1743" s="776"/>
      <c r="BS1743" s="776"/>
      <c r="BT1743" s="777"/>
      <c r="BU1743" s="776"/>
      <c r="BV1743" s="776"/>
      <c r="BW1743" s="776"/>
      <c r="BX1743" s="776"/>
      <c r="BY1743" s="776"/>
      <c r="BZ1743" s="776"/>
      <c r="CA1743" s="776"/>
      <c r="CB1743" s="776"/>
      <c r="CC1743" s="776"/>
      <c r="CD1743" s="776"/>
      <c r="CE1743" s="776"/>
      <c r="CF1743" s="776"/>
      <c r="CG1743" s="349"/>
    </row>
    <row r="1744" spans="1:85" s="612" customFormat="1" hidden="1" outlineLevel="1" x14ac:dyDescent="0.3">
      <c r="A1744" s="517" t="s">
        <v>1036</v>
      </c>
      <c r="B1744" s="514"/>
      <c r="C1744" s="1097"/>
      <c r="D1744" s="1097"/>
      <c r="E1744" s="1097"/>
      <c r="F1744" s="1097"/>
      <c r="G1744" s="772"/>
      <c r="H1744" s="772"/>
      <c r="I1744" s="772"/>
      <c r="J1744" s="772"/>
      <c r="K1744" s="1097"/>
      <c r="L1744" s="772"/>
      <c r="M1744" s="772"/>
      <c r="N1744" s="772"/>
      <c r="O1744" s="772"/>
      <c r="P1744" s="1097"/>
      <c r="Q1744" s="772"/>
      <c r="R1744" s="772"/>
      <c r="S1744" s="772"/>
      <c r="T1744" s="772"/>
      <c r="U1744" s="1097"/>
      <c r="V1744" s="772"/>
      <c r="W1744" s="772"/>
      <c r="X1744" s="772"/>
      <c r="Y1744" s="772"/>
      <c r="Z1744" s="1097"/>
      <c r="AA1744" s="772"/>
      <c r="AB1744" s="772"/>
      <c r="AC1744" s="772"/>
      <c r="AD1744" s="772"/>
      <c r="AE1744" s="1097"/>
      <c r="AF1744" s="772"/>
      <c r="AG1744" s="772"/>
      <c r="AH1744" s="772"/>
      <c r="AI1744" s="772"/>
      <c r="AJ1744" s="1097"/>
      <c r="AK1744" s="772"/>
      <c r="AL1744" s="772"/>
      <c r="AM1744" s="772"/>
      <c r="AN1744" s="772"/>
      <c r="AO1744" s="1097"/>
      <c r="AP1744" s="772"/>
      <c r="AQ1744" s="772"/>
      <c r="AR1744" s="772"/>
      <c r="AS1744" s="772"/>
      <c r="AT1744" s="78"/>
      <c r="AU1744" s="774"/>
      <c r="AV1744" s="774"/>
      <c r="AW1744" s="774"/>
      <c r="AX1744" s="774"/>
      <c r="AY1744" s="78"/>
      <c r="AZ1744" s="774"/>
      <c r="BA1744" s="774"/>
      <c r="BB1744" s="774"/>
      <c r="BC1744" s="774"/>
      <c r="BD1744" s="78"/>
      <c r="BE1744" s="772"/>
      <c r="BF1744" s="772"/>
      <c r="BG1744" s="772"/>
      <c r="BH1744" s="772"/>
      <c r="BI1744" s="1097"/>
      <c r="BJ1744" s="772"/>
      <c r="BK1744" s="772"/>
      <c r="BL1744" s="772"/>
      <c r="BM1744" s="772"/>
      <c r="BN1744" s="1097"/>
      <c r="BO1744" s="772"/>
      <c r="BP1744" s="772"/>
      <c r="BQ1744" s="772"/>
      <c r="BR1744" s="772"/>
      <c r="BS1744" s="1097"/>
      <c r="BT1744" s="838"/>
      <c r="BU1744" s="772"/>
      <c r="BV1744" s="772"/>
      <c r="BW1744" s="772"/>
      <c r="BX1744" s="1097"/>
      <c r="BY1744" s="772"/>
      <c r="BZ1744" s="772"/>
      <c r="CA1744" s="772"/>
      <c r="CB1744" s="772"/>
      <c r="CC1744" s="1097"/>
      <c r="CD1744" s="1097"/>
      <c r="CE1744" s="1097"/>
      <c r="CF1744" s="1097"/>
      <c r="CG1744" s="348"/>
    </row>
    <row r="1745" spans="1:85" s="612" customFormat="1" hidden="1" outlineLevel="1" x14ac:dyDescent="0.3">
      <c r="A1745" s="517" t="s">
        <v>1035</v>
      </c>
      <c r="B1745" s="514"/>
      <c r="C1745" s="1097"/>
      <c r="D1745" s="1097"/>
      <c r="E1745" s="1097"/>
      <c r="F1745" s="1097"/>
      <c r="G1745" s="772"/>
      <c r="H1745" s="772"/>
      <c r="I1745" s="772"/>
      <c r="J1745" s="772"/>
      <c r="K1745" s="1097"/>
      <c r="L1745" s="772"/>
      <c r="M1745" s="772"/>
      <c r="N1745" s="772"/>
      <c r="O1745" s="772"/>
      <c r="P1745" s="1097"/>
      <c r="Q1745" s="772"/>
      <c r="R1745" s="772"/>
      <c r="S1745" s="772"/>
      <c r="T1745" s="772"/>
      <c r="U1745" s="1097"/>
      <c r="V1745" s="772"/>
      <c r="W1745" s="772"/>
      <c r="X1745" s="772"/>
      <c r="Y1745" s="772"/>
      <c r="Z1745" s="1097"/>
      <c r="AA1745" s="772"/>
      <c r="AB1745" s="772"/>
      <c r="AC1745" s="772"/>
      <c r="AD1745" s="772"/>
      <c r="AE1745" s="1097"/>
      <c r="AF1745" s="772"/>
      <c r="AG1745" s="772"/>
      <c r="AH1745" s="772"/>
      <c r="AI1745" s="772"/>
      <c r="AJ1745" s="1097"/>
      <c r="AK1745" s="772"/>
      <c r="AL1745" s="772"/>
      <c r="AM1745" s="772"/>
      <c r="AN1745" s="772"/>
      <c r="AO1745" s="1097"/>
      <c r="AP1745" s="772"/>
      <c r="AQ1745" s="772"/>
      <c r="AR1745" s="772"/>
      <c r="AS1745" s="772"/>
      <c r="AT1745" s="78"/>
      <c r="AU1745" s="774"/>
      <c r="AV1745" s="774"/>
      <c r="AW1745" s="774"/>
      <c r="AX1745" s="774"/>
      <c r="AY1745" s="78"/>
      <c r="AZ1745" s="774"/>
      <c r="BA1745" s="774"/>
      <c r="BB1745" s="774"/>
      <c r="BC1745" s="774"/>
      <c r="BD1745" s="78"/>
      <c r="BE1745" s="772"/>
      <c r="BF1745" s="772"/>
      <c r="BG1745" s="772"/>
      <c r="BH1745" s="772"/>
      <c r="BI1745" s="1097"/>
      <c r="BJ1745" s="772"/>
      <c r="BK1745" s="772"/>
      <c r="BL1745" s="772"/>
      <c r="BM1745" s="772"/>
      <c r="BN1745" s="1097"/>
      <c r="BO1745" s="772"/>
      <c r="BP1745" s="772"/>
      <c r="BQ1745" s="772"/>
      <c r="BR1745" s="772"/>
      <c r="BS1745" s="1097"/>
      <c r="BT1745" s="838"/>
      <c r="BU1745" s="772"/>
      <c r="BV1745" s="772"/>
      <c r="BW1745" s="772"/>
      <c r="BX1745" s="1097"/>
      <c r="BY1745" s="772"/>
      <c r="BZ1745" s="772"/>
      <c r="CA1745" s="772"/>
      <c r="CB1745" s="772"/>
      <c r="CC1745" s="1097"/>
      <c r="CD1745" s="1097"/>
      <c r="CE1745" s="1097"/>
      <c r="CF1745" s="1097"/>
      <c r="CG1745" s="348"/>
    </row>
    <row r="1746" spans="1:85" s="612" customFormat="1" hidden="1" outlineLevel="1" x14ac:dyDescent="0.3">
      <c r="A1746" s="517" t="s">
        <v>1034</v>
      </c>
      <c r="B1746" s="514"/>
      <c r="C1746" s="1097"/>
      <c r="D1746" s="1097"/>
      <c r="E1746" s="1097"/>
      <c r="F1746" s="1097"/>
      <c r="G1746" s="772"/>
      <c r="H1746" s="772"/>
      <c r="I1746" s="772"/>
      <c r="J1746" s="772"/>
      <c r="K1746" s="1097"/>
      <c r="L1746" s="772"/>
      <c r="M1746" s="772"/>
      <c r="N1746" s="772"/>
      <c r="O1746" s="772"/>
      <c r="P1746" s="1097"/>
      <c r="Q1746" s="772"/>
      <c r="R1746" s="772"/>
      <c r="S1746" s="772"/>
      <c r="T1746" s="772"/>
      <c r="U1746" s="1097"/>
      <c r="V1746" s="772"/>
      <c r="W1746" s="772"/>
      <c r="X1746" s="772"/>
      <c r="Y1746" s="772"/>
      <c r="Z1746" s="1097"/>
      <c r="AA1746" s="772"/>
      <c r="AB1746" s="772"/>
      <c r="AC1746" s="772"/>
      <c r="AD1746" s="772"/>
      <c r="AE1746" s="1097"/>
      <c r="AF1746" s="772"/>
      <c r="AG1746" s="772"/>
      <c r="AH1746" s="772"/>
      <c r="AI1746" s="772"/>
      <c r="AJ1746" s="1097"/>
      <c r="AK1746" s="772"/>
      <c r="AL1746" s="772"/>
      <c r="AM1746" s="772"/>
      <c r="AN1746" s="772"/>
      <c r="AO1746" s="1097"/>
      <c r="AP1746" s="772"/>
      <c r="AQ1746" s="772"/>
      <c r="AR1746" s="772"/>
      <c r="AS1746" s="772"/>
      <c r="AT1746" s="78"/>
      <c r="AU1746" s="774"/>
      <c r="AV1746" s="774"/>
      <c r="AW1746" s="774"/>
      <c r="AX1746" s="774"/>
      <c r="AY1746" s="78"/>
      <c r="AZ1746" s="774"/>
      <c r="BA1746" s="774"/>
      <c r="BB1746" s="774"/>
      <c r="BC1746" s="774"/>
      <c r="BD1746" s="78"/>
      <c r="BE1746" s="772"/>
      <c r="BF1746" s="772"/>
      <c r="BG1746" s="772"/>
      <c r="BH1746" s="772"/>
      <c r="BI1746" s="1097"/>
      <c r="BJ1746" s="772"/>
      <c r="BK1746" s="772"/>
      <c r="BL1746" s="772"/>
      <c r="BM1746" s="772"/>
      <c r="BN1746" s="1097"/>
      <c r="BO1746" s="772"/>
      <c r="BP1746" s="772"/>
      <c r="BQ1746" s="772"/>
      <c r="BR1746" s="772"/>
      <c r="BS1746" s="1097"/>
      <c r="BT1746" s="838"/>
      <c r="BU1746" s="772"/>
      <c r="BV1746" s="772"/>
      <c r="BW1746" s="772"/>
      <c r="BX1746" s="1097"/>
      <c r="BY1746" s="772"/>
      <c r="BZ1746" s="772"/>
      <c r="CA1746" s="772"/>
      <c r="CB1746" s="772"/>
      <c r="CC1746" s="1097"/>
      <c r="CD1746" s="1097"/>
      <c r="CE1746" s="1097"/>
      <c r="CF1746" s="1097"/>
      <c r="CG1746" s="348"/>
    </row>
    <row r="1747" spans="1:85" s="612" customFormat="1" hidden="1" outlineLevel="1" x14ac:dyDescent="0.3">
      <c r="A1747" s="517" t="s">
        <v>1033</v>
      </c>
      <c r="B1747" s="514"/>
      <c r="C1747" s="1097"/>
      <c r="D1747" s="1097"/>
      <c r="E1747" s="1097"/>
      <c r="F1747" s="1097"/>
      <c r="G1747" s="772"/>
      <c r="H1747" s="772"/>
      <c r="I1747" s="772"/>
      <c r="J1747" s="772"/>
      <c r="K1747" s="1097"/>
      <c r="L1747" s="772"/>
      <c r="M1747" s="772"/>
      <c r="N1747" s="772"/>
      <c r="O1747" s="772"/>
      <c r="P1747" s="1097"/>
      <c r="Q1747" s="772"/>
      <c r="R1747" s="772"/>
      <c r="S1747" s="772"/>
      <c r="T1747" s="772"/>
      <c r="U1747" s="1097"/>
      <c r="V1747" s="772"/>
      <c r="W1747" s="772"/>
      <c r="X1747" s="772"/>
      <c r="Y1747" s="772"/>
      <c r="Z1747" s="1097"/>
      <c r="AA1747" s="772"/>
      <c r="AB1747" s="772"/>
      <c r="AC1747" s="772"/>
      <c r="AD1747" s="772"/>
      <c r="AE1747" s="1097"/>
      <c r="AF1747" s="772"/>
      <c r="AG1747" s="772"/>
      <c r="AH1747" s="772"/>
      <c r="AI1747" s="772"/>
      <c r="AJ1747" s="1097"/>
      <c r="AK1747" s="772"/>
      <c r="AL1747" s="772"/>
      <c r="AM1747" s="772"/>
      <c r="AN1747" s="772"/>
      <c r="AO1747" s="1097"/>
      <c r="AP1747" s="772"/>
      <c r="AQ1747" s="772"/>
      <c r="AR1747" s="772"/>
      <c r="AS1747" s="772"/>
      <c r="AT1747" s="78"/>
      <c r="AU1747" s="774"/>
      <c r="AV1747" s="774"/>
      <c r="AW1747" s="774"/>
      <c r="AX1747" s="774"/>
      <c r="AY1747" s="78"/>
      <c r="AZ1747" s="774"/>
      <c r="BA1747" s="774"/>
      <c r="BB1747" s="774"/>
      <c r="BC1747" s="774"/>
      <c r="BD1747" s="78"/>
      <c r="BE1747" s="772"/>
      <c r="BF1747" s="772"/>
      <c r="BG1747" s="772"/>
      <c r="BH1747" s="772"/>
      <c r="BI1747" s="1097"/>
      <c r="BJ1747" s="772"/>
      <c r="BK1747" s="772"/>
      <c r="BL1747" s="772"/>
      <c r="BM1747" s="772"/>
      <c r="BN1747" s="1097"/>
      <c r="BO1747" s="772"/>
      <c r="BP1747" s="772"/>
      <c r="BQ1747" s="772"/>
      <c r="BR1747" s="772"/>
      <c r="BS1747" s="1097"/>
      <c r="BT1747" s="838"/>
      <c r="BU1747" s="772"/>
      <c r="BV1747" s="772"/>
      <c r="BW1747" s="772"/>
      <c r="BX1747" s="1097"/>
      <c r="BY1747" s="772"/>
      <c r="BZ1747" s="772"/>
      <c r="CA1747" s="772"/>
      <c r="CB1747" s="772"/>
      <c r="CC1747" s="1097"/>
      <c r="CD1747" s="1097"/>
      <c r="CE1747" s="1097"/>
      <c r="CF1747" s="1097"/>
      <c r="CG1747" s="348"/>
    </row>
    <row r="1748" spans="1:85" s="612" customFormat="1" hidden="1" outlineLevel="1" x14ac:dyDescent="0.3">
      <c r="A1748" s="517" t="s">
        <v>1032</v>
      </c>
      <c r="B1748" s="514"/>
      <c r="C1748" s="1097"/>
      <c r="D1748" s="1097"/>
      <c r="E1748" s="1097"/>
      <c r="F1748" s="1097"/>
      <c r="G1748" s="772"/>
      <c r="H1748" s="772"/>
      <c r="I1748" s="772"/>
      <c r="J1748" s="772"/>
      <c r="K1748" s="1097"/>
      <c r="L1748" s="772"/>
      <c r="M1748" s="772"/>
      <c r="N1748" s="772"/>
      <c r="O1748" s="772"/>
      <c r="P1748" s="1097"/>
      <c r="Q1748" s="772"/>
      <c r="R1748" s="772"/>
      <c r="S1748" s="772"/>
      <c r="T1748" s="772"/>
      <c r="U1748" s="1097"/>
      <c r="V1748" s="772"/>
      <c r="W1748" s="772"/>
      <c r="X1748" s="772"/>
      <c r="Y1748" s="772"/>
      <c r="Z1748" s="1097"/>
      <c r="AA1748" s="772"/>
      <c r="AB1748" s="772"/>
      <c r="AC1748" s="772"/>
      <c r="AD1748" s="772"/>
      <c r="AE1748" s="1097"/>
      <c r="AF1748" s="772"/>
      <c r="AG1748" s="772"/>
      <c r="AH1748" s="772"/>
      <c r="AI1748" s="772"/>
      <c r="AJ1748" s="1097"/>
      <c r="AK1748" s="772"/>
      <c r="AL1748" s="772"/>
      <c r="AM1748" s="772"/>
      <c r="AN1748" s="772"/>
      <c r="AO1748" s="1097"/>
      <c r="AP1748" s="772"/>
      <c r="AQ1748" s="772"/>
      <c r="AR1748" s="772"/>
      <c r="AS1748" s="772"/>
      <c r="AT1748" s="78"/>
      <c r="AU1748" s="774"/>
      <c r="AV1748" s="774"/>
      <c r="AW1748" s="774"/>
      <c r="AX1748" s="774"/>
      <c r="AY1748" s="78"/>
      <c r="AZ1748" s="774"/>
      <c r="BA1748" s="774"/>
      <c r="BB1748" s="774"/>
      <c r="BC1748" s="774"/>
      <c r="BD1748" s="78"/>
      <c r="BE1748" s="772"/>
      <c r="BF1748" s="772"/>
      <c r="BG1748" s="772"/>
      <c r="BH1748" s="772"/>
      <c r="BI1748" s="1097"/>
      <c r="BJ1748" s="772"/>
      <c r="BK1748" s="772"/>
      <c r="BL1748" s="772"/>
      <c r="BM1748" s="772"/>
      <c r="BN1748" s="1097"/>
      <c r="BO1748" s="772"/>
      <c r="BP1748" s="772"/>
      <c r="BQ1748" s="772"/>
      <c r="BR1748" s="772"/>
      <c r="BS1748" s="1097"/>
      <c r="BT1748" s="838"/>
      <c r="BU1748" s="772"/>
      <c r="BV1748" s="772"/>
      <c r="BW1748" s="772"/>
      <c r="BX1748" s="1097"/>
      <c r="BY1748" s="772"/>
      <c r="BZ1748" s="772"/>
      <c r="CA1748" s="772"/>
      <c r="CB1748" s="772"/>
      <c r="CC1748" s="1097"/>
      <c r="CD1748" s="1097"/>
      <c r="CE1748" s="1097"/>
      <c r="CF1748" s="1097"/>
      <c r="CG1748" s="348"/>
    </row>
    <row r="1749" spans="1:85" s="612" customFormat="1" hidden="1" outlineLevel="1" x14ac:dyDescent="0.3">
      <c r="A1749" s="517" t="s">
        <v>1031</v>
      </c>
      <c r="B1749" s="514"/>
      <c r="C1749" s="1097"/>
      <c r="D1749" s="1097"/>
      <c r="E1749" s="1097"/>
      <c r="F1749" s="1097"/>
      <c r="G1749" s="772"/>
      <c r="H1749" s="772"/>
      <c r="I1749" s="772"/>
      <c r="J1749" s="772"/>
      <c r="K1749" s="1097"/>
      <c r="L1749" s="772"/>
      <c r="M1749" s="772"/>
      <c r="N1749" s="772"/>
      <c r="O1749" s="772"/>
      <c r="P1749" s="1097"/>
      <c r="Q1749" s="772"/>
      <c r="R1749" s="772"/>
      <c r="S1749" s="772"/>
      <c r="T1749" s="772"/>
      <c r="U1749" s="1097"/>
      <c r="V1749" s="772"/>
      <c r="W1749" s="772"/>
      <c r="X1749" s="772"/>
      <c r="Y1749" s="772"/>
      <c r="Z1749" s="1097"/>
      <c r="AA1749" s="772"/>
      <c r="AB1749" s="772"/>
      <c r="AC1749" s="772"/>
      <c r="AD1749" s="772"/>
      <c r="AE1749" s="1097"/>
      <c r="AF1749" s="772"/>
      <c r="AG1749" s="772"/>
      <c r="AH1749" s="772"/>
      <c r="AI1749" s="772"/>
      <c r="AJ1749" s="1097"/>
      <c r="AK1749" s="772"/>
      <c r="AL1749" s="772"/>
      <c r="AM1749" s="772"/>
      <c r="AN1749" s="772"/>
      <c r="AO1749" s="1097"/>
      <c r="AP1749" s="772"/>
      <c r="AQ1749" s="772"/>
      <c r="AR1749" s="772"/>
      <c r="AS1749" s="772"/>
      <c r="AT1749" s="78"/>
      <c r="AU1749" s="774"/>
      <c r="AV1749" s="774"/>
      <c r="AW1749" s="774"/>
      <c r="AX1749" s="774"/>
      <c r="AY1749" s="78"/>
      <c r="AZ1749" s="774"/>
      <c r="BA1749" s="774"/>
      <c r="BB1749" s="774"/>
      <c r="BC1749" s="774"/>
      <c r="BD1749" s="78"/>
      <c r="BE1749" s="772"/>
      <c r="BF1749" s="772"/>
      <c r="BG1749" s="772"/>
      <c r="BH1749" s="772"/>
      <c r="BI1749" s="1097"/>
      <c r="BJ1749" s="772"/>
      <c r="BK1749" s="772"/>
      <c r="BL1749" s="772"/>
      <c r="BM1749" s="772"/>
      <c r="BN1749" s="1097"/>
      <c r="BO1749" s="772"/>
      <c r="BP1749" s="772"/>
      <c r="BQ1749" s="772"/>
      <c r="BR1749" s="772"/>
      <c r="BS1749" s="1097"/>
      <c r="BT1749" s="838"/>
      <c r="BU1749" s="772"/>
      <c r="BV1749" s="772"/>
      <c r="BW1749" s="772"/>
      <c r="BX1749" s="1097"/>
      <c r="BY1749" s="772"/>
      <c r="BZ1749" s="772"/>
      <c r="CA1749" s="772"/>
      <c r="CB1749" s="772"/>
      <c r="CC1749" s="1097"/>
      <c r="CD1749" s="1097"/>
      <c r="CE1749" s="1097"/>
      <c r="CF1749" s="1097"/>
      <c r="CG1749" s="348"/>
    </row>
    <row r="1750" spans="1:85" s="612" customFormat="1" hidden="1" outlineLevel="1" x14ac:dyDescent="0.3">
      <c r="A1750" s="517" t="s">
        <v>1030</v>
      </c>
      <c r="B1750" s="514"/>
      <c r="C1750" s="1097"/>
      <c r="D1750" s="1097"/>
      <c r="E1750" s="1097"/>
      <c r="F1750" s="1097"/>
      <c r="G1750" s="772"/>
      <c r="H1750" s="772"/>
      <c r="I1750" s="772"/>
      <c r="J1750" s="772"/>
      <c r="K1750" s="1097"/>
      <c r="L1750" s="772"/>
      <c r="M1750" s="772"/>
      <c r="N1750" s="772"/>
      <c r="O1750" s="772"/>
      <c r="P1750" s="1097"/>
      <c r="Q1750" s="772"/>
      <c r="R1750" s="772"/>
      <c r="S1750" s="772"/>
      <c r="T1750" s="772"/>
      <c r="U1750" s="1097"/>
      <c r="V1750" s="772"/>
      <c r="W1750" s="772"/>
      <c r="X1750" s="772"/>
      <c r="Y1750" s="772"/>
      <c r="Z1750" s="1097"/>
      <c r="AA1750" s="772"/>
      <c r="AB1750" s="772"/>
      <c r="AC1750" s="772"/>
      <c r="AD1750" s="772"/>
      <c r="AE1750" s="1097"/>
      <c r="AF1750" s="772"/>
      <c r="AG1750" s="772"/>
      <c r="AH1750" s="772"/>
      <c r="AI1750" s="772"/>
      <c r="AJ1750" s="1097"/>
      <c r="AK1750" s="772"/>
      <c r="AL1750" s="772"/>
      <c r="AM1750" s="772"/>
      <c r="AN1750" s="772"/>
      <c r="AO1750" s="1097"/>
      <c r="AP1750" s="772"/>
      <c r="AQ1750" s="772"/>
      <c r="AR1750" s="772"/>
      <c r="AS1750" s="772"/>
      <c r="AT1750" s="78"/>
      <c r="AU1750" s="774"/>
      <c r="AV1750" s="774"/>
      <c r="AW1750" s="774"/>
      <c r="AX1750" s="774"/>
      <c r="AY1750" s="78"/>
      <c r="AZ1750" s="774"/>
      <c r="BA1750" s="774"/>
      <c r="BB1750" s="774"/>
      <c r="BC1750" s="774"/>
      <c r="BD1750" s="78"/>
      <c r="BE1750" s="772"/>
      <c r="BF1750" s="772"/>
      <c r="BG1750" s="772"/>
      <c r="BH1750" s="772"/>
      <c r="BI1750" s="1097"/>
      <c r="BJ1750" s="772"/>
      <c r="BK1750" s="772"/>
      <c r="BL1750" s="772"/>
      <c r="BM1750" s="772"/>
      <c r="BN1750" s="1097"/>
      <c r="BO1750" s="772"/>
      <c r="BP1750" s="772"/>
      <c r="BQ1750" s="772"/>
      <c r="BR1750" s="772"/>
      <c r="BS1750" s="1097"/>
      <c r="BT1750" s="838"/>
      <c r="BU1750" s="772"/>
      <c r="BV1750" s="772"/>
      <c r="BW1750" s="772"/>
      <c r="BX1750" s="1097"/>
      <c r="BY1750" s="772"/>
      <c r="BZ1750" s="772"/>
      <c r="CA1750" s="772"/>
      <c r="CB1750" s="772"/>
      <c r="CC1750" s="1097"/>
      <c r="CD1750" s="1097"/>
      <c r="CE1750" s="1097"/>
      <c r="CF1750" s="1097"/>
      <c r="CG1750" s="348"/>
    </row>
    <row r="1751" spans="1:85" s="613" customFormat="1" hidden="1" outlineLevel="1" x14ac:dyDescent="0.3">
      <c r="A1751" s="517" t="s">
        <v>1029</v>
      </c>
      <c r="B1751" s="523"/>
      <c r="C1751" s="78"/>
      <c r="D1751" s="78"/>
      <c r="E1751" s="78"/>
      <c r="F1751" s="78"/>
      <c r="G1751" s="774"/>
      <c r="H1751" s="774"/>
      <c r="I1751" s="774"/>
      <c r="J1751" s="774"/>
      <c r="K1751" s="78"/>
      <c r="L1751" s="774"/>
      <c r="M1751" s="774"/>
      <c r="N1751" s="774"/>
      <c r="O1751" s="774"/>
      <c r="P1751" s="78"/>
      <c r="Q1751" s="774"/>
      <c r="R1751" s="774"/>
      <c r="S1751" s="774"/>
      <c r="T1751" s="774"/>
      <c r="U1751" s="78"/>
      <c r="V1751" s="774"/>
      <c r="W1751" s="774"/>
      <c r="X1751" s="774"/>
      <c r="Y1751" s="774"/>
      <c r="Z1751" s="78"/>
      <c r="AA1751" s="774"/>
      <c r="AB1751" s="774"/>
      <c r="AC1751" s="774"/>
      <c r="AD1751" s="774"/>
      <c r="AE1751" s="78"/>
      <c r="AF1751" s="774"/>
      <c r="AG1751" s="774"/>
      <c r="AH1751" s="774"/>
      <c r="AI1751" s="774"/>
      <c r="AJ1751" s="78"/>
      <c r="AK1751" s="774"/>
      <c r="AL1751" s="774"/>
      <c r="AM1751" s="774"/>
      <c r="AN1751" s="774"/>
      <c r="AO1751" s="78"/>
      <c r="AP1751" s="774"/>
      <c r="AQ1751" s="774"/>
      <c r="AR1751" s="774"/>
      <c r="AS1751" s="774"/>
      <c r="AT1751" s="78"/>
      <c r="AU1751" s="774"/>
      <c r="AV1751" s="774"/>
      <c r="AW1751" s="774"/>
      <c r="AX1751" s="774"/>
      <c r="AY1751" s="78"/>
      <c r="AZ1751" s="774"/>
      <c r="BA1751" s="774"/>
      <c r="BB1751" s="774"/>
      <c r="BC1751" s="774"/>
      <c r="BD1751" s="78"/>
      <c r="BE1751" s="774"/>
      <c r="BF1751" s="774"/>
      <c r="BG1751" s="774"/>
      <c r="BH1751" s="774"/>
      <c r="BI1751" s="1119">
        <v>95.832999999999998</v>
      </c>
      <c r="BJ1751" s="774"/>
      <c r="BK1751" s="774"/>
      <c r="BL1751" s="774"/>
      <c r="BM1751" s="774"/>
      <c r="BN1751" s="1119">
        <v>300</v>
      </c>
      <c r="BO1751" s="774"/>
      <c r="BP1751" s="774"/>
      <c r="BQ1751" s="774"/>
      <c r="BR1751" s="774"/>
      <c r="BS1751" s="78"/>
      <c r="BT1751" s="775"/>
      <c r="BU1751" s="774"/>
      <c r="BV1751" s="774"/>
      <c r="BW1751" s="774"/>
      <c r="BX1751" s="78"/>
      <c r="BY1751" s="774"/>
      <c r="BZ1751" s="774"/>
      <c r="CA1751" s="774"/>
      <c r="CB1751" s="774"/>
      <c r="CC1751" s="78"/>
      <c r="CD1751" s="78"/>
      <c r="CE1751" s="78"/>
      <c r="CF1751" s="78"/>
      <c r="CG1751" s="532"/>
    </row>
    <row r="1752" spans="1:85" s="613" customFormat="1" hidden="1" outlineLevel="1" x14ac:dyDescent="0.3">
      <c r="A1752" s="517" t="s">
        <v>1028</v>
      </c>
      <c r="B1752" s="523"/>
      <c r="C1752" s="78"/>
      <c r="D1752" s="78"/>
      <c r="E1752" s="78"/>
      <c r="F1752" s="78"/>
      <c r="G1752" s="774"/>
      <c r="H1752" s="774"/>
      <c r="I1752" s="774"/>
      <c r="J1752" s="774"/>
      <c r="K1752" s="78"/>
      <c r="L1752" s="774"/>
      <c r="M1752" s="774"/>
      <c r="N1752" s="774"/>
      <c r="O1752" s="774"/>
      <c r="P1752" s="78"/>
      <c r="Q1752" s="774"/>
      <c r="R1752" s="774"/>
      <c r="S1752" s="774"/>
      <c r="T1752" s="774"/>
      <c r="U1752" s="78"/>
      <c r="V1752" s="774"/>
      <c r="W1752" s="774"/>
      <c r="X1752" s="774"/>
      <c r="Y1752" s="774"/>
      <c r="Z1752" s="78"/>
      <c r="AA1752" s="774"/>
      <c r="AB1752" s="774"/>
      <c r="AC1752" s="774"/>
      <c r="AD1752" s="774"/>
      <c r="AE1752" s="78"/>
      <c r="AF1752" s="774"/>
      <c r="AG1752" s="774"/>
      <c r="AH1752" s="774"/>
      <c r="AI1752" s="774"/>
      <c r="AJ1752" s="78"/>
      <c r="AK1752" s="774"/>
      <c r="AL1752" s="774"/>
      <c r="AM1752" s="774"/>
      <c r="AN1752" s="774"/>
      <c r="AO1752" s="78"/>
      <c r="AP1752" s="774"/>
      <c r="AQ1752" s="774"/>
      <c r="AR1752" s="774"/>
      <c r="AS1752" s="774"/>
      <c r="AT1752" s="78"/>
      <c r="AU1752" s="774"/>
      <c r="AV1752" s="774"/>
      <c r="AW1752" s="774"/>
      <c r="AX1752" s="774"/>
      <c r="AY1752" s="78"/>
      <c r="AZ1752" s="774"/>
      <c r="BA1752" s="774"/>
      <c r="BB1752" s="774"/>
      <c r="BC1752" s="774"/>
      <c r="BD1752" s="78"/>
      <c r="BE1752" s="774"/>
      <c r="BF1752" s="774"/>
      <c r="BG1752" s="774"/>
      <c r="BH1752" s="774"/>
      <c r="BI1752" s="78"/>
      <c r="BJ1752" s="774"/>
      <c r="BK1752" s="774"/>
      <c r="BL1752" s="774"/>
      <c r="BM1752" s="774"/>
      <c r="BN1752" s="78"/>
      <c r="BO1752" s="774"/>
      <c r="BP1752" s="774"/>
      <c r="BQ1752" s="774"/>
      <c r="BR1752" s="774"/>
      <c r="BS1752" s="78"/>
      <c r="BT1752" s="775"/>
      <c r="BU1752" s="774"/>
      <c r="BV1752" s="774"/>
      <c r="BW1752" s="774"/>
      <c r="BX1752" s="78"/>
      <c r="BY1752" s="774"/>
      <c r="BZ1752" s="774"/>
      <c r="CA1752" s="774"/>
      <c r="CB1752" s="774"/>
      <c r="CC1752" s="78"/>
      <c r="CD1752" s="78"/>
      <c r="CE1752" s="78"/>
      <c r="CF1752" s="78"/>
      <c r="CG1752" s="532"/>
    </row>
    <row r="1753" spans="1:85" s="613" customFormat="1" hidden="1" outlineLevel="1" x14ac:dyDescent="0.3">
      <c r="A1753" s="517" t="s">
        <v>1027</v>
      </c>
      <c r="B1753" s="523"/>
      <c r="C1753" s="78"/>
      <c r="D1753" s="78"/>
      <c r="E1753" s="78"/>
      <c r="F1753" s="78"/>
      <c r="G1753" s="774"/>
      <c r="H1753" s="774"/>
      <c r="I1753" s="774"/>
      <c r="J1753" s="774"/>
      <c r="K1753" s="78"/>
      <c r="L1753" s="774"/>
      <c r="M1753" s="774"/>
      <c r="N1753" s="774"/>
      <c r="O1753" s="774"/>
      <c r="P1753" s="78"/>
      <c r="Q1753" s="774"/>
      <c r="R1753" s="774"/>
      <c r="S1753" s="774"/>
      <c r="T1753" s="774"/>
      <c r="U1753" s="78"/>
      <c r="V1753" s="774"/>
      <c r="W1753" s="774"/>
      <c r="X1753" s="774"/>
      <c r="Y1753" s="774"/>
      <c r="Z1753" s="78"/>
      <c r="AA1753" s="774"/>
      <c r="AB1753" s="774"/>
      <c r="AC1753" s="774"/>
      <c r="AD1753" s="774"/>
      <c r="AE1753" s="78"/>
      <c r="AF1753" s="774"/>
      <c r="AG1753" s="774"/>
      <c r="AH1753" s="774"/>
      <c r="AI1753" s="774"/>
      <c r="AJ1753" s="78"/>
      <c r="AK1753" s="774"/>
      <c r="AL1753" s="774"/>
      <c r="AM1753" s="774"/>
      <c r="AN1753" s="774"/>
      <c r="AO1753" s="78"/>
      <c r="AP1753" s="774"/>
      <c r="AQ1753" s="774"/>
      <c r="AR1753" s="774"/>
      <c r="AS1753" s="774"/>
      <c r="AT1753" s="78"/>
      <c r="AU1753" s="774"/>
      <c r="AV1753" s="774"/>
      <c r="AW1753" s="774"/>
      <c r="AX1753" s="774"/>
      <c r="AY1753" s="78"/>
      <c r="AZ1753" s="774"/>
      <c r="BA1753" s="774"/>
      <c r="BB1753" s="774"/>
      <c r="BC1753" s="774"/>
      <c r="BD1753" s="78"/>
      <c r="BE1753" s="774"/>
      <c r="BF1753" s="774"/>
      <c r="BG1753" s="774"/>
      <c r="BH1753" s="774"/>
      <c r="BI1753" s="78"/>
      <c r="BJ1753" s="774"/>
      <c r="BK1753" s="774"/>
      <c r="BL1753" s="774"/>
      <c r="BM1753" s="774"/>
      <c r="BN1753" s="78"/>
      <c r="BO1753" s="774"/>
      <c r="BP1753" s="774"/>
      <c r="BQ1753" s="774"/>
      <c r="BR1753" s="774"/>
      <c r="BS1753" s="78"/>
      <c r="BT1753" s="775"/>
      <c r="BU1753" s="774"/>
      <c r="BV1753" s="774"/>
      <c r="BW1753" s="774"/>
      <c r="BX1753" s="78"/>
      <c r="BY1753" s="774"/>
      <c r="BZ1753" s="774"/>
      <c r="CA1753" s="774"/>
      <c r="CB1753" s="774"/>
      <c r="CC1753" s="78"/>
      <c r="CD1753" s="78"/>
      <c r="CE1753" s="78"/>
      <c r="CF1753" s="78"/>
      <c r="CG1753" s="532"/>
    </row>
    <row r="1754" spans="1:85" s="613" customFormat="1" hidden="1" outlineLevel="1" x14ac:dyDescent="0.3">
      <c r="A1754" s="516" t="s">
        <v>1026</v>
      </c>
      <c r="B1754" s="528"/>
      <c r="C1754" s="1100"/>
      <c r="D1754" s="1100"/>
      <c r="E1754" s="1100"/>
      <c r="F1754" s="1100"/>
      <c r="G1754" s="840"/>
      <c r="H1754" s="840"/>
      <c r="I1754" s="840"/>
      <c r="J1754" s="840"/>
      <c r="K1754" s="1100"/>
      <c r="L1754" s="840"/>
      <c r="M1754" s="840"/>
      <c r="N1754" s="840"/>
      <c r="O1754" s="840"/>
      <c r="P1754" s="1100"/>
      <c r="Q1754" s="840"/>
      <c r="R1754" s="840"/>
      <c r="S1754" s="840"/>
      <c r="T1754" s="840"/>
      <c r="U1754" s="1100"/>
      <c r="V1754" s="840"/>
      <c r="W1754" s="840"/>
      <c r="X1754" s="840"/>
      <c r="Y1754" s="840"/>
      <c r="Z1754" s="1100"/>
      <c r="AA1754" s="840"/>
      <c r="AB1754" s="840"/>
      <c r="AC1754" s="840"/>
      <c r="AD1754" s="840"/>
      <c r="AE1754" s="1100"/>
      <c r="AF1754" s="840"/>
      <c r="AG1754" s="840"/>
      <c r="AH1754" s="840"/>
      <c r="AI1754" s="840"/>
      <c r="AJ1754" s="1100"/>
      <c r="AK1754" s="840"/>
      <c r="AL1754" s="840"/>
      <c r="AM1754" s="840"/>
      <c r="AN1754" s="840"/>
      <c r="AO1754" s="1100"/>
      <c r="AP1754" s="840"/>
      <c r="AQ1754" s="840"/>
      <c r="AR1754" s="840"/>
      <c r="AS1754" s="840"/>
      <c r="AT1754" s="1100"/>
      <c r="AU1754" s="840"/>
      <c r="AV1754" s="840"/>
      <c r="AW1754" s="840"/>
      <c r="AX1754" s="840"/>
      <c r="AY1754" s="1100"/>
      <c r="AZ1754" s="840"/>
      <c r="BA1754" s="840"/>
      <c r="BB1754" s="840"/>
      <c r="BC1754" s="840"/>
      <c r="BD1754" s="1100"/>
      <c r="BE1754" s="840"/>
      <c r="BF1754" s="840"/>
      <c r="BG1754" s="840"/>
      <c r="BH1754" s="840"/>
      <c r="BI1754" s="1100"/>
      <c r="BJ1754" s="840"/>
      <c r="BK1754" s="840"/>
      <c r="BL1754" s="840"/>
      <c r="BM1754" s="840"/>
      <c r="BN1754" s="1100"/>
      <c r="BO1754" s="840"/>
      <c r="BP1754" s="840"/>
      <c r="BQ1754" s="840"/>
      <c r="BR1754" s="840"/>
      <c r="BS1754" s="1100"/>
      <c r="BT1754" s="841"/>
      <c r="BU1754" s="840"/>
      <c r="BV1754" s="840"/>
      <c r="BW1754" s="840"/>
      <c r="BX1754" s="1100"/>
      <c r="BY1754" s="840"/>
      <c r="BZ1754" s="840"/>
      <c r="CA1754" s="840"/>
      <c r="CB1754" s="840"/>
      <c r="CC1754" s="1100"/>
      <c r="CD1754" s="1100"/>
      <c r="CE1754" s="1100"/>
      <c r="CF1754" s="1100"/>
      <c r="CG1754" s="532"/>
    </row>
    <row r="1755" spans="1:85" s="613" customFormat="1" collapsed="1" x14ac:dyDescent="0.3">
      <c r="A1755" s="107" t="s">
        <v>1025</v>
      </c>
      <c r="B1755" s="523"/>
      <c r="C1755" s="78"/>
      <c r="D1755" s="78"/>
      <c r="E1755" s="78"/>
      <c r="F1755" s="78"/>
      <c r="G1755" s="774"/>
      <c r="H1755" s="774"/>
      <c r="I1755" s="774"/>
      <c r="J1755" s="774"/>
      <c r="K1755" s="78"/>
      <c r="L1755" s="774"/>
      <c r="M1755" s="774"/>
      <c r="N1755" s="774"/>
      <c r="O1755" s="774"/>
      <c r="P1755" s="78"/>
      <c r="Q1755" s="774"/>
      <c r="R1755" s="774"/>
      <c r="S1755" s="774"/>
      <c r="T1755" s="774"/>
      <c r="U1755" s="78"/>
      <c r="V1755" s="774"/>
      <c r="W1755" s="774"/>
      <c r="X1755" s="774"/>
      <c r="Y1755" s="774"/>
      <c r="Z1755" s="78"/>
      <c r="AA1755" s="774"/>
      <c r="AB1755" s="774"/>
      <c r="AC1755" s="774"/>
      <c r="AD1755" s="774"/>
      <c r="AE1755" s="78"/>
      <c r="AF1755" s="774"/>
      <c r="AG1755" s="774"/>
      <c r="AH1755" s="774"/>
      <c r="AI1755" s="774"/>
      <c r="AJ1755" s="78"/>
      <c r="AK1755" s="774"/>
      <c r="AL1755" s="774"/>
      <c r="AM1755" s="774"/>
      <c r="AN1755" s="774"/>
      <c r="AO1755" s="78"/>
      <c r="AP1755" s="774"/>
      <c r="AQ1755" s="774"/>
      <c r="AR1755" s="774"/>
      <c r="AS1755" s="774"/>
      <c r="AT1755" s="78">
        <f>SUM(AT1744:AT1754)</f>
      </c>
      <c r="AU1755" s="774"/>
      <c r="AV1755" s="774"/>
      <c r="AW1755" s="774"/>
      <c r="AX1755" s="774"/>
      <c r="AY1755" s="78">
        <f>SUM(AY1744:AY1754)</f>
      </c>
      <c r="AZ1755" s="774"/>
      <c r="BA1755" s="774"/>
      <c r="BB1755" s="774"/>
      <c r="BC1755" s="774"/>
      <c r="BD1755" s="78">
        <f>SUM(BD1744:BD1754)</f>
      </c>
      <c r="BE1755" s="774"/>
      <c r="BF1755" s="774"/>
      <c r="BG1755" s="774"/>
      <c r="BH1755" s="774"/>
      <c r="BI1755" s="78">
        <f>SUM(BI1744:BI1754)</f>
      </c>
      <c r="BJ1755" s="774"/>
      <c r="BK1755" s="774"/>
      <c r="BL1755" s="774"/>
      <c r="BM1755" s="774"/>
      <c r="BN1755" s="78">
        <f>SUM(BN1744:BN1754)</f>
      </c>
      <c r="BO1755" s="774"/>
      <c r="BP1755" s="774"/>
      <c r="BQ1755" s="774"/>
      <c r="BR1755" s="774"/>
      <c r="BS1755" s="78"/>
      <c r="BT1755" s="775"/>
      <c r="BU1755" s="774"/>
      <c r="BV1755" s="774"/>
      <c r="BW1755" s="774"/>
      <c r="BX1755" s="78"/>
      <c r="BY1755" s="774"/>
      <c r="BZ1755" s="774"/>
      <c r="CA1755" s="774"/>
      <c r="CB1755" s="774"/>
      <c r="CC1755" s="78"/>
      <c r="CD1755" s="78"/>
      <c r="CE1755" s="78"/>
      <c r="CF1755" s="78"/>
      <c r="CG1755" s="532"/>
    </row>
    <row r="1756" spans="1:85" s="613" customFormat="1" hidden="1" outlineLevel="1" x14ac:dyDescent="0.3">
      <c r="A1756" s="517" t="s">
        <v>1024</v>
      </c>
      <c r="B1756" s="523"/>
      <c r="C1756" s="78"/>
      <c r="D1756" s="78"/>
      <c r="E1756" s="78"/>
      <c r="F1756" s="78"/>
      <c r="G1756" s="774"/>
      <c r="H1756" s="774"/>
      <c r="I1756" s="774"/>
      <c r="J1756" s="774"/>
      <c r="K1756" s="78"/>
      <c r="L1756" s="774"/>
      <c r="M1756" s="774"/>
      <c r="N1756" s="774"/>
      <c r="O1756" s="774"/>
      <c r="P1756" s="78"/>
      <c r="Q1756" s="774"/>
      <c r="R1756" s="774"/>
      <c r="S1756" s="774"/>
      <c r="T1756" s="774"/>
      <c r="U1756" s="78"/>
      <c r="V1756" s="774"/>
      <c r="W1756" s="774"/>
      <c r="X1756" s="774"/>
      <c r="Y1756" s="774"/>
      <c r="Z1756" s="78"/>
      <c r="AA1756" s="774"/>
      <c r="AB1756" s="774"/>
      <c r="AC1756" s="774"/>
      <c r="AD1756" s="774"/>
      <c r="AE1756" s="78"/>
      <c r="AF1756" s="774"/>
      <c r="AG1756" s="774"/>
      <c r="AH1756" s="774"/>
      <c r="AI1756" s="774"/>
      <c r="AJ1756" s="78"/>
      <c r="AK1756" s="774"/>
      <c r="AL1756" s="774"/>
      <c r="AM1756" s="774"/>
      <c r="AN1756" s="774"/>
      <c r="AO1756" s="78"/>
      <c r="AP1756" s="774"/>
      <c r="AQ1756" s="774"/>
      <c r="AR1756" s="774"/>
      <c r="AS1756" s="774"/>
      <c r="AT1756" s="78"/>
      <c r="AU1756" s="774"/>
      <c r="AV1756" s="774"/>
      <c r="AW1756" s="774"/>
      <c r="AX1756" s="774"/>
      <c r="AY1756" s="78"/>
      <c r="AZ1756" s="774"/>
      <c r="BA1756" s="774"/>
      <c r="BB1756" s="774"/>
      <c r="BC1756" s="774"/>
      <c r="BD1756" s="78"/>
      <c r="BE1756" s="774"/>
      <c r="BF1756" s="774"/>
      <c r="BG1756" s="774"/>
      <c r="BH1756" s="774"/>
      <c r="BI1756" s="78"/>
      <c r="BJ1756" s="774"/>
      <c r="BK1756" s="774"/>
      <c r="BL1756" s="774"/>
      <c r="BM1756" s="774"/>
      <c r="BN1756" s="1119">
        <v>402.83499999999998</v>
      </c>
      <c r="BO1756" s="774"/>
      <c r="BP1756" s="774"/>
      <c r="BQ1756" s="774"/>
      <c r="BR1756" s="774"/>
      <c r="BS1756" s="78"/>
      <c r="BT1756" s="775"/>
      <c r="BU1756" s="774"/>
      <c r="BV1756" s="774"/>
      <c r="BW1756" s="774"/>
      <c r="BX1756" s="78"/>
      <c r="BY1756" s="774"/>
      <c r="BZ1756" s="774"/>
      <c r="CA1756" s="774"/>
      <c r="CB1756" s="774"/>
      <c r="CC1756" s="78"/>
      <c r="CD1756" s="78"/>
      <c r="CE1756" s="78"/>
      <c r="CF1756" s="78"/>
      <c r="CG1756" s="532"/>
    </row>
    <row r="1757" spans="1:85" s="613" customFormat="1" hidden="1" outlineLevel="1" x14ac:dyDescent="0.3">
      <c r="A1757" s="517" t="s">
        <v>1023</v>
      </c>
      <c r="B1757" s="523"/>
      <c r="C1757" s="78"/>
      <c r="D1757" s="78"/>
      <c r="E1757" s="78"/>
      <c r="F1757" s="78"/>
      <c r="G1757" s="774"/>
      <c r="H1757" s="774"/>
      <c r="I1757" s="774"/>
      <c r="J1757" s="774"/>
      <c r="K1757" s="78"/>
      <c r="L1757" s="774"/>
      <c r="M1757" s="774"/>
      <c r="N1757" s="774"/>
      <c r="O1757" s="774"/>
      <c r="P1757" s="78"/>
      <c r="Q1757" s="774"/>
      <c r="R1757" s="774"/>
      <c r="S1757" s="774"/>
      <c r="T1757" s="774"/>
      <c r="U1757" s="78"/>
      <c r="V1757" s="774"/>
      <c r="W1757" s="774"/>
      <c r="X1757" s="774"/>
      <c r="Y1757" s="774"/>
      <c r="Z1757" s="78"/>
      <c r="AA1757" s="774"/>
      <c r="AB1757" s="774"/>
      <c r="AC1757" s="774"/>
      <c r="AD1757" s="774"/>
      <c r="AE1757" s="78"/>
      <c r="AF1757" s="774"/>
      <c r="AG1757" s="774"/>
      <c r="AH1757" s="774"/>
      <c r="AI1757" s="774"/>
      <c r="AJ1757" s="78"/>
      <c r="AK1757" s="774"/>
      <c r="AL1757" s="774"/>
      <c r="AM1757" s="774"/>
      <c r="AN1757" s="774"/>
      <c r="AO1757" s="78"/>
      <c r="AP1757" s="774"/>
      <c r="AQ1757" s="774"/>
      <c r="AR1757" s="774"/>
      <c r="AS1757" s="774"/>
      <c r="AT1757" s="78"/>
      <c r="AU1757" s="774"/>
      <c r="AV1757" s="774"/>
      <c r="AW1757" s="774"/>
      <c r="AX1757" s="774"/>
      <c r="AY1757" s="78"/>
      <c r="AZ1757" s="774"/>
      <c r="BA1757" s="774"/>
      <c r="BB1757" s="774"/>
      <c r="BC1757" s="774"/>
      <c r="BD1757" s="78"/>
      <c r="BE1757" s="774"/>
      <c r="BF1757" s="774"/>
      <c r="BG1757" s="774"/>
      <c r="BH1757" s="774"/>
      <c r="BI1757" s="78"/>
      <c r="BJ1757" s="774"/>
      <c r="BK1757" s="774"/>
      <c r="BL1757" s="774"/>
      <c r="BM1757" s="774"/>
      <c r="BN1757" s="1119">
        <v>402.58199999999999</v>
      </c>
      <c r="BO1757" s="774"/>
      <c r="BP1757" s="774"/>
      <c r="BQ1757" s="774"/>
      <c r="BR1757" s="774"/>
      <c r="BS1757" s="78"/>
      <c r="BT1757" s="775"/>
      <c r="BU1757" s="774"/>
      <c r="BV1757" s="774"/>
      <c r="BW1757" s="774"/>
      <c r="BX1757" s="78"/>
      <c r="BY1757" s="774"/>
      <c r="BZ1757" s="774"/>
      <c r="CA1757" s="774"/>
      <c r="CB1757" s="774"/>
      <c r="CC1757" s="78"/>
      <c r="CD1757" s="78"/>
      <c r="CE1757" s="78"/>
      <c r="CF1757" s="78"/>
      <c r="CG1757" s="532"/>
    </row>
    <row r="1758" spans="1:85" s="613" customFormat="1" hidden="1" outlineLevel="1" x14ac:dyDescent="0.3">
      <c r="A1758" s="517" t="s">
        <v>1022</v>
      </c>
      <c r="B1758" s="523"/>
      <c r="C1758" s="78"/>
      <c r="D1758" s="78"/>
      <c r="E1758" s="78"/>
      <c r="F1758" s="78"/>
      <c r="G1758" s="774"/>
      <c r="H1758" s="774"/>
      <c r="I1758" s="774"/>
      <c r="J1758" s="774"/>
      <c r="K1758" s="78"/>
      <c r="L1758" s="774"/>
      <c r="M1758" s="774"/>
      <c r="N1758" s="774"/>
      <c r="O1758" s="774"/>
      <c r="P1758" s="78"/>
      <c r="Q1758" s="774"/>
      <c r="R1758" s="774"/>
      <c r="S1758" s="774"/>
      <c r="T1758" s="774"/>
      <c r="U1758" s="78"/>
      <c r="V1758" s="774"/>
      <c r="W1758" s="774"/>
      <c r="X1758" s="774"/>
      <c r="Y1758" s="774"/>
      <c r="Z1758" s="78"/>
      <c r="AA1758" s="774"/>
      <c r="AB1758" s="774"/>
      <c r="AC1758" s="774"/>
      <c r="AD1758" s="774"/>
      <c r="AE1758" s="78"/>
      <c r="AF1758" s="774"/>
      <c r="AG1758" s="774"/>
      <c r="AH1758" s="774"/>
      <c r="AI1758" s="774"/>
      <c r="AJ1758" s="78"/>
      <c r="AK1758" s="774"/>
      <c r="AL1758" s="774"/>
      <c r="AM1758" s="774"/>
      <c r="AN1758" s="774"/>
      <c r="AO1758" s="78"/>
      <c r="AP1758" s="774"/>
      <c r="AQ1758" s="774"/>
      <c r="AR1758" s="774"/>
      <c r="AS1758" s="774"/>
      <c r="AT1758" s="78"/>
      <c r="AU1758" s="774"/>
      <c r="AV1758" s="774"/>
      <c r="AW1758" s="774"/>
      <c r="AX1758" s="774"/>
      <c r="AY1758" s="78"/>
      <c r="AZ1758" s="774"/>
      <c r="BA1758" s="774"/>
      <c r="BB1758" s="774"/>
      <c r="BC1758" s="774"/>
      <c r="BD1758" s="78"/>
      <c r="BE1758" s="774"/>
      <c r="BF1758" s="774"/>
      <c r="BG1758" s="774"/>
      <c r="BH1758" s="774"/>
      <c r="BI1758" s="78"/>
      <c r="BJ1758" s="774"/>
      <c r="BK1758" s="774"/>
      <c r="BL1758" s="774"/>
      <c r="BM1758" s="774"/>
      <c r="BN1758" s="1119">
        <v>402.83499999999998</v>
      </c>
      <c r="BO1758" s="774"/>
      <c r="BP1758" s="774"/>
      <c r="BQ1758" s="774"/>
      <c r="BR1758" s="774"/>
      <c r="BS1758" s="78"/>
      <c r="BT1758" s="775"/>
      <c r="BU1758" s="774"/>
      <c r="BV1758" s="774"/>
      <c r="BW1758" s="774"/>
      <c r="BX1758" s="78"/>
      <c r="BY1758" s="774"/>
      <c r="BZ1758" s="774"/>
      <c r="CA1758" s="774"/>
      <c r="CB1758" s="774"/>
      <c r="CC1758" s="78"/>
      <c r="CD1758" s="78"/>
      <c r="CE1758" s="78"/>
      <c r="CF1758" s="78"/>
      <c r="CG1758" s="532"/>
    </row>
    <row r="1759" spans="1:85" s="613" customFormat="1" hidden="1" outlineLevel="1" x14ac:dyDescent="0.3">
      <c r="A1759" s="517" t="s">
        <v>1021</v>
      </c>
      <c r="B1759" s="523"/>
      <c r="C1759" s="78"/>
      <c r="D1759" s="78"/>
      <c r="E1759" s="78"/>
      <c r="F1759" s="78"/>
      <c r="G1759" s="774"/>
      <c r="H1759" s="774"/>
      <c r="I1759" s="774"/>
      <c r="J1759" s="774"/>
      <c r="K1759" s="78"/>
      <c r="L1759" s="774"/>
      <c r="M1759" s="774"/>
      <c r="N1759" s="774"/>
      <c r="O1759" s="774"/>
      <c r="P1759" s="78"/>
      <c r="Q1759" s="774"/>
      <c r="R1759" s="774"/>
      <c r="S1759" s="774"/>
      <c r="T1759" s="774"/>
      <c r="U1759" s="78"/>
      <c r="V1759" s="774"/>
      <c r="W1759" s="774"/>
      <c r="X1759" s="774"/>
      <c r="Y1759" s="774"/>
      <c r="Z1759" s="78"/>
      <c r="AA1759" s="774"/>
      <c r="AB1759" s="774"/>
      <c r="AC1759" s="774"/>
      <c r="AD1759" s="774"/>
      <c r="AE1759" s="78"/>
      <c r="AF1759" s="774"/>
      <c r="AG1759" s="774"/>
      <c r="AH1759" s="774"/>
      <c r="AI1759" s="774"/>
      <c r="AJ1759" s="78"/>
      <c r="AK1759" s="774"/>
      <c r="AL1759" s="774"/>
      <c r="AM1759" s="774"/>
      <c r="AN1759" s="774"/>
      <c r="AO1759" s="78"/>
      <c r="AP1759" s="774"/>
      <c r="AQ1759" s="774"/>
      <c r="AR1759" s="774"/>
      <c r="AS1759" s="774"/>
      <c r="AT1759" s="78"/>
      <c r="AU1759" s="774"/>
      <c r="AV1759" s="774"/>
      <c r="AW1759" s="774"/>
      <c r="AX1759" s="774"/>
      <c r="AY1759" s="78"/>
      <c r="AZ1759" s="774"/>
      <c r="BA1759" s="774"/>
      <c r="BB1759" s="774"/>
      <c r="BC1759" s="774"/>
      <c r="BD1759" s="78"/>
      <c r="BE1759" s="774"/>
      <c r="BF1759" s="774"/>
      <c r="BG1759" s="774"/>
      <c r="BH1759" s="774"/>
      <c r="BI1759" s="78"/>
      <c r="BJ1759" s="774"/>
      <c r="BK1759" s="774"/>
      <c r="BL1759" s="774"/>
      <c r="BM1759" s="774"/>
      <c r="BN1759" s="1119">
        <v>402.83499999999998</v>
      </c>
      <c r="BO1759" s="774"/>
      <c r="BP1759" s="774"/>
      <c r="BQ1759" s="774"/>
      <c r="BR1759" s="774"/>
      <c r="BS1759" s="78"/>
      <c r="BT1759" s="775"/>
      <c r="BU1759" s="774"/>
      <c r="BV1759" s="774"/>
      <c r="BW1759" s="774"/>
      <c r="BX1759" s="78"/>
      <c r="BY1759" s="774"/>
      <c r="BZ1759" s="774"/>
      <c r="CA1759" s="774"/>
      <c r="CB1759" s="774"/>
      <c r="CC1759" s="78"/>
      <c r="CD1759" s="78"/>
      <c r="CE1759" s="78"/>
      <c r="CF1759" s="78"/>
      <c r="CG1759" s="532"/>
    </row>
    <row r="1760" spans="1:85" s="613" customFormat="1" hidden="1" outlineLevel="1" x14ac:dyDescent="0.3">
      <c r="A1760" s="517" t="s">
        <v>1020</v>
      </c>
      <c r="B1760" s="523"/>
      <c r="C1760" s="78"/>
      <c r="D1760" s="78"/>
      <c r="E1760" s="78"/>
      <c r="F1760" s="78"/>
      <c r="G1760" s="774"/>
      <c r="H1760" s="774"/>
      <c r="I1760" s="774"/>
      <c r="J1760" s="774"/>
      <c r="K1760" s="78"/>
      <c r="L1760" s="774"/>
      <c r="M1760" s="774"/>
      <c r="N1760" s="774"/>
      <c r="O1760" s="774"/>
      <c r="P1760" s="78"/>
      <c r="Q1760" s="774"/>
      <c r="R1760" s="774"/>
      <c r="S1760" s="774"/>
      <c r="T1760" s="774"/>
      <c r="U1760" s="78"/>
      <c r="V1760" s="774"/>
      <c r="W1760" s="774"/>
      <c r="X1760" s="774"/>
      <c r="Y1760" s="774"/>
      <c r="Z1760" s="78"/>
      <c r="AA1760" s="774"/>
      <c r="AB1760" s="774"/>
      <c r="AC1760" s="774"/>
      <c r="AD1760" s="774"/>
      <c r="AE1760" s="78"/>
      <c r="AF1760" s="774"/>
      <c r="AG1760" s="774"/>
      <c r="AH1760" s="774"/>
      <c r="AI1760" s="774"/>
      <c r="AJ1760" s="78"/>
      <c r="AK1760" s="774"/>
      <c r="AL1760" s="774"/>
      <c r="AM1760" s="774"/>
      <c r="AN1760" s="774"/>
      <c r="AO1760" s="78"/>
      <c r="AP1760" s="774"/>
      <c r="AQ1760" s="774"/>
      <c r="AR1760" s="774"/>
      <c r="AS1760" s="774"/>
      <c r="AT1760" s="78"/>
      <c r="AU1760" s="774"/>
      <c r="AV1760" s="774"/>
      <c r="AW1760" s="774"/>
      <c r="AX1760" s="774"/>
      <c r="AY1760" s="78"/>
      <c r="AZ1760" s="774"/>
      <c r="BA1760" s="774"/>
      <c r="BB1760" s="774"/>
      <c r="BC1760" s="774"/>
      <c r="BD1760" s="78"/>
      <c r="BE1760" s="774"/>
      <c r="BF1760" s="774"/>
      <c r="BG1760" s="774"/>
      <c r="BH1760" s="774"/>
      <c r="BI1760" s="78"/>
      <c r="BJ1760" s="774"/>
      <c r="BK1760" s="774"/>
      <c r="BL1760" s="774"/>
      <c r="BM1760" s="774"/>
      <c r="BN1760" s="1119">
        <v>402.83499999999998</v>
      </c>
      <c r="BO1760" s="774"/>
      <c r="BP1760" s="774"/>
      <c r="BQ1760" s="774"/>
      <c r="BR1760" s="774"/>
      <c r="BS1760" s="78"/>
      <c r="BT1760" s="775"/>
      <c r="BU1760" s="774"/>
      <c r="BV1760" s="774"/>
      <c r="BW1760" s="774"/>
      <c r="BX1760" s="78"/>
      <c r="BY1760" s="774"/>
      <c r="BZ1760" s="774"/>
      <c r="CA1760" s="774"/>
      <c r="CB1760" s="774"/>
      <c r="CC1760" s="78"/>
      <c r="CD1760" s="78"/>
      <c r="CE1760" s="78"/>
      <c r="CF1760" s="78"/>
      <c r="CG1760" s="532"/>
    </row>
    <row r="1761" spans="1:85" s="613" customFormat="1" hidden="1" outlineLevel="1" x14ac:dyDescent="0.3">
      <c r="A1761" s="517" t="s">
        <v>1019</v>
      </c>
      <c r="B1761" s="523"/>
      <c r="C1761" s="78"/>
      <c r="D1761" s="78"/>
      <c r="E1761" s="78"/>
      <c r="F1761" s="78"/>
      <c r="G1761" s="774"/>
      <c r="H1761" s="774"/>
      <c r="I1761" s="774"/>
      <c r="J1761" s="774"/>
      <c r="K1761" s="78"/>
      <c r="L1761" s="774"/>
      <c r="M1761" s="774"/>
      <c r="N1761" s="774"/>
      <c r="O1761" s="774"/>
      <c r="P1761" s="78"/>
      <c r="Q1761" s="774"/>
      <c r="R1761" s="774"/>
      <c r="S1761" s="774"/>
      <c r="T1761" s="774"/>
      <c r="U1761" s="78"/>
      <c r="V1761" s="774"/>
      <c r="W1761" s="774"/>
      <c r="X1761" s="774"/>
      <c r="Y1761" s="774"/>
      <c r="Z1761" s="78"/>
      <c r="AA1761" s="774"/>
      <c r="AB1761" s="774"/>
      <c r="AC1761" s="774"/>
      <c r="AD1761" s="774"/>
      <c r="AE1761" s="78"/>
      <c r="AF1761" s="774"/>
      <c r="AG1761" s="774"/>
      <c r="AH1761" s="774"/>
      <c r="AI1761" s="774"/>
      <c r="AJ1761" s="78"/>
      <c r="AK1761" s="774"/>
      <c r="AL1761" s="774"/>
      <c r="AM1761" s="774"/>
      <c r="AN1761" s="774"/>
      <c r="AO1761" s="78"/>
      <c r="AP1761" s="774"/>
      <c r="AQ1761" s="774"/>
      <c r="AR1761" s="774"/>
      <c r="AS1761" s="774"/>
      <c r="AT1761" s="78"/>
      <c r="AU1761" s="774"/>
      <c r="AV1761" s="774"/>
      <c r="AW1761" s="774"/>
      <c r="AX1761" s="774"/>
      <c r="AY1761" s="78"/>
      <c r="AZ1761" s="774"/>
      <c r="BA1761" s="774"/>
      <c r="BB1761" s="774"/>
      <c r="BC1761" s="774"/>
      <c r="BD1761" s="78"/>
      <c r="BE1761" s="774"/>
      <c r="BF1761" s="774"/>
      <c r="BG1761" s="774"/>
      <c r="BH1761" s="774"/>
      <c r="BI1761" s="78"/>
      <c r="BJ1761" s="774"/>
      <c r="BK1761" s="774"/>
      <c r="BL1761" s="774"/>
      <c r="BM1761" s="774"/>
      <c r="BN1761" s="1119">
        <v>402.58199999999999</v>
      </c>
      <c r="BO1761" s="774"/>
      <c r="BP1761" s="774"/>
      <c r="BQ1761" s="774"/>
      <c r="BR1761" s="774"/>
      <c r="BS1761" s="78"/>
      <c r="BT1761" s="775"/>
      <c r="BU1761" s="774"/>
      <c r="BV1761" s="774"/>
      <c r="BW1761" s="774"/>
      <c r="BX1761" s="78"/>
      <c r="BY1761" s="774"/>
      <c r="BZ1761" s="774"/>
      <c r="CA1761" s="774"/>
      <c r="CB1761" s="774"/>
      <c r="CC1761" s="78"/>
      <c r="CD1761" s="78"/>
      <c r="CE1761" s="78"/>
      <c r="CF1761" s="78"/>
      <c r="CG1761" s="532"/>
    </row>
    <row r="1762" spans="1:85" s="613" customFormat="1" hidden="1" outlineLevel="1" x14ac:dyDescent="0.3">
      <c r="A1762" s="517" t="s">
        <v>1018</v>
      </c>
      <c r="B1762" s="523"/>
      <c r="C1762" s="78"/>
      <c r="D1762" s="78"/>
      <c r="E1762" s="78"/>
      <c r="F1762" s="78"/>
      <c r="G1762" s="774"/>
      <c r="H1762" s="774"/>
      <c r="I1762" s="774"/>
      <c r="J1762" s="774"/>
      <c r="K1762" s="78"/>
      <c r="L1762" s="774"/>
      <c r="M1762" s="774"/>
      <c r="N1762" s="774"/>
      <c r="O1762" s="774"/>
      <c r="P1762" s="78"/>
      <c r="Q1762" s="774"/>
      <c r="R1762" s="774"/>
      <c r="S1762" s="774"/>
      <c r="T1762" s="774"/>
      <c r="U1762" s="78"/>
      <c r="V1762" s="774"/>
      <c r="W1762" s="774"/>
      <c r="X1762" s="774"/>
      <c r="Y1762" s="774"/>
      <c r="Z1762" s="78"/>
      <c r="AA1762" s="774"/>
      <c r="AB1762" s="774"/>
      <c r="AC1762" s="774"/>
      <c r="AD1762" s="774"/>
      <c r="AE1762" s="78"/>
      <c r="AF1762" s="774"/>
      <c r="AG1762" s="774"/>
      <c r="AH1762" s="774"/>
      <c r="AI1762" s="774"/>
      <c r="AJ1762" s="78"/>
      <c r="AK1762" s="774"/>
      <c r="AL1762" s="774"/>
      <c r="AM1762" s="774"/>
      <c r="AN1762" s="774"/>
      <c r="AO1762" s="78"/>
      <c r="AP1762" s="774"/>
      <c r="AQ1762" s="774"/>
      <c r="AR1762" s="774"/>
      <c r="AS1762" s="774"/>
      <c r="AT1762" s="78"/>
      <c r="AU1762" s="774"/>
      <c r="AV1762" s="774"/>
      <c r="AW1762" s="774"/>
      <c r="AX1762" s="774"/>
      <c r="AY1762" s="78"/>
      <c r="AZ1762" s="774"/>
      <c r="BA1762" s="774"/>
      <c r="BB1762" s="774"/>
      <c r="BC1762" s="774"/>
      <c r="BD1762" s="78"/>
      <c r="BE1762" s="774"/>
      <c r="BF1762" s="774"/>
      <c r="BG1762" s="774"/>
      <c r="BH1762" s="774"/>
      <c r="BI1762" s="78"/>
      <c r="BJ1762" s="774"/>
      <c r="BK1762" s="774"/>
      <c r="BL1762" s="774"/>
      <c r="BM1762" s="774"/>
      <c r="BN1762" s="1119">
        <v>402.83499999999998</v>
      </c>
      <c r="BO1762" s="774"/>
      <c r="BP1762" s="774"/>
      <c r="BQ1762" s="774"/>
      <c r="BR1762" s="774"/>
      <c r="BS1762" s="78"/>
      <c r="BT1762" s="775"/>
      <c r="BU1762" s="774"/>
      <c r="BV1762" s="774"/>
      <c r="BW1762" s="774"/>
      <c r="BX1762" s="78"/>
      <c r="BY1762" s="774"/>
      <c r="BZ1762" s="774"/>
      <c r="CA1762" s="774"/>
      <c r="CB1762" s="774"/>
      <c r="CC1762" s="78"/>
      <c r="CD1762" s="78"/>
      <c r="CE1762" s="78"/>
      <c r="CF1762" s="78"/>
      <c r="CG1762" s="532"/>
    </row>
    <row r="1763" spans="1:85" s="613" customFormat="1" hidden="1" outlineLevel="1" x14ac:dyDescent="0.3">
      <c r="A1763" s="517" t="s">
        <v>1017</v>
      </c>
      <c r="B1763" s="523"/>
      <c r="C1763" s="78"/>
      <c r="D1763" s="78"/>
      <c r="E1763" s="78"/>
      <c r="F1763" s="78"/>
      <c r="G1763" s="774"/>
      <c r="H1763" s="774"/>
      <c r="I1763" s="774"/>
      <c r="J1763" s="774"/>
      <c r="K1763" s="78"/>
      <c r="L1763" s="774"/>
      <c r="M1763" s="774"/>
      <c r="N1763" s="774"/>
      <c r="O1763" s="774"/>
      <c r="P1763" s="78"/>
      <c r="Q1763" s="774"/>
      <c r="R1763" s="774"/>
      <c r="S1763" s="774"/>
      <c r="T1763" s="774"/>
      <c r="U1763" s="78"/>
      <c r="V1763" s="774"/>
      <c r="W1763" s="774"/>
      <c r="X1763" s="774"/>
      <c r="Y1763" s="774"/>
      <c r="Z1763" s="78"/>
      <c r="AA1763" s="774"/>
      <c r="AB1763" s="774"/>
      <c r="AC1763" s="774"/>
      <c r="AD1763" s="774"/>
      <c r="AE1763" s="78"/>
      <c r="AF1763" s="774"/>
      <c r="AG1763" s="774"/>
      <c r="AH1763" s="774"/>
      <c r="AI1763" s="774"/>
      <c r="AJ1763" s="78"/>
      <c r="AK1763" s="774"/>
      <c r="AL1763" s="774"/>
      <c r="AM1763" s="774"/>
      <c r="AN1763" s="774"/>
      <c r="AO1763" s="78"/>
      <c r="AP1763" s="774"/>
      <c r="AQ1763" s="774"/>
      <c r="AR1763" s="774"/>
      <c r="AS1763" s="774"/>
      <c r="AT1763" s="78"/>
      <c r="AU1763" s="774"/>
      <c r="AV1763" s="774"/>
      <c r="AW1763" s="774"/>
      <c r="AX1763" s="774"/>
      <c r="AY1763" s="78"/>
      <c r="AZ1763" s="774"/>
      <c r="BA1763" s="774"/>
      <c r="BB1763" s="774"/>
      <c r="BC1763" s="774"/>
      <c r="BD1763" s="78"/>
      <c r="BE1763" s="774"/>
      <c r="BF1763" s="774"/>
      <c r="BG1763" s="774"/>
      <c r="BH1763" s="774"/>
      <c r="BI1763" s="78"/>
      <c r="BJ1763" s="774"/>
      <c r="BK1763" s="774"/>
      <c r="BL1763" s="774"/>
      <c r="BM1763" s="774"/>
      <c r="BN1763" s="1119">
        <v>0</v>
      </c>
      <c r="BO1763" s="774"/>
      <c r="BP1763" s="774"/>
      <c r="BQ1763" s="774"/>
      <c r="BR1763" s="774"/>
      <c r="BS1763" s="78"/>
      <c r="BT1763" s="775"/>
      <c r="BU1763" s="774"/>
      <c r="BV1763" s="774"/>
      <c r="BW1763" s="774"/>
      <c r="BX1763" s="78"/>
      <c r="BY1763" s="774"/>
      <c r="BZ1763" s="774"/>
      <c r="CA1763" s="774"/>
      <c r="CB1763" s="774"/>
      <c r="CC1763" s="78"/>
      <c r="CD1763" s="78"/>
      <c r="CE1763" s="78"/>
      <c r="CF1763" s="78"/>
      <c r="CG1763" s="532"/>
    </row>
    <row r="1764" spans="1:85" s="613" customFormat="1" hidden="1" outlineLevel="1" x14ac:dyDescent="0.3">
      <c r="A1764" s="517" t="s">
        <v>1016</v>
      </c>
      <c r="B1764" s="523"/>
      <c r="C1764" s="78"/>
      <c r="D1764" s="78"/>
      <c r="E1764" s="78"/>
      <c r="F1764" s="78"/>
      <c r="G1764" s="774"/>
      <c r="H1764" s="774"/>
      <c r="I1764" s="774"/>
      <c r="J1764" s="774"/>
      <c r="K1764" s="78"/>
      <c r="L1764" s="774"/>
      <c r="M1764" s="774"/>
      <c r="N1764" s="774"/>
      <c r="O1764" s="774"/>
      <c r="P1764" s="78"/>
      <c r="Q1764" s="774"/>
      <c r="R1764" s="774"/>
      <c r="S1764" s="774"/>
      <c r="T1764" s="774"/>
      <c r="U1764" s="78"/>
      <c r="V1764" s="774"/>
      <c r="W1764" s="774"/>
      <c r="X1764" s="774"/>
      <c r="Y1764" s="774"/>
      <c r="Z1764" s="78"/>
      <c r="AA1764" s="774"/>
      <c r="AB1764" s="774"/>
      <c r="AC1764" s="774"/>
      <c r="AD1764" s="774"/>
      <c r="AE1764" s="78"/>
      <c r="AF1764" s="774"/>
      <c r="AG1764" s="774"/>
      <c r="AH1764" s="774"/>
      <c r="AI1764" s="774"/>
      <c r="AJ1764" s="78"/>
      <c r="AK1764" s="774"/>
      <c r="AL1764" s="774"/>
      <c r="AM1764" s="774"/>
      <c r="AN1764" s="774"/>
      <c r="AO1764" s="78"/>
      <c r="AP1764" s="774"/>
      <c r="AQ1764" s="774"/>
      <c r="AR1764" s="774"/>
      <c r="AS1764" s="774"/>
      <c r="AT1764" s="78"/>
      <c r="AU1764" s="774"/>
      <c r="AV1764" s="774"/>
      <c r="AW1764" s="774"/>
      <c r="AX1764" s="774"/>
      <c r="AY1764" s="78"/>
      <c r="AZ1764" s="774"/>
      <c r="BA1764" s="774"/>
      <c r="BB1764" s="774"/>
      <c r="BC1764" s="774"/>
      <c r="BD1764" s="78"/>
      <c r="BE1764" s="774"/>
      <c r="BF1764" s="774"/>
      <c r="BG1764" s="774"/>
      <c r="BH1764" s="774"/>
      <c r="BI1764" s="78"/>
      <c r="BJ1764" s="774"/>
      <c r="BK1764" s="774"/>
      <c r="BL1764" s="774"/>
      <c r="BM1764" s="774"/>
      <c r="BN1764" s="1119">
        <v>402.83499999999998</v>
      </c>
      <c r="BO1764" s="774"/>
      <c r="BP1764" s="774"/>
      <c r="BQ1764" s="774"/>
      <c r="BR1764" s="774"/>
      <c r="BS1764" s="78"/>
      <c r="BT1764" s="775"/>
      <c r="BU1764" s="774"/>
      <c r="BV1764" s="774"/>
      <c r="BW1764" s="774"/>
      <c r="BX1764" s="78"/>
      <c r="BY1764" s="774"/>
      <c r="BZ1764" s="774"/>
      <c r="CA1764" s="774"/>
      <c r="CB1764" s="774"/>
      <c r="CC1764" s="78"/>
      <c r="CD1764" s="78"/>
      <c r="CE1764" s="78"/>
      <c r="CF1764" s="78"/>
      <c r="CG1764" s="532"/>
    </row>
    <row r="1765" spans="1:85" s="613" customFormat="1" hidden="1" outlineLevel="1" x14ac:dyDescent="0.3">
      <c r="A1765" s="517" t="s">
        <v>1015</v>
      </c>
      <c r="B1765" s="523"/>
      <c r="C1765" s="78"/>
      <c r="D1765" s="78"/>
      <c r="E1765" s="78"/>
      <c r="F1765" s="78"/>
      <c r="G1765" s="774"/>
      <c r="H1765" s="774"/>
      <c r="I1765" s="774"/>
      <c r="J1765" s="774"/>
      <c r="K1765" s="78"/>
      <c r="L1765" s="774"/>
      <c r="M1765" s="774"/>
      <c r="N1765" s="774"/>
      <c r="O1765" s="774"/>
      <c r="P1765" s="78"/>
      <c r="Q1765" s="774"/>
      <c r="R1765" s="774"/>
      <c r="S1765" s="774"/>
      <c r="T1765" s="774"/>
      <c r="U1765" s="78"/>
      <c r="V1765" s="774"/>
      <c r="W1765" s="774"/>
      <c r="X1765" s="774"/>
      <c r="Y1765" s="774"/>
      <c r="Z1765" s="78"/>
      <c r="AA1765" s="774"/>
      <c r="AB1765" s="774"/>
      <c r="AC1765" s="774"/>
      <c r="AD1765" s="774"/>
      <c r="AE1765" s="78"/>
      <c r="AF1765" s="774"/>
      <c r="AG1765" s="774"/>
      <c r="AH1765" s="774"/>
      <c r="AI1765" s="774"/>
      <c r="AJ1765" s="78"/>
      <c r="AK1765" s="774"/>
      <c r="AL1765" s="774"/>
      <c r="AM1765" s="774"/>
      <c r="AN1765" s="774"/>
      <c r="AO1765" s="78"/>
      <c r="AP1765" s="774"/>
      <c r="AQ1765" s="774"/>
      <c r="AR1765" s="774"/>
      <c r="AS1765" s="774"/>
      <c r="AT1765" s="78"/>
      <c r="AU1765" s="774"/>
      <c r="AV1765" s="774"/>
      <c r="AW1765" s="774"/>
      <c r="AX1765" s="774"/>
      <c r="AY1765" s="78"/>
      <c r="AZ1765" s="774"/>
      <c r="BA1765" s="774"/>
      <c r="BB1765" s="774"/>
      <c r="BC1765" s="774"/>
      <c r="BD1765" s="78"/>
      <c r="BE1765" s="774"/>
      <c r="BF1765" s="774"/>
      <c r="BG1765" s="774"/>
      <c r="BH1765" s="774"/>
      <c r="BI1765" s="78"/>
      <c r="BJ1765" s="774"/>
      <c r="BK1765" s="774"/>
      <c r="BL1765" s="774"/>
      <c r="BM1765" s="774"/>
      <c r="BN1765" s="1119">
        <v>402.83499999999998</v>
      </c>
      <c r="BO1765" s="774"/>
      <c r="BP1765" s="774"/>
      <c r="BQ1765" s="774"/>
      <c r="BR1765" s="774"/>
      <c r="BS1765" s="78"/>
      <c r="BT1765" s="775"/>
      <c r="BU1765" s="774"/>
      <c r="BV1765" s="774"/>
      <c r="BW1765" s="774"/>
      <c r="BX1765" s="78"/>
      <c r="BY1765" s="774"/>
      <c r="BZ1765" s="774"/>
      <c r="CA1765" s="774"/>
      <c r="CB1765" s="774"/>
      <c r="CC1765" s="78"/>
      <c r="CD1765" s="78"/>
      <c r="CE1765" s="78"/>
      <c r="CF1765" s="78"/>
      <c r="CG1765" s="532"/>
    </row>
    <row r="1766" spans="1:85" s="613" customFormat="1" hidden="1" outlineLevel="1" x14ac:dyDescent="0.3">
      <c r="A1766" s="516" t="s">
        <v>1014</v>
      </c>
      <c r="B1766" s="528"/>
      <c r="C1766" s="1100"/>
      <c r="D1766" s="1100"/>
      <c r="E1766" s="1100"/>
      <c r="F1766" s="1100"/>
      <c r="G1766" s="840"/>
      <c r="H1766" s="840"/>
      <c r="I1766" s="840"/>
      <c r="J1766" s="840"/>
      <c r="K1766" s="1100"/>
      <c r="L1766" s="840"/>
      <c r="M1766" s="840"/>
      <c r="N1766" s="840"/>
      <c r="O1766" s="840"/>
      <c r="P1766" s="1100"/>
      <c r="Q1766" s="840"/>
      <c r="R1766" s="840"/>
      <c r="S1766" s="840"/>
      <c r="T1766" s="840"/>
      <c r="U1766" s="1100"/>
      <c r="V1766" s="840"/>
      <c r="W1766" s="840"/>
      <c r="X1766" s="840"/>
      <c r="Y1766" s="840"/>
      <c r="Z1766" s="1100"/>
      <c r="AA1766" s="840"/>
      <c r="AB1766" s="840"/>
      <c r="AC1766" s="840"/>
      <c r="AD1766" s="840"/>
      <c r="AE1766" s="1100"/>
      <c r="AF1766" s="840"/>
      <c r="AG1766" s="840"/>
      <c r="AH1766" s="840"/>
      <c r="AI1766" s="840"/>
      <c r="AJ1766" s="1100"/>
      <c r="AK1766" s="840"/>
      <c r="AL1766" s="840"/>
      <c r="AM1766" s="840"/>
      <c r="AN1766" s="840"/>
      <c r="AO1766" s="1100"/>
      <c r="AP1766" s="840"/>
      <c r="AQ1766" s="840"/>
      <c r="AR1766" s="840"/>
      <c r="AS1766" s="840"/>
      <c r="AT1766" s="1100"/>
      <c r="AU1766" s="840"/>
      <c r="AV1766" s="840"/>
      <c r="AW1766" s="840"/>
      <c r="AX1766" s="840"/>
      <c r="AY1766" s="1100"/>
      <c r="AZ1766" s="840"/>
      <c r="BA1766" s="840"/>
      <c r="BB1766" s="840"/>
      <c r="BC1766" s="840"/>
      <c r="BD1766" s="1100"/>
      <c r="BE1766" s="840"/>
      <c r="BF1766" s="840"/>
      <c r="BG1766" s="840"/>
      <c r="BH1766" s="840"/>
      <c r="BI1766" s="1100"/>
      <c r="BJ1766" s="840"/>
      <c r="BK1766" s="840"/>
      <c r="BL1766" s="840"/>
      <c r="BM1766" s="840"/>
      <c r="BN1766" s="1100"/>
      <c r="BO1766" s="840"/>
      <c r="BP1766" s="840"/>
      <c r="BQ1766" s="840"/>
      <c r="BR1766" s="840"/>
      <c r="BS1766" s="1100"/>
      <c r="BT1766" s="841"/>
      <c r="BU1766" s="840"/>
      <c r="BV1766" s="840"/>
      <c r="BW1766" s="840"/>
      <c r="BX1766" s="1100"/>
      <c r="BY1766" s="840"/>
      <c r="BZ1766" s="840"/>
      <c r="CA1766" s="840"/>
      <c r="CB1766" s="840"/>
      <c r="CC1766" s="1100"/>
      <c r="CD1766" s="1100"/>
      <c r="CE1766" s="1100"/>
      <c r="CF1766" s="1100"/>
      <c r="CG1766" s="532"/>
    </row>
    <row r="1767" spans="1:85" s="612" customFormat="1" collapsed="1" x14ac:dyDescent="0.3">
      <c r="A1767" s="107" t="s">
        <v>1013</v>
      </c>
      <c r="B1767" s="523"/>
      <c r="C1767" s="78"/>
      <c r="D1767" s="78"/>
      <c r="E1767" s="78"/>
      <c r="F1767" s="78"/>
      <c r="G1767" s="774"/>
      <c r="H1767" s="774"/>
      <c r="I1767" s="774"/>
      <c r="J1767" s="774"/>
      <c r="K1767" s="78"/>
      <c r="L1767" s="774"/>
      <c r="M1767" s="774"/>
      <c r="N1767" s="774"/>
      <c r="O1767" s="774"/>
      <c r="P1767" s="78"/>
      <c r="Q1767" s="774"/>
      <c r="R1767" s="774"/>
      <c r="S1767" s="774"/>
      <c r="T1767" s="774"/>
      <c r="U1767" s="78"/>
      <c r="V1767" s="774"/>
      <c r="W1767" s="774"/>
      <c r="X1767" s="774"/>
      <c r="Y1767" s="774"/>
      <c r="Z1767" s="78"/>
      <c r="AA1767" s="774"/>
      <c r="AB1767" s="774"/>
      <c r="AC1767" s="774"/>
      <c r="AD1767" s="774"/>
      <c r="AE1767" s="78"/>
      <c r="AF1767" s="774"/>
      <c r="AG1767" s="774"/>
      <c r="AH1767" s="774"/>
      <c r="AI1767" s="774"/>
      <c r="AJ1767" s="78"/>
      <c r="AK1767" s="774"/>
      <c r="AL1767" s="774"/>
      <c r="AM1767" s="774"/>
      <c r="AN1767" s="774"/>
      <c r="AO1767" s="78"/>
      <c r="AP1767" s="774"/>
      <c r="AQ1767" s="774"/>
      <c r="AR1767" s="774"/>
      <c r="AS1767" s="774"/>
      <c r="AT1767" s="78">
        <f>SUM(AT1756:AT1766)</f>
      </c>
      <c r="AU1767" s="774"/>
      <c r="AV1767" s="774"/>
      <c r="AW1767" s="774"/>
      <c r="AX1767" s="774"/>
      <c r="AY1767" s="78">
        <f>SUM(AY1756:AY1766)</f>
      </c>
      <c r="AZ1767" s="774"/>
      <c r="BA1767" s="774"/>
      <c r="BB1767" s="774"/>
      <c r="BC1767" s="774"/>
      <c r="BD1767" s="78">
        <f>SUM(BD1756:BD1766)</f>
      </c>
      <c r="BE1767" s="774"/>
      <c r="BF1767" s="774"/>
      <c r="BG1767" s="774"/>
      <c r="BH1767" s="774"/>
      <c r="BI1767" s="78">
        <f>SUM(BI1756:BI1766)</f>
      </c>
      <c r="BJ1767" s="774"/>
      <c r="BK1767" s="774"/>
      <c r="BL1767" s="774"/>
      <c r="BM1767" s="774"/>
      <c r="BN1767" s="78">
        <f>SUM(BN1756:BN1766)</f>
      </c>
      <c r="BO1767" s="774"/>
      <c r="BP1767" s="774"/>
      <c r="BQ1767" s="774"/>
      <c r="BR1767" s="774"/>
      <c r="BS1767" s="78"/>
      <c r="BT1767" s="775"/>
      <c r="BU1767" s="774"/>
      <c r="BV1767" s="774"/>
      <c r="BW1767" s="774"/>
      <c r="BX1767" s="78"/>
      <c r="BY1767" s="774"/>
      <c r="BZ1767" s="774"/>
      <c r="CA1767" s="774"/>
      <c r="CB1767" s="774"/>
      <c r="CC1767" s="78"/>
      <c r="CD1767" s="78"/>
      <c r="CE1767" s="78"/>
      <c r="CF1767" s="78"/>
      <c r="CG1767" s="348"/>
    </row>
    <row r="1768" spans="1:85" s="612" customFormat="1" hidden="1" outlineLevel="1" x14ac:dyDescent="0.3">
      <c r="A1768" s="517" t="s">
        <v>1012</v>
      </c>
      <c r="B1768" s="523"/>
      <c r="C1768" s="78"/>
      <c r="D1768" s="78"/>
      <c r="E1768" s="78"/>
      <c r="F1768" s="78"/>
      <c r="G1768" s="774"/>
      <c r="H1768" s="774"/>
      <c r="I1768" s="774"/>
      <c r="J1768" s="774"/>
      <c r="K1768" s="78"/>
      <c r="L1768" s="774"/>
      <c r="M1768" s="774"/>
      <c r="N1768" s="774"/>
      <c r="O1768" s="774"/>
      <c r="P1768" s="78"/>
      <c r="Q1768" s="774"/>
      <c r="R1768" s="774"/>
      <c r="S1768" s="774"/>
      <c r="T1768" s="774"/>
      <c r="U1768" s="78"/>
      <c r="V1768" s="774"/>
      <c r="W1768" s="774"/>
      <c r="X1768" s="774"/>
      <c r="Y1768" s="774"/>
      <c r="Z1768" s="78"/>
      <c r="AA1768" s="774"/>
      <c r="AB1768" s="774"/>
      <c r="AC1768" s="774"/>
      <c r="AD1768" s="774"/>
      <c r="AE1768" s="78"/>
      <c r="AF1768" s="774"/>
      <c r="AG1768" s="774"/>
      <c r="AH1768" s="774"/>
      <c r="AI1768" s="774"/>
      <c r="AJ1768" s="78"/>
      <c r="AK1768" s="774"/>
      <c r="AL1768" s="774"/>
      <c r="AM1768" s="774"/>
      <c r="AN1768" s="774"/>
      <c r="AO1768" s="78"/>
      <c r="AP1768" s="774"/>
      <c r="AQ1768" s="774"/>
      <c r="AR1768" s="774"/>
      <c r="AS1768" s="774"/>
      <c r="AT1768" s="1119">
        <v>376.94299999999998</v>
      </c>
      <c r="AU1768" s="774"/>
      <c r="AV1768" s="774"/>
      <c r="AW1768" s="774"/>
      <c r="AX1768" s="774"/>
      <c r="AY1768" s="1119">
        <v>350.67500000000001</v>
      </c>
      <c r="AZ1768" s="774"/>
      <c r="BA1768" s="774"/>
      <c r="BB1768" s="774"/>
      <c r="BC1768" s="774"/>
      <c r="BD1768" s="1119">
        <v>436.05700000000002</v>
      </c>
      <c r="BE1768" s="774"/>
      <c r="BF1768" s="774"/>
      <c r="BG1768" s="774"/>
      <c r="BH1768" s="774"/>
      <c r="BI1768" s="1119">
        <v>424.42599999999999</v>
      </c>
      <c r="BJ1768" s="774"/>
      <c r="BK1768" s="774"/>
      <c r="BL1768" s="774"/>
      <c r="BM1768" s="774"/>
      <c r="BN1768" s="78"/>
      <c r="BO1768" s="774"/>
      <c r="BP1768" s="774"/>
      <c r="BQ1768" s="774"/>
      <c r="BR1768" s="774"/>
      <c r="BS1768" s="78"/>
      <c r="BT1768" s="775"/>
      <c r="BU1768" s="774"/>
      <c r="BV1768" s="774"/>
      <c r="BW1768" s="774"/>
      <c r="BX1768" s="78"/>
      <c r="BY1768" s="774"/>
      <c r="BZ1768" s="774"/>
      <c r="CA1768" s="774"/>
      <c r="CB1768" s="774"/>
      <c r="CC1768" s="78"/>
      <c r="CD1768" s="78"/>
      <c r="CE1768" s="78"/>
      <c r="CF1768" s="78"/>
      <c r="CG1768" s="348"/>
    </row>
    <row r="1769" spans="1:85" s="612" customFormat="1" hidden="1" outlineLevel="1" x14ac:dyDescent="0.3">
      <c r="A1769" s="517" t="s">
        <v>1011</v>
      </c>
      <c r="B1769" s="514"/>
      <c r="C1769" s="1097"/>
      <c r="D1769" s="1097"/>
      <c r="E1769" s="1097"/>
      <c r="F1769" s="1097"/>
      <c r="G1769" s="772"/>
      <c r="H1769" s="772"/>
      <c r="I1769" s="772"/>
      <c r="J1769" s="772"/>
      <c r="K1769" s="1097"/>
      <c r="L1769" s="772"/>
      <c r="M1769" s="772"/>
      <c r="N1769" s="772"/>
      <c r="O1769" s="772"/>
      <c r="P1769" s="1097"/>
      <c r="Q1769" s="772"/>
      <c r="R1769" s="772"/>
      <c r="S1769" s="772"/>
      <c r="T1769" s="772"/>
      <c r="U1769" s="1097"/>
      <c r="V1769" s="772"/>
      <c r="W1769" s="772"/>
      <c r="X1769" s="772"/>
      <c r="Y1769" s="772"/>
      <c r="Z1769" s="1097"/>
      <c r="AA1769" s="772"/>
      <c r="AB1769" s="772"/>
      <c r="AC1769" s="772"/>
      <c r="AD1769" s="772"/>
      <c r="AE1769" s="1097"/>
      <c r="AF1769" s="772"/>
      <c r="AG1769" s="772"/>
      <c r="AH1769" s="772"/>
      <c r="AI1769" s="772"/>
      <c r="AJ1769" s="1097"/>
      <c r="AK1769" s="772"/>
      <c r="AL1769" s="772"/>
      <c r="AM1769" s="772"/>
      <c r="AN1769" s="772"/>
      <c r="AO1769" s="1097"/>
      <c r="AP1769" s="772"/>
      <c r="AQ1769" s="772"/>
      <c r="AR1769" s="772"/>
      <c r="AS1769" s="772"/>
      <c r="AT1769" s="1119">
        <v>377.17500000000001</v>
      </c>
      <c r="AU1769" s="774"/>
      <c r="AV1769" s="774"/>
      <c r="AW1769" s="774"/>
      <c r="AX1769" s="774"/>
      <c r="AY1769" s="1119">
        <v>350.43700000000001</v>
      </c>
      <c r="AZ1769" s="774"/>
      <c r="BA1769" s="774"/>
      <c r="BB1769" s="774"/>
      <c r="BC1769" s="774"/>
      <c r="BD1769" s="1119">
        <v>357.23700000000002</v>
      </c>
      <c r="BE1769" s="772"/>
      <c r="BF1769" s="772"/>
      <c r="BG1769" s="772"/>
      <c r="BH1769" s="772"/>
      <c r="BI1769" s="1119">
        <v>424.71699999999998</v>
      </c>
      <c r="BJ1769" s="772"/>
      <c r="BK1769" s="772"/>
      <c r="BL1769" s="772"/>
      <c r="BM1769" s="772"/>
      <c r="BN1769" s="78"/>
      <c r="BO1769" s="772"/>
      <c r="BP1769" s="772"/>
      <c r="BQ1769" s="772"/>
      <c r="BR1769" s="772"/>
      <c r="BS1769" s="78"/>
      <c r="BT1769" s="838"/>
      <c r="BU1769" s="772"/>
      <c r="BV1769" s="772"/>
      <c r="BW1769" s="772"/>
      <c r="BX1769" s="1097"/>
      <c r="BY1769" s="772"/>
      <c r="BZ1769" s="772"/>
      <c r="CA1769" s="772"/>
      <c r="CB1769" s="772"/>
      <c r="CC1769" s="1097"/>
      <c r="CD1769" s="1097"/>
      <c r="CE1769" s="1097"/>
      <c r="CF1769" s="1097"/>
      <c r="CG1769" s="348"/>
    </row>
    <row r="1770" spans="1:85" s="612" customFormat="1" hidden="1" outlineLevel="1" x14ac:dyDescent="0.3">
      <c r="A1770" s="517" t="s">
        <v>1010</v>
      </c>
      <c r="B1770" s="514"/>
      <c r="C1770" s="1097"/>
      <c r="D1770" s="1097"/>
      <c r="E1770" s="1097"/>
      <c r="F1770" s="1097"/>
      <c r="G1770" s="772"/>
      <c r="H1770" s="772"/>
      <c r="I1770" s="772"/>
      <c r="J1770" s="772"/>
      <c r="K1770" s="1097"/>
      <c r="L1770" s="772"/>
      <c r="M1770" s="772"/>
      <c r="N1770" s="772"/>
      <c r="O1770" s="772"/>
      <c r="P1770" s="1097"/>
      <c r="Q1770" s="772"/>
      <c r="R1770" s="772"/>
      <c r="S1770" s="772"/>
      <c r="T1770" s="772"/>
      <c r="U1770" s="1097"/>
      <c r="V1770" s="772"/>
      <c r="W1770" s="772"/>
      <c r="X1770" s="772"/>
      <c r="Y1770" s="772"/>
      <c r="Z1770" s="1097"/>
      <c r="AA1770" s="772"/>
      <c r="AB1770" s="772"/>
      <c r="AC1770" s="772"/>
      <c r="AD1770" s="772"/>
      <c r="AE1770" s="1097"/>
      <c r="AF1770" s="772"/>
      <c r="AG1770" s="772"/>
      <c r="AH1770" s="772"/>
      <c r="AI1770" s="772"/>
      <c r="AJ1770" s="1097"/>
      <c r="AK1770" s="772"/>
      <c r="AL1770" s="772"/>
      <c r="AM1770" s="772"/>
      <c r="AN1770" s="772"/>
      <c r="AO1770" s="1097"/>
      <c r="AP1770" s="772"/>
      <c r="AQ1770" s="772"/>
      <c r="AR1770" s="772"/>
      <c r="AS1770" s="772"/>
      <c r="AT1770" s="1119">
        <v>377.20100000000002</v>
      </c>
      <c r="AU1770" s="774"/>
      <c r="AV1770" s="774"/>
      <c r="AW1770" s="774"/>
      <c r="AX1770" s="774"/>
      <c r="AY1770" s="1119">
        <v>350.41500000000002</v>
      </c>
      <c r="AZ1770" s="774"/>
      <c r="BA1770" s="774"/>
      <c r="BB1770" s="774"/>
      <c r="BC1770" s="774"/>
      <c r="BD1770" s="1119">
        <v>436.017</v>
      </c>
      <c r="BE1770" s="772"/>
      <c r="BF1770" s="772"/>
      <c r="BG1770" s="772"/>
      <c r="BH1770" s="772"/>
      <c r="BI1770" s="1119">
        <v>424.42599999999999</v>
      </c>
      <c r="BJ1770" s="772"/>
      <c r="BK1770" s="772"/>
      <c r="BL1770" s="772"/>
      <c r="BM1770" s="772"/>
      <c r="BN1770" s="78"/>
      <c r="BO1770" s="772"/>
      <c r="BP1770" s="772"/>
      <c r="BQ1770" s="772"/>
      <c r="BR1770" s="772"/>
      <c r="BS1770" s="78"/>
      <c r="BT1770" s="838"/>
      <c r="BU1770" s="772"/>
      <c r="BV1770" s="772"/>
      <c r="BW1770" s="772"/>
      <c r="BX1770" s="1097"/>
      <c r="BY1770" s="772"/>
      <c r="BZ1770" s="772"/>
      <c r="CA1770" s="772"/>
      <c r="CB1770" s="772"/>
      <c r="CC1770" s="1097"/>
      <c r="CD1770" s="1097"/>
      <c r="CE1770" s="1097"/>
      <c r="CF1770" s="1097"/>
      <c r="CG1770" s="348"/>
    </row>
    <row r="1771" spans="1:85" s="612" customFormat="1" hidden="1" outlineLevel="1" x14ac:dyDescent="0.3">
      <c r="A1771" s="517" t="s">
        <v>1009</v>
      </c>
      <c r="B1771" s="514"/>
      <c r="C1771" s="1097"/>
      <c r="D1771" s="1097"/>
      <c r="E1771" s="1097"/>
      <c r="F1771" s="1097"/>
      <c r="G1771" s="772"/>
      <c r="H1771" s="772"/>
      <c r="I1771" s="772"/>
      <c r="J1771" s="772"/>
      <c r="K1771" s="1097"/>
      <c r="L1771" s="772"/>
      <c r="M1771" s="772"/>
      <c r="N1771" s="772"/>
      <c r="O1771" s="772"/>
      <c r="P1771" s="1097"/>
      <c r="Q1771" s="772"/>
      <c r="R1771" s="772"/>
      <c r="S1771" s="772"/>
      <c r="T1771" s="772"/>
      <c r="U1771" s="1097"/>
      <c r="V1771" s="772"/>
      <c r="W1771" s="772"/>
      <c r="X1771" s="772"/>
      <c r="Y1771" s="772"/>
      <c r="Z1771" s="1097"/>
      <c r="AA1771" s="772"/>
      <c r="AB1771" s="772"/>
      <c r="AC1771" s="772"/>
      <c r="AD1771" s="772"/>
      <c r="AE1771" s="1097"/>
      <c r="AF1771" s="772"/>
      <c r="AG1771" s="772"/>
      <c r="AH1771" s="772"/>
      <c r="AI1771" s="772"/>
      <c r="AJ1771" s="1097"/>
      <c r="AK1771" s="772"/>
      <c r="AL1771" s="772"/>
      <c r="AM1771" s="772"/>
      <c r="AN1771" s="772"/>
      <c r="AO1771" s="1097"/>
      <c r="AP1771" s="772"/>
      <c r="AQ1771" s="772"/>
      <c r="AR1771" s="772"/>
      <c r="AS1771" s="772"/>
      <c r="AT1771" s="1119">
        <v>376.94299999999998</v>
      </c>
      <c r="AU1771" s="774"/>
      <c r="AV1771" s="774"/>
      <c r="AW1771" s="774"/>
      <c r="AX1771" s="774"/>
      <c r="AY1771" s="1119">
        <v>350.67500000000001</v>
      </c>
      <c r="AZ1771" s="774"/>
      <c r="BA1771" s="774"/>
      <c r="BB1771" s="774"/>
      <c r="BC1771" s="774"/>
      <c r="BD1771" s="1119">
        <v>436.05700000000002</v>
      </c>
      <c r="BE1771" s="772"/>
      <c r="BF1771" s="772"/>
      <c r="BG1771" s="772"/>
      <c r="BH1771" s="772"/>
      <c r="BI1771" s="1119">
        <v>424.42599999999999</v>
      </c>
      <c r="BJ1771" s="772"/>
      <c r="BK1771" s="772"/>
      <c r="BL1771" s="772"/>
      <c r="BM1771" s="772"/>
      <c r="BN1771" s="78"/>
      <c r="BO1771" s="772"/>
      <c r="BP1771" s="772"/>
      <c r="BQ1771" s="772"/>
      <c r="BR1771" s="772"/>
      <c r="BS1771" s="78"/>
      <c r="BT1771" s="838"/>
      <c r="BU1771" s="772"/>
      <c r="BV1771" s="772"/>
      <c r="BW1771" s="772"/>
      <c r="BX1771" s="1097"/>
      <c r="BY1771" s="772"/>
      <c r="BZ1771" s="772"/>
      <c r="CA1771" s="772"/>
      <c r="CB1771" s="772"/>
      <c r="CC1771" s="1097"/>
      <c r="CD1771" s="1097"/>
      <c r="CE1771" s="1097"/>
      <c r="CF1771" s="1097"/>
      <c r="CG1771" s="348"/>
    </row>
    <row r="1772" spans="1:85" s="612" customFormat="1" hidden="1" outlineLevel="1" x14ac:dyDescent="0.3">
      <c r="A1772" s="517" t="s">
        <v>1008</v>
      </c>
      <c r="B1772" s="514"/>
      <c r="C1772" s="1097"/>
      <c r="D1772" s="1097"/>
      <c r="E1772" s="1097"/>
      <c r="F1772" s="1097"/>
      <c r="G1772" s="772"/>
      <c r="H1772" s="772"/>
      <c r="I1772" s="772"/>
      <c r="J1772" s="772"/>
      <c r="K1772" s="1097"/>
      <c r="L1772" s="772"/>
      <c r="M1772" s="772"/>
      <c r="N1772" s="772"/>
      <c r="O1772" s="772"/>
      <c r="P1772" s="1097"/>
      <c r="Q1772" s="772"/>
      <c r="R1772" s="772"/>
      <c r="S1772" s="772"/>
      <c r="T1772" s="772"/>
      <c r="U1772" s="1097"/>
      <c r="V1772" s="772"/>
      <c r="W1772" s="772"/>
      <c r="X1772" s="772"/>
      <c r="Y1772" s="772"/>
      <c r="Z1772" s="1097"/>
      <c r="AA1772" s="772"/>
      <c r="AB1772" s="772"/>
      <c r="AC1772" s="772"/>
      <c r="AD1772" s="772"/>
      <c r="AE1772" s="1097"/>
      <c r="AF1772" s="772"/>
      <c r="AG1772" s="772"/>
      <c r="AH1772" s="772"/>
      <c r="AI1772" s="772"/>
      <c r="AJ1772" s="1097"/>
      <c r="AK1772" s="772"/>
      <c r="AL1772" s="772"/>
      <c r="AM1772" s="772"/>
      <c r="AN1772" s="772"/>
      <c r="AO1772" s="1097"/>
      <c r="AP1772" s="772"/>
      <c r="AQ1772" s="772"/>
      <c r="AR1772" s="772"/>
      <c r="AS1772" s="772"/>
      <c r="AT1772" s="1119">
        <v>376.94299999999998</v>
      </c>
      <c r="AU1772" s="774"/>
      <c r="AV1772" s="774"/>
      <c r="AW1772" s="774"/>
      <c r="AX1772" s="774"/>
      <c r="AY1772" s="1119">
        <v>350.67500000000001</v>
      </c>
      <c r="AZ1772" s="774"/>
      <c r="BA1772" s="774"/>
      <c r="BB1772" s="774"/>
      <c r="BC1772" s="774"/>
      <c r="BD1772" s="1119">
        <v>436.05700000000002</v>
      </c>
      <c r="BE1772" s="772"/>
      <c r="BF1772" s="772"/>
      <c r="BG1772" s="772"/>
      <c r="BH1772" s="772"/>
      <c r="BI1772" s="1119">
        <v>424.42599999999999</v>
      </c>
      <c r="BJ1772" s="772"/>
      <c r="BK1772" s="772"/>
      <c r="BL1772" s="772"/>
      <c r="BM1772" s="772"/>
      <c r="BN1772" s="78"/>
      <c r="BO1772" s="772"/>
      <c r="BP1772" s="772"/>
      <c r="BQ1772" s="772"/>
      <c r="BR1772" s="772"/>
      <c r="BS1772" s="78"/>
      <c r="BT1772" s="838"/>
      <c r="BU1772" s="772"/>
      <c r="BV1772" s="772"/>
      <c r="BW1772" s="772"/>
      <c r="BX1772" s="1097"/>
      <c r="BY1772" s="772"/>
      <c r="BZ1772" s="772"/>
      <c r="CA1772" s="772"/>
      <c r="CB1772" s="772"/>
      <c r="CC1772" s="1097"/>
      <c r="CD1772" s="1097"/>
      <c r="CE1772" s="1097"/>
      <c r="CF1772" s="1097"/>
      <c r="CG1772" s="348"/>
    </row>
    <row r="1773" spans="1:85" s="612" customFormat="1" hidden="1" outlineLevel="1" x14ac:dyDescent="0.3">
      <c r="A1773" s="517" t="s">
        <v>1007</v>
      </c>
      <c r="B1773" s="514"/>
      <c r="C1773" s="1097"/>
      <c r="D1773" s="1097"/>
      <c r="E1773" s="1097"/>
      <c r="F1773" s="1097"/>
      <c r="G1773" s="772"/>
      <c r="H1773" s="772"/>
      <c r="I1773" s="772"/>
      <c r="J1773" s="772"/>
      <c r="K1773" s="1097"/>
      <c r="L1773" s="772"/>
      <c r="M1773" s="772"/>
      <c r="N1773" s="772"/>
      <c r="O1773" s="772"/>
      <c r="P1773" s="1097"/>
      <c r="Q1773" s="772"/>
      <c r="R1773" s="772"/>
      <c r="S1773" s="772"/>
      <c r="T1773" s="772"/>
      <c r="U1773" s="1097"/>
      <c r="V1773" s="772"/>
      <c r="W1773" s="772"/>
      <c r="X1773" s="772"/>
      <c r="Y1773" s="772"/>
      <c r="Z1773" s="1097"/>
      <c r="AA1773" s="772"/>
      <c r="AB1773" s="772"/>
      <c r="AC1773" s="772"/>
      <c r="AD1773" s="772"/>
      <c r="AE1773" s="1097"/>
      <c r="AF1773" s="772"/>
      <c r="AG1773" s="772"/>
      <c r="AH1773" s="772"/>
      <c r="AI1773" s="772"/>
      <c r="AJ1773" s="1097"/>
      <c r="AK1773" s="772"/>
      <c r="AL1773" s="772"/>
      <c r="AM1773" s="772"/>
      <c r="AN1773" s="772"/>
      <c r="AO1773" s="1097"/>
      <c r="AP1773" s="772"/>
      <c r="AQ1773" s="772"/>
      <c r="AR1773" s="772"/>
      <c r="AS1773" s="772"/>
      <c r="AT1773" s="1119">
        <v>376.94299999999998</v>
      </c>
      <c r="AU1773" s="774"/>
      <c r="AV1773" s="774"/>
      <c r="AW1773" s="774"/>
      <c r="AX1773" s="774"/>
      <c r="AY1773" s="1119">
        <v>350.67500000000001</v>
      </c>
      <c r="AZ1773" s="774"/>
      <c r="BA1773" s="774"/>
      <c r="BB1773" s="774"/>
      <c r="BC1773" s="774"/>
      <c r="BD1773" s="1119">
        <v>436.05700000000002</v>
      </c>
      <c r="BE1773" s="772"/>
      <c r="BF1773" s="772"/>
      <c r="BG1773" s="772"/>
      <c r="BH1773" s="772"/>
      <c r="BI1773" s="1119">
        <v>424.71699999999998</v>
      </c>
      <c r="BJ1773" s="772"/>
      <c r="BK1773" s="772"/>
      <c r="BL1773" s="772"/>
      <c r="BM1773" s="772"/>
      <c r="BN1773" s="78"/>
      <c r="BO1773" s="772"/>
      <c r="BP1773" s="772"/>
      <c r="BQ1773" s="772"/>
      <c r="BR1773" s="772"/>
      <c r="BS1773" s="78"/>
      <c r="BT1773" s="838"/>
      <c r="BU1773" s="772"/>
      <c r="BV1773" s="772"/>
      <c r="BW1773" s="772"/>
      <c r="BX1773" s="1097"/>
      <c r="BY1773" s="772"/>
      <c r="BZ1773" s="772"/>
      <c r="CA1773" s="772"/>
      <c r="CB1773" s="772"/>
      <c r="CC1773" s="1097"/>
      <c r="CD1773" s="1097"/>
      <c r="CE1773" s="1097"/>
      <c r="CF1773" s="1097"/>
      <c r="CG1773" s="348"/>
    </row>
    <row r="1774" spans="1:85" s="612" customFormat="1" hidden="1" outlineLevel="1" x14ac:dyDescent="0.3">
      <c r="A1774" s="517" t="s">
        <v>1006</v>
      </c>
      <c r="B1774" s="514"/>
      <c r="C1774" s="1097"/>
      <c r="D1774" s="1097"/>
      <c r="E1774" s="1097"/>
      <c r="F1774" s="1097"/>
      <c r="G1774" s="772"/>
      <c r="H1774" s="772"/>
      <c r="I1774" s="772"/>
      <c r="J1774" s="772"/>
      <c r="K1774" s="1097"/>
      <c r="L1774" s="772"/>
      <c r="M1774" s="772"/>
      <c r="N1774" s="772"/>
      <c r="O1774" s="772"/>
      <c r="P1774" s="1097"/>
      <c r="Q1774" s="772"/>
      <c r="R1774" s="772"/>
      <c r="S1774" s="772"/>
      <c r="T1774" s="772"/>
      <c r="U1774" s="1097"/>
      <c r="V1774" s="772"/>
      <c r="W1774" s="772"/>
      <c r="X1774" s="772"/>
      <c r="Y1774" s="772"/>
      <c r="Z1774" s="1097"/>
      <c r="AA1774" s="772"/>
      <c r="AB1774" s="772"/>
      <c r="AC1774" s="772"/>
      <c r="AD1774" s="772"/>
      <c r="AE1774" s="1097"/>
      <c r="AF1774" s="772"/>
      <c r="AG1774" s="772"/>
      <c r="AH1774" s="772"/>
      <c r="AI1774" s="772"/>
      <c r="AJ1774" s="1097"/>
      <c r="AK1774" s="772"/>
      <c r="AL1774" s="772"/>
      <c r="AM1774" s="772"/>
      <c r="AN1774" s="772"/>
      <c r="AO1774" s="1097"/>
      <c r="AP1774" s="772"/>
      <c r="AQ1774" s="772"/>
      <c r="AR1774" s="772"/>
      <c r="AS1774" s="772"/>
      <c r="AT1774" s="1119">
        <v>0</v>
      </c>
      <c r="AU1774" s="774"/>
      <c r="AV1774" s="774"/>
      <c r="AW1774" s="774"/>
      <c r="AX1774" s="774"/>
      <c r="AY1774" s="1119">
        <v>350.41500000000002</v>
      </c>
      <c r="AZ1774" s="774"/>
      <c r="BA1774" s="774"/>
      <c r="BB1774" s="774"/>
      <c r="BC1774" s="774"/>
      <c r="BD1774" s="1119">
        <v>436.017</v>
      </c>
      <c r="BE1774" s="772"/>
      <c r="BF1774" s="772"/>
      <c r="BG1774" s="772"/>
      <c r="BH1774" s="772"/>
      <c r="BI1774" s="1119">
        <v>424.42599999999999</v>
      </c>
      <c r="BJ1774" s="772"/>
      <c r="BK1774" s="772"/>
      <c r="BL1774" s="772"/>
      <c r="BM1774" s="772"/>
      <c r="BN1774" s="78"/>
      <c r="BO1774" s="772"/>
      <c r="BP1774" s="772"/>
      <c r="BQ1774" s="772"/>
      <c r="BR1774" s="772"/>
      <c r="BS1774" s="78"/>
      <c r="BT1774" s="838"/>
      <c r="BU1774" s="772"/>
      <c r="BV1774" s="772"/>
      <c r="BW1774" s="772"/>
      <c r="BX1774" s="1097"/>
      <c r="BY1774" s="772"/>
      <c r="BZ1774" s="772"/>
      <c r="CA1774" s="772"/>
      <c r="CB1774" s="772"/>
      <c r="CC1774" s="1097"/>
      <c r="CD1774" s="1097"/>
      <c r="CE1774" s="1097"/>
      <c r="CF1774" s="1097"/>
      <c r="CG1774" s="348"/>
    </row>
    <row r="1775" spans="1:85" s="612" customFormat="1" hidden="1" outlineLevel="1" x14ac:dyDescent="0.3">
      <c r="A1775" s="517" t="s">
        <v>1005</v>
      </c>
      <c r="B1775" s="514"/>
      <c r="C1775" s="1097"/>
      <c r="D1775" s="1097"/>
      <c r="E1775" s="1097"/>
      <c r="F1775" s="1097"/>
      <c r="G1775" s="772"/>
      <c r="H1775" s="772"/>
      <c r="I1775" s="772"/>
      <c r="J1775" s="772"/>
      <c r="K1775" s="1097"/>
      <c r="L1775" s="772"/>
      <c r="M1775" s="772"/>
      <c r="N1775" s="772"/>
      <c r="O1775" s="772"/>
      <c r="P1775" s="1097"/>
      <c r="Q1775" s="772"/>
      <c r="R1775" s="772"/>
      <c r="S1775" s="772"/>
      <c r="T1775" s="772"/>
      <c r="U1775" s="1097"/>
      <c r="V1775" s="772"/>
      <c r="W1775" s="772"/>
      <c r="X1775" s="772"/>
      <c r="Y1775" s="772"/>
      <c r="Z1775" s="1097"/>
      <c r="AA1775" s="772"/>
      <c r="AB1775" s="772"/>
      <c r="AC1775" s="772"/>
      <c r="AD1775" s="772"/>
      <c r="AE1775" s="1097"/>
      <c r="AF1775" s="772"/>
      <c r="AG1775" s="772"/>
      <c r="AH1775" s="772"/>
      <c r="AI1775" s="772"/>
      <c r="AJ1775" s="1097"/>
      <c r="AK1775" s="772"/>
      <c r="AL1775" s="772"/>
      <c r="AM1775" s="772"/>
      <c r="AN1775" s="772"/>
      <c r="AO1775" s="1097"/>
      <c r="AP1775" s="772"/>
      <c r="AQ1775" s="772"/>
      <c r="AR1775" s="772"/>
      <c r="AS1775" s="772"/>
      <c r="AT1775" s="1119">
        <v>376.94299999999998</v>
      </c>
      <c r="AU1775" s="774"/>
      <c r="AV1775" s="774"/>
      <c r="AW1775" s="774"/>
      <c r="AX1775" s="774"/>
      <c r="AY1775" s="1119">
        <v>350.67500000000001</v>
      </c>
      <c r="AZ1775" s="774"/>
      <c r="BA1775" s="774"/>
      <c r="BB1775" s="774"/>
      <c r="BC1775" s="774"/>
      <c r="BD1775" s="1119">
        <v>436.05700000000002</v>
      </c>
      <c r="BE1775" s="772"/>
      <c r="BF1775" s="772"/>
      <c r="BG1775" s="772"/>
      <c r="BH1775" s="772"/>
      <c r="BI1775" s="1119">
        <v>0</v>
      </c>
      <c r="BJ1775" s="772"/>
      <c r="BK1775" s="772"/>
      <c r="BL1775" s="772"/>
      <c r="BM1775" s="772"/>
      <c r="BN1775" s="78"/>
      <c r="BO1775" s="772"/>
      <c r="BP1775" s="772"/>
      <c r="BQ1775" s="772"/>
      <c r="BR1775" s="772"/>
      <c r="BS1775" s="78"/>
      <c r="BT1775" s="838"/>
      <c r="BU1775" s="772"/>
      <c r="BV1775" s="772"/>
      <c r="BW1775" s="772"/>
      <c r="BX1775" s="1097"/>
      <c r="BY1775" s="772"/>
      <c r="BZ1775" s="772"/>
      <c r="CA1775" s="772"/>
      <c r="CB1775" s="772"/>
      <c r="CC1775" s="1097"/>
      <c r="CD1775" s="1097"/>
      <c r="CE1775" s="1097"/>
      <c r="CF1775" s="1097"/>
      <c r="CG1775" s="348"/>
    </row>
    <row r="1776" spans="1:85" s="612" customFormat="1" hidden="1" outlineLevel="1" x14ac:dyDescent="0.3">
      <c r="A1776" s="517" t="s">
        <v>1004</v>
      </c>
      <c r="B1776" s="514"/>
      <c r="C1776" s="1097"/>
      <c r="D1776" s="1097"/>
      <c r="E1776" s="1097"/>
      <c r="F1776" s="1097"/>
      <c r="G1776" s="772"/>
      <c r="H1776" s="772"/>
      <c r="I1776" s="772"/>
      <c r="J1776" s="772"/>
      <c r="K1776" s="1097"/>
      <c r="L1776" s="772"/>
      <c r="M1776" s="772"/>
      <c r="N1776" s="772"/>
      <c r="O1776" s="772"/>
      <c r="P1776" s="1097"/>
      <c r="Q1776" s="772"/>
      <c r="R1776" s="772"/>
      <c r="S1776" s="772"/>
      <c r="T1776" s="772"/>
      <c r="U1776" s="1097"/>
      <c r="V1776" s="772"/>
      <c r="W1776" s="772"/>
      <c r="X1776" s="772"/>
      <c r="Y1776" s="772"/>
      <c r="Z1776" s="1097"/>
      <c r="AA1776" s="772"/>
      <c r="AB1776" s="772"/>
      <c r="AC1776" s="772"/>
      <c r="AD1776" s="772"/>
      <c r="AE1776" s="1097"/>
      <c r="AF1776" s="772"/>
      <c r="AG1776" s="772"/>
      <c r="AH1776" s="772"/>
      <c r="AI1776" s="772"/>
      <c r="AJ1776" s="1097"/>
      <c r="AK1776" s="772"/>
      <c r="AL1776" s="772"/>
      <c r="AM1776" s="772"/>
      <c r="AN1776" s="772"/>
      <c r="AO1776" s="1097"/>
      <c r="AP1776" s="772"/>
      <c r="AQ1776" s="772"/>
      <c r="AR1776" s="772"/>
      <c r="AS1776" s="772"/>
      <c r="AT1776" s="1119">
        <v>377.017</v>
      </c>
      <c r="AU1776" s="774"/>
      <c r="AV1776" s="774"/>
      <c r="AW1776" s="774"/>
      <c r="AX1776" s="774"/>
      <c r="AY1776" s="1119">
        <v>31.285</v>
      </c>
      <c r="AZ1776" s="774"/>
      <c r="BA1776" s="774"/>
      <c r="BB1776" s="774"/>
      <c r="BC1776" s="774"/>
      <c r="BD1776" s="1119">
        <v>436.05700000000002</v>
      </c>
      <c r="BE1776" s="772"/>
      <c r="BF1776" s="772"/>
      <c r="BG1776" s="772"/>
      <c r="BH1776" s="772"/>
      <c r="BI1776" s="1119">
        <v>424.42599999999999</v>
      </c>
      <c r="BJ1776" s="772"/>
      <c r="BK1776" s="772"/>
      <c r="BL1776" s="772"/>
      <c r="BM1776" s="772"/>
      <c r="BN1776" s="78"/>
      <c r="BO1776" s="772"/>
      <c r="BP1776" s="772"/>
      <c r="BQ1776" s="772"/>
      <c r="BR1776" s="772"/>
      <c r="BS1776" s="78"/>
      <c r="BT1776" s="838"/>
      <c r="BU1776" s="772"/>
      <c r="BV1776" s="772"/>
      <c r="BW1776" s="772"/>
      <c r="BX1776" s="1097"/>
      <c r="BY1776" s="772"/>
      <c r="BZ1776" s="772"/>
      <c r="CA1776" s="772"/>
      <c r="CB1776" s="772"/>
      <c r="CC1776" s="1097"/>
      <c r="CD1776" s="1097"/>
      <c r="CE1776" s="1097"/>
      <c r="CF1776" s="1097"/>
      <c r="CG1776" s="348"/>
    </row>
    <row r="1777" spans="1:85" s="612" customFormat="1" hidden="1" outlineLevel="1" x14ac:dyDescent="0.3">
      <c r="A1777" s="517" t="s">
        <v>1003</v>
      </c>
      <c r="B1777" s="514"/>
      <c r="C1777" s="1097"/>
      <c r="D1777" s="1097"/>
      <c r="E1777" s="1097"/>
      <c r="F1777" s="1097"/>
      <c r="G1777" s="772"/>
      <c r="H1777" s="772"/>
      <c r="I1777" s="772"/>
      <c r="J1777" s="772"/>
      <c r="K1777" s="1097"/>
      <c r="L1777" s="772"/>
      <c r="M1777" s="772"/>
      <c r="N1777" s="772"/>
      <c r="O1777" s="772"/>
      <c r="P1777" s="1097"/>
      <c r="Q1777" s="772"/>
      <c r="R1777" s="772"/>
      <c r="S1777" s="772"/>
      <c r="T1777" s="772"/>
      <c r="U1777" s="1097"/>
      <c r="V1777" s="772"/>
      <c r="W1777" s="772"/>
      <c r="X1777" s="772"/>
      <c r="Y1777" s="772"/>
      <c r="Z1777" s="1097"/>
      <c r="AA1777" s="772"/>
      <c r="AB1777" s="772"/>
      <c r="AC1777" s="772"/>
      <c r="AD1777" s="772"/>
      <c r="AE1777" s="1097"/>
      <c r="AF1777" s="772"/>
      <c r="AG1777" s="772"/>
      <c r="AH1777" s="772"/>
      <c r="AI1777" s="772"/>
      <c r="AJ1777" s="1097"/>
      <c r="AK1777" s="772"/>
      <c r="AL1777" s="772"/>
      <c r="AM1777" s="772"/>
      <c r="AN1777" s="772"/>
      <c r="AO1777" s="1097"/>
      <c r="AP1777" s="772"/>
      <c r="AQ1777" s="772"/>
      <c r="AR1777" s="772"/>
      <c r="AS1777" s="772"/>
      <c r="AT1777" s="1119">
        <v>376.94299999999998</v>
      </c>
      <c r="AU1777" s="774"/>
      <c r="AV1777" s="774"/>
      <c r="AW1777" s="774"/>
      <c r="AX1777" s="774"/>
      <c r="AY1777" s="1119">
        <v>350.67500000000001</v>
      </c>
      <c r="AZ1777" s="774"/>
      <c r="BA1777" s="774"/>
      <c r="BB1777" s="774"/>
      <c r="BC1777" s="774"/>
      <c r="BD1777" s="1119">
        <v>436.05700000000002</v>
      </c>
      <c r="BE1777" s="772"/>
      <c r="BF1777" s="772"/>
      <c r="BG1777" s="772"/>
      <c r="BH1777" s="772"/>
      <c r="BI1777" s="1119">
        <v>424.42599999999999</v>
      </c>
      <c r="BJ1777" s="772"/>
      <c r="BK1777" s="772"/>
      <c r="BL1777" s="772"/>
      <c r="BM1777" s="772"/>
      <c r="BN1777" s="78"/>
      <c r="BO1777" s="772"/>
      <c r="BP1777" s="772"/>
      <c r="BQ1777" s="772"/>
      <c r="BR1777" s="772"/>
      <c r="BS1777" s="78"/>
      <c r="BT1777" s="838"/>
      <c r="BU1777" s="772"/>
      <c r="BV1777" s="772"/>
      <c r="BW1777" s="772"/>
      <c r="BX1777" s="1097"/>
      <c r="BY1777" s="772"/>
      <c r="BZ1777" s="772"/>
      <c r="CA1777" s="772"/>
      <c r="CB1777" s="772"/>
      <c r="CC1777" s="1097"/>
      <c r="CD1777" s="1097"/>
      <c r="CE1777" s="1097"/>
      <c r="CF1777" s="1097"/>
      <c r="CG1777" s="348"/>
    </row>
    <row r="1778" spans="1:85" s="612" customFormat="1" hidden="1" outlineLevel="1" x14ac:dyDescent="0.3">
      <c r="A1778" s="516" t="s">
        <v>1002</v>
      </c>
      <c r="B1778" s="515"/>
      <c r="C1778" s="1128"/>
      <c r="D1778" s="1128"/>
      <c r="E1778" s="1128"/>
      <c r="F1778" s="1128"/>
      <c r="G1778" s="844"/>
      <c r="H1778" s="844"/>
      <c r="I1778" s="844"/>
      <c r="J1778" s="844"/>
      <c r="K1778" s="1128"/>
      <c r="L1778" s="844"/>
      <c r="M1778" s="844"/>
      <c r="N1778" s="844"/>
      <c r="O1778" s="844"/>
      <c r="P1778" s="1128"/>
      <c r="Q1778" s="844"/>
      <c r="R1778" s="844"/>
      <c r="S1778" s="844"/>
      <c r="T1778" s="844"/>
      <c r="U1778" s="1128"/>
      <c r="V1778" s="844"/>
      <c r="W1778" s="844"/>
      <c r="X1778" s="844"/>
      <c r="Y1778" s="844"/>
      <c r="Z1778" s="1128"/>
      <c r="AA1778" s="844"/>
      <c r="AB1778" s="844"/>
      <c r="AC1778" s="844"/>
      <c r="AD1778" s="844"/>
      <c r="AE1778" s="1128"/>
      <c r="AF1778" s="844"/>
      <c r="AG1778" s="844"/>
      <c r="AH1778" s="844"/>
      <c r="AI1778" s="844"/>
      <c r="AJ1778" s="1128"/>
      <c r="AK1778" s="844"/>
      <c r="AL1778" s="844"/>
      <c r="AM1778" s="844"/>
      <c r="AN1778" s="844"/>
      <c r="AO1778" s="1128"/>
      <c r="AP1778" s="844"/>
      <c r="AQ1778" s="844"/>
      <c r="AR1778" s="844"/>
      <c r="AS1778" s="844"/>
      <c r="AT1778" s="1120">
        <v>376.94299999999998</v>
      </c>
      <c r="AU1778" s="840"/>
      <c r="AV1778" s="840"/>
      <c r="AW1778" s="840"/>
      <c r="AX1778" s="840"/>
      <c r="AY1778" s="1120">
        <v>350.67500000000001</v>
      </c>
      <c r="AZ1778" s="840"/>
      <c r="BA1778" s="840"/>
      <c r="BB1778" s="840"/>
      <c r="BC1778" s="840"/>
      <c r="BD1778" s="1100"/>
      <c r="BE1778" s="844"/>
      <c r="BF1778" s="844"/>
      <c r="BG1778" s="844"/>
      <c r="BH1778" s="844"/>
      <c r="BI1778" s="1100"/>
      <c r="BJ1778" s="844"/>
      <c r="BK1778" s="844"/>
      <c r="BL1778" s="844"/>
      <c r="BM1778" s="844"/>
      <c r="BN1778" s="1100"/>
      <c r="BO1778" s="844"/>
      <c r="BP1778" s="844"/>
      <c r="BQ1778" s="844"/>
      <c r="BR1778" s="844"/>
      <c r="BS1778" s="1100"/>
      <c r="BT1778" s="845"/>
      <c r="BU1778" s="844"/>
      <c r="BV1778" s="844"/>
      <c r="BW1778" s="844"/>
      <c r="BX1778" s="1128"/>
      <c r="BY1778" s="844"/>
      <c r="BZ1778" s="844"/>
      <c r="CA1778" s="844"/>
      <c r="CB1778" s="844"/>
      <c r="CC1778" s="1128"/>
      <c r="CD1778" s="1128"/>
      <c r="CE1778" s="1128"/>
      <c r="CF1778" s="1128"/>
      <c r="CG1778" s="348"/>
    </row>
    <row r="1779" spans="1:85" s="612" customFormat="1" collapsed="1" x14ac:dyDescent="0.3">
      <c r="A1779" s="174" t="s">
        <v>1001</v>
      </c>
      <c r="B1779" s="515"/>
      <c r="C1779" s="1128"/>
      <c r="D1779" s="1128"/>
      <c r="E1779" s="1128"/>
      <c r="F1779" s="1128"/>
      <c r="G1779" s="844"/>
      <c r="H1779" s="844"/>
      <c r="I1779" s="844"/>
      <c r="J1779" s="844"/>
      <c r="K1779" s="1128"/>
      <c r="L1779" s="844"/>
      <c r="M1779" s="844"/>
      <c r="N1779" s="844"/>
      <c r="O1779" s="844"/>
      <c r="P1779" s="1128"/>
      <c r="Q1779" s="844"/>
      <c r="R1779" s="844"/>
      <c r="S1779" s="844"/>
      <c r="T1779" s="844"/>
      <c r="U1779" s="1128"/>
      <c r="V1779" s="844"/>
      <c r="W1779" s="844"/>
      <c r="X1779" s="844"/>
      <c r="Y1779" s="844"/>
      <c r="Z1779" s="1128"/>
      <c r="AA1779" s="844"/>
      <c r="AB1779" s="844"/>
      <c r="AC1779" s="844"/>
      <c r="AD1779" s="844"/>
      <c r="AE1779" s="1128"/>
      <c r="AF1779" s="844"/>
      <c r="AG1779" s="844"/>
      <c r="AH1779" s="844"/>
      <c r="AI1779" s="844"/>
      <c r="AJ1779" s="1128"/>
      <c r="AK1779" s="844"/>
      <c r="AL1779" s="844"/>
      <c r="AM1779" s="844"/>
      <c r="AN1779" s="844"/>
      <c r="AO1779" s="1128"/>
      <c r="AP1779" s="844"/>
      <c r="AQ1779" s="844"/>
      <c r="AR1779" s="844"/>
      <c r="AS1779" s="844"/>
      <c r="AT1779" s="1100">
        <f>SUM(AT1768:AT1778)</f>
      </c>
      <c r="AU1779" s="840"/>
      <c r="AV1779" s="840"/>
      <c r="AW1779" s="840"/>
      <c r="AX1779" s="840"/>
      <c r="AY1779" s="1100">
        <f>SUM(AY1768:AY1778)</f>
      </c>
      <c r="AZ1779" s="840"/>
      <c r="BA1779" s="840"/>
      <c r="BB1779" s="840"/>
      <c r="BC1779" s="840"/>
      <c r="BD1779" s="1100">
        <f>SUM(BD1768:BD1778)</f>
      </c>
      <c r="BE1779" s="844"/>
      <c r="BF1779" s="844"/>
      <c r="BG1779" s="844"/>
      <c r="BH1779" s="844"/>
      <c r="BI1779" s="1100">
        <f>SUM(BI1768:BI1778)</f>
      </c>
      <c r="BJ1779" s="844"/>
      <c r="BK1779" s="844"/>
      <c r="BL1779" s="844"/>
      <c r="BM1779" s="844"/>
      <c r="BN1779" s="1100">
        <f>SUM(BN1768:BN1778)</f>
      </c>
      <c r="BO1779" s="844"/>
      <c r="BP1779" s="844"/>
      <c r="BQ1779" s="844"/>
      <c r="BR1779" s="844"/>
      <c r="BS1779" s="1100"/>
      <c r="BT1779" s="845"/>
      <c r="BU1779" s="844"/>
      <c r="BV1779" s="844"/>
      <c r="BW1779" s="844"/>
      <c r="BX1779" s="1128"/>
      <c r="BY1779" s="844"/>
      <c r="BZ1779" s="844"/>
      <c r="CA1779" s="844"/>
      <c r="CB1779" s="844"/>
      <c r="CC1779" s="1128"/>
      <c r="CD1779" s="1128"/>
      <c r="CE1779" s="1128"/>
      <c r="CF1779" s="1128"/>
      <c r="CG1779" s="348"/>
    </row>
    <row r="1780" spans="1:85" s="612" customFormat="1" x14ac:dyDescent="0.3">
      <c r="A1780" s="106" t="s">
        <v>1000</v>
      </c>
      <c r="B1780" s="514"/>
      <c r="C1780" s="1097"/>
      <c r="D1780" s="1097"/>
      <c r="E1780" s="1097"/>
      <c r="F1780" s="1097"/>
      <c r="G1780" s="772"/>
      <c r="H1780" s="772"/>
      <c r="I1780" s="772"/>
      <c r="J1780" s="772"/>
      <c r="K1780" s="1097"/>
      <c r="L1780" s="772"/>
      <c r="M1780" s="772"/>
      <c r="N1780" s="772"/>
      <c r="O1780" s="772"/>
      <c r="P1780" s="1097"/>
      <c r="Q1780" s="772"/>
      <c r="R1780" s="772"/>
      <c r="S1780" s="772"/>
      <c r="T1780" s="772"/>
      <c r="U1780" s="1097"/>
      <c r="V1780" s="772"/>
      <c r="W1780" s="772"/>
      <c r="X1780" s="772"/>
      <c r="Y1780" s="772"/>
      <c r="Z1780" s="1097"/>
      <c r="AA1780" s="772"/>
      <c r="AB1780" s="772"/>
      <c r="AC1780" s="772"/>
      <c r="AD1780" s="772"/>
      <c r="AE1780" s="1097"/>
      <c r="AF1780" s="772"/>
      <c r="AG1780" s="772"/>
      <c r="AH1780" s="772"/>
      <c r="AI1780" s="772"/>
      <c r="AJ1780" s="1097"/>
      <c r="AK1780" s="772"/>
      <c r="AL1780" s="772"/>
      <c r="AM1780" s="772"/>
      <c r="AN1780" s="772"/>
      <c r="AO1780" s="1097"/>
      <c r="AP1780" s="772"/>
      <c r="AQ1780" s="772"/>
      <c r="AR1780" s="772"/>
      <c r="AS1780" s="772"/>
      <c r="AT1780" s="1097">
        <f>AT1779+AT1767+AT1755</f>
      </c>
      <c r="AU1780" s="772"/>
      <c r="AV1780" s="772"/>
      <c r="AW1780" s="772"/>
      <c r="AX1780" s="772"/>
      <c r="AY1780" s="1097">
        <f>AY1779+AY1767+AY1755</f>
      </c>
      <c r="AZ1780" s="772"/>
      <c r="BA1780" s="772"/>
      <c r="BB1780" s="772"/>
      <c r="BC1780" s="772"/>
      <c r="BD1780" s="1097">
        <f>BD1779+BD1767+BD1755</f>
      </c>
      <c r="BE1780" s="772"/>
      <c r="BF1780" s="772"/>
      <c r="BG1780" s="772"/>
      <c r="BH1780" s="772"/>
      <c r="BI1780" s="1097">
        <f>BI1779+BI1767+BI1755</f>
      </c>
      <c r="BJ1780" s="772"/>
      <c r="BK1780" s="772"/>
      <c r="BL1780" s="772"/>
      <c r="BM1780" s="772"/>
      <c r="BN1780" s="1097">
        <f>BN1779+BN1767+BN1755</f>
      </c>
      <c r="BO1780" s="772"/>
      <c r="BP1780" s="772"/>
      <c r="BQ1780" s="772"/>
      <c r="BR1780" s="772"/>
      <c r="BS1780" s="1097"/>
      <c r="BT1780" s="838"/>
      <c r="BU1780" s="772"/>
      <c r="BV1780" s="772"/>
      <c r="BW1780" s="772"/>
      <c r="BX1780" s="1097"/>
      <c r="BY1780" s="772"/>
      <c r="BZ1780" s="772"/>
      <c r="CA1780" s="772"/>
      <c r="CB1780" s="772"/>
      <c r="CC1780" s="1097"/>
      <c r="CD1780" s="1097"/>
      <c r="CE1780" s="1097"/>
      <c r="CF1780" s="1097"/>
      <c r="CG1780" s="348"/>
    </row>
    <row r="1781" spans="1:85" s="611" customFormat="1" x14ac:dyDescent="0.3">
      <c r="A1781" s="224" t="s">
        <v>999</v>
      </c>
      <c r="B1781" s="513"/>
      <c r="C1781" s="198"/>
      <c r="D1781" s="198"/>
      <c r="E1781" s="198"/>
      <c r="F1781" s="198"/>
      <c r="G1781" s="194"/>
      <c r="H1781" s="194"/>
      <c r="I1781" s="194"/>
      <c r="J1781" s="194"/>
      <c r="K1781" s="198"/>
      <c r="L1781" s="194"/>
      <c r="M1781" s="194"/>
      <c r="N1781" s="194"/>
      <c r="O1781" s="194"/>
      <c r="P1781" s="198"/>
      <c r="Q1781" s="194"/>
      <c r="R1781" s="194"/>
      <c r="S1781" s="194"/>
      <c r="T1781" s="194"/>
      <c r="U1781" s="198"/>
      <c r="V1781" s="194"/>
      <c r="W1781" s="194"/>
      <c r="X1781" s="194"/>
      <c r="Y1781" s="194"/>
      <c r="Z1781" s="198"/>
      <c r="AA1781" s="194"/>
      <c r="AB1781" s="194"/>
      <c r="AC1781" s="194"/>
      <c r="AD1781" s="194"/>
      <c r="AE1781" s="198"/>
      <c r="AF1781" s="194"/>
      <c r="AG1781" s="194"/>
      <c r="AH1781" s="194"/>
      <c r="AI1781" s="194"/>
      <c r="AJ1781" s="198"/>
      <c r="AK1781" s="194"/>
      <c r="AL1781" s="194"/>
      <c r="AM1781" s="194"/>
      <c r="AN1781" s="194"/>
      <c r="AO1781" s="198"/>
      <c r="AP1781" s="194"/>
      <c r="AQ1781" s="194"/>
      <c r="AR1781" s="194"/>
      <c r="AS1781" s="194"/>
      <c r="AT1781" s="198">
        <f t="shared" ref="AT1781:BI1781" si="10">AT14</f>
      </c>
      <c r="AU1781" s="194">
        <f t="shared" si="10"/>
      </c>
      <c r="AV1781" s="194">
        <f t="shared" si="10"/>
      </c>
      <c r="AW1781" s="194">
        <f t="shared" si="10"/>
      </c>
      <c r="AX1781" s="194">
        <f t="shared" si="10"/>
      </c>
      <c r="AY1781" s="198">
        <f t="shared" si="10"/>
      </c>
      <c r="AZ1781" s="194">
        <f t="shared" si="10"/>
      </c>
      <c r="BA1781" s="194">
        <f t="shared" si="10"/>
      </c>
      <c r="BB1781" s="194">
        <f t="shared" si="10"/>
      </c>
      <c r="BC1781" s="194">
        <f t="shared" si="10"/>
      </c>
      <c r="BD1781" s="198">
        <f t="shared" si="10"/>
      </c>
      <c r="BE1781" s="194">
        <f t="shared" si="10"/>
      </c>
      <c r="BF1781" s="194">
        <f t="shared" si="10"/>
      </c>
      <c r="BG1781" s="194">
        <f t="shared" si="10"/>
      </c>
      <c r="BH1781" s="194">
        <f t="shared" si="10"/>
      </c>
      <c r="BI1781" s="198">
        <f t="shared" si="10"/>
      </c>
      <c r="BJ1781" s="194">
        <f t="shared" ref="BJ1781:BO1781" si="11">BJ14</f>
      </c>
      <c r="BK1781" s="194">
        <f t="shared" si="11"/>
      </c>
      <c r="BL1781" s="194">
        <f t="shared" si="11"/>
      </c>
      <c r="BM1781" s="194">
        <f t="shared" si="11"/>
      </c>
      <c r="BN1781" s="198">
        <f t="shared" si="11"/>
      </c>
      <c r="BO1781" s="194">
        <f t="shared" si="11"/>
      </c>
      <c r="BP1781" s="194">
        <f>BP14</f>
      </c>
      <c r="BQ1781" s="194">
        <f>BQ14</f>
      </c>
      <c r="BR1781" s="194">
        <f>BR14</f>
      </c>
      <c r="BS1781" s="198">
        <f>BS14</f>
      </c>
      <c r="BT1781" s="726">
        <f>BT14</f>
      </c>
      <c r="BU1781" s="194"/>
      <c r="BV1781" s="194"/>
      <c r="BW1781" s="194"/>
      <c r="BX1781" s="198"/>
      <c r="BY1781" s="194"/>
      <c r="BZ1781" s="194"/>
      <c r="CA1781" s="194"/>
      <c r="CB1781" s="194"/>
      <c r="CC1781" s="198"/>
      <c r="CD1781" s="198"/>
      <c r="CE1781" s="198"/>
      <c r="CF1781" s="198"/>
      <c r="CG1781" s="347"/>
    </row>
    <row r="1782" spans="1:85" s="611" customFormat="1" x14ac:dyDescent="0.3">
      <c r="A1782" s="224"/>
      <c r="B1782" s="513"/>
      <c r="C1782" s="198"/>
      <c r="D1782" s="198"/>
      <c r="E1782" s="198"/>
      <c r="F1782" s="198"/>
      <c r="G1782" s="194"/>
      <c r="H1782" s="194"/>
      <c r="I1782" s="194"/>
      <c r="J1782" s="194"/>
      <c r="K1782" s="198"/>
      <c r="L1782" s="194"/>
      <c r="M1782" s="194"/>
      <c r="N1782" s="194"/>
      <c r="O1782" s="194"/>
      <c r="P1782" s="198"/>
      <c r="Q1782" s="194"/>
      <c r="R1782" s="194"/>
      <c r="S1782" s="194"/>
      <c r="T1782" s="194"/>
      <c r="U1782" s="198"/>
      <c r="V1782" s="194"/>
      <c r="W1782" s="194"/>
      <c r="X1782" s="194"/>
      <c r="Y1782" s="194"/>
      <c r="Z1782" s="198"/>
      <c r="AA1782" s="194"/>
      <c r="AB1782" s="194"/>
      <c r="AC1782" s="194"/>
      <c r="AD1782" s="194"/>
      <c r="AE1782" s="198"/>
      <c r="AF1782" s="194"/>
      <c r="AG1782" s="194"/>
      <c r="AH1782" s="194"/>
      <c r="AI1782" s="194"/>
      <c r="AJ1782" s="198"/>
      <c r="AK1782" s="194"/>
      <c r="AL1782" s="194"/>
      <c r="AM1782" s="194"/>
      <c r="AN1782" s="194"/>
      <c r="AO1782" s="198"/>
      <c r="AP1782" s="194"/>
      <c r="AQ1782" s="194"/>
      <c r="AR1782" s="194"/>
      <c r="AS1782" s="194"/>
      <c r="AT1782" s="198"/>
      <c r="AU1782" s="194"/>
      <c r="AV1782" s="194"/>
      <c r="AW1782" s="194"/>
      <c r="AX1782" s="194"/>
      <c r="AY1782" s="198"/>
      <c r="AZ1782" s="194"/>
      <c r="BA1782" s="194"/>
      <c r="BB1782" s="194"/>
      <c r="BC1782" s="194"/>
      <c r="BD1782" s="198"/>
      <c r="BE1782" s="194"/>
      <c r="BF1782" s="194"/>
      <c r="BG1782" s="194"/>
      <c r="BH1782" s="194"/>
      <c r="BI1782" s="198"/>
      <c r="BJ1782" s="194"/>
      <c r="BK1782" s="194"/>
      <c r="BL1782" s="194"/>
      <c r="BM1782" s="194"/>
      <c r="BN1782" s="198"/>
      <c r="BO1782" s="194"/>
      <c r="BP1782" s="194"/>
      <c r="BQ1782" s="194"/>
      <c r="BR1782" s="194"/>
      <c r="BS1782" s="198"/>
      <c r="BT1782" s="726"/>
      <c r="BU1782" s="194"/>
      <c r="BV1782" s="194"/>
      <c r="BW1782" s="194"/>
      <c r="BX1782" s="198"/>
      <c r="BY1782" s="194"/>
      <c r="BZ1782" s="194"/>
      <c r="CA1782" s="194"/>
      <c r="CB1782" s="194"/>
      <c r="CC1782" s="198"/>
      <c r="CD1782" s="198"/>
      <c r="CE1782" s="198"/>
      <c r="CF1782" s="198"/>
      <c r="CG1782" s="347"/>
    </row>
    <row r="1783" spans="1:85" s="614" customFormat="1" x14ac:dyDescent="0.3">
      <c r="A1783" s="776" t="s">
        <v>2408</v>
      </c>
      <c r="B1783" s="776"/>
      <c r="C1783" s="776"/>
      <c r="D1783" s="776"/>
      <c r="E1783" s="776"/>
      <c r="F1783" s="776"/>
      <c r="G1783" s="776"/>
      <c r="H1783" s="776"/>
      <c r="I1783" s="776"/>
      <c r="J1783" s="776"/>
      <c r="K1783" s="776"/>
      <c r="L1783" s="776"/>
      <c r="M1783" s="776"/>
      <c r="N1783" s="776"/>
      <c r="O1783" s="776"/>
      <c r="P1783" s="776"/>
      <c r="Q1783" s="776"/>
      <c r="R1783" s="776"/>
      <c r="S1783" s="776"/>
      <c r="T1783" s="776"/>
      <c r="U1783" s="776"/>
      <c r="V1783" s="776"/>
      <c r="W1783" s="776"/>
      <c r="X1783" s="776"/>
      <c r="Y1783" s="776"/>
      <c r="Z1783" s="776"/>
      <c r="AA1783" s="776"/>
      <c r="AB1783" s="776"/>
      <c r="AC1783" s="776"/>
      <c r="AD1783" s="776"/>
      <c r="AE1783" s="776"/>
      <c r="AF1783" s="776"/>
      <c r="AG1783" s="776"/>
      <c r="AH1783" s="776"/>
      <c r="AI1783" s="776"/>
      <c r="AJ1783" s="776"/>
      <c r="AK1783" s="776"/>
      <c r="AL1783" s="776"/>
      <c r="AM1783" s="776"/>
      <c r="AN1783" s="776"/>
      <c r="AO1783" s="776"/>
      <c r="AP1783" s="776"/>
      <c r="AQ1783" s="776"/>
      <c r="AR1783" s="776"/>
      <c r="AS1783" s="776"/>
      <c r="AT1783" s="776"/>
      <c r="AU1783" s="776"/>
      <c r="AV1783" s="776"/>
      <c r="AW1783" s="776"/>
      <c r="AX1783" s="776"/>
      <c r="AY1783" s="776"/>
      <c r="AZ1783" s="776"/>
      <c r="BA1783" s="776"/>
      <c r="BB1783" s="776"/>
      <c r="BC1783" s="776"/>
      <c r="BD1783" s="776"/>
      <c r="BE1783" s="776"/>
      <c r="BF1783" s="776"/>
      <c r="BG1783" s="776"/>
      <c r="BH1783" s="776"/>
      <c r="BI1783" s="776"/>
      <c r="BJ1783" s="776"/>
      <c r="BK1783" s="776"/>
      <c r="BL1783" s="776"/>
      <c r="BM1783" s="776"/>
      <c r="BN1783" s="776"/>
      <c r="BO1783" s="776"/>
      <c r="BP1783" s="776"/>
      <c r="BQ1783" s="776"/>
      <c r="BR1783" s="776"/>
      <c r="BS1783" s="776"/>
      <c r="BT1783" s="777"/>
      <c r="BU1783" s="776"/>
      <c r="BV1783" s="776"/>
      <c r="BW1783" s="776"/>
      <c r="BX1783" s="776"/>
      <c r="BY1783" s="776"/>
      <c r="BZ1783" s="776"/>
      <c r="CA1783" s="776"/>
      <c r="CB1783" s="776"/>
      <c r="CC1783" s="776"/>
      <c r="CD1783" s="776"/>
      <c r="CE1783" s="776"/>
      <c r="CF1783" s="776"/>
      <c r="CG1783" s="349"/>
    </row>
    <row r="1784" spans="1:85" s="611" customFormat="1" x14ac:dyDescent="0.3">
      <c r="A1784" s="224" t="s">
        <v>2396</v>
      </c>
      <c r="B1784" s="513"/>
      <c r="C1784" s="198"/>
      <c r="D1784" s="198"/>
      <c r="E1784" s="198"/>
      <c r="F1784" s="198"/>
      <c r="G1784" s="194"/>
      <c r="H1784" s="194"/>
      <c r="I1784" s="194"/>
      <c r="J1784" s="194"/>
      <c r="K1784" s="198"/>
      <c r="L1784" s="194"/>
      <c r="M1784" s="194"/>
      <c r="N1784" s="194"/>
      <c r="O1784" s="194"/>
      <c r="P1784" s="198"/>
      <c r="Q1784" s="194"/>
      <c r="R1784" s="194"/>
      <c r="S1784" s="194"/>
      <c r="T1784" s="194"/>
      <c r="U1784" s="198"/>
      <c r="V1784" s="194"/>
      <c r="W1784" s="194"/>
      <c r="X1784" s="194"/>
      <c r="Y1784" s="194"/>
      <c r="Z1784" s="198"/>
      <c r="AA1784" s="194"/>
      <c r="AB1784" s="194"/>
      <c r="AC1784" s="194"/>
      <c r="AD1784" s="194"/>
      <c r="AE1784" s="198"/>
      <c r="AF1784" s="194"/>
      <c r="AG1784" s="194"/>
      <c r="AH1784" s="194"/>
      <c r="AI1784" s="194"/>
      <c r="AJ1784" s="198"/>
      <c r="AK1784" s="194"/>
      <c r="AL1784" s="194"/>
      <c r="AM1784" s="194"/>
      <c r="AN1784" s="194"/>
      <c r="AO1784" s="198"/>
      <c r="AP1784" s="194"/>
      <c r="AQ1784" s="194"/>
      <c r="AR1784" s="194"/>
      <c r="AS1784" s="194"/>
      <c r="AT1784" s="198"/>
      <c r="AU1784" s="194"/>
      <c r="AV1784" s="194"/>
      <c r="AW1784" s="194"/>
      <c r="AX1784" s="194"/>
      <c r="AY1784" s="198"/>
      <c r="AZ1784" s="194"/>
      <c r="BA1784" s="194"/>
      <c r="BB1784" s="194"/>
      <c r="BC1784" s="194"/>
      <c r="BD1784" s="198"/>
      <c r="BE1784" s="194"/>
      <c r="BF1784" s="194"/>
      <c r="BG1784" s="194"/>
      <c r="BH1784" s="194"/>
      <c r="BI1784" s="198"/>
      <c r="BJ1784" s="194"/>
      <c r="BK1784" s="194"/>
      <c r="BL1784" s="194"/>
      <c r="BM1784" s="194"/>
      <c r="BN1784" s="1131">
        <v>6</v>
      </c>
      <c r="BO1784" s="194"/>
      <c r="BP1784" s="194"/>
      <c r="BQ1784" s="194"/>
      <c r="BR1784" s="194"/>
      <c r="BS1784" s="198"/>
      <c r="BT1784" s="726"/>
      <c r="BU1784" s="194"/>
      <c r="BV1784" s="194"/>
      <c r="BW1784" s="194"/>
      <c r="BX1784" s="198"/>
      <c r="BY1784" s="194"/>
      <c r="BZ1784" s="194"/>
      <c r="CA1784" s="194"/>
      <c r="CB1784" s="194"/>
      <c r="CC1784" s="198"/>
      <c r="CD1784" s="198"/>
      <c r="CE1784" s="198"/>
      <c r="CF1784" s="198"/>
      <c r="CG1784" s="347"/>
    </row>
    <row r="1785" spans="1:85" s="611" customFormat="1" x14ac:dyDescent="0.3">
      <c r="A1785" s="224" t="s">
        <v>2397</v>
      </c>
      <c r="B1785" s="513"/>
      <c r="C1785" s="198"/>
      <c r="D1785" s="198"/>
      <c r="E1785" s="198"/>
      <c r="F1785" s="198"/>
      <c r="G1785" s="194"/>
      <c r="H1785" s="194"/>
      <c r="I1785" s="194"/>
      <c r="J1785" s="194"/>
      <c r="K1785" s="198"/>
      <c r="L1785" s="194"/>
      <c r="M1785" s="194"/>
      <c r="N1785" s="194"/>
      <c r="O1785" s="194"/>
      <c r="P1785" s="198"/>
      <c r="Q1785" s="194"/>
      <c r="R1785" s="194"/>
      <c r="S1785" s="194"/>
      <c r="T1785" s="194"/>
      <c r="U1785" s="198"/>
      <c r="V1785" s="194"/>
      <c r="W1785" s="194"/>
      <c r="X1785" s="194"/>
      <c r="Y1785" s="194"/>
      <c r="Z1785" s="198"/>
      <c r="AA1785" s="194"/>
      <c r="AB1785" s="194"/>
      <c r="AC1785" s="194"/>
      <c r="AD1785" s="194"/>
      <c r="AE1785" s="198"/>
      <c r="AF1785" s="194"/>
      <c r="AG1785" s="194"/>
      <c r="AH1785" s="194"/>
      <c r="AI1785" s="194"/>
      <c r="AJ1785" s="198"/>
      <c r="AK1785" s="194"/>
      <c r="AL1785" s="194"/>
      <c r="AM1785" s="194"/>
      <c r="AN1785" s="194"/>
      <c r="AO1785" s="198"/>
      <c r="AP1785" s="194"/>
      <c r="AQ1785" s="194"/>
      <c r="AR1785" s="194"/>
      <c r="AS1785" s="194"/>
      <c r="AT1785" s="198"/>
      <c r="AU1785" s="194"/>
      <c r="AV1785" s="194"/>
      <c r="AW1785" s="194"/>
      <c r="AX1785" s="194"/>
      <c r="AY1785" s="198"/>
      <c r="AZ1785" s="194"/>
      <c r="BA1785" s="194"/>
      <c r="BB1785" s="194"/>
      <c r="BC1785" s="194"/>
      <c r="BD1785" s="198"/>
      <c r="BE1785" s="194"/>
      <c r="BF1785" s="194"/>
      <c r="BG1785" s="194"/>
      <c r="BH1785" s="194"/>
      <c r="BI1785" s="198"/>
      <c r="BJ1785" s="194"/>
      <c r="BK1785" s="194"/>
      <c r="BL1785" s="194"/>
      <c r="BM1785" s="194"/>
      <c r="BN1785" s="1131">
        <v>3</v>
      </c>
      <c r="BO1785" s="194"/>
      <c r="BP1785" s="194"/>
      <c r="BQ1785" s="194"/>
      <c r="BR1785" s="194"/>
      <c r="BS1785" s="198"/>
      <c r="BT1785" s="726"/>
      <c r="BU1785" s="194"/>
      <c r="BV1785" s="194"/>
      <c r="BW1785" s="194"/>
      <c r="BX1785" s="198"/>
      <c r="BY1785" s="194"/>
      <c r="BZ1785" s="194"/>
      <c r="CA1785" s="194"/>
      <c r="CB1785" s="194"/>
      <c r="CC1785" s="198"/>
      <c r="CD1785" s="198"/>
      <c r="CE1785" s="198"/>
      <c r="CF1785" s="198"/>
      <c r="CG1785" s="347"/>
    </row>
    <row r="1786" spans="1:85" s="611" customFormat="1" x14ac:dyDescent="0.3">
      <c r="A1786" s="224"/>
      <c r="B1786" s="513"/>
      <c r="C1786" s="198"/>
      <c r="D1786" s="198"/>
      <c r="E1786" s="198"/>
      <c r="F1786" s="198"/>
      <c r="G1786" s="194"/>
      <c r="H1786" s="194"/>
      <c r="I1786" s="194"/>
      <c r="J1786" s="194"/>
      <c r="K1786" s="198"/>
      <c r="L1786" s="194"/>
      <c r="M1786" s="194"/>
      <c r="N1786" s="194"/>
      <c r="O1786" s="194"/>
      <c r="P1786" s="198"/>
      <c r="Q1786" s="194"/>
      <c r="R1786" s="194"/>
      <c r="S1786" s="194"/>
      <c r="T1786" s="194"/>
      <c r="U1786" s="198"/>
      <c r="V1786" s="194"/>
      <c r="W1786" s="194"/>
      <c r="X1786" s="194"/>
      <c r="Y1786" s="194"/>
      <c r="Z1786" s="198"/>
      <c r="AA1786" s="194"/>
      <c r="AB1786" s="194"/>
      <c r="AC1786" s="194"/>
      <c r="AD1786" s="194"/>
      <c r="AE1786" s="198"/>
      <c r="AF1786" s="194"/>
      <c r="AG1786" s="194"/>
      <c r="AH1786" s="194"/>
      <c r="AI1786" s="194"/>
      <c r="AJ1786" s="198"/>
      <c r="AK1786" s="194"/>
      <c r="AL1786" s="194"/>
      <c r="AM1786" s="194"/>
      <c r="AN1786" s="194"/>
      <c r="AO1786" s="198"/>
      <c r="AP1786" s="194"/>
      <c r="AQ1786" s="194"/>
      <c r="AR1786" s="194"/>
      <c r="AS1786" s="194"/>
      <c r="AT1786" s="198"/>
      <c r="AU1786" s="194"/>
      <c r="AV1786" s="194"/>
      <c r="AW1786" s="194"/>
      <c r="AX1786" s="194"/>
      <c r="AY1786" s="198"/>
      <c r="AZ1786" s="194"/>
      <c r="BA1786" s="194"/>
      <c r="BB1786" s="194"/>
      <c r="BC1786" s="194"/>
      <c r="BD1786" s="198"/>
      <c r="BE1786" s="194"/>
      <c r="BF1786" s="194"/>
      <c r="BG1786" s="194"/>
      <c r="BH1786" s="194"/>
      <c r="BI1786" s="198"/>
      <c r="BJ1786" s="194"/>
      <c r="BK1786" s="194"/>
      <c r="BL1786" s="194"/>
      <c r="BM1786" s="194"/>
      <c r="BN1786" s="198"/>
      <c r="BO1786" s="194"/>
      <c r="BP1786" s="194"/>
      <c r="BQ1786" s="194"/>
      <c r="BR1786" s="194"/>
      <c r="BS1786" s="198"/>
      <c r="BT1786" s="726"/>
      <c r="BU1786" s="194"/>
      <c r="BV1786" s="194"/>
      <c r="BW1786" s="194"/>
      <c r="BX1786" s="198"/>
      <c r="BY1786" s="194"/>
      <c r="BZ1786" s="194"/>
      <c r="CA1786" s="194"/>
      <c r="CB1786" s="194"/>
      <c r="CC1786" s="198"/>
      <c r="CD1786" s="198"/>
      <c r="CE1786" s="198"/>
      <c r="CF1786" s="198"/>
      <c r="CG1786" s="347"/>
    </row>
    <row r="1787" spans="1:85" s="614" customFormat="1" x14ac:dyDescent="0.3">
      <c r="A1787" s="776" t="s">
        <v>2398</v>
      </c>
      <c r="B1787" s="776"/>
      <c r="C1787" s="776"/>
      <c r="D1787" s="776"/>
      <c r="E1787" s="776"/>
      <c r="F1787" s="776"/>
      <c r="G1787" s="776"/>
      <c r="H1787" s="776"/>
      <c r="I1787" s="776"/>
      <c r="J1787" s="776"/>
      <c r="K1787" s="776"/>
      <c r="L1787" s="776"/>
      <c r="M1787" s="776"/>
      <c r="N1787" s="776"/>
      <c r="O1787" s="776"/>
      <c r="P1787" s="776"/>
      <c r="Q1787" s="776"/>
      <c r="R1787" s="776"/>
      <c r="S1787" s="776"/>
      <c r="T1787" s="776"/>
      <c r="U1787" s="776"/>
      <c r="V1787" s="776"/>
      <c r="W1787" s="776"/>
      <c r="X1787" s="776"/>
      <c r="Y1787" s="776"/>
      <c r="Z1787" s="776"/>
      <c r="AA1787" s="776"/>
      <c r="AB1787" s="776"/>
      <c r="AC1787" s="776"/>
      <c r="AD1787" s="776"/>
      <c r="AE1787" s="776"/>
      <c r="AF1787" s="776"/>
      <c r="AG1787" s="776"/>
      <c r="AH1787" s="776"/>
      <c r="AI1787" s="776"/>
      <c r="AJ1787" s="776"/>
      <c r="AK1787" s="776"/>
      <c r="AL1787" s="776"/>
      <c r="AM1787" s="776"/>
      <c r="AN1787" s="776"/>
      <c r="AO1787" s="776"/>
      <c r="AP1787" s="776"/>
      <c r="AQ1787" s="776"/>
      <c r="AR1787" s="776"/>
      <c r="AS1787" s="776"/>
      <c r="AT1787" s="776"/>
      <c r="AU1787" s="776"/>
      <c r="AV1787" s="776"/>
      <c r="AW1787" s="776"/>
      <c r="AX1787" s="776"/>
      <c r="AY1787" s="776"/>
      <c r="AZ1787" s="776"/>
      <c r="BA1787" s="776"/>
      <c r="BB1787" s="776"/>
      <c r="BC1787" s="776"/>
      <c r="BD1787" s="776"/>
      <c r="BE1787" s="776"/>
      <c r="BF1787" s="776"/>
      <c r="BG1787" s="776"/>
      <c r="BH1787" s="776"/>
      <c r="BI1787" s="776"/>
      <c r="BJ1787" s="776"/>
      <c r="BK1787" s="776"/>
      <c r="BL1787" s="776"/>
      <c r="BM1787" s="776"/>
      <c r="BN1787" s="776"/>
      <c r="BO1787" s="776"/>
      <c r="BP1787" s="776"/>
      <c r="BQ1787" s="776"/>
      <c r="BR1787" s="776"/>
      <c r="BS1787" s="776"/>
      <c r="BT1787" s="777"/>
      <c r="BU1787" s="776"/>
      <c r="BV1787" s="776"/>
      <c r="BW1787" s="776"/>
      <c r="BX1787" s="776"/>
      <c r="BY1787" s="776"/>
      <c r="BZ1787" s="776"/>
      <c r="CA1787" s="776"/>
      <c r="CB1787" s="776"/>
      <c r="CC1787" s="776"/>
      <c r="CD1787" s="776"/>
      <c r="CE1787" s="776"/>
      <c r="CF1787" s="776"/>
      <c r="CG1787" s="349"/>
    </row>
    <row r="1788" spans="1:85" s="613" customFormat="1" x14ac:dyDescent="0.3">
      <c r="A1788" s="107" t="s">
        <v>2399</v>
      </c>
      <c r="B1788" s="523"/>
      <c r="C1788" s="78"/>
      <c r="D1788" s="78"/>
      <c r="E1788" s="78"/>
      <c r="F1788" s="78"/>
      <c r="G1788" s="774"/>
      <c r="H1788" s="774"/>
      <c r="I1788" s="774"/>
      <c r="J1788" s="774"/>
      <c r="K1788" s="78"/>
      <c r="L1788" s="774"/>
      <c r="M1788" s="774"/>
      <c r="N1788" s="774"/>
      <c r="O1788" s="774"/>
      <c r="P1788" s="78"/>
      <c r="Q1788" s="774"/>
      <c r="R1788" s="774"/>
      <c r="S1788" s="774"/>
      <c r="T1788" s="774"/>
      <c r="U1788" s="78"/>
      <c r="V1788" s="774"/>
      <c r="W1788" s="774"/>
      <c r="X1788" s="774"/>
      <c r="Y1788" s="774"/>
      <c r="Z1788" s="78"/>
      <c r="AA1788" s="774"/>
      <c r="AB1788" s="774"/>
      <c r="AC1788" s="774"/>
      <c r="AD1788" s="774"/>
      <c r="AE1788" s="78"/>
      <c r="AF1788" s="774"/>
      <c r="AG1788" s="774"/>
      <c r="AH1788" s="774"/>
      <c r="AI1788" s="774"/>
      <c r="AJ1788" s="78"/>
      <c r="AK1788" s="774"/>
      <c r="AL1788" s="774"/>
      <c r="AM1788" s="774"/>
      <c r="AN1788" s="774"/>
      <c r="AO1788" s="78"/>
      <c r="AP1788" s="774"/>
      <c r="AQ1788" s="774"/>
      <c r="AR1788" s="774"/>
      <c r="AS1788" s="774"/>
      <c r="AT1788" s="78"/>
      <c r="AU1788" s="774"/>
      <c r="AV1788" s="774"/>
      <c r="AW1788" s="774"/>
      <c r="AX1788" s="774"/>
      <c r="AY1788" s="78"/>
      <c r="AZ1788" s="774"/>
      <c r="BA1788" s="774"/>
      <c r="BB1788" s="774"/>
      <c r="BC1788" s="774"/>
      <c r="BD1788" s="78"/>
      <c r="BE1788" s="774"/>
      <c r="BF1788" s="774"/>
      <c r="BG1788" s="774"/>
      <c r="BH1788" s="774"/>
      <c r="BI1788" s="1119">
        <v>34.78</v>
      </c>
      <c r="BJ1788" s="774"/>
      <c r="BK1788" s="774"/>
      <c r="BL1788" s="774"/>
      <c r="BM1788" s="774"/>
      <c r="BN1788" s="1119">
        <v>37.22</v>
      </c>
      <c r="BO1788" s="774"/>
      <c r="BP1788" s="774"/>
      <c r="BQ1788" s="774"/>
      <c r="BR1788" s="774"/>
      <c r="BS1788" s="78"/>
      <c r="BT1788" s="775"/>
      <c r="BU1788" s="774"/>
      <c r="BV1788" s="774"/>
      <c r="BW1788" s="774"/>
      <c r="BX1788" s="78"/>
      <c r="BY1788" s="774"/>
      <c r="BZ1788" s="774"/>
      <c r="CA1788" s="774"/>
      <c r="CB1788" s="774"/>
      <c r="CC1788" s="78"/>
      <c r="CD1788" s="78"/>
      <c r="CE1788" s="78"/>
      <c r="CF1788" s="78"/>
      <c r="CG1788" s="532"/>
    </row>
    <row r="1789" spans="1:85" s="613" customFormat="1" x14ac:dyDescent="0.3">
      <c r="A1789" s="107" t="s">
        <v>2400</v>
      </c>
      <c r="B1789" s="523"/>
      <c r="C1789" s="78"/>
      <c r="D1789" s="78"/>
      <c r="E1789" s="78"/>
      <c r="F1789" s="78"/>
      <c r="G1789" s="774"/>
      <c r="H1789" s="774"/>
      <c r="I1789" s="774"/>
      <c r="J1789" s="774"/>
      <c r="K1789" s="78"/>
      <c r="L1789" s="774"/>
      <c r="M1789" s="774"/>
      <c r="N1789" s="774"/>
      <c r="O1789" s="774"/>
      <c r="P1789" s="78"/>
      <c r="Q1789" s="774"/>
      <c r="R1789" s="774"/>
      <c r="S1789" s="774"/>
      <c r="T1789" s="774"/>
      <c r="U1789" s="78"/>
      <c r="V1789" s="774"/>
      <c r="W1789" s="774"/>
      <c r="X1789" s="774"/>
      <c r="Y1789" s="774"/>
      <c r="Z1789" s="78"/>
      <c r="AA1789" s="774"/>
      <c r="AB1789" s="774"/>
      <c r="AC1789" s="774"/>
      <c r="AD1789" s="774"/>
      <c r="AE1789" s="78"/>
      <c r="AF1789" s="774"/>
      <c r="AG1789" s="774"/>
      <c r="AH1789" s="774"/>
      <c r="AI1789" s="774"/>
      <c r="AJ1789" s="78"/>
      <c r="AK1789" s="774"/>
      <c r="AL1789" s="774"/>
      <c r="AM1789" s="774"/>
      <c r="AN1789" s="774"/>
      <c r="AO1789" s="78"/>
      <c r="AP1789" s="774"/>
      <c r="AQ1789" s="774"/>
      <c r="AR1789" s="774"/>
      <c r="AS1789" s="774"/>
      <c r="AT1789" s="78"/>
      <c r="AU1789" s="774"/>
      <c r="AV1789" s="774"/>
      <c r="AW1789" s="774"/>
      <c r="AX1789" s="774"/>
      <c r="AY1789" s="78"/>
      <c r="AZ1789" s="774"/>
      <c r="BA1789" s="774"/>
      <c r="BB1789" s="774"/>
      <c r="BC1789" s="774"/>
      <c r="BD1789" s="78"/>
      <c r="BE1789" s="774"/>
      <c r="BF1789" s="774"/>
      <c r="BG1789" s="774"/>
      <c r="BH1789" s="774"/>
      <c r="BI1789" s="1119">
        <v>34.32</v>
      </c>
      <c r="BJ1789" s="774"/>
      <c r="BK1789" s="774"/>
      <c r="BL1789" s="774"/>
      <c r="BM1789" s="774"/>
      <c r="BN1789" s="1119">
        <v>38.72</v>
      </c>
      <c r="BO1789" s="774"/>
      <c r="BP1789" s="774"/>
      <c r="BQ1789" s="774"/>
      <c r="BR1789" s="774"/>
      <c r="BS1789" s="78"/>
      <c r="BT1789" s="775"/>
      <c r="BU1789" s="774"/>
      <c r="BV1789" s="774"/>
      <c r="BW1789" s="774"/>
      <c r="BX1789" s="78"/>
      <c r="BY1789" s="774"/>
      <c r="BZ1789" s="774"/>
      <c r="CA1789" s="774"/>
      <c r="CB1789" s="774"/>
      <c r="CC1789" s="78"/>
      <c r="CD1789" s="78"/>
      <c r="CE1789" s="78"/>
      <c r="CF1789" s="78"/>
      <c r="CG1789" s="532"/>
    </row>
    <row r="1790" spans="1:85" s="606" customFormat="1" x14ac:dyDescent="0.3">
      <c r="A1790" s="116" t="s">
        <v>2401</v>
      </c>
      <c r="B1790" s="529"/>
      <c r="C1790" s="83"/>
      <c r="D1790" s="83"/>
      <c r="E1790" s="83"/>
      <c r="F1790" s="83"/>
      <c r="G1790" s="86"/>
      <c r="H1790" s="86"/>
      <c r="I1790" s="86"/>
      <c r="J1790" s="86"/>
      <c r="K1790" s="83"/>
      <c r="L1790" s="86"/>
      <c r="M1790" s="86"/>
      <c r="N1790" s="86"/>
      <c r="O1790" s="86"/>
      <c r="P1790" s="83"/>
      <c r="Q1790" s="86"/>
      <c r="R1790" s="86"/>
      <c r="S1790" s="86"/>
      <c r="T1790" s="86"/>
      <c r="U1790" s="83"/>
      <c r="V1790" s="86"/>
      <c r="W1790" s="86"/>
      <c r="X1790" s="86"/>
      <c r="Y1790" s="86"/>
      <c r="Z1790" s="83"/>
      <c r="AA1790" s="86"/>
      <c r="AB1790" s="86"/>
      <c r="AC1790" s="86"/>
      <c r="AD1790" s="86"/>
      <c r="AE1790" s="83"/>
      <c r="AF1790" s="86"/>
      <c r="AG1790" s="86"/>
      <c r="AH1790" s="86"/>
      <c r="AI1790" s="86"/>
      <c r="AJ1790" s="83"/>
      <c r="AK1790" s="86"/>
      <c r="AL1790" s="86"/>
      <c r="AM1790" s="86"/>
      <c r="AN1790" s="86"/>
      <c r="AO1790" s="83"/>
      <c r="AP1790" s="86"/>
      <c r="AQ1790" s="86"/>
      <c r="AR1790" s="86"/>
      <c r="AS1790" s="86"/>
      <c r="AT1790" s="83"/>
      <c r="AU1790" s="86"/>
      <c r="AV1790" s="86"/>
      <c r="AW1790" s="86"/>
      <c r="AX1790" s="86"/>
      <c r="AY1790" s="83"/>
      <c r="AZ1790" s="86"/>
      <c r="BA1790" s="86"/>
      <c r="BB1790" s="86"/>
      <c r="BC1790" s="86"/>
      <c r="BD1790" s="83"/>
      <c r="BE1790" s="86"/>
      <c r="BF1790" s="86"/>
      <c r="BG1790" s="86"/>
      <c r="BH1790" s="86"/>
      <c r="BI1790" s="1132">
        <v>0.85399999999999998</v>
      </c>
      <c r="BJ1790" s="86"/>
      <c r="BK1790" s="86"/>
      <c r="BL1790" s="86"/>
      <c r="BM1790" s="86"/>
      <c r="BN1790" s="1132">
        <v>2</v>
      </c>
      <c r="BO1790" s="86"/>
      <c r="BP1790" s="86"/>
      <c r="BQ1790" s="86"/>
      <c r="BR1790" s="86"/>
      <c r="BS1790" s="83"/>
      <c r="BT1790" s="725"/>
      <c r="BU1790" s="86"/>
      <c r="BV1790" s="86"/>
      <c r="BW1790" s="86"/>
      <c r="BX1790" s="83"/>
      <c r="BY1790" s="86"/>
      <c r="BZ1790" s="86"/>
      <c r="CA1790" s="86"/>
      <c r="CB1790" s="86"/>
      <c r="CC1790" s="83"/>
      <c r="CD1790" s="83"/>
      <c r="CE1790" s="83"/>
      <c r="CF1790" s="83"/>
      <c r="CG1790" s="530"/>
    </row>
    <row r="1791" spans="1:85" s="611" customFormat="1" x14ac:dyDescent="0.3">
      <c r="A1791" s="224"/>
      <c r="B1791" s="513"/>
      <c r="C1791" s="198"/>
      <c r="D1791" s="198"/>
      <c r="E1791" s="198"/>
      <c r="F1791" s="198"/>
      <c r="G1791" s="194"/>
      <c r="H1791" s="194"/>
      <c r="I1791" s="194"/>
      <c r="J1791" s="194"/>
      <c r="K1791" s="198"/>
      <c r="L1791" s="194"/>
      <c r="M1791" s="194"/>
      <c r="N1791" s="194"/>
      <c r="O1791" s="194"/>
      <c r="P1791" s="198"/>
      <c r="Q1791" s="194"/>
      <c r="R1791" s="194"/>
      <c r="S1791" s="194"/>
      <c r="T1791" s="194"/>
      <c r="U1791" s="198"/>
      <c r="V1791" s="194"/>
      <c r="W1791" s="194"/>
      <c r="X1791" s="194"/>
      <c r="Y1791" s="194"/>
      <c r="Z1791" s="198"/>
      <c r="AA1791" s="194"/>
      <c r="AB1791" s="194"/>
      <c r="AC1791" s="194"/>
      <c r="AD1791" s="194"/>
      <c r="AE1791" s="198"/>
      <c r="AF1791" s="194"/>
      <c r="AG1791" s="194"/>
      <c r="AH1791" s="194"/>
      <c r="AI1791" s="194"/>
      <c r="AJ1791" s="198"/>
      <c r="AK1791" s="194"/>
      <c r="AL1791" s="194"/>
      <c r="AM1791" s="194"/>
      <c r="AN1791" s="194"/>
      <c r="AO1791" s="198"/>
      <c r="AP1791" s="194"/>
      <c r="AQ1791" s="194"/>
      <c r="AR1791" s="194"/>
      <c r="AS1791" s="194"/>
      <c r="AT1791" s="198"/>
      <c r="AU1791" s="194"/>
      <c r="AV1791" s="194"/>
      <c r="AW1791" s="194"/>
      <c r="AX1791" s="194"/>
      <c r="AY1791" s="198"/>
      <c r="AZ1791" s="194"/>
      <c r="BA1791" s="194"/>
      <c r="BB1791" s="194"/>
      <c r="BC1791" s="194"/>
      <c r="BD1791" s="198"/>
      <c r="BE1791" s="194"/>
      <c r="BF1791" s="194"/>
      <c r="BG1791" s="194"/>
      <c r="BH1791" s="194"/>
      <c r="BI1791" s="198"/>
      <c r="BJ1791" s="194"/>
      <c r="BK1791" s="194"/>
      <c r="BL1791" s="194"/>
      <c r="BM1791" s="194"/>
      <c r="BN1791" s="198"/>
      <c r="BO1791" s="194"/>
      <c r="BP1791" s="194"/>
      <c r="BQ1791" s="194"/>
      <c r="BR1791" s="194"/>
      <c r="BS1791" s="198"/>
      <c r="BT1791" s="726"/>
      <c r="BU1791" s="194"/>
      <c r="BV1791" s="194"/>
      <c r="BW1791" s="194"/>
      <c r="BX1791" s="198"/>
      <c r="BY1791" s="194"/>
      <c r="BZ1791" s="194"/>
      <c r="CA1791" s="194"/>
      <c r="CB1791" s="194"/>
      <c r="CC1791" s="198"/>
      <c r="CD1791" s="198"/>
      <c r="CE1791" s="198"/>
      <c r="CF1791" s="198"/>
      <c r="CG1791" s="347"/>
    </row>
    <row r="1792" spans="1:85" s="606" customFormat="1" x14ac:dyDescent="0.3">
      <c r="A1792" s="116" t="s">
        <v>2402</v>
      </c>
      <c r="B1792" s="529"/>
      <c r="C1792" s="83"/>
      <c r="D1792" s="83"/>
      <c r="E1792" s="83"/>
      <c r="F1792" s="83"/>
      <c r="G1792" s="86"/>
      <c r="H1792" s="86"/>
      <c r="I1792" s="86"/>
      <c r="J1792" s="86"/>
      <c r="K1792" s="83"/>
      <c r="L1792" s="86"/>
      <c r="M1792" s="86"/>
      <c r="N1792" s="86"/>
      <c r="O1792" s="86"/>
      <c r="P1792" s="83"/>
      <c r="Q1792" s="86"/>
      <c r="R1792" s="86"/>
      <c r="S1792" s="86"/>
      <c r="T1792" s="86"/>
      <c r="U1792" s="83"/>
      <c r="V1792" s="86"/>
      <c r="W1792" s="86"/>
      <c r="X1792" s="86"/>
      <c r="Y1792" s="86"/>
      <c r="Z1792" s="83"/>
      <c r="AA1792" s="86"/>
      <c r="AB1792" s="86"/>
      <c r="AC1792" s="86"/>
      <c r="AD1792" s="86"/>
      <c r="AE1792" s="83"/>
      <c r="AF1792" s="86"/>
      <c r="AG1792" s="86"/>
      <c r="AH1792" s="86"/>
      <c r="AI1792" s="86"/>
      <c r="AJ1792" s="83"/>
      <c r="AK1792" s="86"/>
      <c r="AL1792" s="86"/>
      <c r="AM1792" s="86"/>
      <c r="AN1792" s="86"/>
      <c r="AO1792" s="83"/>
      <c r="AP1792" s="86"/>
      <c r="AQ1792" s="86"/>
      <c r="AR1792" s="86"/>
      <c r="AS1792" s="86"/>
      <c r="AT1792" s="83"/>
      <c r="AU1792" s="86"/>
      <c r="AV1792" s="86"/>
      <c r="AW1792" s="86"/>
      <c r="AX1792" s="86"/>
      <c r="AY1792" s="83"/>
      <c r="AZ1792" s="86"/>
      <c r="BA1792" s="86"/>
      <c r="BB1792" s="86"/>
      <c r="BC1792" s="86"/>
      <c r="BD1792" s="83"/>
      <c r="BE1792" s="86"/>
      <c r="BF1792" s="86"/>
      <c r="BG1792" s="86"/>
      <c r="BH1792" s="86"/>
      <c r="BI1792" s="1132">
        <v>0.2</v>
      </c>
      <c r="BJ1792" s="86"/>
      <c r="BK1792" s="86"/>
      <c r="BL1792" s="86"/>
      <c r="BM1792" s="86"/>
      <c r="BN1792" s="1132">
        <v>0.23019999999999999</v>
      </c>
      <c r="BO1792" s="86"/>
      <c r="BP1792" s="86"/>
      <c r="BQ1792" s="86"/>
      <c r="BR1792" s="86"/>
      <c r="BS1792" s="83"/>
      <c r="BT1792" s="725"/>
      <c r="BU1792" s="86"/>
      <c r="BV1792" s="86"/>
      <c r="BW1792" s="86"/>
      <c r="BX1792" s="83"/>
      <c r="BY1792" s="86"/>
      <c r="BZ1792" s="86"/>
      <c r="CA1792" s="86"/>
      <c r="CB1792" s="86"/>
      <c r="CC1792" s="83"/>
      <c r="CD1792" s="83"/>
      <c r="CE1792" s="83"/>
      <c r="CF1792" s="83"/>
      <c r="CG1792" s="530"/>
    </row>
    <row r="1793" spans="1:85" s="606" customFormat="1" x14ac:dyDescent="0.3">
      <c r="A1793" s="116" t="s">
        <v>2403</v>
      </c>
      <c r="B1793" s="529"/>
      <c r="C1793" s="83"/>
      <c r="D1793" s="83"/>
      <c r="E1793" s="83"/>
      <c r="F1793" s="83"/>
      <c r="G1793" s="86"/>
      <c r="H1793" s="86"/>
      <c r="I1793" s="86"/>
      <c r="J1793" s="86"/>
      <c r="K1793" s="83"/>
      <c r="L1793" s="86"/>
      <c r="M1793" s="86"/>
      <c r="N1793" s="86"/>
      <c r="O1793" s="86"/>
      <c r="P1793" s="83"/>
      <c r="Q1793" s="86"/>
      <c r="R1793" s="86"/>
      <c r="S1793" s="86"/>
      <c r="T1793" s="86"/>
      <c r="U1793" s="83"/>
      <c r="V1793" s="86"/>
      <c r="W1793" s="86"/>
      <c r="X1793" s="86"/>
      <c r="Y1793" s="86"/>
      <c r="Z1793" s="83"/>
      <c r="AA1793" s="86"/>
      <c r="AB1793" s="86"/>
      <c r="AC1793" s="86"/>
      <c r="AD1793" s="86"/>
      <c r="AE1793" s="83"/>
      <c r="AF1793" s="86"/>
      <c r="AG1793" s="86"/>
      <c r="AH1793" s="86"/>
      <c r="AI1793" s="86"/>
      <c r="AJ1793" s="83"/>
      <c r="AK1793" s="86"/>
      <c r="AL1793" s="86"/>
      <c r="AM1793" s="86"/>
      <c r="AN1793" s="86"/>
      <c r="AO1793" s="83"/>
      <c r="AP1793" s="86"/>
      <c r="AQ1793" s="86"/>
      <c r="AR1793" s="86"/>
      <c r="AS1793" s="86"/>
      <c r="AT1793" s="83"/>
      <c r="AU1793" s="86"/>
      <c r="AV1793" s="86"/>
      <c r="AW1793" s="86"/>
      <c r="AX1793" s="86"/>
      <c r="AY1793" s="83"/>
      <c r="AZ1793" s="86"/>
      <c r="BA1793" s="86"/>
      <c r="BB1793" s="86"/>
      <c r="BC1793" s="86"/>
      <c r="BD1793" s="83"/>
      <c r="BE1793" s="86"/>
      <c r="BF1793" s="86"/>
      <c r="BG1793" s="86"/>
      <c r="BH1793" s="86"/>
      <c r="BI1793" s="1132">
        <v>0.20899999999999999</v>
      </c>
      <c r="BJ1793" s="86"/>
      <c r="BK1793" s="86"/>
      <c r="BL1793" s="86"/>
      <c r="BM1793" s="86"/>
      <c r="BN1793" s="1132">
        <v>0.2641</v>
      </c>
      <c r="BO1793" s="86"/>
      <c r="BP1793" s="86"/>
      <c r="BQ1793" s="86"/>
      <c r="BR1793" s="86"/>
      <c r="BS1793" s="83"/>
      <c r="BT1793" s="725"/>
      <c r="BU1793" s="86"/>
      <c r="BV1793" s="86"/>
      <c r="BW1793" s="86"/>
      <c r="BX1793" s="83"/>
      <c r="BY1793" s="86"/>
      <c r="BZ1793" s="86"/>
      <c r="CA1793" s="86"/>
      <c r="CB1793" s="86"/>
      <c r="CC1793" s="83"/>
      <c r="CD1793" s="83"/>
      <c r="CE1793" s="83"/>
      <c r="CF1793" s="83"/>
      <c r="CG1793" s="530"/>
    </row>
    <row r="1794" spans="1:85" s="606" customFormat="1" x14ac:dyDescent="0.3">
      <c r="A1794" s="116" t="s">
        <v>2404</v>
      </c>
      <c r="B1794" s="529"/>
      <c r="C1794" s="83"/>
      <c r="D1794" s="83"/>
      <c r="E1794" s="83"/>
      <c r="F1794" s="83"/>
      <c r="G1794" s="86"/>
      <c r="H1794" s="86"/>
      <c r="I1794" s="86"/>
      <c r="J1794" s="86"/>
      <c r="K1794" s="83"/>
      <c r="L1794" s="86"/>
      <c r="M1794" s="86"/>
      <c r="N1794" s="86"/>
      <c r="O1794" s="86"/>
      <c r="P1794" s="83"/>
      <c r="Q1794" s="86"/>
      <c r="R1794" s="86"/>
      <c r="S1794" s="86"/>
      <c r="T1794" s="86"/>
      <c r="U1794" s="83"/>
      <c r="V1794" s="86"/>
      <c r="W1794" s="86"/>
      <c r="X1794" s="86"/>
      <c r="Y1794" s="86"/>
      <c r="Z1794" s="83"/>
      <c r="AA1794" s="86"/>
      <c r="AB1794" s="86"/>
      <c r="AC1794" s="86"/>
      <c r="AD1794" s="86"/>
      <c r="AE1794" s="83"/>
      <c r="AF1794" s="86"/>
      <c r="AG1794" s="86"/>
      <c r="AH1794" s="86"/>
      <c r="AI1794" s="86"/>
      <c r="AJ1794" s="83"/>
      <c r="AK1794" s="86"/>
      <c r="AL1794" s="86"/>
      <c r="AM1794" s="86"/>
      <c r="AN1794" s="86"/>
      <c r="AO1794" s="83"/>
      <c r="AP1794" s="86"/>
      <c r="AQ1794" s="86"/>
      <c r="AR1794" s="86"/>
      <c r="AS1794" s="86"/>
      <c r="AT1794" s="83"/>
      <c r="AU1794" s="86"/>
      <c r="AV1794" s="86"/>
      <c r="AW1794" s="86"/>
      <c r="AX1794" s="86"/>
      <c r="AY1794" s="83"/>
      <c r="AZ1794" s="86"/>
      <c r="BA1794" s="86"/>
      <c r="BB1794" s="86"/>
      <c r="BC1794" s="86"/>
      <c r="BD1794" s="83"/>
      <c r="BE1794" s="86"/>
      <c r="BF1794" s="86"/>
      <c r="BG1794" s="86"/>
      <c r="BH1794" s="86"/>
      <c r="BI1794" s="1132">
        <v>1.0920000000000001</v>
      </c>
      <c r="BJ1794" s="86"/>
      <c r="BK1794" s="86"/>
      <c r="BL1794" s="86"/>
      <c r="BM1794" s="86"/>
      <c r="BN1794" s="1132">
        <v>2</v>
      </c>
      <c r="BO1794" s="86"/>
      <c r="BP1794" s="86"/>
      <c r="BQ1794" s="86"/>
      <c r="BR1794" s="86"/>
      <c r="BS1794" s="83"/>
      <c r="BT1794" s="725"/>
      <c r="BU1794" s="86"/>
      <c r="BV1794" s="86"/>
      <c r="BW1794" s="86"/>
      <c r="BX1794" s="83"/>
      <c r="BY1794" s="86"/>
      <c r="BZ1794" s="86"/>
      <c r="CA1794" s="86"/>
      <c r="CB1794" s="86"/>
      <c r="CC1794" s="83"/>
      <c r="CD1794" s="83"/>
      <c r="CE1794" s="83"/>
      <c r="CF1794" s="83"/>
      <c r="CG1794" s="530"/>
    </row>
    <row r="1795" spans="1:85" s="611" customFormat="1" x14ac:dyDescent="0.3">
      <c r="A1795" s="224"/>
      <c r="B1795" s="513"/>
      <c r="C1795" s="198"/>
      <c r="D1795" s="198"/>
      <c r="E1795" s="198"/>
      <c r="F1795" s="198"/>
      <c r="G1795" s="194"/>
      <c r="H1795" s="194"/>
      <c r="I1795" s="194"/>
      <c r="J1795" s="194"/>
      <c r="K1795" s="198"/>
      <c r="L1795" s="194"/>
      <c r="M1795" s="194"/>
      <c r="N1795" s="194"/>
      <c r="O1795" s="194"/>
      <c r="P1795" s="198"/>
      <c r="Q1795" s="194"/>
      <c r="R1795" s="194"/>
      <c r="S1795" s="194"/>
      <c r="T1795" s="194"/>
      <c r="U1795" s="198"/>
      <c r="V1795" s="194"/>
      <c r="W1795" s="194"/>
      <c r="X1795" s="194"/>
      <c r="Y1795" s="194"/>
      <c r="Z1795" s="198"/>
      <c r="AA1795" s="194"/>
      <c r="AB1795" s="194"/>
      <c r="AC1795" s="194"/>
      <c r="AD1795" s="194"/>
      <c r="AE1795" s="198"/>
      <c r="AF1795" s="194"/>
      <c r="AG1795" s="194"/>
      <c r="AH1795" s="194"/>
      <c r="AI1795" s="194"/>
      <c r="AJ1795" s="198"/>
      <c r="AK1795" s="194"/>
      <c r="AL1795" s="194"/>
      <c r="AM1795" s="194"/>
      <c r="AN1795" s="194"/>
      <c r="AO1795" s="198"/>
      <c r="AP1795" s="194"/>
      <c r="AQ1795" s="194"/>
      <c r="AR1795" s="194"/>
      <c r="AS1795" s="194"/>
      <c r="AT1795" s="198"/>
      <c r="AU1795" s="194"/>
      <c r="AV1795" s="194"/>
      <c r="AW1795" s="194"/>
      <c r="AX1795" s="194"/>
      <c r="AY1795" s="198"/>
      <c r="AZ1795" s="194"/>
      <c r="BA1795" s="194"/>
      <c r="BB1795" s="194"/>
      <c r="BC1795" s="194"/>
      <c r="BD1795" s="198"/>
      <c r="BE1795" s="194"/>
      <c r="BF1795" s="194"/>
      <c r="BG1795" s="194"/>
      <c r="BH1795" s="194"/>
      <c r="BI1795" s="198"/>
      <c r="BJ1795" s="194"/>
      <c r="BK1795" s="194"/>
      <c r="BL1795" s="194"/>
      <c r="BM1795" s="194"/>
      <c r="BN1795" s="198"/>
      <c r="BO1795" s="194"/>
      <c r="BP1795" s="194"/>
      <c r="BQ1795" s="194"/>
      <c r="BR1795" s="194"/>
      <c r="BS1795" s="198"/>
      <c r="BT1795" s="726"/>
      <c r="BU1795" s="194"/>
      <c r="BV1795" s="194"/>
      <c r="BW1795" s="194"/>
      <c r="BX1795" s="198"/>
      <c r="BY1795" s="194"/>
      <c r="BZ1795" s="194"/>
      <c r="CA1795" s="194"/>
      <c r="CB1795" s="194"/>
      <c r="CC1795" s="198"/>
      <c r="CD1795" s="198"/>
      <c r="CE1795" s="198"/>
      <c r="CF1795" s="198"/>
      <c r="CG1795" s="347"/>
    </row>
    <row r="1796" spans="1:85" s="606" customFormat="1" x14ac:dyDescent="0.3">
      <c r="A1796" s="116" t="s">
        <v>2405</v>
      </c>
      <c r="B1796" s="529"/>
      <c r="C1796" s="83"/>
      <c r="D1796" s="83"/>
      <c r="E1796" s="83"/>
      <c r="F1796" s="83"/>
      <c r="G1796" s="86"/>
      <c r="H1796" s="86"/>
      <c r="I1796" s="86"/>
      <c r="J1796" s="86"/>
      <c r="K1796" s="83"/>
      <c r="L1796" s="86"/>
      <c r="M1796" s="86"/>
      <c r="N1796" s="86"/>
      <c r="O1796" s="86"/>
      <c r="P1796" s="83"/>
      <c r="Q1796" s="86"/>
      <c r="R1796" s="86"/>
      <c r="S1796" s="86"/>
      <c r="T1796" s="86"/>
      <c r="U1796" s="83"/>
      <c r="V1796" s="86"/>
      <c r="W1796" s="86"/>
      <c r="X1796" s="86"/>
      <c r="Y1796" s="86"/>
      <c r="Z1796" s="83"/>
      <c r="AA1796" s="86"/>
      <c r="AB1796" s="86"/>
      <c r="AC1796" s="86"/>
      <c r="AD1796" s="86"/>
      <c r="AE1796" s="83"/>
      <c r="AF1796" s="86"/>
      <c r="AG1796" s="86"/>
      <c r="AH1796" s="86"/>
      <c r="AI1796" s="86"/>
      <c r="AJ1796" s="83"/>
      <c r="AK1796" s="86"/>
      <c r="AL1796" s="86"/>
      <c r="AM1796" s="86"/>
      <c r="AN1796" s="86"/>
      <c r="AO1796" s="83"/>
      <c r="AP1796" s="86"/>
      <c r="AQ1796" s="86"/>
      <c r="AR1796" s="86"/>
      <c r="AS1796" s="86"/>
      <c r="AT1796" s="83"/>
      <c r="AU1796" s="86"/>
      <c r="AV1796" s="86"/>
      <c r="AW1796" s="86"/>
      <c r="AX1796" s="86"/>
      <c r="AY1796" s="83"/>
      <c r="AZ1796" s="86"/>
      <c r="BA1796" s="86"/>
      <c r="BB1796" s="86"/>
      <c r="BC1796" s="86"/>
      <c r="BD1796" s="83"/>
      <c r="BE1796" s="86"/>
      <c r="BF1796" s="86"/>
      <c r="BG1796" s="86"/>
      <c r="BH1796" s="86"/>
      <c r="BI1796" s="83"/>
      <c r="BJ1796" s="86"/>
      <c r="BK1796" s="86"/>
      <c r="BL1796" s="86"/>
      <c r="BM1796" s="86"/>
      <c r="BN1796" s="1132">
        <v>0.55000000000000004</v>
      </c>
      <c r="BO1796" s="86"/>
      <c r="BP1796" s="86"/>
      <c r="BQ1796" s="86"/>
      <c r="BR1796" s="86"/>
      <c r="BS1796" s="83"/>
      <c r="BT1796" s="725"/>
      <c r="BU1796" s="86"/>
      <c r="BV1796" s="86"/>
      <c r="BW1796" s="86"/>
      <c r="BX1796" s="83"/>
      <c r="BY1796" s="86"/>
      <c r="BZ1796" s="86"/>
      <c r="CA1796" s="86"/>
      <c r="CB1796" s="86"/>
      <c r="CC1796" s="83"/>
      <c r="CD1796" s="83"/>
      <c r="CE1796" s="83"/>
      <c r="CF1796" s="83"/>
      <c r="CG1796" s="530"/>
    </row>
    <row r="1797" spans="1:85" s="606" customFormat="1" x14ac:dyDescent="0.3">
      <c r="A1797" s="116" t="s">
        <v>2406</v>
      </c>
      <c r="B1797" s="529"/>
      <c r="C1797" s="83"/>
      <c r="D1797" s="83"/>
      <c r="E1797" s="83"/>
      <c r="F1797" s="83"/>
      <c r="G1797" s="86"/>
      <c r="H1797" s="86"/>
      <c r="I1797" s="86"/>
      <c r="J1797" s="86"/>
      <c r="K1797" s="83"/>
      <c r="L1797" s="86"/>
      <c r="M1797" s="86"/>
      <c r="N1797" s="86"/>
      <c r="O1797" s="86"/>
      <c r="P1797" s="83"/>
      <c r="Q1797" s="86"/>
      <c r="R1797" s="86"/>
      <c r="S1797" s="86"/>
      <c r="T1797" s="86"/>
      <c r="U1797" s="83"/>
      <c r="V1797" s="86"/>
      <c r="W1797" s="86"/>
      <c r="X1797" s="86"/>
      <c r="Y1797" s="86"/>
      <c r="Z1797" s="83"/>
      <c r="AA1797" s="86"/>
      <c r="AB1797" s="86"/>
      <c r="AC1797" s="86"/>
      <c r="AD1797" s="86"/>
      <c r="AE1797" s="83"/>
      <c r="AF1797" s="86"/>
      <c r="AG1797" s="86"/>
      <c r="AH1797" s="86"/>
      <c r="AI1797" s="86"/>
      <c r="AJ1797" s="83"/>
      <c r="AK1797" s="86"/>
      <c r="AL1797" s="86"/>
      <c r="AM1797" s="86"/>
      <c r="AN1797" s="86"/>
      <c r="AO1797" s="83"/>
      <c r="AP1797" s="86"/>
      <c r="AQ1797" s="86"/>
      <c r="AR1797" s="86"/>
      <c r="AS1797" s="86"/>
      <c r="AT1797" s="83"/>
      <c r="AU1797" s="86"/>
      <c r="AV1797" s="86"/>
      <c r="AW1797" s="86"/>
      <c r="AX1797" s="86"/>
      <c r="AY1797" s="83"/>
      <c r="AZ1797" s="86"/>
      <c r="BA1797" s="86"/>
      <c r="BB1797" s="86"/>
      <c r="BC1797" s="86"/>
      <c r="BD1797" s="83"/>
      <c r="BE1797" s="86"/>
      <c r="BF1797" s="86"/>
      <c r="BG1797" s="86"/>
      <c r="BH1797" s="86"/>
      <c r="BI1797" s="83"/>
      <c r="BJ1797" s="86"/>
      <c r="BK1797" s="86"/>
      <c r="BL1797" s="86"/>
      <c r="BM1797" s="86"/>
      <c r="BN1797" s="1132">
        <v>0.98</v>
      </c>
      <c r="BO1797" s="86"/>
      <c r="BP1797" s="86"/>
      <c r="BQ1797" s="86"/>
      <c r="BR1797" s="86"/>
      <c r="BS1797" s="83"/>
      <c r="BT1797" s="725"/>
      <c r="BU1797" s="86"/>
      <c r="BV1797" s="86"/>
      <c r="BW1797" s="86"/>
      <c r="BX1797" s="83"/>
      <c r="BY1797" s="86"/>
      <c r="BZ1797" s="86"/>
      <c r="CA1797" s="86"/>
      <c r="CB1797" s="86"/>
      <c r="CC1797" s="83"/>
      <c r="CD1797" s="83"/>
      <c r="CE1797" s="83"/>
      <c r="CF1797" s="83"/>
      <c r="CG1797" s="530"/>
    </row>
    <row r="1798" spans="1:85" s="606" customFormat="1" x14ac:dyDescent="0.3">
      <c r="A1798" s="116" t="s">
        <v>2407</v>
      </c>
      <c r="B1798" s="529"/>
      <c r="C1798" s="83"/>
      <c r="D1798" s="83"/>
      <c r="E1798" s="83"/>
      <c r="F1798" s="83"/>
      <c r="G1798" s="86"/>
      <c r="H1798" s="86"/>
      <c r="I1798" s="86"/>
      <c r="J1798" s="86"/>
      <c r="K1798" s="83"/>
      <c r="L1798" s="86"/>
      <c r="M1798" s="86"/>
      <c r="N1798" s="86"/>
      <c r="O1798" s="86"/>
      <c r="P1798" s="83"/>
      <c r="Q1798" s="86"/>
      <c r="R1798" s="86"/>
      <c r="S1798" s="86"/>
      <c r="T1798" s="86"/>
      <c r="U1798" s="83"/>
      <c r="V1798" s="86"/>
      <c r="W1798" s="86"/>
      <c r="X1798" s="86"/>
      <c r="Y1798" s="86"/>
      <c r="Z1798" s="83"/>
      <c r="AA1798" s="86"/>
      <c r="AB1798" s="86"/>
      <c r="AC1798" s="86"/>
      <c r="AD1798" s="86"/>
      <c r="AE1798" s="83"/>
      <c r="AF1798" s="86"/>
      <c r="AG1798" s="86"/>
      <c r="AH1798" s="86"/>
      <c r="AI1798" s="86"/>
      <c r="AJ1798" s="83"/>
      <c r="AK1798" s="86"/>
      <c r="AL1798" s="86"/>
      <c r="AM1798" s="86"/>
      <c r="AN1798" s="86"/>
      <c r="AO1798" s="83"/>
      <c r="AP1798" s="86"/>
      <c r="AQ1798" s="86"/>
      <c r="AR1798" s="86"/>
      <c r="AS1798" s="86"/>
      <c r="AT1798" s="83"/>
      <c r="AU1798" s="86"/>
      <c r="AV1798" s="86"/>
      <c r="AW1798" s="86"/>
      <c r="AX1798" s="86"/>
      <c r="AY1798" s="83"/>
      <c r="AZ1798" s="86"/>
      <c r="BA1798" s="86"/>
      <c r="BB1798" s="86"/>
      <c r="BC1798" s="86"/>
      <c r="BD1798" s="83"/>
      <c r="BE1798" s="86"/>
      <c r="BF1798" s="86"/>
      <c r="BG1798" s="86"/>
      <c r="BH1798" s="86"/>
      <c r="BI1798" s="83"/>
      <c r="BJ1798" s="86"/>
      <c r="BK1798" s="86"/>
      <c r="BL1798" s="86"/>
      <c r="BM1798" s="86"/>
      <c r="BN1798" s="1132">
        <v>2</v>
      </c>
      <c r="BO1798" s="86"/>
      <c r="BP1798" s="86"/>
      <c r="BQ1798" s="86"/>
      <c r="BR1798" s="86"/>
      <c r="BS1798" s="83"/>
      <c r="BT1798" s="725"/>
      <c r="BU1798" s="86"/>
      <c r="BV1798" s="86"/>
      <c r="BW1798" s="86"/>
      <c r="BX1798" s="83"/>
      <c r="BY1798" s="86"/>
      <c r="BZ1798" s="86"/>
      <c r="CA1798" s="86"/>
      <c r="CB1798" s="86"/>
      <c r="CC1798" s="83"/>
      <c r="CD1798" s="83"/>
      <c r="CE1798" s="83"/>
      <c r="CF1798" s="83"/>
      <c r="CG1798" s="530"/>
    </row>
    <row r="1799" spans="1:85" s="614" customFormat="1" x14ac:dyDescent="0.3">
      <c r="A1799" s="351"/>
      <c r="B1799" s="352"/>
      <c r="C1799" s="1094"/>
      <c r="D1799" s="1094"/>
      <c r="E1799" s="1094"/>
      <c r="F1799" s="1094"/>
      <c r="G1799" s="197"/>
      <c r="H1799" s="197"/>
      <c r="I1799" s="197"/>
      <c r="J1799" s="197"/>
      <c r="K1799" s="1094"/>
      <c r="L1799" s="197"/>
      <c r="M1799" s="197"/>
      <c r="N1799" s="197"/>
      <c r="O1799" s="197"/>
      <c r="P1799" s="1094"/>
      <c r="Q1799" s="197"/>
      <c r="R1799" s="197"/>
      <c r="S1799" s="197"/>
      <c r="T1799" s="197"/>
      <c r="U1799" s="1094"/>
      <c r="V1799" s="197"/>
      <c r="W1799" s="197"/>
      <c r="X1799" s="197"/>
      <c r="Y1799" s="197"/>
      <c r="Z1799" s="1094"/>
      <c r="AA1799" s="197"/>
      <c r="AB1799" s="197"/>
      <c r="AC1799" s="197"/>
      <c r="AD1799" s="197"/>
      <c r="AE1799" s="1094"/>
      <c r="AF1799" s="197"/>
      <c r="AG1799" s="197"/>
      <c r="AH1799" s="197"/>
      <c r="AI1799" s="197"/>
      <c r="AJ1799" s="1094"/>
      <c r="AK1799" s="197"/>
      <c r="AL1799" s="197"/>
      <c r="AM1799" s="197"/>
      <c r="AN1799" s="197"/>
      <c r="AO1799" s="1094"/>
      <c r="AP1799" s="197"/>
      <c r="AQ1799" s="197"/>
      <c r="AR1799" s="197"/>
      <c r="AS1799" s="197"/>
      <c r="AT1799" s="1094"/>
      <c r="AU1799" s="197"/>
      <c r="AV1799" s="197"/>
      <c r="AW1799" s="197"/>
      <c r="AX1799" s="197"/>
      <c r="AY1799" s="1094"/>
      <c r="AZ1799" s="197"/>
      <c r="BA1799" s="197"/>
      <c r="BB1799" s="197"/>
      <c r="BC1799" s="197"/>
      <c r="BD1799" s="1094"/>
      <c r="BE1799" s="197"/>
      <c r="BF1799" s="197"/>
      <c r="BG1799" s="197"/>
      <c r="BH1799" s="197"/>
      <c r="BI1799" s="1094"/>
      <c r="BJ1799" s="197"/>
      <c r="BK1799" s="197"/>
      <c r="BL1799" s="197"/>
      <c r="BM1799" s="197"/>
      <c r="BN1799" s="1094"/>
      <c r="BO1799" s="197"/>
      <c r="BP1799" s="197"/>
      <c r="BQ1799" s="197"/>
      <c r="BR1799" s="197"/>
      <c r="BS1799" s="1094"/>
      <c r="BT1799" s="727"/>
      <c r="BU1799" s="197"/>
      <c r="BV1799" s="197"/>
      <c r="BW1799" s="197"/>
      <c r="BX1799" s="1094"/>
      <c r="BY1799" s="197"/>
      <c r="BZ1799" s="197"/>
      <c r="CA1799" s="197"/>
      <c r="CB1799" s="197"/>
      <c r="CC1799" s="1094"/>
      <c r="CD1799" s="1094"/>
      <c r="CE1799" s="1094"/>
      <c r="CF1799" s="1094"/>
      <c r="CG1799" s="349"/>
    </row>
    <row r="1800" spans="1:85" x14ac:dyDescent="0.3">
      <c r="A1800" s="776"/>
      <c r="B1800" s="219"/>
      <c r="C1800" s="219"/>
      <c r="D1800" s="219"/>
      <c r="E1800" s="219"/>
      <c r="F1800" s="219"/>
      <c r="G1800" s="219"/>
      <c r="H1800" s="219"/>
      <c r="I1800" s="219"/>
      <c r="J1800" s="219"/>
      <c r="K1800" s="219"/>
      <c r="L1800" s="219"/>
      <c r="M1800" s="219"/>
      <c r="N1800" s="219"/>
      <c r="O1800" s="219"/>
      <c r="P1800" s="219"/>
      <c r="Q1800" s="219"/>
      <c r="R1800" s="219"/>
      <c r="S1800" s="219"/>
      <c r="T1800" s="219"/>
      <c r="U1800" s="219"/>
      <c r="V1800" s="219"/>
      <c r="W1800" s="219"/>
      <c r="X1800" s="219"/>
      <c r="Y1800" s="219"/>
      <c r="Z1800" s="219"/>
      <c r="AA1800" s="219"/>
      <c r="AB1800" s="219"/>
      <c r="AC1800" s="219"/>
      <c r="AD1800" s="219"/>
      <c r="AE1800" s="219"/>
      <c r="AF1800" s="219"/>
      <c r="AG1800" s="219"/>
      <c r="AH1800" s="219"/>
      <c r="AI1800" s="219"/>
      <c r="AJ1800" s="219"/>
      <c r="AK1800" s="219"/>
      <c r="AL1800" s="219"/>
      <c r="AM1800" s="219"/>
      <c r="AN1800" s="219"/>
      <c r="AO1800" s="219"/>
      <c r="AP1800" s="219"/>
      <c r="AQ1800" s="219"/>
      <c r="AR1800" s="219"/>
      <c r="AS1800" s="219"/>
      <c r="AT1800" s="219"/>
      <c r="AU1800" s="219"/>
      <c r="AV1800" s="219"/>
      <c r="AW1800" s="219"/>
      <c r="AX1800" s="219"/>
      <c r="AY1800" s="219"/>
      <c r="AZ1800" s="219"/>
      <c r="BA1800" s="219"/>
      <c r="BB1800" s="219"/>
      <c r="BC1800" s="219"/>
      <c r="BD1800" s="219"/>
      <c r="BE1800" s="219"/>
      <c r="BF1800" s="219"/>
      <c r="BG1800" s="219"/>
      <c r="BH1800" s="219"/>
      <c r="BI1800" s="219"/>
      <c r="BJ1800" s="219"/>
      <c r="BK1800" s="219"/>
      <c r="BL1800" s="219"/>
      <c r="BM1800" s="219"/>
      <c r="BN1800" s="219"/>
      <c r="BO1800" s="219"/>
      <c r="BP1800" s="219"/>
      <c r="BQ1800" s="219"/>
      <c r="BR1800" s="219"/>
      <c r="BS1800" s="219"/>
      <c r="BT1800" s="219"/>
      <c r="BU1800" s="219"/>
      <c r="BV1800" s="219"/>
      <c r="BW1800" s="219"/>
      <c r="BX1800" s="219"/>
      <c r="BY1800" s="219"/>
      <c r="BZ1800" s="219"/>
      <c r="CA1800" s="219"/>
      <c r="CB1800" s="219"/>
      <c r="CC1800" s="219"/>
      <c r="CD1800" s="219"/>
      <c r="CE1800" s="219"/>
      <c r="CF1800" s="219"/>
      <c r="CG1800" s="350"/>
    </row>
    <row r="1801" spans="1:85" x14ac:dyDescent="0.3">
      <c r="A1801" s="350"/>
      <c r="B1801" s="350"/>
      <c r="C1801" s="350"/>
      <c r="D1801" s="350"/>
      <c r="E1801" s="350"/>
      <c r="F1801" s="350"/>
      <c r="G1801" s="129"/>
      <c r="H1801" s="129"/>
      <c r="I1801" s="129"/>
      <c r="J1801" s="129"/>
      <c r="K1801" s="350"/>
      <c r="L1801" s="129"/>
      <c r="M1801" s="129"/>
      <c r="N1801" s="129"/>
      <c r="O1801" s="129"/>
      <c r="P1801" s="350"/>
      <c r="Q1801" s="129"/>
      <c r="R1801" s="129"/>
      <c r="S1801" s="129"/>
      <c r="T1801" s="129"/>
      <c r="U1801" s="350"/>
      <c r="V1801" s="129"/>
      <c r="W1801" s="129"/>
      <c r="X1801" s="129"/>
      <c r="Y1801" s="129"/>
      <c r="Z1801" s="350"/>
      <c r="AA1801" s="129"/>
      <c r="AB1801" s="129"/>
      <c r="AC1801" s="129"/>
      <c r="AD1801" s="129"/>
      <c r="AE1801" s="350"/>
      <c r="AF1801" s="129"/>
      <c r="AG1801" s="129"/>
      <c r="AH1801" s="129"/>
      <c r="AI1801" s="129"/>
      <c r="AJ1801" s="350"/>
      <c r="AK1801" s="129"/>
      <c r="AL1801" s="129"/>
      <c r="AM1801" s="129"/>
      <c r="AN1801" s="129"/>
      <c r="AO1801" s="350"/>
      <c r="AP1801" s="129"/>
      <c r="AQ1801" s="129"/>
      <c r="AR1801" s="129"/>
      <c r="AS1801" s="129"/>
      <c r="AT1801" s="350"/>
      <c r="AU1801" s="129"/>
      <c r="AV1801" s="129"/>
      <c r="AW1801" s="129"/>
      <c r="AX1801" s="129"/>
      <c r="AY1801" s="350"/>
      <c r="AZ1801" s="129"/>
      <c r="BA1801" s="129"/>
      <c r="BB1801" s="129"/>
      <c r="BC1801" s="129"/>
      <c r="BD1801" s="350"/>
      <c r="BE1801" s="129"/>
      <c r="BF1801" s="129"/>
      <c r="BG1801" s="129"/>
      <c r="BH1801" s="129"/>
      <c r="BI1801" s="350"/>
      <c r="BJ1801" s="129"/>
      <c r="BK1801" s="129"/>
      <c r="BL1801" s="129"/>
      <c r="BM1801" s="129"/>
      <c r="BN1801" s="350"/>
      <c r="BO1801" s="129"/>
      <c r="BP1801" s="129"/>
      <c r="BQ1801" s="129"/>
      <c r="BR1801" s="129"/>
      <c r="BS1801" s="350"/>
      <c r="BT1801" s="129"/>
      <c r="BU1801" s="129"/>
      <c r="BV1801" s="129"/>
      <c r="BW1801" s="129"/>
      <c r="BX1801" s="350"/>
      <c r="BY1801" s="129"/>
      <c r="BZ1801" s="129"/>
      <c r="CA1801" s="129"/>
      <c r="CB1801" s="129"/>
      <c r="CC1801" s="350"/>
      <c r="CD1801" s="350"/>
      <c r="CE1801" s="350"/>
      <c r="CF1801" s="350"/>
      <c r="CG1801" s="350"/>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89E-607D-4F89-B781-8360551A33D3}">
  <sheetPr codeName="Sheet7"/>
  <dimension ref="A1:CG92"/>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ColWidth="8.88671875" defaultRowHeight="14.4" customHeight="1" outlineLevelCol="1" x14ac:dyDescent="0.3"/>
  <cols>
    <col min="1" max="1" width="60.88671875" style="603" customWidth="1"/>
    <col min="2" max="2" width="10.5546875" style="603" customWidth="1"/>
    <col min="3" max="5" width="9.5546875" style="603" hidden="1" customWidth="1" outlineLevel="1"/>
    <col min="6" max="6" width="9.5546875" style="603" customWidth="1" collapsed="1"/>
    <col min="7" max="10" width="9.5546875" hidden="1" customWidth="1" outlineLevel="1"/>
    <col min="11" max="11" width="9.5546875" style="603" customWidth="1" collapsed="1"/>
    <col min="12" max="15" width="9.5546875" hidden="1" customWidth="1" outlineLevel="1"/>
    <col min="16" max="16" width="9.5546875" style="603" customWidth="1" collapsed="1"/>
    <col min="17" max="20" width="9.5546875" hidden="1" customWidth="1" outlineLevel="1"/>
    <col min="21" max="21" width="9.5546875" style="603" customWidth="1" collapsed="1"/>
    <col min="22" max="25" width="9.5546875" hidden="1" customWidth="1" outlineLevel="1"/>
    <col min="26" max="26" width="9.5546875" style="603" customWidth="1" collapsed="1"/>
    <col min="27" max="30" width="9.5546875" hidden="1" customWidth="1" outlineLevel="1"/>
    <col min="31" max="31" width="9.5546875" style="603" customWidth="1" collapsed="1"/>
    <col min="32" max="35" width="9.5546875" hidden="1" customWidth="1" outlineLevel="1"/>
    <col min="36" max="36" width="9.5546875" style="603" customWidth="1" collapsed="1"/>
    <col min="37" max="40" width="9.5546875" hidden="1" customWidth="1" outlineLevel="1"/>
    <col min="41" max="41" width="9.5546875" style="603" customWidth="1" collapsed="1"/>
    <col min="42" max="45" width="9.5546875" hidden="1" customWidth="1" outlineLevel="1"/>
    <col min="46" max="46" width="9.5546875" style="603" customWidth="1" collapsed="1"/>
    <col min="47" max="50" width="9.5546875" hidden="1" customWidth="1" outlineLevel="1"/>
    <col min="51" max="51" width="9.5546875" style="603" customWidth="1" collapsed="1"/>
    <col min="52" max="55" width="9.5546875" hidden="1" customWidth="1" outlineLevel="1"/>
    <col min="56" max="56" width="9.5546875" style="603" customWidth="1" collapsed="1"/>
    <col min="57" max="60" width="9.5546875" style="603" hidden="1" customWidth="1" outlineLevel="1"/>
    <col min="61" max="61" width="9.5546875" style="603" customWidth="1" collapsed="1"/>
    <col min="62" max="65" width="9.5546875" style="603" hidden="1" customWidth="1" outlineLevel="1"/>
    <col min="66" max="66" width="9.5546875" style="603" customWidth="1" collapsed="1"/>
    <col min="67" max="70" width="9.5546875" style="603" customWidth="1" outlineLevel="1"/>
    <col min="71" max="71" width="9.5546875" style="603" customWidth="1"/>
    <col min="72" max="75" width="9.5546875" style="603" customWidth="1" outlineLevel="1"/>
    <col min="76" max="76" width="9.5546875" style="603" customWidth="1"/>
    <col min="77" max="80" width="9.5546875" style="603" customWidth="1" outlineLevel="1"/>
    <col min="81" max="84" width="9.5546875" style="603" customWidth="1"/>
    <col min="85" max="16384" width="8.88671875" style="603"/>
  </cols>
  <sheetData>
    <row r="1" spans="1:85" s="611" customFormat="1" ht="28.5" customHeight="1" x14ac:dyDescent="0.55000000000000004">
      <c r="A1" s="339" t="str">
        <f>MO.CompanyName</f>
      </c>
      <c r="B1" s="105"/>
      <c r="C1" s="774"/>
      <c r="D1" s="774"/>
      <c r="E1" s="774"/>
      <c r="F1" s="774"/>
      <c r="G1" s="774"/>
      <c r="H1" s="774"/>
      <c r="I1" s="774"/>
      <c r="J1" s="774"/>
      <c r="K1" s="774"/>
      <c r="L1" s="774"/>
      <c r="M1" s="774"/>
      <c r="N1" s="774"/>
      <c r="O1" s="774"/>
      <c r="P1" s="774"/>
      <c r="Q1" s="774"/>
      <c r="R1" s="774"/>
      <c r="S1" s="774"/>
      <c r="T1" s="774"/>
      <c r="U1" s="774"/>
      <c r="V1" s="774"/>
      <c r="W1" s="774"/>
      <c r="X1" s="774"/>
      <c r="Y1" s="774"/>
      <c r="Z1" s="774"/>
      <c r="AA1" s="774"/>
      <c r="AB1" s="774"/>
      <c r="AC1" s="774"/>
      <c r="AD1" s="774"/>
      <c r="AE1" s="774"/>
      <c r="AF1" s="774"/>
      <c r="AG1" s="774"/>
      <c r="AH1" s="774"/>
      <c r="AI1" s="774"/>
      <c r="AJ1" s="774"/>
      <c r="AK1" s="774"/>
      <c r="AL1" s="774"/>
      <c r="AM1" s="774"/>
      <c r="AN1" s="774"/>
      <c r="AO1" s="774"/>
      <c r="AP1" s="774"/>
      <c r="AQ1" s="774"/>
      <c r="AR1" s="774"/>
      <c r="AS1" s="774"/>
      <c r="AT1" s="774"/>
      <c r="AU1" s="774"/>
      <c r="AV1" s="774"/>
      <c r="AW1" s="774"/>
      <c r="AX1" s="774"/>
      <c r="AY1" s="774"/>
      <c r="AZ1" s="774"/>
      <c r="BA1" s="774"/>
      <c r="BB1" s="774"/>
      <c r="BC1" s="774"/>
      <c r="BD1" s="774"/>
      <c r="BE1" s="774"/>
      <c r="BF1" s="774"/>
      <c r="BG1" s="774"/>
      <c r="BH1" s="774"/>
      <c r="BI1" s="774"/>
      <c r="BJ1" s="774"/>
      <c r="BK1" s="774"/>
      <c r="BL1" s="774"/>
      <c r="BM1" s="774"/>
      <c r="BN1" s="774"/>
      <c r="BO1" s="774"/>
      <c r="BP1" s="774"/>
      <c r="BQ1" s="774"/>
      <c r="BR1" s="774"/>
      <c r="BS1" s="774"/>
      <c r="BT1" s="775"/>
      <c r="BU1" s="774"/>
      <c r="BV1" s="774"/>
      <c r="BW1" s="774"/>
      <c r="BX1" s="774"/>
      <c r="BY1" s="774"/>
      <c r="BZ1" s="774"/>
      <c r="CA1" s="774"/>
      <c r="CB1" s="774"/>
      <c r="CC1" s="774"/>
      <c r="CD1" s="774"/>
      <c r="CE1" s="774"/>
      <c r="CF1" s="774"/>
      <c r="CG1" s="347"/>
    </row>
    <row r="2" spans="1:85" s="611" customFormat="1" ht="15" customHeight="1" x14ac:dyDescent="0.3">
      <c r="A2" s="531" t="str">
        <f>MO.Ticker</f>
      </c>
      <c r="B2" s="340"/>
      <c r="C2" s="629">
        <f>Model!C2</f>
      </c>
      <c r="D2" s="629">
        <f>Model!D2</f>
      </c>
      <c r="E2" s="629">
        <f>Model!E2</f>
      </c>
      <c r="F2" s="629">
        <f>Model!F2</f>
      </c>
      <c r="G2" s="629">
        <f>Model!G2</f>
      </c>
      <c r="H2" s="629">
        <f>Model!H2</f>
      </c>
      <c r="I2" s="629">
        <f>Model!I2</f>
      </c>
      <c r="J2" s="629">
        <f>Model!J2</f>
      </c>
      <c r="K2" s="629">
        <f>Model!K2</f>
      </c>
      <c r="L2" s="629">
        <f>Model!L2</f>
      </c>
      <c r="M2" s="629">
        <f>Model!M2</f>
      </c>
      <c r="N2" s="629">
        <f>Model!N2</f>
      </c>
      <c r="O2" s="629">
        <f>Model!O2</f>
      </c>
      <c r="P2" s="629">
        <f>Model!P2</f>
      </c>
      <c r="Q2" s="629">
        <f>Model!Q2</f>
      </c>
      <c r="R2" s="629">
        <f>Model!R2</f>
      </c>
      <c r="S2" s="629">
        <f>Model!S2</f>
      </c>
      <c r="T2" s="629">
        <f>Model!T2</f>
      </c>
      <c r="U2" s="629">
        <f>Model!U2</f>
      </c>
      <c r="V2" s="629">
        <f>Model!V2</f>
      </c>
      <c r="W2" s="629">
        <f>Model!W2</f>
      </c>
      <c r="X2" s="629">
        <f>Model!X2</f>
      </c>
      <c r="Y2" s="629">
        <f>Model!Y2</f>
      </c>
      <c r="Z2" s="629">
        <f>Model!Z2</f>
      </c>
      <c r="AA2" s="629">
        <f>Model!AA2</f>
      </c>
      <c r="AB2" s="629">
        <f>Model!AB2</f>
      </c>
      <c r="AC2" s="629">
        <f>Model!AC2</f>
      </c>
      <c r="AD2" s="629">
        <f>Model!AD2</f>
      </c>
      <c r="AE2" s="629">
        <f>Model!AE2</f>
      </c>
      <c r="AF2" s="629">
        <f>Model!AF2</f>
      </c>
      <c r="AG2" s="629">
        <f>Model!AG2</f>
      </c>
      <c r="AH2" s="629">
        <f>Model!AH2</f>
      </c>
      <c r="AI2" s="629">
        <f>Model!AI2</f>
      </c>
      <c r="AJ2" s="629">
        <f>Model!AJ2</f>
      </c>
      <c r="AK2" s="629">
        <f>Model!AK2</f>
      </c>
      <c r="AL2" s="629">
        <f>Model!AL2</f>
      </c>
      <c r="AM2" s="629">
        <f>Model!AM2</f>
      </c>
      <c r="AN2" s="629">
        <f>Model!AN2</f>
      </c>
      <c r="AO2" s="629">
        <f>Model!AO2</f>
      </c>
      <c r="AP2" s="629">
        <f>Model!AP2</f>
      </c>
      <c r="AQ2" s="629">
        <f>Model!AQ2</f>
      </c>
      <c r="AR2" s="629">
        <f>Model!AR2</f>
      </c>
      <c r="AS2" s="629">
        <f>Model!AS2</f>
      </c>
      <c r="AT2" s="629">
        <f>Model!AT2</f>
      </c>
      <c r="AU2" s="629">
        <f>Model!AU2</f>
      </c>
      <c r="AV2" s="629">
        <f>Model!AV2</f>
      </c>
      <c r="AW2" s="629">
        <f>Model!AW2</f>
      </c>
      <c r="AX2" s="629">
        <f>Model!AX2</f>
      </c>
      <c r="AY2" s="629">
        <f>Model!AY2</f>
      </c>
      <c r="AZ2" s="629">
        <f>Model!AZ2</f>
      </c>
      <c r="BA2" s="629">
        <f>Model!BA2</f>
      </c>
      <c r="BB2" s="629">
        <f>Model!BB2</f>
      </c>
      <c r="BC2" s="629">
        <f>Model!BC2</f>
      </c>
      <c r="BD2" s="629">
        <f>Model!BD2</f>
      </c>
      <c r="BE2" s="629">
        <f>Model!BE2</f>
      </c>
      <c r="BF2" s="629">
        <f>Model!BF2</f>
      </c>
      <c r="BG2" s="629">
        <f>Model!BG2</f>
      </c>
      <c r="BH2" s="629">
        <f>Model!BH2</f>
      </c>
      <c r="BI2" s="629">
        <f>Model!BI2</f>
      </c>
      <c r="BJ2" s="629">
        <f>Model!BJ2</f>
      </c>
      <c r="BK2" s="629">
        <f>Model!BK2</f>
      </c>
      <c r="BL2" s="629">
        <f>Model!BL2</f>
      </c>
      <c r="BM2" s="629">
        <f>Model!BM2</f>
      </c>
      <c r="BN2" s="629">
        <f>Model!BN2</f>
      </c>
      <c r="BO2" s="629">
        <f>Model!BO2</f>
      </c>
      <c r="BP2" s="629">
        <f>Model!BP2</f>
      </c>
      <c r="BQ2" s="629">
        <f>Model!BQ2</f>
      </c>
      <c r="BR2" s="629">
        <f>Model!BR2</f>
      </c>
      <c r="BS2" s="629">
        <f>Model!BS2</f>
      </c>
      <c r="BT2" s="353">
        <f>Model!BT2</f>
      </c>
      <c r="BU2" s="466">
        <f>Model!BU2</f>
      </c>
      <c r="BV2" s="466">
        <f>Model!BV2</f>
      </c>
      <c r="BW2" s="466">
        <f>Model!BW2</f>
      </c>
      <c r="BX2" s="466">
        <f>Model!BX2</f>
      </c>
      <c r="BY2" s="466">
        <f>Model!BY2</f>
      </c>
      <c r="BZ2" s="466">
        <f>Model!BZ2</f>
      </c>
      <c r="CA2" s="466">
        <f>Model!CA2</f>
      </c>
      <c r="CB2" s="466">
        <f>Model!CB2</f>
      </c>
      <c r="CC2" s="466">
        <f>Model!CC2</f>
      </c>
      <c r="CD2" s="466">
        <f>Model!CD2</f>
      </c>
      <c r="CE2" s="466">
        <f>Model!CE2</f>
      </c>
      <c r="CF2" s="466">
        <f>Model!CF2</f>
      </c>
      <c r="CG2" s="347"/>
    </row>
    <row r="3" spans="1:85" s="611" customFormat="1" ht="15" customHeight="1" x14ac:dyDescent="0.3">
      <c r="A3" s="341" t="str">
        <f>MO.TradingCurrency</f>
      </c>
      <c r="B3" s="342">
        <f>MO.LastPrice</f>
      </c>
      <c r="C3" s="1114">
        <f t="shared" ref="C3:AH3" si="0">INDEX(MO_Common_FPDays,0,MATCH(C$5,MO_Common_ColumnHeader,0))</f>
      </c>
      <c r="D3" s="1114">
        <f t="shared" si="0"/>
      </c>
      <c r="E3" s="1114">
        <f t="shared" si="0"/>
      </c>
      <c r="F3" s="1114">
        <f t="shared" si="0"/>
      </c>
      <c r="G3" s="344">
        <f t="shared" si="0"/>
      </c>
      <c r="H3" s="344">
        <f t="shared" si="0"/>
      </c>
      <c r="I3" s="344">
        <f t="shared" si="0"/>
      </c>
      <c r="J3" s="344">
        <f t="shared" si="0"/>
      </c>
      <c r="K3" s="1114">
        <f t="shared" si="0"/>
      </c>
      <c r="L3" s="344">
        <f t="shared" si="0"/>
      </c>
      <c r="M3" s="344">
        <f t="shared" si="0"/>
      </c>
      <c r="N3" s="344">
        <f t="shared" si="0"/>
      </c>
      <c r="O3" s="344">
        <f t="shared" si="0"/>
      </c>
      <c r="P3" s="1114">
        <f t="shared" si="0"/>
      </c>
      <c r="Q3" s="344">
        <f t="shared" si="0"/>
      </c>
      <c r="R3" s="344">
        <f t="shared" si="0"/>
      </c>
      <c r="S3" s="344">
        <f t="shared" si="0"/>
      </c>
      <c r="T3" s="344">
        <f t="shared" si="0"/>
      </c>
      <c r="U3" s="1114">
        <f t="shared" si="0"/>
      </c>
      <c r="V3" s="344">
        <f t="shared" si="0"/>
      </c>
      <c r="W3" s="344">
        <f t="shared" si="0"/>
      </c>
      <c r="X3" s="344">
        <f t="shared" si="0"/>
      </c>
      <c r="Y3" s="344">
        <f t="shared" si="0"/>
      </c>
      <c r="Z3" s="1114">
        <f t="shared" si="0"/>
      </c>
      <c r="AA3" s="344">
        <f t="shared" si="0"/>
      </c>
      <c r="AB3" s="344">
        <f t="shared" si="0"/>
      </c>
      <c r="AC3" s="344">
        <f t="shared" si="0"/>
      </c>
      <c r="AD3" s="344">
        <f t="shared" si="0"/>
      </c>
      <c r="AE3" s="1114">
        <f t="shared" si="0"/>
      </c>
      <c r="AF3" s="344">
        <f t="shared" si="0"/>
      </c>
      <c r="AG3" s="344">
        <f t="shared" si="0"/>
      </c>
      <c r="AH3" s="344">
        <f t="shared" si="0"/>
      </c>
      <c r="AI3" s="344">
        <f t="shared" ref="AI3:BB3" si="1">INDEX(MO_Common_FPDays,0,MATCH(AI$5,MO_Common_ColumnHeader,0))</f>
      </c>
      <c r="AJ3" s="1114">
        <f t="shared" si="1"/>
      </c>
      <c r="AK3" s="344">
        <f t="shared" si="1"/>
      </c>
      <c r="AL3" s="344">
        <f t="shared" si="1"/>
      </c>
      <c r="AM3" s="344">
        <f t="shared" si="1"/>
      </c>
      <c r="AN3" s="344">
        <f t="shared" si="1"/>
      </c>
      <c r="AO3" s="1114">
        <f t="shared" si="1"/>
      </c>
      <c r="AP3" s="344">
        <f t="shared" si="1"/>
      </c>
      <c r="AQ3" s="344">
        <f t="shared" si="1"/>
      </c>
      <c r="AR3" s="344">
        <f t="shared" si="1"/>
      </c>
      <c r="AS3" s="344">
        <f t="shared" si="1"/>
      </c>
      <c r="AT3" s="1114">
        <f t="shared" si="1"/>
      </c>
      <c r="AU3" s="344">
        <f t="shared" si="1"/>
      </c>
      <c r="AV3" s="344">
        <f t="shared" si="1"/>
      </c>
      <c r="AW3" s="344">
        <f t="shared" si="1"/>
      </c>
      <c r="AX3" s="344">
        <f>INDEX(MO_Common_FPDays,0,MATCH(AX$5,MO_Common_ColumnHeader,0))</f>
      </c>
      <c r="AY3" s="1114">
        <f>INDEX(MO_Common_FPDays,0,MATCH(AY$5,MO_Common_ColumnHeader,0))</f>
      </c>
      <c r="AZ3" s="344">
        <f>INDEX(MO_Common_FPDays,0,MATCH(AZ$5,MO_Common_ColumnHeader,0))</f>
      </c>
      <c r="BA3" s="344">
        <f t="shared" si="1"/>
      </c>
      <c r="BB3" s="344">
        <f t="shared" si="1"/>
      </c>
      <c r="BC3" s="344">
        <f t="shared" ref="BC3:BD3" si="2">INDEX(MO_Common_FPDays,0,MATCH(BC$5,MO_Common_ColumnHeader,0))</f>
      </c>
      <c r="BD3" s="1114">
        <f t="shared" si="2"/>
      </c>
      <c r="BE3" s="344">
        <f t="shared" ref="BE3:BI3" si="3">INDEX(MO_Common_FPDays,0,MATCH(BE$5,MO_Common_ColumnHeader,0))</f>
      </c>
      <c r="BF3" s="344">
        <f t="shared" si="3"/>
      </c>
      <c r="BG3" s="344">
        <f t="shared" si="3"/>
      </c>
      <c r="BH3" s="344">
        <f t="shared" si="3"/>
      </c>
      <c r="BI3" s="1114">
        <f t="shared" si="3"/>
      </c>
      <c r="BJ3" s="344">
        <f t="shared" ref="BJ3:BX3" si="4">INDEX(MO_Common_FPDays,0,MATCH(BJ$5,MO_Common_ColumnHeader,0))</f>
      </c>
      <c r="BK3" s="344">
        <f t="shared" si="4"/>
      </c>
      <c r="BL3" s="344">
        <f t="shared" si="4"/>
      </c>
      <c r="BM3" s="344">
        <f t="shared" si="4"/>
      </c>
      <c r="BN3" s="1114">
        <f t="shared" si="4"/>
      </c>
      <c r="BO3" s="344">
        <f t="shared" ref="BO3:BW3" si="5">INDEX(MO_Common_FPDays,0,MATCH(BO$5,MO_Common_ColumnHeader,0))</f>
      </c>
      <c r="BP3" s="344">
        <f t="shared" si="5"/>
      </c>
      <c r="BQ3" s="344">
        <f t="shared" si="5"/>
      </c>
      <c r="BR3" s="344">
        <f t="shared" si="5"/>
      </c>
      <c r="BS3" s="1114">
        <f t="shared" si="5"/>
      </c>
      <c r="BT3" s="723">
        <f>INDEX(MO_Common_FPDays,0,MATCH(BT$5,MO_Common_ColumnHeader,0))</f>
      </c>
      <c r="BU3" s="467">
        <f t="shared" si="5"/>
      </c>
      <c r="BV3" s="467">
        <f t="shared" si="5"/>
      </c>
      <c r="BW3" s="467">
        <f t="shared" si="5"/>
      </c>
      <c r="BX3" s="1115">
        <f t="shared" si="4"/>
      </c>
      <c r="BY3" s="467">
        <f t="shared" ref="BY3:CF3" si="6">INDEX(MO_Common_FPDays,0,MATCH(BY$5,MO_Common_ColumnHeader,0))</f>
      </c>
      <c r="BZ3" s="467">
        <f t="shared" si="6"/>
      </c>
      <c r="CA3" s="467">
        <f t="shared" si="6"/>
      </c>
      <c r="CB3" s="467">
        <f t="shared" si="6"/>
      </c>
      <c r="CC3" s="1115">
        <f t="shared" si="6"/>
      </c>
      <c r="CD3" s="1115">
        <f t="shared" si="6"/>
      </c>
      <c r="CE3" s="1115">
        <f t="shared" si="6"/>
      </c>
      <c r="CF3" s="1115">
        <f t="shared" si="6"/>
      </c>
      <c r="CG3" s="347"/>
    </row>
    <row r="4" spans="1:85" s="611" customFormat="1" ht="15" customHeight="1" x14ac:dyDescent="0.3">
      <c r="A4" s="343" t="str">
        <f>MO.DataSourceName</f>
      </c>
      <c r="B4" s="344" t="str">
        <f>MO.RealTime</f>
      </c>
      <c r="C4" s="1116">
        <f t="shared" ref="C4:AH4" si="7">INDEX(MO_Common_QEndDate,0,MATCH(C$5,MO_Common_ColumnHeader,0))</f>
      </c>
      <c r="D4" s="1116">
        <f t="shared" si="7"/>
      </c>
      <c r="E4" s="1116">
        <f t="shared" si="7"/>
      </c>
      <c r="F4" s="1116">
        <f t="shared" si="7"/>
      </c>
      <c r="G4" s="630">
        <f t="shared" si="7"/>
      </c>
      <c r="H4" s="630">
        <f t="shared" si="7"/>
      </c>
      <c r="I4" s="630">
        <f t="shared" si="7"/>
      </c>
      <c r="J4" s="630">
        <f t="shared" si="7"/>
      </c>
      <c r="K4" s="1116">
        <f t="shared" si="7"/>
      </c>
      <c r="L4" s="630">
        <f t="shared" si="7"/>
      </c>
      <c r="M4" s="630">
        <f t="shared" si="7"/>
      </c>
      <c r="N4" s="630">
        <f t="shared" si="7"/>
      </c>
      <c r="O4" s="630">
        <f t="shared" si="7"/>
      </c>
      <c r="P4" s="1116">
        <f t="shared" si="7"/>
      </c>
      <c r="Q4" s="630">
        <f t="shared" si="7"/>
      </c>
      <c r="R4" s="630">
        <f t="shared" si="7"/>
      </c>
      <c r="S4" s="630">
        <f t="shared" si="7"/>
      </c>
      <c r="T4" s="630">
        <f t="shared" si="7"/>
      </c>
      <c r="U4" s="1116">
        <f t="shared" si="7"/>
      </c>
      <c r="V4" s="630">
        <f t="shared" si="7"/>
      </c>
      <c r="W4" s="630">
        <f t="shared" si="7"/>
      </c>
      <c r="X4" s="630">
        <f t="shared" si="7"/>
      </c>
      <c r="Y4" s="630">
        <f t="shared" si="7"/>
      </c>
      <c r="Z4" s="1116">
        <f t="shared" si="7"/>
      </c>
      <c r="AA4" s="630">
        <f t="shared" si="7"/>
      </c>
      <c r="AB4" s="630">
        <f t="shared" si="7"/>
      </c>
      <c r="AC4" s="630">
        <f t="shared" si="7"/>
      </c>
      <c r="AD4" s="630">
        <f t="shared" si="7"/>
      </c>
      <c r="AE4" s="1116">
        <f t="shared" si="7"/>
      </c>
      <c r="AF4" s="630">
        <f t="shared" si="7"/>
      </c>
      <c r="AG4" s="630">
        <f t="shared" si="7"/>
      </c>
      <c r="AH4" s="630">
        <f t="shared" si="7"/>
      </c>
      <c r="AI4" s="630">
        <f t="shared" ref="AI4:BB4" si="8">INDEX(MO_Common_QEndDate,0,MATCH(AI$5,MO_Common_ColumnHeader,0))</f>
      </c>
      <c r="AJ4" s="1116">
        <f t="shared" si="8"/>
      </c>
      <c r="AK4" s="630">
        <f t="shared" si="8"/>
      </c>
      <c r="AL4" s="630">
        <f t="shared" si="8"/>
      </c>
      <c r="AM4" s="630">
        <f t="shared" si="8"/>
      </c>
      <c r="AN4" s="630">
        <f t="shared" si="8"/>
      </c>
      <c r="AO4" s="1116">
        <f t="shared" si="8"/>
      </c>
      <c r="AP4" s="630">
        <f t="shared" si="8"/>
      </c>
      <c r="AQ4" s="630">
        <f t="shared" si="8"/>
      </c>
      <c r="AR4" s="630">
        <f t="shared" si="8"/>
      </c>
      <c r="AS4" s="630">
        <f t="shared" si="8"/>
      </c>
      <c r="AT4" s="1116">
        <f t="shared" si="8"/>
      </c>
      <c r="AU4" s="630">
        <f t="shared" si="8"/>
      </c>
      <c r="AV4" s="630">
        <f t="shared" si="8"/>
      </c>
      <c r="AW4" s="630">
        <f t="shared" si="8"/>
      </c>
      <c r="AX4" s="630">
        <f>INDEX(MO_Common_QEndDate,0,MATCH(AX$5,MO_Common_ColumnHeader,0))</f>
      </c>
      <c r="AY4" s="1116">
        <f>INDEX(MO_Common_QEndDate,0,MATCH(AY$5,MO_Common_ColumnHeader,0))</f>
      </c>
      <c r="AZ4" s="630">
        <f>INDEX(MO_Common_QEndDate,0,MATCH(AZ$5,MO_Common_ColumnHeader,0))</f>
      </c>
      <c r="BA4" s="630">
        <f t="shared" si="8"/>
      </c>
      <c r="BB4" s="630">
        <f t="shared" si="8"/>
      </c>
      <c r="BC4" s="630">
        <f t="shared" ref="BC4:BD4" si="9">INDEX(MO_Common_QEndDate,0,MATCH(BC$5,MO_Common_ColumnHeader,0))</f>
      </c>
      <c r="BD4" s="1116">
        <f t="shared" si="9"/>
      </c>
      <c r="BE4" s="630">
        <f t="shared" ref="BE4:BI4" si="10">INDEX(MO_Common_QEndDate,0,MATCH(BE$5,MO_Common_ColumnHeader,0))</f>
      </c>
      <c r="BF4" s="630">
        <f t="shared" si="10"/>
      </c>
      <c r="BG4" s="630">
        <f t="shared" si="10"/>
      </c>
      <c r="BH4" s="630">
        <f t="shared" si="10"/>
      </c>
      <c r="BI4" s="1116">
        <f t="shared" si="10"/>
      </c>
      <c r="BJ4" s="630">
        <f t="shared" ref="BJ4:BX4" si="11">INDEX(MO_Common_QEndDate,0,MATCH(BJ$5,MO_Common_ColumnHeader,0))</f>
      </c>
      <c r="BK4" s="630">
        <f t="shared" si="11"/>
      </c>
      <c r="BL4" s="630">
        <f t="shared" si="11"/>
      </c>
      <c r="BM4" s="630">
        <f t="shared" si="11"/>
      </c>
      <c r="BN4" s="1116">
        <f t="shared" si="11"/>
      </c>
      <c r="BO4" s="630">
        <f t="shared" ref="BO4:BW4" si="12">INDEX(MO_Common_QEndDate,0,MATCH(BO$5,MO_Common_ColumnHeader,0))</f>
      </c>
      <c r="BP4" s="630">
        <f t="shared" si="12"/>
      </c>
      <c r="BQ4" s="630">
        <f t="shared" si="12"/>
      </c>
      <c r="BR4" s="630">
        <f t="shared" si="12"/>
      </c>
      <c r="BS4" s="1116">
        <f t="shared" si="12"/>
      </c>
      <c r="BT4" s="724">
        <f>INDEX(MO_Common_QEndDate,0,MATCH(BT$5,MO_Common_ColumnHeader,0))</f>
      </c>
      <c r="BU4" s="443">
        <f t="shared" si="12"/>
      </c>
      <c r="BV4" s="443">
        <f t="shared" si="12"/>
      </c>
      <c r="BW4" s="443">
        <f t="shared" si="12"/>
      </c>
      <c r="BX4" s="1117">
        <f t="shared" si="11"/>
      </c>
      <c r="BY4" s="443">
        <f t="shared" ref="BY4:CF4" si="13">INDEX(MO_Common_QEndDate,0,MATCH(BY$5,MO_Common_ColumnHeader,0))</f>
      </c>
      <c r="BZ4" s="443">
        <f t="shared" si="13"/>
      </c>
      <c r="CA4" s="443">
        <f t="shared" si="13"/>
      </c>
      <c r="CB4" s="443">
        <f t="shared" si="13"/>
      </c>
      <c r="CC4" s="1117">
        <f t="shared" si="13"/>
      </c>
      <c r="CD4" s="1117">
        <f t="shared" si="13"/>
      </c>
      <c r="CE4" s="1117">
        <f t="shared" si="13"/>
      </c>
      <c r="CF4" s="1117">
        <f t="shared" si="13"/>
      </c>
      <c r="CG4" s="347"/>
    </row>
    <row r="5" spans="1:85" s="611" customFormat="1" ht="15" customHeight="1" x14ac:dyDescent="0.3">
      <c r="A5" s="345" t="str">
        <f>MO.ReportFX</f>
      </c>
      <c r="B5" s="346"/>
      <c r="C5" s="1118" t="str">
        <f>Model!C5</f>
      </c>
      <c r="D5" s="1118" t="str">
        <f>Model!D5</f>
      </c>
      <c r="E5" s="1118" t="str">
        <f>Model!E5</f>
      </c>
      <c r="F5" s="1118" t="str">
        <f>Model!F5</f>
      </c>
      <c r="G5" s="1110" t="str">
        <f>Model!G5</f>
      </c>
      <c r="H5" s="1110" t="str">
        <f>Model!H5</f>
      </c>
      <c r="I5" s="1110" t="str">
        <f>Model!I5</f>
      </c>
      <c r="J5" s="1110" t="str">
        <f>Model!J5</f>
      </c>
      <c r="K5" s="1118" t="str">
        <f>Model!K5</f>
      </c>
      <c r="L5" s="1110" t="str">
        <f>Model!L5</f>
      </c>
      <c r="M5" s="1110" t="str">
        <f>Model!M5</f>
      </c>
      <c r="N5" s="1110" t="str">
        <f>Model!N5</f>
      </c>
      <c r="O5" s="1110" t="str">
        <f>Model!O5</f>
      </c>
      <c r="P5" s="1118" t="str">
        <f>Model!P5</f>
      </c>
      <c r="Q5" s="1110" t="str">
        <f>Model!Q5</f>
      </c>
      <c r="R5" s="1110" t="str">
        <f>Model!R5</f>
      </c>
      <c r="S5" s="1110" t="str">
        <f>Model!S5</f>
      </c>
      <c r="T5" s="1110" t="str">
        <f>Model!T5</f>
      </c>
      <c r="U5" s="1118" t="str">
        <f>Model!U5</f>
      </c>
      <c r="V5" s="1110" t="str">
        <f>Model!V5</f>
      </c>
      <c r="W5" s="1110" t="str">
        <f>Model!W5</f>
      </c>
      <c r="X5" s="1110" t="str">
        <f>Model!X5</f>
      </c>
      <c r="Y5" s="1110" t="str">
        <f>Model!Y5</f>
      </c>
      <c r="Z5" s="1118" t="str">
        <f>Model!Z5</f>
      </c>
      <c r="AA5" s="1110" t="str">
        <f>Model!AA5</f>
      </c>
      <c r="AB5" s="1110" t="str">
        <f>Model!AB5</f>
      </c>
      <c r="AC5" s="1110" t="str">
        <f>Model!AC5</f>
      </c>
      <c r="AD5" s="1110" t="str">
        <f>Model!AD5</f>
      </c>
      <c r="AE5" s="1118" t="str">
        <f>Model!AE5</f>
      </c>
      <c r="AF5" s="1110" t="str">
        <f>Model!AF5</f>
      </c>
      <c r="AG5" s="1110" t="str">
        <f>Model!AG5</f>
      </c>
      <c r="AH5" s="1110" t="str">
        <f>Model!AH5</f>
      </c>
      <c r="AI5" s="1110" t="str">
        <f>Model!AI5</f>
      </c>
      <c r="AJ5" s="1118" t="str">
        <f>Model!AJ5</f>
      </c>
      <c r="AK5" s="1110" t="str">
        <f>Model!AK5</f>
      </c>
      <c r="AL5" s="1110" t="str">
        <f>Model!AL5</f>
      </c>
      <c r="AM5" s="1110" t="str">
        <f>Model!AM5</f>
      </c>
      <c r="AN5" s="1110" t="str">
        <f>Model!AN5</f>
      </c>
      <c r="AO5" s="1118" t="str">
        <f>Model!AO5</f>
      </c>
      <c r="AP5" s="1110" t="str">
        <f>Model!AP5</f>
      </c>
      <c r="AQ5" s="1110" t="str">
        <f>Model!AQ5</f>
      </c>
      <c r="AR5" s="1110" t="str">
        <f>Model!AR5</f>
      </c>
      <c r="AS5" s="1110" t="str">
        <f>Model!AS5</f>
      </c>
      <c r="AT5" s="1118" t="str">
        <f>Model!AT5</f>
      </c>
      <c r="AU5" s="1110" t="str">
        <f>Model!AU5</f>
      </c>
      <c r="AV5" s="1110" t="str">
        <f>Model!AV5</f>
      </c>
      <c r="AW5" s="1110" t="str">
        <f>Model!AW5</f>
      </c>
      <c r="AX5" s="1110" t="str">
        <f>Model!AX5</f>
      </c>
      <c r="AY5" s="1118" t="str">
        <f>Model!AY5</f>
      </c>
      <c r="AZ5" s="1110" t="str">
        <f>Model!AZ5</f>
      </c>
      <c r="BA5" s="1110" t="str">
        <f>Model!BA5</f>
      </c>
      <c r="BB5" s="1110" t="str">
        <f>Model!BB5</f>
      </c>
      <c r="BC5" s="1110" t="str">
        <f>Model!BC5</f>
      </c>
      <c r="BD5" s="1118" t="str">
        <f>Model!BD5</f>
      </c>
      <c r="BE5" s="1110" t="str">
        <f>Model!BE5</f>
      </c>
      <c r="BF5" s="1110" t="str">
        <f>Model!BF5</f>
      </c>
      <c r="BG5" s="1110" t="str">
        <f>Model!BG5</f>
      </c>
      <c r="BH5" s="1110" t="str">
        <f>Model!BH5</f>
      </c>
      <c r="BI5" s="1118" t="str">
        <f>Model!BI5</f>
      </c>
      <c r="BJ5" s="1110" t="str">
        <f>Model!BJ5</f>
      </c>
      <c r="BK5" s="1110" t="str">
        <f>Model!BK5</f>
      </c>
      <c r="BL5" s="1110" t="str">
        <f>Model!BL5</f>
      </c>
      <c r="BM5" s="1110" t="str">
        <f>Model!BM5</f>
      </c>
      <c r="BN5" s="1118" t="str">
        <f>Model!BN5</f>
      </c>
      <c r="BO5" s="1110" t="str">
        <f>Model!BO5</f>
      </c>
      <c r="BP5" s="1110" t="str">
        <f>Model!BP5</f>
      </c>
      <c r="BQ5" s="1110" t="str">
        <f>Model!BQ5</f>
      </c>
      <c r="BR5" s="1110" t="str">
        <f>Model!BR5</f>
      </c>
      <c r="BS5" s="1118" t="str">
        <f>Model!BS5</f>
      </c>
      <c r="BT5" s="1111" t="str">
        <f>Model!BT5</f>
      </c>
      <c r="BU5" s="1110" t="str">
        <f>Model!BU5</f>
      </c>
      <c r="BV5" s="1110" t="str">
        <f>Model!BV5</f>
      </c>
      <c r="BW5" s="1110" t="str">
        <f>Model!BW5</f>
      </c>
      <c r="BX5" s="1118" t="str">
        <f>Model!BX5</f>
      </c>
      <c r="BY5" s="1110" t="str">
        <f>Model!BY5</f>
      </c>
      <c r="BZ5" s="1110" t="str">
        <f>Model!BZ5</f>
      </c>
      <c r="CA5" s="1110" t="str">
        <f>Model!CA5</f>
      </c>
      <c r="CB5" s="1110" t="str">
        <f>Model!CB5</f>
      </c>
      <c r="CC5" s="1118" t="str">
        <f>Model!CC5</f>
      </c>
      <c r="CD5" s="1118" t="str">
        <f>Model!CD5</f>
      </c>
      <c r="CE5" s="1118" t="str">
        <f>Model!CE5</f>
      </c>
      <c r="CF5" s="1118" t="str">
        <f>Model!CF5</f>
      </c>
      <c r="CG5" s="347"/>
    </row>
    <row r="6" spans="1:85" s="612" customFormat="1" x14ac:dyDescent="0.3">
      <c r="A6" s="776" t="s">
        <v>509</v>
      </c>
      <c r="B6" s="776"/>
      <c r="C6" s="776"/>
      <c r="D6" s="776"/>
      <c r="E6" s="776"/>
      <c r="F6" s="776"/>
      <c r="G6" s="776"/>
      <c r="H6" s="776"/>
      <c r="I6" s="776"/>
      <c r="J6" s="776"/>
      <c r="K6" s="776"/>
      <c r="L6" s="776"/>
      <c r="M6" s="776"/>
      <c r="N6" s="776"/>
      <c r="O6" s="776"/>
      <c r="P6" s="776"/>
      <c r="Q6" s="776"/>
      <c r="R6" s="776"/>
      <c r="S6" s="776"/>
      <c r="T6" s="776"/>
      <c r="U6" s="776"/>
      <c r="V6" s="776"/>
      <c r="W6" s="776"/>
      <c r="X6" s="776"/>
      <c r="Y6" s="776"/>
      <c r="Z6" s="776"/>
      <c r="AA6" s="776"/>
      <c r="AB6" s="776"/>
      <c r="AC6" s="776"/>
      <c r="AD6" s="776"/>
      <c r="AE6" s="776"/>
      <c r="AF6" s="776"/>
      <c r="AG6" s="776"/>
      <c r="AH6" s="776"/>
      <c r="AI6" s="776"/>
      <c r="AJ6" s="776"/>
      <c r="AK6" s="776"/>
      <c r="AL6" s="776"/>
      <c r="AM6" s="776"/>
      <c r="AN6" s="776"/>
      <c r="AO6" s="776"/>
      <c r="AP6" s="776"/>
      <c r="AQ6" s="776"/>
      <c r="AR6" s="776"/>
      <c r="AS6" s="776"/>
      <c r="AT6" s="776"/>
      <c r="AU6" s="776"/>
      <c r="AV6" s="776"/>
      <c r="AW6" s="776"/>
      <c r="AX6" s="776"/>
      <c r="AY6" s="776"/>
      <c r="AZ6" s="776"/>
      <c r="BA6" s="776"/>
      <c r="BB6" s="776"/>
      <c r="BC6" s="776"/>
      <c r="BD6" s="776"/>
      <c r="BE6" s="776"/>
      <c r="BF6" s="776"/>
      <c r="BG6" s="776"/>
      <c r="BH6" s="776"/>
      <c r="BI6" s="776"/>
      <c r="BJ6" s="776"/>
      <c r="BK6" s="776"/>
      <c r="BL6" s="776"/>
      <c r="BM6" s="776"/>
      <c r="BN6" s="776"/>
      <c r="BO6" s="776"/>
      <c r="BP6" s="776"/>
      <c r="BQ6" s="776"/>
      <c r="BR6" s="776"/>
      <c r="BS6" s="776"/>
      <c r="BT6" s="777"/>
      <c r="BU6" s="776"/>
      <c r="BV6" s="776"/>
      <c r="BW6" s="776"/>
      <c r="BX6" s="776"/>
      <c r="BY6" s="776"/>
      <c r="BZ6" s="776"/>
      <c r="CA6" s="776"/>
      <c r="CB6" s="776"/>
      <c r="CC6" s="776"/>
      <c r="CD6" s="776"/>
      <c r="CE6" s="776"/>
      <c r="CF6" s="776"/>
      <c r="CG6" s="348"/>
    </row>
    <row r="7" spans="1:85" s="587" customFormat="1" x14ac:dyDescent="0.3">
      <c r="A7" s="436" t="s">
        <v>510</v>
      </c>
      <c r="B7" s="430"/>
      <c r="C7" s="962"/>
      <c r="D7" s="1136">
        <f>Model!D1226</f>
      </c>
      <c r="E7" s="1136">
        <f>Model!E1226</f>
      </c>
      <c r="F7" s="1136">
        <f>Model!F1226</f>
      </c>
      <c r="G7" s="1133">
        <f>Model!G1226</f>
      </c>
      <c r="H7" s="1133">
        <f>Model!H1226</f>
      </c>
      <c r="I7" s="1133">
        <f>Model!I1226</f>
      </c>
      <c r="J7" s="757">
        <f>K7</f>
      </c>
      <c r="K7" s="1136">
        <f>Model!K1226</f>
      </c>
      <c r="L7" s="1133">
        <f>Model!L1226</f>
      </c>
      <c r="M7" s="1133">
        <f>Model!M1226</f>
      </c>
      <c r="N7" s="1133">
        <f>Model!N1226</f>
      </c>
      <c r="O7" s="757">
        <f>P7</f>
      </c>
      <c r="P7" s="1136">
        <f>Model!P1226</f>
      </c>
      <c r="Q7" s="1133">
        <f>Model!Q1226</f>
      </c>
      <c r="R7" s="1133">
        <f>Model!R1226</f>
      </c>
      <c r="S7" s="1133">
        <f>Model!S1226</f>
      </c>
      <c r="T7" s="757">
        <f>U7</f>
      </c>
      <c r="U7" s="1136">
        <f>Model!U1226</f>
      </c>
      <c r="V7" s="1133">
        <f>Model!V1226</f>
      </c>
      <c r="W7" s="1133">
        <f>Model!W1226</f>
      </c>
      <c r="X7" s="1133">
        <f>Model!X1226</f>
      </c>
      <c r="Y7" s="757">
        <f>Z7</f>
      </c>
      <c r="Z7" s="1136">
        <f>Model!Z1226</f>
      </c>
      <c r="AA7" s="1133">
        <f>Model!AA1226</f>
      </c>
      <c r="AB7" s="1133">
        <f>Model!AB1226</f>
      </c>
      <c r="AC7" s="1133">
        <f>Model!AC1226</f>
      </c>
      <c r="AD7" s="757">
        <f>AE7</f>
      </c>
      <c r="AE7" s="1136">
        <f>Model!AE1226</f>
      </c>
      <c r="AF7" s="1133">
        <f>Model!AF1226</f>
      </c>
      <c r="AG7" s="1133">
        <f>Model!AG1226</f>
      </c>
      <c r="AH7" s="1133">
        <f>Model!AH1226</f>
      </c>
      <c r="AI7" s="757">
        <f>AJ7</f>
      </c>
      <c r="AJ7" s="1136">
        <f>Model!AJ1226</f>
      </c>
      <c r="AK7" s="1133">
        <f>Model!AK1226</f>
      </c>
      <c r="AL7" s="1133">
        <f>Model!AL1226</f>
      </c>
      <c r="AM7" s="1133">
        <f>Model!AM1226</f>
      </c>
      <c r="AN7" s="757">
        <f>AO7</f>
      </c>
      <c r="AO7" s="1136">
        <f>Model!AO1226</f>
      </c>
      <c r="AP7" s="1133">
        <f>Model!AP1226</f>
      </c>
      <c r="AQ7" s="1133">
        <f>Model!AQ1226</f>
      </c>
      <c r="AR7" s="1133">
        <f>Model!AR1226</f>
      </c>
      <c r="AS7" s="757">
        <f>AT7</f>
      </c>
      <c r="AT7" s="1136">
        <f>Model!AT1226</f>
      </c>
      <c r="AU7" s="1133">
        <f>Model!AU1226</f>
      </c>
      <c r="AV7" s="1133">
        <f>Model!AV1226</f>
      </c>
      <c r="AW7" s="857">
        <v>4110.9620000000004</v>
      </c>
      <c r="AX7" s="757">
        <f>AY7</f>
      </c>
      <c r="AY7" s="1136">
        <f>Model!AY1226</f>
      </c>
      <c r="AZ7" s="1133">
        <f>Model!AZ1226</f>
      </c>
      <c r="BA7" s="1133">
        <f>Model!BA1226</f>
      </c>
      <c r="BB7" s="1133">
        <f>Model!BB1226</f>
      </c>
      <c r="BC7" s="757">
        <f>BD7</f>
      </c>
      <c r="BD7" s="1136">
        <f>Model!BD1226</f>
      </c>
      <c r="BE7" s="1133">
        <f>Model!BE1226</f>
      </c>
      <c r="BF7" s="1133">
        <f>Model!BF1226</f>
      </c>
      <c r="BG7" s="1133">
        <f>Model!BG1226</f>
      </c>
      <c r="BH7" s="757">
        <f>BI7</f>
      </c>
      <c r="BI7" s="1136">
        <f>Model!BI1226</f>
      </c>
      <c r="BJ7" s="1133">
        <f>Model!BJ1226</f>
      </c>
      <c r="BK7" s="1133">
        <f>Model!BK1226</f>
      </c>
      <c r="BL7" s="1133">
        <f>Model!BL1226</f>
      </c>
      <c r="BM7" s="757">
        <f>BN7</f>
      </c>
      <c r="BN7" s="1136">
        <f>Model!BN1226</f>
      </c>
      <c r="BO7" s="1133">
        <f>Model!BO1226</f>
      </c>
      <c r="BP7" s="1133">
        <f>Model!BP1226</f>
      </c>
      <c r="BQ7" s="1133">
        <f>Model!BQ1226</f>
      </c>
      <c r="BR7" s="757">
        <f>BS7</f>
      </c>
      <c r="BS7" s="1136">
        <f>Model!BS1226</f>
      </c>
      <c r="BT7" s="1134">
        <f>Model!BT1226</f>
      </c>
      <c r="BU7" s="757"/>
      <c r="BV7" s="757"/>
      <c r="BW7" s="757"/>
      <c r="BX7" s="962"/>
      <c r="BY7" s="757"/>
      <c r="BZ7" s="757"/>
      <c r="CA7" s="757"/>
      <c r="CB7" s="757"/>
      <c r="CC7" s="962"/>
      <c r="CD7" s="962"/>
      <c r="CE7" s="962"/>
      <c r="CF7" s="962"/>
      <c r="CG7" s="459"/>
    </row>
    <row r="8" spans="1:85" s="587" customFormat="1" x14ac:dyDescent="0.3">
      <c r="A8" s="436" t="s">
        <v>513</v>
      </c>
      <c r="B8" s="430"/>
      <c r="C8" s="962"/>
      <c r="D8" s="1136">
        <f>Model!D1237</f>
      </c>
      <c r="E8" s="1136">
        <f>Model!E1237</f>
      </c>
      <c r="F8" s="1136">
        <f>Model!F1237</f>
      </c>
      <c r="G8" s="1133">
        <f>Model!G1237</f>
      </c>
      <c r="H8" s="1133">
        <f>Model!H1237</f>
      </c>
      <c r="I8" s="1133">
        <f>Model!I1237</f>
      </c>
      <c r="J8" s="757">
        <f>K8</f>
      </c>
      <c r="K8" s="1136">
        <f>Model!K1237</f>
      </c>
      <c r="L8" s="1133">
        <f>Model!L1237</f>
      </c>
      <c r="M8" s="1133">
        <f>Model!M1237</f>
      </c>
      <c r="N8" s="1133">
        <f>Model!N1237</f>
      </c>
      <c r="O8" s="757">
        <f>P8</f>
      </c>
      <c r="P8" s="1136">
        <f>Model!P1237</f>
      </c>
      <c r="Q8" s="1133">
        <f>Model!Q1237</f>
      </c>
      <c r="R8" s="1133">
        <f>Model!R1237</f>
      </c>
      <c r="S8" s="1133">
        <f>Model!S1237</f>
      </c>
      <c r="T8" s="757">
        <f>U8</f>
      </c>
      <c r="U8" s="1136">
        <f>Model!U1237</f>
      </c>
      <c r="V8" s="1133">
        <f>Model!V1237</f>
      </c>
      <c r="W8" s="1133">
        <f>Model!W1237</f>
      </c>
      <c r="X8" s="1133">
        <f>Model!X1237</f>
      </c>
      <c r="Y8" s="757">
        <f>Z8</f>
      </c>
      <c r="Z8" s="1136">
        <f>Model!Z1237</f>
      </c>
      <c r="AA8" s="1133">
        <f>Model!AA1237</f>
      </c>
      <c r="AB8" s="1133">
        <f>Model!AB1237</f>
      </c>
      <c r="AC8" s="1133">
        <f>Model!AC1237</f>
      </c>
      <c r="AD8" s="757">
        <f>AE8</f>
      </c>
      <c r="AE8" s="1136">
        <f>Model!AE1237</f>
      </c>
      <c r="AF8" s="1133">
        <f>Model!AF1237</f>
      </c>
      <c r="AG8" s="1133">
        <f>Model!AG1237</f>
      </c>
      <c r="AH8" s="1133">
        <f>Model!AH1237</f>
      </c>
      <c r="AI8" s="757">
        <f>AJ8</f>
      </c>
      <c r="AJ8" s="1136">
        <f>Model!AJ1237</f>
      </c>
      <c r="AK8" s="1133">
        <f>Model!AK1237</f>
      </c>
      <c r="AL8" s="1133">
        <f>Model!AL1237</f>
      </c>
      <c r="AM8" s="1133">
        <f>Model!AM1237</f>
      </c>
      <c r="AN8" s="757">
        <f>AO8</f>
      </c>
      <c r="AO8" s="1136">
        <f>Model!AO1237</f>
      </c>
      <c r="AP8" s="1133">
        <f>Model!AP1237</f>
      </c>
      <c r="AQ8" s="1133">
        <f>Model!AQ1237</f>
      </c>
      <c r="AR8" s="1133">
        <f>Model!AR1237</f>
      </c>
      <c r="AS8" s="757">
        <f>AT8</f>
      </c>
      <c r="AT8" s="1136">
        <f>Model!AT1237</f>
      </c>
      <c r="AU8" s="1133">
        <f>Model!AU1237</f>
      </c>
      <c r="AV8" s="1133">
        <f>Model!AV1237</f>
      </c>
      <c r="AW8" s="857">
        <v>2301.0259999999998</v>
      </c>
      <c r="AX8" s="757">
        <f>AY8</f>
      </c>
      <c r="AY8" s="1136">
        <f>Model!AY1237</f>
      </c>
      <c r="AZ8" s="1133">
        <f>Model!AZ1237</f>
      </c>
      <c r="BA8" s="1133">
        <f>Model!BA1237</f>
      </c>
      <c r="BB8" s="1133">
        <f>Model!BB1237</f>
      </c>
      <c r="BC8" s="757">
        <f>BD8</f>
      </c>
      <c r="BD8" s="1136">
        <f>Model!BD1237</f>
      </c>
      <c r="BE8" s="1133">
        <f>Model!BE1237</f>
      </c>
      <c r="BF8" s="1133">
        <f>Model!BF1237</f>
      </c>
      <c r="BG8" s="1133">
        <f>Model!BG1237</f>
      </c>
      <c r="BH8" s="757">
        <f>BI8</f>
      </c>
      <c r="BI8" s="1136">
        <f>Model!BI1237</f>
      </c>
      <c r="BJ8" s="1133">
        <f>Model!BJ1237</f>
      </c>
      <c r="BK8" s="1133">
        <f>Model!BK1237</f>
      </c>
      <c r="BL8" s="1133">
        <f>Model!BL1237</f>
      </c>
      <c r="BM8" s="757">
        <f>BN8</f>
      </c>
      <c r="BN8" s="1136">
        <f>Model!BN1237</f>
      </c>
      <c r="BO8" s="1133">
        <f>Model!BO1237</f>
      </c>
      <c r="BP8" s="1133">
        <f>Model!BP1237</f>
      </c>
      <c r="BQ8" s="1133">
        <f>Model!BQ1237</f>
      </c>
      <c r="BR8" s="757">
        <f>BS8</f>
      </c>
      <c r="BS8" s="1136">
        <f>Model!BS1237</f>
      </c>
      <c r="BT8" s="1134">
        <f>Model!BT1237</f>
      </c>
      <c r="BU8" s="757"/>
      <c r="BV8" s="757"/>
      <c r="BW8" s="757"/>
      <c r="BX8" s="962"/>
      <c r="BY8" s="757"/>
      <c r="BZ8" s="757"/>
      <c r="CA8" s="757"/>
      <c r="CB8" s="757"/>
      <c r="CC8" s="962"/>
      <c r="CD8" s="962"/>
      <c r="CE8" s="962"/>
      <c r="CF8" s="962"/>
      <c r="CG8" s="459"/>
    </row>
    <row r="9" spans="1:85" s="587" customFormat="1" x14ac:dyDescent="0.3">
      <c r="A9" s="554" t="s">
        <v>511</v>
      </c>
      <c r="B9" s="425"/>
      <c r="C9" s="984"/>
      <c r="D9" s="984">
        <f t="shared" ref="D9:I9" si="14">D10-D7-D8</f>
      </c>
      <c r="E9" s="984">
        <f t="shared" si="14"/>
      </c>
      <c r="F9" s="1005">
        <f t="shared" si="14"/>
      </c>
      <c r="G9" s="761">
        <f t="shared" si="14"/>
      </c>
      <c r="H9" s="761">
        <f t="shared" si="14"/>
      </c>
      <c r="I9" s="761">
        <f t="shared" si="14"/>
      </c>
      <c r="J9" s="800">
        <f>K9</f>
      </c>
      <c r="K9" s="1005">
        <f>K10-K7-K8</f>
      </c>
      <c r="L9" s="761">
        <f>L10-L7-L8</f>
      </c>
      <c r="M9" s="761">
        <f>M10-M7-M8</f>
      </c>
      <c r="N9" s="761">
        <f>N10-N7-N8</f>
      </c>
      <c r="O9" s="800">
        <f>P9</f>
      </c>
      <c r="P9" s="1005">
        <f>P10-P7-P8</f>
      </c>
      <c r="Q9" s="761">
        <f>Q10-Q7-Q8</f>
      </c>
      <c r="R9" s="761">
        <f>R10-R7-R8</f>
      </c>
      <c r="S9" s="761">
        <f>S10-S7-S8</f>
      </c>
      <c r="T9" s="800">
        <f>U9</f>
      </c>
      <c r="U9" s="1005">
        <f>U10-U7-U8</f>
      </c>
      <c r="V9" s="761">
        <f>V10-V7-V8</f>
      </c>
      <c r="W9" s="761">
        <f>W10-W7-W8</f>
      </c>
      <c r="X9" s="761">
        <f>X10-X7-X8</f>
      </c>
      <c r="Y9" s="800">
        <f>Z9</f>
      </c>
      <c r="Z9" s="1005">
        <f>Z10-Z7-Z8</f>
      </c>
      <c r="AA9" s="761">
        <f>AA10-AA7-AA8</f>
      </c>
      <c r="AB9" s="761">
        <f>AB10-AB7-AB8</f>
      </c>
      <c r="AC9" s="761">
        <f>AC10-AC7-AC8</f>
      </c>
      <c r="AD9" s="800">
        <f>AE9</f>
      </c>
      <c r="AE9" s="1005">
        <f>AE10-AE7-AE8</f>
      </c>
      <c r="AF9" s="761">
        <f>AF10-AF7-AF8</f>
      </c>
      <c r="AG9" s="761">
        <f>AG10-AG7-AG8</f>
      </c>
      <c r="AH9" s="761">
        <f>AH10-AH7-AH8</f>
      </c>
      <c r="AI9" s="800">
        <f>AJ9</f>
      </c>
      <c r="AJ9" s="1005">
        <f>AJ10-AJ7-AJ8</f>
      </c>
      <c r="AK9" s="761">
        <f>AK10-AK7-AK8</f>
      </c>
      <c r="AL9" s="761">
        <f>AL10-AL7-AL8</f>
      </c>
      <c r="AM9" s="761">
        <f>AM10-AM7-AM8</f>
      </c>
      <c r="AN9" s="800">
        <f>AO9</f>
      </c>
      <c r="AO9" s="1005">
        <f>AO10-AO7-AO8</f>
      </c>
      <c r="AP9" s="800">
        <f>AP10-AP7-AP8</f>
      </c>
      <c r="AQ9" s="761">
        <f>AQ10-AQ7-AQ8</f>
      </c>
      <c r="AR9" s="761">
        <f>AR10-AR7-AR8</f>
      </c>
      <c r="AS9" s="800">
        <f>AT9</f>
      </c>
      <c r="AT9" s="1005">
        <f>AT10-AT7-AT8</f>
      </c>
      <c r="AU9" s="800">
        <f>AU10-AU7-AU8</f>
      </c>
      <c r="AV9" s="761">
        <f>AV10-AV7-AV8</f>
      </c>
      <c r="AW9" s="761">
        <f>AW10-AW7-AW8</f>
      </c>
      <c r="AX9" s="761">
        <f>AY9</f>
      </c>
      <c r="AY9" s="984">
        <f>AY10-AY7-AY8</f>
      </c>
      <c r="AZ9" s="800">
        <f>AZ10-AZ7-AZ8</f>
      </c>
      <c r="BA9" s="761">
        <f>BA10-BA7-BA8</f>
      </c>
      <c r="BB9" s="761">
        <f>BB10-BB7-BB8</f>
      </c>
      <c r="BC9" s="761">
        <f>BD9</f>
      </c>
      <c r="BD9" s="984">
        <f>BD10-BD7-BD8</f>
      </c>
      <c r="BE9" s="800">
        <f>BE10-BE7-BE8</f>
      </c>
      <c r="BF9" s="761">
        <f>BF10-BF7-BF8</f>
      </c>
      <c r="BG9" s="761">
        <f>BG10-BG7-BG8</f>
      </c>
      <c r="BH9" s="761">
        <f>BI9</f>
      </c>
      <c r="BI9" s="984">
        <f>BI10-BI7-BI8</f>
      </c>
      <c r="BJ9" s="800">
        <f>BJ10-BJ7-BJ8</f>
      </c>
      <c r="BK9" s="761">
        <f>BK10-BK7-BK8</f>
      </c>
      <c r="BL9" s="761">
        <f>BL10-BL7-BL8</f>
      </c>
      <c r="BM9" s="761">
        <f>BN9</f>
      </c>
      <c r="BN9" s="984">
        <f>BN10-BN7-BN8</f>
      </c>
      <c r="BO9" s="800">
        <f>BO10-BO7-BO8</f>
      </c>
      <c r="BP9" s="761">
        <f>BP10-BP7-BP8</f>
      </c>
      <c r="BQ9" s="761">
        <f>BQ10-BQ7-BQ8</f>
      </c>
      <c r="BR9" s="761">
        <f>BS9</f>
      </c>
      <c r="BS9" s="984">
        <f>BS10-BS7-BS8</f>
      </c>
      <c r="BT9" s="808">
        <f>BT10-BT7-BT8</f>
      </c>
      <c r="BU9" s="761"/>
      <c r="BV9" s="761"/>
      <c r="BW9" s="761"/>
      <c r="BX9" s="984"/>
      <c r="BY9" s="761"/>
      <c r="BZ9" s="761"/>
      <c r="CA9" s="761"/>
      <c r="CB9" s="761"/>
      <c r="CC9" s="984"/>
      <c r="CD9" s="984"/>
      <c r="CE9" s="984"/>
      <c r="CF9" s="984"/>
      <c r="CG9" s="459"/>
    </row>
    <row r="10" spans="1:85" s="587" customFormat="1" x14ac:dyDescent="0.3">
      <c r="A10" s="2" t="s">
        <v>512</v>
      </c>
      <c r="B10" s="426"/>
      <c r="C10" s="965"/>
      <c r="D10" s="966">
        <v>1299.1759999999999</v>
      </c>
      <c r="E10" s="966">
        <v>3907.1979999999999</v>
      </c>
      <c r="F10" s="966">
        <v>5633.6850000000004</v>
      </c>
      <c r="G10" s="858">
        <v>5672.4859999999999</v>
      </c>
      <c r="H10" s="858">
        <v>6368.1049999999996</v>
      </c>
      <c r="I10" s="858">
        <v>6505.3509999999997</v>
      </c>
      <c r="J10" s="792">
        <f>K10</f>
      </c>
      <c r="K10" s="966">
        <v>7252.1610000000001</v>
      </c>
      <c r="L10" s="858">
        <v>7123.2089999999998</v>
      </c>
      <c r="M10" s="858">
        <v>7728.05</v>
      </c>
      <c r="N10" s="858">
        <v>8857.2270000000008</v>
      </c>
      <c r="O10" s="792">
        <f>P10</f>
      </c>
      <c r="P10" s="966">
        <v>9451.1119999999992</v>
      </c>
      <c r="Q10" s="858">
        <v>9780.2620000000006</v>
      </c>
      <c r="R10" s="858">
        <v>10073.409</v>
      </c>
      <c r="S10" s="858">
        <v>10378.218000000001</v>
      </c>
      <c r="T10" s="792">
        <f>U10</f>
      </c>
      <c r="U10" s="966">
        <v>10902.231</v>
      </c>
      <c r="V10" s="858">
        <v>12318.233</v>
      </c>
      <c r="W10" s="858">
        <v>13194.009</v>
      </c>
      <c r="X10" s="858">
        <v>14353.045</v>
      </c>
      <c r="Y10" s="792">
        <f>Z10</f>
      </c>
      <c r="Z10" s="966">
        <v>14479.486999999999</v>
      </c>
      <c r="AA10" s="858">
        <v>15290.134</v>
      </c>
      <c r="AB10" s="858">
        <v>15699.387000000001</v>
      </c>
      <c r="AC10" s="858">
        <v>16991.93</v>
      </c>
      <c r="AD10" s="792">
        <f>AE10</f>
      </c>
      <c r="AE10" s="966">
        <v>17694.642</v>
      </c>
      <c r="AF10" s="858">
        <v>17937.682000000001</v>
      </c>
      <c r="AG10" s="858">
        <v>18398.766</v>
      </c>
      <c r="AH10" s="858">
        <v>18645.758000000002</v>
      </c>
      <c r="AI10" s="792">
        <f>AJ10</f>
      </c>
      <c r="AJ10" s="966">
        <v>19285.875</v>
      </c>
      <c r="AK10" s="858">
        <v>18922.789000000001</v>
      </c>
      <c r="AL10" s="858">
        <v>18502.816999999999</v>
      </c>
      <c r="AM10" s="858">
        <v>19141.543000000001</v>
      </c>
      <c r="AN10" s="792">
        <f>AO10</f>
      </c>
      <c r="AO10" s="966">
        <v>19490.081999999999</v>
      </c>
      <c r="AP10" s="858">
        <v>19174.038</v>
      </c>
      <c r="AQ10" s="858">
        <v>19133.34</v>
      </c>
      <c r="AR10" s="858">
        <v>19072.254000000001</v>
      </c>
      <c r="AS10" s="792">
        <f>AT10</f>
      </c>
      <c r="AT10" s="966">
        <v>19218.830000000002</v>
      </c>
      <c r="AU10" s="858">
        <v>20725.165000000001</v>
      </c>
      <c r="AV10" s="858">
        <v>21863.144</v>
      </c>
      <c r="AW10" s="858">
        <v>22465.54</v>
      </c>
      <c r="AX10" s="791">
        <f>AY10</f>
      </c>
      <c r="AY10" s="966">
        <v>23161.360000000001</v>
      </c>
      <c r="AZ10" s="858">
        <v>22365.56</v>
      </c>
      <c r="BA10" s="858">
        <v>22769.606</v>
      </c>
      <c r="BB10" s="858">
        <v>21572.744999999999</v>
      </c>
      <c r="BC10" s="791">
        <f>BD10</f>
      </c>
      <c r="BD10" s="966">
        <v>21831.947</v>
      </c>
      <c r="BE10" s="858">
        <v>21525.870999999999</v>
      </c>
      <c r="BF10" s="791">
        <f>BF16</f>
      </c>
      <c r="BG10" s="791">
        <f>BG16</f>
      </c>
      <c r="BH10" s="791">
        <f>BI10</f>
      </c>
      <c r="BI10" s="966">
        <v>21713.348999999998</v>
      </c>
      <c r="BJ10" s="858">
        <v>24195</v>
      </c>
      <c r="BK10" s="791">
        <f>BK16</f>
      </c>
      <c r="BL10" s="858">
        <v>22698.294999999998</v>
      </c>
      <c r="BM10" s="791">
        <f>BN10</f>
      </c>
      <c r="BN10" s="966">
        <v>23248.931</v>
      </c>
      <c r="BO10" s="858">
        <v>21790.643</v>
      </c>
      <c r="BP10" s="858">
        <v>20967.27</v>
      </c>
      <c r="BQ10" s="858">
        <v>20940.900000000001</v>
      </c>
      <c r="BR10" s="791">
        <f>BS10</f>
      </c>
      <c r="BS10" s="966">
        <v>24039.227999999999</v>
      </c>
      <c r="BT10" s="859">
        <v>24139.431</v>
      </c>
      <c r="BU10" s="791"/>
      <c r="BV10" s="791"/>
      <c r="BW10" s="791"/>
      <c r="BX10" s="965"/>
      <c r="BY10" s="791"/>
      <c r="BZ10" s="791"/>
      <c r="CA10" s="791"/>
      <c r="CB10" s="791"/>
      <c r="CC10" s="965"/>
      <c r="CD10" s="965"/>
      <c r="CE10" s="965"/>
      <c r="CF10" s="965"/>
      <c r="CG10" s="183"/>
    </row>
    <row r="11" spans="1:85" s="587" customFormat="1" x14ac:dyDescent="0.3">
      <c r="A11" s="442"/>
      <c r="B11" s="430"/>
      <c r="C11" s="962"/>
      <c r="D11" s="962"/>
      <c r="E11" s="962"/>
      <c r="F11" s="962"/>
      <c r="G11" s="757"/>
      <c r="H11" s="757"/>
      <c r="I11" s="757"/>
      <c r="J11" s="757"/>
      <c r="K11" s="962"/>
      <c r="L11" s="757"/>
      <c r="M11" s="757"/>
      <c r="N11" s="757"/>
      <c r="O11" s="757"/>
      <c r="P11" s="962"/>
      <c r="Q11" s="757"/>
      <c r="R11" s="757"/>
      <c r="S11" s="757"/>
      <c r="T11" s="757"/>
      <c r="U11" s="962"/>
      <c r="V11" s="757"/>
      <c r="W11" s="757"/>
      <c r="X11" s="757"/>
      <c r="Y11" s="757"/>
      <c r="Z11" s="962"/>
      <c r="AA11" s="757"/>
      <c r="AB11" s="757"/>
      <c r="AC11" s="757"/>
      <c r="AD11" s="757"/>
      <c r="AE11" s="962"/>
      <c r="AF11" s="757"/>
      <c r="AG11" s="757"/>
      <c r="AH11" s="757"/>
      <c r="AI11" s="757"/>
      <c r="AJ11" s="962"/>
      <c r="AK11" s="757"/>
      <c r="AL11" s="757"/>
      <c r="AM11" s="757"/>
      <c r="AN11" s="757"/>
      <c r="AO11" s="962"/>
      <c r="AP11" s="757"/>
      <c r="AQ11" s="757"/>
      <c r="AR11" s="757"/>
      <c r="AS11" s="757"/>
      <c r="AT11" s="962"/>
      <c r="AU11" s="757"/>
      <c r="AV11" s="757"/>
      <c r="AW11" s="757"/>
      <c r="AX11" s="757"/>
      <c r="AY11" s="962"/>
      <c r="AZ11" s="757"/>
      <c r="BA11" s="757"/>
      <c r="BB11" s="757"/>
      <c r="BC11" s="757"/>
      <c r="BD11" s="962"/>
      <c r="BE11" s="757"/>
      <c r="BF11" s="757"/>
      <c r="BG11" s="757"/>
      <c r="BH11" s="757"/>
      <c r="BI11" s="962"/>
      <c r="BJ11" s="757"/>
      <c r="BK11" s="757"/>
      <c r="BL11" s="757"/>
      <c r="BM11" s="757"/>
      <c r="BN11" s="962"/>
      <c r="BO11" s="757"/>
      <c r="BP11" s="757"/>
      <c r="BQ11" s="757"/>
      <c r="BR11" s="757"/>
      <c r="BS11" s="962"/>
      <c r="BT11" s="758"/>
      <c r="BU11" s="757"/>
      <c r="BV11" s="757"/>
      <c r="BW11" s="757"/>
      <c r="BX11" s="962"/>
      <c r="BY11" s="757"/>
      <c r="BZ11" s="757"/>
      <c r="CA11" s="757"/>
      <c r="CB11" s="757"/>
      <c r="CC11" s="962"/>
      <c r="CD11" s="962"/>
      <c r="CE11" s="962"/>
      <c r="CF11" s="962"/>
      <c r="CG11" s="459"/>
    </row>
    <row r="12" spans="1:85" s="587" customFormat="1" x14ac:dyDescent="0.3">
      <c r="A12" s="436" t="s">
        <v>514</v>
      </c>
      <c r="B12" s="430"/>
      <c r="C12" s="962"/>
      <c r="D12" s="963">
        <v>530.87800000000004</v>
      </c>
      <c r="E12" s="963">
        <v>797.649</v>
      </c>
      <c r="F12" s="963">
        <v>2299.5619999999999</v>
      </c>
      <c r="G12" s="857">
        <v>2376.2600000000002</v>
      </c>
      <c r="H12" s="857">
        <v>2533.0610000000001</v>
      </c>
      <c r="I12" s="857">
        <v>2766.5970000000002</v>
      </c>
      <c r="J12" s="757">
        <f>K12</f>
      </c>
      <c r="K12" s="963">
        <v>2972.3249999999998</v>
      </c>
      <c r="L12" s="857">
        <v>3055.127</v>
      </c>
      <c r="M12" s="857">
        <v>3304.3670000000002</v>
      </c>
      <c r="N12" s="857">
        <v>3574.1289999999999</v>
      </c>
      <c r="O12" s="757">
        <f>P12</f>
      </c>
      <c r="P12" s="963">
        <v>3747.6480000000001</v>
      </c>
      <c r="Q12" s="857">
        <v>4016.95</v>
      </c>
      <c r="R12" s="857">
        <v>4271.2849999999999</v>
      </c>
      <c r="S12" s="857">
        <v>4535.2089999999998</v>
      </c>
      <c r="T12" s="757">
        <f>U12</f>
      </c>
      <c r="U12" s="963">
        <v>4703.1719999999996</v>
      </c>
      <c r="V12" s="857">
        <v>5161.2790000000005</v>
      </c>
      <c r="W12" s="857">
        <v>5544.875</v>
      </c>
      <c r="X12" s="857">
        <v>5895.2049999999999</v>
      </c>
      <c r="Y12" s="757">
        <f>Z12</f>
      </c>
      <c r="Z12" s="963">
        <v>6200.6109999999999</v>
      </c>
      <c r="AA12" s="857">
        <v>6599.7539999999999</v>
      </c>
      <c r="AB12" s="857">
        <v>6592.5169999999998</v>
      </c>
      <c r="AC12" s="857">
        <v>6984.36</v>
      </c>
      <c r="AD12" s="757">
        <f>AE12</f>
      </c>
      <c r="AE12" s="963">
        <v>7446.9470000000001</v>
      </c>
      <c r="AF12" s="857">
        <v>7949.5439999999999</v>
      </c>
      <c r="AG12" s="857">
        <v>8212.6139999999996</v>
      </c>
      <c r="AH12" s="857">
        <v>8407.1560000000009</v>
      </c>
      <c r="AI12" s="757">
        <f>AJ12</f>
      </c>
      <c r="AJ12" s="963">
        <v>8611.3979999999992</v>
      </c>
      <c r="AK12" s="857">
        <v>8888.491</v>
      </c>
      <c r="AL12" s="857">
        <v>8741.6229999999996</v>
      </c>
      <c r="AM12" s="857">
        <v>8993.6119999999992</v>
      </c>
      <c r="AN12" s="757">
        <f>AO12</f>
      </c>
      <c r="AO12" s="963">
        <v>8477.3670000000002</v>
      </c>
      <c r="AP12" s="857">
        <v>8618.1849999999995</v>
      </c>
      <c r="AQ12" s="857">
        <v>8415.7919999999995</v>
      </c>
      <c r="AR12" s="857">
        <v>8668.2960000000003</v>
      </c>
      <c r="AS12" s="757">
        <f>AT12</f>
      </c>
      <c r="AT12" s="963">
        <v>8980.8680000000004</v>
      </c>
      <c r="AU12" s="857">
        <v>9456.3420000000006</v>
      </c>
      <c r="AV12" s="857">
        <v>9885.5889999999999</v>
      </c>
      <c r="AW12" s="857">
        <v>10017.405000000001</v>
      </c>
      <c r="AX12" s="757">
        <f>AY12</f>
      </c>
      <c r="AY12" s="963">
        <v>10019.306</v>
      </c>
      <c r="AZ12" s="857">
        <v>9861.9789999999994</v>
      </c>
      <c r="BA12" s="857">
        <v>10208.609</v>
      </c>
      <c r="BB12" s="857">
        <v>9667.3259999999991</v>
      </c>
      <c r="BC12" s="757">
        <f>BD12</f>
      </c>
      <c r="BD12" s="963">
        <v>10038.483</v>
      </c>
      <c r="BE12" s="857">
        <v>9771.6650000000009</v>
      </c>
      <c r="BF12" s="857">
        <v>9818.3700000000008</v>
      </c>
      <c r="BG12" s="857">
        <v>9512.0810000000001</v>
      </c>
      <c r="BH12" s="757">
        <f>BI12</f>
      </c>
      <c r="BI12" s="963">
        <v>10328.923000000001</v>
      </c>
      <c r="BJ12" s="857">
        <v>11066.048000000001</v>
      </c>
      <c r="BK12" s="857">
        <v>11456.834000000001</v>
      </c>
      <c r="BL12" s="857">
        <v>11810.835999999999</v>
      </c>
      <c r="BM12" s="757">
        <f>BN12</f>
      </c>
      <c r="BN12" s="963">
        <v>11424.696</v>
      </c>
      <c r="BO12" s="857">
        <v>10977.295</v>
      </c>
      <c r="BP12" s="857">
        <v>10842.959000000001</v>
      </c>
      <c r="BQ12" s="857">
        <v>11267.688</v>
      </c>
      <c r="BR12" s="757">
        <f>BS12</f>
      </c>
      <c r="BS12" s="963">
        <v>11528.03</v>
      </c>
      <c r="BT12" s="864">
        <v>11779.222</v>
      </c>
      <c r="BU12" s="757"/>
      <c r="BV12" s="757"/>
      <c r="BW12" s="757"/>
      <c r="BX12" s="962"/>
      <c r="BY12" s="757"/>
      <c r="BZ12" s="757"/>
      <c r="CA12" s="757"/>
      <c r="CB12" s="757"/>
      <c r="CC12" s="962"/>
      <c r="CD12" s="962"/>
      <c r="CE12" s="962"/>
      <c r="CF12" s="962"/>
      <c r="CG12" s="459"/>
    </row>
    <row r="13" spans="1:85" s="587" customFormat="1" x14ac:dyDescent="0.3">
      <c r="A13" s="436" t="s">
        <v>515</v>
      </c>
      <c r="B13" s="430"/>
      <c r="C13" s="962"/>
      <c r="D13" s="963">
        <v>531.69799999999998</v>
      </c>
      <c r="E13" s="963">
        <v>2384.373</v>
      </c>
      <c r="F13" s="963">
        <v>2715.2939999999999</v>
      </c>
      <c r="G13" s="857">
        <v>2696.8960000000002</v>
      </c>
      <c r="H13" s="857">
        <v>2864.3310000000001</v>
      </c>
      <c r="I13" s="857">
        <v>2829.201</v>
      </c>
      <c r="J13" s="757">
        <f>K13</f>
      </c>
      <c r="K13" s="963">
        <v>3266.9070000000002</v>
      </c>
      <c r="L13" s="857">
        <v>3393.761</v>
      </c>
      <c r="M13" s="857">
        <v>3732.38</v>
      </c>
      <c r="N13" s="857">
        <v>4176.6210000000001</v>
      </c>
      <c r="O13" s="757">
        <f>P13</f>
      </c>
      <c r="P13" s="963">
        <v>4495.1030000000001</v>
      </c>
      <c r="Q13" s="857">
        <v>4634.7920000000004</v>
      </c>
      <c r="R13" s="857">
        <v>4791.0330000000004</v>
      </c>
      <c r="S13" s="857">
        <v>4888.13</v>
      </c>
      <c r="T13" s="757">
        <f>U13</f>
      </c>
      <c r="U13" s="963">
        <v>5249.1469999999999</v>
      </c>
      <c r="V13" s="857">
        <v>5745.0410000000002</v>
      </c>
      <c r="W13" s="857">
        <v>6305.9359999999997</v>
      </c>
      <c r="X13" s="857">
        <v>6770.0069999999996</v>
      </c>
      <c r="Y13" s="757">
        <f>Z13</f>
      </c>
      <c r="Z13" s="963">
        <v>6731.3360000000002</v>
      </c>
      <c r="AA13" s="857">
        <v>6939.8469999999998</v>
      </c>
      <c r="AB13" s="857">
        <v>7461.47</v>
      </c>
      <c r="AC13" s="857">
        <v>7918.009</v>
      </c>
      <c r="AD13" s="757">
        <f>AE13</f>
      </c>
      <c r="AE13" s="963">
        <v>8210.1589999999997</v>
      </c>
      <c r="AF13" s="857">
        <v>8015.8370000000004</v>
      </c>
      <c r="AG13" s="857">
        <v>8374.64</v>
      </c>
      <c r="AH13" s="857">
        <v>8557.3960000000006</v>
      </c>
      <c r="AI13" s="757">
        <f>AJ13</f>
      </c>
      <c r="AJ13" s="963">
        <v>8841.5609999999997</v>
      </c>
      <c r="AK13" s="857">
        <v>8416.7360000000008</v>
      </c>
      <c r="AL13" s="857">
        <v>8282.2649999999994</v>
      </c>
      <c r="AM13" s="857">
        <v>8082.44</v>
      </c>
      <c r="AN13" s="757">
        <f>AO13</f>
      </c>
      <c r="AO13" s="963">
        <v>8352.7309999999998</v>
      </c>
      <c r="AP13" s="857">
        <v>8064.2060000000001</v>
      </c>
      <c r="AQ13" s="857">
        <v>8315.4490000000005</v>
      </c>
      <c r="AR13" s="857">
        <v>8004.6239999999998</v>
      </c>
      <c r="AS13" s="757">
        <f>AT13</f>
      </c>
      <c r="AT13" s="963">
        <v>7819.5630000000001</v>
      </c>
      <c r="AU13" s="857">
        <v>8241.0220000000008</v>
      </c>
      <c r="AV13" s="857">
        <v>8548.4629999999997</v>
      </c>
      <c r="AW13" s="857">
        <v>8991.7810000000009</v>
      </c>
      <c r="AX13" s="757">
        <f>AY13</f>
      </c>
      <c r="AY13" s="963">
        <v>9238.3150000000005</v>
      </c>
      <c r="AZ13" s="857">
        <v>9089.5370000000003</v>
      </c>
      <c r="BA13" s="857">
        <v>9286.4779999999992</v>
      </c>
      <c r="BB13" s="857">
        <v>8961.1470000000008</v>
      </c>
      <c r="BC13" s="757">
        <f>BD13</f>
      </c>
      <c r="BD13" s="963">
        <v>9425.5509999999995</v>
      </c>
      <c r="BE13" s="857">
        <v>9536.1110000000008</v>
      </c>
      <c r="BF13" s="857">
        <v>9131.1309999999994</v>
      </c>
      <c r="BG13" s="857">
        <v>8470.4689999999991</v>
      </c>
      <c r="BH13" s="757">
        <f>BI13</f>
      </c>
      <c r="BI13" s="963">
        <v>8784.3019999999997</v>
      </c>
      <c r="BJ13" s="857">
        <v>9378.1859999999997</v>
      </c>
      <c r="BK13" s="857">
        <v>8592.2369999999992</v>
      </c>
      <c r="BL13" s="857">
        <v>8062.1660000000002</v>
      </c>
      <c r="BM13" s="757">
        <f>BN13</f>
      </c>
      <c r="BN13" s="963">
        <v>8113.91</v>
      </c>
      <c r="BO13" s="857">
        <v>7552.902</v>
      </c>
      <c r="BP13" s="857">
        <v>7179.9660000000003</v>
      </c>
      <c r="BQ13" s="857">
        <v>6981.8490000000002</v>
      </c>
      <c r="BR13" s="757">
        <f>BS13</f>
      </c>
      <c r="BS13" s="963">
        <v>8376.16</v>
      </c>
      <c r="BT13" s="864">
        <v>8611.8520000000008</v>
      </c>
      <c r="BU13" s="757"/>
      <c r="BV13" s="757"/>
      <c r="BW13" s="757"/>
      <c r="BX13" s="962"/>
      <c r="BY13" s="757"/>
      <c r="BZ13" s="757"/>
      <c r="CA13" s="757"/>
      <c r="CB13" s="757"/>
      <c r="CC13" s="962"/>
      <c r="CD13" s="962"/>
      <c r="CE13" s="962"/>
      <c r="CF13" s="962"/>
      <c r="CG13" s="459"/>
    </row>
    <row r="14" spans="1:85" s="587" customFormat="1" x14ac:dyDescent="0.3">
      <c r="A14" s="436" t="s">
        <v>516</v>
      </c>
      <c r="B14" s="430"/>
      <c r="C14" s="962"/>
      <c r="D14" s="963">
        <v>236.6</v>
      </c>
      <c r="E14" s="963">
        <v>650.48</v>
      </c>
      <c r="F14" s="963">
        <v>540.346</v>
      </c>
      <c r="G14" s="857">
        <v>535.61699999999996</v>
      </c>
      <c r="H14" s="857">
        <v>830.53599999999994</v>
      </c>
      <c r="I14" s="857">
        <v>803.94200000000001</v>
      </c>
      <c r="J14" s="757">
        <f>K14</f>
      </c>
      <c r="K14" s="963">
        <v>929.64499999999998</v>
      </c>
      <c r="L14" s="857">
        <v>630.51800000000003</v>
      </c>
      <c r="M14" s="857">
        <v>653.40800000000002</v>
      </c>
      <c r="N14" s="857">
        <v>1071.2380000000001</v>
      </c>
      <c r="O14" s="757">
        <f>P14</f>
      </c>
      <c r="P14" s="963">
        <v>1164.308</v>
      </c>
      <c r="Q14" s="857">
        <v>1071.2909999999999</v>
      </c>
      <c r="R14" s="857">
        <v>961.78399999999999</v>
      </c>
      <c r="S14" s="857">
        <v>908.11099999999999</v>
      </c>
      <c r="T14" s="757">
        <f>U14</f>
      </c>
      <c r="U14" s="963">
        <v>891.86400000000003</v>
      </c>
      <c r="V14" s="857">
        <v>1256.0409999999999</v>
      </c>
      <c r="W14" s="857">
        <v>1220.827</v>
      </c>
      <c r="X14" s="857">
        <v>1489.933</v>
      </c>
      <c r="Y14" s="757">
        <f>Z14</f>
      </c>
      <c r="Z14" s="963">
        <v>1386.934</v>
      </c>
      <c r="AA14" s="857">
        <v>1562.941</v>
      </c>
      <c r="AB14" s="857">
        <v>1488.76</v>
      </c>
      <c r="AC14" s="857">
        <v>1918.123</v>
      </c>
      <c r="AD14" s="757">
        <f>AE14</f>
      </c>
      <c r="AE14" s="963">
        <v>1894.001</v>
      </c>
      <c r="AF14" s="857">
        <v>1849.029</v>
      </c>
      <c r="AG14" s="857">
        <v>1718.511</v>
      </c>
      <c r="AH14" s="857">
        <v>1590.9760000000001</v>
      </c>
      <c r="AI14" s="757">
        <f>AJ14</f>
      </c>
      <c r="AJ14" s="963">
        <v>1684.5820000000001</v>
      </c>
      <c r="AK14" s="857">
        <v>1480.67</v>
      </c>
      <c r="AL14" s="857">
        <v>1341.4480000000001</v>
      </c>
      <c r="AM14" s="857">
        <v>1586.731</v>
      </c>
      <c r="AN14" s="757">
        <f>AO14</f>
      </c>
      <c r="AO14" s="963">
        <v>2041.34</v>
      </c>
      <c r="AP14" s="857">
        <v>1974.855</v>
      </c>
      <c r="AQ14" s="857">
        <v>1941.731</v>
      </c>
      <c r="AR14" s="857">
        <v>1956.5650000000001</v>
      </c>
      <c r="AS14" s="757">
        <f>AT14</f>
      </c>
      <c r="AT14" s="963">
        <v>1973.0909999999999</v>
      </c>
      <c r="AU14" s="857">
        <v>2259.8209999999999</v>
      </c>
      <c r="AV14" s="857">
        <v>2688.616</v>
      </c>
      <c r="AW14" s="857">
        <v>2860.8710000000001</v>
      </c>
      <c r="AX14" s="757">
        <f>AY14</f>
      </c>
      <c r="AY14" s="963">
        <v>3238.9769999999999</v>
      </c>
      <c r="AZ14" s="857">
        <v>3072.2159999999999</v>
      </c>
      <c r="BA14" s="857">
        <v>2904.2260000000001</v>
      </c>
      <c r="BB14" s="857">
        <v>2639.6080000000002</v>
      </c>
      <c r="BC14" s="757">
        <f>BD14</f>
      </c>
      <c r="BD14" s="963">
        <v>2124.3069999999998</v>
      </c>
      <c r="BE14" s="857">
        <v>1964.8119999999999</v>
      </c>
      <c r="BF14" s="857">
        <v>1662.7329999999999</v>
      </c>
      <c r="BG14" s="857">
        <v>1449.6759999999999</v>
      </c>
      <c r="BH14" s="757">
        <f>BI14</f>
      </c>
      <c r="BI14" s="963">
        <v>2016.3579999999999</v>
      </c>
      <c r="BJ14" s="857">
        <v>2820.1680000000001</v>
      </c>
      <c r="BK14" s="857">
        <v>2528.5450000000001</v>
      </c>
      <c r="BL14" s="857">
        <v>2277.9180000000001</v>
      </c>
      <c r="BM14" s="757">
        <f>BN14</f>
      </c>
      <c r="BN14" s="963">
        <v>2809.8339999999998</v>
      </c>
      <c r="BO14" s="857">
        <v>2520.8789999999999</v>
      </c>
      <c r="BP14" s="857">
        <v>2273.0250000000001</v>
      </c>
      <c r="BQ14" s="857">
        <v>2110.5360000000001</v>
      </c>
      <c r="BR14" s="757">
        <f>BS14</f>
      </c>
      <c r="BS14" s="963">
        <v>3041.538</v>
      </c>
      <c r="BT14" s="864">
        <v>2825.509</v>
      </c>
      <c r="BU14" s="757"/>
      <c r="BV14" s="757"/>
      <c r="BW14" s="757"/>
      <c r="BX14" s="962"/>
      <c r="BY14" s="757"/>
      <c r="BZ14" s="757"/>
      <c r="CA14" s="757"/>
      <c r="CB14" s="757"/>
      <c r="CC14" s="962"/>
      <c r="CD14" s="962"/>
      <c r="CE14" s="962"/>
      <c r="CF14" s="962"/>
      <c r="CG14" s="459"/>
    </row>
    <row r="15" spans="1:85" s="587" customFormat="1" x14ac:dyDescent="0.3">
      <c r="A15" s="554" t="s">
        <v>517</v>
      </c>
      <c r="B15" s="425"/>
      <c r="C15" s="984"/>
      <c r="D15" s="989">
        <v>0</v>
      </c>
      <c r="E15" s="989">
        <v>74.695999999999998</v>
      </c>
      <c r="F15" s="989">
        <v>78.483000000000004</v>
      </c>
      <c r="G15" s="863">
        <v>63.713000000000001</v>
      </c>
      <c r="H15" s="863">
        <v>140.17699999999999</v>
      </c>
      <c r="I15" s="863">
        <v>105.611</v>
      </c>
      <c r="J15" s="800">
        <f>K15</f>
      </c>
      <c r="K15" s="989">
        <v>83.284000000000006</v>
      </c>
      <c r="L15" s="863">
        <v>43.802999999999997</v>
      </c>
      <c r="M15" s="863">
        <v>37.895000000000003</v>
      </c>
      <c r="N15" s="863">
        <v>35.238999999999997</v>
      </c>
      <c r="O15" s="800">
        <f>P15</f>
      </c>
      <c r="P15" s="989">
        <v>44.052999999999997</v>
      </c>
      <c r="Q15" s="863">
        <v>57.228999999999999</v>
      </c>
      <c r="R15" s="863">
        <v>49.307000000000002</v>
      </c>
      <c r="S15" s="863">
        <v>46.768000000000001</v>
      </c>
      <c r="T15" s="800">
        <f>U15</f>
      </c>
      <c r="U15" s="989">
        <v>58.048000000000002</v>
      </c>
      <c r="V15" s="863">
        <v>155.87200000000001</v>
      </c>
      <c r="W15" s="863">
        <v>122.371</v>
      </c>
      <c r="X15" s="863">
        <v>197.9</v>
      </c>
      <c r="Y15" s="800">
        <f>Z15</f>
      </c>
      <c r="Z15" s="989">
        <v>160.60599999999999</v>
      </c>
      <c r="AA15" s="863">
        <v>187.59200000000001</v>
      </c>
      <c r="AB15" s="863">
        <v>156.63999999999999</v>
      </c>
      <c r="AC15" s="863">
        <v>171.43799999999999</v>
      </c>
      <c r="AD15" s="800">
        <f>AE15</f>
      </c>
      <c r="AE15" s="989">
        <v>143.535</v>
      </c>
      <c r="AF15" s="863">
        <v>123.27200000000001</v>
      </c>
      <c r="AG15" s="863">
        <v>93.001000000000005</v>
      </c>
      <c r="AH15" s="863">
        <v>90.23</v>
      </c>
      <c r="AI15" s="800">
        <f>AJ15</f>
      </c>
      <c r="AJ15" s="989">
        <v>148.334</v>
      </c>
      <c r="AK15" s="863">
        <v>136.892</v>
      </c>
      <c r="AL15" s="863">
        <v>137.48099999999999</v>
      </c>
      <c r="AM15" s="863">
        <v>478.76</v>
      </c>
      <c r="AN15" s="800">
        <f>AO15</f>
      </c>
      <c r="AO15" s="989">
        <v>618.64400000000001</v>
      </c>
      <c r="AP15" s="863">
        <v>516.79200000000003</v>
      </c>
      <c r="AQ15" s="863">
        <v>460.36799999999999</v>
      </c>
      <c r="AR15" s="863">
        <v>442.76900000000001</v>
      </c>
      <c r="AS15" s="800">
        <f>AT15</f>
      </c>
      <c r="AT15" s="989">
        <v>445.30799999999999</v>
      </c>
      <c r="AU15" s="863">
        <v>767.98</v>
      </c>
      <c r="AV15" s="863">
        <v>740.476</v>
      </c>
      <c r="AW15" s="863">
        <v>595.48299999999995</v>
      </c>
      <c r="AX15" s="761">
        <f>AY15</f>
      </c>
      <c r="AY15" s="989">
        <v>664.76199999999994</v>
      </c>
      <c r="AZ15" s="863">
        <v>341.82799999999997</v>
      </c>
      <c r="BA15" s="863">
        <v>370.29300000000001</v>
      </c>
      <c r="BB15" s="863">
        <v>304.66399999999999</v>
      </c>
      <c r="BC15" s="761">
        <f>BD15</f>
      </c>
      <c r="BD15" s="989">
        <v>243.60599999999999</v>
      </c>
      <c r="BE15" s="863">
        <v>253.28299999999999</v>
      </c>
      <c r="BF15" s="863">
        <v>288.05399999999997</v>
      </c>
      <c r="BG15" s="863">
        <v>217.82300000000001</v>
      </c>
      <c r="BH15" s="761">
        <f>BI15</f>
      </c>
      <c r="BI15" s="989">
        <v>583.76599999999996</v>
      </c>
      <c r="BJ15" s="863">
        <v>930.59799999999996</v>
      </c>
      <c r="BK15" s="863">
        <v>731.98599999999999</v>
      </c>
      <c r="BL15" s="863">
        <v>547.375</v>
      </c>
      <c r="BM15" s="761">
        <f>BN15</f>
      </c>
      <c r="BN15" s="989">
        <v>900.49099999999999</v>
      </c>
      <c r="BO15" s="863">
        <v>739.56700000000001</v>
      </c>
      <c r="BP15" s="863">
        <v>671.32</v>
      </c>
      <c r="BQ15" s="863">
        <v>580.827</v>
      </c>
      <c r="BR15" s="761">
        <f>BS15</f>
      </c>
      <c r="BS15" s="989">
        <v>1093.5</v>
      </c>
      <c r="BT15" s="873">
        <v>922.84799999999996</v>
      </c>
      <c r="BU15" s="761"/>
      <c r="BV15" s="761"/>
      <c r="BW15" s="761"/>
      <c r="BX15" s="984"/>
      <c r="BY15" s="761"/>
      <c r="BZ15" s="761"/>
      <c r="CA15" s="761"/>
      <c r="CB15" s="761"/>
      <c r="CC15" s="984"/>
      <c r="CD15" s="984"/>
      <c r="CE15" s="984"/>
      <c r="CF15" s="984"/>
      <c r="CG15" s="459"/>
    </row>
    <row r="16" spans="1:85" s="585" customFormat="1" x14ac:dyDescent="0.3">
      <c r="A16" s="2" t="s">
        <v>512</v>
      </c>
      <c r="B16" s="250"/>
      <c r="C16" s="969"/>
      <c r="D16" s="969">
        <f t="shared" ref="D16:AI16" si="15">SUM(D12:D15)</f>
      </c>
      <c r="E16" s="969">
        <f t="shared" si="15"/>
      </c>
      <c r="F16" s="969">
        <f t="shared" si="15"/>
      </c>
      <c r="G16" s="759">
        <f t="shared" si="15"/>
      </c>
      <c r="H16" s="759">
        <f t="shared" si="15"/>
      </c>
      <c r="I16" s="759">
        <f t="shared" si="15"/>
      </c>
      <c r="J16" s="759">
        <f t="shared" si="15"/>
      </c>
      <c r="K16" s="969">
        <f t="shared" si="15"/>
      </c>
      <c r="L16" s="759">
        <f t="shared" si="15"/>
      </c>
      <c r="M16" s="759">
        <f t="shared" si="15"/>
      </c>
      <c r="N16" s="759">
        <f t="shared" si="15"/>
      </c>
      <c r="O16" s="759">
        <f t="shared" si="15"/>
      </c>
      <c r="P16" s="969">
        <f t="shared" si="15"/>
      </c>
      <c r="Q16" s="759">
        <f t="shared" si="15"/>
      </c>
      <c r="R16" s="759">
        <f t="shared" si="15"/>
      </c>
      <c r="S16" s="759">
        <f t="shared" si="15"/>
      </c>
      <c r="T16" s="759">
        <f t="shared" si="15"/>
      </c>
      <c r="U16" s="969">
        <f t="shared" si="15"/>
      </c>
      <c r="V16" s="759">
        <f t="shared" si="15"/>
      </c>
      <c r="W16" s="759">
        <f t="shared" si="15"/>
      </c>
      <c r="X16" s="759">
        <f t="shared" si="15"/>
      </c>
      <c r="Y16" s="759">
        <f t="shared" si="15"/>
      </c>
      <c r="Z16" s="969">
        <f t="shared" si="15"/>
      </c>
      <c r="AA16" s="759">
        <f t="shared" si="15"/>
      </c>
      <c r="AB16" s="759">
        <f t="shared" si="15"/>
      </c>
      <c r="AC16" s="759">
        <f t="shared" si="15"/>
      </c>
      <c r="AD16" s="759">
        <f t="shared" si="15"/>
      </c>
      <c r="AE16" s="969">
        <f t="shared" si="15"/>
      </c>
      <c r="AF16" s="759">
        <f t="shared" si="15"/>
      </c>
      <c r="AG16" s="759">
        <f t="shared" si="15"/>
      </c>
      <c r="AH16" s="759">
        <f t="shared" si="15"/>
      </c>
      <c r="AI16" s="759">
        <f t="shared" si="15"/>
      </c>
      <c r="AJ16" s="969">
        <f t="shared" ref="AJ16:BO16" si="16">SUM(AJ12:AJ15)</f>
      </c>
      <c r="AK16" s="759">
        <f t="shared" si="16"/>
      </c>
      <c r="AL16" s="759">
        <f t="shared" si="16"/>
      </c>
      <c r="AM16" s="759">
        <f t="shared" si="16"/>
      </c>
      <c r="AN16" s="759">
        <f t="shared" si="16"/>
      </c>
      <c r="AO16" s="969">
        <f t="shared" si="16"/>
      </c>
      <c r="AP16" s="759">
        <f t="shared" si="16"/>
      </c>
      <c r="AQ16" s="759">
        <f t="shared" si="16"/>
      </c>
      <c r="AR16" s="759">
        <f t="shared" si="16"/>
      </c>
      <c r="AS16" s="759">
        <f t="shared" si="16"/>
      </c>
      <c r="AT16" s="969">
        <f t="shared" si="16"/>
      </c>
      <c r="AU16" s="759">
        <f t="shared" si="16"/>
      </c>
      <c r="AV16" s="759">
        <f t="shared" si="16"/>
      </c>
      <c r="AW16" s="759">
        <f t="shared" si="16"/>
      </c>
      <c r="AX16" s="759">
        <f t="shared" si="16"/>
      </c>
      <c r="AY16" s="969">
        <f t="shared" si="16"/>
      </c>
      <c r="AZ16" s="759">
        <f t="shared" si="16"/>
      </c>
      <c r="BA16" s="759">
        <f t="shared" si="16"/>
      </c>
      <c r="BB16" s="759">
        <f t="shared" si="16"/>
      </c>
      <c r="BC16" s="759">
        <f t="shared" si="16"/>
      </c>
      <c r="BD16" s="969">
        <f t="shared" si="16"/>
      </c>
      <c r="BE16" s="759">
        <f t="shared" si="16"/>
      </c>
      <c r="BF16" s="759">
        <f t="shared" si="16"/>
      </c>
      <c r="BG16" s="759">
        <f t="shared" si="16"/>
      </c>
      <c r="BH16" s="759">
        <f t="shared" si="16"/>
      </c>
      <c r="BI16" s="969">
        <f t="shared" si="16"/>
      </c>
      <c r="BJ16" s="759">
        <f t="shared" si="16"/>
      </c>
      <c r="BK16" s="759">
        <f t="shared" si="16"/>
      </c>
      <c r="BL16" s="759">
        <f t="shared" si="16"/>
      </c>
      <c r="BM16" s="759">
        <f t="shared" si="16"/>
      </c>
      <c r="BN16" s="969">
        <f t="shared" si="16"/>
      </c>
      <c r="BO16" s="759">
        <f t="shared" si="16"/>
      </c>
      <c r="BP16" s="759">
        <f t="shared" ref="BP16:BT16" si="17">SUM(BP12:BP15)</f>
      </c>
      <c r="BQ16" s="759">
        <f t="shared" si="17"/>
      </c>
      <c r="BR16" s="759">
        <f t="shared" si="17"/>
      </c>
      <c r="BS16" s="969">
        <f t="shared" si="17"/>
      </c>
      <c r="BT16" s="760">
        <f t="shared" si="17"/>
      </c>
      <c r="BU16" s="759"/>
      <c r="BV16" s="759"/>
      <c r="BW16" s="759"/>
      <c r="BX16" s="969"/>
      <c r="BY16" s="759"/>
      <c r="BZ16" s="759"/>
      <c r="CA16" s="759"/>
      <c r="CB16" s="759"/>
      <c r="CC16" s="969"/>
      <c r="CD16" s="969"/>
      <c r="CE16" s="969"/>
      <c r="CF16" s="969"/>
      <c r="CG16" s="183"/>
    </row>
    <row r="17" spans="1:85" customFormat="1" x14ac:dyDescent="0.3">
      <c r="A17" s="328"/>
      <c r="B17" s="430"/>
      <c r="C17" s="962"/>
      <c r="D17" s="962"/>
      <c r="E17" s="962"/>
      <c r="F17" s="962"/>
      <c r="G17" s="757"/>
      <c r="H17" s="757"/>
      <c r="I17" s="757"/>
      <c r="J17" s="757"/>
      <c r="K17" s="962"/>
      <c r="L17" s="757"/>
      <c r="M17" s="757"/>
      <c r="N17" s="757"/>
      <c r="O17" s="757"/>
      <c r="P17" s="962"/>
      <c r="Q17" s="757"/>
      <c r="R17" s="757"/>
      <c r="S17" s="757"/>
      <c r="T17" s="757"/>
      <c r="U17" s="962"/>
      <c r="V17" s="757"/>
      <c r="W17" s="757"/>
      <c r="X17" s="757"/>
      <c r="Y17" s="757"/>
      <c r="Z17" s="962"/>
      <c r="AA17" s="757"/>
      <c r="AB17" s="757"/>
      <c r="AC17" s="757"/>
      <c r="AD17" s="757"/>
      <c r="AE17" s="962"/>
      <c r="AF17" s="757"/>
      <c r="AG17" s="757"/>
      <c r="AH17" s="757"/>
      <c r="AI17" s="757"/>
      <c r="AJ17" s="962"/>
      <c r="AK17" s="757"/>
      <c r="AL17" s="757"/>
      <c r="AM17" s="757"/>
      <c r="AN17" s="757"/>
      <c r="AO17" s="962"/>
      <c r="AP17" s="757"/>
      <c r="AQ17" s="757"/>
      <c r="AR17" s="757"/>
      <c r="AS17" s="757"/>
      <c r="AT17" s="962"/>
      <c r="AU17" s="757"/>
      <c r="AV17" s="757"/>
      <c r="AW17" s="757"/>
      <c r="AX17" s="757"/>
      <c r="AY17" s="962"/>
      <c r="AZ17" s="757"/>
      <c r="BA17" s="757"/>
      <c r="BB17" s="757"/>
      <c r="BC17" s="757"/>
      <c r="BD17" s="962"/>
      <c r="BE17" s="757"/>
      <c r="BF17" s="757"/>
      <c r="BG17" s="757"/>
      <c r="BH17" s="757"/>
      <c r="BI17" s="962"/>
      <c r="BJ17" s="757"/>
      <c r="BK17" s="757"/>
      <c r="BL17" s="757"/>
      <c r="BM17" s="757"/>
      <c r="BN17" s="962"/>
      <c r="BO17" s="757"/>
      <c r="BP17" s="757"/>
      <c r="BQ17" s="757"/>
      <c r="BR17" s="757"/>
      <c r="BS17" s="962"/>
      <c r="BT17" s="758"/>
      <c r="BU17" s="757"/>
      <c r="BV17" s="757"/>
      <c r="BW17" s="757"/>
      <c r="BX17" s="962"/>
      <c r="BY17" s="757"/>
      <c r="BZ17" s="757"/>
      <c r="CA17" s="757"/>
      <c r="CB17" s="757"/>
      <c r="CC17" s="962"/>
      <c r="CD17" s="962"/>
      <c r="CE17" s="962"/>
      <c r="CF17" s="962"/>
      <c r="CG17" s="459"/>
    </row>
    <row r="18" spans="1:85" s="612" customFormat="1" x14ac:dyDescent="0.3">
      <c r="A18" s="776" t="s">
        <v>694</v>
      </c>
      <c r="B18" s="776"/>
      <c r="C18" s="776"/>
      <c r="D18" s="776"/>
      <c r="E18" s="776"/>
      <c r="F18" s="776"/>
      <c r="G18" s="776"/>
      <c r="H18" s="776"/>
      <c r="I18" s="776"/>
      <c r="J18" s="776"/>
      <c r="K18" s="776"/>
      <c r="L18" s="776"/>
      <c r="M18" s="776"/>
      <c r="N18" s="776"/>
      <c r="O18" s="776"/>
      <c r="P18" s="776"/>
      <c r="Q18" s="776"/>
      <c r="R18" s="776"/>
      <c r="S18" s="776"/>
      <c r="T18" s="776"/>
      <c r="U18" s="776"/>
      <c r="V18" s="776"/>
      <c r="W18" s="776"/>
      <c r="X18" s="776"/>
      <c r="Y18" s="776"/>
      <c r="Z18" s="776"/>
      <c r="AA18" s="776"/>
      <c r="AB18" s="776"/>
      <c r="AC18" s="776"/>
      <c r="AD18" s="776"/>
      <c r="AE18" s="776"/>
      <c r="AF18" s="776"/>
      <c r="AG18" s="776"/>
      <c r="AH18" s="776"/>
      <c r="AI18" s="776"/>
      <c r="AJ18" s="776"/>
      <c r="AK18" s="776"/>
      <c r="AL18" s="776"/>
      <c r="AM18" s="776"/>
      <c r="AN18" s="776"/>
      <c r="AO18" s="776"/>
      <c r="AP18" s="776"/>
      <c r="AQ18" s="776"/>
      <c r="AR18" s="776"/>
      <c r="AS18" s="776"/>
      <c r="AT18" s="776"/>
      <c r="AU18" s="776"/>
      <c r="AV18" s="776"/>
      <c r="AW18" s="776"/>
      <c r="AX18" s="776"/>
      <c r="AY18" s="776"/>
      <c r="AZ18" s="776"/>
      <c r="BA18" s="776"/>
      <c r="BB18" s="776"/>
      <c r="BC18" s="776"/>
      <c r="BD18" s="776"/>
      <c r="BE18" s="776"/>
      <c r="BF18" s="776"/>
      <c r="BG18" s="776"/>
      <c r="BH18" s="776"/>
      <c r="BI18" s="776"/>
      <c r="BJ18" s="776"/>
      <c r="BK18" s="776"/>
      <c r="BL18" s="776"/>
      <c r="BM18" s="776"/>
      <c r="BN18" s="776"/>
      <c r="BO18" s="776"/>
      <c r="BP18" s="776"/>
      <c r="BQ18" s="776"/>
      <c r="BR18" s="776"/>
      <c r="BS18" s="776"/>
      <c r="BT18" s="777"/>
      <c r="BU18" s="776"/>
      <c r="BV18" s="776"/>
      <c r="BW18" s="776"/>
      <c r="BX18" s="776"/>
      <c r="BY18" s="776"/>
      <c r="BZ18" s="776"/>
      <c r="CA18" s="776"/>
      <c r="CB18" s="776"/>
      <c r="CC18" s="776"/>
      <c r="CD18" s="776"/>
      <c r="CE18" s="776"/>
      <c r="CF18" s="776"/>
      <c r="CG18" s="348"/>
    </row>
    <row r="19" spans="1:85" s="582" customFormat="1" x14ac:dyDescent="0.3">
      <c r="A19" s="130" t="s">
        <v>697</v>
      </c>
      <c r="B19" s="242"/>
      <c r="C19" s="950"/>
      <c r="D19" s="950"/>
      <c r="E19" s="950"/>
      <c r="F19" s="950"/>
      <c r="G19" s="204"/>
      <c r="H19" s="204"/>
      <c r="I19" s="204"/>
      <c r="J19" s="204"/>
      <c r="K19" s="950"/>
      <c r="L19" s="204"/>
      <c r="M19" s="204"/>
      <c r="N19" s="204"/>
      <c r="O19" s="204"/>
      <c r="P19" s="950"/>
      <c r="Q19" s="204"/>
      <c r="R19" s="204"/>
      <c r="S19" s="204"/>
      <c r="T19" s="204"/>
      <c r="U19" s="950"/>
      <c r="V19" s="204"/>
      <c r="W19" s="204"/>
      <c r="X19" s="204"/>
      <c r="Y19" s="204"/>
      <c r="Z19" s="950"/>
      <c r="AA19" s="204"/>
      <c r="AB19" s="204"/>
      <c r="AC19" s="204"/>
      <c r="AD19" s="204"/>
      <c r="AE19" s="950"/>
      <c r="AF19" s="204"/>
      <c r="AG19" s="204"/>
      <c r="AH19" s="204"/>
      <c r="AI19" s="204"/>
      <c r="AJ19" s="950"/>
      <c r="AK19" s="204"/>
      <c r="AL19" s="204"/>
      <c r="AM19" s="204"/>
      <c r="AN19" s="204"/>
      <c r="AO19" s="950"/>
      <c r="AP19" s="204"/>
      <c r="AQ19" s="204"/>
      <c r="AR19" s="204"/>
      <c r="AS19" s="204"/>
      <c r="AT19" s="951">
        <v>7600</v>
      </c>
      <c r="AU19" s="204"/>
      <c r="AV19" s="204"/>
      <c r="AW19" s="204"/>
      <c r="AX19" s="204"/>
      <c r="AY19" s="951">
        <v>8600</v>
      </c>
      <c r="AZ19" s="204"/>
      <c r="BA19" s="204"/>
      <c r="BB19" s="204"/>
      <c r="BC19" s="204"/>
      <c r="BD19" s="951">
        <v>9000</v>
      </c>
      <c r="BE19" s="204"/>
      <c r="BF19" s="204"/>
      <c r="BG19" s="204"/>
      <c r="BH19" s="204"/>
      <c r="BI19" s="951">
        <v>9000</v>
      </c>
      <c r="BJ19" s="204"/>
      <c r="BK19" s="204"/>
      <c r="BL19" s="204"/>
      <c r="BM19" s="204"/>
      <c r="BN19" s="951">
        <v>9600</v>
      </c>
      <c r="BO19" s="204"/>
      <c r="BP19" s="204"/>
      <c r="BQ19" s="204"/>
      <c r="BR19" s="204"/>
      <c r="BS19" s="951">
        <v>10900</v>
      </c>
      <c r="BT19" s="294"/>
      <c r="BU19" s="204"/>
      <c r="BV19" s="204"/>
      <c r="BW19" s="204"/>
      <c r="BX19" s="950"/>
      <c r="BY19" s="204"/>
      <c r="BZ19" s="204"/>
      <c r="CA19" s="204"/>
      <c r="CB19" s="204"/>
      <c r="CC19" s="950"/>
      <c r="CD19" s="950"/>
      <c r="CE19" s="950"/>
      <c r="CF19" s="950"/>
      <c r="CG19" s="131"/>
    </row>
    <row r="20" spans="1:85" s="582" customFormat="1" x14ac:dyDescent="0.3">
      <c r="A20" s="130" t="s">
        <v>698</v>
      </c>
      <c r="B20" s="242"/>
      <c r="C20" s="950"/>
      <c r="D20" s="950"/>
      <c r="E20" s="950"/>
      <c r="F20" s="950"/>
      <c r="G20" s="204"/>
      <c r="H20" s="204"/>
      <c r="I20" s="204"/>
      <c r="J20" s="204"/>
      <c r="K20" s="950"/>
      <c r="L20" s="204"/>
      <c r="M20" s="204"/>
      <c r="N20" s="204"/>
      <c r="O20" s="204"/>
      <c r="P20" s="950"/>
      <c r="Q20" s="204"/>
      <c r="R20" s="204"/>
      <c r="S20" s="204"/>
      <c r="T20" s="204"/>
      <c r="U20" s="950"/>
      <c r="V20" s="204"/>
      <c r="W20" s="204"/>
      <c r="X20" s="204"/>
      <c r="Y20" s="204"/>
      <c r="Z20" s="950"/>
      <c r="AA20" s="204"/>
      <c r="AB20" s="204"/>
      <c r="AC20" s="204"/>
      <c r="AD20" s="204"/>
      <c r="AE20" s="950"/>
      <c r="AF20" s="204"/>
      <c r="AG20" s="204"/>
      <c r="AH20" s="204"/>
      <c r="AI20" s="204"/>
      <c r="AJ20" s="950"/>
      <c r="AK20" s="204"/>
      <c r="AL20" s="204"/>
      <c r="AM20" s="204"/>
      <c r="AN20" s="204"/>
      <c r="AO20" s="950"/>
      <c r="AP20" s="204"/>
      <c r="AQ20" s="204"/>
      <c r="AR20" s="204"/>
      <c r="AS20" s="204"/>
      <c r="AT20" s="951">
        <v>1000</v>
      </c>
      <c r="AU20" s="204"/>
      <c r="AV20" s="204"/>
      <c r="AW20" s="204"/>
      <c r="AX20" s="204"/>
      <c r="AY20" s="951">
        <v>1400</v>
      </c>
      <c r="AZ20" s="204"/>
      <c r="BA20" s="204"/>
      <c r="BB20" s="204"/>
      <c r="BC20" s="204"/>
      <c r="BD20" s="951">
        <v>2000</v>
      </c>
      <c r="BE20" s="204"/>
      <c r="BF20" s="204"/>
      <c r="BG20" s="204"/>
      <c r="BH20" s="204"/>
      <c r="BI20" s="951">
        <v>2000</v>
      </c>
      <c r="BJ20" s="204"/>
      <c r="BK20" s="204"/>
      <c r="BL20" s="204"/>
      <c r="BM20" s="204"/>
      <c r="BN20" s="951">
        <v>2200</v>
      </c>
      <c r="BO20" s="204"/>
      <c r="BP20" s="204"/>
      <c r="BQ20" s="204"/>
      <c r="BR20" s="204"/>
      <c r="BS20" s="951">
        <v>2500</v>
      </c>
      <c r="BT20" s="294"/>
      <c r="BU20" s="204"/>
      <c r="BV20" s="204"/>
      <c r="BW20" s="204"/>
      <c r="BX20" s="950"/>
      <c r="BY20" s="204"/>
      <c r="BZ20" s="204"/>
      <c r="CA20" s="204"/>
      <c r="CB20" s="204"/>
      <c r="CC20" s="950"/>
      <c r="CD20" s="950"/>
      <c r="CE20" s="950"/>
      <c r="CF20" s="950"/>
      <c r="CG20" s="131"/>
    </row>
    <row r="21" spans="1:85" s="582" customFormat="1" x14ac:dyDescent="0.3">
      <c r="A21" s="130" t="s">
        <v>699</v>
      </c>
      <c r="B21" s="242"/>
      <c r="C21" s="950"/>
      <c r="D21" s="950"/>
      <c r="E21" s="950"/>
      <c r="F21" s="950"/>
      <c r="G21" s="204"/>
      <c r="H21" s="204"/>
      <c r="I21" s="204"/>
      <c r="J21" s="204"/>
      <c r="K21" s="950"/>
      <c r="L21" s="204"/>
      <c r="M21" s="204"/>
      <c r="N21" s="204"/>
      <c r="O21" s="204"/>
      <c r="P21" s="950"/>
      <c r="Q21" s="204"/>
      <c r="R21" s="204"/>
      <c r="S21" s="204"/>
      <c r="T21" s="204"/>
      <c r="U21" s="950"/>
      <c r="V21" s="204"/>
      <c r="W21" s="204"/>
      <c r="X21" s="204"/>
      <c r="Y21" s="204"/>
      <c r="Z21" s="950"/>
      <c r="AA21" s="204"/>
      <c r="AB21" s="204"/>
      <c r="AC21" s="204"/>
      <c r="AD21" s="204"/>
      <c r="AE21" s="950"/>
      <c r="AF21" s="204"/>
      <c r="AG21" s="204"/>
      <c r="AH21" s="204"/>
      <c r="AI21" s="204"/>
      <c r="AJ21" s="950"/>
      <c r="AK21" s="204"/>
      <c r="AL21" s="204"/>
      <c r="AM21" s="204"/>
      <c r="AN21" s="204"/>
      <c r="AO21" s="950"/>
      <c r="AP21" s="204"/>
      <c r="AQ21" s="204"/>
      <c r="AR21" s="204"/>
      <c r="AS21" s="204"/>
      <c r="AT21" s="951">
        <v>200</v>
      </c>
      <c r="AU21" s="204"/>
      <c r="AV21" s="204"/>
      <c r="AW21" s="204"/>
      <c r="AX21" s="204"/>
      <c r="AY21" s="951">
        <v>400</v>
      </c>
      <c r="AZ21" s="204"/>
      <c r="BA21" s="204"/>
      <c r="BB21" s="204"/>
      <c r="BC21" s="204"/>
      <c r="BD21" s="951">
        <v>400</v>
      </c>
      <c r="BE21" s="204"/>
      <c r="BF21" s="204"/>
      <c r="BG21" s="204"/>
      <c r="BH21" s="204"/>
      <c r="BI21" s="951">
        <v>500</v>
      </c>
      <c r="BJ21" s="204"/>
      <c r="BK21" s="204"/>
      <c r="BL21" s="204"/>
      <c r="BM21" s="204"/>
      <c r="BN21" s="951">
        <v>600</v>
      </c>
      <c r="BO21" s="204"/>
      <c r="BP21" s="204"/>
      <c r="BQ21" s="204"/>
      <c r="BR21" s="204"/>
      <c r="BS21" s="951">
        <v>700</v>
      </c>
      <c r="BT21" s="294"/>
      <c r="BU21" s="204"/>
      <c r="BV21" s="204"/>
      <c r="BW21" s="204"/>
      <c r="BX21" s="950"/>
      <c r="BY21" s="204"/>
      <c r="BZ21" s="204"/>
      <c r="CA21" s="204"/>
      <c r="CB21" s="204"/>
      <c r="CC21" s="950"/>
      <c r="CD21" s="950"/>
      <c r="CE21" s="950"/>
      <c r="CF21" s="950"/>
      <c r="CG21" s="131"/>
    </row>
    <row r="22" spans="1:85" s="582" customFormat="1" x14ac:dyDescent="0.3">
      <c r="A22" s="201" t="s">
        <v>700</v>
      </c>
      <c r="B22" s="246"/>
      <c r="C22" s="953"/>
      <c r="D22" s="953"/>
      <c r="E22" s="953"/>
      <c r="F22" s="953"/>
      <c r="G22" s="247"/>
      <c r="H22" s="247"/>
      <c r="I22" s="247"/>
      <c r="J22" s="247"/>
      <c r="K22" s="953"/>
      <c r="L22" s="247"/>
      <c r="M22" s="247"/>
      <c r="N22" s="247"/>
      <c r="O22" s="247"/>
      <c r="P22" s="953"/>
      <c r="Q22" s="247"/>
      <c r="R22" s="247"/>
      <c r="S22" s="247"/>
      <c r="T22" s="247"/>
      <c r="U22" s="953"/>
      <c r="V22" s="247"/>
      <c r="W22" s="247"/>
      <c r="X22" s="247"/>
      <c r="Y22" s="247"/>
      <c r="Z22" s="953"/>
      <c r="AA22" s="247"/>
      <c r="AB22" s="247"/>
      <c r="AC22" s="247"/>
      <c r="AD22" s="247"/>
      <c r="AE22" s="953"/>
      <c r="AF22" s="247"/>
      <c r="AG22" s="247"/>
      <c r="AH22" s="247"/>
      <c r="AI22" s="247"/>
      <c r="AJ22" s="953"/>
      <c r="AK22" s="247"/>
      <c r="AL22" s="247"/>
      <c r="AM22" s="247"/>
      <c r="AN22" s="247"/>
      <c r="AO22" s="953"/>
      <c r="AP22" s="247"/>
      <c r="AQ22" s="247"/>
      <c r="AR22" s="247"/>
      <c r="AS22" s="247"/>
      <c r="AT22" s="993">
        <v>600</v>
      </c>
      <c r="AU22" s="247"/>
      <c r="AV22" s="247"/>
      <c r="AW22" s="247"/>
      <c r="AX22" s="247"/>
      <c r="AY22" s="993">
        <v>900</v>
      </c>
      <c r="AZ22" s="247"/>
      <c r="BA22" s="247"/>
      <c r="BB22" s="247"/>
      <c r="BC22" s="247"/>
      <c r="BD22" s="993">
        <v>1400</v>
      </c>
      <c r="BE22" s="247"/>
      <c r="BF22" s="247"/>
      <c r="BG22" s="247"/>
      <c r="BH22" s="247"/>
      <c r="BI22" s="993">
        <v>1500</v>
      </c>
      <c r="BJ22" s="247"/>
      <c r="BK22" s="247"/>
      <c r="BL22" s="247"/>
      <c r="BM22" s="247"/>
      <c r="BN22" s="993">
        <v>1600</v>
      </c>
      <c r="BO22" s="247"/>
      <c r="BP22" s="247"/>
      <c r="BQ22" s="247"/>
      <c r="BR22" s="247"/>
      <c r="BS22" s="993">
        <v>1900</v>
      </c>
      <c r="BT22" s="497"/>
      <c r="BU22" s="247"/>
      <c r="BV22" s="247"/>
      <c r="BW22" s="247"/>
      <c r="BX22" s="953"/>
      <c r="BY22" s="247"/>
      <c r="BZ22" s="247"/>
      <c r="CA22" s="247"/>
      <c r="CB22" s="247"/>
      <c r="CC22" s="953"/>
      <c r="CD22" s="953"/>
      <c r="CE22" s="953"/>
      <c r="CF22" s="953"/>
      <c r="CG22" s="131"/>
    </row>
    <row r="23" spans="1:85" s="581" customFormat="1" x14ac:dyDescent="0.3">
      <c r="A23" s="188" t="s">
        <v>701</v>
      </c>
      <c r="B23" s="245"/>
      <c r="C23" s="994">
        <v>1883</v>
      </c>
      <c r="D23" s="994">
        <v>2180</v>
      </c>
      <c r="E23" s="994">
        <v>2348</v>
      </c>
      <c r="F23" s="994">
        <v>2045</v>
      </c>
      <c r="G23" s="200"/>
      <c r="H23" s="200"/>
      <c r="I23" s="200"/>
      <c r="J23" s="200"/>
      <c r="K23" s="994">
        <v>2022</v>
      </c>
      <c r="L23" s="200"/>
      <c r="M23" s="200"/>
      <c r="N23" s="200"/>
      <c r="O23" s="200"/>
      <c r="P23" s="994">
        <v>2189</v>
      </c>
      <c r="Q23" s="200"/>
      <c r="R23" s="200"/>
      <c r="S23" s="200"/>
      <c r="T23" s="200"/>
      <c r="U23" s="994">
        <v>3500</v>
      </c>
      <c r="V23" s="200"/>
      <c r="W23" s="200"/>
      <c r="X23" s="200"/>
      <c r="Y23" s="200"/>
      <c r="Z23" s="994">
        <v>4500</v>
      </c>
      <c r="AA23" s="200"/>
      <c r="AB23" s="200"/>
      <c r="AC23" s="200"/>
      <c r="AD23" s="200"/>
      <c r="AE23" s="994">
        <v>5400</v>
      </c>
      <c r="AF23" s="200"/>
      <c r="AG23" s="200"/>
      <c r="AH23" s="200"/>
      <c r="AI23" s="200"/>
      <c r="AJ23" s="994">
        <v>7100</v>
      </c>
      <c r="AK23" s="200"/>
      <c r="AL23" s="200"/>
      <c r="AM23" s="200"/>
      <c r="AN23" s="200"/>
      <c r="AO23" s="994">
        <v>8600</v>
      </c>
      <c r="AP23" s="200"/>
      <c r="AQ23" s="200"/>
      <c r="AR23" s="200"/>
      <c r="AS23" s="200"/>
      <c r="AT23" s="933">
        <f>SUM(AT19:AT22)</f>
      </c>
      <c r="AU23" s="200"/>
      <c r="AV23" s="200"/>
      <c r="AW23" s="200"/>
      <c r="AX23" s="200"/>
      <c r="AY23" s="933">
        <f>SUM(AY19:AY22)</f>
      </c>
      <c r="AZ23" s="200"/>
      <c r="BA23" s="200"/>
      <c r="BB23" s="200"/>
      <c r="BC23" s="200"/>
      <c r="BD23" s="933">
        <f>SUM(BD19:BD22)</f>
      </c>
      <c r="BE23" s="200"/>
      <c r="BF23" s="200"/>
      <c r="BG23" s="200"/>
      <c r="BH23" s="200"/>
      <c r="BI23" s="933">
        <f>SUM(BI19:BI22)</f>
      </c>
      <c r="BJ23" s="200"/>
      <c r="BK23" s="200"/>
      <c r="BL23" s="200"/>
      <c r="BM23" s="200"/>
      <c r="BN23" s="933">
        <f>SUM(BN19:BN22)</f>
      </c>
      <c r="BO23" s="200"/>
      <c r="BP23" s="200"/>
      <c r="BQ23" s="200"/>
      <c r="BR23" s="200"/>
      <c r="BS23" s="933">
        <f>SUM(BS19:BS22)</f>
      </c>
      <c r="BT23" s="295"/>
      <c r="BU23" s="200"/>
      <c r="BV23" s="200"/>
      <c r="BW23" s="200"/>
      <c r="BX23" s="933"/>
      <c r="BY23" s="200"/>
      <c r="BZ23" s="200"/>
      <c r="CA23" s="200"/>
      <c r="CB23" s="200"/>
      <c r="CC23" s="933"/>
      <c r="CD23" s="933"/>
      <c r="CE23" s="933"/>
      <c r="CF23" s="933"/>
      <c r="CG23" s="24"/>
    </row>
    <row r="24" spans="1:85" customFormat="1" x14ac:dyDescent="0.3">
      <c r="A24" s="328"/>
      <c r="B24" s="430"/>
      <c r="C24" s="962"/>
      <c r="D24" s="962"/>
      <c r="E24" s="962"/>
      <c r="F24" s="962"/>
      <c r="G24" s="757"/>
      <c r="H24" s="757"/>
      <c r="I24" s="757"/>
      <c r="J24" s="757"/>
      <c r="K24" s="962"/>
      <c r="L24" s="757"/>
      <c r="M24" s="757"/>
      <c r="N24" s="757"/>
      <c r="O24" s="757"/>
      <c r="P24" s="962"/>
      <c r="Q24" s="757"/>
      <c r="R24" s="757"/>
      <c r="S24" s="757"/>
      <c r="T24" s="757"/>
      <c r="U24" s="962"/>
      <c r="V24" s="757"/>
      <c r="W24" s="757"/>
      <c r="X24" s="757"/>
      <c r="Y24" s="757"/>
      <c r="Z24" s="962"/>
      <c r="AA24" s="757"/>
      <c r="AB24" s="757"/>
      <c r="AC24" s="757"/>
      <c r="AD24" s="757"/>
      <c r="AE24" s="962"/>
      <c r="AF24" s="757"/>
      <c r="AG24" s="757"/>
      <c r="AH24" s="757"/>
      <c r="AI24" s="757"/>
      <c r="AJ24" s="962"/>
      <c r="AK24" s="757"/>
      <c r="AL24" s="757"/>
      <c r="AM24" s="757"/>
      <c r="AN24" s="757"/>
      <c r="AO24" s="962"/>
      <c r="AP24" s="757"/>
      <c r="AQ24" s="757"/>
      <c r="AR24" s="757"/>
      <c r="AS24" s="757"/>
      <c r="AT24" s="962"/>
      <c r="AU24" s="757"/>
      <c r="AV24" s="757"/>
      <c r="AW24" s="757"/>
      <c r="AX24" s="757"/>
      <c r="AY24" s="962"/>
      <c r="AZ24" s="757"/>
      <c r="BA24" s="757"/>
      <c r="BB24" s="757"/>
      <c r="BC24" s="757"/>
      <c r="BD24" s="962"/>
      <c r="BE24" s="757"/>
      <c r="BF24" s="757"/>
      <c r="BG24" s="757"/>
      <c r="BH24" s="757"/>
      <c r="BI24" s="962"/>
      <c r="BJ24" s="757"/>
      <c r="BK24" s="757"/>
      <c r="BL24" s="757"/>
      <c r="BM24" s="757"/>
      <c r="BN24" s="962"/>
      <c r="BO24" s="757"/>
      <c r="BP24" s="757"/>
      <c r="BQ24" s="757"/>
      <c r="BR24" s="757"/>
      <c r="BS24" s="962"/>
      <c r="BT24" s="758"/>
      <c r="BU24" s="757"/>
      <c r="BV24" s="757"/>
      <c r="BW24" s="757"/>
      <c r="BX24" s="962"/>
      <c r="BY24" s="757"/>
      <c r="BZ24" s="757"/>
      <c r="CA24" s="757"/>
      <c r="CB24" s="757"/>
      <c r="CC24" s="962"/>
      <c r="CD24" s="962"/>
      <c r="CE24" s="962"/>
      <c r="CF24" s="962"/>
      <c r="CG24" s="459"/>
    </row>
    <row r="25" spans="1:85" s="612" customFormat="1" x14ac:dyDescent="0.3">
      <c r="A25" s="776" t="s">
        <v>455</v>
      </c>
      <c r="B25" s="776"/>
      <c r="C25" s="776"/>
      <c r="D25" s="776"/>
      <c r="E25" s="776"/>
      <c r="F25" s="776"/>
      <c r="G25" s="776"/>
      <c r="H25" s="776"/>
      <c r="I25" s="776"/>
      <c r="J25" s="776"/>
      <c r="K25" s="776"/>
      <c r="L25" s="776"/>
      <c r="M25" s="776"/>
      <c r="N25" s="776"/>
      <c r="O25" s="776"/>
      <c r="P25" s="776"/>
      <c r="Q25" s="776"/>
      <c r="R25" s="776"/>
      <c r="S25" s="776"/>
      <c r="T25" s="776"/>
      <c r="U25" s="776"/>
      <c r="V25" s="776"/>
      <c r="W25" s="776"/>
      <c r="X25" s="776"/>
      <c r="Y25" s="776"/>
      <c r="Z25" s="776"/>
      <c r="AA25" s="776"/>
      <c r="AB25" s="776"/>
      <c r="AC25" s="776"/>
      <c r="AD25" s="776"/>
      <c r="AE25" s="776"/>
      <c r="AF25" s="776"/>
      <c r="AG25" s="776"/>
      <c r="AH25" s="776"/>
      <c r="AI25" s="776"/>
      <c r="AJ25" s="776"/>
      <c r="AK25" s="776"/>
      <c r="AL25" s="776"/>
      <c r="AM25" s="776"/>
      <c r="AN25" s="776"/>
      <c r="AO25" s="776"/>
      <c r="AP25" s="776"/>
      <c r="AQ25" s="776"/>
      <c r="AR25" s="776"/>
      <c r="AS25" s="776"/>
      <c r="AT25" s="776"/>
      <c r="AU25" s="776"/>
      <c r="AV25" s="776"/>
      <c r="AW25" s="776"/>
      <c r="AX25" s="776"/>
      <c r="AY25" s="776"/>
      <c r="AZ25" s="776"/>
      <c r="BA25" s="776"/>
      <c r="BB25" s="776"/>
      <c r="BC25" s="776"/>
      <c r="BD25" s="776"/>
      <c r="BE25" s="776"/>
      <c r="BF25" s="776"/>
      <c r="BG25" s="776"/>
      <c r="BH25" s="776"/>
      <c r="BI25" s="776"/>
      <c r="BJ25" s="776"/>
      <c r="BK25" s="776"/>
      <c r="BL25" s="776"/>
      <c r="BM25" s="776"/>
      <c r="BN25" s="776"/>
      <c r="BO25" s="776"/>
      <c r="BP25" s="776"/>
      <c r="BQ25" s="776"/>
      <c r="BR25" s="776"/>
      <c r="BS25" s="776"/>
      <c r="BT25" s="777"/>
      <c r="BU25" s="776"/>
      <c r="BV25" s="776"/>
      <c r="BW25" s="776"/>
      <c r="BX25" s="776"/>
      <c r="BY25" s="776"/>
      <c r="BZ25" s="776"/>
      <c r="CA25" s="776"/>
      <c r="CB25" s="776"/>
      <c r="CC25" s="776"/>
      <c r="CD25" s="776"/>
      <c r="CE25" s="776"/>
      <c r="CF25" s="776"/>
      <c r="CG25" s="348"/>
    </row>
    <row r="26" spans="1:85" customFormat="1" x14ac:dyDescent="0.3">
      <c r="A26" s="130" t="s">
        <v>4</v>
      </c>
      <c r="B26" s="430"/>
      <c r="C26" s="962"/>
      <c r="D26" s="962"/>
      <c r="E26" s="962"/>
      <c r="F26" s="963">
        <v>2184.8679999999999</v>
      </c>
      <c r="G26" s="857">
        <v>638.649</v>
      </c>
      <c r="H26" s="857">
        <v>671.08900000000006</v>
      </c>
      <c r="I26" s="857">
        <v>701.08299999999997</v>
      </c>
      <c r="J26" s="459">
        <f>K26-I26-H26-G26</f>
      </c>
      <c r="K26" s="963">
        <v>2751.375</v>
      </c>
      <c r="L26" s="857">
        <v>798.61699999999996</v>
      </c>
      <c r="M26" s="857">
        <v>838.22500000000002</v>
      </c>
      <c r="N26" s="857">
        <v>877.15</v>
      </c>
      <c r="O26" s="459">
        <f>P26-N26-M26-L26</f>
      </c>
      <c r="P26" s="963">
        <v>3431.4340000000002</v>
      </c>
      <c r="Q26" s="857">
        <v>984.53200000000004</v>
      </c>
      <c r="R26" s="857">
        <v>1025.913</v>
      </c>
      <c r="S26" s="857">
        <v>1063.961</v>
      </c>
      <c r="T26" s="459">
        <f>U26-Q26-R26-S26</f>
      </c>
      <c r="U26" s="963">
        <v>4180.3389999999999</v>
      </c>
      <c r="V26" s="857">
        <v>1161.241</v>
      </c>
      <c r="W26" s="857">
        <v>1208.271</v>
      </c>
      <c r="X26" s="857">
        <v>1304.3330000000001</v>
      </c>
      <c r="Y26" s="757">
        <f>Z26-V26-W26-X26</f>
      </c>
      <c r="Z26" s="963">
        <v>5077.3069999999998</v>
      </c>
      <c r="AA26" s="857">
        <v>1470.0419999999999</v>
      </c>
      <c r="AB26" s="857">
        <v>1505.499</v>
      </c>
      <c r="AC26" s="857">
        <v>1547.21</v>
      </c>
      <c r="AD26" s="757">
        <f>AE26-AA26-AB26-AC26</f>
      </c>
      <c r="AE26" s="963">
        <v>6153.0249999999996</v>
      </c>
      <c r="AF26" s="857">
        <v>1820.019</v>
      </c>
      <c r="AG26" s="857">
        <v>1893.222</v>
      </c>
      <c r="AH26" s="857">
        <v>1937.3140000000001</v>
      </c>
      <c r="AI26" s="757">
        <f>AJ26-AF26-AG26-AH26</f>
      </c>
      <c r="AJ26" s="963">
        <v>7646.6469999999999</v>
      </c>
      <c r="AK26" s="857">
        <v>2073.5549999999998</v>
      </c>
      <c r="AL26" s="857">
        <v>2299.1889999999999</v>
      </c>
      <c r="AM26" s="857">
        <v>2412.598</v>
      </c>
      <c r="AN26" s="757">
        <f>AO26-AK26-AL26-AM26</f>
      </c>
      <c r="AO26" s="963">
        <v>9243.0049999999992</v>
      </c>
      <c r="AP26" s="757"/>
      <c r="AQ26" s="757"/>
      <c r="AR26" s="757"/>
      <c r="AS26" s="757"/>
      <c r="AT26" s="962"/>
      <c r="AU26" s="757"/>
      <c r="AV26" s="757"/>
      <c r="AW26" s="757"/>
      <c r="AX26" s="757"/>
      <c r="AY26" s="962"/>
      <c r="AZ26" s="757"/>
      <c r="BA26" s="757"/>
      <c r="BB26" s="757"/>
      <c r="BC26" s="757"/>
      <c r="BD26" s="962"/>
      <c r="BE26" s="757"/>
      <c r="BF26" s="757"/>
      <c r="BG26" s="757"/>
      <c r="BH26" s="757"/>
      <c r="BI26" s="962"/>
      <c r="BJ26" s="757"/>
      <c r="BK26" s="757"/>
      <c r="BL26" s="757"/>
      <c r="BM26" s="757"/>
      <c r="BN26" s="962"/>
      <c r="BO26" s="757"/>
      <c r="BP26" s="757"/>
      <c r="BQ26" s="757"/>
      <c r="BR26" s="757"/>
      <c r="BS26" s="962"/>
      <c r="BT26" s="758"/>
      <c r="BU26" s="757"/>
      <c r="BV26" s="757"/>
      <c r="BW26" s="757"/>
      <c r="BX26" s="962"/>
      <c r="BY26" s="757"/>
      <c r="BZ26" s="757"/>
      <c r="CA26" s="757"/>
      <c r="CB26" s="757"/>
      <c r="CC26" s="962"/>
      <c r="CD26" s="962"/>
      <c r="CE26" s="962"/>
      <c r="CF26" s="962"/>
      <c r="CG26" s="459"/>
    </row>
    <row r="27" spans="1:85" s="583" customFormat="1" x14ac:dyDescent="0.3">
      <c r="A27" s="360" t="s">
        <v>597</v>
      </c>
      <c r="B27" s="305"/>
      <c r="C27" s="936"/>
      <c r="D27" s="936"/>
      <c r="E27" s="936"/>
      <c r="F27" s="936"/>
      <c r="G27" s="446"/>
      <c r="H27" s="446"/>
      <c r="I27" s="446"/>
      <c r="J27" s="446"/>
      <c r="K27" s="937">
        <f>'Supplemental Data'!K26/'Supplemental Data'!F26-1</f>
      </c>
      <c r="L27" s="619">
        <f>'Supplemental Data'!L26/'Supplemental Data'!G26-1</f>
      </c>
      <c r="M27" s="619">
        <f>'Supplemental Data'!M26/'Supplemental Data'!H26-1</f>
      </c>
      <c r="N27" s="619">
        <f>'Supplemental Data'!N26/'Supplemental Data'!I26-1</f>
      </c>
      <c r="O27" s="619">
        <f>'Supplemental Data'!O26/'Supplemental Data'!J26-1</f>
      </c>
      <c r="P27" s="937">
        <f>'Supplemental Data'!P26/'Supplemental Data'!K26-1</f>
      </c>
      <c r="Q27" s="619">
        <f>'Supplemental Data'!Q26/'Supplemental Data'!L26-1</f>
      </c>
      <c r="R27" s="619">
        <f>'Supplemental Data'!R26/'Supplemental Data'!M26-1</f>
      </c>
      <c r="S27" s="619">
        <f>'Supplemental Data'!S26/'Supplemental Data'!N26-1</f>
      </c>
      <c r="T27" s="619">
        <f>'Supplemental Data'!T26/'Supplemental Data'!O26-1</f>
      </c>
      <c r="U27" s="937">
        <f>'Supplemental Data'!U26/'Supplemental Data'!P26-1</f>
      </c>
      <c r="V27" s="619">
        <f>'Supplemental Data'!V26/'Supplemental Data'!Q26-1</f>
      </c>
      <c r="W27" s="619">
        <f>'Supplemental Data'!W26/'Supplemental Data'!R26-1</f>
      </c>
      <c r="X27" s="619">
        <f>'Supplemental Data'!X26/'Supplemental Data'!S26-1</f>
      </c>
      <c r="Y27" s="446">
        <f>'Supplemental Data'!Y26/'Supplemental Data'!T26-1</f>
      </c>
      <c r="Z27" s="936">
        <f>'Supplemental Data'!Z26/'Supplemental Data'!U26-1</f>
      </c>
      <c r="AA27" s="619">
        <f>'Supplemental Data'!AA26/'Supplemental Data'!V26-1</f>
      </c>
      <c r="AB27" s="619">
        <f>'Supplemental Data'!AB26/'Supplemental Data'!W26-1</f>
      </c>
      <c r="AC27" s="619">
        <f>'Supplemental Data'!AC26/'Supplemental Data'!X26-1</f>
      </c>
      <c r="AD27" s="446">
        <f>'Supplemental Data'!AD26/'Supplemental Data'!Y26-1</f>
      </c>
      <c r="AE27" s="936">
        <f>'Supplemental Data'!AE26/'Supplemental Data'!Z26-1</f>
      </c>
      <c r="AF27" s="619">
        <f>'Supplemental Data'!AF26/'Supplemental Data'!AA26-1</f>
      </c>
      <c r="AG27" s="619">
        <f>'Supplemental Data'!AG26/'Supplemental Data'!AB26-1</f>
      </c>
      <c r="AH27" s="619">
        <f>'Supplemental Data'!AH26/'Supplemental Data'!AC26-1</f>
      </c>
      <c r="AI27" s="446">
        <f>'Supplemental Data'!AI26/'Supplemental Data'!AD26-1</f>
      </c>
      <c r="AJ27" s="936">
        <f>'Supplemental Data'!AJ26/'Supplemental Data'!AE26-1</f>
      </c>
      <c r="AK27" s="619">
        <f>'Supplemental Data'!AK26/'Supplemental Data'!AF26-1</f>
      </c>
      <c r="AL27" s="619">
        <f>'Supplemental Data'!AL26/'Supplemental Data'!AG26-1</f>
      </c>
      <c r="AM27" s="619">
        <f>'Supplemental Data'!AM26/'Supplemental Data'!AH26-1</f>
      </c>
      <c r="AN27" s="446">
        <f>'Supplemental Data'!AN26/'Supplemental Data'!AI26-1</f>
      </c>
      <c r="AO27" s="936">
        <f>'Supplemental Data'!AO26/'Supplemental Data'!AJ26-1</f>
      </c>
      <c r="AP27" s="446"/>
      <c r="AQ27" s="446"/>
      <c r="AR27" s="446"/>
      <c r="AS27" s="446"/>
      <c r="AT27" s="936"/>
      <c r="AU27" s="446"/>
      <c r="AV27" s="446"/>
      <c r="AW27" s="446"/>
      <c r="AX27" s="446"/>
      <c r="AY27" s="936"/>
      <c r="AZ27" s="446"/>
      <c r="BA27" s="446"/>
      <c r="BB27" s="446"/>
      <c r="BC27" s="446"/>
      <c r="BD27" s="936"/>
      <c r="BE27" s="446"/>
      <c r="BF27" s="446"/>
      <c r="BG27" s="446"/>
      <c r="BH27" s="446"/>
      <c r="BI27" s="936"/>
      <c r="BJ27" s="446"/>
      <c r="BK27" s="446"/>
      <c r="BL27" s="446"/>
      <c r="BM27" s="446"/>
      <c r="BN27" s="936"/>
      <c r="BO27" s="446"/>
      <c r="BP27" s="446"/>
      <c r="BQ27" s="446"/>
      <c r="BR27" s="446"/>
      <c r="BS27" s="936"/>
      <c r="BT27" s="665"/>
      <c r="BU27" s="446"/>
      <c r="BV27" s="446"/>
      <c r="BW27" s="446"/>
      <c r="BX27" s="936"/>
      <c r="BY27" s="446"/>
      <c r="BZ27" s="446"/>
      <c r="CA27" s="446"/>
      <c r="CB27" s="446"/>
      <c r="CC27" s="936"/>
      <c r="CD27" s="936"/>
      <c r="CE27" s="936"/>
      <c r="CF27" s="936"/>
      <c r="CG27" s="308"/>
    </row>
    <row r="28" spans="1:85" customFormat="1" x14ac:dyDescent="0.3">
      <c r="A28" s="130" t="s">
        <v>5</v>
      </c>
      <c r="B28" s="430"/>
      <c r="C28" s="962"/>
      <c r="D28" s="962"/>
      <c r="E28" s="962"/>
      <c r="F28" s="963">
        <v>287.54199999999997</v>
      </c>
      <c r="G28" s="857">
        <v>142.01900000000001</v>
      </c>
      <c r="H28" s="857">
        <v>165.90199999999999</v>
      </c>
      <c r="I28" s="857">
        <v>183.05099999999999</v>
      </c>
      <c r="J28" s="459">
        <f>K28-I28-H28-G28</f>
      </c>
      <c r="K28" s="963">
        <v>712.39</v>
      </c>
      <c r="L28" s="857">
        <v>267.11799999999999</v>
      </c>
      <c r="M28" s="857">
        <v>307.46100000000001</v>
      </c>
      <c r="N28" s="857">
        <v>345.685</v>
      </c>
      <c r="O28" s="459">
        <f>P28-N28-M28-L28</f>
      </c>
      <c r="P28" s="963">
        <v>1308.0609999999999</v>
      </c>
      <c r="Q28" s="857">
        <v>415.39699999999999</v>
      </c>
      <c r="R28" s="857">
        <v>454.76299999999998</v>
      </c>
      <c r="S28" s="857">
        <v>516.87</v>
      </c>
      <c r="T28" s="459">
        <f>U28-Q28-R28-S28</f>
      </c>
      <c r="U28" s="963">
        <v>1953.4349999999999</v>
      </c>
      <c r="V28" s="857">
        <v>651.74800000000005</v>
      </c>
      <c r="W28" s="857">
        <v>758.20100000000002</v>
      </c>
      <c r="X28" s="857">
        <v>853.48</v>
      </c>
      <c r="Y28" s="757">
        <f>Z28-V28-W28-X28</f>
      </c>
      <c r="Z28" s="963">
        <v>3211.0949999999998</v>
      </c>
      <c r="AA28" s="857">
        <v>1046.1990000000001</v>
      </c>
      <c r="AB28" s="857">
        <v>1165.2280000000001</v>
      </c>
      <c r="AC28" s="857">
        <v>1327.4349999999999</v>
      </c>
      <c r="AD28" s="757">
        <f>AE28-AA28-AB28-AC28</f>
      </c>
      <c r="AE28" s="963">
        <v>5089.1909999999998</v>
      </c>
      <c r="AF28" s="857">
        <v>1782.086</v>
      </c>
      <c r="AG28" s="857">
        <v>1921.144</v>
      </c>
      <c r="AH28" s="857">
        <v>1973.2829999999999</v>
      </c>
      <c r="AI28" s="757">
        <f>AJ28-AF28-AG28-AH28</f>
      </c>
      <c r="AJ28" s="963">
        <v>7782.1049999999996</v>
      </c>
      <c r="AK28" s="857">
        <v>2366.7489999999998</v>
      </c>
      <c r="AL28" s="857">
        <v>2547.7269999999999</v>
      </c>
      <c r="AM28" s="857">
        <v>2760.43</v>
      </c>
      <c r="AN28" s="757">
        <f>AO28-AK28-AL28-AM28</f>
      </c>
      <c r="AO28" s="963">
        <v>10616.225</v>
      </c>
      <c r="AP28" s="757"/>
      <c r="AQ28" s="757"/>
      <c r="AR28" s="757"/>
      <c r="AS28" s="757"/>
      <c r="AT28" s="962"/>
      <c r="AU28" s="757"/>
      <c r="AV28" s="757"/>
      <c r="AW28" s="757"/>
      <c r="AX28" s="757"/>
      <c r="AY28" s="962"/>
      <c r="AZ28" s="757"/>
      <c r="BA28" s="757"/>
      <c r="BB28" s="757"/>
      <c r="BC28" s="757"/>
      <c r="BD28" s="962"/>
      <c r="BE28" s="757"/>
      <c r="BF28" s="757"/>
      <c r="BG28" s="757"/>
      <c r="BH28" s="757"/>
      <c r="BI28" s="962"/>
      <c r="BJ28" s="757"/>
      <c r="BK28" s="757"/>
      <c r="BL28" s="757"/>
      <c r="BM28" s="757"/>
      <c r="BN28" s="962"/>
      <c r="BO28" s="757"/>
      <c r="BP28" s="757"/>
      <c r="BQ28" s="757"/>
      <c r="BR28" s="757"/>
      <c r="BS28" s="962"/>
      <c r="BT28" s="758"/>
      <c r="BU28" s="757"/>
      <c r="BV28" s="757"/>
      <c r="BW28" s="757"/>
      <c r="BX28" s="962"/>
      <c r="BY28" s="757"/>
      <c r="BZ28" s="757"/>
      <c r="CA28" s="757"/>
      <c r="CB28" s="757"/>
      <c r="CC28" s="962"/>
      <c r="CD28" s="962"/>
      <c r="CE28" s="962"/>
      <c r="CF28" s="962"/>
      <c r="CG28" s="459"/>
    </row>
    <row r="29" spans="1:85" s="583" customFormat="1" x14ac:dyDescent="0.3">
      <c r="A29" s="360" t="s">
        <v>598</v>
      </c>
      <c r="B29" s="305"/>
      <c r="C29" s="936"/>
      <c r="D29" s="936"/>
      <c r="E29" s="936"/>
      <c r="F29" s="936"/>
      <c r="G29" s="446"/>
      <c r="H29" s="446"/>
      <c r="I29" s="446"/>
      <c r="J29" s="446"/>
      <c r="K29" s="937">
        <f>'Supplemental Data'!K28/'Supplemental Data'!F28-1</f>
      </c>
      <c r="L29" s="619">
        <f>'Supplemental Data'!L28/'Supplemental Data'!G28-1</f>
      </c>
      <c r="M29" s="619">
        <f>'Supplemental Data'!M28/'Supplemental Data'!H28-1</f>
      </c>
      <c r="N29" s="619">
        <f>'Supplemental Data'!N28/'Supplemental Data'!I28-1</f>
      </c>
      <c r="O29" s="619">
        <f>'Supplemental Data'!O28/'Supplemental Data'!J28-1</f>
      </c>
      <c r="P29" s="937">
        <f>'Supplemental Data'!P28/'Supplemental Data'!K28-1</f>
      </c>
      <c r="Q29" s="619">
        <f>'Supplemental Data'!Q28/'Supplemental Data'!L28-1</f>
      </c>
      <c r="R29" s="619">
        <f>'Supplemental Data'!R28/'Supplemental Data'!M28-1</f>
      </c>
      <c r="S29" s="619">
        <f>'Supplemental Data'!S28/'Supplemental Data'!N28-1</f>
      </c>
      <c r="T29" s="619">
        <f>'Supplemental Data'!T28/'Supplemental Data'!O28-1</f>
      </c>
      <c r="U29" s="937">
        <f>'Supplemental Data'!U28/'Supplemental Data'!P28-1</f>
      </c>
      <c r="V29" s="619">
        <f>'Supplemental Data'!V28/'Supplemental Data'!Q28-1</f>
      </c>
      <c r="W29" s="619">
        <f>'Supplemental Data'!W28/'Supplemental Data'!R28-1</f>
      </c>
      <c r="X29" s="619">
        <f>'Supplemental Data'!X28/'Supplemental Data'!S28-1</f>
      </c>
      <c r="Y29" s="446">
        <f>'Supplemental Data'!Y28/'Supplemental Data'!T28-1</f>
      </c>
      <c r="Z29" s="936">
        <f>'Supplemental Data'!Z28/'Supplemental Data'!U28-1</f>
      </c>
      <c r="AA29" s="619">
        <f>'Supplemental Data'!AA28/'Supplemental Data'!V28-1</f>
      </c>
      <c r="AB29" s="619">
        <f>'Supplemental Data'!AB28/'Supplemental Data'!W28-1</f>
      </c>
      <c r="AC29" s="619">
        <f>'Supplemental Data'!AC28/'Supplemental Data'!X28-1</f>
      </c>
      <c r="AD29" s="446">
        <f>'Supplemental Data'!AD28/'Supplemental Data'!Y28-1</f>
      </c>
      <c r="AE29" s="936">
        <f>'Supplemental Data'!AE28/'Supplemental Data'!Z28-1</f>
      </c>
      <c r="AF29" s="619">
        <f>'Supplemental Data'!AF28/'Supplemental Data'!AA28-1</f>
      </c>
      <c r="AG29" s="619">
        <f>'Supplemental Data'!AG28/'Supplemental Data'!AB28-1</f>
      </c>
      <c r="AH29" s="619">
        <f>'Supplemental Data'!AH28/'Supplemental Data'!AC28-1</f>
      </c>
      <c r="AI29" s="446">
        <f>'Supplemental Data'!AI28/'Supplemental Data'!AD28-1</f>
      </c>
      <c r="AJ29" s="936">
        <f>'Supplemental Data'!AJ28/'Supplemental Data'!AE28-1</f>
      </c>
      <c r="AK29" s="619">
        <f>'Supplemental Data'!AK28/'Supplemental Data'!AF28-1</f>
      </c>
      <c r="AL29" s="619">
        <f>'Supplemental Data'!AL28/'Supplemental Data'!AG28-1</f>
      </c>
      <c r="AM29" s="619">
        <f>'Supplemental Data'!AM28/'Supplemental Data'!AH28-1</f>
      </c>
      <c r="AN29" s="446">
        <f>'Supplemental Data'!AN28/'Supplemental Data'!AI28-1</f>
      </c>
      <c r="AO29" s="936">
        <f>'Supplemental Data'!AO28/'Supplemental Data'!AJ28-1</f>
      </c>
      <c r="AP29" s="446"/>
      <c r="AQ29" s="446"/>
      <c r="AR29" s="446"/>
      <c r="AS29" s="446"/>
      <c r="AT29" s="936"/>
      <c r="AU29" s="446"/>
      <c r="AV29" s="446"/>
      <c r="AW29" s="446"/>
      <c r="AX29" s="446"/>
      <c r="AY29" s="936"/>
      <c r="AZ29" s="446"/>
      <c r="BA29" s="446"/>
      <c r="BB29" s="446"/>
      <c r="BC29" s="446"/>
      <c r="BD29" s="936"/>
      <c r="BE29" s="446"/>
      <c r="BF29" s="446"/>
      <c r="BG29" s="446"/>
      <c r="BH29" s="446"/>
      <c r="BI29" s="936"/>
      <c r="BJ29" s="446"/>
      <c r="BK29" s="446"/>
      <c r="BL29" s="446"/>
      <c r="BM29" s="446"/>
      <c r="BN29" s="936"/>
      <c r="BO29" s="446"/>
      <c r="BP29" s="446"/>
      <c r="BQ29" s="446"/>
      <c r="BR29" s="446"/>
      <c r="BS29" s="936"/>
      <c r="BT29" s="665"/>
      <c r="BU29" s="446"/>
      <c r="BV29" s="446"/>
      <c r="BW29" s="446"/>
      <c r="BX29" s="936"/>
      <c r="BY29" s="446"/>
      <c r="BZ29" s="446"/>
      <c r="CA29" s="446"/>
      <c r="CB29" s="446"/>
      <c r="CC29" s="936"/>
      <c r="CD29" s="936"/>
      <c r="CE29" s="936"/>
      <c r="CF29" s="936"/>
      <c r="CG29" s="308"/>
    </row>
    <row r="30" spans="1:85" customFormat="1" x14ac:dyDescent="0.3">
      <c r="A30" s="130" t="s">
        <v>6</v>
      </c>
      <c r="B30" s="430"/>
      <c r="C30" s="962"/>
      <c r="D30" s="962"/>
      <c r="E30" s="962"/>
      <c r="F30" s="963">
        <v>1136.8720000000001</v>
      </c>
      <c r="G30" s="857">
        <v>243.29300000000001</v>
      </c>
      <c r="H30" s="857">
        <v>232.381</v>
      </c>
      <c r="I30" s="857">
        <v>221.86500000000001</v>
      </c>
      <c r="J30" s="459">
        <f>K30-I30-H30-G30</f>
      </c>
      <c r="K30" s="963">
        <v>910.79700000000003</v>
      </c>
      <c r="L30" s="857">
        <v>204.35400000000001</v>
      </c>
      <c r="M30" s="857">
        <v>194.721</v>
      </c>
      <c r="N30" s="857">
        <v>186.59700000000001</v>
      </c>
      <c r="O30" s="459">
        <f>P30-N30-M30-L30</f>
      </c>
      <c r="P30" s="963">
        <v>765.16099999999994</v>
      </c>
      <c r="Q30" s="857">
        <v>173.2</v>
      </c>
      <c r="R30" s="857">
        <v>164.018</v>
      </c>
      <c r="S30" s="857">
        <v>157.524</v>
      </c>
      <c r="T30" s="459">
        <f>U30-Q30-R30-S30</f>
      </c>
      <c r="U30" s="963">
        <v>645.73699999999997</v>
      </c>
      <c r="V30" s="857">
        <v>144.74700000000001</v>
      </c>
      <c r="W30" s="857">
        <v>138.732</v>
      </c>
      <c r="X30" s="857">
        <v>132.375</v>
      </c>
      <c r="Y30" s="757">
        <f>Z30-V30-W30-X30</f>
      </c>
      <c r="Z30" s="963">
        <v>542.26700000000005</v>
      </c>
      <c r="AA30" s="857">
        <v>120.39400000000001</v>
      </c>
      <c r="AB30" s="857">
        <v>114.73699999999999</v>
      </c>
      <c r="AC30" s="857">
        <v>110.214</v>
      </c>
      <c r="AD30" s="757">
        <f>AE30-AA30-AB30-AC30</f>
      </c>
      <c r="AE30" s="963">
        <v>450.49700000000001</v>
      </c>
      <c r="AF30" s="857">
        <v>98.751000000000005</v>
      </c>
      <c r="AG30" s="857">
        <v>92.903999999999996</v>
      </c>
      <c r="AH30" s="857">
        <v>88.777000000000001</v>
      </c>
      <c r="AI30" s="757">
        <f>AJ30-AF30-AG30-AH30</f>
      </c>
      <c r="AJ30" s="963">
        <v>365.589</v>
      </c>
      <c r="AK30" s="857">
        <v>80.688000000000002</v>
      </c>
      <c r="AL30" s="857">
        <v>76.2</v>
      </c>
      <c r="AM30" s="857">
        <v>71.876999999999995</v>
      </c>
      <c r="AN30" s="757">
        <f>AO30-AK30-AL30-AM30</f>
      </c>
      <c r="AO30" s="963">
        <v>297.21699999999998</v>
      </c>
      <c r="AP30" s="757"/>
      <c r="AQ30" s="757"/>
      <c r="AR30" s="757"/>
      <c r="AS30" s="757"/>
      <c r="AT30" s="962"/>
      <c r="AU30" s="757"/>
      <c r="AV30" s="757"/>
      <c r="AW30" s="757"/>
      <c r="AX30" s="757"/>
      <c r="AY30" s="962"/>
      <c r="AZ30" s="757"/>
      <c r="BA30" s="757"/>
      <c r="BB30" s="757"/>
      <c r="BC30" s="757"/>
      <c r="BD30" s="962"/>
      <c r="BE30" s="757"/>
      <c r="BF30" s="757"/>
      <c r="BG30" s="757"/>
      <c r="BH30" s="757"/>
      <c r="BI30" s="962"/>
      <c r="BJ30" s="757"/>
      <c r="BK30" s="757"/>
      <c r="BL30" s="757"/>
      <c r="BM30" s="757"/>
      <c r="BN30" s="962"/>
      <c r="BO30" s="757"/>
      <c r="BP30" s="757"/>
      <c r="BQ30" s="757"/>
      <c r="BR30" s="757"/>
      <c r="BS30" s="962"/>
      <c r="BT30" s="758"/>
      <c r="BU30" s="757"/>
      <c r="BV30" s="757"/>
      <c r="BW30" s="757"/>
      <c r="BX30" s="962"/>
      <c r="BY30" s="757"/>
      <c r="BZ30" s="757"/>
      <c r="CA30" s="757"/>
      <c r="CB30" s="757"/>
      <c r="CC30" s="962"/>
      <c r="CD30" s="962"/>
      <c r="CE30" s="962"/>
      <c r="CF30" s="962"/>
      <c r="CG30" s="459"/>
    </row>
    <row r="31" spans="1:85" s="583" customFormat="1" x14ac:dyDescent="0.3">
      <c r="A31" s="364" t="s">
        <v>599</v>
      </c>
      <c r="B31" s="361"/>
      <c r="C31" s="941"/>
      <c r="D31" s="941"/>
      <c r="E31" s="941"/>
      <c r="F31" s="941"/>
      <c r="G31" s="362"/>
      <c r="H31" s="362"/>
      <c r="I31" s="362"/>
      <c r="J31" s="362"/>
      <c r="K31" s="1137">
        <f>'Supplemental Data'!K30/'Supplemental Data'!F30-1</f>
      </c>
      <c r="L31" s="363">
        <f>'Supplemental Data'!L30/'Supplemental Data'!G30-1</f>
      </c>
      <c r="M31" s="363">
        <f>'Supplemental Data'!M30/'Supplemental Data'!H30-1</f>
      </c>
      <c r="N31" s="363">
        <f>'Supplemental Data'!N30/'Supplemental Data'!I30-1</f>
      </c>
      <c r="O31" s="363">
        <f>'Supplemental Data'!O30/'Supplemental Data'!J30-1</f>
      </c>
      <c r="P31" s="1137">
        <f>'Supplemental Data'!P30/'Supplemental Data'!K30-1</f>
      </c>
      <c r="Q31" s="363">
        <f>'Supplemental Data'!Q30/'Supplemental Data'!L30-1</f>
      </c>
      <c r="R31" s="363">
        <f>'Supplemental Data'!R30/'Supplemental Data'!M30-1</f>
      </c>
      <c r="S31" s="363">
        <f>'Supplemental Data'!S30/'Supplemental Data'!N30-1</f>
      </c>
      <c r="T31" s="363">
        <f>'Supplemental Data'!T30/'Supplemental Data'!O30-1</f>
      </c>
      <c r="U31" s="1137">
        <f>'Supplemental Data'!U30/'Supplemental Data'!P30-1</f>
      </c>
      <c r="V31" s="363">
        <f>'Supplemental Data'!V30/'Supplemental Data'!Q30-1</f>
      </c>
      <c r="W31" s="363">
        <f>'Supplemental Data'!W30/'Supplemental Data'!R30-1</f>
      </c>
      <c r="X31" s="363">
        <f>'Supplemental Data'!X30/'Supplemental Data'!S30-1</f>
      </c>
      <c r="Y31" s="362">
        <f>'Supplemental Data'!Y30/'Supplemental Data'!T30-1</f>
      </c>
      <c r="Z31" s="941">
        <f>'Supplemental Data'!Z30/'Supplemental Data'!U30-1</f>
      </c>
      <c r="AA31" s="363">
        <f>'Supplemental Data'!AA30/'Supplemental Data'!V30-1</f>
      </c>
      <c r="AB31" s="363">
        <f>'Supplemental Data'!AB30/'Supplemental Data'!W30-1</f>
      </c>
      <c r="AC31" s="363">
        <f>'Supplemental Data'!AC30/'Supplemental Data'!X30-1</f>
      </c>
      <c r="AD31" s="362">
        <f>'Supplemental Data'!AD30/'Supplemental Data'!Y30-1</f>
      </c>
      <c r="AE31" s="941">
        <f>'Supplemental Data'!AE30/'Supplemental Data'!Z30-1</f>
      </c>
      <c r="AF31" s="363">
        <f>'Supplemental Data'!AF30/'Supplemental Data'!AA30-1</f>
      </c>
      <c r="AG31" s="363">
        <f>'Supplemental Data'!AG30/'Supplemental Data'!AB30-1</f>
      </c>
      <c r="AH31" s="363">
        <f>'Supplemental Data'!AH30/'Supplemental Data'!AC30-1</f>
      </c>
      <c r="AI31" s="362">
        <f>'Supplemental Data'!AI30/'Supplemental Data'!AD30-1</f>
      </c>
      <c r="AJ31" s="941">
        <f>'Supplemental Data'!AJ30/'Supplemental Data'!AE30-1</f>
      </c>
      <c r="AK31" s="363">
        <f>'Supplemental Data'!AK30/'Supplemental Data'!AF30-1</f>
      </c>
      <c r="AL31" s="363">
        <f>'Supplemental Data'!AL30/'Supplemental Data'!AG30-1</f>
      </c>
      <c r="AM31" s="363">
        <f>'Supplemental Data'!AM30/'Supplemental Data'!AH30-1</f>
      </c>
      <c r="AN31" s="362">
        <f>'Supplemental Data'!AN30/'Supplemental Data'!AI30-1</f>
      </c>
      <c r="AO31" s="941">
        <f>'Supplemental Data'!AO30/'Supplemental Data'!AJ30-1</f>
      </c>
      <c r="AP31" s="362"/>
      <c r="AQ31" s="362"/>
      <c r="AR31" s="362"/>
      <c r="AS31" s="362"/>
      <c r="AT31" s="941"/>
      <c r="AU31" s="362"/>
      <c r="AV31" s="362"/>
      <c r="AW31" s="362"/>
      <c r="AX31" s="362"/>
      <c r="AY31" s="941"/>
      <c r="AZ31" s="362"/>
      <c r="BA31" s="362"/>
      <c r="BB31" s="362"/>
      <c r="BC31" s="362"/>
      <c r="BD31" s="941"/>
      <c r="BE31" s="362"/>
      <c r="BF31" s="362"/>
      <c r="BG31" s="362"/>
      <c r="BH31" s="362"/>
      <c r="BI31" s="941"/>
      <c r="BJ31" s="362"/>
      <c r="BK31" s="362"/>
      <c r="BL31" s="362"/>
      <c r="BM31" s="362"/>
      <c r="BN31" s="941"/>
      <c r="BO31" s="362"/>
      <c r="BP31" s="362"/>
      <c r="BQ31" s="362"/>
      <c r="BR31" s="362"/>
      <c r="BS31" s="941"/>
      <c r="BT31" s="668"/>
      <c r="BU31" s="362"/>
      <c r="BV31" s="362"/>
      <c r="BW31" s="362"/>
      <c r="BX31" s="941"/>
      <c r="BY31" s="362"/>
      <c r="BZ31" s="362"/>
      <c r="CA31" s="362"/>
      <c r="CB31" s="362"/>
      <c r="CC31" s="941"/>
      <c r="CD31" s="941"/>
      <c r="CE31" s="941"/>
      <c r="CF31" s="941"/>
      <c r="CG31" s="308"/>
    </row>
    <row r="32" spans="1:85" customFormat="1" x14ac:dyDescent="0.3">
      <c r="A32" s="4" t="s">
        <v>7</v>
      </c>
      <c r="B32" s="250"/>
      <c r="C32" s="969"/>
      <c r="D32" s="969"/>
      <c r="E32" s="969"/>
      <c r="F32" s="985">
        <f>F26+F28+F30</f>
      </c>
      <c r="G32" s="183">
        <f t="shared" ref="G32:AO32" si="18">G26+G28+G30</f>
      </c>
      <c r="H32" s="183">
        <f t="shared" si="18"/>
      </c>
      <c r="I32" s="183">
        <f t="shared" si="18"/>
      </c>
      <c r="J32" s="183">
        <f t="shared" si="18"/>
      </c>
      <c r="K32" s="985">
        <f t="shared" si="18"/>
      </c>
      <c r="L32" s="183">
        <f t="shared" si="18"/>
      </c>
      <c r="M32" s="183">
        <f t="shared" si="18"/>
      </c>
      <c r="N32" s="183">
        <f t="shared" si="18"/>
      </c>
      <c r="O32" s="183">
        <f t="shared" si="18"/>
      </c>
      <c r="P32" s="985">
        <f t="shared" si="18"/>
      </c>
      <c r="Q32" s="183">
        <f t="shared" si="18"/>
      </c>
      <c r="R32" s="183">
        <f t="shared" si="18"/>
      </c>
      <c r="S32" s="183">
        <f t="shared" si="18"/>
      </c>
      <c r="T32" s="183">
        <f t="shared" si="18"/>
      </c>
      <c r="U32" s="985">
        <f t="shared" si="18"/>
      </c>
      <c r="V32" s="183">
        <f t="shared" si="18"/>
      </c>
      <c r="W32" s="183">
        <f t="shared" si="18"/>
      </c>
      <c r="X32" s="183">
        <f t="shared" si="18"/>
      </c>
      <c r="Y32" s="759">
        <f t="shared" si="18"/>
      </c>
      <c r="Z32" s="969">
        <f t="shared" si="18"/>
      </c>
      <c r="AA32" s="183">
        <f t="shared" si="18"/>
      </c>
      <c r="AB32" s="183">
        <f t="shared" si="18"/>
      </c>
      <c r="AC32" s="183">
        <f t="shared" si="18"/>
      </c>
      <c r="AD32" s="759">
        <f t="shared" si="18"/>
      </c>
      <c r="AE32" s="969">
        <f t="shared" si="18"/>
      </c>
      <c r="AF32" s="183">
        <f t="shared" si="18"/>
      </c>
      <c r="AG32" s="183">
        <f t="shared" si="18"/>
      </c>
      <c r="AH32" s="183">
        <f t="shared" si="18"/>
      </c>
      <c r="AI32" s="759">
        <f t="shared" si="18"/>
      </c>
      <c r="AJ32" s="969">
        <f t="shared" si="18"/>
      </c>
      <c r="AK32" s="183">
        <f t="shared" si="18"/>
      </c>
      <c r="AL32" s="183">
        <f t="shared" si="18"/>
      </c>
      <c r="AM32" s="183">
        <f t="shared" si="18"/>
      </c>
      <c r="AN32" s="759">
        <f t="shared" si="18"/>
      </c>
      <c r="AO32" s="969">
        <f t="shared" si="18"/>
      </c>
      <c r="AP32" s="759"/>
      <c r="AQ32" s="759"/>
      <c r="AR32" s="759"/>
      <c r="AS32" s="759"/>
      <c r="AT32" s="969"/>
      <c r="AU32" s="759"/>
      <c r="AV32" s="759"/>
      <c r="AW32" s="759"/>
      <c r="AX32" s="759"/>
      <c r="AY32" s="969"/>
      <c r="AZ32" s="759"/>
      <c r="BA32" s="759"/>
      <c r="BB32" s="759"/>
      <c r="BC32" s="759"/>
      <c r="BD32" s="969"/>
      <c r="BE32" s="759"/>
      <c r="BF32" s="759"/>
      <c r="BG32" s="759"/>
      <c r="BH32" s="759"/>
      <c r="BI32" s="969"/>
      <c r="BJ32" s="759"/>
      <c r="BK32" s="759"/>
      <c r="BL32" s="759"/>
      <c r="BM32" s="759"/>
      <c r="BN32" s="969"/>
      <c r="BO32" s="759"/>
      <c r="BP32" s="759"/>
      <c r="BQ32" s="759"/>
      <c r="BR32" s="759"/>
      <c r="BS32" s="969"/>
      <c r="BT32" s="760"/>
      <c r="BU32" s="759"/>
      <c r="BV32" s="759"/>
      <c r="BW32" s="759"/>
      <c r="BX32" s="969"/>
      <c r="BY32" s="759"/>
      <c r="BZ32" s="759"/>
      <c r="CA32" s="759"/>
      <c r="CB32" s="759"/>
      <c r="CC32" s="969"/>
      <c r="CD32" s="969"/>
      <c r="CE32" s="969"/>
      <c r="CF32" s="969"/>
      <c r="CG32" s="183"/>
    </row>
    <row r="33" spans="1:85" s="614" customFormat="1" x14ac:dyDescent="0.3">
      <c r="A33" s="351"/>
      <c r="B33" s="352"/>
      <c r="C33" s="1094"/>
      <c r="D33" s="1094"/>
      <c r="E33" s="1094"/>
      <c r="F33" s="1094"/>
      <c r="G33" s="197"/>
      <c r="H33" s="197"/>
      <c r="I33" s="197"/>
      <c r="J33" s="197"/>
      <c r="K33" s="1094"/>
      <c r="L33" s="197"/>
      <c r="M33" s="197"/>
      <c r="N33" s="197"/>
      <c r="O33" s="197"/>
      <c r="P33" s="1094"/>
      <c r="Q33" s="197"/>
      <c r="R33" s="197"/>
      <c r="S33" s="197"/>
      <c r="T33" s="197"/>
      <c r="U33" s="1094"/>
      <c r="V33" s="197"/>
      <c r="W33" s="197"/>
      <c r="X33" s="197"/>
      <c r="Y33" s="197"/>
      <c r="Z33" s="1094"/>
      <c r="AA33" s="197"/>
      <c r="AB33" s="197"/>
      <c r="AC33" s="197"/>
      <c r="AD33" s="197"/>
      <c r="AE33" s="1094"/>
      <c r="AF33" s="197"/>
      <c r="AG33" s="197"/>
      <c r="AH33" s="197"/>
      <c r="AI33" s="197"/>
      <c r="AJ33" s="1094"/>
      <c r="AK33" s="197"/>
      <c r="AL33" s="197"/>
      <c r="AM33" s="197"/>
      <c r="AN33" s="197"/>
      <c r="AO33" s="1094"/>
      <c r="AP33" s="197"/>
      <c r="AQ33" s="197"/>
      <c r="AR33" s="197"/>
      <c r="AS33" s="197"/>
      <c r="AT33" s="1094"/>
      <c r="AU33" s="197"/>
      <c r="AV33" s="197"/>
      <c r="AW33" s="197"/>
      <c r="AX33" s="197"/>
      <c r="AY33" s="1094"/>
      <c r="AZ33" s="197"/>
      <c r="BA33" s="197"/>
      <c r="BB33" s="197"/>
      <c r="BC33" s="197"/>
      <c r="BD33" s="1094"/>
      <c r="BE33" s="197"/>
      <c r="BF33" s="197"/>
      <c r="BG33" s="197"/>
      <c r="BH33" s="197"/>
      <c r="BI33" s="1094"/>
      <c r="BJ33" s="197"/>
      <c r="BK33" s="197"/>
      <c r="BL33" s="197"/>
      <c r="BM33" s="197"/>
      <c r="BN33" s="1094"/>
      <c r="BO33" s="197"/>
      <c r="BP33" s="197"/>
      <c r="BQ33" s="197"/>
      <c r="BR33" s="197"/>
      <c r="BS33" s="1094"/>
      <c r="BT33" s="727"/>
      <c r="BU33" s="197"/>
      <c r="BV33" s="197"/>
      <c r="BW33" s="197"/>
      <c r="BX33" s="1094"/>
      <c r="BY33" s="197"/>
      <c r="BZ33" s="197"/>
      <c r="CA33" s="197"/>
      <c r="CB33" s="197"/>
      <c r="CC33" s="1094"/>
      <c r="CD33" s="1094"/>
      <c r="CE33" s="1094"/>
      <c r="CF33" s="1094"/>
      <c r="CG33" s="349"/>
    </row>
    <row r="34" spans="1:85" customFormat="1" x14ac:dyDescent="0.3">
      <c r="A34" s="754" t="s">
        <v>454</v>
      </c>
      <c r="B34" s="754"/>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93"/>
      <c r="BU34" s="23"/>
      <c r="BV34" s="23"/>
      <c r="BW34" s="23"/>
      <c r="BX34" s="23"/>
      <c r="BY34" s="23"/>
      <c r="BZ34" s="23"/>
      <c r="CA34" s="23"/>
      <c r="CB34" s="23"/>
      <c r="CC34" s="23"/>
      <c r="CD34" s="23"/>
      <c r="CE34" s="23"/>
      <c r="CF34" s="23"/>
      <c r="CG34" s="183"/>
    </row>
    <row r="35" spans="1:85" customFormat="1" x14ac:dyDescent="0.3">
      <c r="A35" s="182" t="s">
        <v>9</v>
      </c>
      <c r="B35" s="430"/>
      <c r="C35" s="962"/>
      <c r="D35" s="962"/>
      <c r="E35" s="962"/>
      <c r="F35" s="963">
        <v>1570.6</v>
      </c>
      <c r="G35" s="857">
        <v>440.334</v>
      </c>
      <c r="H35" s="857">
        <v>452.59800000000001</v>
      </c>
      <c r="I35" s="857">
        <v>473.96499999999997</v>
      </c>
      <c r="J35" s="459">
        <f>K35-I35-H35-G35</f>
      </c>
      <c r="K35" s="963">
        <v>1863.376</v>
      </c>
      <c r="L35" s="857">
        <v>517.09400000000005</v>
      </c>
      <c r="M35" s="857">
        <v>546.22299999999996</v>
      </c>
      <c r="N35" s="857">
        <v>565.25099999999998</v>
      </c>
      <c r="O35" s="459">
        <f>P35-N35-M35-L35</f>
      </c>
      <c r="P35" s="963">
        <v>2201.761</v>
      </c>
      <c r="Q35" s="857">
        <v>582.529</v>
      </c>
      <c r="R35" s="857">
        <v>612.69100000000003</v>
      </c>
      <c r="S35" s="857">
        <v>644.91399999999999</v>
      </c>
      <c r="T35" s="459">
        <f>U35-Q35-R35-S35</f>
      </c>
      <c r="U35" s="963">
        <v>2487.1930000000002</v>
      </c>
      <c r="V35" s="857">
        <v>687.75599999999997</v>
      </c>
      <c r="W35" s="857">
        <v>729.399</v>
      </c>
      <c r="X35" s="857">
        <v>746.22</v>
      </c>
      <c r="Y35" s="857">
        <v>788.59799999999996</v>
      </c>
      <c r="Z35" s="963">
        <v>2951.973</v>
      </c>
      <c r="AA35" s="857">
        <v>783.95399999999995</v>
      </c>
      <c r="AB35" s="857">
        <v>868.53</v>
      </c>
      <c r="AC35" s="857">
        <v>902.27499999999998</v>
      </c>
      <c r="AD35" s="857">
        <v>916.1</v>
      </c>
      <c r="AE35" s="963">
        <v>3470.8589999999999</v>
      </c>
      <c r="AF35" s="857">
        <v>936.48</v>
      </c>
      <c r="AG35" s="857">
        <v>969.995</v>
      </c>
      <c r="AH35" s="857">
        <v>1038.473</v>
      </c>
      <c r="AI35" s="857">
        <v>1093.4459999999999</v>
      </c>
      <c r="AJ35" s="962">
        <f>SUM(AF35,AG35,AH35,AI35)</f>
      </c>
      <c r="AK35" s="857">
        <v>1139.5350000000001</v>
      </c>
      <c r="AL35" s="857">
        <v>1196.42</v>
      </c>
      <c r="AM35" s="857">
        <v>1210.105</v>
      </c>
      <c r="AN35" s="857">
        <v>1321.2829999999999</v>
      </c>
      <c r="AO35" s="962">
        <f>SUM(AK35,AL35,AM35,AN35)</f>
      </c>
      <c r="AP35" s="757"/>
      <c r="AQ35" s="757"/>
      <c r="AR35" s="757"/>
      <c r="AS35" s="757"/>
      <c r="AT35" s="962"/>
      <c r="AU35" s="757"/>
      <c r="AV35" s="757"/>
      <c r="AW35" s="757"/>
      <c r="AX35" s="757"/>
      <c r="AY35" s="962"/>
      <c r="AZ35" s="757"/>
      <c r="BA35" s="757"/>
      <c r="BB35" s="757"/>
      <c r="BC35" s="757"/>
      <c r="BD35" s="962"/>
      <c r="BE35" s="757"/>
      <c r="BF35" s="757"/>
      <c r="BG35" s="757"/>
      <c r="BH35" s="757"/>
      <c r="BI35" s="962"/>
      <c r="BJ35" s="757"/>
      <c r="BK35" s="757"/>
      <c r="BL35" s="757"/>
      <c r="BM35" s="757"/>
      <c r="BN35" s="962"/>
      <c r="BO35" s="757"/>
      <c r="BP35" s="757"/>
      <c r="BQ35" s="757"/>
      <c r="BR35" s="757"/>
      <c r="BS35" s="962"/>
      <c r="BT35" s="758"/>
      <c r="BU35" s="757"/>
      <c r="BV35" s="757"/>
      <c r="BW35" s="757"/>
      <c r="BX35" s="962"/>
      <c r="BY35" s="757"/>
      <c r="BZ35" s="757"/>
      <c r="CA35" s="757"/>
      <c r="CB35" s="757"/>
      <c r="CC35" s="962"/>
      <c r="CD35" s="962"/>
      <c r="CE35" s="962"/>
      <c r="CF35" s="962"/>
      <c r="CG35" s="459"/>
    </row>
    <row r="36" spans="1:85" customFormat="1" x14ac:dyDescent="0.3">
      <c r="A36" s="182" t="s">
        <v>10</v>
      </c>
      <c r="B36" s="430"/>
      <c r="C36" s="962"/>
      <c r="D36" s="962"/>
      <c r="E36" s="962"/>
      <c r="F36" s="963">
        <v>483.29500000000002</v>
      </c>
      <c r="G36" s="857">
        <v>166.892</v>
      </c>
      <c r="H36" s="857">
        <v>184.4</v>
      </c>
      <c r="I36" s="857">
        <v>209.81100000000001</v>
      </c>
      <c r="J36" s="459">
        <f>K36-I36-H36-G36</f>
      </c>
      <c r="K36" s="963">
        <v>782.30399999999997</v>
      </c>
      <c r="L36" s="857">
        <v>245.267</v>
      </c>
      <c r="M36" s="857">
        <v>266.697</v>
      </c>
      <c r="N36" s="857">
        <v>291.94200000000001</v>
      </c>
      <c r="O36" s="459">
        <f>P36-N36-M36-L36</f>
      </c>
      <c r="P36" s="963">
        <v>1154.117</v>
      </c>
      <c r="Q36" s="857">
        <v>375.27800000000002</v>
      </c>
      <c r="R36" s="857">
        <v>422.96600000000001</v>
      </c>
      <c r="S36" s="857">
        <v>451.25099999999998</v>
      </c>
      <c r="T36" s="459">
        <f>U36-Q36-R36-S36</f>
      </c>
      <c r="U36" s="963">
        <v>1780.375</v>
      </c>
      <c r="V36" s="857">
        <v>657.73</v>
      </c>
      <c r="W36" s="857">
        <v>728.16800000000001</v>
      </c>
      <c r="X36" s="857">
        <v>783.87699999999995</v>
      </c>
      <c r="Y36" s="857">
        <v>872.97199999999998</v>
      </c>
      <c r="Z36" s="963">
        <v>3042.7469999999998</v>
      </c>
      <c r="AA36" s="857">
        <v>896.55799999999999</v>
      </c>
      <c r="AB36" s="857">
        <v>1070.432</v>
      </c>
      <c r="AC36" s="857">
        <v>1136.877</v>
      </c>
      <c r="AD36" s="857">
        <v>1255.749</v>
      </c>
      <c r="AE36" s="963">
        <v>4359.616</v>
      </c>
      <c r="AF36" s="857">
        <v>1321.7059999999999</v>
      </c>
      <c r="AG36" s="857">
        <v>1392.5119999999999</v>
      </c>
      <c r="AH36" s="857">
        <v>1455.5540000000001</v>
      </c>
      <c r="AI36" s="857">
        <v>1606.2750000000001</v>
      </c>
      <c r="AJ36" s="962">
        <f>SUM(AF36,AG36,AH36,AI36)</f>
      </c>
      <c r="AK36" s="857">
        <v>1697.1210000000001</v>
      </c>
      <c r="AL36" s="857">
        <v>1778.89</v>
      </c>
      <c r="AM36" s="857">
        <v>1860.021</v>
      </c>
      <c r="AN36" s="857">
        <v>2113.6309999999999</v>
      </c>
      <c r="AO36" s="962">
        <f>SUM(AK36,AL36,AM36,AN36)</f>
      </c>
      <c r="AP36" s="757"/>
      <c r="AQ36" s="757"/>
      <c r="AR36" s="757"/>
      <c r="AS36" s="757"/>
      <c r="AT36" s="962"/>
      <c r="AU36" s="757"/>
      <c r="AV36" s="757"/>
      <c r="AW36" s="757"/>
      <c r="AX36" s="757"/>
      <c r="AY36" s="962"/>
      <c r="AZ36" s="757"/>
      <c r="BA36" s="757"/>
      <c r="BB36" s="757"/>
      <c r="BC36" s="757"/>
      <c r="BD36" s="962"/>
      <c r="BE36" s="757"/>
      <c r="BF36" s="757"/>
      <c r="BG36" s="757"/>
      <c r="BH36" s="757"/>
      <c r="BI36" s="962"/>
      <c r="BJ36" s="757"/>
      <c r="BK36" s="757"/>
      <c r="BL36" s="757"/>
      <c r="BM36" s="757"/>
      <c r="BN36" s="962"/>
      <c r="BO36" s="757"/>
      <c r="BP36" s="757"/>
      <c r="BQ36" s="757"/>
      <c r="BR36" s="757"/>
      <c r="BS36" s="962"/>
      <c r="BT36" s="758"/>
      <c r="BU36" s="757"/>
      <c r="BV36" s="757"/>
      <c r="BW36" s="757"/>
      <c r="BX36" s="962"/>
      <c r="BY36" s="757"/>
      <c r="BZ36" s="757"/>
      <c r="CA36" s="757"/>
      <c r="CB36" s="757"/>
      <c r="CC36" s="962"/>
      <c r="CD36" s="962"/>
      <c r="CE36" s="962"/>
      <c r="CF36" s="962"/>
      <c r="CG36" s="459"/>
    </row>
    <row r="37" spans="1:85" customFormat="1" x14ac:dyDescent="0.3">
      <c r="A37" s="30" t="s">
        <v>11</v>
      </c>
      <c r="B37" s="425"/>
      <c r="C37" s="984"/>
      <c r="D37" s="984"/>
      <c r="E37" s="984"/>
      <c r="F37" s="989">
        <v>598.16300000000001</v>
      </c>
      <c r="G37" s="863">
        <v>129.726</v>
      </c>
      <c r="H37" s="863">
        <v>123.676</v>
      </c>
      <c r="I37" s="863">
        <v>115.124</v>
      </c>
      <c r="J37" s="800">
        <f>K37-I37-H37-G37</f>
      </c>
      <c r="K37" s="989">
        <v>471.52300000000002</v>
      </c>
      <c r="L37" s="863">
        <v>106.825</v>
      </c>
      <c r="M37" s="863">
        <v>101.928</v>
      </c>
      <c r="N37" s="863">
        <v>97.200999999999993</v>
      </c>
      <c r="O37" s="800">
        <f>P37-N37-M37-L37</f>
      </c>
      <c r="P37" s="989">
        <v>396.88200000000001</v>
      </c>
      <c r="Q37" s="863">
        <v>88.593999999999994</v>
      </c>
      <c r="R37" s="863">
        <v>86.094999999999999</v>
      </c>
      <c r="S37" s="863">
        <v>77.793000000000006</v>
      </c>
      <c r="T37" s="800">
        <f>U37-Q37-R37-S37</f>
      </c>
      <c r="U37" s="989">
        <v>323.90800000000002</v>
      </c>
      <c r="V37" s="863">
        <v>73.094999999999999</v>
      </c>
      <c r="W37" s="863">
        <v>67.83</v>
      </c>
      <c r="X37" s="863">
        <v>63.670999999999999</v>
      </c>
      <c r="Y37" s="761">
        <f>Z37-V37-W37-X37</f>
      </c>
      <c r="Z37" s="989">
        <v>262.74200000000002</v>
      </c>
      <c r="AA37" s="863">
        <v>60.219000000000001</v>
      </c>
      <c r="AB37" s="863">
        <v>52.734000000000002</v>
      </c>
      <c r="AC37" s="863">
        <v>47.087000000000003</v>
      </c>
      <c r="AD37" s="761">
        <f>AE37-AA37-AB37-AC37</f>
      </c>
      <c r="AE37" s="989">
        <v>202.52500000000001</v>
      </c>
      <c r="AF37" s="863">
        <v>42.393000000000001</v>
      </c>
      <c r="AG37" s="863">
        <v>39.923999999999999</v>
      </c>
      <c r="AH37" s="863">
        <v>37.100999999999999</v>
      </c>
      <c r="AI37" s="863">
        <v>33.679000000000002</v>
      </c>
      <c r="AJ37" s="989">
        <v>153.09700000000001</v>
      </c>
      <c r="AK37" s="863">
        <v>33.957999999999998</v>
      </c>
      <c r="AL37" s="863">
        <v>30.347000000000001</v>
      </c>
      <c r="AM37" s="863">
        <v>27.792999999999999</v>
      </c>
      <c r="AN37" s="863">
        <v>31.109000000000002</v>
      </c>
      <c r="AO37" s="984">
        <f>SUM(AK37,AL37,AM37,AN37)</f>
      </c>
      <c r="AP37" s="761"/>
      <c r="AQ37" s="761"/>
      <c r="AR37" s="761"/>
      <c r="AS37" s="761"/>
      <c r="AT37" s="984"/>
      <c r="AU37" s="761"/>
      <c r="AV37" s="761"/>
      <c r="AW37" s="761"/>
      <c r="AX37" s="761"/>
      <c r="AY37" s="984"/>
      <c r="AZ37" s="761"/>
      <c r="BA37" s="761"/>
      <c r="BB37" s="761"/>
      <c r="BC37" s="761"/>
      <c r="BD37" s="984"/>
      <c r="BE37" s="761"/>
      <c r="BF37" s="761"/>
      <c r="BG37" s="761"/>
      <c r="BH37" s="761"/>
      <c r="BI37" s="984"/>
      <c r="BJ37" s="761"/>
      <c r="BK37" s="761"/>
      <c r="BL37" s="761"/>
      <c r="BM37" s="761"/>
      <c r="BN37" s="984"/>
      <c r="BO37" s="761"/>
      <c r="BP37" s="761"/>
      <c r="BQ37" s="761"/>
      <c r="BR37" s="761"/>
      <c r="BS37" s="984"/>
      <c r="BT37" s="762"/>
      <c r="BU37" s="761"/>
      <c r="BV37" s="761"/>
      <c r="BW37" s="761"/>
      <c r="BX37" s="984"/>
      <c r="BY37" s="761"/>
      <c r="BZ37" s="761"/>
      <c r="CA37" s="761"/>
      <c r="CB37" s="761"/>
      <c r="CC37" s="984"/>
      <c r="CD37" s="984"/>
      <c r="CE37" s="984"/>
      <c r="CF37" s="984"/>
      <c r="CG37" s="459"/>
    </row>
    <row r="38" spans="1:85" customFormat="1" x14ac:dyDescent="0.3">
      <c r="A38" s="2" t="s">
        <v>12</v>
      </c>
      <c r="B38" s="426"/>
      <c r="C38" s="965"/>
      <c r="D38" s="965"/>
      <c r="E38" s="965"/>
      <c r="F38" s="986">
        <f t="shared" ref="F38:AO38" si="19">SUM(F35:F37)</f>
      </c>
      <c r="G38" s="792">
        <f t="shared" si="19"/>
      </c>
      <c r="H38" s="792">
        <f t="shared" si="19"/>
      </c>
      <c r="I38" s="792">
        <f t="shared" si="19"/>
      </c>
      <c r="J38" s="792">
        <f t="shared" si="19"/>
      </c>
      <c r="K38" s="986">
        <f t="shared" si="19"/>
      </c>
      <c r="L38" s="792">
        <f t="shared" si="19"/>
      </c>
      <c r="M38" s="792">
        <f t="shared" si="19"/>
      </c>
      <c r="N38" s="792">
        <f t="shared" si="19"/>
      </c>
      <c r="O38" s="792">
        <f t="shared" si="19"/>
      </c>
      <c r="P38" s="986">
        <f t="shared" si="19"/>
      </c>
      <c r="Q38" s="792">
        <f t="shared" si="19"/>
      </c>
      <c r="R38" s="792">
        <f t="shared" si="19"/>
      </c>
      <c r="S38" s="792">
        <f t="shared" si="19"/>
      </c>
      <c r="T38" s="792">
        <f t="shared" si="19"/>
      </c>
      <c r="U38" s="986">
        <f t="shared" si="19"/>
      </c>
      <c r="V38" s="792">
        <f t="shared" si="19"/>
      </c>
      <c r="W38" s="792">
        <f t="shared" si="19"/>
      </c>
      <c r="X38" s="792">
        <f t="shared" si="19"/>
      </c>
      <c r="Y38" s="791">
        <f t="shared" si="19"/>
      </c>
      <c r="Z38" s="965">
        <f t="shared" si="19"/>
      </c>
      <c r="AA38" s="792">
        <f t="shared" si="19"/>
      </c>
      <c r="AB38" s="792">
        <f t="shared" si="19"/>
      </c>
      <c r="AC38" s="792">
        <f t="shared" si="19"/>
      </c>
      <c r="AD38" s="791">
        <f t="shared" si="19"/>
      </c>
      <c r="AE38" s="965">
        <f t="shared" si="19"/>
      </c>
      <c r="AF38" s="792">
        <f t="shared" si="19"/>
      </c>
      <c r="AG38" s="792">
        <f t="shared" si="19"/>
      </c>
      <c r="AH38" s="792">
        <f t="shared" si="19"/>
      </c>
      <c r="AI38" s="791">
        <f t="shared" si="19"/>
      </c>
      <c r="AJ38" s="965">
        <f t="shared" si="19"/>
      </c>
      <c r="AK38" s="792">
        <f t="shared" si="19"/>
      </c>
      <c r="AL38" s="792">
        <f t="shared" si="19"/>
      </c>
      <c r="AM38" s="792">
        <f t="shared" si="19"/>
      </c>
      <c r="AN38" s="791">
        <f t="shared" si="19"/>
      </c>
      <c r="AO38" s="965">
        <f t="shared" si="19"/>
      </c>
      <c r="AP38" s="791"/>
      <c r="AQ38" s="791"/>
      <c r="AR38" s="791"/>
      <c r="AS38" s="791"/>
      <c r="AT38" s="965"/>
      <c r="AU38" s="791"/>
      <c r="AV38" s="791"/>
      <c r="AW38" s="791"/>
      <c r="AX38" s="791"/>
      <c r="AY38" s="965"/>
      <c r="AZ38" s="791"/>
      <c r="BA38" s="791"/>
      <c r="BB38" s="791"/>
      <c r="BC38" s="791"/>
      <c r="BD38" s="965"/>
      <c r="BE38" s="791"/>
      <c r="BF38" s="791"/>
      <c r="BG38" s="791"/>
      <c r="BH38" s="791"/>
      <c r="BI38" s="965"/>
      <c r="BJ38" s="791"/>
      <c r="BK38" s="791"/>
      <c r="BL38" s="791"/>
      <c r="BM38" s="791"/>
      <c r="BN38" s="965"/>
      <c r="BO38" s="791"/>
      <c r="BP38" s="791"/>
      <c r="BQ38" s="791"/>
      <c r="BR38" s="791"/>
      <c r="BS38" s="965"/>
      <c r="BT38" s="797"/>
      <c r="BU38" s="791"/>
      <c r="BV38" s="791"/>
      <c r="BW38" s="791"/>
      <c r="BX38" s="965"/>
      <c r="BY38" s="791"/>
      <c r="BZ38" s="791"/>
      <c r="CA38" s="791"/>
      <c r="CB38" s="791"/>
      <c r="CC38" s="965"/>
      <c r="CD38" s="965"/>
      <c r="CE38" s="965"/>
      <c r="CF38" s="965"/>
      <c r="CG38" s="183"/>
    </row>
    <row r="39" spans="1:85" customFormat="1" x14ac:dyDescent="0.3">
      <c r="A39" s="436"/>
      <c r="B39" s="430"/>
      <c r="C39" s="962"/>
      <c r="D39" s="962"/>
      <c r="E39" s="962"/>
      <c r="F39" s="962"/>
      <c r="G39" s="757"/>
      <c r="H39" s="757"/>
      <c r="I39" s="757"/>
      <c r="J39" s="757"/>
      <c r="K39" s="962"/>
      <c r="L39" s="757"/>
      <c r="M39" s="757"/>
      <c r="N39" s="757"/>
      <c r="O39" s="757"/>
      <c r="P39" s="962"/>
      <c r="Q39" s="757"/>
      <c r="R39" s="757"/>
      <c r="S39" s="757"/>
      <c r="T39" s="757"/>
      <c r="U39" s="962"/>
      <c r="V39" s="757"/>
      <c r="W39" s="757"/>
      <c r="X39" s="757"/>
      <c r="Y39" s="757"/>
      <c r="Z39" s="962"/>
      <c r="AA39" s="757"/>
      <c r="AB39" s="757"/>
      <c r="AC39" s="757"/>
      <c r="AD39" s="757"/>
      <c r="AE39" s="962"/>
      <c r="AF39" s="757"/>
      <c r="AG39" s="757"/>
      <c r="AH39" s="757"/>
      <c r="AI39" s="757"/>
      <c r="AJ39" s="962"/>
      <c r="AK39" s="757"/>
      <c r="AL39" s="757"/>
      <c r="AM39" s="757"/>
      <c r="AN39" s="757"/>
      <c r="AO39" s="962"/>
      <c r="AP39" s="757"/>
      <c r="AQ39" s="757"/>
      <c r="AR39" s="757"/>
      <c r="AS39" s="757"/>
      <c r="AT39" s="962"/>
      <c r="AU39" s="757"/>
      <c r="AV39" s="757"/>
      <c r="AW39" s="757"/>
      <c r="AX39" s="757"/>
      <c r="AY39" s="962"/>
      <c r="AZ39" s="757"/>
      <c r="BA39" s="757"/>
      <c r="BB39" s="757"/>
      <c r="BC39" s="757"/>
      <c r="BD39" s="962"/>
      <c r="BE39" s="757"/>
      <c r="BF39" s="757"/>
      <c r="BG39" s="757"/>
      <c r="BH39" s="757"/>
      <c r="BI39" s="962"/>
      <c r="BJ39" s="757"/>
      <c r="BK39" s="757"/>
      <c r="BL39" s="757"/>
      <c r="BM39" s="757"/>
      <c r="BN39" s="962"/>
      <c r="BO39" s="757"/>
      <c r="BP39" s="757"/>
      <c r="BQ39" s="757"/>
      <c r="BR39" s="757"/>
      <c r="BS39" s="962"/>
      <c r="BT39" s="758"/>
      <c r="BU39" s="757"/>
      <c r="BV39" s="757"/>
      <c r="BW39" s="757"/>
      <c r="BX39" s="962"/>
      <c r="BY39" s="757"/>
      <c r="BZ39" s="757"/>
      <c r="CA39" s="757"/>
      <c r="CB39" s="757"/>
      <c r="CC39" s="962"/>
      <c r="CD39" s="962"/>
      <c r="CE39" s="962"/>
      <c r="CF39" s="962"/>
      <c r="CG39" s="459"/>
    </row>
    <row r="40" spans="1:85" customFormat="1" x14ac:dyDescent="0.3">
      <c r="A40" s="182" t="s">
        <v>13</v>
      </c>
      <c r="B40" s="430"/>
      <c r="C40" s="962"/>
      <c r="D40" s="962"/>
      <c r="E40" s="962"/>
      <c r="F40" s="963">
        <v>245.25899999999999</v>
      </c>
      <c r="G40" s="857">
        <v>66.965000000000003</v>
      </c>
      <c r="H40" s="857">
        <v>67.177000000000007</v>
      </c>
      <c r="I40" s="857">
        <v>60.637</v>
      </c>
      <c r="J40" s="459">
        <f>K40-I40-H40-G40</f>
      </c>
      <c r="K40" s="963">
        <v>265.23200000000003</v>
      </c>
      <c r="L40" s="857">
        <v>80.257999999999996</v>
      </c>
      <c r="M40" s="857">
        <v>64.727000000000004</v>
      </c>
      <c r="N40" s="857">
        <v>61.045000000000002</v>
      </c>
      <c r="O40" s="459">
        <f>P40-N40-M40-L40</f>
      </c>
      <c r="P40" s="963">
        <v>293.45299999999997</v>
      </c>
      <c r="Q40" s="857">
        <v>89.551000000000002</v>
      </c>
      <c r="R40" s="857">
        <v>73.427000000000007</v>
      </c>
      <c r="S40" s="857">
        <v>74.834999999999994</v>
      </c>
      <c r="T40" s="459">
        <f>U40-Q40-R40-S40</f>
      </c>
      <c r="U40" s="963">
        <v>317.64600000000002</v>
      </c>
      <c r="V40" s="857">
        <v>88.573999999999998</v>
      </c>
      <c r="W40" s="857">
        <v>93.751000000000005</v>
      </c>
      <c r="X40" s="857">
        <v>116.687</v>
      </c>
      <c r="Y40" s="857">
        <v>113.916</v>
      </c>
      <c r="Z40" s="963">
        <v>412.928</v>
      </c>
      <c r="AA40" s="857">
        <v>126.253</v>
      </c>
      <c r="AB40" s="857">
        <v>124.90300000000001</v>
      </c>
      <c r="AC40" s="857">
        <v>141.53299999999999</v>
      </c>
      <c r="AD40" s="857">
        <v>211.05699999999999</v>
      </c>
      <c r="AE40" s="963">
        <v>603.74599999999998</v>
      </c>
      <c r="AF40" s="857">
        <v>250.71899999999999</v>
      </c>
      <c r="AG40" s="857">
        <v>251.298</v>
      </c>
      <c r="AH40" s="857">
        <v>210.595</v>
      </c>
      <c r="AI40" s="857">
        <v>312.73899999999998</v>
      </c>
      <c r="AJ40" s="963">
        <v>1025.3510000000001</v>
      </c>
      <c r="AK40" s="857">
        <v>221.04599999999999</v>
      </c>
      <c r="AL40" s="857">
        <v>250.60599999999999</v>
      </c>
      <c r="AM40" s="857">
        <v>211.79300000000001</v>
      </c>
      <c r="AN40" s="857">
        <v>379.59699999999998</v>
      </c>
      <c r="AO40" s="962">
        <f>SUM(AK40,AL40,AM40,AN40)</f>
      </c>
      <c r="AP40" s="757"/>
      <c r="AQ40" s="757"/>
      <c r="AR40" s="757"/>
      <c r="AS40" s="757"/>
      <c r="AT40" s="962"/>
      <c r="AU40" s="757"/>
      <c r="AV40" s="757"/>
      <c r="AW40" s="757"/>
      <c r="AX40" s="757"/>
      <c r="AY40" s="962"/>
      <c r="AZ40" s="757"/>
      <c r="BA40" s="757"/>
      <c r="BB40" s="757"/>
      <c r="BC40" s="757"/>
      <c r="BD40" s="962"/>
      <c r="BE40" s="757"/>
      <c r="BF40" s="757"/>
      <c r="BG40" s="757"/>
      <c r="BH40" s="757"/>
      <c r="BI40" s="962"/>
      <c r="BJ40" s="757"/>
      <c r="BK40" s="757"/>
      <c r="BL40" s="757"/>
      <c r="BM40" s="757"/>
      <c r="BN40" s="962"/>
      <c r="BO40" s="757"/>
      <c r="BP40" s="757"/>
      <c r="BQ40" s="757"/>
      <c r="BR40" s="757"/>
      <c r="BS40" s="962"/>
      <c r="BT40" s="758"/>
      <c r="BU40" s="757"/>
      <c r="BV40" s="757"/>
      <c r="BW40" s="757"/>
      <c r="BX40" s="962"/>
      <c r="BY40" s="757"/>
      <c r="BZ40" s="757"/>
      <c r="CA40" s="757"/>
      <c r="CB40" s="757"/>
      <c r="CC40" s="962"/>
      <c r="CD40" s="962"/>
      <c r="CE40" s="962"/>
      <c r="CF40" s="962"/>
      <c r="CG40" s="459"/>
    </row>
    <row r="41" spans="1:85" customFormat="1" x14ac:dyDescent="0.3">
      <c r="A41" s="182" t="s">
        <v>14</v>
      </c>
      <c r="B41" s="430"/>
      <c r="C41" s="962"/>
      <c r="D41" s="962"/>
      <c r="E41" s="962"/>
      <c r="F41" s="963">
        <v>193.39</v>
      </c>
      <c r="G41" s="857">
        <v>52.046999999999997</v>
      </c>
      <c r="H41" s="857">
        <v>47.335000000000001</v>
      </c>
      <c r="I41" s="857">
        <v>47.536999999999999</v>
      </c>
      <c r="J41" s="459">
        <f>K41-I41-H41-G41</f>
      </c>
      <c r="K41" s="963">
        <v>204.41800000000001</v>
      </c>
      <c r="L41" s="857">
        <v>56.84</v>
      </c>
      <c r="M41" s="857">
        <v>56.036000000000001</v>
      </c>
      <c r="N41" s="857">
        <v>84.608999999999995</v>
      </c>
      <c r="O41" s="459">
        <f>P41-N41-M41-L41</f>
      </c>
      <c r="P41" s="963">
        <v>313.733</v>
      </c>
      <c r="Q41" s="857">
        <v>105.126</v>
      </c>
      <c r="R41" s="857">
        <v>123.71299999999999</v>
      </c>
      <c r="S41" s="857">
        <v>133.267</v>
      </c>
      <c r="T41" s="459">
        <f>U41-Q41-R41-S41</f>
      </c>
      <c r="U41" s="963">
        <v>506.44600000000003</v>
      </c>
      <c r="V41" s="857">
        <v>142.89099999999999</v>
      </c>
      <c r="W41" s="857">
        <v>146.839</v>
      </c>
      <c r="X41" s="857">
        <v>194.33</v>
      </c>
      <c r="Y41" s="857">
        <v>200.53100000000001</v>
      </c>
      <c r="Z41" s="963">
        <v>684.59100000000001</v>
      </c>
      <c r="AA41" s="857">
        <v>179.89500000000001</v>
      </c>
      <c r="AB41" s="857">
        <v>186.25700000000001</v>
      </c>
      <c r="AC41" s="857">
        <v>210.91300000000001</v>
      </c>
      <c r="AD41" s="857">
        <v>255.47</v>
      </c>
      <c r="AE41" s="963">
        <v>832.53499999999997</v>
      </c>
      <c r="AF41" s="857">
        <v>286.05799999999999</v>
      </c>
      <c r="AG41" s="857">
        <v>340.709</v>
      </c>
      <c r="AH41" s="857">
        <v>299.73500000000001</v>
      </c>
      <c r="AI41" s="857">
        <v>417.61599999999999</v>
      </c>
      <c r="AJ41" s="963">
        <v>1344.1179999999999</v>
      </c>
      <c r="AK41" s="857">
        <v>395.53199999999998</v>
      </c>
      <c r="AL41" s="857">
        <v>352.54399999999998</v>
      </c>
      <c r="AM41" s="857">
        <v>342.00400000000002</v>
      </c>
      <c r="AN41" s="857">
        <v>499.34</v>
      </c>
      <c r="AO41" s="962">
        <f>SUM(AK41,AL41,AM41,AN41)</f>
      </c>
      <c r="AP41" s="757"/>
      <c r="AQ41" s="757"/>
      <c r="AR41" s="757"/>
      <c r="AS41" s="757"/>
      <c r="AT41" s="962"/>
      <c r="AU41" s="757"/>
      <c r="AV41" s="757"/>
      <c r="AW41" s="757"/>
      <c r="AX41" s="757"/>
      <c r="AY41" s="962"/>
      <c r="AZ41" s="757"/>
      <c r="BA41" s="757"/>
      <c r="BB41" s="757"/>
      <c r="BC41" s="757"/>
      <c r="BD41" s="962"/>
      <c r="BE41" s="757"/>
      <c r="BF41" s="757"/>
      <c r="BG41" s="757"/>
      <c r="BH41" s="757"/>
      <c r="BI41" s="962"/>
      <c r="BJ41" s="757"/>
      <c r="BK41" s="757"/>
      <c r="BL41" s="757"/>
      <c r="BM41" s="757"/>
      <c r="BN41" s="962"/>
      <c r="BO41" s="757"/>
      <c r="BP41" s="757"/>
      <c r="BQ41" s="757"/>
      <c r="BR41" s="757"/>
      <c r="BS41" s="962"/>
      <c r="BT41" s="758"/>
      <c r="BU41" s="757"/>
      <c r="BV41" s="757"/>
      <c r="BW41" s="757"/>
      <c r="BX41" s="962"/>
      <c r="BY41" s="757"/>
      <c r="BZ41" s="757"/>
      <c r="CA41" s="757"/>
      <c r="CB41" s="757"/>
      <c r="CC41" s="962"/>
      <c r="CD41" s="962"/>
      <c r="CE41" s="962"/>
      <c r="CF41" s="962"/>
      <c r="CG41" s="459"/>
    </row>
    <row r="42" spans="1:85" customFormat="1" x14ac:dyDescent="0.3">
      <c r="A42" s="30" t="s">
        <v>15</v>
      </c>
      <c r="B42" s="425"/>
      <c r="C42" s="984"/>
      <c r="D42" s="984"/>
      <c r="E42" s="984"/>
      <c r="F42" s="989">
        <v>0.55900000000000005</v>
      </c>
      <c r="G42" s="863">
        <v>7.3999999999999996E-2</v>
      </c>
      <c r="H42" s="863">
        <v>9.9000000000000005E-2</v>
      </c>
      <c r="I42" s="863">
        <v>5.3999999999999999E-2</v>
      </c>
      <c r="J42" s="800">
        <f>K42-I42-H42-G42</f>
      </c>
      <c r="K42" s="989">
        <v>0.29199999999999998</v>
      </c>
      <c r="L42" s="863">
        <v>0</v>
      </c>
      <c r="M42" s="863">
        <v>0</v>
      </c>
      <c r="N42" s="863">
        <v>0</v>
      </c>
      <c r="O42" s="800">
        <f>P42-N42-M42-L42</f>
      </c>
      <c r="P42" s="989">
        <v>0</v>
      </c>
      <c r="Q42" s="863">
        <v>0</v>
      </c>
      <c r="R42" s="863">
        <v>0</v>
      </c>
      <c r="S42" s="863">
        <v>0</v>
      </c>
      <c r="T42" s="800">
        <f>U42-Q42-R42-S42</f>
      </c>
      <c r="U42" s="989">
        <v>0</v>
      </c>
      <c r="V42" s="863">
        <v>0</v>
      </c>
      <c r="W42" s="863">
        <v>0</v>
      </c>
      <c r="X42" s="863">
        <v>0</v>
      </c>
      <c r="Y42" s="761">
        <f>Z42-V42-W42-X42</f>
      </c>
      <c r="Z42" s="989">
        <v>0</v>
      </c>
      <c r="AA42" s="863">
        <v>0</v>
      </c>
      <c r="AB42" s="863">
        <v>0</v>
      </c>
      <c r="AC42" s="863">
        <v>0</v>
      </c>
      <c r="AD42" s="761">
        <f>AE42-AA42-AB42-AC42</f>
      </c>
      <c r="AE42" s="989">
        <v>0</v>
      </c>
      <c r="AF42" s="863">
        <v>0</v>
      </c>
      <c r="AG42" s="863">
        <v>0</v>
      </c>
      <c r="AH42" s="863">
        <v>0</v>
      </c>
      <c r="AI42" s="863">
        <v>0</v>
      </c>
      <c r="AJ42" s="989">
        <v>0</v>
      </c>
      <c r="AK42" s="863">
        <v>0</v>
      </c>
      <c r="AL42" s="863">
        <v>0</v>
      </c>
      <c r="AM42" s="863">
        <v>0</v>
      </c>
      <c r="AN42" s="863">
        <v>0</v>
      </c>
      <c r="AO42" s="984"/>
      <c r="AP42" s="761"/>
      <c r="AQ42" s="761"/>
      <c r="AR42" s="761"/>
      <c r="AS42" s="761"/>
      <c r="AT42" s="984"/>
      <c r="AU42" s="761"/>
      <c r="AV42" s="761"/>
      <c r="AW42" s="761"/>
      <c r="AX42" s="761"/>
      <c r="AY42" s="984"/>
      <c r="AZ42" s="761"/>
      <c r="BA42" s="761"/>
      <c r="BB42" s="761"/>
      <c r="BC42" s="761"/>
      <c r="BD42" s="984"/>
      <c r="BE42" s="761"/>
      <c r="BF42" s="761"/>
      <c r="BG42" s="761"/>
      <c r="BH42" s="761"/>
      <c r="BI42" s="984"/>
      <c r="BJ42" s="761"/>
      <c r="BK42" s="761"/>
      <c r="BL42" s="761"/>
      <c r="BM42" s="761"/>
      <c r="BN42" s="984"/>
      <c r="BO42" s="761"/>
      <c r="BP42" s="761"/>
      <c r="BQ42" s="761"/>
      <c r="BR42" s="761"/>
      <c r="BS42" s="984"/>
      <c r="BT42" s="762"/>
      <c r="BU42" s="761"/>
      <c r="BV42" s="761"/>
      <c r="BW42" s="761"/>
      <c r="BX42" s="984"/>
      <c r="BY42" s="761"/>
      <c r="BZ42" s="761"/>
      <c r="CA42" s="761"/>
      <c r="CB42" s="761"/>
      <c r="CC42" s="984"/>
      <c r="CD42" s="984"/>
      <c r="CE42" s="984"/>
      <c r="CF42" s="984"/>
      <c r="CG42" s="459"/>
    </row>
    <row r="43" spans="1:85" customFormat="1" x14ac:dyDescent="0.3">
      <c r="A43" s="2" t="s">
        <v>16</v>
      </c>
      <c r="B43" s="426"/>
      <c r="C43" s="965"/>
      <c r="D43" s="965"/>
      <c r="E43" s="965"/>
      <c r="F43" s="986">
        <f t="shared" ref="F43:AO43" si="20">SUM(F40:F42)</f>
      </c>
      <c r="G43" s="792">
        <f t="shared" si="20"/>
      </c>
      <c r="H43" s="792">
        <f t="shared" si="20"/>
      </c>
      <c r="I43" s="792">
        <f t="shared" si="20"/>
      </c>
      <c r="J43" s="792">
        <f t="shared" si="20"/>
      </c>
      <c r="K43" s="986">
        <f t="shared" si="20"/>
      </c>
      <c r="L43" s="792">
        <f t="shared" si="20"/>
      </c>
      <c r="M43" s="792">
        <f t="shared" si="20"/>
      </c>
      <c r="N43" s="792">
        <f t="shared" si="20"/>
      </c>
      <c r="O43" s="792">
        <f t="shared" si="20"/>
      </c>
      <c r="P43" s="986">
        <f t="shared" si="20"/>
      </c>
      <c r="Q43" s="792">
        <f t="shared" si="20"/>
      </c>
      <c r="R43" s="792">
        <f t="shared" si="20"/>
      </c>
      <c r="S43" s="792">
        <f t="shared" si="20"/>
      </c>
      <c r="T43" s="792">
        <f t="shared" si="20"/>
      </c>
      <c r="U43" s="986">
        <f t="shared" si="20"/>
      </c>
      <c r="V43" s="792">
        <f t="shared" si="20"/>
      </c>
      <c r="W43" s="792">
        <f t="shared" si="20"/>
      </c>
      <c r="X43" s="792">
        <f t="shared" si="20"/>
      </c>
      <c r="Y43" s="791">
        <f t="shared" si="20"/>
      </c>
      <c r="Z43" s="965">
        <f t="shared" si="20"/>
      </c>
      <c r="AA43" s="792">
        <f t="shared" si="20"/>
      </c>
      <c r="AB43" s="792">
        <f t="shared" si="20"/>
      </c>
      <c r="AC43" s="792">
        <f t="shared" si="20"/>
      </c>
      <c r="AD43" s="791">
        <f t="shared" si="20"/>
      </c>
      <c r="AE43" s="965">
        <f t="shared" si="20"/>
      </c>
      <c r="AF43" s="792">
        <f t="shared" si="20"/>
      </c>
      <c r="AG43" s="792">
        <f t="shared" si="20"/>
      </c>
      <c r="AH43" s="792">
        <f t="shared" si="20"/>
      </c>
      <c r="AI43" s="791">
        <f t="shared" si="20"/>
      </c>
      <c r="AJ43" s="965">
        <f t="shared" si="20"/>
      </c>
      <c r="AK43" s="792">
        <f t="shared" si="20"/>
      </c>
      <c r="AL43" s="792">
        <f t="shared" si="20"/>
      </c>
      <c r="AM43" s="792">
        <f t="shared" si="20"/>
      </c>
      <c r="AN43" s="791">
        <f t="shared" si="20"/>
      </c>
      <c r="AO43" s="965">
        <f t="shared" si="20"/>
      </c>
      <c r="AP43" s="791"/>
      <c r="AQ43" s="791"/>
      <c r="AR43" s="791"/>
      <c r="AS43" s="791"/>
      <c r="AT43" s="965"/>
      <c r="AU43" s="791"/>
      <c r="AV43" s="791"/>
      <c r="AW43" s="791"/>
      <c r="AX43" s="791"/>
      <c r="AY43" s="965"/>
      <c r="AZ43" s="791"/>
      <c r="BA43" s="791"/>
      <c r="BB43" s="791"/>
      <c r="BC43" s="791"/>
      <c r="BD43" s="965"/>
      <c r="BE43" s="791"/>
      <c r="BF43" s="791"/>
      <c r="BG43" s="791"/>
      <c r="BH43" s="791"/>
      <c r="BI43" s="965"/>
      <c r="BJ43" s="791"/>
      <c r="BK43" s="791"/>
      <c r="BL43" s="791"/>
      <c r="BM43" s="791"/>
      <c r="BN43" s="965"/>
      <c r="BO43" s="791"/>
      <c r="BP43" s="791"/>
      <c r="BQ43" s="791"/>
      <c r="BR43" s="791"/>
      <c r="BS43" s="965"/>
      <c r="BT43" s="797"/>
      <c r="BU43" s="791"/>
      <c r="BV43" s="791"/>
      <c r="BW43" s="791"/>
      <c r="BX43" s="965"/>
      <c r="BY43" s="791"/>
      <c r="BZ43" s="791"/>
      <c r="CA43" s="791"/>
      <c r="CB43" s="791"/>
      <c r="CC43" s="965"/>
      <c r="CD43" s="965"/>
      <c r="CE43" s="965"/>
      <c r="CF43" s="965"/>
      <c r="CG43" s="183"/>
    </row>
    <row r="44" spans="1:85" customFormat="1" x14ac:dyDescent="0.3">
      <c r="A44" s="436"/>
      <c r="B44" s="430"/>
      <c r="C44" s="962"/>
      <c r="D44" s="962"/>
      <c r="E44" s="962"/>
      <c r="F44" s="962"/>
      <c r="G44" s="757"/>
      <c r="H44" s="757"/>
      <c r="I44" s="757"/>
      <c r="J44" s="757"/>
      <c r="K44" s="962"/>
      <c r="L44" s="757"/>
      <c r="M44" s="757"/>
      <c r="N44" s="757"/>
      <c r="O44" s="757"/>
      <c r="P44" s="962"/>
      <c r="Q44" s="757"/>
      <c r="R44" s="757"/>
      <c r="S44" s="757"/>
      <c r="T44" s="757"/>
      <c r="U44" s="962"/>
      <c r="V44" s="757"/>
      <c r="W44" s="757"/>
      <c r="X44" s="757"/>
      <c r="Y44" s="757"/>
      <c r="Z44" s="962"/>
      <c r="AA44" s="757"/>
      <c r="AB44" s="757"/>
      <c r="AC44" s="757"/>
      <c r="AD44" s="757"/>
      <c r="AE44" s="962"/>
      <c r="AF44" s="757"/>
      <c r="AG44" s="757"/>
      <c r="AH44" s="757"/>
      <c r="AI44" s="757"/>
      <c r="AJ44" s="962"/>
      <c r="AK44" s="757"/>
      <c r="AL44" s="757"/>
      <c r="AM44" s="757"/>
      <c r="AN44" s="757"/>
      <c r="AO44" s="962"/>
      <c r="AP44" s="757"/>
      <c r="AQ44" s="757"/>
      <c r="AR44" s="757"/>
      <c r="AS44" s="757"/>
      <c r="AT44" s="962"/>
      <c r="AU44" s="757"/>
      <c r="AV44" s="757"/>
      <c r="AW44" s="757"/>
      <c r="AX44" s="757"/>
      <c r="AY44" s="962"/>
      <c r="AZ44" s="757"/>
      <c r="BA44" s="757"/>
      <c r="BB44" s="757"/>
      <c r="BC44" s="757"/>
      <c r="BD44" s="962"/>
      <c r="BE44" s="757"/>
      <c r="BF44" s="757"/>
      <c r="BG44" s="757"/>
      <c r="BH44" s="757"/>
      <c r="BI44" s="962"/>
      <c r="BJ44" s="757"/>
      <c r="BK44" s="757"/>
      <c r="BL44" s="757"/>
      <c r="BM44" s="757"/>
      <c r="BN44" s="962"/>
      <c r="BO44" s="757"/>
      <c r="BP44" s="757"/>
      <c r="BQ44" s="757"/>
      <c r="BR44" s="757"/>
      <c r="BS44" s="962"/>
      <c r="BT44" s="758"/>
      <c r="BU44" s="757"/>
      <c r="BV44" s="757"/>
      <c r="BW44" s="757"/>
      <c r="BX44" s="962"/>
      <c r="BY44" s="757"/>
      <c r="BZ44" s="757"/>
      <c r="CA44" s="757"/>
      <c r="CB44" s="757"/>
      <c r="CC44" s="962"/>
      <c r="CD44" s="962"/>
      <c r="CE44" s="962"/>
      <c r="CF44" s="962"/>
      <c r="CG44" s="459"/>
    </row>
    <row r="45" spans="1:85" customFormat="1" x14ac:dyDescent="0.3">
      <c r="A45" s="182" t="s">
        <v>17</v>
      </c>
      <c r="B45" s="430"/>
      <c r="C45" s="962"/>
      <c r="D45" s="962"/>
      <c r="E45" s="962"/>
      <c r="F45" s="964">
        <f>'Supplemental Data'!F26-F35-F40</f>
      </c>
      <c r="G45" s="459">
        <f>'Supplemental Data'!G26-G35-G40</f>
      </c>
      <c r="H45" s="459">
        <f>'Supplemental Data'!H26-H35-H40</f>
      </c>
      <c r="I45" s="459">
        <f>'Supplemental Data'!I26-I35-I40</f>
      </c>
      <c r="J45" s="459">
        <f>'Supplemental Data'!J26-J35-J40</f>
      </c>
      <c r="K45" s="964">
        <f>'Supplemental Data'!K26-K35-K40</f>
      </c>
      <c r="L45" s="459">
        <f>'Supplemental Data'!L26-L35-L40</f>
      </c>
      <c r="M45" s="459">
        <f>'Supplemental Data'!M26-M35-M40</f>
      </c>
      <c r="N45" s="459">
        <f>'Supplemental Data'!N26-N35-N40</f>
      </c>
      <c r="O45" s="459">
        <f>'Supplemental Data'!O26-O35-O40</f>
      </c>
      <c r="P45" s="964">
        <f>'Supplemental Data'!P26-P35-P40</f>
      </c>
      <c r="Q45" s="459">
        <f>'Supplemental Data'!Q26-Q35-Q40</f>
      </c>
      <c r="R45" s="459">
        <f>'Supplemental Data'!R26-R35-R40</f>
      </c>
      <c r="S45" s="459">
        <f>'Supplemental Data'!S26-S35-S40</f>
      </c>
      <c r="T45" s="459">
        <f>'Supplemental Data'!T26-T35-T40</f>
      </c>
      <c r="U45" s="964">
        <f>'Supplemental Data'!U26-U35-U40</f>
      </c>
      <c r="V45" s="459">
        <f>'Supplemental Data'!V26-V35-V40</f>
      </c>
      <c r="W45" s="459">
        <f>'Supplemental Data'!W26-W35-W40</f>
      </c>
      <c r="X45" s="459">
        <f>'Supplemental Data'!X26-X35-X40</f>
      </c>
      <c r="Y45" s="757">
        <f>'Supplemental Data'!Y26-Y35-Y40</f>
      </c>
      <c r="Z45" s="962">
        <f>'Supplemental Data'!Z26-Z35-Z40</f>
      </c>
      <c r="AA45" s="459">
        <f>'Supplemental Data'!AA26-AA35-AA40</f>
      </c>
      <c r="AB45" s="459">
        <f>'Supplemental Data'!AB26-AB35-AB40</f>
      </c>
      <c r="AC45" s="459">
        <f>'Supplemental Data'!AC26-AC35-AC40</f>
      </c>
      <c r="AD45" s="757">
        <f>'Supplemental Data'!AD26-AD35-AD40</f>
      </c>
      <c r="AE45" s="962">
        <f>'Supplemental Data'!AE26-AE35-AE40</f>
      </c>
      <c r="AF45" s="459">
        <f>'Supplemental Data'!AF26-AF35-AF40</f>
      </c>
      <c r="AG45" s="459">
        <f>'Supplemental Data'!AG26-AG35-AG40</f>
      </c>
      <c r="AH45" s="459">
        <f>'Supplemental Data'!AH26-AH35-AH40</f>
      </c>
      <c r="AI45" s="757">
        <f>'Supplemental Data'!AI26-AI35-AI40</f>
      </c>
      <c r="AJ45" s="962">
        <f>'Supplemental Data'!AJ26-AJ35-AJ40</f>
      </c>
      <c r="AK45" s="459">
        <f>'Supplemental Data'!AK26-AK35-AK40</f>
      </c>
      <c r="AL45" s="459">
        <f>'Supplemental Data'!AL26-AL35-AL40</f>
      </c>
      <c r="AM45" s="459">
        <f>'Supplemental Data'!AM26-AM35-AM40</f>
      </c>
      <c r="AN45" s="757">
        <f>'Supplemental Data'!AN26-AN35-AN40</f>
      </c>
      <c r="AO45" s="962">
        <f>'Supplemental Data'!AO26-AO35-AO40</f>
      </c>
      <c r="AP45" s="757"/>
      <c r="AQ45" s="757"/>
      <c r="AR45" s="757"/>
      <c r="AS45" s="757"/>
      <c r="AT45" s="962"/>
      <c r="AU45" s="757"/>
      <c r="AV45" s="757"/>
      <c r="AW45" s="757"/>
      <c r="AX45" s="757"/>
      <c r="AY45" s="962"/>
      <c r="AZ45" s="757"/>
      <c r="BA45" s="757"/>
      <c r="BB45" s="757"/>
      <c r="BC45" s="757"/>
      <c r="BD45" s="962"/>
      <c r="BE45" s="757"/>
      <c r="BF45" s="757"/>
      <c r="BG45" s="757"/>
      <c r="BH45" s="757"/>
      <c r="BI45" s="962"/>
      <c r="BJ45" s="757"/>
      <c r="BK45" s="757"/>
      <c r="BL45" s="757"/>
      <c r="BM45" s="757"/>
      <c r="BN45" s="962"/>
      <c r="BO45" s="757"/>
      <c r="BP45" s="757"/>
      <c r="BQ45" s="757"/>
      <c r="BR45" s="757"/>
      <c r="BS45" s="962"/>
      <c r="BT45" s="758"/>
      <c r="BU45" s="757"/>
      <c r="BV45" s="757"/>
      <c r="BW45" s="757"/>
      <c r="BX45" s="962"/>
      <c r="BY45" s="757"/>
      <c r="BZ45" s="757"/>
      <c r="CA45" s="757"/>
      <c r="CB45" s="757"/>
      <c r="CC45" s="962"/>
      <c r="CD45" s="962"/>
      <c r="CE45" s="962"/>
      <c r="CF45" s="962"/>
      <c r="CG45" s="459"/>
    </row>
    <row r="46" spans="1:85" customFormat="1" x14ac:dyDescent="0.3">
      <c r="A46" s="182" t="s">
        <v>18</v>
      </c>
      <c r="B46" s="430"/>
      <c r="C46" s="962"/>
      <c r="D46" s="962"/>
      <c r="E46" s="962"/>
      <c r="F46" s="964">
        <f>'Supplemental Data'!F28-F36-F41</f>
      </c>
      <c r="G46" s="459">
        <f>'Supplemental Data'!G28-G36-G41</f>
      </c>
      <c r="H46" s="459">
        <f>'Supplemental Data'!H28-H36-H41</f>
      </c>
      <c r="I46" s="459">
        <f>'Supplemental Data'!I28-I36-I41</f>
      </c>
      <c r="J46" s="459">
        <f>'Supplemental Data'!J28-J36-J41</f>
      </c>
      <c r="K46" s="964">
        <f>'Supplemental Data'!K28-K36-K41</f>
      </c>
      <c r="L46" s="459">
        <f>'Supplemental Data'!L28-L36-L41</f>
      </c>
      <c r="M46" s="459">
        <f>'Supplemental Data'!M28-M36-M41</f>
      </c>
      <c r="N46" s="459">
        <f>'Supplemental Data'!N28-N36-N41</f>
      </c>
      <c r="O46" s="459">
        <f>'Supplemental Data'!O28-O36-O41</f>
      </c>
      <c r="P46" s="964">
        <f>'Supplemental Data'!P28-P36-P41</f>
      </c>
      <c r="Q46" s="459">
        <f>'Supplemental Data'!Q28-Q36-Q41</f>
      </c>
      <c r="R46" s="459">
        <f>'Supplemental Data'!R28-R36-R41</f>
      </c>
      <c r="S46" s="459">
        <f>'Supplemental Data'!S28-S36-S41</f>
      </c>
      <c r="T46" s="459">
        <f>'Supplemental Data'!T28-T36-T41</f>
      </c>
      <c r="U46" s="964">
        <f>'Supplemental Data'!U28-U36-U41</f>
      </c>
      <c r="V46" s="459">
        <f>'Supplemental Data'!V28-V36-V41</f>
      </c>
      <c r="W46" s="459">
        <f>'Supplemental Data'!W28-W36-W41</f>
      </c>
      <c r="X46" s="459">
        <f>'Supplemental Data'!X28-X36-X41</f>
      </c>
      <c r="Y46" s="757">
        <f>'Supplemental Data'!Y28-Y36-Y41</f>
      </c>
      <c r="Z46" s="962">
        <f>'Supplemental Data'!Z28-Z36-Z41</f>
      </c>
      <c r="AA46" s="459">
        <f>'Supplemental Data'!AA28-AA36-AA41</f>
      </c>
      <c r="AB46" s="459">
        <f>'Supplemental Data'!AB28-AB36-AB41</f>
      </c>
      <c r="AC46" s="459">
        <f>'Supplemental Data'!AC28-AC36-AC41</f>
      </c>
      <c r="AD46" s="757">
        <f>'Supplemental Data'!AD28-AD36-AD41</f>
      </c>
      <c r="AE46" s="962">
        <f>'Supplemental Data'!AE28-AE36-AE41</f>
      </c>
      <c r="AF46" s="459">
        <f>'Supplemental Data'!AF28-AF36-AF41</f>
      </c>
      <c r="AG46" s="459">
        <f>'Supplemental Data'!AG28-AG36-AG41</f>
      </c>
      <c r="AH46" s="459">
        <f>'Supplemental Data'!AH28-AH36-AH41</f>
      </c>
      <c r="AI46" s="757">
        <f>'Supplemental Data'!AI28-AI36-AI41</f>
      </c>
      <c r="AJ46" s="962">
        <f>'Supplemental Data'!AJ28-AJ36-AJ41</f>
      </c>
      <c r="AK46" s="459">
        <f>'Supplemental Data'!AK28-AK36-AK41</f>
      </c>
      <c r="AL46" s="459">
        <f>'Supplemental Data'!AL28-AL36-AL41</f>
      </c>
      <c r="AM46" s="459">
        <f>'Supplemental Data'!AM28-AM36-AM41</f>
      </c>
      <c r="AN46" s="757">
        <f>'Supplemental Data'!AN28-AN36-AN41</f>
      </c>
      <c r="AO46" s="962">
        <f>'Supplemental Data'!AO28-AO36-AO41</f>
      </c>
      <c r="AP46" s="757"/>
      <c r="AQ46" s="757"/>
      <c r="AR46" s="757"/>
      <c r="AS46" s="757"/>
      <c r="AT46" s="962"/>
      <c r="AU46" s="757"/>
      <c r="AV46" s="757"/>
      <c r="AW46" s="757"/>
      <c r="AX46" s="757"/>
      <c r="AY46" s="962"/>
      <c r="AZ46" s="757"/>
      <c r="BA46" s="757"/>
      <c r="BB46" s="757"/>
      <c r="BC46" s="757"/>
      <c r="BD46" s="962"/>
      <c r="BE46" s="757"/>
      <c r="BF46" s="757"/>
      <c r="BG46" s="757"/>
      <c r="BH46" s="757"/>
      <c r="BI46" s="962"/>
      <c r="BJ46" s="757"/>
      <c r="BK46" s="757"/>
      <c r="BL46" s="757"/>
      <c r="BM46" s="757"/>
      <c r="BN46" s="962"/>
      <c r="BO46" s="757"/>
      <c r="BP46" s="757"/>
      <c r="BQ46" s="757"/>
      <c r="BR46" s="757"/>
      <c r="BS46" s="962"/>
      <c r="BT46" s="758"/>
      <c r="BU46" s="757"/>
      <c r="BV46" s="757"/>
      <c r="BW46" s="757"/>
      <c r="BX46" s="962"/>
      <c r="BY46" s="757"/>
      <c r="BZ46" s="757"/>
      <c r="CA46" s="757"/>
      <c r="CB46" s="757"/>
      <c r="CC46" s="962"/>
      <c r="CD46" s="962"/>
      <c r="CE46" s="962"/>
      <c r="CF46" s="962"/>
      <c r="CG46" s="459"/>
    </row>
    <row r="47" spans="1:85" customFormat="1" x14ac:dyDescent="0.3">
      <c r="A47" s="30" t="s">
        <v>19</v>
      </c>
      <c r="B47" s="425"/>
      <c r="C47" s="984"/>
      <c r="D47" s="984"/>
      <c r="E47" s="984"/>
      <c r="F47" s="1005">
        <f>'Supplemental Data'!F30-F37-F42</f>
      </c>
      <c r="G47" s="800">
        <f>'Supplemental Data'!G30-G37-G42</f>
      </c>
      <c r="H47" s="800">
        <f>'Supplemental Data'!H30-H37-H42</f>
      </c>
      <c r="I47" s="800">
        <f>'Supplemental Data'!I30-I37-I42</f>
      </c>
      <c r="J47" s="800">
        <f>'Supplemental Data'!J30-J37-J42</f>
      </c>
      <c r="K47" s="1005">
        <f>'Supplemental Data'!K30-K37-K42</f>
      </c>
      <c r="L47" s="800">
        <f>'Supplemental Data'!L30-L37-L42</f>
      </c>
      <c r="M47" s="800">
        <f>'Supplemental Data'!M30-M37-M42</f>
      </c>
      <c r="N47" s="800">
        <f>'Supplemental Data'!N30-N37-N42</f>
      </c>
      <c r="O47" s="800">
        <f>'Supplemental Data'!O30-O37-O42</f>
      </c>
      <c r="P47" s="1005">
        <f>'Supplemental Data'!P30-P37-P42</f>
      </c>
      <c r="Q47" s="800">
        <f>'Supplemental Data'!Q30-Q37-Q42</f>
      </c>
      <c r="R47" s="800">
        <f>'Supplemental Data'!R30-R37-R42</f>
      </c>
      <c r="S47" s="800">
        <f>'Supplemental Data'!S30-S37-S42</f>
      </c>
      <c r="T47" s="800">
        <f>'Supplemental Data'!T30-T37-T42</f>
      </c>
      <c r="U47" s="1005">
        <f>'Supplemental Data'!U30-U37-U42</f>
      </c>
      <c r="V47" s="800">
        <f>'Supplemental Data'!V30-V37-V42</f>
      </c>
      <c r="W47" s="800">
        <f>'Supplemental Data'!W30-W37-W42</f>
      </c>
      <c r="X47" s="800">
        <f>'Supplemental Data'!X30-X37-X42</f>
      </c>
      <c r="Y47" s="761">
        <f>'Supplemental Data'!Y30-Y37-Y42</f>
      </c>
      <c r="Z47" s="984">
        <f>'Supplemental Data'!Z30-Z37-Z42</f>
      </c>
      <c r="AA47" s="800">
        <f>'Supplemental Data'!AA30-AA37-AA42</f>
      </c>
      <c r="AB47" s="800">
        <f>'Supplemental Data'!AB30-AB37-AB42</f>
      </c>
      <c r="AC47" s="800">
        <f>'Supplemental Data'!AC30-AC37-AC42</f>
      </c>
      <c r="AD47" s="761">
        <f>'Supplemental Data'!AD30-AD37-AD42</f>
      </c>
      <c r="AE47" s="984">
        <f>'Supplemental Data'!AE30-AE37-AE42</f>
      </c>
      <c r="AF47" s="800">
        <f>'Supplemental Data'!AF30-AF37-AF42</f>
      </c>
      <c r="AG47" s="800">
        <f>'Supplemental Data'!AG30-AG37-AG42</f>
      </c>
      <c r="AH47" s="800">
        <f>'Supplemental Data'!AH30-AH37-AH42</f>
      </c>
      <c r="AI47" s="761">
        <f>'Supplemental Data'!AI30-AI37-AI42</f>
      </c>
      <c r="AJ47" s="984">
        <f>'Supplemental Data'!AJ30-AJ37-AJ42</f>
      </c>
      <c r="AK47" s="800">
        <f>'Supplemental Data'!AK30-AK37-AK42</f>
      </c>
      <c r="AL47" s="800">
        <f>'Supplemental Data'!AL30-AL37-AL42</f>
      </c>
      <c r="AM47" s="800">
        <f>'Supplemental Data'!AM30-AM37-AM42</f>
      </c>
      <c r="AN47" s="761">
        <f>'Supplemental Data'!AN30-AN37-AN42</f>
      </c>
      <c r="AO47" s="984">
        <f>'Supplemental Data'!AO30-AO37-AO42</f>
      </c>
      <c r="AP47" s="761"/>
      <c r="AQ47" s="761"/>
      <c r="AR47" s="761"/>
      <c r="AS47" s="761"/>
      <c r="AT47" s="984"/>
      <c r="AU47" s="761"/>
      <c r="AV47" s="761"/>
      <c r="AW47" s="761"/>
      <c r="AX47" s="761"/>
      <c r="AY47" s="984"/>
      <c r="AZ47" s="761"/>
      <c r="BA47" s="761"/>
      <c r="BB47" s="761"/>
      <c r="BC47" s="761"/>
      <c r="BD47" s="984"/>
      <c r="BE47" s="761"/>
      <c r="BF47" s="761"/>
      <c r="BG47" s="761"/>
      <c r="BH47" s="761"/>
      <c r="BI47" s="984"/>
      <c r="BJ47" s="761"/>
      <c r="BK47" s="761"/>
      <c r="BL47" s="761"/>
      <c r="BM47" s="761"/>
      <c r="BN47" s="984"/>
      <c r="BO47" s="761"/>
      <c r="BP47" s="761"/>
      <c r="BQ47" s="761"/>
      <c r="BR47" s="761"/>
      <c r="BS47" s="984"/>
      <c r="BT47" s="762"/>
      <c r="BU47" s="761"/>
      <c r="BV47" s="761"/>
      <c r="BW47" s="761"/>
      <c r="BX47" s="984"/>
      <c r="BY47" s="761"/>
      <c r="BZ47" s="761"/>
      <c r="CA47" s="761"/>
      <c r="CB47" s="761"/>
      <c r="CC47" s="984"/>
      <c r="CD47" s="984"/>
      <c r="CE47" s="984"/>
      <c r="CF47" s="984"/>
      <c r="CG47" s="459"/>
    </row>
    <row r="48" spans="1:85" customFormat="1" x14ac:dyDescent="0.3">
      <c r="A48" s="2" t="s">
        <v>20</v>
      </c>
      <c r="B48" s="426"/>
      <c r="C48" s="965"/>
      <c r="D48" s="965"/>
      <c r="E48" s="965"/>
      <c r="F48" s="986">
        <f t="shared" ref="F48:AO48" si="21">SUM(F45:F47)</f>
      </c>
      <c r="G48" s="792">
        <f t="shared" si="21"/>
      </c>
      <c r="H48" s="792">
        <f t="shared" si="21"/>
      </c>
      <c r="I48" s="792">
        <f t="shared" si="21"/>
      </c>
      <c r="J48" s="792">
        <f t="shared" si="21"/>
      </c>
      <c r="K48" s="986">
        <f t="shared" si="21"/>
      </c>
      <c r="L48" s="792">
        <f t="shared" si="21"/>
      </c>
      <c r="M48" s="792">
        <f t="shared" si="21"/>
      </c>
      <c r="N48" s="792">
        <f t="shared" si="21"/>
      </c>
      <c r="O48" s="792">
        <f t="shared" si="21"/>
      </c>
      <c r="P48" s="986">
        <f t="shared" si="21"/>
      </c>
      <c r="Q48" s="792">
        <f t="shared" si="21"/>
      </c>
      <c r="R48" s="792">
        <f t="shared" si="21"/>
      </c>
      <c r="S48" s="792">
        <f t="shared" si="21"/>
      </c>
      <c r="T48" s="792">
        <f t="shared" si="21"/>
      </c>
      <c r="U48" s="986">
        <f t="shared" si="21"/>
      </c>
      <c r="V48" s="792">
        <f t="shared" si="21"/>
      </c>
      <c r="W48" s="792">
        <f t="shared" si="21"/>
      </c>
      <c r="X48" s="792">
        <f t="shared" si="21"/>
      </c>
      <c r="Y48" s="791">
        <f t="shared" si="21"/>
      </c>
      <c r="Z48" s="965">
        <f t="shared" si="21"/>
      </c>
      <c r="AA48" s="792">
        <f t="shared" si="21"/>
      </c>
      <c r="AB48" s="792">
        <f t="shared" si="21"/>
      </c>
      <c r="AC48" s="792">
        <f t="shared" si="21"/>
      </c>
      <c r="AD48" s="791">
        <f t="shared" si="21"/>
      </c>
      <c r="AE48" s="965">
        <f t="shared" si="21"/>
      </c>
      <c r="AF48" s="792">
        <f t="shared" si="21"/>
      </c>
      <c r="AG48" s="792">
        <f t="shared" si="21"/>
      </c>
      <c r="AH48" s="792">
        <f t="shared" si="21"/>
      </c>
      <c r="AI48" s="791">
        <f t="shared" si="21"/>
      </c>
      <c r="AJ48" s="965">
        <f t="shared" si="21"/>
      </c>
      <c r="AK48" s="792">
        <f t="shared" si="21"/>
      </c>
      <c r="AL48" s="792">
        <f t="shared" si="21"/>
      </c>
      <c r="AM48" s="792">
        <f t="shared" si="21"/>
      </c>
      <c r="AN48" s="791">
        <f t="shared" si="21"/>
      </c>
      <c r="AO48" s="965">
        <f t="shared" si="21"/>
      </c>
      <c r="AP48" s="791"/>
      <c r="AQ48" s="791"/>
      <c r="AR48" s="791"/>
      <c r="AS48" s="791"/>
      <c r="AT48" s="965"/>
      <c r="AU48" s="791"/>
      <c r="AV48" s="791"/>
      <c r="AW48" s="791"/>
      <c r="AX48" s="791"/>
      <c r="AY48" s="965"/>
      <c r="AZ48" s="791"/>
      <c r="BA48" s="791"/>
      <c r="BB48" s="791"/>
      <c r="BC48" s="791"/>
      <c r="BD48" s="965"/>
      <c r="BE48" s="791"/>
      <c r="BF48" s="791"/>
      <c r="BG48" s="791"/>
      <c r="BH48" s="791"/>
      <c r="BI48" s="965"/>
      <c r="BJ48" s="791"/>
      <c r="BK48" s="791"/>
      <c r="BL48" s="791"/>
      <c r="BM48" s="791"/>
      <c r="BN48" s="965"/>
      <c r="BO48" s="791"/>
      <c r="BP48" s="791"/>
      <c r="BQ48" s="791"/>
      <c r="BR48" s="791"/>
      <c r="BS48" s="965"/>
      <c r="BT48" s="797"/>
      <c r="BU48" s="791"/>
      <c r="BV48" s="791"/>
      <c r="BW48" s="791"/>
      <c r="BX48" s="965"/>
      <c r="BY48" s="791"/>
      <c r="BZ48" s="791"/>
      <c r="CA48" s="791"/>
      <c r="CB48" s="791"/>
      <c r="CC48" s="965"/>
      <c r="CD48" s="965"/>
      <c r="CE48" s="965"/>
      <c r="CF48" s="965"/>
      <c r="CG48" s="183"/>
    </row>
    <row r="49" spans="1:85" customFormat="1" x14ac:dyDescent="0.3">
      <c r="A49" s="429"/>
      <c r="B49" s="250"/>
      <c r="C49" s="969"/>
      <c r="D49" s="969"/>
      <c r="E49" s="969"/>
      <c r="F49" s="969"/>
      <c r="G49" s="759"/>
      <c r="H49" s="759"/>
      <c r="I49" s="759"/>
      <c r="J49" s="759"/>
      <c r="K49" s="969"/>
      <c r="L49" s="759"/>
      <c r="M49" s="759"/>
      <c r="N49" s="759"/>
      <c r="O49" s="759"/>
      <c r="P49" s="969"/>
      <c r="Q49" s="759"/>
      <c r="R49" s="759"/>
      <c r="S49" s="759"/>
      <c r="T49" s="759"/>
      <c r="U49" s="969"/>
      <c r="V49" s="759"/>
      <c r="W49" s="759"/>
      <c r="X49" s="759"/>
      <c r="Y49" s="759"/>
      <c r="Z49" s="969"/>
      <c r="AA49" s="759"/>
      <c r="AB49" s="759"/>
      <c r="AC49" s="759"/>
      <c r="AD49" s="759"/>
      <c r="AE49" s="969"/>
      <c r="AF49" s="759"/>
      <c r="AG49" s="759"/>
      <c r="AH49" s="759"/>
      <c r="AI49" s="759"/>
      <c r="AJ49" s="969"/>
      <c r="AK49" s="759"/>
      <c r="AL49" s="759"/>
      <c r="AM49" s="759"/>
      <c r="AN49" s="759"/>
      <c r="AO49" s="969"/>
      <c r="AP49" s="759"/>
      <c r="AQ49" s="759"/>
      <c r="AR49" s="759"/>
      <c r="AS49" s="759"/>
      <c r="AT49" s="969"/>
      <c r="AU49" s="759"/>
      <c r="AV49" s="759"/>
      <c r="AW49" s="759"/>
      <c r="AX49" s="759"/>
      <c r="AY49" s="969"/>
      <c r="AZ49" s="759"/>
      <c r="BA49" s="759"/>
      <c r="BB49" s="759"/>
      <c r="BC49" s="759"/>
      <c r="BD49" s="969"/>
      <c r="BE49" s="759"/>
      <c r="BF49" s="759"/>
      <c r="BG49" s="759"/>
      <c r="BH49" s="759"/>
      <c r="BI49" s="969"/>
      <c r="BJ49" s="759"/>
      <c r="BK49" s="759"/>
      <c r="BL49" s="759"/>
      <c r="BM49" s="759"/>
      <c r="BN49" s="969"/>
      <c r="BO49" s="759"/>
      <c r="BP49" s="759"/>
      <c r="BQ49" s="759"/>
      <c r="BR49" s="759"/>
      <c r="BS49" s="969"/>
      <c r="BT49" s="760"/>
      <c r="BU49" s="759"/>
      <c r="BV49" s="759"/>
      <c r="BW49" s="759"/>
      <c r="BX49" s="969"/>
      <c r="BY49" s="759"/>
      <c r="BZ49" s="759"/>
      <c r="CA49" s="759"/>
      <c r="CB49" s="759"/>
      <c r="CC49" s="969"/>
      <c r="CD49" s="969"/>
      <c r="CE49" s="969"/>
      <c r="CF49" s="969"/>
      <c r="CG49" s="183"/>
    </row>
    <row r="50" spans="1:85" customFormat="1" x14ac:dyDescent="0.3">
      <c r="A50" s="60" t="s">
        <v>366</v>
      </c>
      <c r="B50" s="251"/>
      <c r="C50" s="973"/>
      <c r="D50" s="973"/>
      <c r="E50" s="973"/>
      <c r="F50" s="974">
        <f>F45/'Supplemental Data'!F26</f>
      </c>
      <c r="G50" s="8">
        <f>G45/'Supplemental Data'!G26</f>
      </c>
      <c r="H50" s="8">
        <f>H45/'Supplemental Data'!H26</f>
      </c>
      <c r="I50" s="8">
        <f>I45/'Supplemental Data'!I26</f>
      </c>
      <c r="J50" s="8">
        <f>J45/'Supplemental Data'!J26</f>
      </c>
      <c r="K50" s="974">
        <f>K45/'Supplemental Data'!K26</f>
      </c>
      <c r="L50" s="8">
        <f>L45/'Supplemental Data'!L26</f>
      </c>
      <c r="M50" s="8">
        <f>M45/'Supplemental Data'!M26</f>
      </c>
      <c r="N50" s="8">
        <f>N45/'Supplemental Data'!N26</f>
      </c>
      <c r="O50" s="8">
        <f>O45/'Supplemental Data'!O26</f>
      </c>
      <c r="P50" s="974">
        <f>P45/'Supplemental Data'!P26</f>
      </c>
      <c r="Q50" s="8">
        <f>Q45/'Supplemental Data'!Q26</f>
      </c>
      <c r="R50" s="8">
        <f>R45/'Supplemental Data'!R26</f>
      </c>
      <c r="S50" s="8">
        <f>S45/'Supplemental Data'!S26</f>
      </c>
      <c r="T50" s="8">
        <f>T45/'Supplemental Data'!T26</f>
      </c>
      <c r="U50" s="974">
        <f>U45/'Supplemental Data'!U26</f>
      </c>
      <c r="V50" s="8">
        <f>V45/'Supplemental Data'!V26</f>
      </c>
      <c r="W50" s="8">
        <f>W45/'Supplemental Data'!W26</f>
      </c>
      <c r="X50" s="8">
        <f>X45/'Supplemental Data'!X26</f>
      </c>
      <c r="Y50" s="59">
        <f>Y45/'Supplemental Data'!Y26</f>
      </c>
      <c r="Z50" s="973">
        <f>Z45/'Supplemental Data'!Z26</f>
      </c>
      <c r="AA50" s="8">
        <f>AA45/'Supplemental Data'!AA26</f>
      </c>
      <c r="AB50" s="8">
        <f>AB45/'Supplemental Data'!AB26</f>
      </c>
      <c r="AC50" s="8">
        <f>AC45/'Supplemental Data'!AC26</f>
      </c>
      <c r="AD50" s="59">
        <f>AD45/'Supplemental Data'!AD26</f>
      </c>
      <c r="AE50" s="973">
        <f>AE45/'Supplemental Data'!AE26</f>
      </c>
      <c r="AF50" s="8">
        <f>AF45/'Supplemental Data'!AF26</f>
      </c>
      <c r="AG50" s="8">
        <f>AG45/'Supplemental Data'!AG26</f>
      </c>
      <c r="AH50" s="8">
        <f>AH45/'Supplemental Data'!AH26</f>
      </c>
      <c r="AI50" s="59">
        <f>AI45/'Supplemental Data'!AI26</f>
      </c>
      <c r="AJ50" s="973">
        <f>AJ45/'Supplemental Data'!AJ26</f>
      </c>
      <c r="AK50" s="8">
        <f>AK45/'Supplemental Data'!AK26</f>
      </c>
      <c r="AL50" s="8">
        <f>AL45/'Supplemental Data'!AL26</f>
      </c>
      <c r="AM50" s="8">
        <f>AM45/'Supplemental Data'!AM26</f>
      </c>
      <c r="AN50" s="59">
        <f>AN45/'Supplemental Data'!AN26</f>
      </c>
      <c r="AO50" s="973">
        <f>AO45/'Supplemental Data'!AO26</f>
      </c>
      <c r="AP50" s="59"/>
      <c r="AQ50" s="59"/>
      <c r="AR50" s="59"/>
      <c r="AS50" s="59"/>
      <c r="AT50" s="973"/>
      <c r="AU50" s="59"/>
      <c r="AV50" s="59"/>
      <c r="AW50" s="59"/>
      <c r="AX50" s="59"/>
      <c r="AY50" s="973"/>
      <c r="AZ50" s="59"/>
      <c r="BA50" s="59"/>
      <c r="BB50" s="59"/>
      <c r="BC50" s="59"/>
      <c r="BD50" s="973"/>
      <c r="BE50" s="59"/>
      <c r="BF50" s="59"/>
      <c r="BG50" s="59"/>
      <c r="BH50" s="59"/>
      <c r="BI50" s="973"/>
      <c r="BJ50" s="59"/>
      <c r="BK50" s="59"/>
      <c r="BL50" s="59"/>
      <c r="BM50" s="59"/>
      <c r="BN50" s="973"/>
      <c r="BO50" s="59"/>
      <c r="BP50" s="59"/>
      <c r="BQ50" s="59"/>
      <c r="BR50" s="59"/>
      <c r="BS50" s="973"/>
      <c r="BT50" s="675"/>
      <c r="BU50" s="59"/>
      <c r="BV50" s="59"/>
      <c r="BW50" s="59"/>
      <c r="BX50" s="973"/>
      <c r="BY50" s="59"/>
      <c r="BZ50" s="59"/>
      <c r="CA50" s="59"/>
      <c r="CB50" s="59"/>
      <c r="CC50" s="973"/>
      <c r="CD50" s="973"/>
      <c r="CE50" s="973"/>
      <c r="CF50" s="973"/>
      <c r="CG50" s="8"/>
    </row>
    <row r="51" spans="1:85" customFormat="1" x14ac:dyDescent="0.3">
      <c r="A51" s="60" t="s">
        <v>367</v>
      </c>
      <c r="B51" s="251"/>
      <c r="C51" s="973"/>
      <c r="D51" s="973"/>
      <c r="E51" s="973"/>
      <c r="F51" s="974">
        <f>F46/'Supplemental Data'!F28</f>
      </c>
      <c r="G51" s="8">
        <f>G46/'Supplemental Data'!G28</f>
      </c>
      <c r="H51" s="8">
        <f>H46/'Supplemental Data'!H28</f>
      </c>
      <c r="I51" s="8">
        <f>I46/'Supplemental Data'!I28</f>
      </c>
      <c r="J51" s="8">
        <f>J46/'Supplemental Data'!J28</f>
      </c>
      <c r="K51" s="974">
        <f>K46/'Supplemental Data'!K28</f>
      </c>
      <c r="L51" s="8">
        <f>L46/'Supplemental Data'!L28</f>
      </c>
      <c r="M51" s="8">
        <f>M46/'Supplemental Data'!M28</f>
      </c>
      <c r="N51" s="8">
        <f>N46/'Supplemental Data'!N28</f>
      </c>
      <c r="O51" s="8">
        <f>O46/'Supplemental Data'!O28</f>
      </c>
      <c r="P51" s="974">
        <f>P46/'Supplemental Data'!P28</f>
      </c>
      <c r="Q51" s="8">
        <f>Q46/'Supplemental Data'!Q28</f>
      </c>
      <c r="R51" s="8">
        <f>R46/'Supplemental Data'!R28</f>
      </c>
      <c r="S51" s="8">
        <f>S46/'Supplemental Data'!S28</f>
      </c>
      <c r="T51" s="8">
        <f>T46/'Supplemental Data'!T28</f>
      </c>
      <c r="U51" s="974">
        <f>U46/'Supplemental Data'!U28</f>
      </c>
      <c r="V51" s="8">
        <f>V46/'Supplemental Data'!V28</f>
      </c>
      <c r="W51" s="8">
        <f>W46/'Supplemental Data'!W28</f>
      </c>
      <c r="X51" s="8">
        <f>X46/'Supplemental Data'!X28</f>
      </c>
      <c r="Y51" s="59">
        <f>Y46/'Supplemental Data'!Y28</f>
      </c>
      <c r="Z51" s="973">
        <f>Z46/'Supplemental Data'!Z28</f>
      </c>
      <c r="AA51" s="8">
        <f>AA46/'Supplemental Data'!AA28</f>
      </c>
      <c r="AB51" s="8">
        <f>AB46/'Supplemental Data'!AB28</f>
      </c>
      <c r="AC51" s="8">
        <f>AC46/'Supplemental Data'!AC28</f>
      </c>
      <c r="AD51" s="59">
        <f>AD46/'Supplemental Data'!AD28</f>
      </c>
      <c r="AE51" s="973">
        <f>AE46/'Supplemental Data'!AE28</f>
      </c>
      <c r="AF51" s="8">
        <f>AF46/'Supplemental Data'!AF28</f>
      </c>
      <c r="AG51" s="8">
        <f>AG46/'Supplemental Data'!AG28</f>
      </c>
      <c r="AH51" s="8">
        <f>AH46/'Supplemental Data'!AH28</f>
      </c>
      <c r="AI51" s="59">
        <f>AI46/'Supplemental Data'!AI28</f>
      </c>
      <c r="AJ51" s="973">
        <f>AJ46/'Supplemental Data'!AJ28</f>
      </c>
      <c r="AK51" s="8">
        <f>AK46/'Supplemental Data'!AK28</f>
      </c>
      <c r="AL51" s="8">
        <f>AL46/'Supplemental Data'!AL28</f>
      </c>
      <c r="AM51" s="8">
        <f>AM46/'Supplemental Data'!AM28</f>
      </c>
      <c r="AN51" s="59">
        <f>AN46/'Supplemental Data'!AN28</f>
      </c>
      <c r="AO51" s="973">
        <f>AO46/'Supplemental Data'!AO28</f>
      </c>
      <c r="AP51" s="59"/>
      <c r="AQ51" s="59"/>
      <c r="AR51" s="59"/>
      <c r="AS51" s="59"/>
      <c r="AT51" s="973"/>
      <c r="AU51" s="59"/>
      <c r="AV51" s="59"/>
      <c r="AW51" s="59"/>
      <c r="AX51" s="59"/>
      <c r="AY51" s="973"/>
      <c r="AZ51" s="59"/>
      <c r="BA51" s="59"/>
      <c r="BB51" s="59"/>
      <c r="BC51" s="59"/>
      <c r="BD51" s="973"/>
      <c r="BE51" s="59"/>
      <c r="BF51" s="59"/>
      <c r="BG51" s="59"/>
      <c r="BH51" s="59"/>
      <c r="BI51" s="973"/>
      <c r="BJ51" s="59"/>
      <c r="BK51" s="59"/>
      <c r="BL51" s="59"/>
      <c r="BM51" s="59"/>
      <c r="BN51" s="973"/>
      <c r="BO51" s="59"/>
      <c r="BP51" s="59"/>
      <c r="BQ51" s="59"/>
      <c r="BR51" s="59"/>
      <c r="BS51" s="973"/>
      <c r="BT51" s="675"/>
      <c r="BU51" s="59"/>
      <c r="BV51" s="59"/>
      <c r="BW51" s="59"/>
      <c r="BX51" s="973"/>
      <c r="BY51" s="59"/>
      <c r="BZ51" s="59"/>
      <c r="CA51" s="59"/>
      <c r="CB51" s="59"/>
      <c r="CC51" s="973"/>
      <c r="CD51" s="973"/>
      <c r="CE51" s="973"/>
      <c r="CF51" s="973"/>
      <c r="CG51" s="8"/>
    </row>
    <row r="52" spans="1:85" customFormat="1" x14ac:dyDescent="0.3">
      <c r="A52" s="154" t="s">
        <v>368</v>
      </c>
      <c r="B52" s="253"/>
      <c r="C52" s="975"/>
      <c r="D52" s="975"/>
      <c r="E52" s="975"/>
      <c r="F52" s="976">
        <f>F47/'Supplemental Data'!F30</f>
      </c>
      <c r="G52" s="156">
        <f>G47/'Supplemental Data'!G30</f>
      </c>
      <c r="H52" s="156">
        <f>H47/'Supplemental Data'!H30</f>
      </c>
      <c r="I52" s="156">
        <f>I47/'Supplemental Data'!I30</f>
      </c>
      <c r="J52" s="156">
        <f>J47/'Supplemental Data'!J30</f>
      </c>
      <c r="K52" s="976">
        <f>K47/'Supplemental Data'!K30</f>
      </c>
      <c r="L52" s="156">
        <f>L47/'Supplemental Data'!L30</f>
      </c>
      <c r="M52" s="156">
        <f>M47/'Supplemental Data'!M30</f>
      </c>
      <c r="N52" s="156">
        <f>N47/'Supplemental Data'!N30</f>
      </c>
      <c r="O52" s="156">
        <f>O47/'Supplemental Data'!O30</f>
      </c>
      <c r="P52" s="976">
        <f>P47/'Supplemental Data'!P30</f>
      </c>
      <c r="Q52" s="156">
        <f>Q47/'Supplemental Data'!Q30</f>
      </c>
      <c r="R52" s="156">
        <f>R47/'Supplemental Data'!R30</f>
      </c>
      <c r="S52" s="156">
        <f>S47/'Supplemental Data'!S30</f>
      </c>
      <c r="T52" s="156">
        <f>T47/'Supplemental Data'!T30</f>
      </c>
      <c r="U52" s="976">
        <f>U47/'Supplemental Data'!U30</f>
      </c>
      <c r="V52" s="156">
        <f>V47/'Supplemental Data'!V30</f>
      </c>
      <c r="W52" s="156">
        <f>W47/'Supplemental Data'!W30</f>
      </c>
      <c r="X52" s="156">
        <f>X47/'Supplemental Data'!X30</f>
      </c>
      <c r="Y52" s="157">
        <f>Y47/'Supplemental Data'!Y30</f>
      </c>
      <c r="Z52" s="975">
        <f>Z47/'Supplemental Data'!Z30</f>
      </c>
      <c r="AA52" s="156">
        <f>AA47/'Supplemental Data'!AA30</f>
      </c>
      <c r="AB52" s="156">
        <f>AB47/'Supplemental Data'!AB30</f>
      </c>
      <c r="AC52" s="156">
        <f>AC47/'Supplemental Data'!AC30</f>
      </c>
      <c r="AD52" s="157">
        <f>AD47/'Supplemental Data'!AD30</f>
      </c>
      <c r="AE52" s="975">
        <f>AE47/'Supplemental Data'!AE30</f>
      </c>
      <c r="AF52" s="156">
        <f>AF47/'Supplemental Data'!AF30</f>
      </c>
      <c r="AG52" s="156">
        <f>AG47/'Supplemental Data'!AG30</f>
      </c>
      <c r="AH52" s="156">
        <f>AH47/'Supplemental Data'!AH30</f>
      </c>
      <c r="AI52" s="157">
        <f>AI47/'Supplemental Data'!AI30</f>
      </c>
      <c r="AJ52" s="975">
        <f>AJ47/'Supplemental Data'!AJ30</f>
      </c>
      <c r="AK52" s="156">
        <f>AK47/'Supplemental Data'!AK30</f>
      </c>
      <c r="AL52" s="156">
        <f>AL47/'Supplemental Data'!AL30</f>
      </c>
      <c r="AM52" s="156">
        <f>AM47/'Supplemental Data'!AM30</f>
      </c>
      <c r="AN52" s="157">
        <f>AN47/'Supplemental Data'!AN30</f>
      </c>
      <c r="AO52" s="975">
        <f>AO47/'Supplemental Data'!AO30</f>
      </c>
      <c r="AP52" s="157"/>
      <c r="AQ52" s="157"/>
      <c r="AR52" s="157"/>
      <c r="AS52" s="157"/>
      <c r="AT52" s="975"/>
      <c r="AU52" s="157"/>
      <c r="AV52" s="157"/>
      <c r="AW52" s="157"/>
      <c r="AX52" s="157"/>
      <c r="AY52" s="975"/>
      <c r="AZ52" s="157"/>
      <c r="BA52" s="157"/>
      <c r="BB52" s="157"/>
      <c r="BC52" s="157"/>
      <c r="BD52" s="975"/>
      <c r="BE52" s="157"/>
      <c r="BF52" s="157"/>
      <c r="BG52" s="157"/>
      <c r="BH52" s="157"/>
      <c r="BI52" s="975"/>
      <c r="BJ52" s="157"/>
      <c r="BK52" s="157"/>
      <c r="BL52" s="157"/>
      <c r="BM52" s="157"/>
      <c r="BN52" s="975"/>
      <c r="BO52" s="157"/>
      <c r="BP52" s="157"/>
      <c r="BQ52" s="157"/>
      <c r="BR52" s="157"/>
      <c r="BS52" s="975"/>
      <c r="BT52" s="676"/>
      <c r="BU52" s="157"/>
      <c r="BV52" s="157"/>
      <c r="BW52" s="157"/>
      <c r="BX52" s="975"/>
      <c r="BY52" s="157"/>
      <c r="BZ52" s="157"/>
      <c r="CA52" s="157"/>
      <c r="CB52" s="157"/>
      <c r="CC52" s="975"/>
      <c r="CD52" s="975"/>
      <c r="CE52" s="975"/>
      <c r="CF52" s="975"/>
      <c r="CG52" s="8"/>
    </row>
    <row r="53" spans="1:85" customFormat="1" x14ac:dyDescent="0.3">
      <c r="A53" s="1" t="s">
        <v>369</v>
      </c>
      <c r="B53" s="254"/>
      <c r="C53" s="1138"/>
      <c r="D53" s="1138"/>
      <c r="E53" s="1138"/>
      <c r="F53" s="1139">
        <f>F48/'Supplemental Data'!F32</f>
      </c>
      <c r="G53" s="152">
        <f>G48/'Supplemental Data'!G32</f>
      </c>
      <c r="H53" s="152">
        <f>H48/'Supplemental Data'!H32</f>
      </c>
      <c r="I53" s="152">
        <f>I48/'Supplemental Data'!I32</f>
      </c>
      <c r="J53" s="152">
        <f>J48/'Supplemental Data'!J32</f>
      </c>
      <c r="K53" s="1139">
        <f>K48/'Supplemental Data'!K32</f>
      </c>
      <c r="L53" s="152">
        <f>L48/'Supplemental Data'!L32</f>
      </c>
      <c r="M53" s="152">
        <f>M48/'Supplemental Data'!M32</f>
      </c>
      <c r="N53" s="152">
        <f>N48/'Supplemental Data'!N32</f>
      </c>
      <c r="O53" s="152">
        <f>O48/'Supplemental Data'!O32</f>
      </c>
      <c r="P53" s="1139">
        <f>P48/'Supplemental Data'!P32</f>
      </c>
      <c r="Q53" s="152">
        <f>Q48/'Supplemental Data'!Q32</f>
      </c>
      <c r="R53" s="152">
        <f>R48/'Supplemental Data'!R32</f>
      </c>
      <c r="S53" s="152">
        <f>S48/'Supplemental Data'!S32</f>
      </c>
      <c r="T53" s="152">
        <f>T48/'Supplemental Data'!T32</f>
      </c>
      <c r="U53" s="1139">
        <f>U48/'Supplemental Data'!U32</f>
      </c>
      <c r="V53" s="152">
        <f>V48/'Supplemental Data'!V32</f>
      </c>
      <c r="W53" s="152">
        <f>W48/'Supplemental Data'!W32</f>
      </c>
      <c r="X53" s="152">
        <f>X48/'Supplemental Data'!X32</f>
      </c>
      <c r="Y53" s="153">
        <f>Y48/'Supplemental Data'!Y32</f>
      </c>
      <c r="Z53" s="1138">
        <f>Z48/'Supplemental Data'!Z32</f>
      </c>
      <c r="AA53" s="152">
        <f>AA48/'Supplemental Data'!AA32</f>
      </c>
      <c r="AB53" s="152">
        <f>AB48/'Supplemental Data'!AB32</f>
      </c>
      <c r="AC53" s="152">
        <f>AC48/'Supplemental Data'!AC32</f>
      </c>
      <c r="AD53" s="153">
        <f>AD48/'Supplemental Data'!AD32</f>
      </c>
      <c r="AE53" s="1138">
        <f>AE48/'Supplemental Data'!AE32</f>
      </c>
      <c r="AF53" s="152">
        <f>AF48/'Supplemental Data'!AF32</f>
      </c>
      <c r="AG53" s="152">
        <f>AG48/'Supplemental Data'!AG32</f>
      </c>
      <c r="AH53" s="152">
        <f>AH48/'Supplemental Data'!AH32</f>
      </c>
      <c r="AI53" s="153">
        <f>AI48/'Supplemental Data'!AI32</f>
      </c>
      <c r="AJ53" s="1138">
        <f>AJ48/'Supplemental Data'!AJ32</f>
      </c>
      <c r="AK53" s="152">
        <f>AK48/'Supplemental Data'!AK32</f>
      </c>
      <c r="AL53" s="152">
        <f>AL48/'Supplemental Data'!AL32</f>
      </c>
      <c r="AM53" s="152">
        <f>AM48/'Supplemental Data'!AM32</f>
      </c>
      <c r="AN53" s="153">
        <f>AN48/'Supplemental Data'!AN32</f>
      </c>
      <c r="AO53" s="1138">
        <f>AO48/'Supplemental Data'!AO32</f>
      </c>
      <c r="AP53" s="153"/>
      <c r="AQ53" s="153"/>
      <c r="AR53" s="153"/>
      <c r="AS53" s="153"/>
      <c r="AT53" s="1138"/>
      <c r="AU53" s="153"/>
      <c r="AV53" s="153"/>
      <c r="AW53" s="153"/>
      <c r="AX53" s="153"/>
      <c r="AY53" s="1138"/>
      <c r="AZ53" s="153"/>
      <c r="BA53" s="153"/>
      <c r="BB53" s="153"/>
      <c r="BC53" s="153"/>
      <c r="BD53" s="1138"/>
      <c r="BE53" s="153"/>
      <c r="BF53" s="153"/>
      <c r="BG53" s="153"/>
      <c r="BH53" s="153"/>
      <c r="BI53" s="1138"/>
      <c r="BJ53" s="153"/>
      <c r="BK53" s="153"/>
      <c r="BL53" s="153"/>
      <c r="BM53" s="153"/>
      <c r="BN53" s="1138"/>
      <c r="BO53" s="153"/>
      <c r="BP53" s="153"/>
      <c r="BQ53" s="153"/>
      <c r="BR53" s="153"/>
      <c r="BS53" s="1138"/>
      <c r="BT53" s="731"/>
      <c r="BU53" s="153"/>
      <c r="BV53" s="153"/>
      <c r="BW53" s="153"/>
      <c r="BX53" s="1138"/>
      <c r="BY53" s="153"/>
      <c r="BZ53" s="153"/>
      <c r="CA53" s="153"/>
      <c r="CB53" s="153"/>
      <c r="CC53" s="1138"/>
      <c r="CD53" s="1138"/>
      <c r="CE53" s="1138"/>
      <c r="CF53" s="1138"/>
      <c r="CG53" s="11"/>
    </row>
    <row r="54" spans="1:85" s="614" customFormat="1" x14ac:dyDescent="0.3">
      <c r="A54" s="351"/>
      <c r="B54" s="352"/>
      <c r="C54" s="1094"/>
      <c r="D54" s="1094"/>
      <c r="E54" s="1094"/>
      <c r="F54" s="1094"/>
      <c r="G54" s="197"/>
      <c r="H54" s="197"/>
      <c r="I54" s="197"/>
      <c r="J54" s="197"/>
      <c r="K54" s="1094"/>
      <c r="L54" s="197"/>
      <c r="M54" s="197"/>
      <c r="N54" s="197"/>
      <c r="O54" s="197"/>
      <c r="P54" s="1094"/>
      <c r="Q54" s="197"/>
      <c r="R54" s="197"/>
      <c r="S54" s="197"/>
      <c r="T54" s="197"/>
      <c r="U54" s="1094"/>
      <c r="V54" s="197"/>
      <c r="W54" s="197"/>
      <c r="X54" s="197"/>
      <c r="Y54" s="197"/>
      <c r="Z54" s="1094"/>
      <c r="AA54" s="197"/>
      <c r="AB54" s="197"/>
      <c r="AC54" s="197"/>
      <c r="AD54" s="197"/>
      <c r="AE54" s="1094"/>
      <c r="AF54" s="197"/>
      <c r="AG54" s="197"/>
      <c r="AH54" s="197"/>
      <c r="AI54" s="197"/>
      <c r="AJ54" s="1094"/>
      <c r="AK54" s="197"/>
      <c r="AL54" s="197"/>
      <c r="AM54" s="197"/>
      <c r="AN54" s="197"/>
      <c r="AO54" s="1094"/>
      <c r="AP54" s="197"/>
      <c r="AQ54" s="197"/>
      <c r="AR54" s="197"/>
      <c r="AS54" s="197"/>
      <c r="AT54" s="1094"/>
      <c r="AU54" s="197"/>
      <c r="AV54" s="197"/>
      <c r="AW54" s="197"/>
      <c r="AX54" s="197"/>
      <c r="AY54" s="1094"/>
      <c r="AZ54" s="197"/>
      <c r="BA54" s="197"/>
      <c r="BB54" s="197"/>
      <c r="BC54" s="197"/>
      <c r="BD54" s="1094"/>
      <c r="BE54" s="197"/>
      <c r="BF54" s="197"/>
      <c r="BG54" s="197"/>
      <c r="BH54" s="197"/>
      <c r="BI54" s="1094"/>
      <c r="BJ54" s="197"/>
      <c r="BK54" s="197"/>
      <c r="BL54" s="197"/>
      <c r="BM54" s="197"/>
      <c r="BN54" s="1094"/>
      <c r="BO54" s="197"/>
      <c r="BP54" s="197"/>
      <c r="BQ54" s="197"/>
      <c r="BR54" s="197"/>
      <c r="BS54" s="1094"/>
      <c r="BT54" s="727"/>
      <c r="BU54" s="197"/>
      <c r="BV54" s="197"/>
      <c r="BW54" s="197"/>
      <c r="BX54" s="1094"/>
      <c r="BY54" s="197"/>
      <c r="BZ54" s="197"/>
      <c r="CA54" s="197"/>
      <c r="CB54" s="197"/>
      <c r="CC54" s="1094"/>
      <c r="CD54" s="1094"/>
      <c r="CE54" s="1094"/>
      <c r="CF54" s="1094"/>
      <c r="CG54" s="349"/>
    </row>
    <row r="55" spans="1:85" customFormat="1" x14ac:dyDescent="0.3">
      <c r="A55" s="754" t="s">
        <v>453</v>
      </c>
      <c r="B55" s="754"/>
      <c r="C55" s="754"/>
      <c r="D55" s="754"/>
      <c r="E55" s="754"/>
      <c r="F55" s="754"/>
      <c r="G55" s="754"/>
      <c r="H55" s="754"/>
      <c r="I55" s="754"/>
      <c r="J55" s="754"/>
      <c r="K55" s="754"/>
      <c r="L55" s="754"/>
      <c r="M55" s="754"/>
      <c r="N55" s="754"/>
      <c r="O55" s="754"/>
      <c r="P55" s="754"/>
      <c r="Q55" s="754"/>
      <c r="R55" s="754"/>
      <c r="S55" s="754"/>
      <c r="T55" s="754"/>
      <c r="U55" s="754"/>
      <c r="V55" s="754"/>
      <c r="W55" s="754"/>
      <c r="X55" s="754"/>
      <c r="Y55" s="754"/>
      <c r="Z55" s="754"/>
      <c r="AA55" s="754"/>
      <c r="AB55" s="754"/>
      <c r="AC55" s="754"/>
      <c r="AD55" s="754"/>
      <c r="AE55" s="754"/>
      <c r="AF55" s="754"/>
      <c r="AG55" s="754"/>
      <c r="AH55" s="754"/>
      <c r="AI55" s="754"/>
      <c r="AJ55" s="754"/>
      <c r="AK55" s="754"/>
      <c r="AL55" s="754"/>
      <c r="AM55" s="754"/>
      <c r="AN55" s="754"/>
      <c r="AO55" s="754"/>
      <c r="AP55" s="754"/>
      <c r="AQ55" s="754"/>
      <c r="AR55" s="754"/>
      <c r="AS55" s="754"/>
      <c r="AT55" s="754"/>
      <c r="AU55" s="754"/>
      <c r="AV55" s="754"/>
      <c r="AW55" s="754"/>
      <c r="AX55" s="754"/>
      <c r="AY55" s="754"/>
      <c r="AZ55" s="754"/>
      <c r="BA55" s="754"/>
      <c r="BB55" s="754"/>
      <c r="BC55" s="754"/>
      <c r="BD55" s="754"/>
      <c r="BE55" s="754"/>
      <c r="BF55" s="754"/>
      <c r="BG55" s="754"/>
      <c r="BH55" s="754"/>
      <c r="BI55" s="754"/>
      <c r="BJ55" s="754"/>
      <c r="BK55" s="754"/>
      <c r="BL55" s="754"/>
      <c r="BM55" s="754"/>
      <c r="BN55" s="754"/>
      <c r="BO55" s="754"/>
      <c r="BP55" s="754"/>
      <c r="BQ55" s="754"/>
      <c r="BR55" s="754"/>
      <c r="BS55" s="754"/>
      <c r="BT55" s="755"/>
      <c r="BU55" s="754"/>
      <c r="BV55" s="754"/>
      <c r="BW55" s="754"/>
      <c r="BX55" s="754"/>
      <c r="BY55" s="754"/>
      <c r="BZ55" s="754"/>
      <c r="CA55" s="754"/>
      <c r="CB55" s="754"/>
      <c r="CC55" s="754"/>
      <c r="CD55" s="754"/>
      <c r="CE55" s="754"/>
      <c r="CF55" s="754"/>
      <c r="CG55" s="183"/>
    </row>
    <row r="56" spans="1:85" s="582" customFormat="1" x14ac:dyDescent="0.3">
      <c r="A56" s="188" t="s">
        <v>409</v>
      </c>
      <c r="B56" s="245"/>
      <c r="C56" s="933"/>
      <c r="D56" s="933"/>
      <c r="E56" s="933"/>
      <c r="F56" s="933"/>
      <c r="G56" s="24">
        <f>F58</f>
      </c>
      <c r="H56" s="24">
        <f>G58</f>
      </c>
      <c r="I56" s="24">
        <f>H58</f>
      </c>
      <c r="J56" s="24">
        <f>I58</f>
      </c>
      <c r="K56" s="934">
        <f>F58</f>
      </c>
      <c r="L56" s="24">
        <f>K58</f>
      </c>
      <c r="M56" s="24">
        <f>L58</f>
      </c>
      <c r="N56" s="24">
        <f>M58</f>
      </c>
      <c r="O56" s="24">
        <f>N58</f>
      </c>
      <c r="P56" s="934">
        <f>K58</f>
      </c>
      <c r="Q56" s="24">
        <f>P58</f>
      </c>
      <c r="R56" s="24">
        <f>Q58</f>
      </c>
      <c r="S56" s="24">
        <f>R58</f>
      </c>
      <c r="T56" s="24">
        <f>S58</f>
      </c>
      <c r="U56" s="934">
        <f>P58</f>
      </c>
      <c r="V56" s="24">
        <f>U58</f>
      </c>
      <c r="W56" s="24">
        <f>V58</f>
      </c>
      <c r="X56" s="24">
        <f>W58</f>
      </c>
      <c r="Y56" s="200">
        <f>X58</f>
      </c>
      <c r="Z56" s="933">
        <f>U58</f>
      </c>
      <c r="AA56" s="24">
        <f>Z58</f>
      </c>
      <c r="AB56" s="24">
        <f>AA58</f>
      </c>
      <c r="AC56" s="24">
        <f>AB58</f>
      </c>
      <c r="AD56" s="200">
        <f>AC58</f>
      </c>
      <c r="AE56" s="933">
        <f>Z58</f>
      </c>
      <c r="AF56" s="24">
        <f>AE58</f>
      </c>
      <c r="AG56" s="24">
        <f>AF58</f>
      </c>
      <c r="AH56" s="24">
        <f>AG58</f>
      </c>
      <c r="AI56" s="200">
        <f>AH58</f>
      </c>
      <c r="AJ56" s="933">
        <f>AE58</f>
      </c>
      <c r="AK56" s="24">
        <f>AJ58</f>
      </c>
      <c r="AL56" s="24">
        <f>AK58</f>
      </c>
      <c r="AM56" s="24">
        <f>AL58</f>
      </c>
      <c r="AN56" s="200">
        <f>AM58</f>
      </c>
      <c r="AO56" s="933">
        <f>AJ58</f>
      </c>
      <c r="AP56" s="200"/>
      <c r="AQ56" s="200"/>
      <c r="AR56" s="200"/>
      <c r="AS56" s="200"/>
      <c r="AT56" s="933"/>
      <c r="AU56" s="200"/>
      <c r="AV56" s="200"/>
      <c r="AW56" s="200"/>
      <c r="AX56" s="200"/>
      <c r="AY56" s="933"/>
      <c r="AZ56" s="200"/>
      <c r="BA56" s="200"/>
      <c r="BB56" s="200"/>
      <c r="BC56" s="200"/>
      <c r="BD56" s="933"/>
      <c r="BE56" s="200"/>
      <c r="BF56" s="200"/>
      <c r="BG56" s="200"/>
      <c r="BH56" s="200"/>
      <c r="BI56" s="933"/>
      <c r="BJ56" s="200"/>
      <c r="BK56" s="200"/>
      <c r="BL56" s="200"/>
      <c r="BM56" s="200"/>
      <c r="BN56" s="933"/>
      <c r="BO56" s="200"/>
      <c r="BP56" s="200"/>
      <c r="BQ56" s="200"/>
      <c r="BR56" s="200"/>
      <c r="BS56" s="933"/>
      <c r="BT56" s="295"/>
      <c r="BU56" s="200"/>
      <c r="BV56" s="200"/>
      <c r="BW56" s="200"/>
      <c r="BX56" s="933"/>
      <c r="BY56" s="200"/>
      <c r="BZ56" s="200"/>
      <c r="CA56" s="200"/>
      <c r="CB56" s="200"/>
      <c r="CC56" s="933"/>
      <c r="CD56" s="933"/>
      <c r="CE56" s="933"/>
      <c r="CF56" s="933"/>
      <c r="CG56" s="24"/>
    </row>
    <row r="57" spans="1:85" s="582" customFormat="1" x14ac:dyDescent="0.3">
      <c r="A57" s="201" t="s">
        <v>410</v>
      </c>
      <c r="B57" s="246"/>
      <c r="C57" s="953"/>
      <c r="D57" s="953"/>
      <c r="E57" s="953"/>
      <c r="F57" s="953"/>
      <c r="G57" s="202">
        <f t="shared" ref="G57:AO57" si="22">G58-G56</f>
      </c>
      <c r="H57" s="202">
        <f t="shared" si="22"/>
      </c>
      <c r="I57" s="202">
        <f t="shared" si="22"/>
      </c>
      <c r="J57" s="202">
        <f t="shared" si="22"/>
      </c>
      <c r="K57" s="954">
        <f t="shared" si="22"/>
      </c>
      <c r="L57" s="202">
        <f t="shared" si="22"/>
      </c>
      <c r="M57" s="202">
        <f t="shared" si="22"/>
      </c>
      <c r="N57" s="202">
        <f t="shared" si="22"/>
      </c>
      <c r="O57" s="202">
        <f t="shared" si="22"/>
      </c>
      <c r="P57" s="954">
        <f t="shared" si="22"/>
      </c>
      <c r="Q57" s="202">
        <f t="shared" si="22"/>
      </c>
      <c r="R57" s="202">
        <f t="shared" si="22"/>
      </c>
      <c r="S57" s="202">
        <f t="shared" si="22"/>
      </c>
      <c r="T57" s="202">
        <f t="shared" si="22"/>
      </c>
      <c r="U57" s="954">
        <f t="shared" si="22"/>
      </c>
      <c r="V57" s="202">
        <f t="shared" si="22"/>
      </c>
      <c r="W57" s="202">
        <f t="shared" si="22"/>
      </c>
      <c r="X57" s="202">
        <f t="shared" si="22"/>
      </c>
      <c r="Y57" s="202">
        <f t="shared" si="22"/>
      </c>
      <c r="Z57" s="954">
        <f t="shared" si="22"/>
      </c>
      <c r="AA57" s="202">
        <f t="shared" si="22"/>
      </c>
      <c r="AB57" s="202">
        <f t="shared" si="22"/>
      </c>
      <c r="AC57" s="202">
        <f t="shared" si="22"/>
      </c>
      <c r="AD57" s="202">
        <f t="shared" si="22"/>
      </c>
      <c r="AE57" s="954">
        <f t="shared" si="22"/>
      </c>
      <c r="AF57" s="202">
        <f t="shared" si="22"/>
      </c>
      <c r="AG57" s="202">
        <f t="shared" si="22"/>
      </c>
      <c r="AH57" s="202">
        <f t="shared" si="22"/>
      </c>
      <c r="AI57" s="202">
        <f t="shared" si="22"/>
      </c>
      <c r="AJ57" s="954">
        <f t="shared" si="22"/>
      </c>
      <c r="AK57" s="202">
        <f t="shared" si="22"/>
      </c>
      <c r="AL57" s="202">
        <f t="shared" si="22"/>
      </c>
      <c r="AM57" s="202">
        <f t="shared" si="22"/>
      </c>
      <c r="AN57" s="202">
        <f t="shared" si="22"/>
      </c>
      <c r="AO57" s="954">
        <f t="shared" si="22"/>
      </c>
      <c r="AP57" s="247"/>
      <c r="AQ57" s="247"/>
      <c r="AR57" s="247"/>
      <c r="AS57" s="247"/>
      <c r="AT57" s="953"/>
      <c r="AU57" s="247"/>
      <c r="AV57" s="247"/>
      <c r="AW57" s="247"/>
      <c r="AX57" s="247"/>
      <c r="AY57" s="953"/>
      <c r="AZ57" s="247"/>
      <c r="BA57" s="247"/>
      <c r="BB57" s="247"/>
      <c r="BC57" s="247"/>
      <c r="BD57" s="953"/>
      <c r="BE57" s="247"/>
      <c r="BF57" s="247"/>
      <c r="BG57" s="247"/>
      <c r="BH57" s="247"/>
      <c r="BI57" s="953"/>
      <c r="BJ57" s="247"/>
      <c r="BK57" s="247"/>
      <c r="BL57" s="247"/>
      <c r="BM57" s="247"/>
      <c r="BN57" s="953"/>
      <c r="BO57" s="247"/>
      <c r="BP57" s="247"/>
      <c r="BQ57" s="247"/>
      <c r="BR57" s="247"/>
      <c r="BS57" s="953"/>
      <c r="BT57" s="497"/>
      <c r="BU57" s="247"/>
      <c r="BV57" s="247"/>
      <c r="BW57" s="247"/>
      <c r="BX57" s="953"/>
      <c r="BY57" s="247"/>
      <c r="BZ57" s="247"/>
      <c r="CA57" s="247"/>
      <c r="CB57" s="247"/>
      <c r="CC57" s="953"/>
      <c r="CD57" s="953"/>
      <c r="CE57" s="953"/>
      <c r="CF57" s="953"/>
      <c r="CG57" s="131"/>
    </row>
    <row r="58" spans="1:85" s="582" customFormat="1" x14ac:dyDescent="0.3">
      <c r="A58" s="189" t="s">
        <v>411</v>
      </c>
      <c r="B58" s="243"/>
      <c r="C58" s="1140"/>
      <c r="D58" s="1140"/>
      <c r="E58" s="1140"/>
      <c r="F58" s="1141">
        <v>25471</v>
      </c>
      <c r="G58" s="851">
        <v>27913</v>
      </c>
      <c r="H58" s="851">
        <v>28624</v>
      </c>
      <c r="I58" s="851">
        <v>29925</v>
      </c>
      <c r="J58" s="190">
        <f>K58</f>
      </c>
      <c r="K58" s="1141">
        <v>31712</v>
      </c>
      <c r="L58" s="851">
        <v>34377</v>
      </c>
      <c r="M58" s="851">
        <v>35085</v>
      </c>
      <c r="N58" s="851">
        <v>36265</v>
      </c>
      <c r="O58" s="190">
        <f>P58</f>
      </c>
      <c r="P58" s="1141">
        <v>37698</v>
      </c>
      <c r="Q58" s="851">
        <v>40315</v>
      </c>
      <c r="R58" s="851">
        <v>41057</v>
      </c>
      <c r="S58" s="851">
        <v>42068</v>
      </c>
      <c r="T58" s="851">
        <v>43401</v>
      </c>
      <c r="U58" s="1141">
        <v>43401</v>
      </c>
      <c r="V58" s="851">
        <v>45714</v>
      </c>
      <c r="W58" s="851">
        <v>46004</v>
      </c>
      <c r="X58" s="851">
        <v>46479</v>
      </c>
      <c r="Y58" s="203">
        <f>Z58</f>
      </c>
      <c r="Z58" s="1141">
        <v>47905</v>
      </c>
      <c r="AA58" s="851">
        <v>49375</v>
      </c>
      <c r="AB58" s="851">
        <v>50323</v>
      </c>
      <c r="AC58" s="851">
        <v>51345</v>
      </c>
      <c r="AD58" s="203">
        <f>AE58</f>
      </c>
      <c r="AE58" s="1141">
        <v>52810</v>
      </c>
      <c r="AF58" s="851">
        <v>55087</v>
      </c>
      <c r="AG58" s="851">
        <v>55959</v>
      </c>
      <c r="AH58" s="851">
        <v>56957</v>
      </c>
      <c r="AI58" s="203">
        <f>AJ58</f>
      </c>
      <c r="AJ58" s="1141">
        <v>58486</v>
      </c>
      <c r="AK58" s="851">
        <v>60229</v>
      </c>
      <c r="AL58" s="851">
        <v>60103</v>
      </c>
      <c r="AM58" s="851">
        <v>60620</v>
      </c>
      <c r="AN58" s="203">
        <f>AO58</f>
      </c>
      <c r="AO58" s="1141">
        <v>61043</v>
      </c>
      <c r="AP58" s="203"/>
      <c r="AQ58" s="203"/>
      <c r="AR58" s="203"/>
      <c r="AS58" s="203"/>
      <c r="AT58" s="1140"/>
      <c r="AU58" s="203"/>
      <c r="AV58" s="203"/>
      <c r="AW58" s="203"/>
      <c r="AX58" s="203"/>
      <c r="AY58" s="1140"/>
      <c r="AZ58" s="203"/>
      <c r="BA58" s="203"/>
      <c r="BB58" s="203"/>
      <c r="BC58" s="203"/>
      <c r="BD58" s="1140"/>
      <c r="BE58" s="203"/>
      <c r="BF58" s="203"/>
      <c r="BG58" s="203"/>
      <c r="BH58" s="203"/>
      <c r="BI58" s="1140"/>
      <c r="BJ58" s="203"/>
      <c r="BK58" s="203"/>
      <c r="BL58" s="203"/>
      <c r="BM58" s="203"/>
      <c r="BN58" s="1140"/>
      <c r="BO58" s="203"/>
      <c r="BP58" s="203"/>
      <c r="BQ58" s="203"/>
      <c r="BR58" s="203"/>
      <c r="BS58" s="1140"/>
      <c r="BT58" s="732"/>
      <c r="BU58" s="203"/>
      <c r="BV58" s="203"/>
      <c r="BW58" s="203"/>
      <c r="BX58" s="1140"/>
      <c r="BY58" s="203"/>
      <c r="BZ58" s="203"/>
      <c r="CA58" s="203"/>
      <c r="CB58" s="203"/>
      <c r="CC58" s="1140"/>
      <c r="CD58" s="1140"/>
      <c r="CE58" s="1140"/>
      <c r="CF58" s="1140"/>
      <c r="CG58" s="24"/>
    </row>
    <row r="59" spans="1:85" s="582" customFormat="1" x14ac:dyDescent="0.3">
      <c r="A59" s="188" t="s">
        <v>412</v>
      </c>
      <c r="B59" s="245"/>
      <c r="C59" s="933"/>
      <c r="D59" s="933"/>
      <c r="E59" s="933"/>
      <c r="F59" s="933"/>
      <c r="G59" s="24">
        <f t="shared" ref="G59:AO59" si="23">AVERAGE(G56,G58)</f>
      </c>
      <c r="H59" s="24">
        <f t="shared" si="23"/>
      </c>
      <c r="I59" s="24">
        <f t="shared" si="23"/>
      </c>
      <c r="J59" s="24">
        <f t="shared" si="23"/>
      </c>
      <c r="K59" s="934">
        <f t="shared" si="23"/>
      </c>
      <c r="L59" s="24">
        <f t="shared" si="23"/>
      </c>
      <c r="M59" s="24">
        <f t="shared" si="23"/>
      </c>
      <c r="N59" s="24">
        <f t="shared" si="23"/>
      </c>
      <c r="O59" s="24">
        <f t="shared" si="23"/>
      </c>
      <c r="P59" s="934">
        <f t="shared" si="23"/>
      </c>
      <c r="Q59" s="24">
        <f t="shared" si="23"/>
      </c>
      <c r="R59" s="24">
        <f t="shared" si="23"/>
      </c>
      <c r="S59" s="24">
        <f t="shared" si="23"/>
      </c>
      <c r="T59" s="24">
        <f t="shared" si="23"/>
      </c>
      <c r="U59" s="934">
        <f t="shared" si="23"/>
      </c>
      <c r="V59" s="24">
        <f t="shared" si="23"/>
      </c>
      <c r="W59" s="24">
        <f t="shared" si="23"/>
      </c>
      <c r="X59" s="24">
        <f t="shared" si="23"/>
      </c>
      <c r="Y59" s="200">
        <f t="shared" si="23"/>
      </c>
      <c r="Z59" s="933">
        <f t="shared" si="23"/>
      </c>
      <c r="AA59" s="24">
        <f t="shared" si="23"/>
      </c>
      <c r="AB59" s="24">
        <f t="shared" si="23"/>
      </c>
      <c r="AC59" s="24">
        <f t="shared" si="23"/>
      </c>
      <c r="AD59" s="200">
        <f t="shared" si="23"/>
      </c>
      <c r="AE59" s="933">
        <f t="shared" si="23"/>
      </c>
      <c r="AF59" s="24">
        <f t="shared" si="23"/>
      </c>
      <c r="AG59" s="24">
        <f t="shared" si="23"/>
      </c>
      <c r="AH59" s="24">
        <f t="shared" si="23"/>
      </c>
      <c r="AI59" s="200">
        <f t="shared" si="23"/>
      </c>
      <c r="AJ59" s="933">
        <f t="shared" si="23"/>
      </c>
      <c r="AK59" s="24">
        <f t="shared" si="23"/>
      </c>
      <c r="AL59" s="24">
        <f t="shared" si="23"/>
      </c>
      <c r="AM59" s="24">
        <f t="shared" si="23"/>
      </c>
      <c r="AN59" s="200">
        <f t="shared" si="23"/>
      </c>
      <c r="AO59" s="933">
        <f t="shared" si="23"/>
      </c>
      <c r="AP59" s="200"/>
      <c r="AQ59" s="200"/>
      <c r="AR59" s="200"/>
      <c r="AS59" s="200"/>
      <c r="AT59" s="933"/>
      <c r="AU59" s="200"/>
      <c r="AV59" s="200"/>
      <c r="AW59" s="200"/>
      <c r="AX59" s="200"/>
      <c r="AY59" s="933"/>
      <c r="AZ59" s="200"/>
      <c r="BA59" s="200"/>
      <c r="BB59" s="200"/>
      <c r="BC59" s="200"/>
      <c r="BD59" s="933"/>
      <c r="BE59" s="200"/>
      <c r="BF59" s="200"/>
      <c r="BG59" s="200"/>
      <c r="BH59" s="200"/>
      <c r="BI59" s="933"/>
      <c r="BJ59" s="200"/>
      <c r="BK59" s="200"/>
      <c r="BL59" s="200"/>
      <c r="BM59" s="200"/>
      <c r="BN59" s="933"/>
      <c r="BO59" s="200"/>
      <c r="BP59" s="200"/>
      <c r="BQ59" s="200"/>
      <c r="BR59" s="200"/>
      <c r="BS59" s="933"/>
      <c r="BT59" s="295"/>
      <c r="BU59" s="200"/>
      <c r="BV59" s="200"/>
      <c r="BW59" s="200"/>
      <c r="BX59" s="933"/>
      <c r="BY59" s="200"/>
      <c r="BZ59" s="200"/>
      <c r="CA59" s="200"/>
      <c r="CB59" s="200"/>
      <c r="CC59" s="933"/>
      <c r="CD59" s="933"/>
      <c r="CE59" s="933"/>
      <c r="CF59" s="933"/>
      <c r="CG59" s="24"/>
    </row>
    <row r="60" spans="1:85" s="582" customFormat="1" x14ac:dyDescent="0.3">
      <c r="A60" s="255"/>
      <c r="B60" s="242"/>
      <c r="C60" s="950"/>
      <c r="D60" s="950"/>
      <c r="E60" s="950"/>
      <c r="F60" s="950"/>
      <c r="G60" s="204"/>
      <c r="H60" s="204"/>
      <c r="I60" s="204"/>
      <c r="J60" s="204"/>
      <c r="K60" s="950"/>
      <c r="L60" s="204"/>
      <c r="M60" s="204"/>
      <c r="N60" s="204"/>
      <c r="O60" s="204"/>
      <c r="P60" s="950"/>
      <c r="Q60" s="204"/>
      <c r="R60" s="204"/>
      <c r="S60" s="204"/>
      <c r="T60" s="204"/>
      <c r="U60" s="950"/>
      <c r="V60" s="204"/>
      <c r="W60" s="204"/>
      <c r="X60" s="204"/>
      <c r="Y60" s="204"/>
      <c r="Z60" s="950"/>
      <c r="AA60" s="204"/>
      <c r="AB60" s="204"/>
      <c r="AC60" s="204"/>
      <c r="AD60" s="204"/>
      <c r="AE60" s="950"/>
      <c r="AF60" s="204"/>
      <c r="AG60" s="204"/>
      <c r="AH60" s="204"/>
      <c r="AI60" s="204"/>
      <c r="AJ60" s="950"/>
      <c r="AK60" s="204"/>
      <c r="AL60" s="204"/>
      <c r="AM60" s="204"/>
      <c r="AN60" s="204"/>
      <c r="AO60" s="950"/>
      <c r="AP60" s="204"/>
      <c r="AQ60" s="204"/>
      <c r="AR60" s="204"/>
      <c r="AS60" s="204"/>
      <c r="AT60" s="950"/>
      <c r="AU60" s="204"/>
      <c r="AV60" s="204"/>
      <c r="AW60" s="204"/>
      <c r="AX60" s="204"/>
      <c r="AY60" s="950"/>
      <c r="AZ60" s="204"/>
      <c r="BA60" s="204"/>
      <c r="BB60" s="204"/>
      <c r="BC60" s="204"/>
      <c r="BD60" s="950"/>
      <c r="BE60" s="204"/>
      <c r="BF60" s="204"/>
      <c r="BG60" s="204"/>
      <c r="BH60" s="204"/>
      <c r="BI60" s="950"/>
      <c r="BJ60" s="204"/>
      <c r="BK60" s="204"/>
      <c r="BL60" s="204"/>
      <c r="BM60" s="204"/>
      <c r="BN60" s="950"/>
      <c r="BO60" s="204"/>
      <c r="BP60" s="204"/>
      <c r="BQ60" s="204"/>
      <c r="BR60" s="204"/>
      <c r="BS60" s="950"/>
      <c r="BT60" s="294"/>
      <c r="BU60" s="204"/>
      <c r="BV60" s="204"/>
      <c r="BW60" s="204"/>
      <c r="BX60" s="950"/>
      <c r="BY60" s="204"/>
      <c r="BZ60" s="204"/>
      <c r="CA60" s="204"/>
      <c r="CB60" s="204"/>
      <c r="CC60" s="950"/>
      <c r="CD60" s="950"/>
      <c r="CE60" s="950"/>
      <c r="CF60" s="950"/>
      <c r="CG60" s="131"/>
    </row>
    <row r="61" spans="1:85" s="582" customFormat="1" x14ac:dyDescent="0.3">
      <c r="A61" s="188" t="s">
        <v>413</v>
      </c>
      <c r="B61" s="245"/>
      <c r="C61" s="933"/>
      <c r="D61" s="933"/>
      <c r="E61" s="933"/>
      <c r="F61" s="933"/>
      <c r="G61" s="24">
        <f>F63</f>
      </c>
      <c r="H61" s="24">
        <f>G63</f>
      </c>
      <c r="I61" s="24">
        <f>H63</f>
      </c>
      <c r="J61" s="24">
        <f>I63</f>
      </c>
      <c r="K61" s="934">
        <f>F63</f>
      </c>
      <c r="L61" s="24">
        <f>K63</f>
      </c>
      <c r="M61" s="24">
        <f>L63</f>
      </c>
      <c r="N61" s="24">
        <f>M63</f>
      </c>
      <c r="O61" s="24">
        <f>N63</f>
      </c>
      <c r="P61" s="934">
        <f>K63</f>
      </c>
      <c r="Q61" s="24">
        <f>P63</f>
      </c>
      <c r="R61" s="24">
        <f>Q63</f>
      </c>
      <c r="S61" s="24">
        <f>R63</f>
      </c>
      <c r="T61" s="24">
        <f>S63</f>
      </c>
      <c r="U61" s="934">
        <f>P63</f>
      </c>
      <c r="V61" s="24">
        <f>U63</f>
      </c>
      <c r="W61" s="24">
        <f>V63</f>
      </c>
      <c r="X61" s="24">
        <f>W63</f>
      </c>
      <c r="Y61" s="200">
        <f>X63</f>
      </c>
      <c r="Z61" s="933">
        <f>U63</f>
      </c>
      <c r="AA61" s="24">
        <f>Z63</f>
      </c>
      <c r="AB61" s="24">
        <f>AA63</f>
      </c>
      <c r="AC61" s="24">
        <f>AB63</f>
      </c>
      <c r="AD61" s="200">
        <f>AC63</f>
      </c>
      <c r="AE61" s="933">
        <f>Z63</f>
      </c>
      <c r="AF61" s="24">
        <f>AE63</f>
      </c>
      <c r="AG61" s="24">
        <f>AF63</f>
      </c>
      <c r="AH61" s="24">
        <f>AG63</f>
      </c>
      <c r="AI61" s="200">
        <f>AH63</f>
      </c>
      <c r="AJ61" s="933">
        <f>AE63</f>
      </c>
      <c r="AK61" s="24">
        <f>AJ63</f>
      </c>
      <c r="AL61" s="24">
        <f>AK63</f>
      </c>
      <c r="AM61" s="24">
        <f>AL63</f>
      </c>
      <c r="AN61" s="200">
        <f>AM63</f>
      </c>
      <c r="AO61" s="933">
        <f>AJ63</f>
      </c>
      <c r="AP61" s="200"/>
      <c r="AQ61" s="200"/>
      <c r="AR61" s="200"/>
      <c r="AS61" s="200"/>
      <c r="AT61" s="933"/>
      <c r="AU61" s="200"/>
      <c r="AV61" s="200"/>
      <c r="AW61" s="200"/>
      <c r="AX61" s="200"/>
      <c r="AY61" s="933"/>
      <c r="AZ61" s="200"/>
      <c r="BA61" s="200"/>
      <c r="BB61" s="200"/>
      <c r="BC61" s="200"/>
      <c r="BD61" s="933"/>
      <c r="BE61" s="200"/>
      <c r="BF61" s="200"/>
      <c r="BG61" s="200"/>
      <c r="BH61" s="200"/>
      <c r="BI61" s="933"/>
      <c r="BJ61" s="200"/>
      <c r="BK61" s="200"/>
      <c r="BL61" s="200"/>
      <c r="BM61" s="200"/>
      <c r="BN61" s="933"/>
      <c r="BO61" s="200"/>
      <c r="BP61" s="200"/>
      <c r="BQ61" s="200"/>
      <c r="BR61" s="200"/>
      <c r="BS61" s="933"/>
      <c r="BT61" s="295"/>
      <c r="BU61" s="200"/>
      <c r="BV61" s="200"/>
      <c r="BW61" s="200"/>
      <c r="BX61" s="933"/>
      <c r="BY61" s="200"/>
      <c r="BZ61" s="200"/>
      <c r="CA61" s="200"/>
      <c r="CB61" s="200"/>
      <c r="CC61" s="933"/>
      <c r="CD61" s="933"/>
      <c r="CE61" s="933"/>
      <c r="CF61" s="933"/>
      <c r="CG61" s="24"/>
    </row>
    <row r="62" spans="1:85" s="582" customFormat="1" x14ac:dyDescent="0.3">
      <c r="A62" s="201" t="s">
        <v>414</v>
      </c>
      <c r="B62" s="246"/>
      <c r="C62" s="953"/>
      <c r="D62" s="953"/>
      <c r="E62" s="953"/>
      <c r="F62" s="953"/>
      <c r="G62" s="202">
        <f t="shared" ref="G62:AO62" si="24">G63-G61</f>
      </c>
      <c r="H62" s="202">
        <f t="shared" si="24"/>
      </c>
      <c r="I62" s="202">
        <f t="shared" si="24"/>
      </c>
      <c r="J62" s="202">
        <f t="shared" si="24"/>
      </c>
      <c r="K62" s="954">
        <f t="shared" si="24"/>
      </c>
      <c r="L62" s="202">
        <f t="shared" si="24"/>
      </c>
      <c r="M62" s="202">
        <f t="shared" si="24"/>
      </c>
      <c r="N62" s="202">
        <f t="shared" si="24"/>
      </c>
      <c r="O62" s="202">
        <f t="shared" si="24"/>
      </c>
      <c r="P62" s="954">
        <f t="shared" si="24"/>
      </c>
      <c r="Q62" s="202">
        <f t="shared" si="24"/>
      </c>
      <c r="R62" s="202">
        <f t="shared" si="24"/>
      </c>
      <c r="S62" s="202">
        <f t="shared" si="24"/>
      </c>
      <c r="T62" s="202">
        <f t="shared" si="24"/>
      </c>
      <c r="U62" s="954">
        <f t="shared" si="24"/>
      </c>
      <c r="V62" s="202">
        <f t="shared" si="24"/>
      </c>
      <c r="W62" s="202">
        <f t="shared" si="24"/>
      </c>
      <c r="X62" s="202">
        <f t="shared" si="24"/>
      </c>
      <c r="Y62" s="202">
        <f t="shared" si="24"/>
      </c>
      <c r="Z62" s="954">
        <f t="shared" si="24"/>
      </c>
      <c r="AA62" s="202">
        <f t="shared" si="24"/>
      </c>
      <c r="AB62" s="202">
        <f t="shared" si="24"/>
      </c>
      <c r="AC62" s="202">
        <f t="shared" si="24"/>
      </c>
      <c r="AD62" s="202">
        <f t="shared" si="24"/>
      </c>
      <c r="AE62" s="954">
        <f t="shared" si="24"/>
      </c>
      <c r="AF62" s="202">
        <f t="shared" si="24"/>
      </c>
      <c r="AG62" s="202">
        <f t="shared" si="24"/>
      </c>
      <c r="AH62" s="202">
        <f t="shared" si="24"/>
      </c>
      <c r="AI62" s="202">
        <f t="shared" si="24"/>
      </c>
      <c r="AJ62" s="954">
        <f t="shared" si="24"/>
      </c>
      <c r="AK62" s="202">
        <f t="shared" si="24"/>
      </c>
      <c r="AL62" s="202">
        <f t="shared" si="24"/>
      </c>
      <c r="AM62" s="202">
        <f t="shared" si="24"/>
      </c>
      <c r="AN62" s="202">
        <f t="shared" si="24"/>
      </c>
      <c r="AO62" s="954">
        <f t="shared" si="24"/>
      </c>
      <c r="AP62" s="247"/>
      <c r="AQ62" s="247"/>
      <c r="AR62" s="247"/>
      <c r="AS62" s="247"/>
      <c r="AT62" s="953"/>
      <c r="AU62" s="247"/>
      <c r="AV62" s="247"/>
      <c r="AW62" s="247"/>
      <c r="AX62" s="247"/>
      <c r="AY62" s="953"/>
      <c r="AZ62" s="247"/>
      <c r="BA62" s="247"/>
      <c r="BB62" s="247"/>
      <c r="BC62" s="247"/>
      <c r="BD62" s="953"/>
      <c r="BE62" s="247"/>
      <c r="BF62" s="247"/>
      <c r="BG62" s="247"/>
      <c r="BH62" s="247"/>
      <c r="BI62" s="953"/>
      <c r="BJ62" s="247"/>
      <c r="BK62" s="247"/>
      <c r="BL62" s="247"/>
      <c r="BM62" s="247"/>
      <c r="BN62" s="953"/>
      <c r="BO62" s="247"/>
      <c r="BP62" s="247"/>
      <c r="BQ62" s="247"/>
      <c r="BR62" s="247"/>
      <c r="BS62" s="953"/>
      <c r="BT62" s="497"/>
      <c r="BU62" s="247"/>
      <c r="BV62" s="247"/>
      <c r="BW62" s="247"/>
      <c r="BX62" s="953"/>
      <c r="BY62" s="247"/>
      <c r="BZ62" s="247"/>
      <c r="CA62" s="247"/>
      <c r="CB62" s="247"/>
      <c r="CC62" s="953"/>
      <c r="CD62" s="953"/>
      <c r="CE62" s="953"/>
      <c r="CF62" s="953"/>
      <c r="CG62" s="131"/>
    </row>
    <row r="63" spans="1:85" s="581" customFormat="1" x14ac:dyDescent="0.3">
      <c r="A63" s="189" t="s">
        <v>415</v>
      </c>
      <c r="B63" s="243"/>
      <c r="C63" s="1140"/>
      <c r="D63" s="1140"/>
      <c r="E63" s="1140"/>
      <c r="F63" s="1141">
        <v>4892</v>
      </c>
      <c r="G63" s="851">
        <v>6331</v>
      </c>
      <c r="H63" s="851">
        <v>7014</v>
      </c>
      <c r="I63" s="851">
        <v>8084</v>
      </c>
      <c r="J63" s="190">
        <f>K63</f>
      </c>
      <c r="K63" s="1141">
        <v>9722</v>
      </c>
      <c r="L63" s="1135">
        <v>11755</v>
      </c>
      <c r="M63" s="1135">
        <v>12907</v>
      </c>
      <c r="N63" s="1135">
        <v>14389</v>
      </c>
      <c r="O63" s="190">
        <f>P63</f>
      </c>
      <c r="P63" s="1142">
        <v>16778</v>
      </c>
      <c r="Q63" s="1135">
        <v>19304</v>
      </c>
      <c r="R63" s="1135">
        <v>21649</v>
      </c>
      <c r="S63" s="1135">
        <v>23951</v>
      </c>
      <c r="T63" s="851">
        <v>27438</v>
      </c>
      <c r="U63" s="1142">
        <v>27438</v>
      </c>
      <c r="V63" s="851">
        <v>31993</v>
      </c>
      <c r="W63" s="851">
        <v>33892</v>
      </c>
      <c r="X63" s="851">
        <v>36799</v>
      </c>
      <c r="Y63" s="203">
        <f>Z63</f>
      </c>
      <c r="Z63" s="1141">
        <v>41185</v>
      </c>
      <c r="AA63" s="851">
        <v>44988</v>
      </c>
      <c r="AB63" s="851">
        <v>48713</v>
      </c>
      <c r="AC63" s="851">
        <v>52678</v>
      </c>
      <c r="AD63" s="203">
        <f>AE63</f>
      </c>
      <c r="AE63" s="1141">
        <v>57834</v>
      </c>
      <c r="AF63" s="851">
        <v>63815</v>
      </c>
      <c r="AG63" s="851">
        <v>68395</v>
      </c>
      <c r="AH63" s="851">
        <v>73465</v>
      </c>
      <c r="AI63" s="203">
        <f>AJ63</f>
      </c>
      <c r="AJ63" s="1141">
        <v>80773</v>
      </c>
      <c r="AK63" s="851">
        <v>88634</v>
      </c>
      <c r="AL63" s="851">
        <v>91459</v>
      </c>
      <c r="AM63" s="851">
        <v>97714</v>
      </c>
      <c r="AN63" s="203">
        <f>AO63</f>
      </c>
      <c r="AO63" s="1141">
        <v>106047</v>
      </c>
      <c r="AP63" s="203"/>
      <c r="AQ63" s="203"/>
      <c r="AR63" s="203"/>
      <c r="AS63" s="203"/>
      <c r="AT63" s="1140"/>
      <c r="AU63" s="203"/>
      <c r="AV63" s="203"/>
      <c r="AW63" s="203"/>
      <c r="AX63" s="203"/>
      <c r="AY63" s="1140"/>
      <c r="AZ63" s="203"/>
      <c r="BA63" s="203"/>
      <c r="BB63" s="203"/>
      <c r="BC63" s="203"/>
      <c r="BD63" s="1140"/>
      <c r="BE63" s="203"/>
      <c r="BF63" s="203"/>
      <c r="BG63" s="203"/>
      <c r="BH63" s="203"/>
      <c r="BI63" s="1140"/>
      <c r="BJ63" s="203"/>
      <c r="BK63" s="203"/>
      <c r="BL63" s="203"/>
      <c r="BM63" s="203"/>
      <c r="BN63" s="1140"/>
      <c r="BO63" s="203"/>
      <c r="BP63" s="203"/>
      <c r="BQ63" s="203"/>
      <c r="BR63" s="203"/>
      <c r="BS63" s="1140"/>
      <c r="BT63" s="732"/>
      <c r="BU63" s="203"/>
      <c r="BV63" s="203"/>
      <c r="BW63" s="203"/>
      <c r="BX63" s="1140"/>
      <c r="BY63" s="203"/>
      <c r="BZ63" s="203"/>
      <c r="CA63" s="203"/>
      <c r="CB63" s="203"/>
      <c r="CC63" s="1140"/>
      <c r="CD63" s="1140"/>
      <c r="CE63" s="1140"/>
      <c r="CF63" s="1140"/>
      <c r="CG63" s="24"/>
    </row>
    <row r="64" spans="1:85" s="582" customFormat="1" x14ac:dyDescent="0.3">
      <c r="A64" s="188" t="s">
        <v>416</v>
      </c>
      <c r="B64" s="245"/>
      <c r="C64" s="933"/>
      <c r="D64" s="933"/>
      <c r="E64" s="933"/>
      <c r="F64" s="933"/>
      <c r="G64" s="24">
        <f t="shared" ref="G64:AO64" si="25">AVERAGE(G61,G63)</f>
      </c>
      <c r="H64" s="24">
        <f t="shared" si="25"/>
      </c>
      <c r="I64" s="24">
        <f t="shared" si="25"/>
      </c>
      <c r="J64" s="24">
        <f t="shared" si="25"/>
      </c>
      <c r="K64" s="934">
        <f t="shared" si="25"/>
      </c>
      <c r="L64" s="24">
        <f t="shared" si="25"/>
      </c>
      <c r="M64" s="24">
        <f t="shared" si="25"/>
      </c>
      <c r="N64" s="24">
        <f t="shared" si="25"/>
      </c>
      <c r="O64" s="24">
        <f t="shared" si="25"/>
      </c>
      <c r="P64" s="934">
        <f t="shared" si="25"/>
      </c>
      <c r="Q64" s="24">
        <f t="shared" si="25"/>
      </c>
      <c r="R64" s="24">
        <f t="shared" si="25"/>
      </c>
      <c r="S64" s="24">
        <f t="shared" si="25"/>
      </c>
      <c r="T64" s="24">
        <f t="shared" si="25"/>
      </c>
      <c r="U64" s="934">
        <f t="shared" si="25"/>
      </c>
      <c r="V64" s="24">
        <f t="shared" si="25"/>
      </c>
      <c r="W64" s="24">
        <f t="shared" si="25"/>
      </c>
      <c r="X64" s="24">
        <f t="shared" si="25"/>
      </c>
      <c r="Y64" s="200">
        <f t="shared" si="25"/>
      </c>
      <c r="Z64" s="933">
        <f t="shared" si="25"/>
      </c>
      <c r="AA64" s="24">
        <f t="shared" si="25"/>
      </c>
      <c r="AB64" s="24">
        <f t="shared" si="25"/>
      </c>
      <c r="AC64" s="24">
        <f t="shared" si="25"/>
      </c>
      <c r="AD64" s="200">
        <f t="shared" si="25"/>
      </c>
      <c r="AE64" s="933">
        <f t="shared" si="25"/>
      </c>
      <c r="AF64" s="24">
        <f t="shared" si="25"/>
      </c>
      <c r="AG64" s="24">
        <f t="shared" si="25"/>
      </c>
      <c r="AH64" s="24">
        <f t="shared" si="25"/>
      </c>
      <c r="AI64" s="200">
        <f t="shared" si="25"/>
      </c>
      <c r="AJ64" s="933">
        <f t="shared" si="25"/>
      </c>
      <c r="AK64" s="24">
        <f t="shared" si="25"/>
      </c>
      <c r="AL64" s="24">
        <f t="shared" si="25"/>
      </c>
      <c r="AM64" s="24">
        <f t="shared" si="25"/>
      </c>
      <c r="AN64" s="200">
        <f t="shared" si="25"/>
      </c>
      <c r="AO64" s="933">
        <f t="shared" si="25"/>
      </c>
      <c r="AP64" s="200"/>
      <c r="AQ64" s="200"/>
      <c r="AR64" s="200"/>
      <c r="AS64" s="200"/>
      <c r="AT64" s="933"/>
      <c r="AU64" s="200"/>
      <c r="AV64" s="200"/>
      <c r="AW64" s="200"/>
      <c r="AX64" s="200"/>
      <c r="AY64" s="933"/>
      <c r="AZ64" s="200"/>
      <c r="BA64" s="200"/>
      <c r="BB64" s="200"/>
      <c r="BC64" s="200"/>
      <c r="BD64" s="933"/>
      <c r="BE64" s="200"/>
      <c r="BF64" s="200"/>
      <c r="BG64" s="200"/>
      <c r="BH64" s="200"/>
      <c r="BI64" s="933"/>
      <c r="BJ64" s="200"/>
      <c r="BK64" s="200"/>
      <c r="BL64" s="200"/>
      <c r="BM64" s="200"/>
      <c r="BN64" s="933"/>
      <c r="BO64" s="200"/>
      <c r="BP64" s="200"/>
      <c r="BQ64" s="200"/>
      <c r="BR64" s="200"/>
      <c r="BS64" s="933"/>
      <c r="BT64" s="295"/>
      <c r="BU64" s="200"/>
      <c r="BV64" s="200"/>
      <c r="BW64" s="200"/>
      <c r="BX64" s="933"/>
      <c r="BY64" s="200"/>
      <c r="BZ64" s="200"/>
      <c r="CA64" s="200"/>
      <c r="CB64" s="200"/>
      <c r="CC64" s="933"/>
      <c r="CD64" s="933"/>
      <c r="CE64" s="933"/>
      <c r="CF64" s="933"/>
      <c r="CG64" s="24"/>
    </row>
    <row r="65" spans="1:85" s="582" customFormat="1" x14ac:dyDescent="0.3">
      <c r="A65" s="244"/>
      <c r="B65" s="245"/>
      <c r="C65" s="933"/>
      <c r="D65" s="933"/>
      <c r="E65" s="933"/>
      <c r="F65" s="933"/>
      <c r="G65" s="200"/>
      <c r="H65" s="200"/>
      <c r="I65" s="200"/>
      <c r="J65" s="200"/>
      <c r="K65" s="933"/>
      <c r="L65" s="200"/>
      <c r="M65" s="200"/>
      <c r="N65" s="200"/>
      <c r="O65" s="200"/>
      <c r="P65" s="933"/>
      <c r="Q65" s="200"/>
      <c r="R65" s="200"/>
      <c r="S65" s="200"/>
      <c r="T65" s="200"/>
      <c r="U65" s="933"/>
      <c r="V65" s="200"/>
      <c r="W65" s="200"/>
      <c r="X65" s="200"/>
      <c r="Y65" s="200"/>
      <c r="Z65" s="933"/>
      <c r="AA65" s="200"/>
      <c r="AB65" s="200"/>
      <c r="AC65" s="200"/>
      <c r="AD65" s="200"/>
      <c r="AE65" s="933"/>
      <c r="AF65" s="200"/>
      <c r="AG65" s="200"/>
      <c r="AH65" s="200"/>
      <c r="AI65" s="200"/>
      <c r="AJ65" s="933"/>
      <c r="AK65" s="200"/>
      <c r="AL65" s="200"/>
      <c r="AM65" s="200"/>
      <c r="AN65" s="200"/>
      <c r="AO65" s="933"/>
      <c r="AP65" s="200"/>
      <c r="AQ65" s="200"/>
      <c r="AR65" s="200"/>
      <c r="AS65" s="200"/>
      <c r="AT65" s="933"/>
      <c r="AU65" s="200"/>
      <c r="AV65" s="200"/>
      <c r="AW65" s="200"/>
      <c r="AX65" s="200"/>
      <c r="AY65" s="933"/>
      <c r="AZ65" s="200"/>
      <c r="BA65" s="200"/>
      <c r="BB65" s="200"/>
      <c r="BC65" s="200"/>
      <c r="BD65" s="933"/>
      <c r="BE65" s="200"/>
      <c r="BF65" s="200"/>
      <c r="BG65" s="200"/>
      <c r="BH65" s="200"/>
      <c r="BI65" s="933"/>
      <c r="BJ65" s="200"/>
      <c r="BK65" s="200"/>
      <c r="BL65" s="200"/>
      <c r="BM65" s="200"/>
      <c r="BN65" s="933"/>
      <c r="BO65" s="200"/>
      <c r="BP65" s="200"/>
      <c r="BQ65" s="200"/>
      <c r="BR65" s="200"/>
      <c r="BS65" s="933"/>
      <c r="BT65" s="295"/>
      <c r="BU65" s="200"/>
      <c r="BV65" s="200"/>
      <c r="BW65" s="200"/>
      <c r="BX65" s="933"/>
      <c r="BY65" s="200"/>
      <c r="BZ65" s="200"/>
      <c r="CA65" s="200"/>
      <c r="CB65" s="200"/>
      <c r="CC65" s="933"/>
      <c r="CD65" s="933"/>
      <c r="CE65" s="933"/>
      <c r="CF65" s="933"/>
      <c r="CG65" s="24"/>
    </row>
    <row r="66" spans="1:85" customFormat="1" x14ac:dyDescent="0.3">
      <c r="A66" s="62" t="s">
        <v>8</v>
      </c>
      <c r="B66" s="248"/>
      <c r="C66" s="957"/>
      <c r="D66" s="957"/>
      <c r="E66" s="957"/>
      <c r="F66" s="958">
        <f>'Supplemental Data'!F28*1000/F63/12</f>
      </c>
      <c r="G66" s="18">
        <f>'Supplemental Data'!G28*1000/G64/3</f>
      </c>
      <c r="H66" s="18">
        <f>'Supplemental Data'!H28*1000/H64/3</f>
      </c>
      <c r="I66" s="18">
        <f>'Supplemental Data'!I28*1000/I64/3</f>
      </c>
      <c r="J66" s="18">
        <f>'Supplemental Data'!J28*1000/J64/3</f>
      </c>
      <c r="K66" s="958">
        <f>'Supplemental Data'!K28*1000/K64/12</f>
      </c>
      <c r="L66" s="18">
        <f>'Supplemental Data'!L28*1000/L64/3</f>
      </c>
      <c r="M66" s="18">
        <f>'Supplemental Data'!M28*1000/M64/3</f>
      </c>
      <c r="N66" s="18">
        <f>'Supplemental Data'!N28*1000/N64/3</f>
      </c>
      <c r="O66" s="18">
        <f>'Supplemental Data'!O28*1000/O64/3</f>
      </c>
      <c r="P66" s="958">
        <f>'Supplemental Data'!P28*1000/P64/12</f>
      </c>
      <c r="Q66" s="18">
        <f>'Supplemental Data'!Q28*1000/Q64/3</f>
      </c>
      <c r="R66" s="18">
        <f>'Supplemental Data'!R28*1000/R64/3</f>
      </c>
      <c r="S66" s="18">
        <f>'Supplemental Data'!S28*1000/S64/3</f>
      </c>
      <c r="T66" s="18">
        <f>'Supplemental Data'!T28*1000/T64/3</f>
      </c>
      <c r="U66" s="958">
        <f>'Supplemental Data'!U28*1000/U64/12</f>
      </c>
      <c r="V66" s="18">
        <f>'Supplemental Data'!V28*1000/V64/3</f>
      </c>
      <c r="W66" s="18">
        <f>'Supplemental Data'!W28*1000/W64/3</f>
      </c>
      <c r="X66" s="18">
        <f>'Supplemental Data'!X28*1000/X64/3</f>
      </c>
      <c r="Y66" s="18">
        <f>'Supplemental Data'!Y28*1000/Y64/3</f>
      </c>
      <c r="Z66" s="957">
        <f>'Supplemental Data'!Z28*1000/Z64/12</f>
      </c>
      <c r="AA66" s="18">
        <f>'Supplemental Data'!AA28*1000/AA64/3</f>
      </c>
      <c r="AB66" s="18">
        <f>'Supplemental Data'!AB28*1000/AB64/3</f>
      </c>
      <c r="AC66" s="18">
        <f>'Supplemental Data'!AC28*1000/AC64/3</f>
      </c>
      <c r="AD66" s="18">
        <f>'Supplemental Data'!AD28*1000/AD64/3</f>
      </c>
      <c r="AE66" s="957">
        <f>'Supplemental Data'!AE28*1000/AE64/12</f>
      </c>
      <c r="AF66" s="18">
        <f>'Supplemental Data'!AF28*1000/AF64/3</f>
      </c>
      <c r="AG66" s="18">
        <f>'Supplemental Data'!AG28*1000/AG64/3</f>
      </c>
      <c r="AH66" s="18">
        <f>'Supplemental Data'!AH28*1000/AH64/3</f>
      </c>
      <c r="AI66" s="18">
        <f>'Supplemental Data'!AI28*1000/AI64/3</f>
      </c>
      <c r="AJ66" s="957">
        <f>'Supplemental Data'!AJ28*1000/AJ64/12</f>
      </c>
      <c r="AK66" s="18">
        <f>'Supplemental Data'!AK28*1000/AK64/3</f>
      </c>
      <c r="AL66" s="18">
        <f>'Supplemental Data'!AL28*1000/AL64/3</f>
      </c>
      <c r="AM66" s="18">
        <f>'Supplemental Data'!AM28*1000/AM64/3</f>
      </c>
      <c r="AN66" s="18">
        <f>'Supplemental Data'!AN28*1000/AN64/3</f>
      </c>
      <c r="AO66" s="957">
        <f>'Supplemental Data'!AO28*1000/AO64/12</f>
      </c>
      <c r="AP66" s="234"/>
      <c r="AQ66" s="234"/>
      <c r="AR66" s="234"/>
      <c r="AS66" s="234"/>
      <c r="AT66" s="957"/>
      <c r="AU66" s="234"/>
      <c r="AV66" s="234"/>
      <c r="AW66" s="234"/>
      <c r="AX66" s="234"/>
      <c r="AY66" s="957"/>
      <c r="AZ66" s="234"/>
      <c r="BA66" s="234"/>
      <c r="BB66" s="234"/>
      <c r="BC66" s="234"/>
      <c r="BD66" s="957"/>
      <c r="BE66" s="234"/>
      <c r="BF66" s="234"/>
      <c r="BG66" s="234"/>
      <c r="BH66" s="234"/>
      <c r="BI66" s="957"/>
      <c r="BJ66" s="234"/>
      <c r="BK66" s="234"/>
      <c r="BL66" s="234"/>
      <c r="BM66" s="234"/>
      <c r="BN66" s="957"/>
      <c r="BO66" s="234"/>
      <c r="BP66" s="234"/>
      <c r="BQ66" s="234"/>
      <c r="BR66" s="234"/>
      <c r="BS66" s="957"/>
      <c r="BT66" s="672"/>
      <c r="BU66" s="234"/>
      <c r="BV66" s="234"/>
      <c r="BW66" s="234"/>
      <c r="BX66" s="957"/>
      <c r="BY66" s="234"/>
      <c r="BZ66" s="234"/>
      <c r="CA66" s="234"/>
      <c r="CB66" s="234"/>
      <c r="CC66" s="957"/>
      <c r="CD66" s="957"/>
      <c r="CE66" s="957"/>
      <c r="CF66" s="957"/>
      <c r="CG66" s="18"/>
    </row>
    <row r="67" spans="1:85" customFormat="1" x14ac:dyDescent="0.3">
      <c r="A67" s="74" t="s">
        <v>617</v>
      </c>
      <c r="B67" s="252"/>
      <c r="C67" s="1143"/>
      <c r="D67" s="1143"/>
      <c r="E67" s="1143"/>
      <c r="F67" s="1143"/>
      <c r="G67" s="233"/>
      <c r="H67" s="233"/>
      <c r="I67" s="233"/>
      <c r="J67" s="233"/>
      <c r="K67" s="1144">
        <f t="shared" ref="K67:AO67" si="26">K66/F66-1</f>
      </c>
      <c r="L67" s="75">
        <f t="shared" si="26"/>
      </c>
      <c r="M67" s="75">
        <f t="shared" si="26"/>
      </c>
      <c r="N67" s="75">
        <f t="shared" si="26"/>
      </c>
      <c r="O67" s="75">
        <f t="shared" si="26"/>
      </c>
      <c r="P67" s="1144">
        <f t="shared" si="26"/>
      </c>
      <c r="Q67" s="75">
        <f t="shared" si="26"/>
      </c>
      <c r="R67" s="75">
        <f t="shared" si="26"/>
      </c>
      <c r="S67" s="75">
        <f t="shared" si="26"/>
      </c>
      <c r="T67" s="75">
        <f t="shared" si="26"/>
      </c>
      <c r="U67" s="1144">
        <f t="shared" si="26"/>
      </c>
      <c r="V67" s="75">
        <f t="shared" si="26"/>
      </c>
      <c r="W67" s="75">
        <f t="shared" si="26"/>
      </c>
      <c r="X67" s="75">
        <f t="shared" si="26"/>
      </c>
      <c r="Y67" s="75">
        <f t="shared" si="26"/>
      </c>
      <c r="Z67" s="1143">
        <f t="shared" si="26"/>
      </c>
      <c r="AA67" s="75">
        <f t="shared" si="26"/>
      </c>
      <c r="AB67" s="75">
        <f t="shared" si="26"/>
      </c>
      <c r="AC67" s="75">
        <f t="shared" si="26"/>
      </c>
      <c r="AD67" s="75">
        <f t="shared" si="26"/>
      </c>
      <c r="AE67" s="1143">
        <f t="shared" si="26"/>
      </c>
      <c r="AF67" s="75">
        <f t="shared" si="26"/>
      </c>
      <c r="AG67" s="75">
        <f t="shared" si="26"/>
      </c>
      <c r="AH67" s="75">
        <f t="shared" si="26"/>
      </c>
      <c r="AI67" s="75">
        <f t="shared" si="26"/>
      </c>
      <c r="AJ67" s="1143">
        <f t="shared" si="26"/>
      </c>
      <c r="AK67" s="75">
        <f t="shared" si="26"/>
      </c>
      <c r="AL67" s="75">
        <f t="shared" si="26"/>
      </c>
      <c r="AM67" s="75">
        <f t="shared" si="26"/>
      </c>
      <c r="AN67" s="75">
        <f t="shared" si="26"/>
      </c>
      <c r="AO67" s="1143">
        <f t="shared" si="26"/>
      </c>
      <c r="AP67" s="233"/>
      <c r="AQ67" s="233"/>
      <c r="AR67" s="233"/>
      <c r="AS67" s="233"/>
      <c r="AT67" s="1143"/>
      <c r="AU67" s="233"/>
      <c r="AV67" s="233"/>
      <c r="AW67" s="233"/>
      <c r="AX67" s="233"/>
      <c r="AY67" s="1143"/>
      <c r="AZ67" s="233"/>
      <c r="BA67" s="233"/>
      <c r="BB67" s="233"/>
      <c r="BC67" s="233"/>
      <c r="BD67" s="1143"/>
      <c r="BE67" s="233"/>
      <c r="BF67" s="233"/>
      <c r="BG67" s="233"/>
      <c r="BH67" s="233"/>
      <c r="BI67" s="1143"/>
      <c r="BJ67" s="233"/>
      <c r="BK67" s="233"/>
      <c r="BL67" s="233"/>
      <c r="BM67" s="233"/>
      <c r="BN67" s="1143"/>
      <c r="BO67" s="233"/>
      <c r="BP67" s="233"/>
      <c r="BQ67" s="233"/>
      <c r="BR67" s="233"/>
      <c r="BS67" s="1143"/>
      <c r="BT67" s="733"/>
      <c r="BU67" s="233"/>
      <c r="BV67" s="233"/>
      <c r="BW67" s="233"/>
      <c r="BX67" s="1143"/>
      <c r="BY67" s="233"/>
      <c r="BZ67" s="233"/>
      <c r="CA67" s="233"/>
      <c r="CB67" s="233"/>
      <c r="CC67" s="1143"/>
      <c r="CD67" s="1143"/>
      <c r="CE67" s="1143"/>
      <c r="CF67" s="1143"/>
      <c r="CG67" s="75"/>
    </row>
    <row r="68" spans="1:85" customFormat="1" x14ac:dyDescent="0.3">
      <c r="A68" s="391"/>
      <c r="B68" s="252"/>
      <c r="C68" s="1143"/>
      <c r="D68" s="1143"/>
      <c r="E68" s="1143"/>
      <c r="F68" s="1143"/>
      <c r="G68" s="233"/>
      <c r="H68" s="233"/>
      <c r="I68" s="233"/>
      <c r="J68" s="233"/>
      <c r="K68" s="1143"/>
      <c r="L68" s="233"/>
      <c r="M68" s="233"/>
      <c r="N68" s="233"/>
      <c r="O68" s="233"/>
      <c r="P68" s="1143"/>
      <c r="Q68" s="233"/>
      <c r="R68" s="233"/>
      <c r="S68" s="233"/>
      <c r="T68" s="233"/>
      <c r="U68" s="1143"/>
      <c r="V68" s="233"/>
      <c r="W68" s="233"/>
      <c r="X68" s="233"/>
      <c r="Y68" s="233"/>
      <c r="Z68" s="1143"/>
      <c r="AA68" s="233"/>
      <c r="AB68" s="233"/>
      <c r="AC68" s="233"/>
      <c r="AD68" s="233"/>
      <c r="AE68" s="1143"/>
      <c r="AF68" s="233"/>
      <c r="AG68" s="233"/>
      <c r="AH68" s="233"/>
      <c r="AI68" s="233"/>
      <c r="AJ68" s="1143"/>
      <c r="AK68" s="233"/>
      <c r="AL68" s="233"/>
      <c r="AM68" s="233"/>
      <c r="AN68" s="233"/>
      <c r="AO68" s="1143"/>
      <c r="AP68" s="233"/>
      <c r="AQ68" s="233"/>
      <c r="AR68" s="233"/>
      <c r="AS68" s="233"/>
      <c r="AT68" s="1143"/>
      <c r="AU68" s="233"/>
      <c r="AV68" s="233"/>
      <c r="AW68" s="233"/>
      <c r="AX68" s="233"/>
      <c r="AY68" s="1143"/>
      <c r="AZ68" s="233"/>
      <c r="BA68" s="233"/>
      <c r="BB68" s="233"/>
      <c r="BC68" s="233"/>
      <c r="BD68" s="1143"/>
      <c r="BE68" s="233"/>
      <c r="BF68" s="233"/>
      <c r="BG68" s="233"/>
      <c r="BH68" s="233"/>
      <c r="BI68" s="1143"/>
      <c r="BJ68" s="233"/>
      <c r="BK68" s="233"/>
      <c r="BL68" s="233"/>
      <c r="BM68" s="233"/>
      <c r="BN68" s="1143"/>
      <c r="BO68" s="233"/>
      <c r="BP68" s="233"/>
      <c r="BQ68" s="233"/>
      <c r="BR68" s="233"/>
      <c r="BS68" s="1143"/>
      <c r="BT68" s="733"/>
      <c r="BU68" s="233"/>
      <c r="BV68" s="233"/>
      <c r="BW68" s="233"/>
      <c r="BX68" s="1143"/>
      <c r="BY68" s="233"/>
      <c r="BZ68" s="233"/>
      <c r="CA68" s="233"/>
      <c r="CB68" s="233"/>
      <c r="CC68" s="1143"/>
      <c r="CD68" s="1143"/>
      <c r="CE68" s="1143"/>
      <c r="CF68" s="1143"/>
      <c r="CG68" s="75"/>
    </row>
    <row r="69" spans="1:85" s="582" customFormat="1" x14ac:dyDescent="0.3">
      <c r="A69" s="188" t="s">
        <v>417</v>
      </c>
      <c r="B69" s="245"/>
      <c r="C69" s="933"/>
      <c r="D69" s="933"/>
      <c r="E69" s="933"/>
      <c r="F69" s="933"/>
      <c r="G69" s="24">
        <f>F71</f>
      </c>
      <c r="H69" s="24">
        <f>G71</f>
      </c>
      <c r="I69" s="24">
        <f>H71</f>
      </c>
      <c r="J69" s="24">
        <f>I71</f>
      </c>
      <c r="K69" s="934">
        <f>F71</f>
      </c>
      <c r="L69" s="24">
        <f>K71</f>
      </c>
      <c r="M69" s="24">
        <f>L71</f>
      </c>
      <c r="N69" s="24">
        <f>M71</f>
      </c>
      <c r="O69" s="24">
        <f>N71</f>
      </c>
      <c r="P69" s="934">
        <f>K71</f>
      </c>
      <c r="Q69" s="24">
        <f>P71</f>
      </c>
      <c r="R69" s="24">
        <f>Q71</f>
      </c>
      <c r="S69" s="24">
        <f>R71</f>
      </c>
      <c r="T69" s="24">
        <f>S71</f>
      </c>
      <c r="U69" s="934">
        <f>P71</f>
      </c>
      <c r="V69" s="24">
        <f>U71</f>
      </c>
      <c r="W69" s="24">
        <f>V71</f>
      </c>
      <c r="X69" s="24">
        <f>W71</f>
      </c>
      <c r="Y69" s="200">
        <f>X71</f>
      </c>
      <c r="Z69" s="933">
        <f>U71</f>
      </c>
      <c r="AA69" s="24">
        <f>Z71</f>
      </c>
      <c r="AB69" s="24">
        <f>AA71</f>
      </c>
      <c r="AC69" s="24">
        <f>AB71</f>
      </c>
      <c r="AD69" s="200">
        <f>AC71</f>
      </c>
      <c r="AE69" s="933">
        <f>Z71</f>
      </c>
      <c r="AF69" s="24">
        <f>AE71</f>
      </c>
      <c r="AG69" s="24">
        <f>AF71</f>
      </c>
      <c r="AH69" s="24">
        <f>AG71</f>
      </c>
      <c r="AI69" s="200">
        <f>AH71</f>
      </c>
      <c r="AJ69" s="933">
        <f>AE71</f>
      </c>
      <c r="AK69" s="24">
        <f>AJ71</f>
      </c>
      <c r="AL69" s="24">
        <f>AK71</f>
      </c>
      <c r="AM69" s="24">
        <f>AL71</f>
      </c>
      <c r="AN69" s="200">
        <f>AM71</f>
      </c>
      <c r="AO69" s="933">
        <f>AJ71</f>
      </c>
      <c r="AP69" s="200"/>
      <c r="AQ69" s="200"/>
      <c r="AR69" s="200"/>
      <c r="AS69" s="200"/>
      <c r="AT69" s="933"/>
      <c r="AU69" s="200"/>
      <c r="AV69" s="200"/>
      <c r="AW69" s="200"/>
      <c r="AX69" s="200"/>
      <c r="AY69" s="933"/>
      <c r="AZ69" s="200"/>
      <c r="BA69" s="200"/>
      <c r="BB69" s="200"/>
      <c r="BC69" s="200"/>
      <c r="BD69" s="933"/>
      <c r="BE69" s="200"/>
      <c r="BF69" s="200"/>
      <c r="BG69" s="200"/>
      <c r="BH69" s="200"/>
      <c r="BI69" s="933"/>
      <c r="BJ69" s="200"/>
      <c r="BK69" s="200"/>
      <c r="BL69" s="200"/>
      <c r="BM69" s="200"/>
      <c r="BN69" s="933"/>
      <c r="BO69" s="200"/>
      <c r="BP69" s="200"/>
      <c r="BQ69" s="200"/>
      <c r="BR69" s="200"/>
      <c r="BS69" s="933"/>
      <c r="BT69" s="295"/>
      <c r="BU69" s="200"/>
      <c r="BV69" s="200"/>
      <c r="BW69" s="200"/>
      <c r="BX69" s="933"/>
      <c r="BY69" s="200"/>
      <c r="BZ69" s="200"/>
      <c r="CA69" s="200"/>
      <c r="CB69" s="200"/>
      <c r="CC69" s="933"/>
      <c r="CD69" s="933"/>
      <c r="CE69" s="933"/>
      <c r="CF69" s="933"/>
      <c r="CG69" s="24"/>
    </row>
    <row r="70" spans="1:85" s="582" customFormat="1" x14ac:dyDescent="0.3">
      <c r="A70" s="201" t="s">
        <v>418</v>
      </c>
      <c r="B70" s="256"/>
      <c r="C70" s="1145"/>
      <c r="D70" s="1145"/>
      <c r="E70" s="1145"/>
      <c r="F70" s="1145"/>
      <c r="G70" s="202">
        <f t="shared" ref="G70:AO70" si="27">G71-G69</f>
      </c>
      <c r="H70" s="202">
        <f t="shared" si="27"/>
      </c>
      <c r="I70" s="202">
        <f t="shared" si="27"/>
      </c>
      <c r="J70" s="202">
        <f t="shared" si="27"/>
      </c>
      <c r="K70" s="954">
        <f t="shared" si="27"/>
      </c>
      <c r="L70" s="202">
        <f t="shared" si="27"/>
      </c>
      <c r="M70" s="202">
        <f t="shared" si="27"/>
      </c>
      <c r="N70" s="202">
        <f t="shared" si="27"/>
      </c>
      <c r="O70" s="202">
        <f t="shared" si="27"/>
      </c>
      <c r="P70" s="954">
        <f t="shared" si="27"/>
      </c>
      <c r="Q70" s="202">
        <f t="shared" si="27"/>
      </c>
      <c r="R70" s="202">
        <f t="shared" si="27"/>
      </c>
      <c r="S70" s="202">
        <f t="shared" si="27"/>
      </c>
      <c r="T70" s="202">
        <f t="shared" si="27"/>
      </c>
      <c r="U70" s="954">
        <f t="shared" si="27"/>
      </c>
      <c r="V70" s="202">
        <f t="shared" si="27"/>
      </c>
      <c r="W70" s="202">
        <f t="shared" si="27"/>
      </c>
      <c r="X70" s="202">
        <f t="shared" si="27"/>
      </c>
      <c r="Y70" s="202">
        <f t="shared" si="27"/>
      </c>
      <c r="Z70" s="954">
        <f t="shared" si="27"/>
      </c>
      <c r="AA70" s="202">
        <f t="shared" si="27"/>
      </c>
      <c r="AB70" s="202">
        <f t="shared" si="27"/>
      </c>
      <c r="AC70" s="202">
        <f t="shared" si="27"/>
      </c>
      <c r="AD70" s="202">
        <f t="shared" si="27"/>
      </c>
      <c r="AE70" s="954">
        <f t="shared" si="27"/>
      </c>
      <c r="AF70" s="202">
        <f t="shared" si="27"/>
      </c>
      <c r="AG70" s="202">
        <f t="shared" si="27"/>
      </c>
      <c r="AH70" s="202">
        <f t="shared" si="27"/>
      </c>
      <c r="AI70" s="202">
        <f t="shared" si="27"/>
      </c>
      <c r="AJ70" s="954">
        <f t="shared" si="27"/>
      </c>
      <c r="AK70" s="202">
        <f t="shared" si="27"/>
      </c>
      <c r="AL70" s="202">
        <f t="shared" si="27"/>
      </c>
      <c r="AM70" s="202">
        <f t="shared" si="27"/>
      </c>
      <c r="AN70" s="202">
        <f t="shared" si="27"/>
      </c>
      <c r="AO70" s="954">
        <f t="shared" si="27"/>
      </c>
      <c r="AP70" s="247"/>
      <c r="AQ70" s="247"/>
      <c r="AR70" s="247"/>
      <c r="AS70" s="247"/>
      <c r="AT70" s="953"/>
      <c r="AU70" s="247"/>
      <c r="AV70" s="247"/>
      <c r="AW70" s="247"/>
      <c r="AX70" s="247"/>
      <c r="AY70" s="953"/>
      <c r="AZ70" s="247"/>
      <c r="BA70" s="247"/>
      <c r="BB70" s="247"/>
      <c r="BC70" s="247"/>
      <c r="BD70" s="953"/>
      <c r="BE70" s="247"/>
      <c r="BF70" s="247"/>
      <c r="BG70" s="247"/>
      <c r="BH70" s="247"/>
      <c r="BI70" s="953"/>
      <c r="BJ70" s="247"/>
      <c r="BK70" s="247"/>
      <c r="BL70" s="247"/>
      <c r="BM70" s="247"/>
      <c r="BN70" s="953"/>
      <c r="BO70" s="247"/>
      <c r="BP70" s="247"/>
      <c r="BQ70" s="247"/>
      <c r="BR70" s="247"/>
      <c r="BS70" s="953"/>
      <c r="BT70" s="497"/>
      <c r="BU70" s="247"/>
      <c r="BV70" s="247"/>
      <c r="BW70" s="247"/>
      <c r="BX70" s="953"/>
      <c r="BY70" s="247"/>
      <c r="BZ70" s="247"/>
      <c r="CA70" s="247"/>
      <c r="CB70" s="247"/>
      <c r="CC70" s="953"/>
      <c r="CD70" s="953"/>
      <c r="CE70" s="953"/>
      <c r="CF70" s="953"/>
      <c r="CG70" s="24"/>
    </row>
    <row r="71" spans="1:85" s="581" customFormat="1" x14ac:dyDescent="0.3">
      <c r="A71" s="189" t="s">
        <v>419</v>
      </c>
      <c r="B71" s="243"/>
      <c r="C71" s="1140"/>
      <c r="D71" s="1140"/>
      <c r="E71" s="1140"/>
      <c r="F71" s="1141">
        <v>8049</v>
      </c>
      <c r="G71" s="1135">
        <v>7827</v>
      </c>
      <c r="H71" s="1135">
        <v>7369</v>
      </c>
      <c r="I71" s="1135">
        <v>7148</v>
      </c>
      <c r="J71" s="190">
        <f>K71</f>
      </c>
      <c r="K71" s="1141">
        <v>6765</v>
      </c>
      <c r="L71" s="1135">
        <v>6509</v>
      </c>
      <c r="M71" s="1135">
        <v>6167</v>
      </c>
      <c r="N71" s="1135">
        <v>5899</v>
      </c>
      <c r="O71" s="190">
        <f>P71</f>
      </c>
      <c r="P71" s="1141">
        <v>5668</v>
      </c>
      <c r="Q71" s="1135">
        <v>5470</v>
      </c>
      <c r="R71" s="1135">
        <v>5219</v>
      </c>
      <c r="S71" s="1135">
        <v>4971</v>
      </c>
      <c r="T71" s="851">
        <v>4787</v>
      </c>
      <c r="U71" s="1141">
        <v>4787</v>
      </c>
      <c r="V71" s="1135">
        <v>4647</v>
      </c>
      <c r="W71" s="1135">
        <v>4435</v>
      </c>
      <c r="X71" s="1135">
        <v>4194</v>
      </c>
      <c r="Y71" s="203">
        <f>Z71</f>
      </c>
      <c r="Z71" s="1141">
        <v>4029</v>
      </c>
      <c r="AA71" s="1135">
        <v>3867</v>
      </c>
      <c r="AB71" s="1135">
        <v>3692</v>
      </c>
      <c r="AC71" s="1135">
        <v>3520</v>
      </c>
      <c r="AD71" s="203">
        <f>AE71</f>
      </c>
      <c r="AE71" s="1141">
        <v>3330</v>
      </c>
      <c r="AF71" s="1135">
        <v>3138</v>
      </c>
      <c r="AG71" s="1135">
        <v>2971</v>
      </c>
      <c r="AH71" s="1135">
        <v>2828</v>
      </c>
      <c r="AI71" s="203">
        <f>AJ71</f>
      </c>
      <c r="AJ71" s="1141">
        <v>2706</v>
      </c>
      <c r="AK71" s="1135">
        <v>2565</v>
      </c>
      <c r="AL71" s="1135">
        <v>2411</v>
      </c>
      <c r="AM71" s="1135">
        <v>2276</v>
      </c>
      <c r="AN71" s="203">
        <f>AO71</f>
      </c>
      <c r="AO71" s="1141">
        <v>2153</v>
      </c>
      <c r="AP71" s="215"/>
      <c r="AQ71" s="215"/>
      <c r="AR71" s="215"/>
      <c r="AS71" s="203"/>
      <c r="AT71" s="1140"/>
      <c r="AU71" s="215"/>
      <c r="AV71" s="215"/>
      <c r="AW71" s="215"/>
      <c r="AX71" s="203"/>
      <c r="AY71" s="1140"/>
      <c r="AZ71" s="215"/>
      <c r="BA71" s="203"/>
      <c r="BB71" s="203"/>
      <c r="BC71" s="203"/>
      <c r="BD71" s="1140"/>
      <c r="BE71" s="215"/>
      <c r="BF71" s="203"/>
      <c r="BG71" s="203"/>
      <c r="BH71" s="203"/>
      <c r="BI71" s="1140"/>
      <c r="BJ71" s="215"/>
      <c r="BK71" s="203"/>
      <c r="BL71" s="203"/>
      <c r="BM71" s="203"/>
      <c r="BN71" s="1140"/>
      <c r="BO71" s="215"/>
      <c r="BP71" s="203"/>
      <c r="BQ71" s="203"/>
      <c r="BR71" s="203"/>
      <c r="BS71" s="1140"/>
      <c r="BT71" s="661"/>
      <c r="BU71" s="203"/>
      <c r="BV71" s="203"/>
      <c r="BW71" s="203"/>
      <c r="BX71" s="1140"/>
      <c r="BY71" s="203"/>
      <c r="BZ71" s="203"/>
      <c r="CA71" s="203"/>
      <c r="CB71" s="203"/>
      <c r="CC71" s="1140"/>
      <c r="CD71" s="1140"/>
      <c r="CE71" s="1140"/>
      <c r="CF71" s="1140"/>
      <c r="CG71" s="24"/>
    </row>
    <row r="72" spans="1:85" s="582" customFormat="1" x14ac:dyDescent="0.3">
      <c r="A72" s="188" t="s">
        <v>420</v>
      </c>
      <c r="B72" s="245"/>
      <c r="C72" s="933"/>
      <c r="D72" s="933"/>
      <c r="E72" s="933"/>
      <c r="F72" s="931"/>
      <c r="G72" s="628">
        <f t="shared" ref="G72:AO72" si="28">AVERAGE(G69,G71)</f>
      </c>
      <c r="H72" s="628">
        <f t="shared" si="28"/>
      </c>
      <c r="I72" s="628">
        <f t="shared" si="28"/>
      </c>
      <c r="J72" s="628">
        <f t="shared" si="28"/>
      </c>
      <c r="K72" s="1081">
        <f t="shared" si="28"/>
      </c>
      <c r="L72" s="628">
        <f t="shared" si="28"/>
      </c>
      <c r="M72" s="628">
        <f t="shared" si="28"/>
      </c>
      <c r="N72" s="628">
        <f t="shared" si="28"/>
      </c>
      <c r="O72" s="628">
        <f t="shared" si="28"/>
      </c>
      <c r="P72" s="1081">
        <f t="shared" si="28"/>
      </c>
      <c r="Q72" s="628">
        <f t="shared" si="28"/>
      </c>
      <c r="R72" s="628">
        <f t="shared" si="28"/>
      </c>
      <c r="S72" s="628">
        <f t="shared" si="28"/>
      </c>
      <c r="T72" s="628">
        <f t="shared" si="28"/>
      </c>
      <c r="U72" s="1081">
        <f t="shared" si="28"/>
      </c>
      <c r="V72" s="24">
        <f t="shared" si="28"/>
      </c>
      <c r="W72" s="24">
        <f t="shared" si="28"/>
      </c>
      <c r="X72" s="628">
        <f t="shared" si="28"/>
      </c>
      <c r="Y72" s="24">
        <f t="shared" si="28"/>
      </c>
      <c r="Z72" s="934">
        <f t="shared" si="28"/>
      </c>
      <c r="AA72" s="24">
        <f t="shared" si="28"/>
      </c>
      <c r="AB72" s="24">
        <f t="shared" si="28"/>
      </c>
      <c r="AC72" s="628">
        <f t="shared" si="28"/>
      </c>
      <c r="AD72" s="24">
        <f t="shared" si="28"/>
      </c>
      <c r="AE72" s="934">
        <f t="shared" si="28"/>
      </c>
      <c r="AF72" s="24">
        <f t="shared" si="28"/>
      </c>
      <c r="AG72" s="24">
        <f t="shared" si="28"/>
      </c>
      <c r="AH72" s="628">
        <f t="shared" si="28"/>
      </c>
      <c r="AI72" s="24">
        <f t="shared" si="28"/>
      </c>
      <c r="AJ72" s="934">
        <f t="shared" si="28"/>
      </c>
      <c r="AK72" s="24">
        <f t="shared" si="28"/>
      </c>
      <c r="AL72" s="24">
        <f t="shared" si="28"/>
      </c>
      <c r="AM72" s="628">
        <f t="shared" si="28"/>
      </c>
      <c r="AN72" s="24">
        <f t="shared" si="28"/>
      </c>
      <c r="AO72" s="934">
        <f t="shared" si="28"/>
      </c>
      <c r="AP72" s="200"/>
      <c r="AQ72" s="200"/>
      <c r="AR72" s="215"/>
      <c r="AS72" s="200"/>
      <c r="AT72" s="933"/>
      <c r="AU72" s="200"/>
      <c r="AV72" s="200"/>
      <c r="AW72" s="215"/>
      <c r="AX72" s="200"/>
      <c r="AY72" s="933"/>
      <c r="AZ72" s="200"/>
      <c r="BA72" s="200"/>
      <c r="BB72" s="200"/>
      <c r="BC72" s="200"/>
      <c r="BD72" s="933"/>
      <c r="BE72" s="200"/>
      <c r="BF72" s="200"/>
      <c r="BG72" s="200"/>
      <c r="BH72" s="200"/>
      <c r="BI72" s="933"/>
      <c r="BJ72" s="200"/>
      <c r="BK72" s="200"/>
      <c r="BL72" s="200"/>
      <c r="BM72" s="200"/>
      <c r="BN72" s="933"/>
      <c r="BO72" s="200"/>
      <c r="BP72" s="200"/>
      <c r="BQ72" s="200"/>
      <c r="BR72" s="200"/>
      <c r="BS72" s="933"/>
      <c r="BT72" s="295"/>
      <c r="BU72" s="200"/>
      <c r="BV72" s="200"/>
      <c r="BW72" s="200"/>
      <c r="BX72" s="933"/>
      <c r="BY72" s="200"/>
      <c r="BZ72" s="200"/>
      <c r="CA72" s="200"/>
      <c r="CB72" s="200"/>
      <c r="CC72" s="933"/>
      <c r="CD72" s="933"/>
      <c r="CE72" s="933"/>
      <c r="CF72" s="933"/>
      <c r="CG72" s="24"/>
    </row>
    <row r="73" spans="1:85" s="582" customFormat="1" x14ac:dyDescent="0.3">
      <c r="A73" s="244"/>
      <c r="B73" s="245"/>
      <c r="C73" s="933"/>
      <c r="D73" s="933"/>
      <c r="E73" s="933"/>
      <c r="F73" s="931"/>
      <c r="G73" s="215"/>
      <c r="H73" s="215"/>
      <c r="I73" s="215"/>
      <c r="J73" s="215"/>
      <c r="K73" s="931"/>
      <c r="L73" s="215"/>
      <c r="M73" s="215"/>
      <c r="N73" s="215"/>
      <c r="O73" s="215"/>
      <c r="P73" s="931"/>
      <c r="Q73" s="215"/>
      <c r="R73" s="215"/>
      <c r="S73" s="215"/>
      <c r="T73" s="215"/>
      <c r="U73" s="931"/>
      <c r="V73" s="200"/>
      <c r="W73" s="200"/>
      <c r="X73" s="215"/>
      <c r="Y73" s="200"/>
      <c r="Z73" s="933"/>
      <c r="AA73" s="200"/>
      <c r="AB73" s="200"/>
      <c r="AC73" s="215"/>
      <c r="AD73" s="200"/>
      <c r="AE73" s="933"/>
      <c r="AF73" s="200"/>
      <c r="AG73" s="200"/>
      <c r="AH73" s="215"/>
      <c r="AI73" s="200"/>
      <c r="AJ73" s="933"/>
      <c r="AK73" s="200"/>
      <c r="AL73" s="200"/>
      <c r="AM73" s="215"/>
      <c r="AN73" s="200"/>
      <c r="AO73" s="933"/>
      <c r="AP73" s="200"/>
      <c r="AQ73" s="200"/>
      <c r="AR73" s="215"/>
      <c r="AS73" s="200"/>
      <c r="AT73" s="933"/>
      <c r="AU73" s="200"/>
      <c r="AV73" s="200"/>
      <c r="AW73" s="215"/>
      <c r="AX73" s="200"/>
      <c r="AY73" s="933"/>
      <c r="AZ73" s="200"/>
      <c r="BA73" s="200"/>
      <c r="BB73" s="200"/>
      <c r="BC73" s="200"/>
      <c r="BD73" s="933"/>
      <c r="BE73" s="200"/>
      <c r="BF73" s="200"/>
      <c r="BG73" s="200"/>
      <c r="BH73" s="200"/>
      <c r="BI73" s="933"/>
      <c r="BJ73" s="200"/>
      <c r="BK73" s="200"/>
      <c r="BL73" s="200"/>
      <c r="BM73" s="200"/>
      <c r="BN73" s="933"/>
      <c r="BO73" s="200"/>
      <c r="BP73" s="200"/>
      <c r="BQ73" s="200"/>
      <c r="BR73" s="200"/>
      <c r="BS73" s="933"/>
      <c r="BT73" s="295"/>
      <c r="BU73" s="200"/>
      <c r="BV73" s="200"/>
      <c r="BW73" s="200"/>
      <c r="BX73" s="933"/>
      <c r="BY73" s="200"/>
      <c r="BZ73" s="200"/>
      <c r="CA73" s="200"/>
      <c r="CB73" s="200"/>
      <c r="CC73" s="933"/>
      <c r="CD73" s="933"/>
      <c r="CE73" s="933"/>
      <c r="CF73" s="933"/>
      <c r="CG73" s="24"/>
    </row>
    <row r="74" spans="1:85" customFormat="1" x14ac:dyDescent="0.3">
      <c r="A74" s="62" t="s">
        <v>615</v>
      </c>
      <c r="B74" s="248"/>
      <c r="C74" s="957"/>
      <c r="D74" s="957"/>
      <c r="E74" s="957"/>
      <c r="F74" s="957"/>
      <c r="G74" s="18">
        <f>G30*1000/G72/3</f>
      </c>
      <c r="H74" s="18">
        <f t="shared" ref="H74:J74" si="29">H30*1000/H72/3</f>
      </c>
      <c r="I74" s="18">
        <f t="shared" si="29"/>
      </c>
      <c r="J74" s="18">
        <f t="shared" si="29"/>
      </c>
      <c r="K74" s="958">
        <f>AVERAGE(G74,H74,I74,J74)</f>
      </c>
      <c r="L74" s="18">
        <f>L30*1000/L72/3</f>
      </c>
      <c r="M74" s="18">
        <f t="shared" ref="M74:O74" si="30">M30*1000/M72/3</f>
      </c>
      <c r="N74" s="18">
        <f t="shared" si="30"/>
      </c>
      <c r="O74" s="18">
        <f t="shared" si="30"/>
      </c>
      <c r="P74" s="958">
        <f>AVERAGE(L74,M74,N74,O74)</f>
      </c>
      <c r="Q74" s="18">
        <f>Q30*1000/Q72/3</f>
      </c>
      <c r="R74" s="18">
        <f t="shared" ref="R74:T74" si="31">R30*1000/R72/3</f>
      </c>
      <c r="S74" s="18">
        <f t="shared" si="31"/>
      </c>
      <c r="T74" s="18">
        <f t="shared" si="31"/>
      </c>
      <c r="U74" s="958">
        <f>AVERAGE(Q74,R74,S74,T74)</f>
      </c>
      <c r="V74" s="18">
        <f>V30*1000/V72/3</f>
      </c>
      <c r="W74" s="18">
        <f t="shared" ref="W74:Y74" si="32">W30*1000/W72/3</f>
      </c>
      <c r="X74" s="18">
        <f t="shared" si="32"/>
      </c>
      <c r="Y74" s="18">
        <f t="shared" si="32"/>
      </c>
      <c r="Z74" s="958">
        <f>AVERAGE(V74,W74,X74,Y74)</f>
      </c>
      <c r="AA74" s="18">
        <f>AA30*1000/AA72/3</f>
      </c>
      <c r="AB74" s="18">
        <f t="shared" ref="AB74:AD74" si="33">AB30*1000/AB72/3</f>
      </c>
      <c r="AC74" s="18">
        <f t="shared" si="33"/>
      </c>
      <c r="AD74" s="18">
        <f t="shared" si="33"/>
      </c>
      <c r="AE74" s="958">
        <f>AVERAGE(AA74,AB74,AC74,AD74)</f>
      </c>
      <c r="AF74" s="18">
        <f>AF30*1000/AF72/3</f>
      </c>
      <c r="AG74" s="18">
        <f t="shared" ref="AG74:AI74" si="34">AG30*1000/AG72/3</f>
      </c>
      <c r="AH74" s="18">
        <f t="shared" si="34"/>
      </c>
      <c r="AI74" s="18">
        <f t="shared" si="34"/>
      </c>
      <c r="AJ74" s="958">
        <f>AVERAGE(AF74,AG74,AH74,AI74)</f>
      </c>
      <c r="AK74" s="18">
        <f>AK30*1000/AK72/3</f>
      </c>
      <c r="AL74" s="18">
        <f t="shared" ref="AL74:AN74" si="35">AL30*1000/AL72/3</f>
      </c>
      <c r="AM74" s="18">
        <f t="shared" si="35"/>
      </c>
      <c r="AN74" s="18">
        <f t="shared" si="35"/>
      </c>
      <c r="AO74" s="958">
        <f>AVERAGE(AK74,AL74,AM74,AN74)</f>
      </c>
      <c r="AP74" s="234"/>
      <c r="AQ74" s="234"/>
      <c r="AR74" s="234"/>
      <c r="AS74" s="234"/>
      <c r="AT74" s="957"/>
      <c r="AU74" s="234"/>
      <c r="AV74" s="234"/>
      <c r="AW74" s="234"/>
      <c r="AX74" s="234"/>
      <c r="AY74" s="957"/>
      <c r="AZ74" s="234"/>
      <c r="BA74" s="234"/>
      <c r="BB74" s="234"/>
      <c r="BC74" s="234"/>
      <c r="BD74" s="957"/>
      <c r="BE74" s="234"/>
      <c r="BF74" s="234"/>
      <c r="BG74" s="234"/>
      <c r="BH74" s="234"/>
      <c r="BI74" s="957"/>
      <c r="BJ74" s="234"/>
      <c r="BK74" s="234"/>
      <c r="BL74" s="234"/>
      <c r="BM74" s="234"/>
      <c r="BN74" s="957"/>
      <c r="BO74" s="234"/>
      <c r="BP74" s="234"/>
      <c r="BQ74" s="234"/>
      <c r="BR74" s="234"/>
      <c r="BS74" s="957"/>
      <c r="BT74" s="672"/>
      <c r="BU74" s="234"/>
      <c r="BV74" s="234"/>
      <c r="BW74" s="234"/>
      <c r="BX74" s="957"/>
      <c r="BY74" s="234"/>
      <c r="BZ74" s="234"/>
      <c r="CA74" s="234"/>
      <c r="CB74" s="234"/>
      <c r="CC74" s="957"/>
      <c r="CD74" s="957"/>
      <c r="CE74" s="957"/>
      <c r="CF74" s="957"/>
      <c r="CG74" s="18"/>
    </row>
    <row r="75" spans="1:85" s="583" customFormat="1" x14ac:dyDescent="0.3">
      <c r="A75" s="317" t="s">
        <v>616</v>
      </c>
      <c r="B75" s="305"/>
      <c r="C75" s="936"/>
      <c r="D75" s="936"/>
      <c r="E75" s="936"/>
      <c r="F75" s="936"/>
      <c r="G75" s="446"/>
      <c r="H75" s="446"/>
      <c r="I75" s="446"/>
      <c r="J75" s="446"/>
      <c r="K75" s="936"/>
      <c r="L75" s="446">
        <f t="shared" ref="L75:AO75" si="36">+L74/G74-1</f>
      </c>
      <c r="M75" s="446">
        <f t="shared" si="36"/>
      </c>
      <c r="N75" s="446">
        <f t="shared" si="36"/>
      </c>
      <c r="O75" s="446">
        <f t="shared" si="36"/>
      </c>
      <c r="P75" s="936">
        <f t="shared" si="36"/>
      </c>
      <c r="Q75" s="446">
        <f t="shared" si="36"/>
      </c>
      <c r="R75" s="446">
        <f t="shared" si="36"/>
      </c>
      <c r="S75" s="446">
        <f t="shared" si="36"/>
      </c>
      <c r="T75" s="446">
        <f t="shared" si="36"/>
      </c>
      <c r="U75" s="936">
        <f t="shared" si="36"/>
      </c>
      <c r="V75" s="446">
        <f t="shared" si="36"/>
      </c>
      <c r="W75" s="446">
        <f t="shared" si="36"/>
      </c>
      <c r="X75" s="446">
        <f t="shared" si="36"/>
      </c>
      <c r="Y75" s="446">
        <f t="shared" si="36"/>
      </c>
      <c r="Z75" s="936">
        <f t="shared" si="36"/>
      </c>
      <c r="AA75" s="446">
        <f t="shared" si="36"/>
      </c>
      <c r="AB75" s="446">
        <f t="shared" si="36"/>
      </c>
      <c r="AC75" s="446">
        <f t="shared" si="36"/>
      </c>
      <c r="AD75" s="446">
        <f t="shared" si="36"/>
      </c>
      <c r="AE75" s="936">
        <f t="shared" si="36"/>
      </c>
      <c r="AF75" s="446">
        <f t="shared" si="36"/>
      </c>
      <c r="AG75" s="446">
        <f t="shared" si="36"/>
      </c>
      <c r="AH75" s="446">
        <f t="shared" si="36"/>
      </c>
      <c r="AI75" s="446">
        <f t="shared" si="36"/>
      </c>
      <c r="AJ75" s="936">
        <f t="shared" si="36"/>
      </c>
      <c r="AK75" s="446">
        <f t="shared" si="36"/>
      </c>
      <c r="AL75" s="446">
        <f t="shared" si="36"/>
      </c>
      <c r="AM75" s="446">
        <f t="shared" si="36"/>
      </c>
      <c r="AN75" s="446">
        <f t="shared" si="36"/>
      </c>
      <c r="AO75" s="936">
        <f t="shared" si="36"/>
      </c>
      <c r="AP75" s="446"/>
      <c r="AQ75" s="446"/>
      <c r="AR75" s="446"/>
      <c r="AS75" s="446"/>
      <c r="AT75" s="936"/>
      <c r="AU75" s="446"/>
      <c r="AV75" s="446"/>
      <c r="AW75" s="446"/>
      <c r="AX75" s="446"/>
      <c r="AY75" s="936"/>
      <c r="AZ75" s="446"/>
      <c r="BA75" s="446"/>
      <c r="BB75" s="446"/>
      <c r="BC75" s="446"/>
      <c r="BD75" s="936"/>
      <c r="BE75" s="446"/>
      <c r="BF75" s="446"/>
      <c r="BG75" s="446"/>
      <c r="BH75" s="446"/>
      <c r="BI75" s="936"/>
      <c r="BJ75" s="446"/>
      <c r="BK75" s="446"/>
      <c r="BL75" s="446"/>
      <c r="BM75" s="446"/>
      <c r="BN75" s="936"/>
      <c r="BO75" s="446"/>
      <c r="BP75" s="446"/>
      <c r="BQ75" s="446"/>
      <c r="BR75" s="446"/>
      <c r="BS75" s="936"/>
      <c r="BT75" s="665"/>
      <c r="BU75" s="446"/>
      <c r="BV75" s="446"/>
      <c r="BW75" s="446"/>
      <c r="BX75" s="936"/>
      <c r="BY75" s="446"/>
      <c r="BZ75" s="446"/>
      <c r="CA75" s="446"/>
      <c r="CB75" s="446"/>
      <c r="CC75" s="936"/>
      <c r="CD75" s="936"/>
      <c r="CE75" s="936"/>
      <c r="CF75" s="936"/>
      <c r="CG75" s="308"/>
    </row>
    <row r="76" spans="1:85" s="582" customFormat="1" x14ac:dyDescent="0.3">
      <c r="A76" s="255"/>
      <c r="B76" s="242"/>
      <c r="C76" s="950"/>
      <c r="D76" s="950"/>
      <c r="E76" s="950"/>
      <c r="F76" s="956"/>
      <c r="G76" s="257"/>
      <c r="H76" s="257"/>
      <c r="I76" s="257"/>
      <c r="J76" s="257"/>
      <c r="K76" s="956"/>
      <c r="L76" s="257"/>
      <c r="M76" s="257"/>
      <c r="N76" s="257"/>
      <c r="O76" s="257"/>
      <c r="P76" s="956"/>
      <c r="Q76" s="257"/>
      <c r="R76" s="257"/>
      <c r="S76" s="257"/>
      <c r="T76" s="257"/>
      <c r="U76" s="956"/>
      <c r="V76" s="204"/>
      <c r="W76" s="204"/>
      <c r="X76" s="257"/>
      <c r="Y76" s="204"/>
      <c r="Z76" s="950"/>
      <c r="AA76" s="204"/>
      <c r="AB76" s="204"/>
      <c r="AC76" s="257"/>
      <c r="AD76" s="204"/>
      <c r="AE76" s="950"/>
      <c r="AF76" s="204"/>
      <c r="AG76" s="204"/>
      <c r="AH76" s="257"/>
      <c r="AI76" s="204"/>
      <c r="AJ76" s="950"/>
      <c r="AK76" s="204"/>
      <c r="AL76" s="204"/>
      <c r="AM76" s="257"/>
      <c r="AN76" s="204"/>
      <c r="AO76" s="950"/>
      <c r="AP76" s="204"/>
      <c r="AQ76" s="204"/>
      <c r="AR76" s="257"/>
      <c r="AS76" s="204"/>
      <c r="AT76" s="950"/>
      <c r="AU76" s="204"/>
      <c r="AV76" s="204"/>
      <c r="AW76" s="257"/>
      <c r="AX76" s="204"/>
      <c r="AY76" s="950"/>
      <c r="AZ76" s="204"/>
      <c r="BA76" s="204"/>
      <c r="BB76" s="204"/>
      <c r="BC76" s="204"/>
      <c r="BD76" s="950"/>
      <c r="BE76" s="204"/>
      <c r="BF76" s="204"/>
      <c r="BG76" s="204"/>
      <c r="BH76" s="204"/>
      <c r="BI76" s="950"/>
      <c r="BJ76" s="204"/>
      <c r="BK76" s="204"/>
      <c r="BL76" s="204"/>
      <c r="BM76" s="204"/>
      <c r="BN76" s="950"/>
      <c r="BO76" s="204"/>
      <c r="BP76" s="204"/>
      <c r="BQ76" s="204"/>
      <c r="BR76" s="204"/>
      <c r="BS76" s="950"/>
      <c r="BT76" s="294"/>
      <c r="BU76" s="204"/>
      <c r="BV76" s="204"/>
      <c r="BW76" s="204"/>
      <c r="BX76" s="950"/>
      <c r="BY76" s="204"/>
      <c r="BZ76" s="204"/>
      <c r="CA76" s="204"/>
      <c r="CB76" s="204"/>
      <c r="CC76" s="950"/>
      <c r="CD76" s="950"/>
      <c r="CE76" s="950"/>
      <c r="CF76" s="950"/>
      <c r="CG76" s="131"/>
    </row>
    <row r="77" spans="1:85" s="582" customFormat="1" x14ac:dyDescent="0.3">
      <c r="A77" s="130" t="s">
        <v>421</v>
      </c>
      <c r="B77" s="242"/>
      <c r="C77" s="950"/>
      <c r="D77" s="950"/>
      <c r="E77" s="950"/>
      <c r="F77" s="956"/>
      <c r="G77" s="257"/>
      <c r="H77" s="257"/>
      <c r="I77" s="257"/>
      <c r="J77" s="257"/>
      <c r="K77" s="956"/>
      <c r="L77" s="257"/>
      <c r="M77" s="257"/>
      <c r="N77" s="257"/>
      <c r="O77" s="257"/>
      <c r="P77" s="956"/>
      <c r="Q77" s="257"/>
      <c r="R77" s="257"/>
      <c r="S77" s="257"/>
      <c r="T77" s="257"/>
      <c r="U77" s="956"/>
      <c r="V77" s="204"/>
      <c r="W77" s="204"/>
      <c r="X77" s="257"/>
      <c r="Y77" s="204"/>
      <c r="Z77" s="950"/>
      <c r="AA77" s="204"/>
      <c r="AB77" s="204"/>
      <c r="AC77" s="257"/>
      <c r="AD77" s="204"/>
      <c r="AE77" s="951">
        <v>1940</v>
      </c>
      <c r="AF77" s="850">
        <v>1618</v>
      </c>
      <c r="AG77" s="850">
        <v>1420</v>
      </c>
      <c r="AH77" s="850">
        <v>1507</v>
      </c>
      <c r="AI77" s="850">
        <v>2065</v>
      </c>
      <c r="AJ77" s="952">
        <f>+AI77</f>
      </c>
      <c r="AK77" s="850">
        <v>1563</v>
      </c>
      <c r="AL77" s="850">
        <v>1575</v>
      </c>
      <c r="AM77" s="850">
        <v>1375</v>
      </c>
      <c r="AN77" s="850">
        <v>1405</v>
      </c>
      <c r="AO77" s="952">
        <f>AN77</f>
      </c>
      <c r="AP77" s="204"/>
      <c r="AQ77" s="204"/>
      <c r="AR77" s="204"/>
      <c r="AS77" s="204"/>
      <c r="AT77" s="950"/>
      <c r="AU77" s="204"/>
      <c r="AV77" s="204"/>
      <c r="AW77" s="204"/>
      <c r="AX77" s="204"/>
      <c r="AY77" s="950"/>
      <c r="AZ77" s="204"/>
      <c r="BA77" s="204"/>
      <c r="BB77" s="204"/>
      <c r="BC77" s="204"/>
      <c r="BD77" s="950"/>
      <c r="BE77" s="204"/>
      <c r="BF77" s="204"/>
      <c r="BG77" s="204"/>
      <c r="BH77" s="204"/>
      <c r="BI77" s="950"/>
      <c r="BJ77" s="204"/>
      <c r="BK77" s="204"/>
      <c r="BL77" s="204"/>
      <c r="BM77" s="204"/>
      <c r="BN77" s="950"/>
      <c r="BO77" s="204"/>
      <c r="BP77" s="204"/>
      <c r="BQ77" s="204"/>
      <c r="BR77" s="204"/>
      <c r="BS77" s="950"/>
      <c r="BT77" s="294"/>
      <c r="BU77" s="204"/>
      <c r="BV77" s="204"/>
      <c r="BW77" s="204"/>
      <c r="BX77" s="950"/>
      <c r="BY77" s="204"/>
      <c r="BZ77" s="204"/>
      <c r="CA77" s="204"/>
      <c r="CB77" s="204"/>
      <c r="CC77" s="950"/>
      <c r="CD77" s="950"/>
      <c r="CE77" s="950"/>
      <c r="CF77" s="950"/>
      <c r="CG77" s="131"/>
    </row>
    <row r="78" spans="1:85" s="582" customFormat="1" x14ac:dyDescent="0.3">
      <c r="A78" s="130" t="s">
        <v>422</v>
      </c>
      <c r="B78" s="242"/>
      <c r="C78" s="950"/>
      <c r="D78" s="950"/>
      <c r="E78" s="950"/>
      <c r="F78" s="956"/>
      <c r="G78" s="257"/>
      <c r="H78" s="257"/>
      <c r="I78" s="257"/>
      <c r="J78" s="257"/>
      <c r="K78" s="956"/>
      <c r="L78" s="257"/>
      <c r="M78" s="257"/>
      <c r="N78" s="257"/>
      <c r="O78" s="257"/>
      <c r="P78" s="956"/>
      <c r="Q78" s="257"/>
      <c r="R78" s="257"/>
      <c r="S78" s="257"/>
      <c r="T78" s="257"/>
      <c r="U78" s="956"/>
      <c r="V78" s="204"/>
      <c r="W78" s="204"/>
      <c r="X78" s="257"/>
      <c r="Y78" s="204"/>
      <c r="Z78" s="950"/>
      <c r="AA78" s="204"/>
      <c r="AB78" s="204"/>
      <c r="AC78" s="257"/>
      <c r="AD78" s="204"/>
      <c r="AE78" s="951">
        <v>4998</v>
      </c>
      <c r="AF78" s="850">
        <v>4475</v>
      </c>
      <c r="AG78" s="850">
        <v>4367</v>
      </c>
      <c r="AH78" s="850">
        <v>5170</v>
      </c>
      <c r="AI78" s="850">
        <v>7131</v>
      </c>
      <c r="AJ78" s="952">
        <f>+AI78</f>
      </c>
      <c r="AK78" s="850">
        <v>5003</v>
      </c>
      <c r="AL78" s="850">
        <v>4481</v>
      </c>
      <c r="AM78" s="850">
        <v>4215</v>
      </c>
      <c r="AN78" s="850">
        <v>3274</v>
      </c>
      <c r="AO78" s="952">
        <f>AN78</f>
      </c>
      <c r="AP78" s="204"/>
      <c r="AQ78" s="204"/>
      <c r="AR78" s="204"/>
      <c r="AS78" s="204"/>
      <c r="AT78" s="950"/>
      <c r="AU78" s="204"/>
      <c r="AV78" s="204"/>
      <c r="AW78" s="204"/>
      <c r="AX78" s="204"/>
      <c r="AY78" s="950"/>
      <c r="AZ78" s="204"/>
      <c r="BA78" s="204"/>
      <c r="BB78" s="204"/>
      <c r="BC78" s="204"/>
      <c r="BD78" s="950"/>
      <c r="BE78" s="204"/>
      <c r="BF78" s="204"/>
      <c r="BG78" s="204"/>
      <c r="BH78" s="204"/>
      <c r="BI78" s="950"/>
      <c r="BJ78" s="204"/>
      <c r="BK78" s="204"/>
      <c r="BL78" s="204"/>
      <c r="BM78" s="204"/>
      <c r="BN78" s="950"/>
      <c r="BO78" s="204"/>
      <c r="BP78" s="204"/>
      <c r="BQ78" s="204"/>
      <c r="BR78" s="204"/>
      <c r="BS78" s="950"/>
      <c r="BT78" s="294"/>
      <c r="BU78" s="204"/>
      <c r="BV78" s="204"/>
      <c r="BW78" s="204"/>
      <c r="BX78" s="950"/>
      <c r="BY78" s="204"/>
      <c r="BZ78" s="204"/>
      <c r="CA78" s="204"/>
      <c r="CB78" s="204"/>
      <c r="CC78" s="950"/>
      <c r="CD78" s="950"/>
      <c r="CE78" s="950"/>
      <c r="CF78" s="950"/>
      <c r="CG78" s="131"/>
    </row>
    <row r="79" spans="1:85" s="582" customFormat="1" x14ac:dyDescent="0.3">
      <c r="A79" s="130" t="s">
        <v>423</v>
      </c>
      <c r="B79" s="242"/>
      <c r="C79" s="950"/>
      <c r="D79" s="950"/>
      <c r="E79" s="950"/>
      <c r="F79" s="956"/>
      <c r="G79" s="257"/>
      <c r="H79" s="257"/>
      <c r="I79" s="257"/>
      <c r="J79" s="257"/>
      <c r="K79" s="956"/>
      <c r="L79" s="257"/>
      <c r="M79" s="257"/>
      <c r="N79" s="257"/>
      <c r="O79" s="257"/>
      <c r="P79" s="956"/>
      <c r="Q79" s="257"/>
      <c r="R79" s="257"/>
      <c r="S79" s="257"/>
      <c r="T79" s="257"/>
      <c r="U79" s="956"/>
      <c r="V79" s="204"/>
      <c r="W79" s="204"/>
      <c r="X79" s="257"/>
      <c r="Y79" s="204"/>
      <c r="Z79" s="950"/>
      <c r="AA79" s="204"/>
      <c r="AB79" s="204"/>
      <c r="AC79" s="257"/>
      <c r="AD79" s="204"/>
      <c r="AE79" s="951">
        <v>53</v>
      </c>
      <c r="AF79" s="850">
        <v>29</v>
      </c>
      <c r="AG79" s="850">
        <v>28</v>
      </c>
      <c r="AH79" s="850">
        <v>24</v>
      </c>
      <c r="AI79" s="850">
        <v>25</v>
      </c>
      <c r="AJ79" s="952">
        <f>+AI79</f>
      </c>
      <c r="AK79" s="850">
        <v>22</v>
      </c>
      <c r="AL79" s="850">
        <v>17</v>
      </c>
      <c r="AM79" s="850">
        <v>16</v>
      </c>
      <c r="AN79" s="850">
        <v>15</v>
      </c>
      <c r="AO79" s="952">
        <f>AN79</f>
      </c>
      <c r="AP79" s="204"/>
      <c r="AQ79" s="204"/>
      <c r="AR79" s="204"/>
      <c r="AS79" s="204"/>
      <c r="AT79" s="950"/>
      <c r="AU79" s="204"/>
      <c r="AV79" s="204"/>
      <c r="AW79" s="204"/>
      <c r="AX79" s="204"/>
      <c r="AY79" s="950"/>
      <c r="AZ79" s="204"/>
      <c r="BA79" s="204"/>
      <c r="BB79" s="204"/>
      <c r="BC79" s="204"/>
      <c r="BD79" s="950"/>
      <c r="BE79" s="204"/>
      <c r="BF79" s="204"/>
      <c r="BG79" s="204"/>
      <c r="BH79" s="204"/>
      <c r="BI79" s="950"/>
      <c r="BJ79" s="204"/>
      <c r="BK79" s="204"/>
      <c r="BL79" s="204"/>
      <c r="BM79" s="204"/>
      <c r="BN79" s="950"/>
      <c r="BO79" s="204"/>
      <c r="BP79" s="204"/>
      <c r="BQ79" s="204"/>
      <c r="BR79" s="204"/>
      <c r="BS79" s="950"/>
      <c r="BT79" s="294"/>
      <c r="BU79" s="204"/>
      <c r="BV79" s="204"/>
      <c r="BW79" s="204"/>
      <c r="BX79" s="950"/>
      <c r="BY79" s="204"/>
      <c r="BZ79" s="204"/>
      <c r="CA79" s="204"/>
      <c r="CB79" s="204"/>
      <c r="CC79" s="950"/>
      <c r="CD79" s="950"/>
      <c r="CE79" s="950"/>
      <c r="CF79" s="950"/>
      <c r="CG79" s="131"/>
    </row>
    <row r="80" spans="1:85" s="582" customFormat="1" x14ac:dyDescent="0.3">
      <c r="A80" s="189" t="s">
        <v>424</v>
      </c>
      <c r="B80" s="243"/>
      <c r="C80" s="1140"/>
      <c r="D80" s="1140"/>
      <c r="E80" s="1140"/>
      <c r="F80" s="1146"/>
      <c r="G80" s="258"/>
      <c r="H80" s="258"/>
      <c r="I80" s="258"/>
      <c r="J80" s="258"/>
      <c r="K80" s="1146"/>
      <c r="L80" s="258"/>
      <c r="M80" s="258"/>
      <c r="N80" s="258"/>
      <c r="O80" s="258"/>
      <c r="P80" s="1146"/>
      <c r="Q80" s="258"/>
      <c r="R80" s="258"/>
      <c r="S80" s="258"/>
      <c r="T80" s="258"/>
      <c r="U80" s="1146"/>
      <c r="V80" s="203"/>
      <c r="W80" s="203"/>
      <c r="X80" s="258"/>
      <c r="Y80" s="203"/>
      <c r="Z80" s="1140"/>
      <c r="AA80" s="203"/>
      <c r="AB80" s="203"/>
      <c r="AC80" s="258"/>
      <c r="AD80" s="203"/>
      <c r="AE80" s="1147">
        <f t="shared" ref="AE80:AO80" si="37">SUM(AE77:AE79)</f>
      </c>
      <c r="AF80" s="190">
        <f t="shared" si="37"/>
      </c>
      <c r="AG80" s="190">
        <f t="shared" si="37"/>
      </c>
      <c r="AH80" s="205">
        <f t="shared" si="37"/>
      </c>
      <c r="AI80" s="190">
        <f t="shared" si="37"/>
      </c>
      <c r="AJ80" s="1147">
        <f t="shared" si="37"/>
      </c>
      <c r="AK80" s="190">
        <f t="shared" si="37"/>
      </c>
      <c r="AL80" s="190">
        <f t="shared" si="37"/>
      </c>
      <c r="AM80" s="205">
        <f t="shared" si="37"/>
      </c>
      <c r="AN80" s="190">
        <f t="shared" si="37"/>
      </c>
      <c r="AO80" s="1147">
        <f t="shared" si="37"/>
      </c>
      <c r="AP80" s="203"/>
      <c r="AQ80" s="203"/>
      <c r="AR80" s="258"/>
      <c r="AS80" s="203"/>
      <c r="AT80" s="1140"/>
      <c r="AU80" s="203"/>
      <c r="AV80" s="203"/>
      <c r="AW80" s="258"/>
      <c r="AX80" s="203"/>
      <c r="AY80" s="1140"/>
      <c r="AZ80" s="203"/>
      <c r="BA80" s="203"/>
      <c r="BB80" s="203"/>
      <c r="BC80" s="203"/>
      <c r="BD80" s="1140"/>
      <c r="BE80" s="203"/>
      <c r="BF80" s="203"/>
      <c r="BG80" s="203"/>
      <c r="BH80" s="203"/>
      <c r="BI80" s="1140"/>
      <c r="BJ80" s="203"/>
      <c r="BK80" s="203"/>
      <c r="BL80" s="203"/>
      <c r="BM80" s="203"/>
      <c r="BN80" s="1140"/>
      <c r="BO80" s="203"/>
      <c r="BP80" s="203"/>
      <c r="BQ80" s="203"/>
      <c r="BR80" s="203"/>
      <c r="BS80" s="1140"/>
      <c r="BT80" s="732"/>
      <c r="BU80" s="203"/>
      <c r="BV80" s="203"/>
      <c r="BW80" s="203"/>
      <c r="BX80" s="1140"/>
      <c r="BY80" s="203"/>
      <c r="BZ80" s="203"/>
      <c r="CA80" s="203"/>
      <c r="CB80" s="203"/>
      <c r="CC80" s="1140"/>
      <c r="CD80" s="1140"/>
      <c r="CE80" s="1140"/>
      <c r="CF80" s="1140"/>
      <c r="CG80" s="24"/>
    </row>
    <row r="81" spans="1:85" s="614" customFormat="1" x14ac:dyDescent="0.3">
      <c r="A81" s="351"/>
      <c r="B81" s="352"/>
      <c r="C81" s="1094"/>
      <c r="D81" s="1094"/>
      <c r="E81" s="1094"/>
      <c r="F81" s="1094"/>
      <c r="G81" s="197"/>
      <c r="H81" s="197"/>
      <c r="I81" s="197"/>
      <c r="J81" s="197"/>
      <c r="K81" s="1094"/>
      <c r="L81" s="197"/>
      <c r="M81" s="197"/>
      <c r="N81" s="197"/>
      <c r="O81" s="197"/>
      <c r="P81" s="1094"/>
      <c r="Q81" s="197"/>
      <c r="R81" s="197"/>
      <c r="S81" s="197"/>
      <c r="T81" s="197"/>
      <c r="U81" s="1094"/>
      <c r="V81" s="197"/>
      <c r="W81" s="197"/>
      <c r="X81" s="197"/>
      <c r="Y81" s="197"/>
      <c r="Z81" s="1094"/>
      <c r="AA81" s="197"/>
      <c r="AB81" s="197"/>
      <c r="AC81" s="197"/>
      <c r="AD81" s="197"/>
      <c r="AE81" s="1094"/>
      <c r="AF81" s="197"/>
      <c r="AG81" s="197"/>
      <c r="AH81" s="197"/>
      <c r="AI81" s="197"/>
      <c r="AJ81" s="1094"/>
      <c r="AK81" s="197"/>
      <c r="AL81" s="197"/>
      <c r="AM81" s="197"/>
      <c r="AN81" s="197"/>
      <c r="AO81" s="1094"/>
      <c r="AP81" s="197"/>
      <c r="AQ81" s="197"/>
      <c r="AR81" s="197"/>
      <c r="AS81" s="197"/>
      <c r="AT81" s="1094"/>
      <c r="AU81" s="197"/>
      <c r="AV81" s="197"/>
      <c r="AW81" s="197"/>
      <c r="AX81" s="197"/>
      <c r="AY81" s="1094"/>
      <c r="AZ81" s="197"/>
      <c r="BA81" s="197"/>
      <c r="BB81" s="197"/>
      <c r="BC81" s="197"/>
      <c r="BD81" s="1094"/>
      <c r="BE81" s="197"/>
      <c r="BF81" s="197"/>
      <c r="BG81" s="197"/>
      <c r="BH81" s="197"/>
      <c r="BI81" s="1094"/>
      <c r="BJ81" s="197"/>
      <c r="BK81" s="197"/>
      <c r="BL81" s="197"/>
      <c r="BM81" s="197"/>
      <c r="BN81" s="1094"/>
      <c r="BO81" s="197"/>
      <c r="BP81" s="197"/>
      <c r="BQ81" s="197"/>
      <c r="BR81" s="197"/>
      <c r="BS81" s="1094"/>
      <c r="BT81" s="727"/>
      <c r="BU81" s="197"/>
      <c r="BV81" s="197"/>
      <c r="BW81" s="197"/>
      <c r="BX81" s="1094"/>
      <c r="BY81" s="197"/>
      <c r="BZ81" s="197"/>
      <c r="CA81" s="197"/>
      <c r="CB81" s="197"/>
      <c r="CC81" s="1094"/>
      <c r="CD81" s="1094"/>
      <c r="CE81" s="1094"/>
      <c r="CF81" s="1094"/>
      <c r="CG81" s="349"/>
    </row>
    <row r="82" spans="1:85" customFormat="1" x14ac:dyDescent="0.3">
      <c r="A82" s="412" t="s">
        <v>378</v>
      </c>
      <c r="B82" s="180"/>
      <c r="C82" s="798"/>
      <c r="D82" s="798"/>
      <c r="E82" s="798"/>
      <c r="F82" s="798"/>
      <c r="G82" s="798"/>
      <c r="H82" s="798"/>
      <c r="I82" s="798"/>
      <c r="J82" s="798"/>
      <c r="K82" s="798"/>
      <c r="L82" s="798"/>
      <c r="M82" s="798"/>
      <c r="N82" s="798"/>
      <c r="O82" s="798"/>
      <c r="P82" s="798"/>
      <c r="Q82" s="798"/>
      <c r="R82" s="798"/>
      <c r="S82" s="798"/>
      <c r="T82" s="798"/>
      <c r="U82" s="798"/>
      <c r="V82" s="798"/>
      <c r="W82" s="798"/>
      <c r="X82" s="798"/>
      <c r="Y82" s="798"/>
      <c r="Z82" s="798"/>
      <c r="AA82" s="798"/>
      <c r="AB82" s="798"/>
      <c r="AC82" s="798"/>
      <c r="AD82" s="798"/>
      <c r="AE82" s="798"/>
      <c r="AF82" s="798"/>
      <c r="AG82" s="798"/>
      <c r="AH82" s="798"/>
      <c r="AI82" s="798"/>
      <c r="AJ82" s="798"/>
      <c r="AK82" s="798"/>
      <c r="AL82" s="798"/>
      <c r="AM82" s="798"/>
      <c r="AN82" s="798"/>
      <c r="AO82" s="798"/>
      <c r="AP82" s="798"/>
      <c r="AQ82" s="798"/>
      <c r="AR82" s="798"/>
      <c r="AS82" s="798"/>
      <c r="AT82" s="798"/>
      <c r="AU82" s="798"/>
      <c r="AV82" s="798"/>
      <c r="AW82" s="798"/>
      <c r="AX82" s="798"/>
      <c r="AY82" s="798"/>
      <c r="AZ82" s="798"/>
      <c r="BA82" s="798"/>
      <c r="BB82" s="798"/>
      <c r="BC82" s="798"/>
      <c r="BD82" s="798"/>
      <c r="BE82" s="798"/>
      <c r="BF82" s="798"/>
      <c r="BG82" s="798"/>
      <c r="BH82" s="798"/>
      <c r="BI82" s="798"/>
      <c r="BJ82" s="798"/>
      <c r="BK82" s="798"/>
      <c r="BL82" s="798"/>
      <c r="BM82" s="798"/>
      <c r="BN82" s="798"/>
      <c r="BO82" s="798"/>
      <c r="BP82" s="798"/>
      <c r="BQ82" s="798"/>
      <c r="BR82" s="798"/>
      <c r="BS82" s="798"/>
      <c r="BT82" s="799"/>
      <c r="BU82" s="798"/>
      <c r="BV82" s="798"/>
      <c r="BW82" s="798"/>
      <c r="BX82" s="798"/>
      <c r="BY82" s="798"/>
      <c r="BZ82" s="798"/>
      <c r="CA82" s="798"/>
      <c r="CB82" s="798"/>
      <c r="CC82" s="798"/>
      <c r="CD82" s="798"/>
      <c r="CE82" s="798"/>
      <c r="CF82" s="798"/>
      <c r="CG82" s="459"/>
    </row>
    <row r="83" spans="1:85" customFormat="1" x14ac:dyDescent="0.3">
      <c r="A83" s="182" t="s">
        <v>481</v>
      </c>
      <c r="B83" s="414"/>
      <c r="C83" s="962"/>
      <c r="D83" s="962"/>
      <c r="E83" s="962"/>
      <c r="F83" s="962"/>
      <c r="G83" s="757"/>
      <c r="H83" s="757"/>
      <c r="I83" s="757"/>
      <c r="J83" s="757"/>
      <c r="K83" s="962"/>
      <c r="L83" s="757"/>
      <c r="M83" s="757"/>
      <c r="N83" s="757"/>
      <c r="O83" s="757"/>
      <c r="P83" s="962"/>
      <c r="Q83" s="757"/>
      <c r="R83" s="757"/>
      <c r="S83" s="757"/>
      <c r="T83" s="757"/>
      <c r="U83" s="963">
        <v>6827.1189999999997</v>
      </c>
      <c r="V83" s="757"/>
      <c r="W83" s="857">
        <v>8349.9660000000003</v>
      </c>
      <c r="X83" s="857">
        <v>9248.1200000000008</v>
      </c>
      <c r="Y83" s="757">
        <f>Z83</f>
      </c>
      <c r="Z83" s="963">
        <v>9595.3150000000005</v>
      </c>
      <c r="AA83" s="857">
        <v>10330.305</v>
      </c>
      <c r="AB83" s="857">
        <v>11195.034</v>
      </c>
      <c r="AC83" s="857">
        <v>11462.217000000001</v>
      </c>
      <c r="AD83" s="757">
        <f>AE83</f>
      </c>
      <c r="AE83" s="963">
        <v>11771.778</v>
      </c>
      <c r="AF83" s="857">
        <v>12508.343999999999</v>
      </c>
      <c r="AG83" s="857">
        <v>13032.4</v>
      </c>
      <c r="AH83" s="857">
        <v>13458.275</v>
      </c>
      <c r="AI83" s="757">
        <f>AJ83</f>
      </c>
      <c r="AJ83" s="963">
        <v>14081.463</v>
      </c>
      <c r="AK83" s="757"/>
      <c r="AL83" s="757"/>
      <c r="AM83" s="757"/>
      <c r="AN83" s="757"/>
      <c r="AO83" s="962"/>
      <c r="AP83" s="757"/>
      <c r="AQ83" s="757"/>
      <c r="AR83" s="757"/>
      <c r="AS83" s="757"/>
      <c r="AT83" s="962"/>
      <c r="AU83" s="757"/>
      <c r="AV83" s="757"/>
      <c r="AW83" s="757"/>
      <c r="AX83" s="757"/>
      <c r="AY83" s="962"/>
      <c r="AZ83" s="757"/>
      <c r="BA83" s="757"/>
      <c r="BB83" s="757"/>
      <c r="BC83" s="757"/>
      <c r="BD83" s="962"/>
      <c r="BE83" s="757"/>
      <c r="BF83" s="757"/>
      <c r="BG83" s="757"/>
      <c r="BH83" s="757"/>
      <c r="BI83" s="962"/>
      <c r="BJ83" s="757"/>
      <c r="BK83" s="757"/>
      <c r="BL83" s="757"/>
      <c r="BM83" s="757"/>
      <c r="BN83" s="962"/>
      <c r="BO83" s="757"/>
      <c r="BP83" s="757"/>
      <c r="BQ83" s="757"/>
      <c r="BR83" s="757"/>
      <c r="BS83" s="962"/>
      <c r="BT83" s="758"/>
      <c r="BU83" s="757"/>
      <c r="BV83" s="757"/>
      <c r="BW83" s="757"/>
      <c r="BX83" s="962"/>
      <c r="BY83" s="757"/>
      <c r="BZ83" s="757"/>
      <c r="CA83" s="757"/>
      <c r="CB83" s="757"/>
      <c r="CC83" s="962"/>
      <c r="CD83" s="962"/>
      <c r="CE83" s="962"/>
      <c r="CF83" s="962"/>
      <c r="CG83" s="459"/>
    </row>
    <row r="84" spans="1:85" customFormat="1" x14ac:dyDescent="0.3">
      <c r="A84" s="16" t="s">
        <v>480</v>
      </c>
      <c r="B84" s="414"/>
      <c r="C84" s="962"/>
      <c r="D84" s="962"/>
      <c r="E84" s="962"/>
      <c r="F84" s="962"/>
      <c r="G84" s="757"/>
      <c r="H84" s="757"/>
      <c r="I84" s="757"/>
      <c r="J84" s="757"/>
      <c r="K84" s="962"/>
      <c r="L84" s="757"/>
      <c r="M84" s="757"/>
      <c r="N84" s="757"/>
      <c r="O84" s="757"/>
      <c r="P84" s="962"/>
      <c r="Q84" s="757"/>
      <c r="R84" s="757"/>
      <c r="S84" s="757"/>
      <c r="T84" s="757"/>
      <c r="U84" s="963">
        <v>61.515000000000001</v>
      </c>
      <c r="V84" s="757"/>
      <c r="W84" s="857">
        <v>165.006</v>
      </c>
      <c r="X84" s="857">
        <v>194.62100000000001</v>
      </c>
      <c r="Y84" s="757">
        <f>Z84</f>
      </c>
      <c r="Z84" s="963">
        <v>335.4</v>
      </c>
      <c r="AA84" s="857">
        <v>473.05399999999997</v>
      </c>
      <c r="AB84" s="857">
        <v>861.96699999999998</v>
      </c>
      <c r="AC84" s="857">
        <v>984.94500000000005</v>
      </c>
      <c r="AD84" s="757">
        <f>AE84</f>
      </c>
      <c r="AE84" s="963">
        <v>1427.2560000000001</v>
      </c>
      <c r="AF84" s="857">
        <v>1643.252</v>
      </c>
      <c r="AG84" s="857">
        <v>1786.221</v>
      </c>
      <c r="AH84" s="857">
        <v>1946.9939999999999</v>
      </c>
      <c r="AI84" s="757">
        <f>AJ84</f>
      </c>
      <c r="AJ84" s="963">
        <v>2403.8960000000002</v>
      </c>
      <c r="AK84" s="757"/>
      <c r="AL84" s="757"/>
      <c r="AM84" s="757"/>
      <c r="AN84" s="757"/>
      <c r="AO84" s="962"/>
      <c r="AP84" s="757"/>
      <c r="AQ84" s="757"/>
      <c r="AR84" s="757"/>
      <c r="AS84" s="757"/>
      <c r="AT84" s="962"/>
      <c r="AU84" s="757"/>
      <c r="AV84" s="757"/>
      <c r="AW84" s="757"/>
      <c r="AX84" s="757"/>
      <c r="AY84" s="962"/>
      <c r="AZ84" s="757"/>
      <c r="BA84" s="757"/>
      <c r="BB84" s="757"/>
      <c r="BC84" s="757"/>
      <c r="BD84" s="962"/>
      <c r="BE84" s="757"/>
      <c r="BF84" s="757"/>
      <c r="BG84" s="757"/>
      <c r="BH84" s="757"/>
      <c r="BI84" s="962"/>
      <c r="BJ84" s="757"/>
      <c r="BK84" s="757"/>
      <c r="BL84" s="757"/>
      <c r="BM84" s="757"/>
      <c r="BN84" s="962"/>
      <c r="BO84" s="757"/>
      <c r="BP84" s="757"/>
      <c r="BQ84" s="757"/>
      <c r="BR84" s="757"/>
      <c r="BS84" s="962"/>
      <c r="BT84" s="758"/>
      <c r="BU84" s="757"/>
      <c r="BV84" s="757"/>
      <c r="BW84" s="757"/>
      <c r="BX84" s="962"/>
      <c r="BY84" s="757"/>
      <c r="BZ84" s="757"/>
      <c r="CA84" s="757"/>
      <c r="CB84" s="757"/>
      <c r="CC84" s="962"/>
      <c r="CD84" s="962"/>
      <c r="CE84" s="962"/>
      <c r="CF84" s="962"/>
      <c r="CG84" s="459"/>
    </row>
    <row r="85" spans="1:85" customFormat="1" x14ac:dyDescent="0.3">
      <c r="A85" s="16" t="s">
        <v>475</v>
      </c>
      <c r="B85" s="414"/>
      <c r="C85" s="962"/>
      <c r="D85" s="962"/>
      <c r="E85" s="962"/>
      <c r="F85" s="962"/>
      <c r="G85" s="757"/>
      <c r="H85" s="757"/>
      <c r="I85" s="757"/>
      <c r="J85" s="757"/>
      <c r="K85" s="962"/>
      <c r="L85" s="757"/>
      <c r="M85" s="757"/>
      <c r="N85" s="757"/>
      <c r="O85" s="757"/>
      <c r="P85" s="962"/>
      <c r="Q85" s="757"/>
      <c r="R85" s="757"/>
      <c r="S85" s="757"/>
      <c r="T85" s="757"/>
      <c r="U85" s="963">
        <v>279.01299999999998</v>
      </c>
      <c r="V85" s="757"/>
      <c r="W85" s="857">
        <v>529.077</v>
      </c>
      <c r="X85" s="857">
        <v>802.55200000000002</v>
      </c>
      <c r="Y85" s="757">
        <f>Z85</f>
      </c>
      <c r="Z85" s="963">
        <v>1010.463</v>
      </c>
      <c r="AA85" s="857">
        <v>1146.982</v>
      </c>
      <c r="AB85" s="857">
        <v>1057.2829999999999</v>
      </c>
      <c r="AC85" s="857">
        <v>1338.2080000000001</v>
      </c>
      <c r="AD85" s="757">
        <f>AE85</f>
      </c>
      <c r="AE85" s="963">
        <v>1311.1369999999999</v>
      </c>
      <c r="AF85" s="857">
        <v>1613.8979999999999</v>
      </c>
      <c r="AG85" s="857">
        <v>2085.5010000000002</v>
      </c>
      <c r="AH85" s="857">
        <v>2757.4340000000002</v>
      </c>
      <c r="AI85" s="757">
        <f>AJ85</f>
      </c>
      <c r="AJ85" s="963">
        <v>3305.1260000000002</v>
      </c>
      <c r="AK85" s="757"/>
      <c r="AL85" s="757"/>
      <c r="AM85" s="757"/>
      <c r="AN85" s="757"/>
      <c r="AO85" s="962"/>
      <c r="AP85" s="757"/>
      <c r="AQ85" s="757"/>
      <c r="AR85" s="757"/>
      <c r="AS85" s="757"/>
      <c r="AT85" s="962"/>
      <c r="AU85" s="757"/>
      <c r="AV85" s="757"/>
      <c r="AW85" s="757"/>
      <c r="AX85" s="757"/>
      <c r="AY85" s="962"/>
      <c r="AZ85" s="757"/>
      <c r="BA85" s="757"/>
      <c r="BB85" s="757"/>
      <c r="BC85" s="757"/>
      <c r="BD85" s="962"/>
      <c r="BE85" s="757"/>
      <c r="BF85" s="757"/>
      <c r="BG85" s="757"/>
      <c r="BH85" s="757"/>
      <c r="BI85" s="962"/>
      <c r="BJ85" s="757"/>
      <c r="BK85" s="757"/>
      <c r="BL85" s="757"/>
      <c r="BM85" s="757"/>
      <c r="BN85" s="962"/>
      <c r="BO85" s="757"/>
      <c r="BP85" s="757"/>
      <c r="BQ85" s="757"/>
      <c r="BR85" s="757"/>
      <c r="BS85" s="962"/>
      <c r="BT85" s="758"/>
      <c r="BU85" s="757"/>
      <c r="BV85" s="757"/>
      <c r="BW85" s="757"/>
      <c r="BX85" s="962"/>
      <c r="BY85" s="757"/>
      <c r="BZ85" s="757"/>
      <c r="CA85" s="757"/>
      <c r="CB85" s="757"/>
      <c r="CC85" s="962"/>
      <c r="CD85" s="962"/>
      <c r="CE85" s="962"/>
      <c r="CF85" s="962"/>
      <c r="CG85" s="459"/>
    </row>
    <row r="86" spans="1:85" customFormat="1" x14ac:dyDescent="0.3">
      <c r="A86" s="16" t="s">
        <v>476</v>
      </c>
      <c r="B86" s="414"/>
      <c r="C86" s="962"/>
      <c r="D86" s="962"/>
      <c r="E86" s="962"/>
      <c r="F86" s="962"/>
      <c r="G86" s="757"/>
      <c r="H86" s="757"/>
      <c r="I86" s="757"/>
      <c r="J86" s="757"/>
      <c r="K86" s="962"/>
      <c r="L86" s="757"/>
      <c r="M86" s="757"/>
      <c r="N86" s="757"/>
      <c r="O86" s="757"/>
      <c r="P86" s="962"/>
      <c r="Q86" s="757"/>
      <c r="R86" s="757"/>
      <c r="S86" s="757"/>
      <c r="T86" s="757"/>
      <c r="U86" s="963">
        <v>24.651</v>
      </c>
      <c r="V86" s="757"/>
      <c r="W86" s="857">
        <v>21.411000000000001</v>
      </c>
      <c r="X86" s="857">
        <v>40.154000000000003</v>
      </c>
      <c r="Y86" s="757">
        <f>Z86</f>
      </c>
      <c r="Z86" s="963">
        <v>34.215000000000003</v>
      </c>
      <c r="AA86" s="857">
        <v>82.98</v>
      </c>
      <c r="AB86" s="857">
        <v>95.24</v>
      </c>
      <c r="AC86" s="857">
        <v>163.393</v>
      </c>
      <c r="AD86" s="757">
        <f>AE86</f>
      </c>
      <c r="AE86" s="963">
        <v>158.517</v>
      </c>
      <c r="AF86" s="857">
        <v>161.49700000000001</v>
      </c>
      <c r="AG86" s="857">
        <v>179.06</v>
      </c>
      <c r="AH86" s="857">
        <v>222.88499999999999</v>
      </c>
      <c r="AI86" s="757">
        <f>AJ86</f>
      </c>
      <c r="AJ86" s="963">
        <v>311.84199999999998</v>
      </c>
      <c r="AK86" s="757"/>
      <c r="AL86" s="757"/>
      <c r="AM86" s="757"/>
      <c r="AN86" s="757"/>
      <c r="AO86" s="962"/>
      <c r="AP86" s="757"/>
      <c r="AQ86" s="757"/>
      <c r="AR86" s="757"/>
      <c r="AS86" s="757"/>
      <c r="AT86" s="962"/>
      <c r="AU86" s="757"/>
      <c r="AV86" s="757"/>
      <c r="AW86" s="757"/>
      <c r="AX86" s="757"/>
      <c r="AY86" s="962"/>
      <c r="AZ86" s="757"/>
      <c r="BA86" s="757"/>
      <c r="BB86" s="757"/>
      <c r="BC86" s="757"/>
      <c r="BD86" s="962"/>
      <c r="BE86" s="757"/>
      <c r="BF86" s="757"/>
      <c r="BG86" s="757"/>
      <c r="BH86" s="757"/>
      <c r="BI86" s="962"/>
      <c r="BJ86" s="757"/>
      <c r="BK86" s="757"/>
      <c r="BL86" s="757"/>
      <c r="BM86" s="757"/>
      <c r="BN86" s="962"/>
      <c r="BO86" s="757"/>
      <c r="BP86" s="757"/>
      <c r="BQ86" s="757"/>
      <c r="BR86" s="757"/>
      <c r="BS86" s="962"/>
      <c r="BT86" s="758"/>
      <c r="BU86" s="757"/>
      <c r="BV86" s="757"/>
      <c r="BW86" s="757"/>
      <c r="BX86" s="962"/>
      <c r="BY86" s="757"/>
      <c r="BZ86" s="757"/>
      <c r="CA86" s="757"/>
      <c r="CB86" s="757"/>
      <c r="CC86" s="962"/>
      <c r="CD86" s="962"/>
      <c r="CE86" s="962"/>
      <c r="CF86" s="962"/>
      <c r="CG86" s="459"/>
    </row>
    <row r="87" spans="1:85" customFormat="1" x14ac:dyDescent="0.3">
      <c r="A87" s="158" t="s">
        <v>479</v>
      </c>
      <c r="B87" s="419"/>
      <c r="C87" s="1008"/>
      <c r="D87" s="1008"/>
      <c r="E87" s="1008"/>
      <c r="F87" s="1008"/>
      <c r="G87" s="804"/>
      <c r="H87" s="804"/>
      <c r="I87" s="804"/>
      <c r="J87" s="804"/>
      <c r="K87" s="1008"/>
      <c r="L87" s="804"/>
      <c r="M87" s="804"/>
      <c r="N87" s="804"/>
      <c r="O87" s="804"/>
      <c r="P87" s="1008"/>
      <c r="Q87" s="804"/>
      <c r="R87" s="804"/>
      <c r="S87" s="804"/>
      <c r="T87" s="804"/>
      <c r="U87" s="1013">
        <f t="shared" ref="U87:AJ87" si="38">SUM(U84:U86)</f>
      </c>
      <c r="V87" s="812">
        <f t="shared" si="38"/>
      </c>
      <c r="W87" s="812">
        <f t="shared" si="38"/>
      </c>
      <c r="X87" s="812">
        <f t="shared" si="38"/>
      </c>
      <c r="Y87" s="804">
        <f t="shared" si="38"/>
      </c>
      <c r="Z87" s="1008">
        <f t="shared" si="38"/>
      </c>
      <c r="AA87" s="812">
        <f t="shared" si="38"/>
      </c>
      <c r="AB87" s="812">
        <f t="shared" si="38"/>
      </c>
      <c r="AC87" s="812">
        <f t="shared" si="38"/>
      </c>
      <c r="AD87" s="804">
        <f t="shared" si="38"/>
      </c>
      <c r="AE87" s="1008">
        <f t="shared" si="38"/>
      </c>
      <c r="AF87" s="812">
        <f t="shared" si="38"/>
      </c>
      <c r="AG87" s="812">
        <f t="shared" si="38"/>
      </c>
      <c r="AH87" s="812">
        <f t="shared" si="38"/>
      </c>
      <c r="AI87" s="804">
        <f t="shared" si="38"/>
      </c>
      <c r="AJ87" s="1008">
        <f t="shared" si="38"/>
      </c>
      <c r="AK87" s="804"/>
      <c r="AL87" s="804"/>
      <c r="AM87" s="804"/>
      <c r="AN87" s="804"/>
      <c r="AO87" s="1008"/>
      <c r="AP87" s="804"/>
      <c r="AQ87" s="804"/>
      <c r="AR87" s="804"/>
      <c r="AS87" s="804"/>
      <c r="AT87" s="1008"/>
      <c r="AU87" s="804"/>
      <c r="AV87" s="804"/>
      <c r="AW87" s="804"/>
      <c r="AX87" s="804"/>
      <c r="AY87" s="1008"/>
      <c r="AZ87" s="804"/>
      <c r="BA87" s="804"/>
      <c r="BB87" s="804"/>
      <c r="BC87" s="804"/>
      <c r="BD87" s="1008"/>
      <c r="BE87" s="804"/>
      <c r="BF87" s="804"/>
      <c r="BG87" s="804"/>
      <c r="BH87" s="804"/>
      <c r="BI87" s="1008"/>
      <c r="BJ87" s="804"/>
      <c r="BK87" s="804"/>
      <c r="BL87" s="804"/>
      <c r="BM87" s="804"/>
      <c r="BN87" s="1008"/>
      <c r="BO87" s="804"/>
      <c r="BP87" s="804"/>
      <c r="BQ87" s="804"/>
      <c r="BR87" s="804"/>
      <c r="BS87" s="1008"/>
      <c r="BT87" s="805"/>
      <c r="BU87" s="804"/>
      <c r="BV87" s="804"/>
      <c r="BW87" s="804"/>
      <c r="BX87" s="1008"/>
      <c r="BY87" s="804"/>
      <c r="BZ87" s="804"/>
      <c r="CA87" s="804"/>
      <c r="CB87" s="804"/>
      <c r="CC87" s="1008"/>
      <c r="CD87" s="1008"/>
      <c r="CE87" s="1008"/>
      <c r="CF87" s="1008"/>
      <c r="CG87" s="459"/>
    </row>
    <row r="88" spans="1:85" customFormat="1" x14ac:dyDescent="0.3">
      <c r="A88" s="182" t="s">
        <v>478</v>
      </c>
      <c r="B88" s="414"/>
      <c r="C88" s="962"/>
      <c r="D88" s="962"/>
      <c r="E88" s="962"/>
      <c r="F88" s="962"/>
      <c r="G88" s="757"/>
      <c r="H88" s="757"/>
      <c r="I88" s="757"/>
      <c r="J88" s="757"/>
      <c r="K88" s="962"/>
      <c r="L88" s="757"/>
      <c r="M88" s="757"/>
      <c r="N88" s="757"/>
      <c r="O88" s="757"/>
      <c r="P88" s="962"/>
      <c r="Q88" s="757"/>
      <c r="R88" s="757"/>
      <c r="S88" s="757"/>
      <c r="T88" s="757"/>
      <c r="U88" s="963">
        <v>26.516999999999999</v>
      </c>
      <c r="V88" s="757"/>
      <c r="W88" s="857">
        <v>26.74</v>
      </c>
      <c r="X88" s="857">
        <v>24.626000000000001</v>
      </c>
      <c r="Y88" s="757">
        <f>Z88</f>
      </c>
      <c r="Z88" s="963">
        <v>25.414999999999999</v>
      </c>
      <c r="AA88" s="857">
        <v>22.405999999999999</v>
      </c>
      <c r="AB88" s="857">
        <v>18.061</v>
      </c>
      <c r="AC88" s="857">
        <v>14.327999999999999</v>
      </c>
      <c r="AD88" s="757">
        <f>AE88</f>
      </c>
      <c r="AE88" s="963">
        <v>13.301</v>
      </c>
      <c r="AF88" s="857">
        <v>14.334</v>
      </c>
      <c r="AG88" s="857">
        <v>12.551</v>
      </c>
      <c r="AH88" s="857">
        <v>10.771000000000001</v>
      </c>
      <c r="AI88" s="757">
        <f>AJ88</f>
      </c>
      <c r="AJ88" s="963">
        <v>9.8130000000000006</v>
      </c>
      <c r="AK88" s="757"/>
      <c r="AL88" s="757"/>
      <c r="AM88" s="757"/>
      <c r="AN88" s="757"/>
      <c r="AO88" s="962"/>
      <c r="AP88" s="757"/>
      <c r="AQ88" s="757"/>
      <c r="AR88" s="757"/>
      <c r="AS88" s="757"/>
      <c r="AT88" s="962"/>
      <c r="AU88" s="757"/>
      <c r="AV88" s="757"/>
      <c r="AW88" s="757"/>
      <c r="AX88" s="757"/>
      <c r="AY88" s="962"/>
      <c r="AZ88" s="757"/>
      <c r="BA88" s="757"/>
      <c r="BB88" s="757"/>
      <c r="BC88" s="757"/>
      <c r="BD88" s="962"/>
      <c r="BE88" s="757"/>
      <c r="BF88" s="757"/>
      <c r="BG88" s="757"/>
      <c r="BH88" s="757"/>
      <c r="BI88" s="962"/>
      <c r="BJ88" s="757"/>
      <c r="BK88" s="757"/>
      <c r="BL88" s="757"/>
      <c r="BM88" s="757"/>
      <c r="BN88" s="962"/>
      <c r="BO88" s="757"/>
      <c r="BP88" s="757"/>
      <c r="BQ88" s="757"/>
      <c r="BR88" s="757"/>
      <c r="BS88" s="962"/>
      <c r="BT88" s="758"/>
      <c r="BU88" s="757"/>
      <c r="BV88" s="757"/>
      <c r="BW88" s="757"/>
      <c r="BX88" s="962"/>
      <c r="BY88" s="757"/>
      <c r="BZ88" s="757"/>
      <c r="CA88" s="757"/>
      <c r="CB88" s="757"/>
      <c r="CC88" s="962"/>
      <c r="CD88" s="962"/>
      <c r="CE88" s="962"/>
      <c r="CF88" s="962"/>
      <c r="CG88" s="459"/>
    </row>
    <row r="89" spans="1:85" customFormat="1" x14ac:dyDescent="0.3">
      <c r="A89" s="2" t="s">
        <v>477</v>
      </c>
      <c r="B89" s="422"/>
      <c r="C89" s="965"/>
      <c r="D89" s="965"/>
      <c r="E89" s="965"/>
      <c r="F89" s="965"/>
      <c r="G89" s="791"/>
      <c r="H89" s="791"/>
      <c r="I89" s="791"/>
      <c r="J89" s="791"/>
      <c r="K89" s="965"/>
      <c r="L89" s="791"/>
      <c r="M89" s="791"/>
      <c r="N89" s="791"/>
      <c r="O89" s="791"/>
      <c r="P89" s="965"/>
      <c r="Q89" s="791"/>
      <c r="R89" s="791"/>
      <c r="S89" s="791"/>
      <c r="T89" s="791"/>
      <c r="U89" s="986">
        <f t="shared" ref="U89:AJ89" si="39">U87+U88+U83</f>
      </c>
      <c r="V89" s="792">
        <f t="shared" si="39"/>
      </c>
      <c r="W89" s="792">
        <f t="shared" si="39"/>
      </c>
      <c r="X89" s="792">
        <f t="shared" si="39"/>
      </c>
      <c r="Y89" s="791">
        <f t="shared" si="39"/>
      </c>
      <c r="Z89" s="965">
        <f t="shared" si="39"/>
      </c>
      <c r="AA89" s="792">
        <f t="shared" si="39"/>
      </c>
      <c r="AB89" s="792">
        <f t="shared" si="39"/>
      </c>
      <c r="AC89" s="792">
        <f t="shared" si="39"/>
      </c>
      <c r="AD89" s="791">
        <f t="shared" si="39"/>
      </c>
      <c r="AE89" s="965">
        <f t="shared" si="39"/>
      </c>
      <c r="AF89" s="792">
        <f t="shared" si="39"/>
      </c>
      <c r="AG89" s="792">
        <f t="shared" si="39"/>
      </c>
      <c r="AH89" s="792">
        <f t="shared" si="39"/>
      </c>
      <c r="AI89" s="791">
        <f t="shared" si="39"/>
      </c>
      <c r="AJ89" s="965">
        <f t="shared" si="39"/>
      </c>
      <c r="AK89" s="791"/>
      <c r="AL89" s="791"/>
      <c r="AM89" s="791"/>
      <c r="AN89" s="791"/>
      <c r="AO89" s="965"/>
      <c r="AP89" s="791"/>
      <c r="AQ89" s="791"/>
      <c r="AR89" s="791"/>
      <c r="AS89" s="791"/>
      <c r="AT89" s="965"/>
      <c r="AU89" s="791"/>
      <c r="AV89" s="791"/>
      <c r="AW89" s="791"/>
      <c r="AX89" s="791"/>
      <c r="AY89" s="965"/>
      <c r="AZ89" s="791"/>
      <c r="BA89" s="791"/>
      <c r="BB89" s="791"/>
      <c r="BC89" s="791"/>
      <c r="BD89" s="965"/>
      <c r="BE89" s="791"/>
      <c r="BF89" s="791"/>
      <c r="BG89" s="791"/>
      <c r="BH89" s="791"/>
      <c r="BI89" s="965"/>
      <c r="BJ89" s="791"/>
      <c r="BK89" s="791"/>
      <c r="BL89" s="791"/>
      <c r="BM89" s="791"/>
      <c r="BN89" s="965"/>
      <c r="BO89" s="791"/>
      <c r="BP89" s="791"/>
      <c r="BQ89" s="791"/>
      <c r="BR89" s="791"/>
      <c r="BS89" s="965"/>
      <c r="BT89" s="797"/>
      <c r="BU89" s="791"/>
      <c r="BV89" s="791"/>
      <c r="BW89" s="791"/>
      <c r="BX89" s="965"/>
      <c r="BY89" s="791"/>
      <c r="BZ89" s="791"/>
      <c r="CA89" s="791"/>
      <c r="CB89" s="791"/>
      <c r="CC89" s="965"/>
      <c r="CD89" s="965"/>
      <c r="CE89" s="965"/>
      <c r="CF89" s="965"/>
      <c r="CG89" s="459"/>
    </row>
    <row r="90" spans="1:85" s="614" customFormat="1" x14ac:dyDescent="0.3">
      <c r="A90" s="351"/>
      <c r="B90" s="352"/>
      <c r="C90" s="1094"/>
      <c r="D90" s="1094"/>
      <c r="E90" s="1094"/>
      <c r="F90" s="1094"/>
      <c r="G90" s="197"/>
      <c r="H90" s="197"/>
      <c r="I90" s="197"/>
      <c r="J90" s="197"/>
      <c r="K90" s="1094"/>
      <c r="L90" s="197"/>
      <c r="M90" s="197"/>
      <c r="N90" s="197"/>
      <c r="O90" s="197"/>
      <c r="P90" s="1094"/>
      <c r="Q90" s="197"/>
      <c r="R90" s="197"/>
      <c r="S90" s="197"/>
      <c r="T90" s="197"/>
      <c r="U90" s="1094"/>
      <c r="V90" s="197"/>
      <c r="W90" s="197"/>
      <c r="X90" s="197"/>
      <c r="Y90" s="197"/>
      <c r="Z90" s="1094"/>
      <c r="AA90" s="197"/>
      <c r="AB90" s="197"/>
      <c r="AC90" s="197"/>
      <c r="AD90" s="197"/>
      <c r="AE90" s="1094"/>
      <c r="AF90" s="197"/>
      <c r="AG90" s="197"/>
      <c r="AH90" s="197"/>
      <c r="AI90" s="197"/>
      <c r="AJ90" s="1094"/>
      <c r="AK90" s="197"/>
      <c r="AL90" s="197"/>
      <c r="AM90" s="197"/>
      <c r="AN90" s="197"/>
      <c r="AO90" s="1094"/>
      <c r="AP90" s="197"/>
      <c r="AQ90" s="197"/>
      <c r="AR90" s="197"/>
      <c r="AS90" s="197"/>
      <c r="AT90" s="1094"/>
      <c r="AU90" s="197"/>
      <c r="AV90" s="197"/>
      <c r="AW90" s="197"/>
      <c r="AX90" s="197"/>
      <c r="AY90" s="1094"/>
      <c r="AZ90" s="197"/>
      <c r="BA90" s="197"/>
      <c r="BB90" s="197"/>
      <c r="BC90" s="197"/>
      <c r="BD90" s="1094"/>
      <c r="BE90" s="197"/>
      <c r="BF90" s="197"/>
      <c r="BG90" s="197"/>
      <c r="BH90" s="197"/>
      <c r="BI90" s="1094"/>
      <c r="BJ90" s="197"/>
      <c r="BK90" s="197"/>
      <c r="BL90" s="197"/>
      <c r="BM90" s="197"/>
      <c r="BN90" s="1094"/>
      <c r="BO90" s="197"/>
      <c r="BP90" s="197"/>
      <c r="BQ90" s="197"/>
      <c r="BR90" s="197"/>
      <c r="BS90" s="1094"/>
      <c r="BT90" s="727"/>
      <c r="BU90" s="197"/>
      <c r="BV90" s="197"/>
      <c r="BW90" s="197"/>
      <c r="BX90" s="1094"/>
      <c r="BY90" s="197"/>
      <c r="BZ90" s="197"/>
      <c r="CA90" s="197"/>
      <c r="CB90" s="197"/>
      <c r="CC90" s="1094"/>
      <c r="CD90" s="1094"/>
      <c r="CE90" s="1094"/>
      <c r="CF90" s="1094"/>
      <c r="CG90" s="349"/>
    </row>
    <row r="91" spans="1:85" x14ac:dyDescent="0.3">
      <c r="A91" s="776"/>
      <c r="B91" s="219"/>
      <c r="C91" s="219"/>
      <c r="D91" s="219"/>
      <c r="E91" s="219"/>
      <c r="F91" s="219"/>
      <c r="G91" s="219"/>
      <c r="H91" s="219"/>
      <c r="I91" s="219"/>
      <c r="J91" s="219"/>
      <c r="K91" s="219"/>
      <c r="L91" s="219"/>
      <c r="M91" s="219"/>
      <c r="N91" s="219"/>
      <c r="O91" s="219"/>
      <c r="P91" s="219"/>
      <c r="Q91" s="219"/>
      <c r="R91" s="219"/>
      <c r="S91" s="219"/>
      <c r="T91" s="219"/>
      <c r="U91" s="219"/>
      <c r="V91" s="219"/>
      <c r="W91" s="219"/>
      <c r="X91" s="219"/>
      <c r="Y91" s="219"/>
      <c r="Z91" s="219"/>
      <c r="AA91" s="219"/>
      <c r="AB91" s="219"/>
      <c r="AC91" s="219"/>
      <c r="AD91" s="219"/>
      <c r="AE91" s="219"/>
      <c r="AF91" s="219"/>
      <c r="AG91" s="219"/>
      <c r="AH91" s="219"/>
      <c r="AI91" s="219"/>
      <c r="AJ91" s="219"/>
      <c r="AK91" s="219"/>
      <c r="AL91" s="219"/>
      <c r="AM91" s="219"/>
      <c r="AN91" s="219"/>
      <c r="AO91" s="219"/>
      <c r="AP91" s="219"/>
      <c r="AQ91" s="219"/>
      <c r="AR91" s="219"/>
      <c r="AS91" s="219"/>
      <c r="AT91" s="219"/>
      <c r="AU91" s="219"/>
      <c r="AV91" s="219"/>
      <c r="AW91" s="219"/>
      <c r="AX91" s="219"/>
      <c r="AY91" s="219"/>
      <c r="AZ91" s="219"/>
      <c r="BA91" s="219"/>
      <c r="BB91" s="219"/>
      <c r="BC91" s="219"/>
      <c r="BD91" s="219"/>
      <c r="BE91" s="219"/>
      <c r="BF91" s="219"/>
      <c r="BG91" s="219"/>
      <c r="BH91" s="219"/>
      <c r="BI91" s="219"/>
      <c r="BJ91" s="219"/>
      <c r="BK91" s="219"/>
      <c r="BL91" s="219"/>
      <c r="BM91" s="219"/>
      <c r="BN91" s="219"/>
      <c r="BO91" s="219"/>
      <c r="BP91" s="219"/>
      <c r="BQ91" s="219"/>
      <c r="BR91" s="219"/>
      <c r="BS91" s="219"/>
      <c r="BT91" s="219"/>
      <c r="BU91" s="219"/>
      <c r="BV91" s="219"/>
      <c r="BW91" s="219"/>
      <c r="BX91" s="219"/>
      <c r="BY91" s="219"/>
      <c r="BZ91" s="219"/>
      <c r="CA91" s="219"/>
      <c r="CB91" s="219"/>
      <c r="CC91" s="219"/>
      <c r="CD91" s="219"/>
      <c r="CE91" s="219"/>
      <c r="CF91" s="219"/>
      <c r="CG91" s="350"/>
    </row>
    <row r="92" spans="1:85" x14ac:dyDescent="0.3">
      <c r="A92" s="350"/>
      <c r="B92" s="350"/>
      <c r="C92" s="350"/>
      <c r="D92" s="350"/>
      <c r="E92" s="350"/>
      <c r="F92" s="350"/>
      <c r="G92" s="129"/>
      <c r="H92" s="129"/>
      <c r="I92" s="129"/>
      <c r="J92" s="129"/>
      <c r="K92" s="350"/>
      <c r="L92" s="129"/>
      <c r="M92" s="129"/>
      <c r="N92" s="129"/>
      <c r="O92" s="129"/>
      <c r="P92" s="350"/>
      <c r="Q92" s="129"/>
      <c r="R92" s="129"/>
      <c r="S92" s="129"/>
      <c r="T92" s="129"/>
      <c r="U92" s="350"/>
      <c r="V92" s="129"/>
      <c r="W92" s="129"/>
      <c r="X92" s="129"/>
      <c r="Y92" s="129"/>
      <c r="Z92" s="350"/>
      <c r="AA92" s="129"/>
      <c r="AB92" s="129"/>
      <c r="AC92" s="129"/>
      <c r="AD92" s="129"/>
      <c r="AE92" s="350"/>
      <c r="AF92" s="129"/>
      <c r="AG92" s="129"/>
      <c r="AH92" s="129"/>
      <c r="AI92" s="129"/>
      <c r="AJ92" s="350"/>
      <c r="AK92" s="129"/>
      <c r="AL92" s="129"/>
      <c r="AM92" s="129"/>
      <c r="AN92" s="129"/>
      <c r="AO92" s="350"/>
      <c r="AP92" s="129"/>
      <c r="AQ92" s="129"/>
      <c r="AR92" s="129"/>
      <c r="AS92" s="129"/>
      <c r="AT92" s="350"/>
      <c r="AU92" s="129"/>
      <c r="AV92" s="129"/>
      <c r="AW92" s="129"/>
      <c r="AX92" s="129"/>
      <c r="AY92" s="350"/>
      <c r="AZ92" s="129"/>
      <c r="BA92" s="129"/>
      <c r="BB92" s="129"/>
      <c r="BC92" s="129"/>
      <c r="BD92" s="350"/>
      <c r="BE92" s="129"/>
      <c r="BF92" s="129"/>
      <c r="BG92" s="129"/>
      <c r="BH92" s="129"/>
      <c r="BI92" s="350"/>
      <c r="BJ92" s="129"/>
      <c r="BK92" s="129"/>
      <c r="BL92" s="129"/>
      <c r="BM92" s="129"/>
      <c r="BN92" s="350"/>
      <c r="BO92" s="129"/>
      <c r="BP92" s="129"/>
      <c r="BQ92" s="129"/>
      <c r="BR92" s="129"/>
      <c r="BS92" s="350"/>
      <c r="BT92" s="129"/>
      <c r="BU92" s="129"/>
      <c r="BV92" s="129"/>
      <c r="BW92" s="129"/>
      <c r="BX92" s="350"/>
      <c r="BY92" s="129"/>
      <c r="BZ92" s="129"/>
      <c r="CA92" s="129"/>
      <c r="CB92" s="129"/>
      <c r="CC92" s="350"/>
      <c r="CD92" s="350"/>
      <c r="CE92" s="350"/>
      <c r="CF92" s="350"/>
      <c r="CG92" s="350"/>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1CCEB-61D2-4274-B406-B8046ED0FB5F}">
  <sheetPr codeName="Sheet4"/>
  <dimension ref="A1:U433"/>
  <sheetViews>
    <sheetView workbookViewId="0"/>
  </sheetViews>
  <sheetFormatPr defaultColWidth="8.88671875" defaultRowHeight="14.4" outlineLevelCol="1" x14ac:dyDescent="0.3"/>
  <cols>
    <col min="1" max="1" width="3.44140625" style="602" customWidth="1"/>
    <col min="2" max="2" width="9.44140625" style="603" bestFit="1" customWidth="1"/>
    <col min="3" max="3" width="2.5546875" style="603" customWidth="1"/>
    <col min="4" max="4" width="46.5546875" style="604" customWidth="1"/>
    <col min="5" max="5" width="32.5546875" style="605" hidden="1" customWidth="1" outlineLevel="1"/>
    <col min="6" max="6" width="14.44140625" style="603" bestFit="1" customWidth="1" collapsed="1"/>
    <col min="7" max="7" width="14.44140625" style="603" hidden="1" customWidth="1" outlineLevel="1" collapsed="1"/>
    <col min="8" max="8" width="2.5546875" style="603" customWidth="1" collapsed="1"/>
    <col min="9" max="10" width="11.5546875" style="603" bestFit="1" customWidth="1"/>
    <col min="11" max="11" width="10.5546875" style="603" bestFit="1" customWidth="1"/>
    <col min="12" max="12" width="2.5546875" style="603" customWidth="1"/>
    <col min="13" max="13" width="8.5546875" style="603" bestFit="1" customWidth="1"/>
    <col min="14" max="14" width="11.88671875" style="604" bestFit="1" customWidth="1"/>
    <col min="15" max="15" width="2.5546875" style="603" customWidth="1"/>
    <col min="16" max="16" width="13.44140625" style="603" bestFit="1" customWidth="1"/>
    <col min="17" max="17" width="14.44140625" style="606" bestFit="1" customWidth="1"/>
    <col min="18" max="18" width="2.5546875" style="603" customWidth="1"/>
    <col min="19" max="19" width="10.5546875" style="607" bestFit="1" customWidth="1"/>
    <col min="20" max="20" width="13.44140625" style="608" bestFit="1" customWidth="1"/>
    <col min="21" max="24" width="8.88671875" style="603" customWidth="1"/>
    <col min="25" max="16384" width="8.88671875" style="603"/>
  </cols>
  <sheetData>
    <row r="1" spans="1:21" ht="28.8" x14ac:dyDescent="0.55000000000000004">
      <c r="A1" s="73"/>
      <c r="B1" s="94" t="str">
        <f>MO.CompanyName</f>
      </c>
      <c r="C1" s="96"/>
      <c r="D1" s="96"/>
      <c r="E1" s="88"/>
      <c r="F1" s="96"/>
      <c r="G1" s="96"/>
      <c r="H1" s="96"/>
      <c r="I1" s="96"/>
      <c r="J1" s="96"/>
      <c r="K1" s="96"/>
      <c r="L1" s="96"/>
      <c r="M1" s="96"/>
      <c r="N1" s="96"/>
      <c r="O1" s="96"/>
      <c r="P1" s="96"/>
      <c r="Q1" s="86"/>
      <c r="R1" s="96"/>
      <c r="S1" s="95"/>
      <c r="T1" s="96"/>
      <c r="U1" s="96"/>
    </row>
    <row r="2" spans="1:21" x14ac:dyDescent="0.3">
      <c r="A2" s="73"/>
      <c r="B2" s="87" t="s">
        <v>361</v>
      </c>
      <c r="C2" s="96"/>
      <c r="D2" s="96"/>
      <c r="E2" s="88"/>
      <c r="F2" s="96" t="str">
        <f>MO.MRFP</f>
      </c>
      <c r="G2" s="96"/>
      <c r="H2" s="96"/>
      <c r="I2" s="96"/>
      <c r="J2" s="96"/>
      <c r="K2" s="96"/>
      <c r="L2" s="96"/>
      <c r="M2" s="96"/>
      <c r="N2" s="96"/>
      <c r="O2" s="96"/>
      <c r="P2" s="96"/>
      <c r="Q2" s="86"/>
      <c r="R2" s="96"/>
      <c r="S2" s="95"/>
      <c r="T2" s="96"/>
      <c r="U2" s="96"/>
    </row>
    <row r="3" spans="1:21" x14ac:dyDescent="0.3">
      <c r="A3" s="73"/>
      <c r="B3" s="96"/>
      <c r="C3" s="96"/>
      <c r="D3" s="96"/>
      <c r="E3" s="88"/>
      <c r="F3" s="96"/>
      <c r="G3" s="96"/>
      <c r="H3" s="96"/>
      <c r="I3" s="96"/>
      <c r="J3" s="96"/>
      <c r="K3" s="96"/>
      <c r="L3" s="96"/>
      <c r="M3" s="96"/>
      <c r="N3" s="96"/>
      <c r="O3" s="96"/>
      <c r="P3" s="96"/>
      <c r="Q3" s="86"/>
      <c r="R3" s="96"/>
      <c r="S3" s="96"/>
      <c r="T3" s="96"/>
      <c r="U3" s="96"/>
    </row>
    <row r="4" spans="1:21" s="609" customFormat="1" x14ac:dyDescent="0.3">
      <c r="A4" s="73"/>
      <c r="B4" s="98"/>
      <c r="C4" s="102"/>
      <c r="D4" s="98"/>
      <c r="E4" s="98"/>
      <c r="F4" s="98"/>
      <c r="G4" s="98"/>
      <c r="H4" s="102"/>
      <c r="I4" s="99" t="s">
        <v>268</v>
      </c>
      <c r="J4" s="99"/>
      <c r="K4" s="99"/>
      <c r="L4" s="102"/>
      <c r="M4" s="99" t="s">
        <v>269</v>
      </c>
      <c r="N4" s="99"/>
      <c r="O4" s="102"/>
      <c r="P4" s="99" t="s">
        <v>270</v>
      </c>
      <c r="Q4" s="99"/>
      <c r="R4" s="102"/>
      <c r="S4" s="99" t="s">
        <v>271</v>
      </c>
      <c r="T4" s="99"/>
      <c r="U4" s="95"/>
    </row>
    <row r="5" spans="1:21" s="610" customFormat="1" x14ac:dyDescent="0.3">
      <c r="A5" s="73"/>
      <c r="B5" s="98" t="s">
        <v>272</v>
      </c>
      <c r="C5" s="103"/>
      <c r="D5" s="98" t="s">
        <v>273</v>
      </c>
      <c r="E5" s="98" t="s">
        <v>274</v>
      </c>
      <c r="F5" s="98" t="s">
        <v>275</v>
      </c>
      <c r="G5" s="98" t="s">
        <v>317</v>
      </c>
      <c r="H5" s="103"/>
      <c r="I5" s="100" t="s">
        <v>245</v>
      </c>
      <c r="J5" s="100" t="s">
        <v>244</v>
      </c>
      <c r="K5" s="100" t="s">
        <v>276</v>
      </c>
      <c r="L5" s="103"/>
      <c r="M5" s="98" t="s">
        <v>272</v>
      </c>
      <c r="N5" s="100" t="s">
        <v>277</v>
      </c>
      <c r="O5" s="103"/>
      <c r="P5" s="100" t="s">
        <v>278</v>
      </c>
      <c r="Q5" s="101" t="s">
        <v>279</v>
      </c>
      <c r="R5" s="103"/>
      <c r="S5" s="100" t="s">
        <v>280</v>
      </c>
      <c r="T5" s="100" t="s">
        <v>281</v>
      </c>
      <c r="U5" s="97"/>
    </row>
    <row r="6" spans="1:21" s="610" customFormat="1" x14ac:dyDescent="0.3">
      <c r="A6" s="73">
        <v>427</v>
      </c>
      <c r="B6" s="137" t="str">
        <f t="shared" ref="B6:B9" si="0">IF(INDEX(MO_SNA_IsHistoricalPeriod,,MATCH(F6,MO_Common_ColumnHeader,0)),"Historical","Forward")</f>
      </c>
      <c r="C6" s="96"/>
      <c r="D6" s="76" t="str">
        <f ca="1">INDEX(INDIRECT(E6),0,COLUMN(MO_Common_Column_A))</f>
      </c>
      <c r="E6" s="77" t="s">
        <v>282</v>
      </c>
      <c r="F6" s="137" t="s">
        <v>2380</v>
      </c>
      <c r="G6" s="137"/>
      <c r="H6" s="96"/>
      <c r="I6" s="78">
        <v>50700</v>
      </c>
      <c r="J6" s="78">
        <v>51700</v>
      </c>
      <c r="K6" s="78">
        <f t="shared" ref="K6:K9" si="1">AVERAGE(I6:J6)</f>
      </c>
      <c r="L6" s="96"/>
      <c r="M6" s="137" t="str">
        <f t="shared" ref="M6:M9" si="2">IF(INDEX(MO_SNA_IsHistoricalPeriod,,MATCH(F6,MO_Common_ColumnHeader,0)),"Actual","Estimate")</f>
      </c>
      <c r="N6" s="78">
        <f t="shared" ref="N6:N7" ca="1" si="3">IFERROR(INDEX(INDIRECT(E6),0,MATCH(F6,MO_Common_ColumnHeader,0)),"N/A")</f>
      </c>
      <c r="O6" s="96"/>
      <c r="P6" s="79">
        <f t="shared" ref="P6:P9" ca="1" si="4">IF(ISNUMBER(N6),N6-K6,"N/A")</f>
      </c>
      <c r="Q6" s="80">
        <f t="shared" ref="Q6:Q9" ca="1" si="5">IFERROR(IF(ISNUMBER(N6),(N6-K6)/ABS(K6),"N/A"),"N/A")</f>
      </c>
      <c r="R6" s="96"/>
      <c r="S6" s="81">
        <v>46128</v>
      </c>
      <c r="T6" s="82" t="s">
        <v>983</v>
      </c>
      <c r="U6" s="97"/>
    </row>
    <row r="7" spans="1:21" s="610" customFormat="1" x14ac:dyDescent="0.3">
      <c r="A7" s="73">
        <v>426</v>
      </c>
      <c r="B7" s="137" t="str">
        <f t="shared" si="0"/>
      </c>
      <c r="C7" s="96"/>
      <c r="D7" s="76" t="str">
        <f ca="1">INDEX(INDIRECT(E7),0,COLUMN(MO_Common_Column_A))</f>
      </c>
      <c r="E7" s="77" t="s">
        <v>285</v>
      </c>
      <c r="F7" s="137" t="s">
        <v>2380</v>
      </c>
      <c r="G7" s="137"/>
      <c r="H7" s="96"/>
      <c r="I7" s="83">
        <v>0.12</v>
      </c>
      <c r="J7" s="83">
        <v>0.14000000000000001</v>
      </c>
      <c r="K7" s="83">
        <f t="shared" si="1"/>
      </c>
      <c r="L7" s="96"/>
      <c r="M7" s="137" t="str">
        <f t="shared" si="2"/>
      </c>
      <c r="N7" s="83">
        <f t="shared" ca="1" si="3"/>
      </c>
      <c r="O7" s="96"/>
      <c r="P7" s="80">
        <f t="shared" ca="1" si="4"/>
      </c>
      <c r="Q7" s="80">
        <f t="shared" ca="1" si="5"/>
      </c>
      <c r="R7" s="96"/>
      <c r="S7" s="81">
        <v>46128</v>
      </c>
      <c r="T7" s="82" t="s">
        <v>983</v>
      </c>
      <c r="U7" s="97"/>
    </row>
    <row r="8" spans="1:21" s="610" customFormat="1" x14ac:dyDescent="0.3">
      <c r="A8" s="73">
        <v>425</v>
      </c>
      <c r="B8" s="137" t="str">
        <f t="shared" si="0"/>
      </c>
      <c r="C8" s="96"/>
      <c r="D8" s="76" t="str">
        <f ca="1">INDEX(INDIRECT(E8),0,COLUMN(MO_Common_Column_A))</f>
      </c>
      <c r="E8" s="77" t="s">
        <v>975</v>
      </c>
      <c r="F8" s="137" t="s">
        <v>2380</v>
      </c>
      <c r="G8" s="137"/>
      <c r="H8" s="96"/>
      <c r="I8" s="83">
        <v>0.11</v>
      </c>
      <c r="J8" s="83">
        <v>0.13</v>
      </c>
      <c r="K8" s="83">
        <f t="shared" si="1"/>
      </c>
      <c r="L8" s="96"/>
      <c r="M8" s="137" t="str">
        <f t="shared" si="2"/>
      </c>
      <c r="N8" s="83" t="str">
        <f ca="1">IF(B8="Historical",IFERROR(INDEX(INDIRECT(E8),0,MATCH(F8,MO_Common_ColumnHeader,0)),"N/A"),"N/A")</f>
      </c>
      <c r="O8" s="96"/>
      <c r="P8" s="80" t="str">
        <f t="shared" ca="1" si="4"/>
      </c>
      <c r="Q8" s="80" t="str">
        <f t="shared" ca="1" si="5"/>
      </c>
      <c r="R8" s="96"/>
      <c r="S8" s="81">
        <v>46128</v>
      </c>
      <c r="T8" s="82" t="s">
        <v>983</v>
      </c>
      <c r="U8" s="97"/>
    </row>
    <row r="9" spans="1:21" s="610" customFormat="1" x14ac:dyDescent="0.3">
      <c r="A9" s="73">
        <v>424</v>
      </c>
      <c r="B9" s="137" t="str">
        <f t="shared" si="0"/>
      </c>
      <c r="C9" s="96"/>
      <c r="D9" s="76" t="s">
        <v>291</v>
      </c>
      <c r="E9" s="77" t="s">
        <v>654</v>
      </c>
      <c r="F9" s="137" t="s">
        <v>2380</v>
      </c>
      <c r="G9" s="137"/>
      <c r="H9" s="96"/>
      <c r="I9" s="83">
        <v>0.315</v>
      </c>
      <c r="J9" s="83">
        <v>0.315</v>
      </c>
      <c r="K9" s="83">
        <f t="shared" si="1"/>
      </c>
      <c r="L9" s="96"/>
      <c r="M9" s="137" t="str">
        <f t="shared" si="2"/>
      </c>
      <c r="N9" s="83">
        <f t="shared" ref="N9" ca="1" si="6">IFERROR(INDEX(INDIRECT(E9),0,MATCH(F9,MO_Common_ColumnHeader,0)),"N/A")</f>
      </c>
      <c r="O9" s="86"/>
      <c r="P9" s="80">
        <f t="shared" ca="1" si="4"/>
      </c>
      <c r="Q9" s="80">
        <f t="shared" ca="1" si="5"/>
      </c>
      <c r="R9" s="96"/>
      <c r="S9" s="81">
        <v>46128</v>
      </c>
      <c r="T9" s="82" t="s">
        <v>983</v>
      </c>
      <c r="U9" s="97"/>
    </row>
    <row r="10" spans="1:21" s="610" customFormat="1" x14ac:dyDescent="0.3">
      <c r="A10" s="73">
        <v>423</v>
      </c>
      <c r="B10" s="96"/>
      <c r="C10" s="96"/>
      <c r="D10" s="87"/>
      <c r="E10" s="96"/>
      <c r="F10" s="96"/>
      <c r="G10" s="96"/>
      <c r="H10" s="96"/>
      <c r="I10" s="96"/>
      <c r="J10" s="96"/>
      <c r="K10" s="96"/>
      <c r="L10" s="96"/>
      <c r="M10" s="96"/>
      <c r="N10" s="96"/>
      <c r="O10" s="96"/>
      <c r="P10" s="87"/>
      <c r="Q10" s="87"/>
      <c r="R10" s="96"/>
      <c r="S10" s="96"/>
      <c r="T10" s="179"/>
      <c r="U10" s="96"/>
    </row>
    <row r="11" spans="1:21" s="610" customFormat="1" x14ac:dyDescent="0.3">
      <c r="A11" s="73">
        <v>422</v>
      </c>
      <c r="B11" s="137" t="str">
        <f t="shared" ref="B11:B17" si="7">IF(INDEX(MO_SNA_IsHistoricalPeriod,,MATCH(F11,MO_Common_ColumnHeader,0)),"Historical","Forward")</f>
      </c>
      <c r="C11" s="96"/>
      <c r="D11" s="76" t="str">
        <f ca="1">INDEX(INDIRECT(E11),0,COLUMN(MO_Common_Column_A))</f>
      </c>
      <c r="E11" s="77" t="s">
        <v>282</v>
      </c>
      <c r="F11" s="137" t="s">
        <v>2430</v>
      </c>
      <c r="G11" s="137"/>
      <c r="H11" s="96"/>
      <c r="I11" s="78">
        <v>12574</v>
      </c>
      <c r="J11" s="78">
        <v>12574</v>
      </c>
      <c r="K11" s="78">
        <f t="shared" ref="K11:K17" si="8">AVERAGE(I11:J11)</f>
      </c>
      <c r="L11" s="96"/>
      <c r="M11" s="137" t="str">
        <f t="shared" ref="M11:M17" si="9">IF(INDEX(MO_SNA_IsHistoricalPeriod,,MATCH(F11,MO_Common_ColumnHeader,0)),"Actual","Estimate")</f>
      </c>
      <c r="N11" s="78">
        <f t="shared" ref="N11:N17" ca="1" si="10">IFERROR(INDEX(INDIRECT(E11),0,MATCH(F11,MO_Common_ColumnHeader,0)),"N/A")</f>
      </c>
      <c r="O11" s="96"/>
      <c r="P11" s="79">
        <f t="shared" ref="P11:P17" ca="1" si="11">IF(ISNUMBER(N11),N11-K11,"N/A")</f>
      </c>
      <c r="Q11" s="80">
        <f t="shared" ref="Q11:Q17" ca="1" si="12">IFERROR(IF(ISNUMBER(N11),(N11-K11)/ABS(K11),"N/A"),"N/A")</f>
      </c>
      <c r="R11" s="96"/>
      <c r="S11" s="81">
        <v>46128</v>
      </c>
      <c r="T11" s="82" t="s">
        <v>983</v>
      </c>
      <c r="U11" s="97"/>
    </row>
    <row r="12" spans="1:21" s="610" customFormat="1" x14ac:dyDescent="0.3">
      <c r="A12" s="73">
        <v>421</v>
      </c>
      <c r="B12" s="137" t="str">
        <f t="shared" si="7"/>
      </c>
      <c r="C12" s="96"/>
      <c r="D12" s="76" t="str">
        <f ca="1">INDEX(INDIRECT(E12),0,COLUMN(MO_Common_Column_A))</f>
      </c>
      <c r="E12" s="77" t="s">
        <v>285</v>
      </c>
      <c r="F12" s="137" t="s">
        <v>2430</v>
      </c>
      <c r="G12" s="137"/>
      <c r="H12" s="96"/>
      <c r="I12" s="83">
        <v>0.13500000000000001</v>
      </c>
      <c r="J12" s="83">
        <v>0.13500000000000001</v>
      </c>
      <c r="K12" s="83">
        <f t="shared" si="8"/>
      </c>
      <c r="L12" s="96"/>
      <c r="M12" s="137" t="str">
        <f t="shared" si="9"/>
      </c>
      <c r="N12" s="83">
        <f t="shared" ca="1" si="10"/>
      </c>
      <c r="O12" s="96"/>
      <c r="P12" s="80">
        <f t="shared" ca="1" si="11"/>
      </c>
      <c r="Q12" s="80">
        <f t="shared" ca="1" si="12"/>
      </c>
      <c r="R12" s="96"/>
      <c r="S12" s="81">
        <v>46128</v>
      </c>
      <c r="T12" s="82" t="s">
        <v>983</v>
      </c>
      <c r="U12" s="97"/>
    </row>
    <row r="13" spans="1:21" s="610" customFormat="1" x14ac:dyDescent="0.3">
      <c r="A13" s="73">
        <v>420</v>
      </c>
      <c r="B13" s="137" t="str">
        <f t="shared" si="7"/>
      </c>
      <c r="C13" s="96"/>
      <c r="D13" s="76" t="str">
        <f ca="1">INDEX(INDIRECT(E13),0,COLUMN(MO_Common_Column_A))</f>
      </c>
      <c r="E13" s="77" t="s">
        <v>975</v>
      </c>
      <c r="F13" s="137" t="s">
        <v>2430</v>
      </c>
      <c r="G13" s="137"/>
      <c r="H13" s="96"/>
      <c r="I13" s="83">
        <v>0.12</v>
      </c>
      <c r="J13" s="83">
        <v>0.12</v>
      </c>
      <c r="K13" s="83">
        <f t="shared" si="8"/>
      </c>
      <c r="L13" s="96"/>
      <c r="M13" s="137" t="str">
        <f t="shared" si="9"/>
      </c>
      <c r="N13" s="83" t="str">
        <f ca="1">IF(B13="Historical",IFERROR(INDEX(INDIRECT(E13),0,MATCH(F13,MO_Common_ColumnHeader,0)),"N/A"),"N/A")</f>
      </c>
      <c r="O13" s="96"/>
      <c r="P13" s="80" t="str">
        <f t="shared" ca="1" si="11"/>
      </c>
      <c r="Q13" s="80" t="str">
        <f t="shared" ca="1" si="12"/>
      </c>
      <c r="R13" s="96"/>
      <c r="S13" s="81">
        <v>46128</v>
      </c>
      <c r="T13" s="82" t="s">
        <v>983</v>
      </c>
      <c r="U13" s="97"/>
    </row>
    <row r="14" spans="1:21" s="610" customFormat="1" x14ac:dyDescent="0.3">
      <c r="A14" s="73">
        <v>419</v>
      </c>
      <c r="B14" s="137" t="str">
        <f t="shared" si="7"/>
      </c>
      <c r="C14" s="96"/>
      <c r="D14" s="76" t="str">
        <f ca="1">INDEX(INDIRECT(E14),0,COLUMN(MO_Common_Column_A))</f>
      </c>
      <c r="E14" s="77" t="s">
        <v>286</v>
      </c>
      <c r="F14" s="137" t="s">
        <v>2430</v>
      </c>
      <c r="G14" s="137"/>
      <c r="H14" s="96"/>
      <c r="I14" s="78">
        <v>4105</v>
      </c>
      <c r="J14" s="78">
        <v>4105</v>
      </c>
      <c r="K14" s="78">
        <f t="shared" si="8"/>
      </c>
      <c r="L14" s="96"/>
      <c r="M14" s="137" t="str">
        <f t="shared" si="9"/>
      </c>
      <c r="N14" s="78">
        <f t="shared" ca="1" si="10"/>
      </c>
      <c r="O14" s="96"/>
      <c r="P14" s="79">
        <f t="shared" ca="1" si="11"/>
      </c>
      <c r="Q14" s="80">
        <f t="shared" ca="1" si="12"/>
      </c>
      <c r="R14" s="96"/>
      <c r="S14" s="81">
        <v>46128</v>
      </c>
      <c r="T14" s="82" t="s">
        <v>983</v>
      </c>
      <c r="U14" s="97"/>
    </row>
    <row r="15" spans="1:21" s="610" customFormat="1" x14ac:dyDescent="0.3">
      <c r="A15" s="73">
        <v>418</v>
      </c>
      <c r="B15" s="137" t="str">
        <f t="shared" si="7"/>
      </c>
      <c r="C15" s="96"/>
      <c r="D15" s="76" t="s">
        <v>291</v>
      </c>
      <c r="E15" s="77" t="s">
        <v>654</v>
      </c>
      <c r="F15" s="137" t="s">
        <v>2430</v>
      </c>
      <c r="G15" s="137"/>
      <c r="H15" s="96"/>
      <c r="I15" s="83">
        <v>0.32600000000000001</v>
      </c>
      <c r="J15" s="83">
        <v>0.32600000000000001</v>
      </c>
      <c r="K15" s="83">
        <f t="shared" si="8"/>
      </c>
      <c r="L15" s="96"/>
      <c r="M15" s="137" t="str">
        <f t="shared" si="9"/>
      </c>
      <c r="N15" s="83">
        <f t="shared" ca="1" si="10"/>
      </c>
      <c r="O15" s="86"/>
      <c r="P15" s="80">
        <f t="shared" ca="1" si="11"/>
      </c>
      <c r="Q15" s="80">
        <f t="shared" ca="1" si="12"/>
      </c>
      <c r="R15" s="96"/>
      <c r="S15" s="81">
        <v>46128</v>
      </c>
      <c r="T15" s="82" t="s">
        <v>983</v>
      </c>
      <c r="U15" s="97"/>
    </row>
    <row r="16" spans="1:21" s="610" customFormat="1" x14ac:dyDescent="0.3">
      <c r="A16" s="73">
        <v>417</v>
      </c>
      <c r="B16" s="137" t="str">
        <f t="shared" si="7"/>
      </c>
      <c r="C16" s="96"/>
      <c r="D16" s="76" t="str">
        <f ca="1">INDEX(INDIRECT(E16),0,COLUMN(MO_Common_Column_A))</f>
      </c>
      <c r="E16" s="77" t="s">
        <v>287</v>
      </c>
      <c r="F16" s="137" t="s">
        <v>2430</v>
      </c>
      <c r="G16" s="137"/>
      <c r="H16" s="96"/>
      <c r="I16" s="78">
        <v>3327</v>
      </c>
      <c r="J16" s="78">
        <v>3327</v>
      </c>
      <c r="K16" s="78">
        <f t="shared" si="8"/>
      </c>
      <c r="L16" s="96"/>
      <c r="M16" s="137" t="str">
        <f t="shared" si="9"/>
      </c>
      <c r="N16" s="78">
        <f t="shared" ca="1" si="10"/>
      </c>
      <c r="O16" s="96"/>
      <c r="P16" s="79">
        <f t="shared" ca="1" si="11"/>
      </c>
      <c r="Q16" s="80">
        <f t="shared" ca="1" si="12"/>
      </c>
      <c r="R16" s="96"/>
      <c r="S16" s="81">
        <v>46128</v>
      </c>
      <c r="T16" s="82" t="s">
        <v>983</v>
      </c>
      <c r="U16" s="97"/>
    </row>
    <row r="17" spans="1:21" s="610" customFormat="1" x14ac:dyDescent="0.3">
      <c r="A17" s="73">
        <v>416</v>
      </c>
      <c r="B17" s="137" t="str">
        <f t="shared" si="7"/>
      </c>
      <c r="C17" s="96"/>
      <c r="D17" s="76" t="str">
        <f ca="1">INDEX(INDIRECT(E17),0,COLUMN(MO_Common_Column_A))</f>
      </c>
      <c r="E17" s="77" t="s">
        <v>288</v>
      </c>
      <c r="F17" s="137" t="s">
        <v>2430</v>
      </c>
      <c r="G17" s="137"/>
      <c r="H17" s="96"/>
      <c r="I17" s="84">
        <v>0.78</v>
      </c>
      <c r="J17" s="84">
        <v>0.78</v>
      </c>
      <c r="K17" s="84">
        <f t="shared" si="8"/>
      </c>
      <c r="L17" s="96"/>
      <c r="M17" s="137" t="str">
        <f t="shared" si="9"/>
      </c>
      <c r="N17" s="84">
        <f t="shared" ca="1" si="10"/>
      </c>
      <c r="O17" s="96"/>
      <c r="P17" s="85">
        <f t="shared" ca="1" si="11"/>
      </c>
      <c r="Q17" s="80">
        <f t="shared" ca="1" si="12"/>
      </c>
      <c r="R17" s="96"/>
      <c r="S17" s="81">
        <v>46128</v>
      </c>
      <c r="T17" s="82" t="s">
        <v>983</v>
      </c>
      <c r="U17" s="97"/>
    </row>
    <row r="18" spans="1:21" s="610" customFormat="1" x14ac:dyDescent="0.3">
      <c r="A18" s="73">
        <v>415</v>
      </c>
      <c r="B18" s="96"/>
      <c r="C18" s="96"/>
      <c r="D18" s="87"/>
      <c r="E18" s="96"/>
      <c r="F18" s="96"/>
      <c r="G18" s="96"/>
      <c r="H18" s="96"/>
      <c r="I18" s="96"/>
      <c r="J18" s="96"/>
      <c r="K18" s="96"/>
      <c r="L18" s="96"/>
      <c r="M18" s="96"/>
      <c r="N18" s="96"/>
      <c r="O18" s="96"/>
      <c r="P18" s="87"/>
      <c r="Q18" s="87"/>
      <c r="R18" s="96"/>
      <c r="S18" s="96"/>
      <c r="T18" s="179"/>
      <c r="U18" s="96"/>
    </row>
    <row r="19" spans="1:21" s="610" customFormat="1" x14ac:dyDescent="0.3">
      <c r="A19" s="73">
        <v>414</v>
      </c>
      <c r="B19" s="137" t="str">
        <f t="shared" ref="B19:B22" si="13">IF(INDEX(MO_SNA_IsHistoricalPeriod,,MATCH(F19,MO_Common_ColumnHeader,0)),"Historical","Forward")</f>
      </c>
      <c r="C19" s="96"/>
      <c r="D19" s="76" t="str">
        <f ca="1">INDEX(INDIRECT(E19),0,COLUMN(MO_Common_Column_A))</f>
      </c>
      <c r="E19" s="77" t="s">
        <v>282</v>
      </c>
      <c r="F19" s="137" t="s">
        <v>2380</v>
      </c>
      <c r="G19" s="137"/>
      <c r="H19" s="96"/>
      <c r="I19" s="78">
        <v>50700</v>
      </c>
      <c r="J19" s="78">
        <v>51700</v>
      </c>
      <c r="K19" s="78">
        <f t="shared" ref="K19:K22" si="14">AVERAGE(I19:J19)</f>
      </c>
      <c r="L19" s="96"/>
      <c r="M19" s="137" t="str">
        <f t="shared" ref="M19:M22" si="15">IF(INDEX(MO_SNA_IsHistoricalPeriod,,MATCH(F19,MO_Common_ColumnHeader,0)),"Actual","Estimate")</f>
      </c>
      <c r="N19" s="78">
        <f t="shared" ref="N19:N20" ca="1" si="16">IFERROR(INDEX(INDIRECT(E19),0,MATCH(F19,MO_Common_ColumnHeader,0)),"N/A")</f>
      </c>
      <c r="O19" s="96"/>
      <c r="P19" s="79">
        <f t="shared" ref="P19:P22" ca="1" si="17">IF(ISNUMBER(N19),N19-K19,"N/A")</f>
      </c>
      <c r="Q19" s="80">
        <f t="shared" ref="Q19:Q22" ca="1" si="18">IFERROR(IF(ISNUMBER(N19),(N19-K19)/ABS(K19),"N/A"),"N/A")</f>
      </c>
      <c r="R19" s="96"/>
      <c r="S19" s="81">
        <v>46042</v>
      </c>
      <c r="T19" s="82" t="s">
        <v>983</v>
      </c>
      <c r="U19" s="97"/>
    </row>
    <row r="20" spans="1:21" s="610" customFormat="1" x14ac:dyDescent="0.3">
      <c r="A20" s="73">
        <v>413</v>
      </c>
      <c r="B20" s="137" t="str">
        <f t="shared" si="13"/>
      </c>
      <c r="C20" s="96"/>
      <c r="D20" s="76" t="str">
        <f ca="1">INDEX(INDIRECT(E20),0,COLUMN(MO_Common_Column_A))</f>
      </c>
      <c r="E20" s="77" t="s">
        <v>285</v>
      </c>
      <c r="F20" s="137" t="s">
        <v>2380</v>
      </c>
      <c r="G20" s="137"/>
      <c r="H20" s="96"/>
      <c r="I20" s="83">
        <v>0.12</v>
      </c>
      <c r="J20" s="83">
        <v>0.14000000000000001</v>
      </c>
      <c r="K20" s="83">
        <f t="shared" si="14"/>
      </c>
      <c r="L20" s="96"/>
      <c r="M20" s="137" t="str">
        <f t="shared" si="15"/>
      </c>
      <c r="N20" s="83">
        <f t="shared" ca="1" si="16"/>
      </c>
      <c r="O20" s="96"/>
      <c r="P20" s="80">
        <f t="shared" ca="1" si="17"/>
      </c>
      <c r="Q20" s="80">
        <f t="shared" ca="1" si="18"/>
      </c>
      <c r="R20" s="96"/>
      <c r="S20" s="81">
        <v>46042</v>
      </c>
      <c r="T20" s="82" t="s">
        <v>983</v>
      </c>
      <c r="U20" s="97"/>
    </row>
    <row r="21" spans="1:21" s="610" customFormat="1" x14ac:dyDescent="0.3">
      <c r="A21" s="73">
        <v>412</v>
      </c>
      <c r="B21" s="137" t="str">
        <f t="shared" si="13"/>
      </c>
      <c r="C21" s="96"/>
      <c r="D21" s="76" t="str">
        <f ca="1">INDEX(INDIRECT(E21),0,COLUMN(MO_Common_Column_A))</f>
      </c>
      <c r="E21" s="77" t="s">
        <v>975</v>
      </c>
      <c r="F21" s="137" t="s">
        <v>2380</v>
      </c>
      <c r="G21" s="137"/>
      <c r="H21" s="96"/>
      <c r="I21" s="83">
        <v>0.11</v>
      </c>
      <c r="J21" s="83">
        <v>0.13</v>
      </c>
      <c r="K21" s="83">
        <f t="shared" si="14"/>
      </c>
      <c r="L21" s="96"/>
      <c r="M21" s="137" t="str">
        <f t="shared" si="15"/>
      </c>
      <c r="N21" s="83" t="str">
        <f ca="1">IF(B21="Historical",IFERROR(INDEX(INDIRECT(E21),0,MATCH(F21,MO_Common_ColumnHeader,0)),"N/A"),"N/A")</f>
      </c>
      <c r="O21" s="96"/>
      <c r="P21" s="80" t="str">
        <f t="shared" ca="1" si="17"/>
      </c>
      <c r="Q21" s="80" t="str">
        <f t="shared" ca="1" si="18"/>
      </c>
      <c r="R21" s="96"/>
      <c r="S21" s="81">
        <v>46042</v>
      </c>
      <c r="T21" s="82" t="s">
        <v>983</v>
      </c>
      <c r="U21" s="97"/>
    </row>
    <row r="22" spans="1:21" s="610" customFormat="1" x14ac:dyDescent="0.3">
      <c r="A22" s="73">
        <v>411</v>
      </c>
      <c r="B22" s="137" t="str">
        <f t="shared" si="13"/>
      </c>
      <c r="C22" s="96"/>
      <c r="D22" s="76" t="s">
        <v>291</v>
      </c>
      <c r="E22" s="77" t="s">
        <v>654</v>
      </c>
      <c r="F22" s="137" t="s">
        <v>2380</v>
      </c>
      <c r="G22" s="137"/>
      <c r="H22" s="96"/>
      <c r="I22" s="83">
        <v>0.315</v>
      </c>
      <c r="J22" s="83">
        <v>0.315</v>
      </c>
      <c r="K22" s="83">
        <f t="shared" si="14"/>
      </c>
      <c r="L22" s="96"/>
      <c r="M22" s="137" t="str">
        <f t="shared" si="15"/>
      </c>
      <c r="N22" s="83">
        <f t="shared" ref="N22" ca="1" si="19">IFERROR(INDEX(INDIRECT(E22),0,MATCH(F22,MO_Common_ColumnHeader,0)),"N/A")</f>
      </c>
      <c r="O22" s="86"/>
      <c r="P22" s="80">
        <f t="shared" ca="1" si="17"/>
      </c>
      <c r="Q22" s="80">
        <f t="shared" ca="1" si="18"/>
      </c>
      <c r="R22" s="96"/>
      <c r="S22" s="81">
        <v>46042</v>
      </c>
      <c r="T22" s="82" t="s">
        <v>983</v>
      </c>
      <c r="U22" s="97"/>
    </row>
    <row r="23" spans="1:21" s="610" customFormat="1" x14ac:dyDescent="0.3">
      <c r="A23" s="73">
        <v>410</v>
      </c>
      <c r="B23" s="96"/>
      <c r="C23" s="96"/>
      <c r="D23" s="87"/>
      <c r="E23" s="96"/>
      <c r="F23" s="96"/>
      <c r="G23" s="96"/>
      <c r="H23" s="96"/>
      <c r="I23" s="96"/>
      <c r="J23" s="96"/>
      <c r="K23" s="96"/>
      <c r="L23" s="96"/>
      <c r="M23" s="96"/>
      <c r="N23" s="96"/>
      <c r="O23" s="96"/>
      <c r="P23" s="87"/>
      <c r="Q23" s="87"/>
      <c r="R23" s="96"/>
      <c r="S23" s="96"/>
      <c r="T23" s="179"/>
      <c r="U23" s="96"/>
    </row>
    <row r="24" spans="1:21" s="610" customFormat="1" x14ac:dyDescent="0.3">
      <c r="A24" s="73">
        <v>409</v>
      </c>
      <c r="B24" s="137" t="str">
        <f t="shared" ref="B24:B29" si="20">IF(INDEX(MO_SNA_IsHistoricalPeriod,,MATCH(F24,MO_Common_ColumnHeader,0)),"Historical","Forward")</f>
      </c>
      <c r="C24" s="96"/>
      <c r="D24" s="76" t="str">
        <f ca="1">INDEX(INDIRECT(E24),0,COLUMN(MO_Common_Column_A))</f>
      </c>
      <c r="E24" s="77" t="s">
        <v>282</v>
      </c>
      <c r="F24" s="137" t="s">
        <v>2379</v>
      </c>
      <c r="G24" s="137"/>
      <c r="H24" s="96"/>
      <c r="I24" s="78">
        <v>12157</v>
      </c>
      <c r="J24" s="78">
        <v>12157</v>
      </c>
      <c r="K24" s="78">
        <f t="shared" ref="K24:K29" si="21">AVERAGE(I24:J24)</f>
      </c>
      <c r="L24" s="96"/>
      <c r="M24" s="137" t="str">
        <f t="shared" ref="M24:M29" si="22">IF(INDEX(MO_SNA_IsHistoricalPeriod,,MATCH(F24,MO_Common_ColumnHeader,0)),"Actual","Estimate")</f>
      </c>
      <c r="N24" s="78">
        <f t="shared" ref="N24:N25" ca="1" si="23">IFERROR(INDEX(INDIRECT(E24),0,MATCH(F24,MO_Common_ColumnHeader,0)),"N/A")</f>
      </c>
      <c r="O24" s="96"/>
      <c r="P24" s="79">
        <f t="shared" ref="P24:P29" ca="1" si="24">IF(ISNUMBER(N24),N24-K24,"N/A")</f>
      </c>
      <c r="Q24" s="80">
        <f t="shared" ref="Q24:Q29" ca="1" si="25">IFERROR(IF(ISNUMBER(N24),(N24-K24)/ABS(K24),"N/A"),"N/A")</f>
      </c>
      <c r="R24" s="96"/>
      <c r="S24" s="81">
        <v>46042</v>
      </c>
      <c r="T24" s="82" t="s">
        <v>983</v>
      </c>
      <c r="U24" s="97"/>
    </row>
    <row r="25" spans="1:21" s="610" customFormat="1" x14ac:dyDescent="0.3">
      <c r="A25" s="73">
        <v>408</v>
      </c>
      <c r="B25" s="137" t="str">
        <f t="shared" si="20"/>
      </c>
      <c r="C25" s="96"/>
      <c r="D25" s="76" t="str">
        <f ca="1">INDEX(INDIRECT(E25),0,COLUMN(MO_Common_Column_A))</f>
      </c>
      <c r="E25" s="77" t="s">
        <v>285</v>
      </c>
      <c r="F25" s="137" t="s">
        <v>2379</v>
      </c>
      <c r="G25" s="137"/>
      <c r="H25" s="96"/>
      <c r="I25" s="83">
        <v>0.153</v>
      </c>
      <c r="J25" s="83">
        <v>0.153</v>
      </c>
      <c r="K25" s="83">
        <f t="shared" si="21"/>
      </c>
      <c r="L25" s="96"/>
      <c r="M25" s="137" t="str">
        <f t="shared" si="22"/>
      </c>
      <c r="N25" s="83">
        <f t="shared" ca="1" si="23"/>
      </c>
      <c r="O25" s="96"/>
      <c r="P25" s="80">
        <f t="shared" ca="1" si="24"/>
      </c>
      <c r="Q25" s="80">
        <f t="shared" ca="1" si="25"/>
      </c>
      <c r="R25" s="96"/>
      <c r="S25" s="81">
        <v>46042</v>
      </c>
      <c r="T25" s="82" t="s">
        <v>983</v>
      </c>
      <c r="U25" s="97"/>
    </row>
    <row r="26" spans="1:21" s="610" customFormat="1" x14ac:dyDescent="0.3">
      <c r="A26" s="73">
        <v>407</v>
      </c>
      <c r="B26" s="137" t="str">
        <f t="shared" si="20"/>
      </c>
      <c r="C26" s="96"/>
      <c r="D26" s="76" t="str">
        <f ca="1">INDEX(INDIRECT(E26),0,COLUMN(MO_Common_Column_A))</f>
      </c>
      <c r="E26" s="77" t="s">
        <v>286</v>
      </c>
      <c r="F26" s="137" t="s">
        <v>2379</v>
      </c>
      <c r="G26" s="137"/>
      <c r="H26" s="96"/>
      <c r="I26" s="78">
        <v>3906</v>
      </c>
      <c r="J26" s="78">
        <v>3906</v>
      </c>
      <c r="K26" s="78">
        <f t="shared" si="21"/>
      </c>
      <c r="L26" s="96"/>
      <c r="M26" s="137" t="str">
        <f t="shared" si="22"/>
      </c>
      <c r="N26" s="78">
        <f t="shared" ref="N26:N29" ca="1" si="26">IFERROR(INDEX(INDIRECT(E26),0,MATCH(F26,MO_Common_ColumnHeader,0)),"N/A")</f>
      </c>
      <c r="O26" s="96"/>
      <c r="P26" s="79">
        <f t="shared" ca="1" si="24"/>
      </c>
      <c r="Q26" s="80">
        <f t="shared" ca="1" si="25"/>
      </c>
      <c r="R26" s="96"/>
      <c r="S26" s="81">
        <v>46042</v>
      </c>
      <c r="T26" s="82" t="s">
        <v>983</v>
      </c>
      <c r="U26" s="97"/>
    </row>
    <row r="27" spans="1:21" s="610" customFormat="1" x14ac:dyDescent="0.3">
      <c r="A27" s="73">
        <v>406</v>
      </c>
      <c r="B27" s="137" t="str">
        <f t="shared" si="20"/>
      </c>
      <c r="C27" s="96"/>
      <c r="D27" s="76" t="s">
        <v>291</v>
      </c>
      <c r="E27" s="77" t="s">
        <v>654</v>
      </c>
      <c r="F27" s="137" t="s">
        <v>2379</v>
      </c>
      <c r="G27" s="137"/>
      <c r="H27" s="96"/>
      <c r="I27" s="83">
        <v>0.32100000000000001</v>
      </c>
      <c r="J27" s="83">
        <v>0.32100000000000001</v>
      </c>
      <c r="K27" s="83">
        <f t="shared" si="21"/>
      </c>
      <c r="L27" s="96"/>
      <c r="M27" s="137" t="str">
        <f t="shared" si="22"/>
      </c>
      <c r="N27" s="83">
        <f t="shared" ca="1" si="26"/>
      </c>
      <c r="O27" s="86"/>
      <c r="P27" s="80">
        <f t="shared" ca="1" si="24"/>
      </c>
      <c r="Q27" s="80">
        <f t="shared" ca="1" si="25"/>
      </c>
      <c r="R27" s="96"/>
      <c r="S27" s="81">
        <v>46042</v>
      </c>
      <c r="T27" s="82" t="s">
        <v>983</v>
      </c>
      <c r="U27" s="97"/>
    </row>
    <row r="28" spans="1:21" s="610" customFormat="1" x14ac:dyDescent="0.3">
      <c r="A28" s="73">
        <v>405</v>
      </c>
      <c r="B28" s="137" t="str">
        <f t="shared" si="20"/>
      </c>
      <c r="C28" s="96"/>
      <c r="D28" s="76" t="str">
        <f ca="1">INDEX(INDIRECT(E28),0,COLUMN(MO_Common_Column_A))</f>
      </c>
      <c r="E28" s="77" t="s">
        <v>287</v>
      </c>
      <c r="F28" s="137" t="s">
        <v>2379</v>
      </c>
      <c r="G28" s="137"/>
      <c r="H28" s="96"/>
      <c r="I28" s="78">
        <v>3264</v>
      </c>
      <c r="J28" s="78">
        <v>3264</v>
      </c>
      <c r="K28" s="78">
        <f t="shared" si="21"/>
      </c>
      <c r="L28" s="96"/>
      <c r="M28" s="137" t="str">
        <f t="shared" si="22"/>
      </c>
      <c r="N28" s="78">
        <f t="shared" ca="1" si="26"/>
      </c>
      <c r="O28" s="96"/>
      <c r="P28" s="79">
        <f t="shared" ca="1" si="24"/>
      </c>
      <c r="Q28" s="80">
        <f t="shared" ca="1" si="25"/>
      </c>
      <c r="R28" s="96"/>
      <c r="S28" s="81">
        <v>46042</v>
      </c>
      <c r="T28" s="82" t="s">
        <v>983</v>
      </c>
      <c r="U28" s="97"/>
    </row>
    <row r="29" spans="1:21" s="610" customFormat="1" x14ac:dyDescent="0.3">
      <c r="A29" s="73">
        <v>404</v>
      </c>
      <c r="B29" s="137" t="str">
        <f t="shared" si="20"/>
      </c>
      <c r="C29" s="96"/>
      <c r="D29" s="76" t="str">
        <f ca="1">INDEX(INDIRECT(E29),0,COLUMN(MO_Common_Column_A))</f>
      </c>
      <c r="E29" s="77" t="s">
        <v>288</v>
      </c>
      <c r="F29" s="137" t="s">
        <v>2379</v>
      </c>
      <c r="G29" s="137"/>
      <c r="H29" s="96"/>
      <c r="I29" s="84">
        <v>0.76</v>
      </c>
      <c r="J29" s="84">
        <v>0.76</v>
      </c>
      <c r="K29" s="84">
        <f t="shared" si="21"/>
      </c>
      <c r="L29" s="96"/>
      <c r="M29" s="137" t="str">
        <f t="shared" si="22"/>
      </c>
      <c r="N29" s="84">
        <f t="shared" ca="1" si="26"/>
      </c>
      <c r="O29" s="96"/>
      <c r="P29" s="85">
        <f t="shared" ca="1" si="24"/>
      </c>
      <c r="Q29" s="80">
        <f t="shared" ca="1" si="25"/>
      </c>
      <c r="R29" s="96"/>
      <c r="S29" s="81">
        <v>46042</v>
      </c>
      <c r="T29" s="82" t="s">
        <v>983</v>
      </c>
      <c r="U29" s="97"/>
    </row>
    <row r="30" spans="1:21" s="610" customFormat="1" x14ac:dyDescent="0.3">
      <c r="A30" s="73">
        <v>403</v>
      </c>
      <c r="B30" s="96"/>
      <c r="C30" s="96"/>
      <c r="D30" s="87"/>
      <c r="E30" s="96"/>
      <c r="F30" s="96"/>
      <c r="G30" s="96"/>
      <c r="H30" s="96"/>
      <c r="I30" s="96"/>
      <c r="J30" s="96"/>
      <c r="K30" s="96"/>
      <c r="L30" s="96"/>
      <c r="M30" s="96"/>
      <c r="N30" s="96"/>
      <c r="O30" s="96"/>
      <c r="P30" s="87"/>
      <c r="Q30" s="87"/>
      <c r="R30" s="96"/>
      <c r="S30" s="96"/>
      <c r="T30" s="179"/>
      <c r="U30" s="96"/>
    </row>
    <row r="31" spans="1:21" s="610" customFormat="1" x14ac:dyDescent="0.3">
      <c r="A31" s="73">
        <v>402</v>
      </c>
      <c r="B31" s="137" t="str">
        <f t="shared" ref="B31:B34" si="27">IF(INDEX(MO_SNA_IsHistoricalPeriod,,MATCH(F31,MO_Common_ColumnHeader,0)),"Historical","Forward")</f>
      </c>
      <c r="C31" s="96"/>
      <c r="D31" s="76" t="str">
        <f ca="1">INDEX(INDIRECT(E31),0,COLUMN(MO_Common_Column_A))</f>
      </c>
      <c r="E31" s="77" t="s">
        <v>282</v>
      </c>
      <c r="F31" s="137" t="s">
        <v>2192</v>
      </c>
      <c r="G31" s="137"/>
      <c r="H31" s="96"/>
      <c r="I31" s="78">
        <v>45100</v>
      </c>
      <c r="J31" s="78">
        <v>45100</v>
      </c>
      <c r="K31" s="78">
        <f t="shared" ref="K31:K34" si="28">AVERAGE(I31:J31)</f>
      </c>
      <c r="L31" s="96"/>
      <c r="M31" s="137" t="str">
        <f t="shared" ref="M31:M34" si="29">IF(INDEX(MO_SNA_IsHistoricalPeriod,,MATCH(F31,MO_Common_ColumnHeader,0)),"Actual","Estimate")</f>
      </c>
      <c r="N31" s="78">
        <f t="shared" ref="N31:N32" ca="1" si="30">IFERROR(INDEX(INDIRECT(E31),0,MATCH(F31,MO_Common_ColumnHeader,0)),"N/A")</f>
      </c>
      <c r="O31" s="96"/>
      <c r="P31" s="79">
        <f t="shared" ref="P31:P34" ca="1" si="31">IF(ISNUMBER(N31),N31-K31,"N/A")</f>
      </c>
      <c r="Q31" s="80">
        <f t="shared" ref="Q31:Q34" ca="1" si="32">IFERROR(IF(ISNUMBER(N31),(N31-K31)/ABS(K31),"N/A"),"N/A")</f>
      </c>
      <c r="R31" s="96"/>
      <c r="S31" s="81">
        <v>45951</v>
      </c>
      <c r="T31" s="82" t="s">
        <v>983</v>
      </c>
      <c r="U31" s="97"/>
    </row>
    <row r="32" spans="1:21" s="610" customFormat="1" x14ac:dyDescent="0.3">
      <c r="A32" s="73">
        <v>401</v>
      </c>
      <c r="B32" s="137" t="str">
        <f t="shared" si="27"/>
      </c>
      <c r="C32" s="96"/>
      <c r="D32" s="76" t="str">
        <f ca="1">INDEX(INDIRECT(E32),0,COLUMN(MO_Common_Column_A))</f>
      </c>
      <c r="E32" s="77" t="s">
        <v>285</v>
      </c>
      <c r="F32" s="137" t="s">
        <v>2192</v>
      </c>
      <c r="G32" s="137"/>
      <c r="H32" s="96"/>
      <c r="I32" s="83">
        <v>0.16</v>
      </c>
      <c r="J32" s="83">
        <v>0.16</v>
      </c>
      <c r="K32" s="83">
        <f t="shared" si="28"/>
      </c>
      <c r="L32" s="96"/>
      <c r="M32" s="137" t="str">
        <f t="shared" si="29"/>
      </c>
      <c r="N32" s="83">
        <f t="shared" ca="1" si="30"/>
      </c>
      <c r="O32" s="96"/>
      <c r="P32" s="80">
        <f t="shared" ca="1" si="31"/>
      </c>
      <c r="Q32" s="80">
        <f t="shared" ca="1" si="32"/>
      </c>
      <c r="R32" s="96"/>
      <c r="S32" s="81">
        <v>45951</v>
      </c>
      <c r="T32" s="82" t="s">
        <v>983</v>
      </c>
      <c r="U32" s="97"/>
    </row>
    <row r="33" spans="1:21" s="610" customFormat="1" x14ac:dyDescent="0.3">
      <c r="A33" s="73">
        <v>400</v>
      </c>
      <c r="B33" s="137" t="str">
        <f t="shared" si="27"/>
      </c>
      <c r="C33" s="96"/>
      <c r="D33" s="76" t="str">
        <f ca="1">INDEX(INDIRECT(E33),0,COLUMN(MO_Common_Column_A))</f>
      </c>
      <c r="E33" s="77" t="s">
        <v>975</v>
      </c>
      <c r="F33" s="137" t="s">
        <v>2192</v>
      </c>
      <c r="G33" s="137"/>
      <c r="H33" s="96"/>
      <c r="I33" s="83">
        <v>0.17</v>
      </c>
      <c r="J33" s="83">
        <v>0.17</v>
      </c>
      <c r="K33" s="83">
        <f t="shared" si="28"/>
      </c>
      <c r="L33" s="96"/>
      <c r="M33" s="137" t="str">
        <f t="shared" si="29"/>
      </c>
      <c r="N33" s="83">
        <f ca="1">IF(B33="Historical",IFERROR(INDEX(INDIRECT(E33),0,MATCH(F33,MO_Common_ColumnHeader,0)),"N/A"),"N/A")</f>
      </c>
      <c r="O33" s="96"/>
      <c r="P33" s="80">
        <f t="shared" ca="1" si="31"/>
      </c>
      <c r="Q33" s="80">
        <f t="shared" ca="1" si="32"/>
      </c>
      <c r="R33" s="96"/>
      <c r="S33" s="81">
        <v>45951</v>
      </c>
      <c r="T33" s="82" t="s">
        <v>983</v>
      </c>
      <c r="U33" s="97"/>
    </row>
    <row r="34" spans="1:21" s="610" customFormat="1" x14ac:dyDescent="0.3">
      <c r="A34" s="73">
        <v>399</v>
      </c>
      <c r="B34" s="137" t="str">
        <f t="shared" si="27"/>
      </c>
      <c r="C34" s="96"/>
      <c r="D34" s="76" t="s">
        <v>291</v>
      </c>
      <c r="E34" s="77" t="s">
        <v>654</v>
      </c>
      <c r="F34" s="137" t="s">
        <v>2192</v>
      </c>
      <c r="G34" s="137"/>
      <c r="H34" s="96"/>
      <c r="I34" s="83">
        <v>0.28999999999999998</v>
      </c>
      <c r="J34" s="83">
        <v>0.28999999999999998</v>
      </c>
      <c r="K34" s="83">
        <f t="shared" si="28"/>
      </c>
      <c r="L34" s="96"/>
      <c r="M34" s="137" t="str">
        <f t="shared" si="29"/>
      </c>
      <c r="N34" s="83">
        <f t="shared" ref="N34" ca="1" si="33">IFERROR(INDEX(INDIRECT(E34),0,MATCH(F34,MO_Common_ColumnHeader,0)),"N/A")</f>
      </c>
      <c r="O34" s="86"/>
      <c r="P34" s="80">
        <f t="shared" ca="1" si="31"/>
      </c>
      <c r="Q34" s="80">
        <f t="shared" ca="1" si="32"/>
      </c>
      <c r="R34" s="96"/>
      <c r="S34" s="81">
        <v>45951</v>
      </c>
      <c r="T34" s="82" t="s">
        <v>983</v>
      </c>
      <c r="U34" s="97"/>
    </row>
    <row r="35" spans="1:21" s="610" customFormat="1" x14ac:dyDescent="0.3">
      <c r="A35" s="73">
        <v>398</v>
      </c>
      <c r="B35" s="96"/>
      <c r="C35" s="96"/>
      <c r="D35" s="87"/>
      <c r="E35" s="96"/>
      <c r="F35" s="96"/>
      <c r="G35" s="96"/>
      <c r="H35" s="96"/>
      <c r="I35" s="96"/>
      <c r="J35" s="96"/>
      <c r="K35" s="96"/>
      <c r="L35" s="96"/>
      <c r="M35" s="96"/>
      <c r="N35" s="96"/>
      <c r="O35" s="96"/>
      <c r="P35" s="87"/>
      <c r="Q35" s="87"/>
      <c r="R35" s="96"/>
      <c r="S35" s="96"/>
      <c r="T35" s="179"/>
      <c r="U35" s="96"/>
    </row>
    <row r="36" spans="1:21" s="610" customFormat="1" x14ac:dyDescent="0.3">
      <c r="A36" s="73">
        <v>397</v>
      </c>
      <c r="B36" s="137" t="str">
        <f t="shared" ref="B36:B42" si="34">IF(INDEX(MO_SNA_IsHistoricalPeriod,,MATCH(F36,MO_Common_ColumnHeader,0)),"Historical","Forward")</f>
      </c>
      <c r="C36" s="96"/>
      <c r="D36" s="76" t="str">
        <f ca="1">INDEX(INDIRECT(E36),0,COLUMN(MO_Common_Column_A))</f>
      </c>
      <c r="E36" s="77" t="s">
        <v>282</v>
      </c>
      <c r="F36" s="137" t="s">
        <v>2378</v>
      </c>
      <c r="G36" s="137"/>
      <c r="H36" s="96"/>
      <c r="I36" s="78">
        <v>11960</v>
      </c>
      <c r="J36" s="78">
        <v>11960</v>
      </c>
      <c r="K36" s="78">
        <f t="shared" ref="K36:K42" si="35">AVERAGE(I36:J36)</f>
      </c>
      <c r="L36" s="96"/>
      <c r="M36" s="137" t="str">
        <f t="shared" ref="M36:M42" si="36">IF(INDEX(MO_SNA_IsHistoricalPeriod,,MATCH(F36,MO_Common_ColumnHeader,0)),"Actual","Estimate")</f>
      </c>
      <c r="N36" s="78">
        <f t="shared" ref="N36:N37" ca="1" si="37">IFERROR(INDEX(INDIRECT(E36),0,MATCH(F36,MO_Common_ColumnHeader,0)),"N/A")</f>
      </c>
      <c r="O36" s="96"/>
      <c r="P36" s="79">
        <f t="shared" ref="P36:P42" ca="1" si="38">IF(ISNUMBER(N36),N36-K36,"N/A")</f>
      </c>
      <c r="Q36" s="80">
        <f t="shared" ref="Q36:Q42" ca="1" si="39">IFERROR(IF(ISNUMBER(N36),(N36-K36)/ABS(K36),"N/A"),"N/A")</f>
      </c>
      <c r="R36" s="96"/>
      <c r="S36" s="81">
        <v>45951</v>
      </c>
      <c r="T36" s="82" t="s">
        <v>983</v>
      </c>
      <c r="U36" s="97"/>
    </row>
    <row r="37" spans="1:21" s="610" customFormat="1" x14ac:dyDescent="0.3">
      <c r="A37" s="73">
        <v>396</v>
      </c>
      <c r="B37" s="137" t="str">
        <f t="shared" si="34"/>
      </c>
      <c r="C37" s="96"/>
      <c r="D37" s="76" t="str">
        <f ca="1">INDEX(INDIRECT(E37),0,COLUMN(MO_Common_Column_A))</f>
      </c>
      <c r="E37" s="77" t="s">
        <v>285</v>
      </c>
      <c r="F37" s="137" t="s">
        <v>2378</v>
      </c>
      <c r="G37" s="137"/>
      <c r="H37" s="96"/>
      <c r="I37" s="83">
        <v>0.16700000000000001</v>
      </c>
      <c r="J37" s="83">
        <v>0.16700000000000001</v>
      </c>
      <c r="K37" s="83">
        <f t="shared" si="35"/>
      </c>
      <c r="L37" s="96"/>
      <c r="M37" s="137" t="str">
        <f t="shared" si="36"/>
      </c>
      <c r="N37" s="83">
        <f t="shared" ca="1" si="37"/>
      </c>
      <c r="O37" s="96"/>
      <c r="P37" s="80">
        <f t="shared" ca="1" si="38"/>
      </c>
      <c r="Q37" s="80">
        <f t="shared" ca="1" si="39"/>
      </c>
      <c r="R37" s="96"/>
      <c r="S37" s="81">
        <v>45951</v>
      </c>
      <c r="T37" s="82" t="s">
        <v>983</v>
      </c>
      <c r="U37" s="97"/>
    </row>
    <row r="38" spans="1:21" s="610" customFormat="1" x14ac:dyDescent="0.3">
      <c r="A38" s="73">
        <v>395</v>
      </c>
      <c r="B38" s="137" t="str">
        <f t="shared" si="34"/>
      </c>
      <c r="C38" s="96"/>
      <c r="D38" s="76" t="str">
        <f ca="1">INDEX(INDIRECT(E38),0,COLUMN(MO_Common_Column_A))</f>
      </c>
      <c r="E38" s="77" t="s">
        <v>975</v>
      </c>
      <c r="F38" s="137" t="s">
        <v>2378</v>
      </c>
      <c r="G38" s="137"/>
      <c r="H38" s="96"/>
      <c r="I38" s="83">
        <v>0.16</v>
      </c>
      <c r="J38" s="83">
        <v>0.16</v>
      </c>
      <c r="K38" s="83">
        <f t="shared" si="35"/>
      </c>
      <c r="L38" s="96"/>
      <c r="M38" s="137" t="str">
        <f t="shared" si="36"/>
      </c>
      <c r="N38" s="83">
        <f ca="1">IF(B38="Historical",IFERROR(INDEX(INDIRECT(E38),0,MATCH(F38,MO_Common_ColumnHeader,0)),"N/A"),"N/A")</f>
      </c>
      <c r="O38" s="96"/>
      <c r="P38" s="80">
        <f t="shared" ca="1" si="38"/>
      </c>
      <c r="Q38" s="80">
        <f t="shared" ca="1" si="39"/>
      </c>
      <c r="R38" s="96"/>
      <c r="S38" s="81">
        <v>45951</v>
      </c>
      <c r="T38" s="82" t="s">
        <v>983</v>
      </c>
      <c r="U38" s="97"/>
    </row>
    <row r="39" spans="1:21" s="610" customFormat="1" x14ac:dyDescent="0.3">
      <c r="A39" s="73">
        <v>394</v>
      </c>
      <c r="B39" s="137" t="str">
        <f t="shared" si="34"/>
      </c>
      <c r="C39" s="96"/>
      <c r="D39" s="76" t="str">
        <f ca="1">INDEX(INDIRECT(E39),0,COLUMN(MO_Common_Column_A))</f>
      </c>
      <c r="E39" s="77" t="s">
        <v>286</v>
      </c>
      <c r="F39" s="137" t="s">
        <v>2378</v>
      </c>
      <c r="G39" s="137"/>
      <c r="H39" s="96"/>
      <c r="I39" s="78">
        <v>2860</v>
      </c>
      <c r="J39" s="78">
        <v>2860</v>
      </c>
      <c r="K39" s="78">
        <f t="shared" si="35"/>
      </c>
      <c r="L39" s="96"/>
      <c r="M39" s="137" t="str">
        <f t="shared" si="36"/>
      </c>
      <c r="N39" s="78">
        <f t="shared" ref="N39:N42" ca="1" si="40">IFERROR(INDEX(INDIRECT(E39),0,MATCH(F39,MO_Common_ColumnHeader,0)),"N/A")</f>
      </c>
      <c r="O39" s="96"/>
      <c r="P39" s="79">
        <f t="shared" ca="1" si="38"/>
      </c>
      <c r="Q39" s="80">
        <f t="shared" ca="1" si="39"/>
      </c>
      <c r="R39" s="96"/>
      <c r="S39" s="81">
        <v>45951</v>
      </c>
      <c r="T39" s="82" t="s">
        <v>983</v>
      </c>
      <c r="U39" s="97"/>
    </row>
    <row r="40" spans="1:21" s="610" customFormat="1" x14ac:dyDescent="0.3">
      <c r="A40" s="73">
        <v>393</v>
      </c>
      <c r="B40" s="137" t="str">
        <f t="shared" si="34"/>
      </c>
      <c r="C40" s="96"/>
      <c r="D40" s="76" t="s">
        <v>291</v>
      </c>
      <c r="E40" s="77" t="s">
        <v>654</v>
      </c>
      <c r="F40" s="137" t="s">
        <v>2378</v>
      </c>
      <c r="G40" s="137"/>
      <c r="H40" s="96"/>
      <c r="I40" s="83">
        <v>0.23899999999999999</v>
      </c>
      <c r="J40" s="83">
        <v>0.23899999999999999</v>
      </c>
      <c r="K40" s="83">
        <f t="shared" si="35"/>
      </c>
      <c r="L40" s="96"/>
      <c r="M40" s="137" t="str">
        <f t="shared" si="36"/>
      </c>
      <c r="N40" s="83">
        <f t="shared" ca="1" si="40"/>
      </c>
      <c r="O40" s="86"/>
      <c r="P40" s="80">
        <f t="shared" ca="1" si="38"/>
      </c>
      <c r="Q40" s="80">
        <f t="shared" ca="1" si="39"/>
      </c>
      <c r="R40" s="96"/>
      <c r="S40" s="81">
        <v>45951</v>
      </c>
      <c r="T40" s="82" t="s">
        <v>983</v>
      </c>
      <c r="U40" s="97"/>
    </row>
    <row r="41" spans="1:21" s="610" customFormat="1" x14ac:dyDescent="0.3">
      <c r="A41" s="73">
        <v>392</v>
      </c>
      <c r="B41" s="137" t="str">
        <f t="shared" si="34"/>
      </c>
      <c r="C41" s="96"/>
      <c r="D41" s="76" t="str">
        <f ca="1">INDEX(INDIRECT(E41),0,COLUMN(MO_Common_Column_A))</f>
      </c>
      <c r="E41" s="77" t="s">
        <v>287</v>
      </c>
      <c r="F41" s="137" t="s">
        <v>2378</v>
      </c>
      <c r="G41" s="137"/>
      <c r="H41" s="96"/>
      <c r="I41" s="78">
        <v>2355</v>
      </c>
      <c r="J41" s="78">
        <v>2355</v>
      </c>
      <c r="K41" s="78">
        <f t="shared" si="35"/>
      </c>
      <c r="L41" s="96"/>
      <c r="M41" s="137" t="str">
        <f t="shared" si="36"/>
      </c>
      <c r="N41" s="78">
        <f t="shared" ca="1" si="40"/>
      </c>
      <c r="O41" s="96"/>
      <c r="P41" s="79">
        <f t="shared" ca="1" si="38"/>
      </c>
      <c r="Q41" s="80">
        <f t="shared" ca="1" si="39"/>
      </c>
      <c r="R41" s="96"/>
      <c r="S41" s="81">
        <v>45951</v>
      </c>
      <c r="T41" s="82" t="s">
        <v>983</v>
      </c>
      <c r="U41" s="97"/>
    </row>
    <row r="42" spans="1:21" s="610" customFormat="1" x14ac:dyDescent="0.3">
      <c r="A42" s="73">
        <v>391</v>
      </c>
      <c r="B42" s="137" t="str">
        <f t="shared" si="34"/>
      </c>
      <c r="C42" s="96"/>
      <c r="D42" s="76" t="str">
        <f ca="1">INDEX(INDIRECT(E42),0,COLUMN(MO_Common_Column_A))</f>
      </c>
      <c r="E42" s="77" t="s">
        <v>288</v>
      </c>
      <c r="F42" s="137" t="s">
        <v>2378</v>
      </c>
      <c r="G42" s="137"/>
      <c r="H42" s="96"/>
      <c r="I42" s="84">
        <v>0.54500000000000004</v>
      </c>
      <c r="J42" s="84">
        <v>0.54500000000000004</v>
      </c>
      <c r="K42" s="84">
        <f t="shared" si="35"/>
      </c>
      <c r="L42" s="96"/>
      <c r="M42" s="137" t="str">
        <f t="shared" si="36"/>
      </c>
      <c r="N42" s="84">
        <f t="shared" ca="1" si="40"/>
      </c>
      <c r="O42" s="96"/>
      <c r="P42" s="85">
        <f t="shared" ca="1" si="38"/>
      </c>
      <c r="Q42" s="80">
        <f t="shared" ca="1" si="39"/>
      </c>
      <c r="R42" s="96"/>
      <c r="S42" s="81">
        <v>45951</v>
      </c>
      <c r="T42" s="82" t="s">
        <v>983</v>
      </c>
      <c r="U42" s="97"/>
    </row>
    <row r="43" spans="1:21" s="610" customFormat="1" x14ac:dyDescent="0.3">
      <c r="A43" s="73">
        <v>390</v>
      </c>
      <c r="B43" s="96"/>
      <c r="C43" s="96"/>
      <c r="D43" s="87"/>
      <c r="E43" s="96"/>
      <c r="F43" s="96"/>
      <c r="G43" s="96"/>
      <c r="H43" s="96"/>
      <c r="I43" s="96"/>
      <c r="J43" s="96"/>
      <c r="K43" s="96"/>
      <c r="L43" s="96"/>
      <c r="M43" s="96"/>
      <c r="N43" s="96"/>
      <c r="O43" s="96"/>
      <c r="P43" s="87"/>
      <c r="Q43" s="87"/>
      <c r="R43" s="96"/>
      <c r="S43" s="96"/>
      <c r="T43" s="179"/>
      <c r="U43" s="96"/>
    </row>
    <row r="44" spans="1:21" s="610" customFormat="1" x14ac:dyDescent="0.3">
      <c r="A44" s="73">
        <v>389</v>
      </c>
      <c r="B44" s="137" t="str">
        <f t="shared" ref="B44:B47" si="41">IF(INDEX(MO_SNA_IsHistoricalPeriod,,MATCH(F44,MO_Common_ColumnHeader,0)),"Historical","Forward")</f>
      </c>
      <c r="C44" s="96"/>
      <c r="D44" s="76" t="str">
        <f ca="1">INDEX(INDIRECT(E44),0,COLUMN(MO_Common_Column_A))</f>
      </c>
      <c r="E44" s="77" t="s">
        <v>282</v>
      </c>
      <c r="F44" s="137" t="s">
        <v>2192</v>
      </c>
      <c r="G44" s="137"/>
      <c r="H44" s="96"/>
      <c r="I44" s="78">
        <v>44800</v>
      </c>
      <c r="J44" s="78">
        <v>45200</v>
      </c>
      <c r="K44" s="78">
        <f t="shared" ref="K44:K47" si="42">AVERAGE(I44:J44)</f>
      </c>
      <c r="L44" s="96"/>
      <c r="M44" s="137" t="str">
        <f t="shared" ref="M44:M47" si="43">IF(INDEX(MO_SNA_IsHistoricalPeriod,,MATCH(F44,MO_Common_ColumnHeader,0)),"Actual","Estimate")</f>
      </c>
      <c r="N44" s="78">
        <f t="shared" ref="N44:N45" ca="1" si="44">IFERROR(INDEX(INDIRECT(E44),0,MATCH(F44,MO_Common_ColumnHeader,0)),"N/A")</f>
      </c>
      <c r="O44" s="96"/>
      <c r="P44" s="79">
        <f t="shared" ref="P44:P47" ca="1" si="45">IF(ISNUMBER(N44),N44-K44,"N/A")</f>
      </c>
      <c r="Q44" s="80">
        <f t="shared" ref="Q44:Q47" ca="1" si="46">IFERROR(IF(ISNUMBER(N44),(N44-K44)/ABS(K44),"N/A"),"N/A")</f>
      </c>
      <c r="R44" s="96"/>
      <c r="S44" s="81">
        <v>45855</v>
      </c>
      <c r="T44" s="82" t="s">
        <v>983</v>
      </c>
      <c r="U44" s="97"/>
    </row>
    <row r="45" spans="1:21" s="610" customFormat="1" x14ac:dyDescent="0.3">
      <c r="A45" s="73">
        <v>388</v>
      </c>
      <c r="B45" s="137" t="str">
        <f t="shared" si="41"/>
      </c>
      <c r="C45" s="96"/>
      <c r="D45" s="76" t="str">
        <f ca="1">INDEX(INDIRECT(E45),0,COLUMN(MO_Common_Column_A))</f>
      </c>
      <c r="E45" s="77" t="s">
        <v>285</v>
      </c>
      <c r="F45" s="137" t="s">
        <v>2192</v>
      </c>
      <c r="G45" s="137"/>
      <c r="H45" s="96"/>
      <c r="I45" s="83">
        <v>0.15</v>
      </c>
      <c r="J45" s="83">
        <v>0.16</v>
      </c>
      <c r="K45" s="83">
        <f t="shared" si="42"/>
      </c>
      <c r="L45" s="96"/>
      <c r="M45" s="137" t="str">
        <f t="shared" si="43"/>
      </c>
      <c r="N45" s="83">
        <f t="shared" ca="1" si="44"/>
      </c>
      <c r="O45" s="96"/>
      <c r="P45" s="80">
        <f t="shared" ca="1" si="45"/>
      </c>
      <c r="Q45" s="80">
        <f t="shared" ca="1" si="46"/>
      </c>
      <c r="R45" s="96"/>
      <c r="S45" s="81">
        <v>45855</v>
      </c>
      <c r="T45" s="82" t="s">
        <v>983</v>
      </c>
      <c r="U45" s="97"/>
    </row>
    <row r="46" spans="1:21" s="610" customFormat="1" x14ac:dyDescent="0.3">
      <c r="A46" s="73">
        <v>387</v>
      </c>
      <c r="B46" s="137" t="str">
        <f t="shared" si="41"/>
      </c>
      <c r="C46" s="96"/>
      <c r="D46" s="76" t="str">
        <f ca="1">INDEX(INDIRECT(E46),0,COLUMN(MO_Common_Column_A))</f>
      </c>
      <c r="E46" s="77" t="s">
        <v>975</v>
      </c>
      <c r="F46" s="137" t="s">
        <v>2192</v>
      </c>
      <c r="G46" s="137"/>
      <c r="H46" s="96"/>
      <c r="I46" s="83">
        <v>0.16</v>
      </c>
      <c r="J46" s="83">
        <v>0.17</v>
      </c>
      <c r="K46" s="83">
        <f t="shared" si="42"/>
      </c>
      <c r="L46" s="96"/>
      <c r="M46" s="137" t="str">
        <f t="shared" si="43"/>
      </c>
      <c r="N46" s="83">
        <f ca="1">IF(B46="Historical",IFERROR(INDEX(INDIRECT(E46),0,MATCH(F46,MO_Common_ColumnHeader,0)),"N/A"),"N/A")</f>
      </c>
      <c r="O46" s="96"/>
      <c r="P46" s="80">
        <f t="shared" ca="1" si="45"/>
      </c>
      <c r="Q46" s="80">
        <f t="shared" ca="1" si="46"/>
      </c>
      <c r="R46" s="96"/>
      <c r="S46" s="81">
        <v>45855</v>
      </c>
      <c r="T46" s="82" t="s">
        <v>983</v>
      </c>
      <c r="U46" s="97"/>
    </row>
    <row r="47" spans="1:21" s="610" customFormat="1" x14ac:dyDescent="0.3">
      <c r="A47" s="73">
        <v>386</v>
      </c>
      <c r="B47" s="137" t="str">
        <f t="shared" si="41"/>
      </c>
      <c r="C47" s="96"/>
      <c r="D47" s="76" t="s">
        <v>291</v>
      </c>
      <c r="E47" s="77" t="s">
        <v>654</v>
      </c>
      <c r="F47" s="137" t="s">
        <v>2192</v>
      </c>
      <c r="G47" s="137"/>
      <c r="H47" s="96"/>
      <c r="I47" s="83">
        <v>0.29499999999999998</v>
      </c>
      <c r="J47" s="83">
        <v>0.29499999999999998</v>
      </c>
      <c r="K47" s="83">
        <f t="shared" si="42"/>
      </c>
      <c r="L47" s="96"/>
      <c r="M47" s="137" t="str">
        <f t="shared" si="43"/>
      </c>
      <c r="N47" s="83">
        <f t="shared" ref="N47" ca="1" si="47">IFERROR(INDEX(INDIRECT(E47),0,MATCH(F47,MO_Common_ColumnHeader,0)),"N/A")</f>
      </c>
      <c r="O47" s="86"/>
      <c r="P47" s="80">
        <f t="shared" ca="1" si="45"/>
      </c>
      <c r="Q47" s="80">
        <f t="shared" ca="1" si="46"/>
      </c>
      <c r="R47" s="96"/>
      <c r="S47" s="81">
        <v>45855</v>
      </c>
      <c r="T47" s="82" t="s">
        <v>983</v>
      </c>
      <c r="U47" s="97"/>
    </row>
    <row r="48" spans="1:21" s="610" customFormat="1" x14ac:dyDescent="0.3">
      <c r="A48" s="73">
        <v>385</v>
      </c>
      <c r="B48" s="96"/>
      <c r="C48" s="96"/>
      <c r="D48" s="87"/>
      <c r="E48" s="96"/>
      <c r="F48" s="96"/>
      <c r="G48" s="96"/>
      <c r="H48" s="96"/>
      <c r="I48" s="96"/>
      <c r="J48" s="96"/>
      <c r="K48" s="96"/>
      <c r="L48" s="96"/>
      <c r="M48" s="96"/>
      <c r="N48" s="96"/>
      <c r="O48" s="96"/>
      <c r="P48" s="87"/>
      <c r="Q48" s="87"/>
      <c r="R48" s="96"/>
      <c r="S48" s="96"/>
      <c r="T48" s="179"/>
      <c r="U48" s="96"/>
    </row>
    <row r="49" spans="1:21" s="610" customFormat="1" x14ac:dyDescent="0.3">
      <c r="A49" s="73">
        <v>384</v>
      </c>
      <c r="B49" s="137" t="str">
        <f t="shared" ref="B49:B55" si="48">IF(INDEX(MO_SNA_IsHistoricalPeriod,,MATCH(F49,MO_Common_ColumnHeader,0)),"Historical","Forward")</f>
      </c>
      <c r="C49" s="96"/>
      <c r="D49" s="76" t="str">
        <f ca="1">INDEX(INDIRECT(E49),0,COLUMN(MO_Common_Column_A))</f>
      </c>
      <c r="E49" s="77" t="s">
        <v>282</v>
      </c>
      <c r="F49" s="137" t="s">
        <v>2205</v>
      </c>
      <c r="G49" s="137"/>
      <c r="H49" s="96"/>
      <c r="I49" s="78">
        <v>11526</v>
      </c>
      <c r="J49" s="78">
        <v>11526</v>
      </c>
      <c r="K49" s="78">
        <f t="shared" ref="K49:K55" si="49">AVERAGE(I49:J49)</f>
      </c>
      <c r="L49" s="96"/>
      <c r="M49" s="137" t="str">
        <f t="shared" ref="M49:M55" si="50">IF(INDEX(MO_SNA_IsHistoricalPeriod,,MATCH(F49,MO_Common_ColumnHeader,0)),"Actual","Estimate")</f>
      </c>
      <c r="N49" s="78">
        <f t="shared" ref="N49:N50" ca="1" si="51">IFERROR(INDEX(INDIRECT(E49),0,MATCH(F49,MO_Common_ColumnHeader,0)),"N/A")</f>
      </c>
      <c r="O49" s="96"/>
      <c r="P49" s="79">
        <f t="shared" ref="P49:P55" ca="1" si="52">IF(ISNUMBER(N49),N49-K49,"N/A")</f>
      </c>
      <c r="Q49" s="80">
        <f t="shared" ref="Q49:Q55" ca="1" si="53">IFERROR(IF(ISNUMBER(N49),(N49-K49)/ABS(K49),"N/A"),"N/A")</f>
      </c>
      <c r="R49" s="96"/>
      <c r="S49" s="81">
        <v>45855</v>
      </c>
      <c r="T49" s="82" t="s">
        <v>983</v>
      </c>
      <c r="U49" s="97"/>
    </row>
    <row r="50" spans="1:21" s="610" customFormat="1" x14ac:dyDescent="0.3">
      <c r="A50" s="73">
        <v>383</v>
      </c>
      <c r="B50" s="137" t="str">
        <f t="shared" si="48"/>
      </c>
      <c r="C50" s="96"/>
      <c r="D50" s="76" t="str">
        <f ca="1">INDEX(INDIRECT(E50),0,COLUMN(MO_Common_Column_A))</f>
      </c>
      <c r="E50" s="77" t="s">
        <v>285</v>
      </c>
      <c r="F50" s="137" t="s">
        <v>2205</v>
      </c>
      <c r="G50" s="137"/>
      <c r="H50" s="96"/>
      <c r="I50" s="83">
        <v>0.17299999999999999</v>
      </c>
      <c r="J50" s="83">
        <v>0.17299999999999999</v>
      </c>
      <c r="K50" s="83">
        <f t="shared" si="49"/>
      </c>
      <c r="L50" s="96"/>
      <c r="M50" s="137" t="str">
        <f t="shared" si="50"/>
      </c>
      <c r="N50" s="83">
        <f t="shared" ca="1" si="51"/>
      </c>
      <c r="O50" s="96"/>
      <c r="P50" s="80">
        <f t="shared" ca="1" si="52"/>
      </c>
      <c r="Q50" s="80">
        <f t="shared" ca="1" si="53"/>
      </c>
      <c r="R50" s="96"/>
      <c r="S50" s="81">
        <v>45855</v>
      </c>
      <c r="T50" s="82" t="s">
        <v>983</v>
      </c>
      <c r="U50" s="97"/>
    </row>
    <row r="51" spans="1:21" s="610" customFormat="1" x14ac:dyDescent="0.3">
      <c r="A51" s="73">
        <v>382</v>
      </c>
      <c r="B51" s="137" t="str">
        <f t="shared" si="48"/>
      </c>
      <c r="C51" s="96"/>
      <c r="D51" s="76" t="str">
        <f ca="1">INDEX(INDIRECT(E51),0,COLUMN(MO_Common_Column_A))</f>
      </c>
      <c r="E51" s="77" t="s">
        <v>975</v>
      </c>
      <c r="F51" s="137" t="s">
        <v>2205</v>
      </c>
      <c r="G51" s="137"/>
      <c r="H51" s="96"/>
      <c r="I51" s="83">
        <v>0.17</v>
      </c>
      <c r="J51" s="83">
        <v>0.17</v>
      </c>
      <c r="K51" s="83">
        <f t="shared" si="49"/>
      </c>
      <c r="L51" s="96"/>
      <c r="M51" s="137" t="str">
        <f t="shared" si="50"/>
      </c>
      <c r="N51" s="83">
        <f ca="1">IF(B51="Historical",IFERROR(INDEX(INDIRECT(E51),0,MATCH(F51,MO_Common_ColumnHeader,0)),"N/A"),"N/A")</f>
      </c>
      <c r="O51" s="96"/>
      <c r="P51" s="80">
        <f t="shared" ca="1" si="52"/>
      </c>
      <c r="Q51" s="80">
        <f t="shared" ca="1" si="53"/>
      </c>
      <c r="R51" s="96"/>
      <c r="S51" s="81">
        <v>45855</v>
      </c>
      <c r="T51" s="82" t="s">
        <v>983</v>
      </c>
      <c r="U51" s="97"/>
    </row>
    <row r="52" spans="1:21" s="610" customFormat="1" x14ac:dyDescent="0.3">
      <c r="A52" s="73">
        <v>381</v>
      </c>
      <c r="B52" s="137" t="str">
        <f t="shared" si="48"/>
      </c>
      <c r="C52" s="96"/>
      <c r="D52" s="76" t="str">
        <f ca="1">INDEX(INDIRECT(E52),0,COLUMN(MO_Common_Column_A))</f>
      </c>
      <c r="E52" s="77" t="s">
        <v>286</v>
      </c>
      <c r="F52" s="137" t="s">
        <v>2205</v>
      </c>
      <c r="G52" s="137"/>
      <c r="H52" s="96"/>
      <c r="I52" s="78">
        <v>3625</v>
      </c>
      <c r="J52" s="78">
        <v>3625</v>
      </c>
      <c r="K52" s="78">
        <f t="shared" si="49"/>
      </c>
      <c r="L52" s="96"/>
      <c r="M52" s="137" t="str">
        <f t="shared" si="50"/>
      </c>
      <c r="N52" s="78">
        <f t="shared" ref="N52:N55" ca="1" si="54">IFERROR(INDEX(INDIRECT(E52),0,MATCH(F52,MO_Common_ColumnHeader,0)),"N/A")</f>
      </c>
      <c r="O52" s="96"/>
      <c r="P52" s="79">
        <f t="shared" ca="1" si="52"/>
      </c>
      <c r="Q52" s="80">
        <f t="shared" ca="1" si="53"/>
      </c>
      <c r="R52" s="96"/>
      <c r="S52" s="81">
        <v>45855</v>
      </c>
      <c r="T52" s="82" t="s">
        <v>983</v>
      </c>
      <c r="U52" s="97"/>
    </row>
    <row r="53" spans="1:21" s="610" customFormat="1" x14ac:dyDescent="0.3">
      <c r="A53" s="73">
        <v>380</v>
      </c>
      <c r="B53" s="137" t="str">
        <f t="shared" si="48"/>
      </c>
      <c r="C53" s="96"/>
      <c r="D53" s="76" t="s">
        <v>291</v>
      </c>
      <c r="E53" s="77" t="s">
        <v>654</v>
      </c>
      <c r="F53" s="137" t="s">
        <v>2205</v>
      </c>
      <c r="G53" s="137"/>
      <c r="H53" s="96"/>
      <c r="I53" s="83">
        <v>0.315</v>
      </c>
      <c r="J53" s="83">
        <v>0.315</v>
      </c>
      <c r="K53" s="83">
        <f t="shared" si="49"/>
      </c>
      <c r="L53" s="96"/>
      <c r="M53" s="137" t="str">
        <f t="shared" si="50"/>
      </c>
      <c r="N53" s="83">
        <f t="shared" ca="1" si="54"/>
      </c>
      <c r="O53" s="86"/>
      <c r="P53" s="80">
        <f t="shared" ca="1" si="52"/>
      </c>
      <c r="Q53" s="80">
        <f t="shared" ca="1" si="53"/>
      </c>
      <c r="R53" s="96"/>
      <c r="S53" s="81">
        <v>45855</v>
      </c>
      <c r="T53" s="82" t="s">
        <v>983</v>
      </c>
      <c r="U53" s="97"/>
    </row>
    <row r="54" spans="1:21" s="610" customFormat="1" x14ac:dyDescent="0.3">
      <c r="A54" s="73">
        <v>379</v>
      </c>
      <c r="B54" s="137" t="str">
        <f t="shared" si="48"/>
      </c>
      <c r="C54" s="96"/>
      <c r="D54" s="76" t="str">
        <f ca="1">INDEX(INDIRECT(E54),0,COLUMN(MO_Common_Column_A))</f>
      </c>
      <c r="E54" s="77" t="s">
        <v>287</v>
      </c>
      <c r="F54" s="137" t="s">
        <v>2205</v>
      </c>
      <c r="G54" s="137"/>
      <c r="H54" s="96"/>
      <c r="I54" s="78">
        <v>2979</v>
      </c>
      <c r="J54" s="78">
        <v>2979</v>
      </c>
      <c r="K54" s="78">
        <f t="shared" si="49"/>
      </c>
      <c r="L54" s="96"/>
      <c r="M54" s="137" t="str">
        <f t="shared" si="50"/>
      </c>
      <c r="N54" s="78">
        <f t="shared" ca="1" si="54"/>
      </c>
      <c r="O54" s="96"/>
      <c r="P54" s="79">
        <f t="shared" ca="1" si="52"/>
      </c>
      <c r="Q54" s="80">
        <f t="shared" ca="1" si="53"/>
      </c>
      <c r="R54" s="96"/>
      <c r="S54" s="81">
        <v>45855</v>
      </c>
      <c r="T54" s="82" t="s">
        <v>983</v>
      </c>
      <c r="U54" s="97"/>
    </row>
    <row r="55" spans="1:21" s="610" customFormat="1" x14ac:dyDescent="0.3">
      <c r="A55" s="73">
        <v>378</v>
      </c>
      <c r="B55" s="137" t="str">
        <f t="shared" si="48"/>
      </c>
      <c r="C55" s="96"/>
      <c r="D55" s="76" t="str">
        <f ca="1">INDEX(INDIRECT(E55),0,COLUMN(MO_Common_Column_A))</f>
      </c>
      <c r="E55" s="77" t="s">
        <v>288</v>
      </c>
      <c r="F55" s="137" t="s">
        <v>2205</v>
      </c>
      <c r="G55" s="137"/>
      <c r="H55" s="96"/>
      <c r="I55" s="84">
        <v>0.68700000000000006</v>
      </c>
      <c r="J55" s="84">
        <v>0.68700000000000006</v>
      </c>
      <c r="K55" s="84">
        <f t="shared" si="49"/>
      </c>
      <c r="L55" s="96"/>
      <c r="M55" s="137" t="str">
        <f t="shared" si="50"/>
      </c>
      <c r="N55" s="84">
        <f t="shared" ca="1" si="54"/>
      </c>
      <c r="O55" s="96"/>
      <c r="P55" s="85">
        <f t="shared" ca="1" si="52"/>
      </c>
      <c r="Q55" s="80">
        <f t="shared" ca="1" si="53"/>
      </c>
      <c r="R55" s="96"/>
      <c r="S55" s="81">
        <v>45855</v>
      </c>
      <c r="T55" s="82" t="s">
        <v>983</v>
      </c>
      <c r="U55" s="97"/>
    </row>
    <row r="56" spans="1:21" s="610" customFormat="1" x14ac:dyDescent="0.3">
      <c r="A56" s="73">
        <v>377</v>
      </c>
      <c r="B56" s="96"/>
      <c r="C56" s="96"/>
      <c r="D56" s="87"/>
      <c r="E56" s="96"/>
      <c r="F56" s="96"/>
      <c r="G56" s="96"/>
      <c r="H56" s="96"/>
      <c r="I56" s="96"/>
      <c r="J56" s="96"/>
      <c r="K56" s="96"/>
      <c r="L56" s="96"/>
      <c r="M56" s="96"/>
      <c r="N56" s="96"/>
      <c r="O56" s="96"/>
      <c r="P56" s="87"/>
      <c r="Q56" s="87"/>
      <c r="R56" s="96"/>
      <c r="S56" s="96"/>
      <c r="T56" s="179"/>
      <c r="U56" s="96"/>
    </row>
    <row r="57" spans="1:21" s="610" customFormat="1" x14ac:dyDescent="0.3">
      <c r="A57" s="73">
        <v>376</v>
      </c>
      <c r="B57" s="137" t="str">
        <f t="shared" ref="B57:B60" si="55">IF(INDEX(MO_SNA_IsHistoricalPeriod,,MATCH(F57,MO_Common_ColumnHeader,0)),"Historical","Forward")</f>
      </c>
      <c r="C57" s="96"/>
      <c r="D57" s="76" t="str">
        <f ca="1">INDEX(INDIRECT(E57),0,COLUMN(MO_Common_Column_A))</f>
      </c>
      <c r="E57" s="77" t="s">
        <v>282</v>
      </c>
      <c r="F57" s="137" t="s">
        <v>2192</v>
      </c>
      <c r="G57" s="137"/>
      <c r="H57" s="96"/>
      <c r="I57" s="78">
        <v>43500</v>
      </c>
      <c r="J57" s="78">
        <v>44500</v>
      </c>
      <c r="K57" s="78">
        <f t="shared" ref="K57:K60" si="56">AVERAGE(I57:J57)</f>
      </c>
      <c r="L57" s="96"/>
      <c r="M57" s="137" t="str">
        <f t="shared" ref="M57:M60" si="57">IF(INDEX(MO_SNA_IsHistoricalPeriod,,MATCH(F57,MO_Common_ColumnHeader,0)),"Actual","Estimate")</f>
      </c>
      <c r="N57" s="78">
        <f t="shared" ref="N57:N58" ca="1" si="58">IFERROR(INDEX(INDIRECT(E57),0,MATCH(F57,MO_Common_ColumnHeader,0)),"N/A")</f>
      </c>
      <c r="O57" s="96"/>
      <c r="P57" s="79">
        <f t="shared" ref="P57:P60" ca="1" si="59">IF(ISNUMBER(N57),N57-K57,"N/A")</f>
      </c>
      <c r="Q57" s="80">
        <f t="shared" ref="Q57:Q60" ca="1" si="60">IFERROR(IF(ISNUMBER(N57),(N57-K57)/ABS(K57),"N/A"),"N/A")</f>
      </c>
      <c r="R57" s="96"/>
      <c r="S57" s="81">
        <v>45764</v>
      </c>
      <c r="T57" s="82" t="s">
        <v>983</v>
      </c>
      <c r="U57" s="97"/>
    </row>
    <row r="58" spans="1:21" s="610" customFormat="1" x14ac:dyDescent="0.3">
      <c r="A58" s="73">
        <v>375</v>
      </c>
      <c r="B58" s="137" t="str">
        <f t="shared" si="55"/>
      </c>
      <c r="C58" s="96"/>
      <c r="D58" s="76" t="str">
        <f ca="1">INDEX(INDIRECT(E58),0,COLUMN(MO_Common_Column_A))</f>
      </c>
      <c r="E58" s="77" t="s">
        <v>285</v>
      </c>
      <c r="F58" s="137" t="s">
        <v>2192</v>
      </c>
      <c r="G58" s="137"/>
      <c r="H58" s="96"/>
      <c r="I58" s="83">
        <v>0.12</v>
      </c>
      <c r="J58" s="83">
        <v>0.14000000000000001</v>
      </c>
      <c r="K58" s="83">
        <f t="shared" si="56"/>
      </c>
      <c r="L58" s="96"/>
      <c r="M58" s="137" t="str">
        <f t="shared" si="57"/>
      </c>
      <c r="N58" s="83">
        <f t="shared" ca="1" si="58"/>
      </c>
      <c r="O58" s="96"/>
      <c r="P58" s="80">
        <f t="shared" ca="1" si="59"/>
      </c>
      <c r="Q58" s="80">
        <f t="shared" ca="1" si="60"/>
      </c>
      <c r="R58" s="96"/>
      <c r="S58" s="81">
        <v>45764</v>
      </c>
      <c r="T58" s="82" t="s">
        <v>983</v>
      </c>
      <c r="U58" s="97"/>
    </row>
    <row r="59" spans="1:21" s="610" customFormat="1" x14ac:dyDescent="0.3">
      <c r="A59" s="73">
        <v>374</v>
      </c>
      <c r="B59" s="137" t="str">
        <f t="shared" si="55"/>
      </c>
      <c r="C59" s="96"/>
      <c r="D59" s="76" t="str">
        <f ca="1">INDEX(INDIRECT(E59),0,COLUMN(MO_Common_Column_A))</f>
      </c>
      <c r="E59" s="77" t="s">
        <v>975</v>
      </c>
      <c r="F59" s="137" t="s">
        <v>2192</v>
      </c>
      <c r="G59" s="137"/>
      <c r="H59" s="96"/>
      <c r="I59" s="83">
        <v>0.14000000000000001</v>
      </c>
      <c r="J59" s="83">
        <v>0.17</v>
      </c>
      <c r="K59" s="83">
        <f t="shared" si="56"/>
      </c>
      <c r="L59" s="96"/>
      <c r="M59" s="137" t="str">
        <f t="shared" si="57"/>
      </c>
      <c r="N59" s="83">
        <f ca="1">IF(B59="Historical",IFERROR(INDEX(INDIRECT(E59),0,MATCH(F59,MO_Common_ColumnHeader,0)),"N/A"),"N/A")</f>
      </c>
      <c r="O59" s="96"/>
      <c r="P59" s="80">
        <f t="shared" ca="1" si="59"/>
      </c>
      <c r="Q59" s="80">
        <f t="shared" ca="1" si="60"/>
      </c>
      <c r="R59" s="96"/>
      <c r="S59" s="81">
        <v>45764</v>
      </c>
      <c r="T59" s="82" t="s">
        <v>983</v>
      </c>
      <c r="U59" s="97"/>
    </row>
    <row r="60" spans="1:21" s="610" customFormat="1" x14ac:dyDescent="0.3">
      <c r="A60" s="73">
        <v>373</v>
      </c>
      <c r="B60" s="137" t="str">
        <f t="shared" si="55"/>
      </c>
      <c r="C60" s="96"/>
      <c r="D60" s="76" t="s">
        <v>291</v>
      </c>
      <c r="E60" s="77" t="s">
        <v>654</v>
      </c>
      <c r="F60" s="137" t="s">
        <v>2192</v>
      </c>
      <c r="G60" s="137"/>
      <c r="H60" s="96"/>
      <c r="I60" s="83">
        <v>0.28999999999999998</v>
      </c>
      <c r="J60" s="83">
        <v>0.28999999999999998</v>
      </c>
      <c r="K60" s="83">
        <f t="shared" si="56"/>
      </c>
      <c r="L60" s="96"/>
      <c r="M60" s="137" t="str">
        <f t="shared" si="57"/>
      </c>
      <c r="N60" s="83">
        <f t="shared" ref="N60" ca="1" si="61">IFERROR(INDEX(INDIRECT(E60),0,MATCH(F60,MO_Common_ColumnHeader,0)),"N/A")</f>
      </c>
      <c r="O60" s="86"/>
      <c r="P60" s="80">
        <f t="shared" ca="1" si="59"/>
      </c>
      <c r="Q60" s="80">
        <f t="shared" ca="1" si="60"/>
      </c>
      <c r="R60" s="96"/>
      <c r="S60" s="81">
        <v>45764</v>
      </c>
      <c r="T60" s="82" t="s">
        <v>983</v>
      </c>
      <c r="U60" s="97"/>
    </row>
    <row r="61" spans="1:21" s="610" customFormat="1" x14ac:dyDescent="0.3">
      <c r="A61" s="73">
        <v>372</v>
      </c>
      <c r="B61" s="96"/>
      <c r="C61" s="96"/>
      <c r="D61" s="87"/>
      <c r="E61" s="96"/>
      <c r="F61" s="96"/>
      <c r="G61" s="96"/>
      <c r="H61" s="96"/>
      <c r="I61" s="96"/>
      <c r="J61" s="96"/>
      <c r="K61" s="96"/>
      <c r="L61" s="96"/>
      <c r="M61" s="96"/>
      <c r="N61" s="96"/>
      <c r="O61" s="96"/>
      <c r="P61" s="87"/>
      <c r="Q61" s="87"/>
      <c r="R61" s="96"/>
      <c r="S61" s="96"/>
      <c r="T61" s="179"/>
      <c r="U61" s="96"/>
    </row>
    <row r="62" spans="1:21" s="610" customFormat="1" x14ac:dyDescent="0.3">
      <c r="A62" s="73">
        <v>371</v>
      </c>
      <c r="B62" s="137" t="str">
        <f t="shared" ref="B62:B68" si="62">IF(INDEX(MO_SNA_IsHistoricalPeriod,,MATCH(F62,MO_Common_ColumnHeader,0)),"Historical","Forward")</f>
      </c>
      <c r="C62" s="96"/>
      <c r="D62" s="76" t="str">
        <f ca="1">INDEX(INDIRECT(E62),0,COLUMN(MO_Common_Column_A))</f>
      </c>
      <c r="E62" s="77" t="s">
        <v>282</v>
      </c>
      <c r="F62" s="137" t="s">
        <v>2202</v>
      </c>
      <c r="G62" s="137"/>
      <c r="H62" s="96"/>
      <c r="I62" s="78">
        <v>11035</v>
      </c>
      <c r="J62" s="78">
        <v>11035</v>
      </c>
      <c r="K62" s="78">
        <f t="shared" ref="K62:K68" si="63">AVERAGE(I62:J62)</f>
      </c>
      <c r="L62" s="96"/>
      <c r="M62" s="137" t="str">
        <f t="shared" ref="M62:M68" si="64">IF(INDEX(MO_SNA_IsHistoricalPeriod,,MATCH(F62,MO_Common_ColumnHeader,0)),"Actual","Estimate")</f>
      </c>
      <c r="N62" s="78">
        <f t="shared" ref="N62:N63" ca="1" si="65">IFERROR(INDEX(INDIRECT(E62),0,MATCH(F62,MO_Common_ColumnHeader,0)),"N/A")</f>
      </c>
      <c r="O62" s="96"/>
      <c r="P62" s="79">
        <f t="shared" ref="P62:P68" ca="1" si="66">IF(ISNUMBER(N62),N62-K62,"N/A")</f>
      </c>
      <c r="Q62" s="80">
        <f t="shared" ref="Q62:Q68" ca="1" si="67">IFERROR(IF(ISNUMBER(N62),(N62-K62)/ABS(K62),"N/A"),"N/A")</f>
      </c>
      <c r="R62" s="96"/>
      <c r="S62" s="81">
        <v>45764</v>
      </c>
      <c r="T62" s="82" t="s">
        <v>983</v>
      </c>
      <c r="U62" s="97"/>
    </row>
    <row r="63" spans="1:21" s="610" customFormat="1" x14ac:dyDescent="0.3">
      <c r="A63" s="73">
        <v>370</v>
      </c>
      <c r="B63" s="137" t="str">
        <f t="shared" si="62"/>
      </c>
      <c r="C63" s="96"/>
      <c r="D63" s="76" t="str">
        <f ca="1">INDEX(INDIRECT(E63),0,COLUMN(MO_Common_Column_A))</f>
      </c>
      <c r="E63" s="77" t="s">
        <v>285</v>
      </c>
      <c r="F63" s="137" t="s">
        <v>2202</v>
      </c>
      <c r="G63" s="137"/>
      <c r="H63" s="96"/>
      <c r="I63" s="83">
        <v>0.154</v>
      </c>
      <c r="J63" s="83">
        <v>0.154</v>
      </c>
      <c r="K63" s="83">
        <f t="shared" si="63"/>
      </c>
      <c r="L63" s="96"/>
      <c r="M63" s="137" t="str">
        <f t="shared" si="64"/>
      </c>
      <c r="N63" s="83">
        <f t="shared" ca="1" si="65"/>
      </c>
      <c r="O63" s="96"/>
      <c r="P63" s="80">
        <f t="shared" ca="1" si="66"/>
      </c>
      <c r="Q63" s="80">
        <f t="shared" ca="1" si="67"/>
      </c>
      <c r="R63" s="96"/>
      <c r="S63" s="81">
        <v>45764</v>
      </c>
      <c r="T63" s="82" t="s">
        <v>983</v>
      </c>
      <c r="U63" s="97"/>
    </row>
    <row r="64" spans="1:21" s="610" customFormat="1" x14ac:dyDescent="0.3">
      <c r="A64" s="73">
        <v>369</v>
      </c>
      <c r="B64" s="137" t="str">
        <f t="shared" si="62"/>
      </c>
      <c r="C64" s="96"/>
      <c r="D64" s="76" t="str">
        <f ca="1">INDEX(INDIRECT(E64),0,COLUMN(MO_Common_Column_A))</f>
      </c>
      <c r="E64" s="77" t="s">
        <v>975</v>
      </c>
      <c r="F64" s="137" t="s">
        <v>2202</v>
      </c>
      <c r="G64" s="137"/>
      <c r="H64" s="96"/>
      <c r="I64" s="83">
        <v>0.17</v>
      </c>
      <c r="J64" s="83">
        <v>0.17</v>
      </c>
      <c r="K64" s="83">
        <f t="shared" si="63"/>
      </c>
      <c r="L64" s="96"/>
      <c r="M64" s="137" t="str">
        <f t="shared" si="64"/>
      </c>
      <c r="N64" s="83">
        <f ca="1">IF(B64="Historical",IFERROR(INDEX(INDIRECT(E64),0,MATCH(F64,MO_Common_ColumnHeader,0)),"N/A"),"N/A")</f>
      </c>
      <c r="O64" s="96"/>
      <c r="P64" s="80">
        <f t="shared" ca="1" si="66"/>
      </c>
      <c r="Q64" s="80">
        <f t="shared" ca="1" si="67"/>
      </c>
      <c r="R64" s="96"/>
      <c r="S64" s="81">
        <v>45764</v>
      </c>
      <c r="T64" s="82" t="s">
        <v>983</v>
      </c>
      <c r="U64" s="97"/>
    </row>
    <row r="65" spans="1:21" s="610" customFormat="1" x14ac:dyDescent="0.3">
      <c r="A65" s="73">
        <v>368</v>
      </c>
      <c r="B65" s="137" t="str">
        <f t="shared" si="62"/>
      </c>
      <c r="C65" s="96"/>
      <c r="D65" s="76" t="str">
        <f ca="1">INDEX(INDIRECT(E65),0,COLUMN(MO_Common_Column_A))</f>
      </c>
      <c r="E65" s="77" t="s">
        <v>286</v>
      </c>
      <c r="F65" s="137" t="s">
        <v>2202</v>
      </c>
      <c r="G65" s="137"/>
      <c r="H65" s="96"/>
      <c r="I65" s="78">
        <v>3675</v>
      </c>
      <c r="J65" s="78">
        <v>3675</v>
      </c>
      <c r="K65" s="78">
        <f t="shared" si="63"/>
      </c>
      <c r="L65" s="96"/>
      <c r="M65" s="137" t="str">
        <f t="shared" si="64"/>
      </c>
      <c r="N65" s="78">
        <f t="shared" ref="N65:N68" ca="1" si="68">IFERROR(INDEX(INDIRECT(E65),0,MATCH(F65,MO_Common_ColumnHeader,0)),"N/A")</f>
      </c>
      <c r="O65" s="96"/>
      <c r="P65" s="79">
        <f t="shared" ca="1" si="66"/>
      </c>
      <c r="Q65" s="80">
        <f t="shared" ca="1" si="67"/>
      </c>
      <c r="R65" s="96"/>
      <c r="S65" s="81">
        <v>45764</v>
      </c>
      <c r="T65" s="82" t="s">
        <v>983</v>
      </c>
      <c r="U65" s="97"/>
    </row>
    <row r="66" spans="1:21" s="610" customFormat="1" x14ac:dyDescent="0.3">
      <c r="A66" s="73">
        <v>367</v>
      </c>
      <c r="B66" s="137" t="str">
        <f t="shared" si="62"/>
      </c>
      <c r="C66" s="96"/>
      <c r="D66" s="76" t="s">
        <v>291</v>
      </c>
      <c r="E66" s="77" t="s">
        <v>654</v>
      </c>
      <c r="F66" s="137" t="s">
        <v>2202</v>
      </c>
      <c r="G66" s="137"/>
      <c r="H66" s="96"/>
      <c r="I66" s="83">
        <v>0.33</v>
      </c>
      <c r="J66" s="83">
        <v>0.33</v>
      </c>
      <c r="K66" s="83">
        <f t="shared" si="63"/>
      </c>
      <c r="L66" s="96"/>
      <c r="M66" s="137" t="str">
        <f t="shared" si="64"/>
      </c>
      <c r="N66" s="83">
        <f t="shared" ca="1" si="68"/>
      </c>
      <c r="O66" s="86"/>
      <c r="P66" s="80">
        <f t="shared" ca="1" si="66"/>
      </c>
      <c r="Q66" s="80">
        <f t="shared" ca="1" si="67"/>
      </c>
      <c r="R66" s="96"/>
      <c r="S66" s="81">
        <v>45764</v>
      </c>
      <c r="T66" s="82" t="s">
        <v>983</v>
      </c>
      <c r="U66" s="97"/>
    </row>
    <row r="67" spans="1:21" s="610" customFormat="1" x14ac:dyDescent="0.3">
      <c r="A67" s="73">
        <v>366</v>
      </c>
      <c r="B67" s="137" t="str">
        <f t="shared" si="62"/>
      </c>
      <c r="C67" s="96"/>
      <c r="D67" s="76" t="str">
        <f ca="1">INDEX(INDIRECT(E67),0,COLUMN(MO_Common_Column_A))</f>
      </c>
      <c r="E67" s="77" t="s">
        <v>287</v>
      </c>
      <c r="F67" s="137" t="s">
        <v>2202</v>
      </c>
      <c r="G67" s="137"/>
      <c r="H67" s="96"/>
      <c r="I67" s="78">
        <v>3055</v>
      </c>
      <c r="J67" s="78">
        <v>3055</v>
      </c>
      <c r="K67" s="78">
        <f t="shared" si="63"/>
      </c>
      <c r="L67" s="96"/>
      <c r="M67" s="137" t="str">
        <f t="shared" si="64"/>
      </c>
      <c r="N67" s="78">
        <f t="shared" ca="1" si="68"/>
      </c>
      <c r="O67" s="96"/>
      <c r="P67" s="79">
        <f t="shared" ca="1" si="66"/>
      </c>
      <c r="Q67" s="80">
        <f t="shared" ca="1" si="67"/>
      </c>
      <c r="R67" s="96"/>
      <c r="S67" s="81">
        <v>45764</v>
      </c>
      <c r="T67" s="82" t="s">
        <v>983</v>
      </c>
      <c r="U67" s="97"/>
    </row>
    <row r="68" spans="1:21" s="610" customFormat="1" x14ac:dyDescent="0.3">
      <c r="A68" s="73">
        <v>365</v>
      </c>
      <c r="B68" s="137" t="str">
        <f t="shared" si="62"/>
      </c>
      <c r="C68" s="96"/>
      <c r="D68" s="76" t="str">
        <f ca="1">INDEX(INDIRECT(E68),0,COLUMN(MO_Common_Column_A))</f>
      </c>
      <c r="E68" s="77" t="s">
        <v>288</v>
      </c>
      <c r="F68" s="137" t="s">
        <v>2202</v>
      </c>
      <c r="G68" s="137"/>
      <c r="H68" s="96"/>
      <c r="I68" s="84">
        <v>0.70299999999999996</v>
      </c>
      <c r="J68" s="84">
        <v>0.70299999999999996</v>
      </c>
      <c r="K68" s="84">
        <f t="shared" si="63"/>
      </c>
      <c r="L68" s="96"/>
      <c r="M68" s="137" t="str">
        <f t="shared" si="64"/>
      </c>
      <c r="N68" s="84">
        <f t="shared" ca="1" si="68"/>
      </c>
      <c r="O68" s="96"/>
      <c r="P68" s="85">
        <f t="shared" ca="1" si="66"/>
      </c>
      <c r="Q68" s="80">
        <f t="shared" ca="1" si="67"/>
      </c>
      <c r="R68" s="96"/>
      <c r="S68" s="81">
        <v>45764</v>
      </c>
      <c r="T68" s="82" t="s">
        <v>983</v>
      </c>
      <c r="U68" s="97"/>
    </row>
    <row r="69" spans="1:21" s="610" customFormat="1" x14ac:dyDescent="0.3">
      <c r="A69" s="73">
        <v>364</v>
      </c>
      <c r="B69" s="96"/>
      <c r="C69" s="96"/>
      <c r="D69" s="87"/>
      <c r="E69" s="96"/>
      <c r="F69" s="96"/>
      <c r="G69" s="96"/>
      <c r="H69" s="96"/>
      <c r="I69" s="96"/>
      <c r="J69" s="96"/>
      <c r="K69" s="96"/>
      <c r="L69" s="96"/>
      <c r="M69" s="96"/>
      <c r="N69" s="96"/>
      <c r="O69" s="96"/>
      <c r="P69" s="87"/>
      <c r="Q69" s="87"/>
      <c r="R69" s="96"/>
      <c r="S69" s="96"/>
      <c r="T69" s="179"/>
      <c r="U69" s="96"/>
    </row>
    <row r="70" spans="1:21" s="610" customFormat="1" x14ac:dyDescent="0.3">
      <c r="A70" s="73">
        <v>363</v>
      </c>
      <c r="B70" s="137" t="str">
        <f t="shared" ref="B70:B73" si="69">IF(INDEX(MO_SNA_IsHistoricalPeriod,,MATCH(F70,MO_Common_ColumnHeader,0)),"Historical","Forward")</f>
      </c>
      <c r="C70" s="96"/>
      <c r="D70" s="76" t="str">
        <f ca="1">INDEX(INDIRECT(E70),0,COLUMN(MO_Common_Column_A))</f>
      </c>
      <c r="E70" s="77" t="s">
        <v>282</v>
      </c>
      <c r="F70" s="137" t="s">
        <v>2192</v>
      </c>
      <c r="G70" s="137"/>
      <c r="H70" s="96"/>
      <c r="I70" s="78">
        <v>43500</v>
      </c>
      <c r="J70" s="78">
        <v>44500</v>
      </c>
      <c r="K70" s="78">
        <f t="shared" ref="K70:K73" si="70">AVERAGE(I70:J70)</f>
      </c>
      <c r="L70" s="96"/>
      <c r="M70" s="137" t="str">
        <f t="shared" ref="M70:M73" si="71">IF(INDEX(MO_SNA_IsHistoricalPeriod,,MATCH(F70,MO_Common_ColumnHeader,0)),"Actual","Estimate")</f>
      </c>
      <c r="N70" s="78">
        <f t="shared" ref="N70:N73" ca="1" si="72">IFERROR(INDEX(INDIRECT(E70),0,MATCH(F70,MO_Common_ColumnHeader,0)),"N/A")</f>
      </c>
      <c r="O70" s="96"/>
      <c r="P70" s="79">
        <f t="shared" ref="P70:P73" ca="1" si="73">IF(ISNUMBER(N70),N70-K70,"N/A")</f>
      </c>
      <c r="Q70" s="80">
        <f t="shared" ref="Q70:Q73" ca="1" si="74">IFERROR(IF(ISNUMBER(N70),(N70-K70)/ABS(K70),"N/A"),"N/A")</f>
      </c>
      <c r="R70" s="96"/>
      <c r="S70" s="81">
        <v>45678</v>
      </c>
      <c r="T70" s="82" t="s">
        <v>983</v>
      </c>
      <c r="U70" s="97"/>
    </row>
    <row r="71" spans="1:21" s="610" customFormat="1" x14ac:dyDescent="0.3">
      <c r="A71" s="73">
        <v>362</v>
      </c>
      <c r="B71" s="137" t="str">
        <f t="shared" si="69"/>
      </c>
      <c r="C71" s="96"/>
      <c r="D71" s="76" t="str">
        <f ca="1">INDEX(INDIRECT(E71),0,COLUMN(MO_Common_Column_A))</f>
      </c>
      <c r="E71" s="77" t="s">
        <v>285</v>
      </c>
      <c r="F71" s="137" t="s">
        <v>2192</v>
      </c>
      <c r="G71" s="137"/>
      <c r="H71" s="96"/>
      <c r="I71" s="83">
        <v>0.12</v>
      </c>
      <c r="J71" s="83">
        <v>0.14000000000000001</v>
      </c>
      <c r="K71" s="83">
        <f t="shared" si="70"/>
      </c>
      <c r="L71" s="96"/>
      <c r="M71" s="137" t="str">
        <f t="shared" si="71"/>
      </c>
      <c r="N71" s="83">
        <f t="shared" ca="1" si="72"/>
      </c>
      <c r="O71" s="96"/>
      <c r="P71" s="80">
        <f t="shared" ca="1" si="73"/>
      </c>
      <c r="Q71" s="80">
        <f t="shared" ca="1" si="74"/>
      </c>
      <c r="R71" s="96"/>
      <c r="S71" s="81">
        <v>45678</v>
      </c>
      <c r="T71" s="82" t="s">
        <v>983</v>
      </c>
      <c r="U71" s="97"/>
    </row>
    <row r="72" spans="1:21" s="610" customFormat="1" x14ac:dyDescent="0.3">
      <c r="A72" s="73">
        <v>361</v>
      </c>
      <c r="B72" s="137" t="str">
        <f t="shared" ref="B72" si="75">IF(INDEX(MO_SNA_IsHistoricalPeriod,,MATCH(F72,MO_Common_ColumnHeader,0)),"Historical","Forward")</f>
      </c>
      <c r="C72" s="96"/>
      <c r="D72" s="76" t="str">
        <f ca="1">INDEX(INDIRECT(E72),0,COLUMN(MO_Common_Column_A))</f>
      </c>
      <c r="E72" s="77" t="s">
        <v>975</v>
      </c>
      <c r="F72" s="137" t="s">
        <v>2192</v>
      </c>
      <c r="G72" s="137"/>
      <c r="H72" s="96"/>
      <c r="I72" s="83">
        <v>0.14000000000000001</v>
      </c>
      <c r="J72" s="83">
        <v>0.17</v>
      </c>
      <c r="K72" s="83">
        <f t="shared" ref="K72" si="76">AVERAGE(I72:J72)</f>
      </c>
      <c r="L72" s="96"/>
      <c r="M72" s="137" t="str">
        <f t="shared" ref="M72" si="77">IF(INDEX(MO_SNA_IsHistoricalPeriod,,MATCH(F72,MO_Common_ColumnHeader,0)),"Actual","Estimate")</f>
      </c>
      <c r="N72" s="83">
        <f ca="1">IF(B72="Historical",IFERROR(INDEX(INDIRECT(E72),0,MATCH(F72,MO_Common_ColumnHeader,0)),"N/A"),"N/A")</f>
      </c>
      <c r="O72" s="96"/>
      <c r="P72" s="80">
        <f t="shared" ref="P72" ca="1" si="78">IF(ISNUMBER(N72),N72-K72,"N/A")</f>
      </c>
      <c r="Q72" s="80">
        <f t="shared" ref="Q72" ca="1" si="79">IFERROR(IF(ISNUMBER(N72),(N72-K72)/ABS(K72),"N/A"),"N/A")</f>
      </c>
      <c r="R72" s="96"/>
      <c r="S72" s="81">
        <v>45678</v>
      </c>
      <c r="T72" s="82" t="s">
        <v>983</v>
      </c>
      <c r="U72" s="97"/>
    </row>
    <row r="73" spans="1:21" s="610" customFormat="1" x14ac:dyDescent="0.3">
      <c r="A73" s="73">
        <v>360</v>
      </c>
      <c r="B73" s="137" t="str">
        <f t="shared" si="69"/>
      </c>
      <c r="C73" s="96"/>
      <c r="D73" s="76" t="s">
        <v>291</v>
      </c>
      <c r="E73" s="77" t="s">
        <v>654</v>
      </c>
      <c r="F73" s="137" t="s">
        <v>2192</v>
      </c>
      <c r="G73" s="137"/>
      <c r="H73" s="96"/>
      <c r="I73" s="83">
        <v>0.28999999999999998</v>
      </c>
      <c r="J73" s="83">
        <v>0.28999999999999998</v>
      </c>
      <c r="K73" s="83">
        <f t="shared" si="70"/>
      </c>
      <c r="L73" s="96"/>
      <c r="M73" s="137" t="str">
        <f t="shared" si="71"/>
      </c>
      <c r="N73" s="83">
        <f t="shared" ca="1" si="72"/>
      </c>
      <c r="O73" s="86"/>
      <c r="P73" s="80">
        <f t="shared" ca="1" si="73"/>
      </c>
      <c r="Q73" s="80">
        <f t="shared" ca="1" si="74"/>
      </c>
      <c r="R73" s="96"/>
      <c r="S73" s="81">
        <v>45678</v>
      </c>
      <c r="T73" s="82" t="s">
        <v>983</v>
      </c>
      <c r="U73" s="97"/>
    </row>
    <row r="74" spans="1:21" s="610" customFormat="1" x14ac:dyDescent="0.3">
      <c r="A74" s="73">
        <v>359</v>
      </c>
      <c r="B74" s="96"/>
      <c r="C74" s="96"/>
      <c r="D74" s="87"/>
      <c r="E74" s="96"/>
      <c r="F74" s="96"/>
      <c r="G74" s="96"/>
      <c r="H74" s="96"/>
      <c r="I74" s="96"/>
      <c r="J74" s="96"/>
      <c r="K74" s="96"/>
      <c r="L74" s="96"/>
      <c r="M74" s="96"/>
      <c r="N74" s="96"/>
      <c r="O74" s="96"/>
      <c r="P74" s="87"/>
      <c r="Q74" s="87"/>
      <c r="R74" s="96"/>
      <c r="S74" s="96"/>
      <c r="T74" s="179"/>
      <c r="U74" s="96"/>
    </row>
    <row r="75" spans="1:21" s="610" customFormat="1" x14ac:dyDescent="0.3">
      <c r="A75" s="73">
        <v>358</v>
      </c>
      <c r="B75" s="137" t="str">
        <f t="shared" ref="B75:B81" si="80">IF(INDEX(MO_SNA_IsHistoricalPeriod,,MATCH(F75,MO_Common_ColumnHeader,0)),"Historical","Forward")</f>
      </c>
      <c r="C75" s="96"/>
      <c r="D75" s="76" t="str">
        <f ca="1">INDEX(INDIRECT(E75),0,COLUMN(MO_Common_Column_A))</f>
      </c>
      <c r="E75" s="77" t="s">
        <v>282</v>
      </c>
      <c r="F75" s="137" t="s">
        <v>2201</v>
      </c>
      <c r="G75" s="137"/>
      <c r="H75" s="96"/>
      <c r="I75" s="78">
        <v>10416</v>
      </c>
      <c r="J75" s="78">
        <v>10416</v>
      </c>
      <c r="K75" s="78">
        <f t="shared" ref="K75:K81" si="81">AVERAGE(I75:J75)</f>
      </c>
      <c r="L75" s="96"/>
      <c r="M75" s="137" t="str">
        <f t="shared" ref="M75:M81" si="82">IF(INDEX(MO_SNA_IsHistoricalPeriod,,MATCH(F75,MO_Common_ColumnHeader,0)),"Actual","Estimate")</f>
      </c>
      <c r="N75" s="78">
        <f t="shared" ref="N75:N76" ca="1" si="83">IFERROR(INDEX(INDIRECT(E75),0,MATCH(F75,MO_Common_ColumnHeader,0)),"N/A")</f>
      </c>
      <c r="O75" s="96"/>
      <c r="P75" s="79">
        <f t="shared" ref="P75:P81" ca="1" si="84">IF(ISNUMBER(N75),N75-K75,"N/A")</f>
      </c>
      <c r="Q75" s="80">
        <f t="shared" ref="Q75:Q81" ca="1" si="85">IFERROR(IF(ISNUMBER(N75),(N75-K75)/ABS(K75),"N/A"),"N/A")</f>
      </c>
      <c r="R75" s="96"/>
      <c r="S75" s="81">
        <v>45678</v>
      </c>
      <c r="T75" s="82" t="s">
        <v>983</v>
      </c>
      <c r="U75" s="97"/>
    </row>
    <row r="76" spans="1:21" s="610" customFormat="1" x14ac:dyDescent="0.3">
      <c r="A76" s="73">
        <v>357</v>
      </c>
      <c r="B76" s="137" t="str">
        <f t="shared" si="80"/>
      </c>
      <c r="C76" s="96"/>
      <c r="D76" s="76" t="str">
        <f ca="1">INDEX(INDIRECT(E76),0,COLUMN(MO_Common_Column_A))</f>
      </c>
      <c r="E76" s="77" t="s">
        <v>285</v>
      </c>
      <c r="F76" s="137" t="s">
        <v>2201</v>
      </c>
      <c r="G76" s="137"/>
      <c r="H76" s="96"/>
      <c r="I76" s="83">
        <v>0.112</v>
      </c>
      <c r="J76" s="83">
        <v>0.112</v>
      </c>
      <c r="K76" s="83">
        <f t="shared" si="81"/>
      </c>
      <c r="L76" s="96"/>
      <c r="M76" s="137" t="str">
        <f t="shared" si="82"/>
      </c>
      <c r="N76" s="83">
        <f t="shared" ca="1" si="83"/>
      </c>
      <c r="O76" s="96"/>
      <c r="P76" s="80">
        <f t="shared" ca="1" si="84"/>
      </c>
      <c r="Q76" s="80">
        <f t="shared" ca="1" si="85"/>
      </c>
      <c r="R76" s="96"/>
      <c r="S76" s="81">
        <v>45678</v>
      </c>
      <c r="T76" s="82" t="s">
        <v>983</v>
      </c>
      <c r="U76" s="97"/>
    </row>
    <row r="77" spans="1:21" s="610" customFormat="1" x14ac:dyDescent="0.3">
      <c r="A77" s="73">
        <v>356</v>
      </c>
      <c r="B77" s="137" t="str">
        <f t="shared" si="80"/>
      </c>
      <c r="C77" s="96"/>
      <c r="D77" s="76" t="str">
        <f ca="1">INDEX(INDIRECT(E77),0,COLUMN(MO_Common_Column_A))</f>
      </c>
      <c r="E77" s="77" t="s">
        <v>975</v>
      </c>
      <c r="F77" s="137" t="s">
        <v>2201</v>
      </c>
      <c r="G77" s="137"/>
      <c r="H77" s="96"/>
      <c r="I77" s="83">
        <v>0.14000000000000001</v>
      </c>
      <c r="J77" s="83">
        <v>0.14000000000000001</v>
      </c>
      <c r="K77" s="83">
        <f t="shared" si="81"/>
      </c>
      <c r="L77" s="96"/>
      <c r="M77" s="137" t="str">
        <f t="shared" si="82"/>
      </c>
      <c r="N77" s="83">
        <f ca="1">IF(B77="Historical",IFERROR(INDEX(INDIRECT(E77),0,MATCH(F77,MO_Common_ColumnHeader,0)),"N/A"),"N/A")</f>
      </c>
      <c r="O77" s="96"/>
      <c r="P77" s="80">
        <f t="shared" ca="1" si="84"/>
      </c>
      <c r="Q77" s="80">
        <f t="shared" ca="1" si="85"/>
      </c>
      <c r="R77" s="96"/>
      <c r="S77" s="81">
        <v>45678</v>
      </c>
      <c r="T77" s="82" t="s">
        <v>983</v>
      </c>
      <c r="U77" s="97"/>
    </row>
    <row r="78" spans="1:21" s="610" customFormat="1" x14ac:dyDescent="0.3">
      <c r="A78" s="73">
        <v>355</v>
      </c>
      <c r="B78" s="137" t="str">
        <f t="shared" si="80"/>
      </c>
      <c r="C78" s="96"/>
      <c r="D78" s="76" t="str">
        <f ca="1">INDEX(INDIRECT(E78),0,COLUMN(MO_Common_Column_A))</f>
      </c>
      <c r="E78" s="77" t="s">
        <v>286</v>
      </c>
      <c r="F78" s="137" t="s">
        <v>2201</v>
      </c>
      <c r="G78" s="137"/>
      <c r="H78" s="96"/>
      <c r="I78" s="78">
        <v>2940</v>
      </c>
      <c r="J78" s="78">
        <v>2940</v>
      </c>
      <c r="K78" s="78">
        <f t="shared" si="81"/>
      </c>
      <c r="L78" s="96"/>
      <c r="M78" s="137" t="str">
        <f t="shared" si="82"/>
      </c>
      <c r="N78" s="78">
        <f t="shared" ref="N78:N81" ca="1" si="86">IFERROR(INDEX(INDIRECT(E78),0,MATCH(F78,MO_Common_ColumnHeader,0)),"N/A")</f>
      </c>
      <c r="O78" s="96"/>
      <c r="P78" s="79">
        <f t="shared" ca="1" si="84"/>
      </c>
      <c r="Q78" s="80">
        <f t="shared" ca="1" si="85"/>
      </c>
      <c r="R78" s="96"/>
      <c r="S78" s="81">
        <v>45678</v>
      </c>
      <c r="T78" s="82" t="s">
        <v>983</v>
      </c>
      <c r="U78" s="97"/>
    </row>
    <row r="79" spans="1:21" s="610" customFormat="1" x14ac:dyDescent="0.3">
      <c r="A79" s="73">
        <v>354</v>
      </c>
      <c r="B79" s="137" t="str">
        <f t="shared" si="80"/>
      </c>
      <c r="C79" s="96"/>
      <c r="D79" s="76" t="s">
        <v>291</v>
      </c>
      <c r="E79" s="77" t="s">
        <v>654</v>
      </c>
      <c r="F79" s="137" t="s">
        <v>2201</v>
      </c>
      <c r="G79" s="137"/>
      <c r="H79" s="96"/>
      <c r="I79" s="83">
        <v>0.28199999999999997</v>
      </c>
      <c r="J79" s="83">
        <v>0.28199999999999997</v>
      </c>
      <c r="K79" s="83">
        <f t="shared" si="81"/>
      </c>
      <c r="L79" s="96"/>
      <c r="M79" s="137" t="str">
        <f t="shared" si="82"/>
      </c>
      <c r="N79" s="83">
        <f t="shared" ca="1" si="86"/>
      </c>
      <c r="O79" s="86"/>
      <c r="P79" s="80">
        <f t="shared" ca="1" si="84"/>
      </c>
      <c r="Q79" s="80">
        <f t="shared" ca="1" si="85"/>
      </c>
      <c r="R79" s="96"/>
      <c r="S79" s="81">
        <v>45678</v>
      </c>
      <c r="T79" s="82" t="s">
        <v>983</v>
      </c>
      <c r="U79" s="97"/>
    </row>
    <row r="80" spans="1:21" s="610" customFormat="1" x14ac:dyDescent="0.3">
      <c r="A80" s="73">
        <v>353</v>
      </c>
      <c r="B80" s="137" t="str">
        <f t="shared" si="80"/>
      </c>
      <c r="C80" s="96"/>
      <c r="D80" s="76" t="str">
        <f ca="1">INDEX(INDIRECT(E80),0,COLUMN(MO_Common_Column_A))</f>
      </c>
      <c r="E80" s="77" t="s">
        <v>287</v>
      </c>
      <c r="F80" s="137" t="s">
        <v>2201</v>
      </c>
      <c r="G80" s="137"/>
      <c r="H80" s="96"/>
      <c r="I80" s="78">
        <v>2440</v>
      </c>
      <c r="J80" s="78">
        <v>2440</v>
      </c>
      <c r="K80" s="78">
        <f t="shared" si="81"/>
      </c>
      <c r="L80" s="96"/>
      <c r="M80" s="137" t="str">
        <f t="shared" si="82"/>
      </c>
      <c r="N80" s="78">
        <f t="shared" ca="1" si="86"/>
      </c>
      <c r="O80" s="96"/>
      <c r="P80" s="79">
        <f t="shared" ca="1" si="84"/>
      </c>
      <c r="Q80" s="80">
        <f t="shared" ca="1" si="85"/>
      </c>
      <c r="R80" s="96"/>
      <c r="S80" s="81">
        <v>45678</v>
      </c>
      <c r="T80" s="82" t="s">
        <v>983</v>
      </c>
      <c r="U80" s="97"/>
    </row>
    <row r="81" spans="1:21" s="610" customFormat="1" x14ac:dyDescent="0.3">
      <c r="A81" s="73">
        <v>352</v>
      </c>
      <c r="B81" s="137" t="str">
        <f t="shared" si="80"/>
      </c>
      <c r="C81" s="96"/>
      <c r="D81" s="76" t="str">
        <f ca="1">INDEX(INDIRECT(E81),0,COLUMN(MO_Common_Column_A))</f>
      </c>
      <c r="E81" s="77" t="s">
        <v>288</v>
      </c>
      <c r="F81" s="137" t="s">
        <v>2201</v>
      </c>
      <c r="G81" s="137"/>
      <c r="H81" s="96"/>
      <c r="I81" s="84">
        <v>0.55800000000000005</v>
      </c>
      <c r="J81" s="84">
        <v>0.55800000000000005</v>
      </c>
      <c r="K81" s="84">
        <f t="shared" si="81"/>
      </c>
      <c r="L81" s="96"/>
      <c r="M81" s="137" t="str">
        <f t="shared" si="82"/>
      </c>
      <c r="N81" s="84">
        <f t="shared" ca="1" si="86"/>
      </c>
      <c r="O81" s="96"/>
      <c r="P81" s="85">
        <f t="shared" ca="1" si="84"/>
      </c>
      <c r="Q81" s="80">
        <f t="shared" ca="1" si="85"/>
      </c>
      <c r="R81" s="96"/>
      <c r="S81" s="81">
        <v>45678</v>
      </c>
      <c r="T81" s="82" t="s">
        <v>983</v>
      </c>
      <c r="U81" s="97"/>
    </row>
    <row r="82" spans="1:21" s="610" customFormat="1" x14ac:dyDescent="0.3">
      <c r="A82" s="73">
        <v>351</v>
      </c>
      <c r="B82" s="96"/>
      <c r="C82" s="96"/>
      <c r="D82" s="87"/>
      <c r="E82" s="96"/>
      <c r="F82" s="96"/>
      <c r="G82" s="96"/>
      <c r="H82" s="96"/>
      <c r="I82" s="96"/>
      <c r="J82" s="96"/>
      <c r="K82" s="96"/>
      <c r="L82" s="96"/>
      <c r="M82" s="96"/>
      <c r="N82" s="96"/>
      <c r="O82" s="96"/>
      <c r="P82" s="87"/>
      <c r="Q82" s="87"/>
      <c r="R82" s="96"/>
      <c r="S82" s="96"/>
      <c r="T82" s="179"/>
      <c r="U82" s="96"/>
    </row>
    <row r="83" spans="1:21" s="610" customFormat="1" x14ac:dyDescent="0.3">
      <c r="A83" s="73">
        <v>350</v>
      </c>
      <c r="B83" s="137" t="str">
        <f t="shared" ref="B83:B85" si="87">IF(INDEX(MO_SNA_IsHistoricalPeriod,,MATCH(F83,MO_Common_ColumnHeader,0)),"Historical","Forward")</f>
      </c>
      <c r="C83" s="96"/>
      <c r="D83" s="76" t="str">
        <f ca="1">INDEX(INDIRECT(E83),0,COLUMN(MO_Common_Column_A))</f>
      </c>
      <c r="E83" s="77" t="s">
        <v>282</v>
      </c>
      <c r="F83" s="137" t="s">
        <v>2192</v>
      </c>
      <c r="G83" s="137"/>
      <c r="H83" s="96"/>
      <c r="I83" s="78">
        <v>43000</v>
      </c>
      <c r="J83" s="78">
        <v>44000</v>
      </c>
      <c r="K83" s="78">
        <f t="shared" ref="K83:K85" si="88">AVERAGE(I83:J83)</f>
      </c>
      <c r="L83" s="96"/>
      <c r="M83" s="137" t="str">
        <f t="shared" ref="M83:M85" si="89">IF(INDEX(MO_SNA_IsHistoricalPeriod,,MATCH(F83,MO_Common_ColumnHeader,0)),"Actual","Estimate")</f>
      </c>
      <c r="N83" s="78">
        <f t="shared" ref="N83:N85" ca="1" si="90">IFERROR(INDEX(INDIRECT(E83),0,MATCH(F83,MO_Common_ColumnHeader,0)),"N/A")</f>
      </c>
      <c r="O83" s="96"/>
      <c r="P83" s="79">
        <f t="shared" ref="P83:P85" ca="1" si="91">IF(ISNUMBER(N83),N83-K83,"N/A")</f>
      </c>
      <c r="Q83" s="80">
        <f t="shared" ref="Q83:Q85" ca="1" si="92">IFERROR(IF(ISNUMBER(N83),(N83-K83)/ABS(K83),"N/A"),"N/A")</f>
      </c>
      <c r="R83" s="96"/>
      <c r="S83" s="81">
        <v>45582</v>
      </c>
      <c r="T83" s="82" t="s">
        <v>983</v>
      </c>
      <c r="U83" s="97"/>
    </row>
    <row r="84" spans="1:21" s="610" customFormat="1" x14ac:dyDescent="0.3">
      <c r="A84" s="73">
        <v>349</v>
      </c>
      <c r="B84" s="137" t="str">
        <f t="shared" si="87"/>
      </c>
      <c r="C84" s="96"/>
      <c r="D84" s="76" t="str">
        <f ca="1">INDEX(INDIRECT(E84),0,COLUMN(MO_Common_Column_A))</f>
      </c>
      <c r="E84" s="77" t="s">
        <v>285</v>
      </c>
      <c r="F84" s="137" t="s">
        <v>2192</v>
      </c>
      <c r="G84" s="137"/>
      <c r="H84" s="96"/>
      <c r="I84" s="83">
        <v>0.11</v>
      </c>
      <c r="J84" s="83">
        <v>0.13</v>
      </c>
      <c r="K84" s="83">
        <f t="shared" si="88"/>
      </c>
      <c r="L84" s="96"/>
      <c r="M84" s="137" t="str">
        <f t="shared" si="89"/>
      </c>
      <c r="N84" s="83">
        <f t="shared" ca="1" si="90"/>
      </c>
      <c r="O84" s="96"/>
      <c r="P84" s="80">
        <f t="shared" ca="1" si="91"/>
      </c>
      <c r="Q84" s="80">
        <f t="shared" ca="1" si="92"/>
      </c>
      <c r="R84" s="96"/>
      <c r="S84" s="81">
        <v>45582</v>
      </c>
      <c r="T84" s="82" t="s">
        <v>983</v>
      </c>
      <c r="U84" s="97"/>
    </row>
    <row r="85" spans="1:21" s="610" customFormat="1" x14ac:dyDescent="0.3">
      <c r="A85" s="73">
        <v>348</v>
      </c>
      <c r="B85" s="137" t="str">
        <f t="shared" si="87"/>
      </c>
      <c r="C85" s="96"/>
      <c r="D85" s="76" t="s">
        <v>291</v>
      </c>
      <c r="E85" s="77" t="s">
        <v>654</v>
      </c>
      <c r="F85" s="137" t="s">
        <v>2192</v>
      </c>
      <c r="G85" s="137"/>
      <c r="H85" s="96"/>
      <c r="I85" s="83">
        <v>0.28000000000000003</v>
      </c>
      <c r="J85" s="83">
        <v>0.28000000000000003</v>
      </c>
      <c r="K85" s="83">
        <f t="shared" si="88"/>
      </c>
      <c r="L85" s="96"/>
      <c r="M85" s="137" t="str">
        <f t="shared" si="89"/>
      </c>
      <c r="N85" s="83">
        <f t="shared" ca="1" si="90"/>
      </c>
      <c r="O85" s="86"/>
      <c r="P85" s="80">
        <f t="shared" ca="1" si="91"/>
      </c>
      <c r="Q85" s="80">
        <f t="shared" ca="1" si="92"/>
      </c>
      <c r="R85" s="96"/>
      <c r="S85" s="81">
        <v>45582</v>
      </c>
      <c r="T85" s="82" t="s">
        <v>983</v>
      </c>
      <c r="U85" s="97"/>
    </row>
    <row r="86" spans="1:21" s="610" customFormat="1" x14ac:dyDescent="0.3">
      <c r="A86" s="73">
        <v>347</v>
      </c>
      <c r="B86" s="96"/>
      <c r="C86" s="96"/>
      <c r="D86" s="87"/>
      <c r="E86" s="96"/>
      <c r="F86" s="96"/>
      <c r="G86" s="96"/>
      <c r="H86" s="96"/>
      <c r="I86" s="96"/>
      <c r="J86" s="96"/>
      <c r="K86" s="96"/>
      <c r="L86" s="96"/>
      <c r="M86" s="96"/>
      <c r="N86" s="96"/>
      <c r="O86" s="96"/>
      <c r="P86" s="87"/>
      <c r="Q86" s="87"/>
      <c r="R86" s="96"/>
      <c r="S86" s="96"/>
      <c r="T86" s="179"/>
      <c r="U86" s="96"/>
    </row>
    <row r="87" spans="1:21" s="610" customFormat="1" x14ac:dyDescent="0.3">
      <c r="A87" s="73">
        <v>346</v>
      </c>
      <c r="B87" s="137" t="str">
        <f t="shared" ref="B87:B88" si="93">IF(INDEX(MO_SNA_IsHistoricalPeriod,,MATCH(F87,MO_Common_ColumnHeader,0)),"Historical","Forward")</f>
      </c>
      <c r="C87" s="96"/>
      <c r="D87" s="76" t="str">
        <f ca="1">INDEX(INDIRECT(E87),0,COLUMN(MO_Common_Column_A))</f>
      </c>
      <c r="E87" s="77" t="s">
        <v>285</v>
      </c>
      <c r="F87" s="137" t="s">
        <v>986</v>
      </c>
      <c r="G87" s="137"/>
      <c r="H87" s="96"/>
      <c r="I87" s="83">
        <v>0.15</v>
      </c>
      <c r="J87" s="83">
        <v>0.15</v>
      </c>
      <c r="K87" s="83">
        <f t="shared" ref="K87:K88" si="94">AVERAGE(I87:J87)</f>
      </c>
      <c r="L87" s="96"/>
      <c r="M87" s="137" t="str">
        <f t="shared" ref="M87:M88" si="95">IF(INDEX(MO_SNA_IsHistoricalPeriod,,MATCH(F87,MO_Common_ColumnHeader,0)),"Actual","Estimate")</f>
      </c>
      <c r="N87" s="83">
        <f t="shared" ref="N87:N88" ca="1" si="96">IFERROR(INDEX(INDIRECT(E87),0,MATCH(F87,MO_Common_ColumnHeader,0)),"N/A")</f>
      </c>
      <c r="O87" s="96"/>
      <c r="P87" s="80">
        <f t="shared" ref="P87:P88" ca="1" si="97">IF(ISNUMBER(N87),N87-K87,"N/A")</f>
      </c>
      <c r="Q87" s="80">
        <f t="shared" ref="Q87:Q88" ca="1" si="98">IFERROR(IF(ISNUMBER(N87),(N87-K87)/ABS(K87),"N/A"),"N/A")</f>
      </c>
      <c r="R87" s="96"/>
      <c r="S87" s="81">
        <v>45582</v>
      </c>
      <c r="T87" s="82" t="s">
        <v>983</v>
      </c>
      <c r="U87" s="97"/>
    </row>
    <row r="88" spans="1:21" s="610" customFormat="1" x14ac:dyDescent="0.3">
      <c r="A88" s="73">
        <v>345</v>
      </c>
      <c r="B88" s="137" t="str">
        <f t="shared" si="93"/>
      </c>
      <c r="C88" s="96"/>
      <c r="D88" s="76" t="s">
        <v>291</v>
      </c>
      <c r="E88" s="77" t="s">
        <v>654</v>
      </c>
      <c r="F88" s="137" t="s">
        <v>986</v>
      </c>
      <c r="G88" s="137"/>
      <c r="H88" s="96"/>
      <c r="I88" s="83">
        <v>0.27</v>
      </c>
      <c r="J88" s="83">
        <v>0.27</v>
      </c>
      <c r="K88" s="83">
        <f t="shared" si="94"/>
      </c>
      <c r="L88" s="96"/>
      <c r="M88" s="137" t="str">
        <f t="shared" si="95"/>
      </c>
      <c r="N88" s="83">
        <f t="shared" ca="1" si="96"/>
      </c>
      <c r="O88" s="86"/>
      <c r="P88" s="80">
        <f t="shared" ca="1" si="97"/>
      </c>
      <c r="Q88" s="80">
        <f t="shared" ca="1" si="98"/>
      </c>
      <c r="R88" s="96"/>
      <c r="S88" s="81">
        <v>45582</v>
      </c>
      <c r="T88" s="82" t="s">
        <v>983</v>
      </c>
      <c r="U88" s="97"/>
    </row>
    <row r="89" spans="1:21" s="610" customFormat="1" x14ac:dyDescent="0.3">
      <c r="A89" s="73">
        <v>344</v>
      </c>
      <c r="B89" s="96"/>
      <c r="C89" s="96"/>
      <c r="D89" s="87"/>
      <c r="E89" s="96"/>
      <c r="F89" s="96"/>
      <c r="G89" s="96"/>
      <c r="H89" s="96"/>
      <c r="I89" s="96"/>
      <c r="J89" s="96"/>
      <c r="K89" s="96"/>
      <c r="L89" s="96"/>
      <c r="M89" s="96"/>
      <c r="N89" s="96"/>
      <c r="O89" s="96"/>
      <c r="P89" s="87"/>
      <c r="Q89" s="87"/>
      <c r="R89" s="96"/>
      <c r="S89" s="96"/>
      <c r="T89" s="179"/>
      <c r="U89" s="96"/>
    </row>
    <row r="90" spans="1:21" s="610" customFormat="1" x14ac:dyDescent="0.3">
      <c r="A90" s="73">
        <v>343</v>
      </c>
      <c r="B90" s="137" t="str">
        <f t="shared" ref="B90:B97" si="99">IF(INDEX(MO_SNA_IsHistoricalPeriod,,MATCH(F90,MO_Common_ColumnHeader,0)),"Historical","Forward")</f>
      </c>
      <c r="C90" s="96"/>
      <c r="D90" s="76" t="str">
        <f ca="1">INDEX(INDIRECT(E90),0,COLUMN(MO_Common_Column_A))</f>
      </c>
      <c r="E90" s="77" t="s">
        <v>282</v>
      </c>
      <c r="F90" s="137" t="s">
        <v>2191</v>
      </c>
      <c r="G90" s="137"/>
      <c r="H90" s="96"/>
      <c r="I90" s="78">
        <v>10128</v>
      </c>
      <c r="J90" s="78">
        <v>10128</v>
      </c>
      <c r="K90" s="78">
        <f t="shared" ref="K90:K96" si="100">AVERAGE(I90:J90)</f>
      </c>
      <c r="L90" s="96"/>
      <c r="M90" s="137" t="str">
        <f t="shared" ref="M90:M97" si="101">IF(INDEX(MO_SNA_IsHistoricalPeriod,,MATCH(F90,MO_Common_ColumnHeader,0)),"Actual","Estimate")</f>
      </c>
      <c r="N90" s="78">
        <f t="shared" ref="N90:N91" ca="1" si="102">IFERROR(INDEX(INDIRECT(E90),0,MATCH(F90,MO_Common_ColumnHeader,0)),"N/A")</f>
      </c>
      <c r="O90" s="96"/>
      <c r="P90" s="79">
        <f t="shared" ref="P90:P97" ca="1" si="103">IF(ISNUMBER(N90),N90-K90,"N/A")</f>
      </c>
      <c r="Q90" s="80">
        <f t="shared" ref="Q90:Q97" ca="1" si="104">IFERROR(IF(ISNUMBER(N90),(N90-K90)/ABS(K90),"N/A"),"N/A")</f>
      </c>
      <c r="R90" s="96"/>
      <c r="S90" s="81">
        <v>45582</v>
      </c>
      <c r="T90" s="82" t="s">
        <v>983</v>
      </c>
      <c r="U90" s="97"/>
    </row>
    <row r="91" spans="1:21" s="610" customFormat="1" x14ac:dyDescent="0.3">
      <c r="A91" s="73">
        <v>342</v>
      </c>
      <c r="B91" s="137" t="str">
        <f t="shared" si="99"/>
      </c>
      <c r="C91" s="96"/>
      <c r="D91" s="76" t="str">
        <f ca="1">INDEX(INDIRECT(E91),0,COLUMN(MO_Common_Column_A))</f>
      </c>
      <c r="E91" s="77" t="s">
        <v>285</v>
      </c>
      <c r="F91" s="137" t="s">
        <v>2191</v>
      </c>
      <c r="G91" s="137"/>
      <c r="H91" s="96"/>
      <c r="I91" s="83">
        <v>0.14699999999999999</v>
      </c>
      <c r="J91" s="83">
        <v>0.14699999999999999</v>
      </c>
      <c r="K91" s="83">
        <f t="shared" si="100"/>
      </c>
      <c r="L91" s="96"/>
      <c r="M91" s="137" t="str">
        <f t="shared" si="101"/>
      </c>
      <c r="N91" s="83">
        <f t="shared" ca="1" si="102"/>
      </c>
      <c r="O91" s="96"/>
      <c r="P91" s="80">
        <f t="shared" ca="1" si="103"/>
      </c>
      <c r="Q91" s="80">
        <f t="shared" ca="1" si="104"/>
      </c>
      <c r="R91" s="96"/>
      <c r="S91" s="81">
        <v>45582</v>
      </c>
      <c r="T91" s="82" t="s">
        <v>983</v>
      </c>
      <c r="U91" s="97"/>
    </row>
    <row r="92" spans="1:21" s="610" customFormat="1" x14ac:dyDescent="0.3">
      <c r="A92" s="73">
        <v>341</v>
      </c>
      <c r="B92" s="137" t="str">
        <f t="shared" si="99"/>
      </c>
      <c r="C92" s="96"/>
      <c r="D92" s="76" t="str">
        <f ca="1">INDEX(INDIRECT(E92),0,COLUMN(MO_Common_Column_A))</f>
      </c>
      <c r="E92" s="77" t="s">
        <v>975</v>
      </c>
      <c r="F92" s="137" t="s">
        <v>2191</v>
      </c>
      <c r="G92" s="137"/>
      <c r="H92" s="96"/>
      <c r="I92" s="83">
        <v>0.17</v>
      </c>
      <c r="J92" s="83">
        <v>0.17</v>
      </c>
      <c r="K92" s="83">
        <f t="shared" si="100"/>
      </c>
      <c r="L92" s="96"/>
      <c r="M92" s="137" t="str">
        <f t="shared" si="101"/>
      </c>
      <c r="N92" s="83">
        <f ca="1">IF(B92="Historical",IFERROR(INDEX(INDIRECT(E92),0,MATCH(F92,MO_Common_ColumnHeader,0)),"N/A"),"N/A")</f>
      </c>
      <c r="O92" s="96"/>
      <c r="P92" s="80">
        <f t="shared" ca="1" si="103"/>
      </c>
      <c r="Q92" s="80">
        <f t="shared" ca="1" si="104"/>
      </c>
      <c r="R92" s="96"/>
      <c r="S92" s="81">
        <v>45582</v>
      </c>
      <c r="T92" s="82" t="s">
        <v>983</v>
      </c>
      <c r="U92" s="97"/>
    </row>
    <row r="93" spans="1:21" s="610" customFormat="1" x14ac:dyDescent="0.3">
      <c r="A93" s="73">
        <v>340</v>
      </c>
      <c r="B93" s="137" t="str">
        <f t="shared" si="99"/>
      </c>
      <c r="C93" s="96"/>
      <c r="D93" s="76" t="str">
        <f ca="1">INDEX(INDIRECT(E93),0,COLUMN(MO_Common_Column_A))</f>
      </c>
      <c r="E93" s="77" t="s">
        <v>286</v>
      </c>
      <c r="F93" s="137" t="s">
        <v>2191</v>
      </c>
      <c r="G93" s="137"/>
      <c r="H93" s="96"/>
      <c r="I93" s="78">
        <v>2190</v>
      </c>
      <c r="J93" s="78">
        <v>2190</v>
      </c>
      <c r="K93" s="78">
        <f t="shared" si="100"/>
      </c>
      <c r="L93" s="96"/>
      <c r="M93" s="137" t="str">
        <f t="shared" si="101"/>
      </c>
      <c r="N93" s="78">
        <f t="shared" ref="N93:N97" ca="1" si="105">IFERROR(INDEX(INDIRECT(E93),0,MATCH(F93,MO_Common_ColumnHeader,0)),"N/A")</f>
      </c>
      <c r="O93" s="96"/>
      <c r="P93" s="79">
        <f t="shared" ca="1" si="103"/>
      </c>
      <c r="Q93" s="80">
        <f t="shared" ca="1" si="104"/>
      </c>
      <c r="R93" s="96"/>
      <c r="S93" s="81">
        <v>45582</v>
      </c>
      <c r="T93" s="82" t="s">
        <v>983</v>
      </c>
      <c r="U93" s="97"/>
    </row>
    <row r="94" spans="1:21" s="610" customFormat="1" x14ac:dyDescent="0.3">
      <c r="A94" s="73">
        <v>339</v>
      </c>
      <c r="B94" s="137" t="str">
        <f t="shared" si="99"/>
      </c>
      <c r="C94" s="96"/>
      <c r="D94" s="76" t="s">
        <v>291</v>
      </c>
      <c r="E94" s="77" t="s">
        <v>654</v>
      </c>
      <c r="F94" s="137" t="s">
        <v>2191</v>
      </c>
      <c r="G94" s="137"/>
      <c r="H94" s="96"/>
      <c r="I94" s="83">
        <v>0.216</v>
      </c>
      <c r="J94" s="83">
        <v>0.216</v>
      </c>
      <c r="K94" s="83">
        <f t="shared" si="100"/>
      </c>
      <c r="L94" s="96"/>
      <c r="M94" s="137" t="str">
        <f t="shared" si="101"/>
      </c>
      <c r="N94" s="83">
        <f t="shared" ca="1" si="105"/>
      </c>
      <c r="O94" s="86"/>
      <c r="P94" s="80">
        <f t="shared" ca="1" si="103"/>
      </c>
      <c r="Q94" s="80">
        <f t="shared" ca="1" si="104"/>
      </c>
      <c r="R94" s="96"/>
      <c r="S94" s="81">
        <v>45582</v>
      </c>
      <c r="T94" s="82" t="s">
        <v>983</v>
      </c>
      <c r="U94" s="97"/>
    </row>
    <row r="95" spans="1:21" s="610" customFormat="1" x14ac:dyDescent="0.3">
      <c r="A95" s="73">
        <v>338</v>
      </c>
      <c r="B95" s="137" t="str">
        <f t="shared" si="99"/>
      </c>
      <c r="C95" s="96"/>
      <c r="D95" s="76" t="str">
        <f ca="1">INDEX(INDIRECT(E95),0,COLUMN(MO_Common_Column_A))</f>
      </c>
      <c r="E95" s="77" t="s">
        <v>287</v>
      </c>
      <c r="F95" s="137" t="s">
        <v>2191</v>
      </c>
      <c r="G95" s="137"/>
      <c r="H95" s="96"/>
      <c r="I95" s="78">
        <v>1847</v>
      </c>
      <c r="J95" s="78">
        <v>1847</v>
      </c>
      <c r="K95" s="78">
        <f t="shared" si="100"/>
      </c>
      <c r="L95" s="96"/>
      <c r="M95" s="137" t="str">
        <f t="shared" si="101"/>
      </c>
      <c r="N95" s="78">
        <f t="shared" ca="1" si="105"/>
      </c>
      <c r="O95" s="96"/>
      <c r="P95" s="79">
        <f t="shared" ca="1" si="103"/>
      </c>
      <c r="Q95" s="80">
        <f t="shared" ca="1" si="104"/>
      </c>
      <c r="R95" s="96"/>
      <c r="S95" s="81">
        <v>45582</v>
      </c>
      <c r="T95" s="82" t="s">
        <v>983</v>
      </c>
      <c r="U95" s="97"/>
    </row>
    <row r="96" spans="1:21" s="610" customFormat="1" x14ac:dyDescent="0.3">
      <c r="A96" s="73">
        <v>337</v>
      </c>
      <c r="B96" s="137" t="str">
        <f t="shared" si="99"/>
      </c>
      <c r="C96" s="96"/>
      <c r="D96" s="76" t="str">
        <f ca="1">INDEX(INDIRECT(E96),0,COLUMN(MO_Common_Column_A))</f>
      </c>
      <c r="E96" s="77" t="s">
        <v>288</v>
      </c>
      <c r="F96" s="137" t="s">
        <v>2191</v>
      </c>
      <c r="G96" s="137"/>
      <c r="H96" s="96"/>
      <c r="I96" s="84">
        <v>0.42299999999999999</v>
      </c>
      <c r="J96" s="84">
        <v>0.42299999999999999</v>
      </c>
      <c r="K96" s="84">
        <f t="shared" si="100"/>
      </c>
      <c r="L96" s="96"/>
      <c r="M96" s="137" t="str">
        <f t="shared" si="101"/>
      </c>
      <c r="N96" s="84">
        <f t="shared" ca="1" si="105"/>
      </c>
      <c r="O96" s="96"/>
      <c r="P96" s="85">
        <f t="shared" ca="1" si="103"/>
      </c>
      <c r="Q96" s="80">
        <f t="shared" ca="1" si="104"/>
      </c>
      <c r="R96" s="96"/>
      <c r="S96" s="81">
        <v>45582</v>
      </c>
      <c r="T96" s="82" t="s">
        <v>983</v>
      </c>
      <c r="U96" s="97"/>
    </row>
    <row r="97" spans="1:21" s="610" customFormat="1" x14ac:dyDescent="0.3">
      <c r="A97" s="73">
        <v>336</v>
      </c>
      <c r="B97" s="137" t="str">
        <f t="shared" si="99"/>
      </c>
      <c r="C97" s="96"/>
      <c r="D97" s="76" t="str">
        <f ca="1">INDEX(INDIRECT(E97),0,COLUMN(MO_Common_Column_A))</f>
      </c>
      <c r="E97" s="77" t="s">
        <v>2432</v>
      </c>
      <c r="F97" s="137" t="s">
        <v>2191</v>
      </c>
      <c r="G97" s="137"/>
      <c r="H97" s="96"/>
      <c r="I97" s="78"/>
      <c r="J97" s="78"/>
      <c r="K97" s="78"/>
      <c r="L97" s="96"/>
      <c r="M97" s="137" t="str">
        <f t="shared" si="101"/>
      </c>
      <c r="N97" s="78">
        <f t="shared" ca="1" si="105"/>
      </c>
      <c r="O97" s="774"/>
      <c r="P97" s="79">
        <f t="shared" ca="1" si="103"/>
      </c>
      <c r="Q97" s="80" t="str">
        <f t="shared" ca="1" si="104"/>
      </c>
      <c r="R97" s="96"/>
      <c r="S97" s="81">
        <v>45582</v>
      </c>
      <c r="T97" s="82" t="s">
        <v>983</v>
      </c>
      <c r="U97" s="97"/>
    </row>
    <row r="98" spans="1:21" s="610" customFormat="1" x14ac:dyDescent="0.3">
      <c r="A98" s="73">
        <v>335</v>
      </c>
      <c r="B98" s="96"/>
      <c r="C98" s="96"/>
      <c r="D98" s="87"/>
      <c r="E98" s="96"/>
      <c r="F98" s="96"/>
      <c r="G98" s="96"/>
      <c r="H98" s="96"/>
      <c r="I98" s="96"/>
      <c r="J98" s="96"/>
      <c r="K98" s="96"/>
      <c r="L98" s="96"/>
      <c r="M98" s="96"/>
      <c r="N98" s="96"/>
      <c r="O98" s="96"/>
      <c r="P98" s="87"/>
      <c r="Q98" s="87"/>
      <c r="R98" s="96"/>
      <c r="S98" s="96"/>
      <c r="T98" s="179"/>
      <c r="U98" s="96"/>
    </row>
    <row r="99" spans="1:21" s="610" customFormat="1" x14ac:dyDescent="0.3">
      <c r="A99" s="73">
        <v>334</v>
      </c>
      <c r="B99" s="137" t="str">
        <f t="shared" ref="B99:B100" si="106">IF(INDEX(MO_SNA_IsHistoricalPeriod,,MATCH(F99,MO_Common_ColumnHeader,0)),"Historical","Forward")</f>
      </c>
      <c r="C99" s="96"/>
      <c r="D99" s="76" t="str">
        <f ca="1">INDEX(INDIRECT(E99),0,COLUMN(MO_Common_Column_A))</f>
      </c>
      <c r="E99" s="77" t="s">
        <v>285</v>
      </c>
      <c r="F99" s="137" t="s">
        <v>986</v>
      </c>
      <c r="G99" s="137"/>
      <c r="H99" s="96"/>
      <c r="I99" s="83">
        <v>0.14000000000000001</v>
      </c>
      <c r="J99" s="83">
        <v>0.15</v>
      </c>
      <c r="K99" s="83">
        <f t="shared" ref="K99:K100" si="107">AVERAGE(I99:J99)</f>
      </c>
      <c r="L99" s="96"/>
      <c r="M99" s="137" t="str">
        <f t="shared" ref="M99:M100" si="108">IF(INDEX(MO_SNA_IsHistoricalPeriod,,MATCH(F99,MO_Common_ColumnHeader,0)),"Actual","Estimate")</f>
      </c>
      <c r="N99" s="83">
        <f t="shared" ref="N99:N100" ca="1" si="109">IFERROR(INDEX(INDIRECT(E99),0,MATCH(F99,MO_Common_ColumnHeader,0)),"N/A")</f>
      </c>
      <c r="O99" s="96"/>
      <c r="P99" s="80">
        <f t="shared" ref="P99:P100" ca="1" si="110">IF(ISNUMBER(N99),N99-K99,"N/A")</f>
      </c>
      <c r="Q99" s="80">
        <f t="shared" ref="Q99:Q100" ca="1" si="111">IFERROR(IF(ISNUMBER(N99),(N99-K99)/ABS(K99),"N/A"),"N/A")</f>
      </c>
      <c r="R99" s="96"/>
      <c r="S99" s="81">
        <v>45491</v>
      </c>
      <c r="T99" s="82" t="s">
        <v>983</v>
      </c>
      <c r="U99" s="97"/>
    </row>
    <row r="100" spans="1:21" s="610" customFormat="1" x14ac:dyDescent="0.3">
      <c r="A100" s="73">
        <v>333</v>
      </c>
      <c r="B100" s="137" t="str">
        <f t="shared" si="106"/>
      </c>
      <c r="C100" s="96"/>
      <c r="D100" s="76" t="s">
        <v>291</v>
      </c>
      <c r="E100" s="77" t="s">
        <v>654</v>
      </c>
      <c r="F100" s="137" t="s">
        <v>986</v>
      </c>
      <c r="G100" s="137"/>
      <c r="H100" s="96"/>
      <c r="I100" s="83">
        <v>0.26</v>
      </c>
      <c r="J100" s="83">
        <v>0.26</v>
      </c>
      <c r="K100" s="83">
        <f t="shared" si="107"/>
      </c>
      <c r="L100" s="96"/>
      <c r="M100" s="137" t="str">
        <f t="shared" si="108"/>
      </c>
      <c r="N100" s="83">
        <f t="shared" ca="1" si="109"/>
      </c>
      <c r="O100" s="86"/>
      <c r="P100" s="80">
        <f t="shared" ca="1" si="110"/>
      </c>
      <c r="Q100" s="80">
        <f t="shared" ca="1" si="111"/>
      </c>
      <c r="R100" s="96"/>
      <c r="S100" s="81">
        <v>45491</v>
      </c>
      <c r="T100" s="82" t="s">
        <v>983</v>
      </c>
      <c r="U100" s="97"/>
    </row>
    <row r="101" spans="1:21" s="610" customFormat="1" x14ac:dyDescent="0.3">
      <c r="A101" s="73">
        <v>332</v>
      </c>
      <c r="B101" s="96"/>
      <c r="C101" s="96"/>
      <c r="D101" s="87"/>
      <c r="E101" s="96"/>
      <c r="F101" s="96"/>
      <c r="G101" s="96"/>
      <c r="H101" s="96"/>
      <c r="I101" s="96"/>
      <c r="J101" s="96"/>
      <c r="K101" s="96"/>
      <c r="L101" s="96"/>
      <c r="M101" s="96"/>
      <c r="N101" s="96"/>
      <c r="O101" s="96"/>
      <c r="P101" s="87"/>
      <c r="Q101" s="87"/>
      <c r="R101" s="96"/>
      <c r="S101" s="96"/>
      <c r="T101" s="179"/>
      <c r="U101" s="96"/>
    </row>
    <row r="102" spans="1:21" s="610" customFormat="1" x14ac:dyDescent="0.3">
      <c r="A102" s="73">
        <v>331</v>
      </c>
      <c r="B102" s="137" t="str">
        <f t="shared" ref="B102:B110" si="112">IF(INDEX(MO_SNA_IsHistoricalPeriod,,MATCH(F102,MO_Common_ColumnHeader,0)),"Historical","Forward")</f>
      </c>
      <c r="C102" s="96"/>
      <c r="D102" s="76" t="str">
        <f ca="1">INDEX(INDIRECT(E102),0,COLUMN(MO_Common_Column_A))</f>
      </c>
      <c r="E102" s="77" t="s">
        <v>282</v>
      </c>
      <c r="F102" s="137" t="s">
        <v>2183</v>
      </c>
      <c r="G102" s="137"/>
      <c r="H102" s="96"/>
      <c r="I102" s="78">
        <v>9727</v>
      </c>
      <c r="J102" s="78">
        <v>9727</v>
      </c>
      <c r="K102" s="78">
        <f t="shared" ref="K102:K110" si="113">AVERAGE(I102:J102)</f>
      </c>
      <c r="L102" s="96"/>
      <c r="M102" s="137" t="str">
        <f t="shared" ref="M102:M110" si="114">IF(INDEX(MO_SNA_IsHistoricalPeriod,,MATCH(F102,MO_Common_ColumnHeader,0)),"Actual","Estimate")</f>
      </c>
      <c r="N102" s="78">
        <f t="shared" ref="N102:N103" ca="1" si="115">IFERROR(INDEX(INDIRECT(E102),0,MATCH(F102,MO_Common_ColumnHeader,0)),"N/A")</f>
      </c>
      <c r="O102" s="96"/>
      <c r="P102" s="79">
        <f t="shared" ref="P102:P110" ca="1" si="116">IF(ISNUMBER(N102),N102-K102,"N/A")</f>
      </c>
      <c r="Q102" s="80">
        <f t="shared" ref="Q102:Q110" ca="1" si="117">IFERROR(IF(ISNUMBER(N102),(N102-K102)/ABS(K102),"N/A"),"N/A")</f>
      </c>
      <c r="R102" s="96"/>
      <c r="S102" s="81">
        <v>45491</v>
      </c>
      <c r="T102" s="82" t="s">
        <v>983</v>
      </c>
      <c r="U102" s="97"/>
    </row>
    <row r="103" spans="1:21" s="610" customFormat="1" x14ac:dyDescent="0.3">
      <c r="A103" s="73">
        <v>330</v>
      </c>
      <c r="B103" s="137" t="str">
        <f t="shared" si="112"/>
      </c>
      <c r="C103" s="96"/>
      <c r="D103" s="76" t="str">
        <f ca="1">INDEX(INDIRECT(E103),0,COLUMN(MO_Common_Column_A))</f>
      </c>
      <c r="E103" s="77" t="s">
        <v>285</v>
      </c>
      <c r="F103" s="137" t="s">
        <v>2183</v>
      </c>
      <c r="G103" s="137"/>
      <c r="H103" s="96"/>
      <c r="I103" s="83">
        <v>0.13900000000000001</v>
      </c>
      <c r="J103" s="83">
        <v>0.13900000000000001</v>
      </c>
      <c r="K103" s="83">
        <f t="shared" si="113"/>
      </c>
      <c r="L103" s="96"/>
      <c r="M103" s="137" t="str">
        <f t="shared" si="114"/>
      </c>
      <c r="N103" s="83">
        <f t="shared" ca="1" si="115"/>
      </c>
      <c r="O103" s="96"/>
      <c r="P103" s="80">
        <f t="shared" ca="1" si="116"/>
      </c>
      <c r="Q103" s="80">
        <f t="shared" ca="1" si="117"/>
      </c>
      <c r="R103" s="96"/>
      <c r="S103" s="81">
        <v>45491</v>
      </c>
      <c r="T103" s="82" t="s">
        <v>983</v>
      </c>
      <c r="U103" s="97"/>
    </row>
    <row r="104" spans="1:21" s="610" customFormat="1" x14ac:dyDescent="0.3">
      <c r="A104" s="73">
        <v>329</v>
      </c>
      <c r="B104" s="137" t="str">
        <f t="shared" si="112"/>
      </c>
      <c r="C104" s="96"/>
      <c r="D104" s="76" t="str">
        <f ca="1">INDEX(INDIRECT(E104),0,COLUMN(MO_Common_Column_A))</f>
      </c>
      <c r="E104" s="77" t="s">
        <v>975</v>
      </c>
      <c r="F104" s="137" t="s">
        <v>2183</v>
      </c>
      <c r="G104" s="137"/>
      <c r="H104" s="96"/>
      <c r="I104" s="83">
        <v>0.19</v>
      </c>
      <c r="J104" s="83">
        <v>0.19</v>
      </c>
      <c r="K104" s="83">
        <f t="shared" si="113"/>
      </c>
      <c r="L104" s="96"/>
      <c r="M104" s="137" t="str">
        <f t="shared" si="114"/>
      </c>
      <c r="N104" s="83">
        <f ca="1">IF(B104="Historical",IFERROR(INDEX(INDIRECT(E104),0,MATCH(F104,MO_Common_ColumnHeader,0)),"N/A"),"N/A")</f>
      </c>
      <c r="O104" s="96"/>
      <c r="P104" s="80">
        <f t="shared" ca="1" si="116"/>
      </c>
      <c r="Q104" s="80">
        <f t="shared" ca="1" si="117"/>
      </c>
      <c r="R104" s="96"/>
      <c r="S104" s="81">
        <v>45491</v>
      </c>
      <c r="T104" s="82" t="s">
        <v>983</v>
      </c>
      <c r="U104" s="97"/>
    </row>
    <row r="105" spans="1:21" s="610" customFormat="1" x14ac:dyDescent="0.3">
      <c r="A105" s="73">
        <v>328</v>
      </c>
      <c r="B105" s="137" t="str">
        <f t="shared" si="112"/>
      </c>
      <c r="C105" s="96"/>
      <c r="D105" s="76" t="str">
        <f ca="1">INDEX(INDIRECT(E105),0,COLUMN(MO_Common_Column_A))</f>
      </c>
      <c r="E105" s="77" t="s">
        <v>286</v>
      </c>
      <c r="F105" s="137" t="s">
        <v>2183</v>
      </c>
      <c r="G105" s="137"/>
      <c r="H105" s="96"/>
      <c r="I105" s="78">
        <v>2730</v>
      </c>
      <c r="J105" s="78">
        <v>2730</v>
      </c>
      <c r="K105" s="78">
        <f t="shared" si="113"/>
      </c>
      <c r="L105" s="96"/>
      <c r="M105" s="137" t="str">
        <f t="shared" si="114"/>
      </c>
      <c r="N105" s="78">
        <f t="shared" ref="N105:N110" ca="1" si="118">IFERROR(INDEX(INDIRECT(E105),0,MATCH(F105,MO_Common_ColumnHeader,0)),"N/A")</f>
      </c>
      <c r="O105" s="96"/>
      <c r="P105" s="79">
        <f t="shared" ca="1" si="116"/>
      </c>
      <c r="Q105" s="80">
        <f t="shared" ca="1" si="117"/>
      </c>
      <c r="R105" s="96"/>
      <c r="S105" s="81">
        <v>45491</v>
      </c>
      <c r="T105" s="82" t="s">
        <v>983</v>
      </c>
      <c r="U105" s="97"/>
    </row>
    <row r="106" spans="1:21" s="610" customFormat="1" x14ac:dyDescent="0.3">
      <c r="A106" s="73">
        <v>327</v>
      </c>
      <c r="B106" s="137" t="str">
        <f t="shared" si="112"/>
      </c>
      <c r="C106" s="96"/>
      <c r="D106" s="76" t="s">
        <v>291</v>
      </c>
      <c r="E106" s="77" t="s">
        <v>654</v>
      </c>
      <c r="F106" s="137" t="s">
        <v>2183</v>
      </c>
      <c r="G106" s="137"/>
      <c r="H106" s="96"/>
      <c r="I106" s="83">
        <v>0.28100000000000003</v>
      </c>
      <c r="J106" s="83">
        <v>0.28100000000000003</v>
      </c>
      <c r="K106" s="83">
        <f t="shared" si="113"/>
      </c>
      <c r="L106" s="96"/>
      <c r="M106" s="137" t="str">
        <f t="shared" si="114"/>
      </c>
      <c r="N106" s="83">
        <f t="shared" ca="1" si="118"/>
      </c>
      <c r="O106" s="86"/>
      <c r="P106" s="80">
        <f t="shared" ca="1" si="116"/>
      </c>
      <c r="Q106" s="80">
        <f t="shared" ca="1" si="117"/>
      </c>
      <c r="R106" s="96"/>
      <c r="S106" s="81">
        <v>45491</v>
      </c>
      <c r="T106" s="82" t="s">
        <v>983</v>
      </c>
      <c r="U106" s="97"/>
    </row>
    <row r="107" spans="1:21" s="610" customFormat="1" x14ac:dyDescent="0.3">
      <c r="A107" s="73">
        <v>326</v>
      </c>
      <c r="B107" s="137" t="str">
        <f t="shared" si="112"/>
      </c>
      <c r="C107" s="96"/>
      <c r="D107" s="76" t="str">
        <f ca="1">INDEX(INDIRECT(E107),0,COLUMN(MO_Common_Column_A))</f>
      </c>
      <c r="E107" s="77" t="s">
        <v>287</v>
      </c>
      <c r="F107" s="137" t="s">
        <v>2183</v>
      </c>
      <c r="G107" s="137"/>
      <c r="H107" s="96"/>
      <c r="I107" s="78">
        <v>2237</v>
      </c>
      <c r="J107" s="78">
        <v>2237</v>
      </c>
      <c r="K107" s="78">
        <f t="shared" si="113"/>
      </c>
      <c r="L107" s="96"/>
      <c r="M107" s="137" t="str">
        <f t="shared" si="114"/>
      </c>
      <c r="N107" s="78">
        <f t="shared" ca="1" si="118"/>
      </c>
      <c r="O107" s="96"/>
      <c r="P107" s="79">
        <f t="shared" ca="1" si="116"/>
      </c>
      <c r="Q107" s="80">
        <f t="shared" ca="1" si="117"/>
      </c>
      <c r="R107" s="96"/>
      <c r="S107" s="81">
        <v>45491</v>
      </c>
      <c r="T107" s="82" t="s">
        <v>983</v>
      </c>
      <c r="U107" s="97"/>
    </row>
    <row r="108" spans="1:21" s="610" customFormat="1" x14ac:dyDescent="0.3">
      <c r="A108" s="73">
        <v>325</v>
      </c>
      <c r="B108" s="137" t="str">
        <f t="shared" si="112"/>
      </c>
      <c r="C108" s="96"/>
      <c r="D108" s="76" t="str">
        <f ca="1">INDEX(INDIRECT(E108),0,COLUMN(MO_Common_Column_A))</f>
      </c>
      <c r="E108" s="77" t="s">
        <v>288</v>
      </c>
      <c r="F108" s="137" t="s">
        <v>2183</v>
      </c>
      <c r="G108" s="137"/>
      <c r="H108" s="96"/>
      <c r="I108" s="84">
        <v>0.51</v>
      </c>
      <c r="J108" s="84">
        <v>0.51</v>
      </c>
      <c r="K108" s="84">
        <f t="shared" si="113"/>
      </c>
      <c r="L108" s="96"/>
      <c r="M108" s="137" t="str">
        <f t="shared" si="114"/>
      </c>
      <c r="N108" s="84">
        <f t="shared" ca="1" si="118"/>
      </c>
      <c r="O108" s="96"/>
      <c r="P108" s="85">
        <f t="shared" ca="1" si="116"/>
      </c>
      <c r="Q108" s="80">
        <f t="shared" ca="1" si="117"/>
      </c>
      <c r="R108" s="96"/>
      <c r="S108" s="81">
        <v>45491</v>
      </c>
      <c r="T108" s="82" t="s">
        <v>983</v>
      </c>
      <c r="U108" s="97"/>
    </row>
    <row r="109" spans="1:21" s="610" customFormat="1" x14ac:dyDescent="0.3">
      <c r="A109" s="73">
        <v>324</v>
      </c>
      <c r="B109" s="137" t="str">
        <f t="shared" si="112"/>
      </c>
      <c r="C109" s="96"/>
      <c r="D109" s="76" t="str">
        <f ca="1">INDEX(INDIRECT(E109),0,COLUMN(MO_Common_Column_A))</f>
      </c>
      <c r="E109" s="77" t="s">
        <v>2432</v>
      </c>
      <c r="F109" s="137" t="s">
        <v>2183</v>
      </c>
      <c r="G109" s="137"/>
      <c r="H109" s="96"/>
      <c r="I109" s="78"/>
      <c r="J109" s="78"/>
      <c r="K109" s="78"/>
      <c r="L109" s="96"/>
      <c r="M109" s="137" t="str">
        <f t="shared" si="114"/>
      </c>
      <c r="N109" s="78">
        <f t="shared" ca="1" si="118"/>
      </c>
      <c r="O109" s="774"/>
      <c r="P109" s="79">
        <f t="shared" ca="1" si="116"/>
      </c>
      <c r="Q109" s="80" t="str">
        <f t="shared" ca="1" si="117"/>
      </c>
      <c r="R109" s="96"/>
      <c r="S109" s="81">
        <v>45491</v>
      </c>
      <c r="T109" s="82" t="s">
        <v>983</v>
      </c>
      <c r="U109" s="97"/>
    </row>
    <row r="110" spans="1:21" s="610" customFormat="1" x14ac:dyDescent="0.3">
      <c r="A110" s="73">
        <v>323</v>
      </c>
      <c r="B110" s="137" t="str">
        <f t="shared" si="112"/>
      </c>
      <c r="C110" s="96"/>
      <c r="D110" s="76" t="str">
        <f ca="1">INDEX(INDIRECT(E110),0,COLUMN(MO_Common_Column_A))</f>
      </c>
      <c r="E110" s="77" t="s">
        <v>2433</v>
      </c>
      <c r="F110" s="137" t="s">
        <v>2183</v>
      </c>
      <c r="G110" s="137"/>
      <c r="H110" s="96"/>
      <c r="I110" s="83">
        <v>0</v>
      </c>
      <c r="J110" s="83">
        <v>0</v>
      </c>
      <c r="K110" s="83">
        <f t="shared" si="113"/>
      </c>
      <c r="L110" s="96"/>
      <c r="M110" s="137" t="str">
        <f t="shared" si="114"/>
      </c>
      <c r="N110" s="83">
        <f t="shared" ca="1" si="118"/>
      </c>
      <c r="O110" s="86"/>
      <c r="P110" s="80">
        <f t="shared" ca="1" si="116"/>
      </c>
      <c r="Q110" s="80" t="str">
        <f t="shared" ca="1" si="117"/>
      </c>
      <c r="R110" s="96"/>
      <c r="S110" s="81">
        <v>45491</v>
      </c>
      <c r="T110" s="82" t="s">
        <v>983</v>
      </c>
      <c r="U110" s="97"/>
    </row>
    <row r="111" spans="1:21" s="610" customFormat="1" x14ac:dyDescent="0.3">
      <c r="A111" s="73">
        <v>322</v>
      </c>
      <c r="B111" s="96"/>
      <c r="C111" s="96"/>
      <c r="D111" s="87"/>
      <c r="E111" s="96"/>
      <c r="F111" s="96"/>
      <c r="G111" s="96"/>
      <c r="H111" s="96"/>
      <c r="I111" s="96"/>
      <c r="J111" s="96"/>
      <c r="K111" s="96"/>
      <c r="L111" s="96"/>
      <c r="M111" s="96"/>
      <c r="N111" s="96"/>
      <c r="O111" s="96"/>
      <c r="P111" s="87"/>
      <c r="Q111" s="87"/>
      <c r="R111" s="96"/>
      <c r="S111" s="96"/>
      <c r="T111" s="179"/>
      <c r="U111" s="96"/>
    </row>
    <row r="112" spans="1:21" s="610" customFormat="1" x14ac:dyDescent="0.3">
      <c r="A112" s="73">
        <v>321</v>
      </c>
      <c r="B112" s="137" t="str">
        <f t="shared" ref="B112" si="119">IF(INDEX(MO_SNA_IsHistoricalPeriod,,MATCH(F112,MO_Common_ColumnHeader,0)),"Historical","Forward")</f>
      </c>
      <c r="C112" s="96"/>
      <c r="D112" s="76" t="str">
        <f ca="1">INDEX(INDIRECT(E112),0,COLUMN(MO_Common_Column_A))</f>
      </c>
      <c r="E112" s="77" t="s">
        <v>285</v>
      </c>
      <c r="F112" s="137" t="s">
        <v>986</v>
      </c>
      <c r="G112" s="137"/>
      <c r="H112" s="96"/>
      <c r="I112" s="83">
        <v>0.13</v>
      </c>
      <c r="J112" s="83">
        <v>0.15</v>
      </c>
      <c r="K112" s="83">
        <f t="shared" ref="K112" si="120">AVERAGE(I112:J112)</f>
      </c>
      <c r="L112" s="96"/>
      <c r="M112" s="137" t="str">
        <f t="shared" ref="M112" si="121">IF(INDEX(MO_SNA_IsHistoricalPeriod,,MATCH(F112,MO_Common_ColumnHeader,0)),"Actual","Estimate")</f>
      </c>
      <c r="N112" s="83">
        <f t="shared" ref="N112" ca="1" si="122">IFERROR(INDEX(INDIRECT(E112),0,MATCH(F112,MO_Common_ColumnHeader,0)),"N/A")</f>
      </c>
      <c r="O112" s="96"/>
      <c r="P112" s="80">
        <f t="shared" ref="P112" ca="1" si="123">IF(ISNUMBER(N112),N112-K112,"N/A")</f>
      </c>
      <c r="Q112" s="80">
        <f t="shared" ref="Q112" ca="1" si="124">IFERROR(IF(ISNUMBER(N112),(N112-K112)/ABS(K112),"N/A"),"N/A")</f>
      </c>
      <c r="R112" s="96"/>
      <c r="S112" s="81">
        <v>45400</v>
      </c>
      <c r="T112" s="82" t="s">
        <v>983</v>
      </c>
      <c r="U112" s="97"/>
    </row>
    <row r="113" spans="1:21" s="610" customFormat="1" x14ac:dyDescent="0.3">
      <c r="A113" s="73">
        <v>320</v>
      </c>
      <c r="B113" s="137" t="str">
        <f t="shared" ref="B113" si="125">IF(INDEX(MO_SNA_IsHistoricalPeriod,,MATCH(F113,MO_Common_ColumnHeader,0)),"Historical","Forward")</f>
      </c>
      <c r="C113" s="96"/>
      <c r="D113" s="76" t="s">
        <v>291</v>
      </c>
      <c r="E113" s="77" t="s">
        <v>654</v>
      </c>
      <c r="F113" s="137" t="s">
        <v>986</v>
      </c>
      <c r="G113" s="137"/>
      <c r="H113" s="96"/>
      <c r="I113" s="83">
        <v>0.25</v>
      </c>
      <c r="J113" s="83">
        <v>0.25</v>
      </c>
      <c r="K113" s="83">
        <f t="shared" ref="K113" si="126">AVERAGE(I113:J113)</f>
      </c>
      <c r="L113" s="96"/>
      <c r="M113" s="137" t="str">
        <f t="shared" ref="M113" si="127">IF(INDEX(MO_SNA_IsHistoricalPeriod,,MATCH(F113,MO_Common_ColumnHeader,0)),"Actual","Estimate")</f>
      </c>
      <c r="N113" s="83">
        <f t="shared" ref="N113" ca="1" si="128">IFERROR(INDEX(INDIRECT(E113),0,MATCH(F113,MO_Common_ColumnHeader,0)),"N/A")</f>
      </c>
      <c r="O113" s="86"/>
      <c r="P113" s="80">
        <f t="shared" ref="P113" ca="1" si="129">IF(ISNUMBER(N113),N113-K113,"N/A")</f>
      </c>
      <c r="Q113" s="80">
        <f t="shared" ref="Q113" ca="1" si="130">IFERROR(IF(ISNUMBER(N113),(N113-K113)/ABS(K113),"N/A"),"N/A")</f>
      </c>
      <c r="R113" s="96"/>
      <c r="S113" s="81">
        <v>45400</v>
      </c>
      <c r="T113" s="82" t="s">
        <v>983</v>
      </c>
      <c r="U113" s="97"/>
    </row>
    <row r="114" spans="1:21" s="610" customFormat="1" x14ac:dyDescent="0.3">
      <c r="A114" s="73">
        <v>319</v>
      </c>
      <c r="B114" s="96"/>
      <c r="C114" s="96"/>
      <c r="D114" s="87"/>
      <c r="E114" s="96"/>
      <c r="F114" s="96"/>
      <c r="G114" s="96"/>
      <c r="H114" s="96"/>
      <c r="I114" s="96"/>
      <c r="J114" s="96"/>
      <c r="K114" s="96"/>
      <c r="L114" s="96"/>
      <c r="M114" s="96"/>
      <c r="N114" s="96"/>
      <c r="O114" s="96"/>
      <c r="P114" s="87"/>
      <c r="Q114" s="87"/>
      <c r="R114" s="96"/>
      <c r="S114" s="96"/>
      <c r="T114" s="179"/>
      <c r="U114" s="96"/>
    </row>
    <row r="115" spans="1:21" s="610" customFormat="1" x14ac:dyDescent="0.3">
      <c r="A115" s="73">
        <v>318</v>
      </c>
      <c r="B115" s="137" t="str">
        <f t="shared" ref="B115:B123" si="131">IF(INDEX(MO_SNA_IsHistoricalPeriod,,MATCH(F115,MO_Common_ColumnHeader,0)),"Historical","Forward")</f>
      </c>
      <c r="C115" s="96"/>
      <c r="D115" s="76" t="str">
        <f ca="1">INDEX(INDIRECT(E115),0,COLUMN(MO_Common_Column_A))</f>
      </c>
      <c r="E115" s="77" t="s">
        <v>282</v>
      </c>
      <c r="F115" s="137" t="s">
        <v>2025</v>
      </c>
      <c r="G115" s="137"/>
      <c r="H115" s="96"/>
      <c r="I115" s="78">
        <v>9491</v>
      </c>
      <c r="J115" s="78">
        <v>9491</v>
      </c>
      <c r="K115" s="78">
        <f t="shared" ref="K115:K121" si="132">AVERAGE(I115:J115)</f>
      </c>
      <c r="L115" s="96"/>
      <c r="M115" s="137" t="str">
        <f t="shared" ref="M115:M123" si="133">IF(INDEX(MO_SNA_IsHistoricalPeriod,,MATCH(F115,MO_Common_ColumnHeader,0)),"Actual","Estimate")</f>
      </c>
      <c r="N115" s="78">
        <f t="shared" ref="N115:N116" ca="1" si="134">IFERROR(INDEX(INDIRECT(E115),0,MATCH(F115,MO_Common_ColumnHeader,0)),"N/A")</f>
      </c>
      <c r="O115" s="96"/>
      <c r="P115" s="79">
        <f t="shared" ref="P115:P123" ca="1" si="135">IF(ISNUMBER(N115),N115-K115,"N/A")</f>
      </c>
      <c r="Q115" s="80">
        <f t="shared" ref="Q115:Q123" ca="1" si="136">IFERROR(IF(ISNUMBER(N115),(N115-K115)/ABS(K115),"N/A"),"N/A")</f>
      </c>
      <c r="R115" s="96"/>
      <c r="S115" s="81">
        <v>45400</v>
      </c>
      <c r="T115" s="82" t="s">
        <v>983</v>
      </c>
      <c r="U115" s="97"/>
    </row>
    <row r="116" spans="1:21" s="610" customFormat="1" x14ac:dyDescent="0.3">
      <c r="A116" s="73">
        <v>317</v>
      </c>
      <c r="B116" s="137" t="str">
        <f t="shared" si="131"/>
      </c>
      <c r="C116" s="96"/>
      <c r="D116" s="76" t="str">
        <f ca="1">INDEX(INDIRECT(E116),0,COLUMN(MO_Common_Column_A))</f>
      </c>
      <c r="E116" s="77" t="s">
        <v>285</v>
      </c>
      <c r="F116" s="137" t="s">
        <v>2025</v>
      </c>
      <c r="G116" s="137"/>
      <c r="H116" s="96"/>
      <c r="I116" s="83">
        <v>0.159</v>
      </c>
      <c r="J116" s="83">
        <v>0.159</v>
      </c>
      <c r="K116" s="83">
        <f t="shared" si="132"/>
      </c>
      <c r="L116" s="96"/>
      <c r="M116" s="137" t="str">
        <f t="shared" si="133"/>
      </c>
      <c r="N116" s="83">
        <f t="shared" ca="1" si="134"/>
      </c>
      <c r="O116" s="96"/>
      <c r="P116" s="80">
        <f t="shared" ca="1" si="135"/>
      </c>
      <c r="Q116" s="80">
        <f t="shared" ca="1" si="136"/>
      </c>
      <c r="R116" s="96"/>
      <c r="S116" s="81">
        <v>45400</v>
      </c>
      <c r="T116" s="82" t="s">
        <v>983</v>
      </c>
      <c r="U116" s="97"/>
    </row>
    <row r="117" spans="1:21" s="610" customFormat="1" x14ac:dyDescent="0.3">
      <c r="A117" s="73">
        <v>316</v>
      </c>
      <c r="B117" s="137" t="str">
        <f t="shared" si="131"/>
      </c>
      <c r="C117" s="96"/>
      <c r="D117" s="76" t="str">
        <f ca="1">INDEX(INDIRECT(E117),0,COLUMN(MO_Common_Column_A))</f>
      </c>
      <c r="E117" s="77" t="s">
        <v>975</v>
      </c>
      <c r="F117" s="137" t="s">
        <v>2025</v>
      </c>
      <c r="G117" s="137"/>
      <c r="H117" s="96"/>
      <c r="I117" s="83">
        <v>0.21</v>
      </c>
      <c r="J117" s="83">
        <v>0.21</v>
      </c>
      <c r="K117" s="83">
        <f t="shared" si="132"/>
      </c>
      <c r="L117" s="96"/>
      <c r="M117" s="137" t="str">
        <f t="shared" si="133"/>
      </c>
      <c r="N117" s="83">
        <f ca="1">IF(B117="Historical",IFERROR(INDEX(INDIRECT(E117),0,MATCH(F117,MO_Common_ColumnHeader,0)),"N/A"),"N/A")</f>
      </c>
      <c r="O117" s="96"/>
      <c r="P117" s="80">
        <f t="shared" ca="1" si="135"/>
      </c>
      <c r="Q117" s="80">
        <f t="shared" ca="1" si="136"/>
      </c>
      <c r="R117" s="96"/>
      <c r="S117" s="81">
        <v>45400</v>
      </c>
      <c r="T117" s="82" t="s">
        <v>983</v>
      </c>
      <c r="U117" s="97"/>
    </row>
    <row r="118" spans="1:21" s="610" customFormat="1" x14ac:dyDescent="0.3">
      <c r="A118" s="73">
        <v>315</v>
      </c>
      <c r="B118" s="137" t="str">
        <f t="shared" si="131"/>
      </c>
      <c r="C118" s="96"/>
      <c r="D118" s="76" t="str">
        <f ca="1">INDEX(INDIRECT(E118),0,COLUMN(MO_Common_Column_A))</f>
      </c>
      <c r="E118" s="77" t="s">
        <v>286</v>
      </c>
      <c r="F118" s="137" t="s">
        <v>2025</v>
      </c>
      <c r="G118" s="137"/>
      <c r="H118" s="96"/>
      <c r="I118" s="78">
        <v>2520</v>
      </c>
      <c r="J118" s="78">
        <v>2520</v>
      </c>
      <c r="K118" s="78">
        <f t="shared" si="132"/>
      </c>
      <c r="L118" s="96"/>
      <c r="M118" s="137" t="str">
        <f t="shared" si="133"/>
      </c>
      <c r="N118" s="78">
        <f t="shared" ref="N118:N122" ca="1" si="137">IFERROR(INDEX(INDIRECT(E118),0,MATCH(F118,MO_Common_ColumnHeader,0)),"N/A")</f>
      </c>
      <c r="O118" s="96"/>
      <c r="P118" s="79">
        <f t="shared" ca="1" si="135"/>
      </c>
      <c r="Q118" s="80">
        <f t="shared" ca="1" si="136"/>
      </c>
      <c r="R118" s="96"/>
      <c r="S118" s="81">
        <v>45400</v>
      </c>
      <c r="T118" s="82" t="s">
        <v>983</v>
      </c>
      <c r="U118" s="97"/>
    </row>
    <row r="119" spans="1:21" s="610" customFormat="1" x14ac:dyDescent="0.3">
      <c r="A119" s="73">
        <v>314</v>
      </c>
      <c r="B119" s="137" t="str">
        <f t="shared" si="131"/>
      </c>
      <c r="C119" s="96"/>
      <c r="D119" s="76" t="s">
        <v>291</v>
      </c>
      <c r="E119" s="77" t="s">
        <v>654</v>
      </c>
      <c r="F119" s="137" t="s">
        <v>2025</v>
      </c>
      <c r="G119" s="137"/>
      <c r="H119" s="96"/>
      <c r="I119" s="83">
        <v>0.26600000000000001</v>
      </c>
      <c r="J119" s="83">
        <v>0.26600000000000001</v>
      </c>
      <c r="K119" s="83">
        <f t="shared" si="132"/>
      </c>
      <c r="L119" s="96"/>
      <c r="M119" s="137" t="str">
        <f t="shared" si="133"/>
      </c>
      <c r="N119" s="83">
        <f t="shared" ca="1" si="137"/>
      </c>
      <c r="O119" s="86"/>
      <c r="P119" s="80">
        <f t="shared" ca="1" si="135"/>
      </c>
      <c r="Q119" s="80">
        <f t="shared" ca="1" si="136"/>
      </c>
      <c r="R119" s="96"/>
      <c r="S119" s="81">
        <v>45400</v>
      </c>
      <c r="T119" s="82" t="s">
        <v>983</v>
      </c>
      <c r="U119" s="97"/>
    </row>
    <row r="120" spans="1:21" s="610" customFormat="1" x14ac:dyDescent="0.3">
      <c r="A120" s="73">
        <v>313</v>
      </c>
      <c r="B120" s="137" t="str">
        <f t="shared" si="131"/>
      </c>
      <c r="C120" s="96"/>
      <c r="D120" s="76" t="str">
        <f ca="1">INDEX(INDIRECT(E120),0,COLUMN(MO_Common_Column_A))</f>
      </c>
      <c r="E120" s="77" t="s">
        <v>287</v>
      </c>
      <c r="F120" s="137" t="s">
        <v>2025</v>
      </c>
      <c r="G120" s="137"/>
      <c r="H120" s="96"/>
      <c r="I120" s="78">
        <v>2063</v>
      </c>
      <c r="J120" s="78">
        <v>2063</v>
      </c>
      <c r="K120" s="78">
        <f t="shared" si="132"/>
      </c>
      <c r="L120" s="96"/>
      <c r="M120" s="137" t="str">
        <f t="shared" si="133"/>
      </c>
      <c r="N120" s="78">
        <f t="shared" ca="1" si="137"/>
      </c>
      <c r="O120" s="96"/>
      <c r="P120" s="79">
        <f t="shared" ca="1" si="135"/>
      </c>
      <c r="Q120" s="80">
        <f t="shared" ca="1" si="136"/>
      </c>
      <c r="R120" s="96"/>
      <c r="S120" s="81">
        <v>45400</v>
      </c>
      <c r="T120" s="82" t="s">
        <v>983</v>
      </c>
      <c r="U120" s="97"/>
    </row>
    <row r="121" spans="1:21" s="610" customFormat="1" x14ac:dyDescent="0.3">
      <c r="A121" s="73">
        <v>312</v>
      </c>
      <c r="B121" s="137" t="str">
        <f t="shared" si="131"/>
      </c>
      <c r="C121" s="96"/>
      <c r="D121" s="76" t="str">
        <f ca="1">INDEX(INDIRECT(E121),0,COLUMN(MO_Common_Column_A))</f>
      </c>
      <c r="E121" s="77" t="s">
        <v>288</v>
      </c>
      <c r="F121" s="137" t="s">
        <v>2025</v>
      </c>
      <c r="G121" s="137"/>
      <c r="H121" s="96"/>
      <c r="I121" s="84">
        <v>0.46800000000000003</v>
      </c>
      <c r="J121" s="84">
        <v>0.46800000000000003</v>
      </c>
      <c r="K121" s="84">
        <f t="shared" si="132"/>
      </c>
      <c r="L121" s="96"/>
      <c r="M121" s="137" t="str">
        <f t="shared" si="133"/>
      </c>
      <c r="N121" s="84">
        <f t="shared" ca="1" si="137"/>
      </c>
      <c r="O121" s="96"/>
      <c r="P121" s="85">
        <f t="shared" ca="1" si="135"/>
      </c>
      <c r="Q121" s="80">
        <f t="shared" ca="1" si="136"/>
      </c>
      <c r="R121" s="96"/>
      <c r="S121" s="81">
        <v>45400</v>
      </c>
      <c r="T121" s="82" t="s">
        <v>983</v>
      </c>
      <c r="U121" s="97"/>
    </row>
    <row r="122" spans="1:21" s="610" customFormat="1" x14ac:dyDescent="0.3">
      <c r="A122" s="73">
        <v>311</v>
      </c>
      <c r="B122" s="137" t="str">
        <f t="shared" si="131"/>
      </c>
      <c r="C122" s="96"/>
      <c r="D122" s="76" t="str">
        <f ca="1">INDEX(INDIRECT(E122),0,COLUMN(MO_Common_Column_A))</f>
      </c>
      <c r="E122" s="77" t="s">
        <v>2432</v>
      </c>
      <c r="F122" s="137" t="s">
        <v>2025</v>
      </c>
      <c r="G122" s="137"/>
      <c r="H122" s="96"/>
      <c r="I122" s="78"/>
      <c r="J122" s="78"/>
      <c r="K122" s="78"/>
      <c r="L122" s="96"/>
      <c r="M122" s="137" t="str">
        <f t="shared" si="133"/>
      </c>
      <c r="N122" s="78">
        <f t="shared" ca="1" si="137"/>
      </c>
      <c r="O122" s="774"/>
      <c r="P122" s="79">
        <f t="shared" ca="1" si="135"/>
      </c>
      <c r="Q122" s="80" t="str">
        <f t="shared" ca="1" si="136"/>
      </c>
      <c r="R122" s="96"/>
      <c r="S122" s="81">
        <v>45400</v>
      </c>
      <c r="T122" s="82" t="s">
        <v>983</v>
      </c>
      <c r="U122" s="97"/>
    </row>
    <row r="123" spans="1:21" s="610" customFormat="1" x14ac:dyDescent="0.3">
      <c r="A123" s="73">
        <v>310</v>
      </c>
      <c r="B123" s="137" t="str">
        <f t="shared" si="131"/>
      </c>
      <c r="C123" s="96"/>
      <c r="D123" s="76" t="str">
        <f ca="1">INDEX(INDIRECT(E123),0,COLUMN(MO_Common_Column_A))</f>
      </c>
      <c r="E123" s="77" t="s">
        <v>2434</v>
      </c>
      <c r="F123" s="137" t="s">
        <v>2025</v>
      </c>
      <c r="G123" s="137"/>
      <c r="H123" s="96"/>
      <c r="I123" s="83"/>
      <c r="J123" s="83"/>
      <c r="K123" s="83"/>
      <c r="L123" s="96"/>
      <c r="M123" s="137" t="str">
        <f t="shared" si="133"/>
      </c>
      <c r="N123" s="83">
        <f ca="1">IF(B123="Historical",IFERROR(INDEX(INDIRECT(E123),0,MATCH(F123,MO_Common_ColumnHeader,0)),"N/A"),"N/A")</f>
      </c>
      <c r="O123" s="86"/>
      <c r="P123" s="80">
        <f t="shared" ca="1" si="135"/>
      </c>
      <c r="Q123" s="80" t="str">
        <f t="shared" ca="1" si="136"/>
      </c>
      <c r="R123" s="96"/>
      <c r="S123" s="81">
        <v>45400</v>
      </c>
      <c r="T123" s="82" t="s">
        <v>983</v>
      </c>
      <c r="U123" s="97"/>
    </row>
    <row r="124" spans="1:21" s="610" customFormat="1" x14ac:dyDescent="0.3">
      <c r="A124" s="73">
        <v>309</v>
      </c>
      <c r="B124" s="96"/>
      <c r="C124" s="96"/>
      <c r="D124" s="87"/>
      <c r="E124" s="96"/>
      <c r="F124" s="96"/>
      <c r="G124" s="96"/>
      <c r="H124" s="96"/>
      <c r="I124" s="96"/>
      <c r="J124" s="96"/>
      <c r="K124" s="96"/>
      <c r="L124" s="96"/>
      <c r="M124" s="96"/>
      <c r="N124" s="96"/>
      <c r="O124" s="96"/>
      <c r="P124" s="87"/>
      <c r="Q124" s="87"/>
      <c r="R124" s="96"/>
      <c r="S124" s="96"/>
      <c r="T124" s="179"/>
      <c r="U124" s="96"/>
    </row>
    <row r="125" spans="1:21" s="610" customFormat="1" x14ac:dyDescent="0.3">
      <c r="A125" s="73">
        <v>308</v>
      </c>
      <c r="B125" s="137" t="str">
        <f t="shared" ref="B125" si="138">IF(INDEX(MO_SNA_IsHistoricalPeriod,,MATCH(F125,MO_Common_ColumnHeader,0)),"Historical","Forward")</f>
      </c>
      <c r="C125" s="96"/>
      <c r="D125" s="76" t="s">
        <v>291</v>
      </c>
      <c r="E125" s="77" t="s">
        <v>654</v>
      </c>
      <c r="F125" s="137" t="s">
        <v>986</v>
      </c>
      <c r="G125" s="137"/>
      <c r="H125" s="96"/>
      <c r="I125" s="83">
        <v>0.24</v>
      </c>
      <c r="J125" s="83">
        <v>0.24</v>
      </c>
      <c r="K125" s="83">
        <f t="shared" ref="K125" si="139">AVERAGE(I125:J125)</f>
      </c>
      <c r="L125" s="96"/>
      <c r="M125" s="137" t="str">
        <f t="shared" ref="M125" si="140">IF(INDEX(MO_SNA_IsHistoricalPeriod,,MATCH(F125,MO_Common_ColumnHeader,0)),"Actual","Estimate")</f>
      </c>
      <c r="N125" s="83">
        <f t="shared" ref="N125" ca="1" si="141">IFERROR(INDEX(INDIRECT(E125),0,MATCH(F125,MO_Common_ColumnHeader,0)),"N/A")</f>
      </c>
      <c r="O125" s="86"/>
      <c r="P125" s="80">
        <f t="shared" ref="P125" ca="1" si="142">IF(ISNUMBER(N125),N125-K125,"N/A")</f>
      </c>
      <c r="Q125" s="80">
        <f t="shared" ref="Q125" ca="1" si="143">IFERROR(IF(ISNUMBER(N125),(N125-K125)/ABS(K125),"N/A"),"N/A")</f>
      </c>
      <c r="R125" s="96"/>
      <c r="S125" s="81">
        <v>45314</v>
      </c>
      <c r="T125" s="82" t="s">
        <v>983</v>
      </c>
      <c r="U125" s="97"/>
    </row>
    <row r="126" spans="1:21" s="610" customFormat="1" x14ac:dyDescent="0.3">
      <c r="A126" s="73">
        <v>307</v>
      </c>
      <c r="B126" s="96"/>
      <c r="C126" s="96"/>
      <c r="D126" s="87"/>
      <c r="E126" s="96"/>
      <c r="F126" s="96"/>
      <c r="G126" s="96"/>
      <c r="H126" s="96"/>
      <c r="I126" s="96"/>
      <c r="J126" s="96"/>
      <c r="K126" s="96"/>
      <c r="L126" s="96"/>
      <c r="M126" s="96"/>
      <c r="N126" s="96"/>
      <c r="O126" s="96"/>
      <c r="P126" s="87"/>
      <c r="Q126" s="87"/>
      <c r="R126" s="96"/>
      <c r="S126" s="96"/>
      <c r="T126" s="179"/>
      <c r="U126" s="96"/>
    </row>
    <row r="127" spans="1:21" s="610" customFormat="1" x14ac:dyDescent="0.3">
      <c r="A127" s="73">
        <v>306</v>
      </c>
      <c r="B127" s="137" t="str">
        <f t="shared" ref="B127" si="144">IF(INDEX(MO_SNA_IsHistoricalPeriod,,MATCH(F127,MO_Common_ColumnHeader,0)),"Historical","Forward")</f>
      </c>
      <c r="C127" s="96"/>
      <c r="D127" s="76" t="str">
        <f ca="1">INDEX(INDIRECT(E127),0,COLUMN(MO_Common_Column_A))</f>
      </c>
      <c r="E127" s="77" t="s">
        <v>282</v>
      </c>
      <c r="F127" s="137" t="s">
        <v>996</v>
      </c>
      <c r="G127" s="137"/>
      <c r="H127" s="96"/>
      <c r="I127" s="78">
        <v>9240</v>
      </c>
      <c r="J127" s="78">
        <v>9240</v>
      </c>
      <c r="K127" s="78">
        <f t="shared" ref="K127" si="145">AVERAGE(I127:J127)</f>
      </c>
      <c r="L127" s="96"/>
      <c r="M127" s="137" t="str">
        <f t="shared" ref="M127" si="146">IF(INDEX(MO_SNA_IsHistoricalPeriod,,MATCH(F127,MO_Common_ColumnHeader,0)),"Actual","Estimate")</f>
      </c>
      <c r="N127" s="78">
        <f t="shared" ref="N127" ca="1" si="147">IFERROR(INDEX(INDIRECT(E127),0,MATCH(F127,MO_Common_ColumnHeader,0)),"N/A")</f>
      </c>
      <c r="O127" s="96"/>
      <c r="P127" s="79">
        <f t="shared" ref="P127" ca="1" si="148">IF(ISNUMBER(N127),N127-K127,"N/A")</f>
      </c>
      <c r="Q127" s="80">
        <f t="shared" ref="Q127" ca="1" si="149">IFERROR(IF(ISNUMBER(N127),(N127-K127)/ABS(K127),"N/A"),"N/A")</f>
      </c>
      <c r="R127" s="96"/>
      <c r="S127" s="81">
        <v>45314</v>
      </c>
      <c r="T127" s="82" t="s">
        <v>983</v>
      </c>
      <c r="U127" s="97"/>
    </row>
    <row r="128" spans="1:21" s="610" customFormat="1" x14ac:dyDescent="0.3">
      <c r="A128" s="73">
        <v>305</v>
      </c>
      <c r="B128" s="137" t="str">
        <f t="shared" ref="B128:B135" si="150">IF(INDEX(MO_SNA_IsHistoricalPeriod,,MATCH(F128,MO_Common_ColumnHeader,0)),"Historical","Forward")</f>
      </c>
      <c r="C128" s="96"/>
      <c r="D128" s="76" t="str">
        <f ca="1">INDEX(INDIRECT(E128),0,COLUMN(MO_Common_Column_A))</f>
      </c>
      <c r="E128" s="77" t="s">
        <v>285</v>
      </c>
      <c r="F128" s="137" t="s">
        <v>996</v>
      </c>
      <c r="G128" s="137"/>
      <c r="H128" s="96"/>
      <c r="I128" s="83">
        <v>0.13200000000000001</v>
      </c>
      <c r="J128" s="83">
        <v>0.13200000000000001</v>
      </c>
      <c r="K128" s="83">
        <f t="shared" ref="K128:K133" si="151">AVERAGE(I128:J128)</f>
      </c>
      <c r="L128" s="96"/>
      <c r="M128" s="137" t="str">
        <f t="shared" ref="M128:M135" si="152">IF(INDEX(MO_SNA_IsHistoricalPeriod,,MATCH(F128,MO_Common_ColumnHeader,0)),"Actual","Estimate")</f>
      </c>
      <c r="N128" s="83">
        <f t="shared" ref="N128" ca="1" si="153">IFERROR(INDEX(INDIRECT(E128),0,MATCH(F128,MO_Common_ColumnHeader,0)),"N/A")</f>
      </c>
      <c r="O128" s="96"/>
      <c r="P128" s="80">
        <f t="shared" ref="P128:P135" ca="1" si="154">IF(ISNUMBER(N128),N128-K128,"N/A")</f>
      </c>
      <c r="Q128" s="80">
        <f t="shared" ref="Q128:Q135" ca="1" si="155">IFERROR(IF(ISNUMBER(N128),(N128-K128)/ABS(K128),"N/A"),"N/A")</f>
      </c>
      <c r="R128" s="96"/>
      <c r="S128" s="81">
        <v>45314</v>
      </c>
      <c r="T128" s="82" t="s">
        <v>983</v>
      </c>
      <c r="U128" s="97"/>
    </row>
    <row r="129" spans="1:21" s="610" customFormat="1" x14ac:dyDescent="0.3">
      <c r="A129" s="73">
        <v>304</v>
      </c>
      <c r="B129" s="137" t="str">
        <f t="shared" si="150"/>
      </c>
      <c r="C129" s="96"/>
      <c r="D129" s="76" t="str">
        <f ca="1">INDEX(INDIRECT(E129),0,COLUMN(MO_Common_Column_A))</f>
      </c>
      <c r="E129" s="77" t="s">
        <v>975</v>
      </c>
      <c r="F129" s="137" t="s">
        <v>996</v>
      </c>
      <c r="G129" s="137"/>
      <c r="H129" s="96"/>
      <c r="I129" s="83">
        <v>0.16</v>
      </c>
      <c r="J129" s="83">
        <v>0.16</v>
      </c>
      <c r="K129" s="83">
        <f t="shared" si="151"/>
      </c>
      <c r="L129" s="96"/>
      <c r="M129" s="137" t="str">
        <f t="shared" si="152"/>
      </c>
      <c r="N129" s="83">
        <f ca="1">IF(B129="Historical",IFERROR(INDEX(INDIRECT(E129),0,MATCH(F129,MO_Common_ColumnHeader,0)),"N/A"),"N/A")</f>
      </c>
      <c r="O129" s="96"/>
      <c r="P129" s="80">
        <f t="shared" ca="1" si="154"/>
      </c>
      <c r="Q129" s="80">
        <f t="shared" ca="1" si="155"/>
      </c>
      <c r="R129" s="96"/>
      <c r="S129" s="81">
        <v>45314</v>
      </c>
      <c r="T129" s="82" t="s">
        <v>983</v>
      </c>
      <c r="U129" s="97"/>
    </row>
    <row r="130" spans="1:21" s="610" customFormat="1" x14ac:dyDescent="0.3">
      <c r="A130" s="73">
        <v>303</v>
      </c>
      <c r="B130" s="137" t="str">
        <f t="shared" si="150"/>
      </c>
      <c r="C130" s="96"/>
      <c r="D130" s="76" t="str">
        <f ca="1">INDEX(INDIRECT(E130),0,COLUMN(MO_Common_Column_A))</f>
      </c>
      <c r="E130" s="77" t="s">
        <v>286</v>
      </c>
      <c r="F130" s="137" t="s">
        <v>996</v>
      </c>
      <c r="G130" s="137"/>
      <c r="H130" s="96"/>
      <c r="I130" s="78">
        <v>2420</v>
      </c>
      <c r="J130" s="78">
        <v>2420</v>
      </c>
      <c r="K130" s="78">
        <f t="shared" si="151"/>
      </c>
      <c r="L130" s="96"/>
      <c r="M130" s="137" t="str">
        <f t="shared" si="152"/>
      </c>
      <c r="N130" s="78">
        <f t="shared" ref="N130:N133" ca="1" si="156">IFERROR(INDEX(INDIRECT(E130),0,MATCH(F130,MO_Common_ColumnHeader,0)),"N/A")</f>
      </c>
      <c r="O130" s="96"/>
      <c r="P130" s="79">
        <f t="shared" ca="1" si="154"/>
      </c>
      <c r="Q130" s="80">
        <f t="shared" ca="1" si="155"/>
      </c>
      <c r="R130" s="96"/>
      <c r="S130" s="81">
        <v>45314</v>
      </c>
      <c r="T130" s="82" t="s">
        <v>983</v>
      </c>
      <c r="U130" s="97"/>
    </row>
    <row r="131" spans="1:21" s="610" customFormat="1" x14ac:dyDescent="0.3">
      <c r="A131" s="73">
        <v>302</v>
      </c>
      <c r="B131" s="137" t="str">
        <f t="shared" si="150"/>
      </c>
      <c r="C131" s="96"/>
      <c r="D131" s="76" t="s">
        <v>291</v>
      </c>
      <c r="E131" s="77" t="s">
        <v>654</v>
      </c>
      <c r="F131" s="137" t="s">
        <v>996</v>
      </c>
      <c r="G131" s="137"/>
      <c r="H131" s="96"/>
      <c r="I131" s="83">
        <v>0.26200000000000001</v>
      </c>
      <c r="J131" s="83">
        <v>0.26200000000000001</v>
      </c>
      <c r="K131" s="83">
        <f t="shared" si="151"/>
      </c>
      <c r="L131" s="96"/>
      <c r="M131" s="137" t="str">
        <f t="shared" si="152"/>
      </c>
      <c r="N131" s="83">
        <f t="shared" ca="1" si="156"/>
      </c>
      <c r="O131" s="86"/>
      <c r="P131" s="80">
        <f t="shared" ca="1" si="154"/>
      </c>
      <c r="Q131" s="80">
        <f t="shared" ca="1" si="155"/>
      </c>
      <c r="R131" s="96"/>
      <c r="S131" s="81">
        <v>45314</v>
      </c>
      <c r="T131" s="82" t="s">
        <v>983</v>
      </c>
      <c r="U131" s="97"/>
    </row>
    <row r="132" spans="1:21" s="610" customFormat="1" x14ac:dyDescent="0.3">
      <c r="A132" s="73">
        <v>301</v>
      </c>
      <c r="B132" s="137" t="str">
        <f t="shared" si="150"/>
      </c>
      <c r="C132" s="96"/>
      <c r="D132" s="76" t="str">
        <f ca="1">INDEX(INDIRECT(E132),0,COLUMN(MO_Common_Column_A))</f>
      </c>
      <c r="E132" s="77" t="s">
        <v>287</v>
      </c>
      <c r="F132" s="137" t="s">
        <v>996</v>
      </c>
      <c r="G132" s="137"/>
      <c r="H132" s="96"/>
      <c r="I132" s="78">
        <v>1976</v>
      </c>
      <c r="J132" s="78">
        <v>1976</v>
      </c>
      <c r="K132" s="78">
        <f t="shared" si="151"/>
      </c>
      <c r="L132" s="96"/>
      <c r="M132" s="137" t="str">
        <f t="shared" si="152"/>
      </c>
      <c r="N132" s="78">
        <f t="shared" ca="1" si="156"/>
      </c>
      <c r="O132" s="96"/>
      <c r="P132" s="79">
        <f t="shared" ca="1" si="154"/>
      </c>
      <c r="Q132" s="80">
        <f t="shared" ca="1" si="155"/>
      </c>
      <c r="R132" s="96"/>
      <c r="S132" s="81">
        <v>45314</v>
      </c>
      <c r="T132" s="82" t="s">
        <v>983</v>
      </c>
      <c r="U132" s="97"/>
    </row>
    <row r="133" spans="1:21" s="610" customFormat="1" x14ac:dyDescent="0.3">
      <c r="A133" s="73">
        <v>300</v>
      </c>
      <c r="B133" s="137" t="str">
        <f t="shared" si="150"/>
      </c>
      <c r="C133" s="96"/>
      <c r="D133" s="76" t="str">
        <f ca="1">INDEX(INDIRECT(E133),0,COLUMN(MO_Common_Column_A))</f>
      </c>
      <c r="E133" s="77" t="s">
        <v>288</v>
      </c>
      <c r="F133" s="137" t="s">
        <v>996</v>
      </c>
      <c r="G133" s="137"/>
      <c r="H133" s="96"/>
      <c r="I133" s="84">
        <v>0.44900000000000001</v>
      </c>
      <c r="J133" s="84">
        <v>0.44900000000000001</v>
      </c>
      <c r="K133" s="84">
        <f t="shared" si="151"/>
      </c>
      <c r="L133" s="96"/>
      <c r="M133" s="137" t="str">
        <f t="shared" si="152"/>
      </c>
      <c r="N133" s="84">
        <f t="shared" ca="1" si="156"/>
      </c>
      <c r="O133" s="96"/>
      <c r="P133" s="85">
        <f t="shared" ca="1" si="154"/>
      </c>
      <c r="Q133" s="80">
        <f t="shared" ca="1" si="155"/>
      </c>
      <c r="R133" s="96"/>
      <c r="S133" s="81">
        <v>45314</v>
      </c>
      <c r="T133" s="82" t="s">
        <v>983</v>
      </c>
      <c r="U133" s="97"/>
    </row>
    <row r="134" spans="1:21" s="610" customFormat="1" x14ac:dyDescent="0.3">
      <c r="A134" s="73">
        <v>299</v>
      </c>
      <c r="B134" s="137" t="str">
        <f t="shared" si="150"/>
      </c>
      <c r="C134" s="96"/>
      <c r="D134" s="76" t="str">
        <f ca="1">INDEX(INDIRECT(E134),0,COLUMN(MO_Common_Column_A))</f>
      </c>
      <c r="E134" s="77" t="s">
        <v>2432</v>
      </c>
      <c r="F134" s="137" t="s">
        <v>996</v>
      </c>
      <c r="G134" s="137"/>
      <c r="H134" s="96"/>
      <c r="I134" s="78"/>
      <c r="J134" s="78"/>
      <c r="K134" s="78"/>
      <c r="L134" s="96"/>
      <c r="M134" s="137" t="str">
        <f t="shared" si="152"/>
      </c>
      <c r="N134" s="78">
        <f t="shared" ref="N134" ca="1" si="157">IFERROR(INDEX(INDIRECT(E134),0,MATCH(F134,MO_Common_ColumnHeader,0)),"N/A")</f>
      </c>
      <c r="O134" s="774"/>
      <c r="P134" s="79">
        <f t="shared" ca="1" si="154"/>
      </c>
      <c r="Q134" s="80" t="str">
        <f t="shared" ca="1" si="155"/>
      </c>
      <c r="R134" s="96"/>
      <c r="S134" s="81">
        <v>45314</v>
      </c>
      <c r="T134" s="82" t="s">
        <v>983</v>
      </c>
      <c r="U134" s="97"/>
    </row>
    <row r="135" spans="1:21" s="610" customFormat="1" x14ac:dyDescent="0.3">
      <c r="A135" s="73">
        <v>298</v>
      </c>
      <c r="B135" s="137" t="str">
        <f t="shared" si="150"/>
      </c>
      <c r="C135" s="96"/>
      <c r="D135" s="76" t="str">
        <f ca="1">INDEX(INDIRECT(E135),0,COLUMN(MO_Common_Column_A))</f>
      </c>
      <c r="E135" s="77" t="s">
        <v>2434</v>
      </c>
      <c r="F135" s="137" t="s">
        <v>996</v>
      </c>
      <c r="G135" s="137"/>
      <c r="H135" s="96"/>
      <c r="I135" s="83"/>
      <c r="J135" s="83"/>
      <c r="K135" s="83"/>
      <c r="L135" s="96"/>
      <c r="M135" s="137" t="str">
        <f t="shared" si="152"/>
      </c>
      <c r="N135" s="83">
        <f ca="1">IF(B135="Historical",IFERROR(INDEX(INDIRECT(E135),0,MATCH(F135,MO_Common_ColumnHeader,0)),"N/A"),"N/A")</f>
      </c>
      <c r="O135" s="86"/>
      <c r="P135" s="80">
        <f t="shared" ca="1" si="154"/>
      </c>
      <c r="Q135" s="80" t="str">
        <f t="shared" ca="1" si="155"/>
      </c>
      <c r="R135" s="96"/>
      <c r="S135" s="81">
        <v>45314</v>
      </c>
      <c r="T135" s="82" t="s">
        <v>983</v>
      </c>
      <c r="U135" s="97"/>
    </row>
    <row r="136" spans="1:21" s="610" customFormat="1" x14ac:dyDescent="0.3">
      <c r="A136" s="73">
        <v>297</v>
      </c>
      <c r="B136" s="96"/>
      <c r="C136" s="96"/>
      <c r="D136" s="87"/>
      <c r="E136" s="96"/>
      <c r="F136" s="96"/>
      <c r="G136" s="96"/>
      <c r="H136" s="96"/>
      <c r="I136" s="96"/>
      <c r="J136" s="96"/>
      <c r="K136" s="96"/>
      <c r="L136" s="96"/>
      <c r="M136" s="96"/>
      <c r="N136" s="96"/>
      <c r="O136" s="96"/>
      <c r="P136" s="87"/>
      <c r="Q136" s="87"/>
      <c r="R136" s="96"/>
      <c r="S136" s="96"/>
      <c r="T136" s="179"/>
      <c r="U136" s="96"/>
    </row>
    <row r="137" spans="1:21" s="610" customFormat="1" x14ac:dyDescent="0.3">
      <c r="A137" s="73">
        <v>296</v>
      </c>
      <c r="B137" s="137" t="str">
        <f t="shared" ref="B137" si="158">IF(INDEX(MO_SNA_IsHistoricalPeriod,,MATCH(F137,MO_Common_ColumnHeader,0)),"Historical","Forward")</f>
      </c>
      <c r="C137" s="96"/>
      <c r="D137" s="76" t="s">
        <v>291</v>
      </c>
      <c r="E137" s="77" t="s">
        <v>654</v>
      </c>
      <c r="F137" s="137" t="s">
        <v>986</v>
      </c>
      <c r="G137" s="137"/>
      <c r="H137" s="96"/>
      <c r="I137" s="83">
        <v>0.22</v>
      </c>
      <c r="J137" s="83">
        <v>0.23</v>
      </c>
      <c r="K137" s="83">
        <f t="shared" ref="K137" si="159">AVERAGE(I137:J137)</f>
      </c>
      <c r="L137" s="96"/>
      <c r="M137" s="137" t="str">
        <f t="shared" ref="M137" si="160">IF(INDEX(MO_SNA_IsHistoricalPeriod,,MATCH(F137,MO_Common_ColumnHeader,0)),"Actual","Estimate")</f>
      </c>
      <c r="N137" s="83">
        <f t="shared" ref="N137" ca="1" si="161">IFERROR(INDEX(INDIRECT(E137),0,MATCH(F137,MO_Common_ColumnHeader,0)),"N/A")</f>
      </c>
      <c r="O137" s="86"/>
      <c r="P137" s="80">
        <f t="shared" ref="P137" ca="1" si="162">IF(ISNUMBER(N137),N137-K137,"N/A")</f>
      </c>
      <c r="Q137" s="80">
        <f t="shared" ref="Q137" ca="1" si="163">IFERROR(IF(ISNUMBER(N137),(N137-K137)/ABS(K137),"N/A"),"N/A")</f>
      </c>
      <c r="R137" s="96"/>
      <c r="S137" s="81">
        <v>45217</v>
      </c>
      <c r="T137" s="82" t="s">
        <v>983</v>
      </c>
      <c r="U137" s="97"/>
    </row>
    <row r="138" spans="1:21" s="610" customFormat="1" x14ac:dyDescent="0.3">
      <c r="A138" s="73">
        <v>295</v>
      </c>
      <c r="B138" s="96"/>
      <c r="C138" s="96"/>
      <c r="D138" s="87"/>
      <c r="E138" s="96"/>
      <c r="F138" s="96"/>
      <c r="G138" s="96"/>
      <c r="H138" s="96"/>
      <c r="I138" s="96"/>
      <c r="J138" s="96"/>
      <c r="K138" s="96"/>
      <c r="L138" s="96"/>
      <c r="M138" s="96"/>
      <c r="N138" s="96"/>
      <c r="O138" s="96"/>
      <c r="P138" s="87"/>
      <c r="Q138" s="87"/>
      <c r="R138" s="96"/>
      <c r="S138" s="96"/>
      <c r="T138" s="179"/>
      <c r="U138" s="96"/>
    </row>
    <row r="139" spans="1:21" s="610" customFormat="1" x14ac:dyDescent="0.3">
      <c r="A139" s="73">
        <v>294</v>
      </c>
      <c r="B139" s="137" t="str">
        <f t="shared" ref="B139:B140" si="164">IF(INDEX(MO_SNA_IsHistoricalPeriod,,MATCH(F139,MO_Common_ColumnHeader,0)),"Historical","Forward")</f>
      </c>
      <c r="C139" s="96"/>
      <c r="D139" s="76" t="s">
        <v>291</v>
      </c>
      <c r="E139" s="77" t="s">
        <v>654</v>
      </c>
      <c r="F139" s="137" t="s">
        <v>974</v>
      </c>
      <c r="G139" s="137"/>
      <c r="H139" s="96"/>
      <c r="I139" s="83">
        <v>0.2</v>
      </c>
      <c r="J139" s="83">
        <v>0.2</v>
      </c>
      <c r="K139" s="83">
        <f t="shared" ref="K139:K140" si="165">AVERAGE(I139:J139)</f>
      </c>
      <c r="L139" s="96"/>
      <c r="M139" s="137" t="str">
        <f t="shared" ref="M139:M140" si="166">IF(INDEX(MO_SNA_IsHistoricalPeriod,,MATCH(F139,MO_Common_ColumnHeader,0)),"Actual","Estimate")</f>
      </c>
      <c r="N139" s="83">
        <f t="shared" ref="N139:N140" ca="1" si="167">IFERROR(INDEX(INDIRECT(E139),0,MATCH(F139,MO_Common_ColumnHeader,0)),"N/A")</f>
      </c>
      <c r="O139" s="86"/>
      <c r="P139" s="80">
        <f t="shared" ref="P139:P140" ca="1" si="168">IF(ISNUMBER(N139),N139-K139,"N/A")</f>
      </c>
      <c r="Q139" s="80">
        <f t="shared" ref="Q139:Q140" ca="1" si="169">IFERROR(IF(ISNUMBER(N139),(N139-K139)/ABS(K139),"N/A"),"N/A")</f>
      </c>
      <c r="R139" s="96"/>
      <c r="S139" s="81">
        <v>45217</v>
      </c>
      <c r="T139" s="82" t="s">
        <v>983</v>
      </c>
      <c r="U139" s="97"/>
    </row>
    <row r="140" spans="1:21" s="610" customFormat="1" x14ac:dyDescent="0.3">
      <c r="A140" s="73">
        <v>293</v>
      </c>
      <c r="B140" s="137" t="str">
        <f t="shared" si="164"/>
      </c>
      <c r="C140" s="96"/>
      <c r="D140" s="76" t="str">
        <f ca="1">INDEX(INDIRECT(E140),0,COLUMN(MO_Common_Column_A))</f>
      </c>
      <c r="E140" s="77" t="s">
        <v>984</v>
      </c>
      <c r="F140" s="137" t="s">
        <v>974</v>
      </c>
      <c r="G140" s="137"/>
      <c r="H140" s="96"/>
      <c r="I140" s="78">
        <v>6500</v>
      </c>
      <c r="J140" s="78">
        <v>6500</v>
      </c>
      <c r="K140" s="78">
        <f t="shared" si="165"/>
      </c>
      <c r="L140" s="96"/>
      <c r="M140" s="137" t="str">
        <f t="shared" si="166"/>
      </c>
      <c r="N140" s="78">
        <f t="shared" ca="1" si="167"/>
      </c>
      <c r="O140" s="774"/>
      <c r="P140" s="79">
        <f t="shared" ca="1" si="168"/>
      </c>
      <c r="Q140" s="80">
        <f t="shared" ca="1" si="169"/>
      </c>
      <c r="R140" s="96"/>
      <c r="S140" s="81">
        <v>45217</v>
      </c>
      <c r="T140" s="82" t="s">
        <v>983</v>
      </c>
      <c r="U140" s="97"/>
    </row>
    <row r="141" spans="1:21" s="610" customFormat="1" x14ac:dyDescent="0.3">
      <c r="A141" s="73">
        <v>292</v>
      </c>
      <c r="B141" s="96"/>
      <c r="C141" s="96"/>
      <c r="D141" s="87"/>
      <c r="E141" s="96"/>
      <c r="F141" s="96"/>
      <c r="G141" s="96"/>
      <c r="H141" s="96"/>
      <c r="I141" s="96"/>
      <c r="J141" s="96"/>
      <c r="K141" s="96"/>
      <c r="L141" s="96"/>
      <c r="M141" s="96"/>
      <c r="N141" s="96"/>
      <c r="O141" s="96"/>
      <c r="P141" s="87"/>
      <c r="Q141" s="87"/>
      <c r="R141" s="96"/>
      <c r="S141" s="96"/>
      <c r="T141" s="179"/>
      <c r="U141" s="96"/>
    </row>
    <row r="142" spans="1:21" s="610" customFormat="1" x14ac:dyDescent="0.3">
      <c r="A142" s="73">
        <v>291</v>
      </c>
      <c r="B142" s="137" t="str">
        <f t="shared" ref="B142:B150" si="170">IF(INDEX(MO_SNA_IsHistoricalPeriod,,MATCH(F142,MO_Common_ColumnHeader,0)),"Historical","Forward")</f>
      </c>
      <c r="C142" s="96"/>
      <c r="D142" s="76" t="str">
        <f ca="1">INDEX(INDIRECT(E142),0,COLUMN(MO_Common_Column_A))</f>
      </c>
      <c r="E142" s="77" t="s">
        <v>282</v>
      </c>
      <c r="F142" s="137" t="s">
        <v>985</v>
      </c>
      <c r="G142" s="137"/>
      <c r="H142" s="96"/>
      <c r="I142" s="78">
        <v>8692</v>
      </c>
      <c r="J142" s="78">
        <v>8692</v>
      </c>
      <c r="K142" s="78">
        <f t="shared" ref="K142:K150" si="171">AVERAGE(I142:J142)</f>
      </c>
      <c r="L142" s="96"/>
      <c r="M142" s="137" t="str">
        <f t="shared" ref="M142:M150" si="172">IF(INDEX(MO_SNA_IsHistoricalPeriod,,MATCH(F142,MO_Common_ColumnHeader,0)),"Actual","Estimate")</f>
      </c>
      <c r="N142" s="78">
        <f t="shared" ref="N142:N143" ca="1" si="173">IFERROR(INDEX(INDIRECT(E142),0,MATCH(F142,MO_Common_ColumnHeader,0)),"N/A")</f>
      </c>
      <c r="O142" s="96"/>
      <c r="P142" s="79">
        <f t="shared" ref="P142:P150" ca="1" si="174">IF(ISNUMBER(N142),N142-K142,"N/A")</f>
      </c>
      <c r="Q142" s="80">
        <f t="shared" ref="Q142:Q150" ca="1" si="175">IFERROR(IF(ISNUMBER(N142),(N142-K142)/ABS(K142),"N/A"),"N/A")</f>
      </c>
      <c r="R142" s="96"/>
      <c r="S142" s="81">
        <v>45217</v>
      </c>
      <c r="T142" s="82" t="s">
        <v>983</v>
      </c>
      <c r="U142" s="97"/>
    </row>
    <row r="143" spans="1:21" s="610" customFormat="1" x14ac:dyDescent="0.3">
      <c r="A143" s="73">
        <v>290</v>
      </c>
      <c r="B143" s="137" t="str">
        <f t="shared" si="170"/>
      </c>
      <c r="C143" s="96"/>
      <c r="D143" s="76" t="str">
        <f ca="1">INDEX(INDIRECT(E143),0,COLUMN(MO_Common_Column_A))</f>
      </c>
      <c r="E143" s="77" t="s">
        <v>285</v>
      </c>
      <c r="F143" s="137" t="s">
        <v>985</v>
      </c>
      <c r="G143" s="137"/>
      <c r="H143" s="96"/>
      <c r="I143" s="83">
        <v>0.107</v>
      </c>
      <c r="J143" s="83">
        <v>0.107</v>
      </c>
      <c r="K143" s="83">
        <f t="shared" si="171"/>
      </c>
      <c r="L143" s="96"/>
      <c r="M143" s="137" t="str">
        <f t="shared" si="172"/>
      </c>
      <c r="N143" s="83">
        <f t="shared" ca="1" si="173"/>
      </c>
      <c r="O143" s="96"/>
      <c r="P143" s="80">
        <f t="shared" ca="1" si="174"/>
      </c>
      <c r="Q143" s="80">
        <f t="shared" ca="1" si="175"/>
      </c>
      <c r="R143" s="96"/>
      <c r="S143" s="81">
        <v>45217</v>
      </c>
      <c r="T143" s="82" t="s">
        <v>983</v>
      </c>
      <c r="U143" s="97"/>
    </row>
    <row r="144" spans="1:21" s="610" customFormat="1" x14ac:dyDescent="0.3">
      <c r="A144" s="73">
        <v>289</v>
      </c>
      <c r="B144" s="137" t="str">
        <f t="shared" si="170"/>
      </c>
      <c r="C144" s="96"/>
      <c r="D144" s="76" t="str">
        <f ca="1">INDEX(INDIRECT(E144),0,COLUMN(MO_Common_Column_A))</f>
      </c>
      <c r="E144" s="77" t="s">
        <v>975</v>
      </c>
      <c r="F144" s="137" t="s">
        <v>985</v>
      </c>
      <c r="G144" s="137"/>
      <c r="H144" s="96"/>
      <c r="I144" s="83">
        <v>0.12</v>
      </c>
      <c r="J144" s="83">
        <v>0.12</v>
      </c>
      <c r="K144" s="83">
        <f t="shared" si="171"/>
      </c>
      <c r="L144" s="96"/>
      <c r="M144" s="137" t="str">
        <f t="shared" si="172"/>
      </c>
      <c r="N144" s="83">
        <f ca="1">IF(B144="Historical",IFERROR(INDEX(INDIRECT(E144),0,MATCH(F144,MO_Common_ColumnHeader,0)),"N/A"),"N/A")</f>
      </c>
      <c r="O144" s="96"/>
      <c r="P144" s="80">
        <f t="shared" ca="1" si="174"/>
      </c>
      <c r="Q144" s="80">
        <f t="shared" ca="1" si="175"/>
      </c>
      <c r="R144" s="96"/>
      <c r="S144" s="81">
        <v>45217</v>
      </c>
      <c r="T144" s="82" t="s">
        <v>983</v>
      </c>
      <c r="U144" s="97"/>
    </row>
    <row r="145" spans="1:21" s="610" customFormat="1" x14ac:dyDescent="0.3">
      <c r="A145" s="73">
        <v>288</v>
      </c>
      <c r="B145" s="137" t="str">
        <f t="shared" si="170"/>
      </c>
      <c r="C145" s="96"/>
      <c r="D145" s="76" t="str">
        <f ca="1">INDEX(INDIRECT(E145),0,COLUMN(MO_Common_Column_A))</f>
      </c>
      <c r="E145" s="77" t="s">
        <v>286</v>
      </c>
      <c r="F145" s="137" t="s">
        <v>985</v>
      </c>
      <c r="G145" s="137"/>
      <c r="H145" s="96"/>
      <c r="I145" s="78">
        <v>1160</v>
      </c>
      <c r="J145" s="78">
        <v>1160</v>
      </c>
      <c r="K145" s="78">
        <f t="shared" si="171"/>
      </c>
      <c r="L145" s="96"/>
      <c r="M145" s="137" t="str">
        <f t="shared" si="172"/>
      </c>
      <c r="N145" s="78">
        <f t="shared" ref="N145:N149" ca="1" si="176">IFERROR(INDEX(INDIRECT(E145),0,MATCH(F145,MO_Common_ColumnHeader,0)),"N/A")</f>
      </c>
      <c r="O145" s="96"/>
      <c r="P145" s="79">
        <f t="shared" ca="1" si="174"/>
      </c>
      <c r="Q145" s="80">
        <f t="shared" ca="1" si="175"/>
      </c>
      <c r="R145" s="96"/>
      <c r="S145" s="81">
        <v>45217</v>
      </c>
      <c r="T145" s="82" t="s">
        <v>983</v>
      </c>
      <c r="U145" s="97"/>
    </row>
    <row r="146" spans="1:21" s="610" customFormat="1" x14ac:dyDescent="0.3">
      <c r="A146" s="73">
        <v>287</v>
      </c>
      <c r="B146" s="137" t="str">
        <f t="shared" si="170"/>
      </c>
      <c r="C146" s="96"/>
      <c r="D146" s="76" t="s">
        <v>291</v>
      </c>
      <c r="E146" s="77" t="s">
        <v>654</v>
      </c>
      <c r="F146" s="137" t="s">
        <v>985</v>
      </c>
      <c r="G146" s="137"/>
      <c r="H146" s="96"/>
      <c r="I146" s="83">
        <v>0.13300000000000001</v>
      </c>
      <c r="J146" s="83">
        <v>0.13300000000000001</v>
      </c>
      <c r="K146" s="83">
        <f t="shared" si="171"/>
      </c>
      <c r="L146" s="96"/>
      <c r="M146" s="137" t="str">
        <f t="shared" si="172"/>
      </c>
      <c r="N146" s="83">
        <f t="shared" ca="1" si="176"/>
      </c>
      <c r="O146" s="86"/>
      <c r="P146" s="80">
        <f t="shared" ca="1" si="174"/>
      </c>
      <c r="Q146" s="80">
        <f t="shared" ca="1" si="175"/>
      </c>
      <c r="R146" s="96"/>
      <c r="S146" s="81">
        <v>45217</v>
      </c>
      <c r="T146" s="82" t="s">
        <v>983</v>
      </c>
      <c r="U146" s="97"/>
    </row>
    <row r="147" spans="1:21" s="610" customFormat="1" x14ac:dyDescent="0.3">
      <c r="A147" s="73">
        <v>286</v>
      </c>
      <c r="B147" s="137" t="str">
        <f t="shared" si="170"/>
      </c>
      <c r="C147" s="96"/>
      <c r="D147" s="76" t="str">
        <f ca="1">INDEX(INDIRECT(E147),0,COLUMN(MO_Common_Column_A))</f>
      </c>
      <c r="E147" s="77" t="s">
        <v>287</v>
      </c>
      <c r="F147" s="137" t="s">
        <v>985</v>
      </c>
      <c r="G147" s="137"/>
      <c r="H147" s="96"/>
      <c r="I147" s="78">
        <v>956</v>
      </c>
      <c r="J147" s="78">
        <v>956</v>
      </c>
      <c r="K147" s="78">
        <f t="shared" si="171"/>
      </c>
      <c r="L147" s="96"/>
      <c r="M147" s="137" t="str">
        <f t="shared" si="172"/>
      </c>
      <c r="N147" s="78">
        <f t="shared" ca="1" si="176"/>
      </c>
      <c r="O147" s="96"/>
      <c r="P147" s="79">
        <f t="shared" ca="1" si="174"/>
      </c>
      <c r="Q147" s="80">
        <f t="shared" ca="1" si="175"/>
      </c>
      <c r="R147" s="96"/>
      <c r="S147" s="81">
        <v>45217</v>
      </c>
      <c r="T147" s="82" t="s">
        <v>983</v>
      </c>
      <c r="U147" s="97"/>
    </row>
    <row r="148" spans="1:21" s="610" customFormat="1" x14ac:dyDescent="0.3">
      <c r="A148" s="73">
        <v>285</v>
      </c>
      <c r="B148" s="137" t="str">
        <f t="shared" si="170"/>
      </c>
      <c r="C148" s="96"/>
      <c r="D148" s="76" t="str">
        <f ca="1">INDEX(INDIRECT(E148),0,COLUMN(MO_Common_Column_A))</f>
      </c>
      <c r="E148" s="77" t="s">
        <v>288</v>
      </c>
      <c r="F148" s="137" t="s">
        <v>985</v>
      </c>
      <c r="G148" s="137"/>
      <c r="H148" s="96"/>
      <c r="I148" s="84">
        <v>0.215</v>
      </c>
      <c r="J148" s="84">
        <v>0.215</v>
      </c>
      <c r="K148" s="84">
        <f t="shared" si="171"/>
      </c>
      <c r="L148" s="96"/>
      <c r="M148" s="137" t="str">
        <f t="shared" si="172"/>
      </c>
      <c r="N148" s="84">
        <f t="shared" ca="1" si="176"/>
      </c>
      <c r="O148" s="96"/>
      <c r="P148" s="85">
        <f t="shared" ca="1" si="174"/>
      </c>
      <c r="Q148" s="80">
        <f t="shared" ca="1" si="175"/>
      </c>
      <c r="R148" s="96"/>
      <c r="S148" s="81">
        <v>45217</v>
      </c>
      <c r="T148" s="82" t="s">
        <v>983</v>
      </c>
      <c r="U148" s="97"/>
    </row>
    <row r="149" spans="1:21" s="610" customFormat="1" x14ac:dyDescent="0.3">
      <c r="A149" s="73">
        <v>284</v>
      </c>
      <c r="B149" s="137" t="str">
        <f t="shared" si="170"/>
      </c>
      <c r="C149" s="96"/>
      <c r="D149" s="76" t="str">
        <f ca="1">INDEX(INDIRECT(E149),0,COLUMN(MO_Common_Column_A))</f>
      </c>
      <c r="E149" s="77" t="s">
        <v>2432</v>
      </c>
      <c r="F149" s="137" t="s">
        <v>985</v>
      </c>
      <c r="G149" s="137"/>
      <c r="H149" s="96"/>
      <c r="I149" s="78">
        <v>7763</v>
      </c>
      <c r="J149" s="78">
        <v>9763</v>
      </c>
      <c r="K149" s="78">
        <f t="shared" si="171"/>
      </c>
      <c r="L149" s="96"/>
      <c r="M149" s="137" t="str">
        <f t="shared" si="172"/>
      </c>
      <c r="N149" s="78">
        <f t="shared" ca="1" si="176"/>
      </c>
      <c r="O149" s="774"/>
      <c r="P149" s="79">
        <f t="shared" ca="1" si="174"/>
      </c>
      <c r="Q149" s="80">
        <f t="shared" ca="1" si="175"/>
      </c>
      <c r="R149" s="96"/>
      <c r="S149" s="81">
        <v>45217</v>
      </c>
      <c r="T149" s="82" t="s">
        <v>983</v>
      </c>
      <c r="U149" s="97"/>
    </row>
    <row r="150" spans="1:21" s="610" customFormat="1" x14ac:dyDescent="0.3">
      <c r="A150" s="73">
        <v>283</v>
      </c>
      <c r="B150" s="137" t="str">
        <f t="shared" si="170"/>
      </c>
      <c r="C150" s="96"/>
      <c r="D150" s="76" t="str">
        <f ca="1">INDEX(INDIRECT(E150),0,COLUMN(MO_Common_Column_A))</f>
      </c>
      <c r="E150" s="77" t="s">
        <v>2434</v>
      </c>
      <c r="F150" s="137" t="s">
        <v>985</v>
      </c>
      <c r="G150" s="137"/>
      <c r="H150" s="96"/>
      <c r="I150" s="83">
        <v>0</v>
      </c>
      <c r="J150" s="83">
        <v>0</v>
      </c>
      <c r="K150" s="83">
        <f t="shared" si="171"/>
      </c>
      <c r="L150" s="96"/>
      <c r="M150" s="137" t="str">
        <f t="shared" si="172"/>
      </c>
      <c r="N150" s="83">
        <f ca="1">IF(B150="Historical",IFERROR(INDEX(INDIRECT(E150),0,MATCH(F150,MO_Common_ColumnHeader,0)),"N/A"),"N/A")</f>
      </c>
      <c r="O150" s="86"/>
      <c r="P150" s="80">
        <f t="shared" ca="1" si="174"/>
      </c>
      <c r="Q150" s="80" t="str">
        <f t="shared" ca="1" si="175"/>
      </c>
      <c r="R150" s="96"/>
      <c r="S150" s="81">
        <v>45217</v>
      </c>
      <c r="T150" s="82" t="s">
        <v>983</v>
      </c>
      <c r="U150" s="97"/>
    </row>
    <row r="151" spans="1:21" s="610" customFormat="1" x14ac:dyDescent="0.3">
      <c r="A151" s="73">
        <v>282</v>
      </c>
      <c r="B151" s="96"/>
      <c r="C151" s="96"/>
      <c r="D151" s="87"/>
      <c r="E151" s="96"/>
      <c r="F151" s="96"/>
      <c r="G151" s="96"/>
      <c r="H151" s="96"/>
      <c r="I151" s="96"/>
      <c r="J151" s="96"/>
      <c r="K151" s="96"/>
      <c r="L151" s="96"/>
      <c r="M151" s="96"/>
      <c r="N151" s="96"/>
      <c r="O151" s="96"/>
      <c r="P151" s="87"/>
      <c r="Q151" s="87"/>
      <c r="R151" s="96"/>
      <c r="S151" s="96"/>
      <c r="T151" s="179"/>
      <c r="U151" s="96"/>
    </row>
    <row r="152" spans="1:21" s="610" customFormat="1" x14ac:dyDescent="0.3">
      <c r="A152" s="73">
        <v>281</v>
      </c>
      <c r="B152" s="137" t="str">
        <f t="shared" ref="B152" si="177">IF(INDEX(MO_SNA_IsHistoricalPeriod,,MATCH(F152,MO_Common_ColumnHeader,0)),"Historical","Forward")</f>
      </c>
      <c r="C152" s="96"/>
      <c r="D152" s="76" t="s">
        <v>291</v>
      </c>
      <c r="E152" s="77" t="s">
        <v>654</v>
      </c>
      <c r="F152" s="137" t="s">
        <v>974</v>
      </c>
      <c r="G152" s="137"/>
      <c r="H152" s="96"/>
      <c r="I152" s="83">
        <v>0.18</v>
      </c>
      <c r="J152" s="83">
        <v>0.2</v>
      </c>
      <c r="K152" s="83">
        <f t="shared" ref="K152" si="178">AVERAGE(I152:J152)</f>
      </c>
      <c r="L152" s="96"/>
      <c r="M152" s="137" t="str">
        <f t="shared" ref="M152" si="179">IF(INDEX(MO_SNA_IsHistoricalPeriod,,MATCH(F152,MO_Common_ColumnHeader,0)),"Actual","Estimate")</f>
      </c>
      <c r="N152" s="83">
        <f t="shared" ref="N152" ca="1" si="180">IFERROR(INDEX(INDIRECT(E152),0,MATCH(F152,MO_Common_ColumnHeader,0)),"N/A")</f>
      </c>
      <c r="O152" s="86"/>
      <c r="P152" s="80">
        <f t="shared" ref="P152" ca="1" si="181">IF(ISNUMBER(N152),N152-K152,"N/A")</f>
      </c>
      <c r="Q152" s="80">
        <f t="shared" ref="Q152" ca="1" si="182">IFERROR(IF(ISNUMBER(N152),(N152-K152)/ABS(K152),"N/A"),"N/A")</f>
      </c>
      <c r="R152" s="96"/>
      <c r="S152" s="81">
        <v>45122</v>
      </c>
      <c r="T152" s="82" t="s">
        <v>284</v>
      </c>
      <c r="U152" s="97"/>
    </row>
    <row r="153" spans="1:21" s="610" customFormat="1" x14ac:dyDescent="0.3">
      <c r="A153" s="73">
        <v>280</v>
      </c>
      <c r="B153" s="137" t="str">
        <f t="shared" ref="B153" si="183">IF(INDEX(MO_SNA_IsHistoricalPeriod,,MATCH(F153,MO_Common_ColumnHeader,0)),"Historical","Forward")</f>
      </c>
      <c r="C153" s="96"/>
      <c r="D153" s="76" t="str">
        <f ca="1">INDEX(INDIRECT(E153),0,COLUMN(MO_Common_Column_A))</f>
      </c>
      <c r="E153" s="77" t="s">
        <v>984</v>
      </c>
      <c r="F153" s="137" t="s">
        <v>974</v>
      </c>
      <c r="G153" s="137"/>
      <c r="H153" s="96"/>
      <c r="I153" s="78">
        <v>5000</v>
      </c>
      <c r="J153" s="78">
        <v>5000</v>
      </c>
      <c r="K153" s="78">
        <f t="shared" ref="K153" si="184">AVERAGE(I153:J153)</f>
      </c>
      <c r="L153" s="96"/>
      <c r="M153" s="137" t="str">
        <f t="shared" ref="M153" si="185">IF(INDEX(MO_SNA_IsHistoricalPeriod,,MATCH(F153,MO_Common_ColumnHeader,0)),"Actual","Estimate")</f>
      </c>
      <c r="N153" s="78">
        <f t="shared" ref="N153" ca="1" si="186">IFERROR(INDEX(INDIRECT(E153),0,MATCH(F153,MO_Common_ColumnHeader,0)),"N/A")</f>
      </c>
      <c r="O153" s="774"/>
      <c r="P153" s="79">
        <f t="shared" ref="P153" ca="1" si="187">IF(ISNUMBER(N153),N153-K153,"N/A")</f>
      </c>
      <c r="Q153" s="80">
        <f t="shared" ref="Q153" ca="1" si="188">IFERROR(IF(ISNUMBER(N153),(N153-K153)/ABS(K153),"N/A"),"N/A")</f>
      </c>
      <c r="R153" s="96"/>
      <c r="S153" s="81">
        <v>45122</v>
      </c>
      <c r="T153" s="82" t="s">
        <v>983</v>
      </c>
      <c r="U153" s="97"/>
    </row>
    <row r="154" spans="1:21" s="610" customFormat="1" x14ac:dyDescent="0.3">
      <c r="A154" s="73">
        <v>279</v>
      </c>
      <c r="B154" s="96"/>
      <c r="C154" s="96"/>
      <c r="D154" s="87"/>
      <c r="E154" s="96"/>
      <c r="F154" s="96"/>
      <c r="G154" s="96"/>
      <c r="H154" s="96"/>
      <c r="I154" s="96"/>
      <c r="J154" s="96"/>
      <c r="K154" s="96"/>
      <c r="L154" s="96"/>
      <c r="M154" s="96"/>
      <c r="N154" s="96"/>
      <c r="O154" s="96"/>
      <c r="P154" s="87"/>
      <c r="Q154" s="87"/>
      <c r="R154" s="96"/>
      <c r="S154" s="96"/>
      <c r="T154" s="179"/>
      <c r="U154" s="96"/>
    </row>
    <row r="155" spans="1:21" s="610" customFormat="1" x14ac:dyDescent="0.3">
      <c r="A155" s="73">
        <v>278</v>
      </c>
      <c r="B155" s="137" t="str">
        <f t="shared" ref="B155:B161" si="189">IF(INDEX(MO_SNA_IsHistoricalPeriod,,MATCH(F155,MO_Common_ColumnHeader,0)),"Historical","Forward")</f>
      </c>
      <c r="C155" s="96"/>
      <c r="D155" s="76" t="str">
        <f ca="1">INDEX(INDIRECT(E155),0,COLUMN(MO_Common_Column_A))</f>
      </c>
      <c r="E155" s="77" t="s">
        <v>282</v>
      </c>
      <c r="F155" s="137" t="s">
        <v>976</v>
      </c>
      <c r="G155" s="137"/>
      <c r="H155" s="96"/>
      <c r="I155" s="78">
        <v>8520</v>
      </c>
      <c r="J155" s="78">
        <v>8520</v>
      </c>
      <c r="K155" s="78">
        <f t="shared" ref="K155:K161" si="190">AVERAGE(I155:J155)</f>
      </c>
      <c r="L155" s="96"/>
      <c r="M155" s="137" t="str">
        <f t="shared" ref="M155:M161" si="191">IF(INDEX(MO_SNA_IsHistoricalPeriod,,MATCH(F155,MO_Common_ColumnHeader,0)),"Actual","Estimate")</f>
      </c>
      <c r="N155" s="78">
        <f t="shared" ref="N155:N161" ca="1" si="192">IFERROR(INDEX(INDIRECT(E155),0,MATCH(F155,MO_Common_ColumnHeader,0)),"N/A")</f>
      </c>
      <c r="O155" s="96"/>
      <c r="P155" s="79">
        <f t="shared" ref="P155:P161" ca="1" si="193">IF(ISNUMBER(N155),N155-K155,"N/A")</f>
      </c>
      <c r="Q155" s="80">
        <f t="shared" ref="Q155:Q161" ca="1" si="194">IFERROR(IF(ISNUMBER(N155),(N155-K155)/ABS(K155),"N/A"),"N/A")</f>
      </c>
      <c r="R155" s="96"/>
      <c r="S155" s="81">
        <v>45122</v>
      </c>
      <c r="T155" s="82" t="s">
        <v>284</v>
      </c>
      <c r="U155" s="97"/>
    </row>
    <row r="156" spans="1:21" s="610" customFormat="1" x14ac:dyDescent="0.3">
      <c r="A156" s="73">
        <v>277</v>
      </c>
      <c r="B156" s="137" t="str">
        <f t="shared" si="189"/>
      </c>
      <c r="C156" s="96"/>
      <c r="D156" s="76" t="str">
        <f ca="1">INDEX(INDIRECT(E156),0,COLUMN(MO_Common_Column_A))</f>
      </c>
      <c r="E156" s="77" t="s">
        <v>285</v>
      </c>
      <c r="F156" s="137" t="s">
        <v>976</v>
      </c>
      <c r="G156" s="137"/>
      <c r="H156" s="96"/>
      <c r="I156" s="83">
        <v>7.4999999999999997E-2</v>
      </c>
      <c r="J156" s="83">
        <v>7.4999999999999997E-2</v>
      </c>
      <c r="K156" s="83">
        <f t="shared" si="190"/>
      </c>
      <c r="L156" s="96"/>
      <c r="M156" s="137" t="str">
        <f t="shared" si="191"/>
      </c>
      <c r="N156" s="83">
        <f t="shared" ca="1" si="192"/>
      </c>
      <c r="O156" s="96"/>
      <c r="P156" s="80">
        <f t="shared" ca="1" si="193"/>
      </c>
      <c r="Q156" s="80">
        <f t="shared" ca="1" si="194"/>
      </c>
      <c r="R156" s="96"/>
      <c r="S156" s="81">
        <v>45122</v>
      </c>
      <c r="T156" s="82" t="s">
        <v>284</v>
      </c>
      <c r="U156" s="97"/>
    </row>
    <row r="157" spans="1:21" s="610" customFormat="1" x14ac:dyDescent="0.3">
      <c r="A157" s="73">
        <v>276</v>
      </c>
      <c r="B157" s="137" t="str">
        <f t="shared" si="189"/>
      </c>
      <c r="C157" s="96"/>
      <c r="D157" s="76" t="str">
        <f ca="1">INDEX(INDIRECT(E157),0,COLUMN(MO_Common_Column_A))</f>
      </c>
      <c r="E157" s="77" t="s">
        <v>975</v>
      </c>
      <c r="F157" s="137" t="s">
        <v>976</v>
      </c>
      <c r="G157" s="137"/>
      <c r="H157" s="96"/>
      <c r="I157" s="83">
        <v>7.0000000000000007E-2</v>
      </c>
      <c r="J157" s="83">
        <v>7.0000000000000007E-2</v>
      </c>
      <c r="K157" s="83">
        <f t="shared" si="190"/>
      </c>
      <c r="L157" s="96"/>
      <c r="M157" s="137" t="str">
        <f t="shared" si="191"/>
      </c>
      <c r="N157" s="83">
        <f ca="1">IF(B157="Historical",IFERROR(INDEX(INDIRECT(E157),0,MATCH(F157,MO_Common_ColumnHeader,0)),"N/A"),"N/A")</f>
      </c>
      <c r="O157" s="96"/>
      <c r="P157" s="80">
        <f t="shared" ca="1" si="193"/>
      </c>
      <c r="Q157" s="80">
        <f t="shared" ca="1" si="194"/>
      </c>
      <c r="R157" s="96"/>
      <c r="S157" s="81">
        <v>45122</v>
      </c>
      <c r="T157" s="82" t="s">
        <v>284</v>
      </c>
      <c r="U157" s="97"/>
    </row>
    <row r="158" spans="1:21" s="610" customFormat="1" x14ac:dyDescent="0.3">
      <c r="A158" s="73">
        <v>275</v>
      </c>
      <c r="B158" s="137" t="str">
        <f t="shared" si="189"/>
      </c>
      <c r="C158" s="96"/>
      <c r="D158" s="76" t="str">
        <f ca="1">INDEX(INDIRECT(E158),0,COLUMN(MO_Common_Column_A))</f>
      </c>
      <c r="E158" s="77" t="s">
        <v>286</v>
      </c>
      <c r="F158" s="137" t="s">
        <v>976</v>
      </c>
      <c r="G158" s="137"/>
      <c r="H158" s="96"/>
      <c r="I158" s="78">
        <v>1890</v>
      </c>
      <c r="J158" s="78">
        <v>1890</v>
      </c>
      <c r="K158" s="78">
        <f t="shared" si="190"/>
      </c>
      <c r="L158" s="96"/>
      <c r="M158" s="137" t="str">
        <f t="shared" si="191"/>
      </c>
      <c r="N158" s="78">
        <f t="shared" ca="1" si="192"/>
      </c>
      <c r="O158" s="96"/>
      <c r="P158" s="79">
        <f t="shared" ca="1" si="193"/>
      </c>
      <c r="Q158" s="80">
        <f t="shared" ca="1" si="194"/>
      </c>
      <c r="R158" s="96"/>
      <c r="S158" s="81">
        <v>45122</v>
      </c>
      <c r="T158" s="82" t="s">
        <v>284</v>
      </c>
      <c r="U158" s="97"/>
    </row>
    <row r="159" spans="1:21" s="610" customFormat="1" x14ac:dyDescent="0.3">
      <c r="A159" s="73">
        <v>274</v>
      </c>
      <c r="B159" s="137" t="str">
        <f t="shared" si="189"/>
      </c>
      <c r="C159" s="96"/>
      <c r="D159" s="76" t="s">
        <v>291</v>
      </c>
      <c r="E159" s="77" t="s">
        <v>654</v>
      </c>
      <c r="F159" s="137" t="s">
        <v>976</v>
      </c>
      <c r="G159" s="137"/>
      <c r="H159" s="96"/>
      <c r="I159" s="83">
        <v>0.222</v>
      </c>
      <c r="J159" s="83">
        <v>0.222</v>
      </c>
      <c r="K159" s="83">
        <f t="shared" si="190"/>
      </c>
      <c r="L159" s="96"/>
      <c r="M159" s="137" t="str">
        <f t="shared" si="191"/>
      </c>
      <c r="N159" s="83">
        <f t="shared" ca="1" si="192"/>
      </c>
      <c r="O159" s="86"/>
      <c r="P159" s="80">
        <f t="shared" ca="1" si="193"/>
      </c>
      <c r="Q159" s="80">
        <f t="shared" ca="1" si="194"/>
      </c>
      <c r="R159" s="96"/>
      <c r="S159" s="81">
        <v>45122</v>
      </c>
      <c r="T159" s="82" t="s">
        <v>284</v>
      </c>
      <c r="U159" s="97"/>
    </row>
    <row r="160" spans="1:21" s="610" customFormat="1" x14ac:dyDescent="0.3">
      <c r="A160" s="73">
        <v>273</v>
      </c>
      <c r="B160" s="137" t="str">
        <f t="shared" si="189"/>
      </c>
      <c r="C160" s="96"/>
      <c r="D160" s="76" t="str">
        <f ca="1">INDEX(INDIRECT(E160),0,COLUMN(MO_Common_Column_A))</f>
      </c>
      <c r="E160" s="77" t="s">
        <v>287</v>
      </c>
      <c r="F160" s="137" t="s">
        <v>976</v>
      </c>
      <c r="G160" s="137"/>
      <c r="H160" s="96"/>
      <c r="I160" s="78">
        <v>1580</v>
      </c>
      <c r="J160" s="78">
        <v>1580</v>
      </c>
      <c r="K160" s="78">
        <f t="shared" si="190"/>
      </c>
      <c r="L160" s="96"/>
      <c r="M160" s="137" t="str">
        <f t="shared" si="191"/>
      </c>
      <c r="N160" s="78">
        <f t="shared" ca="1" si="192"/>
      </c>
      <c r="O160" s="96"/>
      <c r="P160" s="79">
        <f t="shared" ca="1" si="193"/>
      </c>
      <c r="Q160" s="80">
        <f t="shared" ca="1" si="194"/>
      </c>
      <c r="R160" s="96"/>
      <c r="S160" s="81">
        <v>45122</v>
      </c>
      <c r="T160" s="82" t="s">
        <v>284</v>
      </c>
      <c r="U160" s="97"/>
    </row>
    <row r="161" spans="1:21" s="610" customFormat="1" x14ac:dyDescent="0.3">
      <c r="A161" s="73">
        <v>272</v>
      </c>
      <c r="B161" s="137" t="str">
        <f t="shared" si="189"/>
      </c>
      <c r="C161" s="96"/>
      <c r="D161" s="76" t="str">
        <f ca="1">INDEX(INDIRECT(E161),0,COLUMN(MO_Common_Column_A))</f>
      </c>
      <c r="E161" s="77" t="s">
        <v>288</v>
      </c>
      <c r="F161" s="137" t="s">
        <v>976</v>
      </c>
      <c r="G161" s="137"/>
      <c r="H161" s="96"/>
      <c r="I161" s="84">
        <v>0.35199999999999998</v>
      </c>
      <c r="J161" s="84">
        <v>0.35199999999999998</v>
      </c>
      <c r="K161" s="84">
        <f t="shared" si="190"/>
      </c>
      <c r="L161" s="96"/>
      <c r="M161" s="137" t="str">
        <f t="shared" si="191"/>
      </c>
      <c r="N161" s="84">
        <f t="shared" ca="1" si="192"/>
      </c>
      <c r="O161" s="96"/>
      <c r="P161" s="85">
        <f t="shared" ca="1" si="193"/>
      </c>
      <c r="Q161" s="80">
        <f t="shared" ca="1" si="194"/>
      </c>
      <c r="R161" s="96"/>
      <c r="S161" s="81">
        <v>45122</v>
      </c>
      <c r="T161" s="82" t="s">
        <v>284</v>
      </c>
      <c r="U161" s="97"/>
    </row>
    <row r="162" spans="1:21" s="610" customFormat="1" x14ac:dyDescent="0.3">
      <c r="A162" s="73">
        <v>271</v>
      </c>
      <c r="B162" s="137" t="str">
        <f t="shared" ref="B162:B163" si="195">IF(INDEX(MO_SNA_IsHistoricalPeriod,,MATCH(F162,MO_Common_ColumnHeader,0)),"Historical","Forward")</f>
      </c>
      <c r="C162" s="96"/>
      <c r="D162" s="76" t="str">
        <f ca="1">INDEX(INDIRECT(E162),0,COLUMN(MO_Common_Column_A))</f>
      </c>
      <c r="E162" s="77" t="s">
        <v>2432</v>
      </c>
      <c r="F162" s="137" t="s">
        <v>976</v>
      </c>
      <c r="G162" s="137"/>
      <c r="H162" s="96"/>
      <c r="I162" s="78">
        <v>5900</v>
      </c>
      <c r="J162" s="78">
        <v>5900</v>
      </c>
      <c r="K162" s="78">
        <f t="shared" ref="K162:K163" si="196">AVERAGE(I162:J162)</f>
      </c>
      <c r="L162" s="96"/>
      <c r="M162" s="137" t="str">
        <f t="shared" ref="M162:M163" si="197">IF(INDEX(MO_SNA_IsHistoricalPeriod,,MATCH(F162,MO_Common_ColumnHeader,0)),"Actual","Estimate")</f>
      </c>
      <c r="N162" s="78">
        <f t="shared" ref="N162" ca="1" si="198">IFERROR(INDEX(INDIRECT(E162),0,MATCH(F162,MO_Common_ColumnHeader,0)),"N/A")</f>
      </c>
      <c r="O162" s="774"/>
      <c r="P162" s="79">
        <f t="shared" ref="P162:P163" ca="1" si="199">IF(ISNUMBER(N162),N162-K162,"N/A")</f>
      </c>
      <c r="Q162" s="80">
        <f t="shared" ref="Q162:Q163" ca="1" si="200">IFERROR(IF(ISNUMBER(N162),(N162-K162)/ABS(K162),"N/A"),"N/A")</f>
      </c>
      <c r="R162" s="96"/>
      <c r="S162" s="81">
        <v>45122</v>
      </c>
      <c r="T162" s="82" t="s">
        <v>284</v>
      </c>
      <c r="U162" s="97"/>
    </row>
    <row r="163" spans="1:21" s="610" customFormat="1" x14ac:dyDescent="0.3">
      <c r="A163" s="73">
        <v>270</v>
      </c>
      <c r="B163" s="137" t="str">
        <f t="shared" si="195"/>
      </c>
      <c r="C163" s="96"/>
      <c r="D163" s="76" t="str">
        <f ca="1">INDEX(INDIRECT(E163),0,COLUMN(MO_Common_Column_A))</f>
      </c>
      <c r="E163" s="77" t="s">
        <v>2434</v>
      </c>
      <c r="F163" s="137" t="s">
        <v>976</v>
      </c>
      <c r="G163" s="137"/>
      <c r="H163" s="96"/>
      <c r="I163" s="83">
        <v>-0.01</v>
      </c>
      <c r="J163" s="83">
        <v>0</v>
      </c>
      <c r="K163" s="83">
        <f t="shared" si="196"/>
      </c>
      <c r="L163" s="96"/>
      <c r="M163" s="137" t="str">
        <f t="shared" si="197"/>
      </c>
      <c r="N163" s="83">
        <f ca="1">IF(B163="Historical",IFERROR(INDEX(INDIRECT(E163),0,MATCH(F163,MO_Common_ColumnHeader,0)),"N/A"),"N/A")</f>
      </c>
      <c r="O163" s="86"/>
      <c r="P163" s="80">
        <f t="shared" ca="1" si="199"/>
      </c>
      <c r="Q163" s="80">
        <f t="shared" ca="1" si="200"/>
      </c>
      <c r="R163" s="96"/>
      <c r="S163" s="81">
        <v>45122</v>
      </c>
      <c r="T163" s="82" t="s">
        <v>284</v>
      </c>
      <c r="U163" s="97"/>
    </row>
    <row r="164" spans="1:21" s="610" customFormat="1" x14ac:dyDescent="0.3">
      <c r="A164" s="73">
        <v>269</v>
      </c>
      <c r="B164" s="96"/>
      <c r="C164" s="96"/>
      <c r="D164" s="87"/>
      <c r="E164" s="96"/>
      <c r="F164" s="96"/>
      <c r="G164" s="96"/>
      <c r="H164" s="96"/>
      <c r="I164" s="96"/>
      <c r="J164" s="96"/>
      <c r="K164" s="96"/>
      <c r="L164" s="96"/>
      <c r="M164" s="96"/>
      <c r="N164" s="96"/>
      <c r="O164" s="96"/>
      <c r="P164" s="87"/>
      <c r="Q164" s="87"/>
      <c r="R164" s="96"/>
      <c r="S164" s="96"/>
      <c r="T164" s="179"/>
      <c r="U164" s="96"/>
    </row>
    <row r="165" spans="1:21" s="610" customFormat="1" x14ac:dyDescent="0.3">
      <c r="A165" s="73">
        <v>268</v>
      </c>
      <c r="B165" s="137" t="str">
        <f t="shared" ref="B165" si="201">IF(INDEX(MO_SNA_IsHistoricalPeriod,,MATCH(F165,MO_Common_ColumnHeader,0)),"Historical","Forward")</f>
      </c>
      <c r="C165" s="96"/>
      <c r="D165" s="76" t="s">
        <v>291</v>
      </c>
      <c r="E165" s="77" t="s">
        <v>654</v>
      </c>
      <c r="F165" s="137" t="s">
        <v>974</v>
      </c>
      <c r="G165" s="137"/>
      <c r="H165" s="96"/>
      <c r="I165" s="83">
        <v>0.18</v>
      </c>
      <c r="J165" s="83">
        <v>0.2</v>
      </c>
      <c r="K165" s="83">
        <f t="shared" ref="K165" si="202">AVERAGE(I165:J165)</f>
      </c>
      <c r="L165" s="96"/>
      <c r="M165" s="137" t="str">
        <f t="shared" ref="M165" si="203">IF(INDEX(MO_SNA_IsHistoricalPeriod,,MATCH(F165,MO_Common_ColumnHeader,0)),"Actual","Estimate")</f>
      </c>
      <c r="N165" s="83">
        <f t="shared" ref="N165" ca="1" si="204">IFERROR(INDEX(INDIRECT(E165),0,MATCH(F165,MO_Common_ColumnHeader,0)),"N/A")</f>
      </c>
      <c r="O165" s="86"/>
      <c r="P165" s="80">
        <f t="shared" ref="P165" ca="1" si="205">IF(ISNUMBER(N165),N165-K165,"N/A")</f>
      </c>
      <c r="Q165" s="80">
        <f t="shared" ref="Q165" ca="1" si="206">IFERROR(IF(ISNUMBER(N165),(N165-K165)/ABS(K165),"N/A"),"N/A")</f>
      </c>
      <c r="R165" s="96"/>
      <c r="S165" s="81">
        <v>45034</v>
      </c>
      <c r="T165" s="82" t="s">
        <v>284</v>
      </c>
      <c r="U165" s="97"/>
    </row>
    <row r="166" spans="1:21" s="610" customFormat="1" x14ac:dyDescent="0.3">
      <c r="A166" s="73">
        <v>267</v>
      </c>
      <c r="B166" s="96"/>
      <c r="C166" s="96"/>
      <c r="D166" s="87"/>
      <c r="E166" s="96"/>
      <c r="F166" s="96"/>
      <c r="G166" s="96"/>
      <c r="H166" s="96"/>
      <c r="I166" s="96"/>
      <c r="J166" s="96"/>
      <c r="K166" s="96"/>
      <c r="L166" s="96"/>
      <c r="M166" s="96"/>
      <c r="N166" s="96"/>
      <c r="O166" s="96"/>
      <c r="P166" s="87"/>
      <c r="Q166" s="87"/>
      <c r="R166" s="96"/>
      <c r="S166" s="96"/>
      <c r="T166" s="179"/>
      <c r="U166" s="96"/>
    </row>
    <row r="167" spans="1:21" s="610" customFormat="1" x14ac:dyDescent="0.3">
      <c r="A167" s="73">
        <v>266</v>
      </c>
      <c r="B167" s="137" t="str">
        <f t="shared" ref="B167:B173" si="207">IF(INDEX(MO_SNA_IsHistoricalPeriod,,MATCH(F167,MO_Common_ColumnHeader,0)),"Historical","Forward")</f>
      </c>
      <c r="C167" s="96"/>
      <c r="D167" s="76" t="str">
        <f ca="1">INDEX(INDIRECT(E167),0,COLUMN(MO_Common_Column_A))</f>
      </c>
      <c r="E167" s="77" t="s">
        <v>282</v>
      </c>
      <c r="F167" s="137" t="s">
        <v>973</v>
      </c>
      <c r="G167" s="137"/>
      <c r="H167" s="96"/>
      <c r="I167" s="78">
        <v>8242</v>
      </c>
      <c r="J167" s="78">
        <v>8242</v>
      </c>
      <c r="K167" s="78">
        <f t="shared" ref="K167:K173" si="208">AVERAGE(I167:J167)</f>
      </c>
      <c r="L167" s="96"/>
      <c r="M167" s="137" t="str">
        <f t="shared" ref="M167:M173" si="209">IF(INDEX(MO_SNA_IsHistoricalPeriod,,MATCH(F167,MO_Common_ColumnHeader,0)),"Actual","Estimate")</f>
      </c>
      <c r="N167" s="78">
        <f t="shared" ref="N167:N173" ca="1" si="210">IFERROR(INDEX(INDIRECT(E167),0,MATCH(F167,MO_Common_ColumnHeader,0)),"N/A")</f>
      </c>
      <c r="O167" s="96"/>
      <c r="P167" s="79">
        <f t="shared" ref="P167:P173" ca="1" si="211">IF(ISNUMBER(N167),N167-K167,"N/A")</f>
      </c>
      <c r="Q167" s="80">
        <f t="shared" ref="Q167:Q173" ca="1" si="212">IFERROR(IF(ISNUMBER(N167),(N167-K167)/ABS(K167),"N/A"),"N/A")</f>
      </c>
      <c r="R167" s="96"/>
      <c r="S167" s="81">
        <v>45034</v>
      </c>
      <c r="T167" s="82" t="s">
        <v>284</v>
      </c>
      <c r="U167" s="97"/>
    </row>
    <row r="168" spans="1:21" s="610" customFormat="1" x14ac:dyDescent="0.3">
      <c r="A168" s="73">
        <v>265</v>
      </c>
      <c r="B168" s="137" t="str">
        <f t="shared" si="207"/>
      </c>
      <c r="C168" s="96"/>
      <c r="D168" s="76" t="str">
        <f ca="1">INDEX(INDIRECT(E168),0,COLUMN(MO_Common_Column_A))</f>
      </c>
      <c r="E168" s="77" t="s">
        <v>285</v>
      </c>
      <c r="F168" s="137" t="s">
        <v>973</v>
      </c>
      <c r="G168" s="137"/>
      <c r="H168" s="96"/>
      <c r="I168" s="83">
        <v>3.4000000000000002E-2</v>
      </c>
      <c r="J168" s="83">
        <v>3.4000000000000002E-2</v>
      </c>
      <c r="K168" s="83">
        <f t="shared" si="208"/>
      </c>
      <c r="L168" s="96"/>
      <c r="M168" s="137" t="str">
        <f t="shared" si="209"/>
      </c>
      <c r="N168" s="83">
        <f t="shared" ca="1" si="210"/>
      </c>
      <c r="O168" s="96"/>
      <c r="P168" s="80">
        <f t="shared" ca="1" si="211"/>
      </c>
      <c r="Q168" s="80">
        <f t="shared" ca="1" si="212"/>
      </c>
      <c r="R168" s="96"/>
      <c r="S168" s="81">
        <v>45034</v>
      </c>
      <c r="T168" s="82" t="s">
        <v>284</v>
      </c>
      <c r="U168" s="97"/>
    </row>
    <row r="169" spans="1:21" s="610" customFormat="1" x14ac:dyDescent="0.3">
      <c r="A169" s="73">
        <v>264</v>
      </c>
      <c r="B169" s="137" t="str">
        <f t="shared" si="207"/>
      </c>
      <c r="C169" s="96"/>
      <c r="D169" s="76" t="str">
        <f ca="1">INDEX(INDIRECT(E169),0,COLUMN(MO_Common_Column_A))</f>
      </c>
      <c r="E169" s="77" t="s">
        <v>975</v>
      </c>
      <c r="F169" s="137" t="s">
        <v>973</v>
      </c>
      <c r="G169" s="137"/>
      <c r="H169" s="96"/>
      <c r="I169" s="83">
        <v>0.06</v>
      </c>
      <c r="J169" s="83">
        <v>0.06</v>
      </c>
      <c r="K169" s="83">
        <f t="shared" ref="K169" si="213">AVERAGE(I169:J169)</f>
      </c>
      <c r="L169" s="96"/>
      <c r="M169" s="137" t="str">
        <f t="shared" ref="M169" si="214">IF(INDEX(MO_SNA_IsHistoricalPeriod,,MATCH(F169,MO_Common_ColumnHeader,0)),"Actual","Estimate")</f>
      </c>
      <c r="N169" s="83">
        <f t="shared" ref="N169" ca="1" si="215">IFERROR(INDEX(INDIRECT(E169),0,MATCH(F169,MO_Common_ColumnHeader,0)),"N/A")</f>
      </c>
      <c r="O169" s="96"/>
      <c r="P169" s="80">
        <f t="shared" ref="P169" ca="1" si="216">IF(ISNUMBER(N169),N169-K169,"N/A")</f>
      </c>
      <c r="Q169" s="80">
        <f t="shared" ref="Q169" ca="1" si="217">IFERROR(IF(ISNUMBER(N169),(N169-K169)/ABS(K169),"N/A"),"N/A")</f>
      </c>
      <c r="R169" s="96"/>
      <c r="S169" s="81">
        <v>45034</v>
      </c>
      <c r="T169" s="82" t="s">
        <v>284</v>
      </c>
      <c r="U169" s="97"/>
    </row>
    <row r="170" spans="1:21" s="610" customFormat="1" x14ac:dyDescent="0.3">
      <c r="A170" s="73">
        <v>263</v>
      </c>
      <c r="B170" s="137" t="str">
        <f t="shared" si="207"/>
      </c>
      <c r="C170" s="96"/>
      <c r="D170" s="76" t="str">
        <f ca="1">INDEX(INDIRECT(E170),0,COLUMN(MO_Common_Column_A))</f>
      </c>
      <c r="E170" s="77" t="s">
        <v>286</v>
      </c>
      <c r="F170" s="137" t="s">
        <v>973</v>
      </c>
      <c r="G170" s="137"/>
      <c r="H170" s="96"/>
      <c r="I170" s="78">
        <v>1565</v>
      </c>
      <c r="J170" s="78">
        <v>1565</v>
      </c>
      <c r="K170" s="78">
        <f t="shared" si="208"/>
      </c>
      <c r="L170" s="96"/>
      <c r="M170" s="137" t="str">
        <f t="shared" si="209"/>
      </c>
      <c r="N170" s="78">
        <f t="shared" ca="1" si="210"/>
      </c>
      <c r="O170" s="96"/>
      <c r="P170" s="79">
        <f t="shared" ca="1" si="211"/>
      </c>
      <c r="Q170" s="80">
        <f t="shared" ca="1" si="212"/>
      </c>
      <c r="R170" s="96"/>
      <c r="S170" s="81">
        <v>45034</v>
      </c>
      <c r="T170" s="82" t="s">
        <v>284</v>
      </c>
      <c r="U170" s="97"/>
    </row>
    <row r="171" spans="1:21" s="610" customFormat="1" x14ac:dyDescent="0.3">
      <c r="A171" s="73">
        <v>262</v>
      </c>
      <c r="B171" s="137" t="str">
        <f t="shared" si="207"/>
      </c>
      <c r="C171" s="96"/>
      <c r="D171" s="76" t="s">
        <v>291</v>
      </c>
      <c r="E171" s="77" t="s">
        <v>654</v>
      </c>
      <c r="F171" s="137" t="s">
        <v>973</v>
      </c>
      <c r="G171" s="137"/>
      <c r="H171" s="96"/>
      <c r="I171" s="83">
        <v>0.19</v>
      </c>
      <c r="J171" s="83">
        <v>0.2</v>
      </c>
      <c r="K171" s="83">
        <f t="shared" si="208"/>
      </c>
      <c r="L171" s="96"/>
      <c r="M171" s="137" t="str">
        <f t="shared" si="209"/>
      </c>
      <c r="N171" s="83">
        <f t="shared" ca="1" si="210"/>
      </c>
      <c r="O171" s="86"/>
      <c r="P171" s="80">
        <f t="shared" ca="1" si="211"/>
      </c>
      <c r="Q171" s="80">
        <f t="shared" ca="1" si="212"/>
      </c>
      <c r="R171" s="96"/>
      <c r="S171" s="81">
        <v>45034</v>
      </c>
      <c r="T171" s="82" t="s">
        <v>284</v>
      </c>
      <c r="U171" s="97"/>
    </row>
    <row r="172" spans="1:21" s="610" customFormat="1" x14ac:dyDescent="0.3">
      <c r="A172" s="73">
        <v>261</v>
      </c>
      <c r="B172" s="137" t="str">
        <f t="shared" si="207"/>
      </c>
      <c r="C172" s="96"/>
      <c r="D172" s="76" t="str">
        <f ca="1">INDEX(INDIRECT(E172),0,COLUMN(MO_Common_Column_A))</f>
      </c>
      <c r="E172" s="77" t="s">
        <v>287</v>
      </c>
      <c r="F172" s="137" t="s">
        <v>973</v>
      </c>
      <c r="G172" s="137"/>
      <c r="H172" s="96"/>
      <c r="I172" s="78">
        <v>1283</v>
      </c>
      <c r="J172" s="78">
        <v>1283</v>
      </c>
      <c r="K172" s="78">
        <f t="shared" si="208"/>
      </c>
      <c r="L172" s="96"/>
      <c r="M172" s="137" t="str">
        <f t="shared" si="209"/>
      </c>
      <c r="N172" s="78">
        <f t="shared" ca="1" si="210"/>
      </c>
      <c r="O172" s="96"/>
      <c r="P172" s="79">
        <f t="shared" ca="1" si="211"/>
      </c>
      <c r="Q172" s="80">
        <f t="shared" ca="1" si="212"/>
      </c>
      <c r="R172" s="96"/>
      <c r="S172" s="81">
        <v>45034</v>
      </c>
      <c r="T172" s="82" t="s">
        <v>284</v>
      </c>
      <c r="U172" s="97"/>
    </row>
    <row r="173" spans="1:21" s="610" customFormat="1" x14ac:dyDescent="0.3">
      <c r="A173" s="73">
        <v>260</v>
      </c>
      <c r="B173" s="137" t="str">
        <f t="shared" si="207"/>
      </c>
      <c r="C173" s="96"/>
      <c r="D173" s="76" t="str">
        <f ca="1">INDEX(INDIRECT(E173),0,COLUMN(MO_Common_Column_A))</f>
      </c>
      <c r="E173" s="77" t="s">
        <v>288</v>
      </c>
      <c r="F173" s="137" t="s">
        <v>973</v>
      </c>
      <c r="G173" s="137"/>
      <c r="H173" s="96"/>
      <c r="I173" s="84">
        <v>0.28399999999999997</v>
      </c>
      <c r="J173" s="84">
        <v>0.28399999999999997</v>
      </c>
      <c r="K173" s="84">
        <f t="shared" si="208"/>
      </c>
      <c r="L173" s="96"/>
      <c r="M173" s="137" t="str">
        <f t="shared" si="209"/>
      </c>
      <c r="N173" s="84">
        <f t="shared" ca="1" si="210"/>
      </c>
      <c r="O173" s="96"/>
      <c r="P173" s="85">
        <f t="shared" ca="1" si="211"/>
      </c>
      <c r="Q173" s="80">
        <f t="shared" ca="1" si="212"/>
      </c>
      <c r="R173" s="96"/>
      <c r="S173" s="81">
        <v>45034</v>
      </c>
      <c r="T173" s="82" t="s">
        <v>284</v>
      </c>
      <c r="U173" s="97"/>
    </row>
    <row r="174" spans="1:21" s="610" customFormat="1" x14ac:dyDescent="0.3">
      <c r="A174" s="73">
        <v>259</v>
      </c>
      <c r="B174" s="96"/>
      <c r="C174" s="96"/>
      <c r="D174" s="87"/>
      <c r="E174" s="96"/>
      <c r="F174" s="96"/>
      <c r="G174" s="96"/>
      <c r="H174" s="96"/>
      <c r="I174" s="96"/>
      <c r="J174" s="96"/>
      <c r="K174" s="96"/>
      <c r="L174" s="96"/>
      <c r="M174" s="96"/>
      <c r="N174" s="96"/>
      <c r="O174" s="96"/>
      <c r="P174" s="87"/>
      <c r="Q174" s="87"/>
      <c r="R174" s="96"/>
      <c r="S174" s="96"/>
      <c r="T174" s="179"/>
      <c r="U174" s="96"/>
    </row>
    <row r="175" spans="1:21" s="610" customFormat="1" x14ac:dyDescent="0.3">
      <c r="A175" s="73">
        <v>258</v>
      </c>
      <c r="B175" s="137" t="str">
        <f t="shared" ref="B175:B180" si="218">IF(INDEX(MO_SNA_IsHistoricalPeriod,,MATCH(F175,MO_Common_ColumnHeader,0)),"Historical","Forward")</f>
      </c>
      <c r="C175" s="96"/>
      <c r="D175" s="76" t="str">
        <f ca="1">INDEX(INDIRECT(E175),0,COLUMN(MO_Common_Column_A))</f>
      </c>
      <c r="E175" s="77" t="s">
        <v>282</v>
      </c>
      <c r="F175" s="137" t="s">
        <v>908</v>
      </c>
      <c r="G175" s="137"/>
      <c r="H175" s="96"/>
      <c r="I175" s="78">
        <v>8172</v>
      </c>
      <c r="J175" s="78">
        <v>8172</v>
      </c>
      <c r="K175" s="78">
        <f t="shared" ref="K175:K180" si="219">AVERAGE(I175:J175)</f>
      </c>
      <c r="L175" s="96"/>
      <c r="M175" s="137" t="str">
        <f t="shared" ref="M175:M180" si="220">IF(INDEX(MO_SNA_IsHistoricalPeriod,,MATCH(F175,MO_Common_ColumnHeader,0)),"Actual","Estimate")</f>
      </c>
      <c r="N175" s="78">
        <f t="shared" ref="N175:N180" ca="1" si="221">IFERROR(INDEX(INDIRECT(E175),0,MATCH(F175,MO_Common_ColumnHeader,0)),"N/A")</f>
      </c>
      <c r="O175" s="96"/>
      <c r="P175" s="79">
        <f t="shared" ref="P175:P180" ca="1" si="222">IF(ISNUMBER(N175),N175-K175,"N/A")</f>
      </c>
      <c r="Q175" s="80">
        <f t="shared" ref="Q175:Q180" ca="1" si="223">IFERROR(IF(ISNUMBER(N175),(N175-K175)/ABS(K175),"N/A"),"N/A")</f>
      </c>
      <c r="R175" s="96"/>
      <c r="S175" s="81">
        <v>44945</v>
      </c>
      <c r="T175" s="82" t="s">
        <v>284</v>
      </c>
      <c r="U175" s="97"/>
    </row>
    <row r="176" spans="1:21" s="610" customFormat="1" x14ac:dyDescent="0.3">
      <c r="A176" s="73">
        <v>257</v>
      </c>
      <c r="B176" s="137" t="str">
        <f t="shared" si="218"/>
      </c>
      <c r="C176" s="96"/>
      <c r="D176" s="76" t="str">
        <f ca="1">INDEX(INDIRECT(E176),0,COLUMN(MO_Common_Column_A))</f>
      </c>
      <c r="E176" s="77" t="s">
        <v>285</v>
      </c>
      <c r="F176" s="137" t="s">
        <v>908</v>
      </c>
      <c r="G176" s="137"/>
      <c r="H176" s="96"/>
      <c r="I176" s="83">
        <v>3.9E-2</v>
      </c>
      <c r="J176" s="83">
        <v>3.9E-2</v>
      </c>
      <c r="K176" s="83">
        <f t="shared" si="219"/>
      </c>
      <c r="L176" s="96"/>
      <c r="M176" s="137" t="str">
        <f t="shared" si="220"/>
      </c>
      <c r="N176" s="83">
        <f t="shared" ca="1" si="221"/>
      </c>
      <c r="O176" s="96"/>
      <c r="P176" s="80">
        <f t="shared" ca="1" si="222"/>
      </c>
      <c r="Q176" s="80">
        <f t="shared" ca="1" si="223"/>
      </c>
      <c r="R176" s="96"/>
      <c r="S176" s="81">
        <v>44945</v>
      </c>
      <c r="T176" s="82" t="s">
        <v>284</v>
      </c>
      <c r="U176" s="97"/>
    </row>
    <row r="177" spans="1:21" s="610" customFormat="1" x14ac:dyDescent="0.3">
      <c r="A177" s="73">
        <v>256</v>
      </c>
      <c r="B177" s="137" t="str">
        <f t="shared" si="218"/>
      </c>
      <c r="C177" s="96"/>
      <c r="D177" s="76" t="str">
        <f ca="1">INDEX(INDIRECT(E177),0,COLUMN(MO_Common_Column_A))</f>
      </c>
      <c r="E177" s="77" t="s">
        <v>286</v>
      </c>
      <c r="F177" s="137" t="s">
        <v>908</v>
      </c>
      <c r="G177" s="137"/>
      <c r="H177" s="96"/>
      <c r="I177" s="78">
        <v>1625</v>
      </c>
      <c r="J177" s="78">
        <v>1625</v>
      </c>
      <c r="K177" s="78">
        <f t="shared" si="219"/>
      </c>
      <c r="L177" s="96"/>
      <c r="M177" s="137" t="str">
        <f t="shared" si="220"/>
      </c>
      <c r="N177" s="78">
        <f t="shared" ca="1" si="221"/>
      </c>
      <c r="O177" s="96"/>
      <c r="P177" s="79">
        <f t="shared" ca="1" si="222"/>
      </c>
      <c r="Q177" s="80">
        <f t="shared" ca="1" si="223"/>
      </c>
      <c r="R177" s="96"/>
      <c r="S177" s="81">
        <v>44945</v>
      </c>
      <c r="T177" s="82" t="s">
        <v>284</v>
      </c>
      <c r="U177" s="97"/>
    </row>
    <row r="178" spans="1:21" s="610" customFormat="1" x14ac:dyDescent="0.3">
      <c r="A178" s="73">
        <v>255</v>
      </c>
      <c r="B178" s="137" t="str">
        <f t="shared" si="218"/>
      </c>
      <c r="C178" s="96"/>
      <c r="D178" s="76" t="s">
        <v>291</v>
      </c>
      <c r="E178" s="77" t="s">
        <v>654</v>
      </c>
      <c r="F178" s="137" t="s">
        <v>908</v>
      </c>
      <c r="G178" s="137"/>
      <c r="H178" s="96"/>
      <c r="I178" s="83">
        <v>0.19900000000000001</v>
      </c>
      <c r="J178" s="83">
        <v>0.19900000000000001</v>
      </c>
      <c r="K178" s="83">
        <f t="shared" si="219"/>
      </c>
      <c r="L178" s="96"/>
      <c r="M178" s="137" t="str">
        <f t="shared" si="220"/>
      </c>
      <c r="N178" s="83">
        <f t="shared" ca="1" si="221"/>
      </c>
      <c r="O178" s="86"/>
      <c r="P178" s="80">
        <f t="shared" ca="1" si="222"/>
      </c>
      <c r="Q178" s="80">
        <f t="shared" ca="1" si="223"/>
      </c>
      <c r="R178" s="96"/>
      <c r="S178" s="81">
        <v>44945</v>
      </c>
      <c r="T178" s="82" t="s">
        <v>284</v>
      </c>
      <c r="U178" s="97"/>
    </row>
    <row r="179" spans="1:21" s="610" customFormat="1" x14ac:dyDescent="0.3">
      <c r="A179" s="73">
        <v>254</v>
      </c>
      <c r="B179" s="137" t="str">
        <f t="shared" si="218"/>
      </c>
      <c r="C179" s="96"/>
      <c r="D179" s="76" t="str">
        <f ca="1">INDEX(INDIRECT(E179),0,COLUMN(MO_Common_Column_A))</f>
      </c>
      <c r="E179" s="77" t="s">
        <v>287</v>
      </c>
      <c r="F179" s="137" t="s">
        <v>908</v>
      </c>
      <c r="G179" s="137"/>
      <c r="H179" s="96"/>
      <c r="I179" s="78">
        <v>1275</v>
      </c>
      <c r="J179" s="78">
        <v>1275</v>
      </c>
      <c r="K179" s="78">
        <f t="shared" si="219"/>
      </c>
      <c r="L179" s="96"/>
      <c r="M179" s="137" t="str">
        <f t="shared" si="220"/>
      </c>
      <c r="N179" s="78">
        <f t="shared" ca="1" si="221"/>
      </c>
      <c r="O179" s="96"/>
      <c r="P179" s="79">
        <f t="shared" ca="1" si="222"/>
      </c>
      <c r="Q179" s="80">
        <f t="shared" ca="1" si="223"/>
      </c>
      <c r="R179" s="96"/>
      <c r="S179" s="81">
        <v>44945</v>
      </c>
      <c r="T179" s="82" t="s">
        <v>284</v>
      </c>
      <c r="U179" s="97"/>
    </row>
    <row r="180" spans="1:21" s="610" customFormat="1" x14ac:dyDescent="0.3">
      <c r="A180" s="73">
        <v>253</v>
      </c>
      <c r="B180" s="137" t="str">
        <f t="shared" si="218"/>
      </c>
      <c r="C180" s="96"/>
      <c r="D180" s="76" t="str">
        <f ca="1">INDEX(INDIRECT(E180),0,COLUMN(MO_Common_Column_A))</f>
      </c>
      <c r="E180" s="77" t="s">
        <v>288</v>
      </c>
      <c r="F180" s="137" t="s">
        <v>908</v>
      </c>
      <c r="G180" s="137"/>
      <c r="H180" s="96"/>
      <c r="I180" s="84">
        <v>0.28199999999999997</v>
      </c>
      <c r="J180" s="84">
        <v>0.28199999999999997</v>
      </c>
      <c r="K180" s="84">
        <f t="shared" si="219"/>
      </c>
      <c r="L180" s="96"/>
      <c r="M180" s="137" t="str">
        <f t="shared" si="220"/>
      </c>
      <c r="N180" s="84">
        <f t="shared" ca="1" si="221"/>
      </c>
      <c r="O180" s="96"/>
      <c r="P180" s="85">
        <f t="shared" ca="1" si="222"/>
      </c>
      <c r="Q180" s="80">
        <f t="shared" ca="1" si="223"/>
      </c>
      <c r="R180" s="96"/>
      <c r="S180" s="81">
        <v>44945</v>
      </c>
      <c r="T180" s="82" t="s">
        <v>284</v>
      </c>
      <c r="U180" s="97"/>
    </row>
    <row r="181" spans="1:21" s="610" customFormat="1" x14ac:dyDescent="0.3">
      <c r="A181" s="73">
        <v>252</v>
      </c>
      <c r="B181" s="96"/>
      <c r="C181" s="96"/>
      <c r="D181" s="87"/>
      <c r="E181" s="96"/>
      <c r="F181" s="96"/>
      <c r="G181" s="96"/>
      <c r="H181" s="96"/>
      <c r="I181" s="96"/>
      <c r="J181" s="96"/>
      <c r="K181" s="96"/>
      <c r="L181" s="96"/>
      <c r="M181" s="96"/>
      <c r="N181" s="96"/>
      <c r="O181" s="96"/>
      <c r="P181" s="87"/>
      <c r="Q181" s="87"/>
      <c r="R181" s="96"/>
      <c r="S181" s="96"/>
      <c r="T181" s="179"/>
      <c r="U181" s="96"/>
    </row>
    <row r="182" spans="1:21" s="610" customFormat="1" x14ac:dyDescent="0.3">
      <c r="A182" s="73">
        <v>251</v>
      </c>
      <c r="B182" s="137" t="str">
        <f>IF(INDEX(MO_SNA_IsHistoricalPeriod,,MATCH(F182,MO_Common_ColumnHeader,0)),"Historical","Forward")</f>
      </c>
      <c r="C182" s="96"/>
      <c r="D182" s="76" t="s">
        <v>906</v>
      </c>
      <c r="E182" s="77"/>
      <c r="F182" s="137" t="s">
        <v>706</v>
      </c>
      <c r="G182" s="137"/>
      <c r="H182" s="96"/>
      <c r="I182" s="78">
        <v>-1000</v>
      </c>
      <c r="J182" s="78">
        <v>-1000</v>
      </c>
      <c r="K182" s="78">
        <f>AVERAGE(I182:J182)</f>
      </c>
      <c r="L182" s="96"/>
      <c r="M182" s="137" t="str">
        <f>IF(INDEX(MO_SNA_IsHistoricalPeriod,,MATCH(F182,MO_Common_ColumnHeader,0)),"Actual","Estimate")</f>
      </c>
      <c r="N182" s="78" t="str">
        <f ca="1">IFERROR(INDEX(INDIRECT(E182),0,MATCH(F182,MO_Common_ColumnHeader,0)),"N/A")</f>
      </c>
      <c r="O182" s="96"/>
      <c r="P182" s="79" t="str">
        <f ca="1">IF(ISNUMBER(N182),N182-K182,"N/A")</f>
      </c>
      <c r="Q182" s="80" t="str">
        <f ca="1">IFERROR(IF(ISNUMBER(N182),(N182-K182)/ABS(K182),"N/A"),"N/A")</f>
      </c>
      <c r="R182" s="96"/>
      <c r="S182" s="81">
        <v>44852</v>
      </c>
      <c r="T182" s="82" t="s">
        <v>284</v>
      </c>
      <c r="U182" s="97"/>
    </row>
    <row r="183" spans="1:21" s="610" customFormat="1" x14ac:dyDescent="0.3">
      <c r="A183" s="73">
        <v>250</v>
      </c>
      <c r="B183" s="137" t="str">
        <f>IF(INDEX(MO_SNA_IsHistoricalPeriod,,MATCH(F183,MO_Common_ColumnHeader,0)),"Historical","Forward")</f>
      </c>
      <c r="C183" s="96"/>
      <c r="D183" s="76" t="s">
        <v>907</v>
      </c>
      <c r="E183" s="77"/>
      <c r="F183" s="137" t="s">
        <v>706</v>
      </c>
      <c r="G183" s="137"/>
      <c r="H183" s="96"/>
      <c r="I183" s="78">
        <v>-800</v>
      </c>
      <c r="J183" s="78">
        <v>-800</v>
      </c>
      <c r="K183" s="78">
        <f>AVERAGE(I183:J183)</f>
      </c>
      <c r="L183" s="96"/>
      <c r="M183" s="137" t="str">
        <f>IF(INDEX(MO_SNA_IsHistoricalPeriod,,MATCH(F183,MO_Common_ColumnHeader,0)),"Actual","Estimate")</f>
      </c>
      <c r="N183" s="78" t="str">
        <f ca="1">IFERROR(INDEX(INDIRECT(E183),0,MATCH(F183,MO_Common_ColumnHeader,0)),"N/A")</f>
      </c>
      <c r="O183" s="96"/>
      <c r="P183" s="79" t="str">
        <f ca="1">IF(ISNUMBER(N183),N183-K183,"N/A")</f>
      </c>
      <c r="Q183" s="80" t="str">
        <f ca="1">IFERROR(IF(ISNUMBER(N183),(N183-K183)/ABS(K183),"N/A"),"N/A")</f>
      </c>
      <c r="R183" s="96"/>
      <c r="S183" s="81">
        <v>44852</v>
      </c>
      <c r="T183" s="82" t="s">
        <v>284</v>
      </c>
      <c r="U183" s="97"/>
    </row>
    <row r="184" spans="1:21" s="610" customFormat="1" x14ac:dyDescent="0.3">
      <c r="A184" s="73">
        <v>249</v>
      </c>
      <c r="B184" s="96"/>
      <c r="C184" s="96"/>
      <c r="D184" s="87"/>
      <c r="E184" s="96"/>
      <c r="F184" s="96"/>
      <c r="G184" s="96"/>
      <c r="H184" s="96"/>
      <c r="I184" s="96"/>
      <c r="J184" s="96"/>
      <c r="K184" s="96"/>
      <c r="L184" s="96"/>
      <c r="M184" s="96"/>
      <c r="N184" s="96"/>
      <c r="O184" s="96"/>
      <c r="P184" s="87"/>
      <c r="Q184" s="87"/>
      <c r="R184" s="96"/>
      <c r="S184" s="96"/>
      <c r="T184" s="179"/>
      <c r="U184" s="96"/>
    </row>
    <row r="185" spans="1:21" s="610" customFormat="1" x14ac:dyDescent="0.3">
      <c r="A185" s="73">
        <v>248</v>
      </c>
      <c r="B185" s="137" t="str">
        <f t="shared" ref="B185:B192" si="224">IF(INDEX(MO_SNA_IsHistoricalPeriod,,MATCH(F185,MO_Common_ColumnHeader,0)),"Historical","Forward")</f>
      </c>
      <c r="C185" s="96"/>
      <c r="D185" s="76" t="str">
        <f ca="1">INDEX(INDIRECT(E185),0,COLUMN(MO_Common_Column_A))</f>
      </c>
      <c r="E185" s="77" t="s">
        <v>282</v>
      </c>
      <c r="F185" s="137" t="s">
        <v>905</v>
      </c>
      <c r="G185" s="137"/>
      <c r="H185" s="96"/>
      <c r="I185" s="78">
        <v>7776</v>
      </c>
      <c r="J185" s="78">
        <v>7776</v>
      </c>
      <c r="K185" s="78">
        <f t="shared" ref="K185:K192" si="225">AVERAGE(I185:J185)</f>
      </c>
      <c r="L185" s="96"/>
      <c r="M185" s="137" t="str">
        <f t="shared" ref="M185:M192" si="226">IF(INDEX(MO_SNA_IsHistoricalPeriod,,MATCH(F185,MO_Common_ColumnHeader,0)),"Actual","Estimate")</f>
      </c>
      <c r="N185" s="78">
        <f t="shared" ref="N185:N192" ca="1" si="227">IFERROR(INDEX(INDIRECT(E185),0,MATCH(F185,MO_Common_ColumnHeader,0)),"N/A")</f>
      </c>
      <c r="O185" s="96"/>
      <c r="P185" s="79">
        <f t="shared" ref="P185:P192" ca="1" si="228">IF(ISNUMBER(N185),N185-K185,"N/A")</f>
      </c>
      <c r="Q185" s="80">
        <f t="shared" ref="Q185:Q192" ca="1" si="229">IFERROR(IF(ISNUMBER(N185),(N185-K185)/ABS(K185),"N/A"),"N/A")</f>
      </c>
      <c r="R185" s="96"/>
      <c r="S185" s="81">
        <v>44852</v>
      </c>
      <c r="T185" s="82" t="s">
        <v>284</v>
      </c>
      <c r="U185" s="97"/>
    </row>
    <row r="186" spans="1:21" s="610" customFormat="1" x14ac:dyDescent="0.3">
      <c r="A186" s="73">
        <v>247</v>
      </c>
      <c r="B186" s="137" t="str">
        <f t="shared" si="224"/>
      </c>
      <c r="C186" s="96"/>
      <c r="D186" s="76" t="str">
        <f ca="1">INDEX(INDIRECT(E186),0,COLUMN(MO_Common_Column_A))</f>
      </c>
      <c r="E186" s="77" t="s">
        <v>285</v>
      </c>
      <c r="F186" s="137" t="s">
        <v>905</v>
      </c>
      <c r="G186" s="137"/>
      <c r="H186" s="96"/>
      <c r="I186" s="83">
        <v>8.9999999999999993E-3</v>
      </c>
      <c r="J186" s="83">
        <v>8.9999999999999993E-3</v>
      </c>
      <c r="K186" s="83">
        <f t="shared" si="225"/>
      </c>
      <c r="L186" s="96"/>
      <c r="M186" s="137" t="str">
        <f t="shared" si="226"/>
      </c>
      <c r="N186" s="83">
        <f t="shared" ca="1" si="227"/>
      </c>
      <c r="O186" s="96"/>
      <c r="P186" s="80">
        <f t="shared" ca="1" si="228"/>
      </c>
      <c r="Q186" s="80">
        <f t="shared" ca="1" si="229"/>
      </c>
      <c r="R186" s="96"/>
      <c r="S186" s="81">
        <v>44852</v>
      </c>
      <c r="T186" s="82" t="s">
        <v>284</v>
      </c>
      <c r="U186" s="97"/>
    </row>
    <row r="187" spans="1:21" s="610" customFormat="1" x14ac:dyDescent="0.3">
      <c r="A187" s="73">
        <v>246</v>
      </c>
      <c r="B187" s="137" t="str">
        <f t="shared" si="224"/>
      </c>
      <c r="C187" s="96"/>
      <c r="D187" s="76" t="str">
        <f ca="1">INDEX(INDIRECT(E187),0,COLUMN(MO_Common_Column_A))</f>
      </c>
      <c r="E187" s="77" t="s">
        <v>286</v>
      </c>
      <c r="F187" s="137" t="s">
        <v>905</v>
      </c>
      <c r="G187" s="137"/>
      <c r="H187" s="96"/>
      <c r="I187" s="78">
        <v>330</v>
      </c>
      <c r="J187" s="78">
        <v>330</v>
      </c>
      <c r="K187" s="78">
        <f t="shared" si="225"/>
      </c>
      <c r="L187" s="96"/>
      <c r="M187" s="137" t="str">
        <f t="shared" si="226"/>
      </c>
      <c r="N187" s="78">
        <f t="shared" ca="1" si="227"/>
      </c>
      <c r="O187" s="96"/>
      <c r="P187" s="79">
        <f t="shared" ca="1" si="228"/>
      </c>
      <c r="Q187" s="80">
        <f t="shared" ca="1" si="229"/>
      </c>
      <c r="R187" s="96"/>
      <c r="S187" s="81">
        <v>44852</v>
      </c>
      <c r="T187" s="82" t="s">
        <v>284</v>
      </c>
      <c r="U187" s="97"/>
    </row>
    <row r="188" spans="1:21" s="610" customFormat="1" x14ac:dyDescent="0.3">
      <c r="A188" s="73">
        <v>245</v>
      </c>
      <c r="B188" s="137" t="str">
        <f t="shared" si="224"/>
      </c>
      <c r="C188" s="96"/>
      <c r="D188" s="76" t="s">
        <v>291</v>
      </c>
      <c r="E188" s="77" t="s">
        <v>654</v>
      </c>
      <c r="F188" s="137" t="s">
        <v>905</v>
      </c>
      <c r="G188" s="137"/>
      <c r="H188" s="96"/>
      <c r="I188" s="83">
        <v>4.2000000000000003E-2</v>
      </c>
      <c r="J188" s="83">
        <v>4.2000000000000003E-2</v>
      </c>
      <c r="K188" s="83">
        <f t="shared" si="225"/>
      </c>
      <c r="L188" s="96"/>
      <c r="M188" s="137" t="str">
        <f t="shared" si="226"/>
      </c>
      <c r="N188" s="83">
        <f t="shared" ca="1" si="227"/>
      </c>
      <c r="O188" s="86"/>
      <c r="P188" s="80">
        <f t="shared" ca="1" si="228"/>
      </c>
      <c r="Q188" s="80">
        <f t="shared" ca="1" si="229"/>
      </c>
      <c r="R188" s="96"/>
      <c r="S188" s="81">
        <v>44852</v>
      </c>
      <c r="T188" s="82" t="s">
        <v>284</v>
      </c>
      <c r="U188" s="97"/>
    </row>
    <row r="189" spans="1:21" s="610" customFormat="1" x14ac:dyDescent="0.3">
      <c r="A189" s="73">
        <v>244</v>
      </c>
      <c r="B189" s="137" t="str">
        <f t="shared" si="224"/>
      </c>
      <c r="C189" s="96"/>
      <c r="D189" s="76" t="str">
        <f ca="1">INDEX(INDIRECT(E189),0,COLUMN(MO_Common_Column_A))</f>
      </c>
      <c r="E189" s="77" t="s">
        <v>287</v>
      </c>
      <c r="F189" s="137" t="s">
        <v>905</v>
      </c>
      <c r="G189" s="137"/>
      <c r="H189" s="96"/>
      <c r="I189" s="78">
        <v>163</v>
      </c>
      <c r="J189" s="78">
        <v>163</v>
      </c>
      <c r="K189" s="78">
        <f t="shared" si="225"/>
      </c>
      <c r="L189" s="96"/>
      <c r="M189" s="137" t="str">
        <f t="shared" si="226"/>
      </c>
      <c r="N189" s="78">
        <f t="shared" ca="1" si="227"/>
      </c>
      <c r="O189" s="96"/>
      <c r="P189" s="79">
        <f t="shared" ca="1" si="228"/>
      </c>
      <c r="Q189" s="80">
        <f t="shared" ca="1" si="229"/>
      </c>
      <c r="R189" s="96"/>
      <c r="S189" s="81">
        <v>44852</v>
      </c>
      <c r="T189" s="82" t="s">
        <v>284</v>
      </c>
      <c r="U189" s="97"/>
    </row>
    <row r="190" spans="1:21" s="610" customFormat="1" x14ac:dyDescent="0.3">
      <c r="A190" s="73">
        <v>243</v>
      </c>
      <c r="B190" s="137" t="str">
        <f t="shared" si="224"/>
      </c>
      <c r="C190" s="96"/>
      <c r="D190" s="76" t="str">
        <f ca="1">INDEX(INDIRECT(E190),0,COLUMN(MO_Common_Column_A))</f>
      </c>
      <c r="E190" s="77" t="s">
        <v>288</v>
      </c>
      <c r="F190" s="137" t="s">
        <v>905</v>
      </c>
      <c r="G190" s="137"/>
      <c r="H190" s="96"/>
      <c r="I190" s="84">
        <v>3.5999999999999997E-2</v>
      </c>
      <c r="J190" s="84">
        <v>3.5999999999999997E-2</v>
      </c>
      <c r="K190" s="84">
        <f t="shared" si="225"/>
      </c>
      <c r="L190" s="96"/>
      <c r="M190" s="137" t="str">
        <f t="shared" si="226"/>
      </c>
      <c r="N190" s="84">
        <f t="shared" ca="1" si="227"/>
      </c>
      <c r="O190" s="96"/>
      <c r="P190" s="85">
        <f t="shared" ca="1" si="228"/>
      </c>
      <c r="Q190" s="80">
        <f t="shared" ca="1" si="229"/>
      </c>
      <c r="R190" s="96"/>
      <c r="S190" s="81">
        <v>44852</v>
      </c>
      <c r="T190" s="82" t="s">
        <v>284</v>
      </c>
      <c r="U190" s="97"/>
    </row>
    <row r="191" spans="1:21" s="610" customFormat="1" x14ac:dyDescent="0.3">
      <c r="A191" s="73">
        <v>242</v>
      </c>
      <c r="B191" s="137" t="str">
        <f t="shared" si="224"/>
      </c>
      <c r="C191" s="96"/>
      <c r="D191" s="76" t="str">
        <f ca="1">INDEX(INDIRECT(E191),0,COLUMN(MO_Common_Column_A))</f>
      </c>
      <c r="E191" s="77" t="s">
        <v>2435</v>
      </c>
      <c r="F191" s="137" t="s">
        <v>905</v>
      </c>
      <c r="G191" s="137"/>
      <c r="H191" s="96"/>
      <c r="I191" s="198">
        <v>227590</v>
      </c>
      <c r="J191" s="198">
        <v>227590</v>
      </c>
      <c r="K191" s="198">
        <f t="shared" si="225"/>
      </c>
      <c r="L191" s="194"/>
      <c r="M191" s="137" t="str">
        <f t="shared" si="226"/>
      </c>
      <c r="N191" s="198">
        <f t="shared" ca="1" si="227"/>
      </c>
      <c r="O191" s="194"/>
      <c r="P191" s="199">
        <f t="shared" ca="1" si="228"/>
      </c>
      <c r="Q191" s="80">
        <f t="shared" ca="1" si="229"/>
      </c>
      <c r="R191" s="96"/>
      <c r="S191" s="81">
        <v>44852</v>
      </c>
      <c r="T191" s="82" t="s">
        <v>284</v>
      </c>
      <c r="U191" s="97"/>
    </row>
    <row r="192" spans="1:21" s="610" customFormat="1" x14ac:dyDescent="0.3">
      <c r="A192" s="73">
        <v>241</v>
      </c>
      <c r="B192" s="137" t="str">
        <f t="shared" si="224"/>
      </c>
      <c r="C192" s="96"/>
      <c r="D192" s="76" t="str">
        <f ca="1">INDEX(INDIRECT(E192),0,COLUMN(MO_Common_Column_A))</f>
      </c>
      <c r="E192" s="77" t="s">
        <v>2436</v>
      </c>
      <c r="F192" s="137" t="s">
        <v>905</v>
      </c>
      <c r="G192" s="137"/>
      <c r="H192" s="96"/>
      <c r="I192" s="198">
        <v>4500</v>
      </c>
      <c r="J192" s="198">
        <v>4500</v>
      </c>
      <c r="K192" s="198">
        <f t="shared" si="225"/>
      </c>
      <c r="L192" s="194"/>
      <c r="M192" s="137" t="str">
        <f t="shared" si="226"/>
      </c>
      <c r="N192" s="198">
        <f t="shared" ca="1" si="227"/>
      </c>
      <c r="O192" s="194"/>
      <c r="P192" s="199">
        <f t="shared" ca="1" si="228"/>
      </c>
      <c r="Q192" s="80">
        <f t="shared" ca="1" si="229"/>
      </c>
      <c r="R192" s="96"/>
      <c r="S192" s="81">
        <v>44852</v>
      </c>
      <c r="T192" s="82" t="s">
        <v>284</v>
      </c>
      <c r="U192" s="97"/>
    </row>
    <row r="193" spans="1:21" s="610" customFormat="1" x14ac:dyDescent="0.3">
      <c r="A193" s="73">
        <v>240</v>
      </c>
      <c r="B193" s="96"/>
      <c r="C193" s="96"/>
      <c r="D193" s="87"/>
      <c r="E193" s="96"/>
      <c r="F193" s="96"/>
      <c r="G193" s="96"/>
      <c r="H193" s="96"/>
      <c r="I193" s="96"/>
      <c r="J193" s="96"/>
      <c r="K193" s="96"/>
      <c r="L193" s="96"/>
      <c r="M193" s="96"/>
      <c r="N193" s="96"/>
      <c r="O193" s="96"/>
      <c r="P193" s="87"/>
      <c r="Q193" s="87"/>
      <c r="R193" s="96"/>
      <c r="S193" s="96"/>
      <c r="T193" s="179"/>
      <c r="U193" s="96"/>
    </row>
    <row r="194" spans="1:21" s="610" customFormat="1" x14ac:dyDescent="0.3">
      <c r="A194" s="73">
        <v>239</v>
      </c>
      <c r="B194" s="137" t="str">
        <f>IF(INDEX(MO_SNA_IsHistoricalPeriod,,MATCH(F194,MO_Common_ColumnHeader,0)),"Historical","Forward")</f>
      </c>
      <c r="C194" s="96"/>
      <c r="D194" s="76" t="s">
        <v>291</v>
      </c>
      <c r="E194" s="77" t="s">
        <v>654</v>
      </c>
      <c r="F194" s="137" t="s">
        <v>706</v>
      </c>
      <c r="G194" s="137"/>
      <c r="H194" s="96"/>
      <c r="I194" s="83">
        <v>0.19</v>
      </c>
      <c r="J194" s="83">
        <v>0.2</v>
      </c>
      <c r="K194" s="83">
        <f>AVERAGE(I194:J194)</f>
      </c>
      <c r="L194" s="96"/>
      <c r="M194" s="137" t="str">
        <f>IF(INDEX(MO_SNA_IsHistoricalPeriod,,MATCH(F194,MO_Common_ColumnHeader,0)),"Actual","Estimate")</f>
      </c>
      <c r="N194" s="83">
        <f ca="1">IFERROR(INDEX(INDIRECT(E194),0,MATCH(F194,MO_Common_ColumnHeader,0)),"N/A")</f>
      </c>
      <c r="O194" s="86"/>
      <c r="P194" s="80">
        <f ca="1">IF(ISNUMBER(N194),N194-K194,"N/A")</f>
      </c>
      <c r="Q194" s="80">
        <f ca="1">IFERROR(IF(ISNUMBER(N194),(N194-K194)/ABS(K194),"N/A"),"N/A")</f>
      </c>
      <c r="R194" s="96"/>
      <c r="S194" s="81">
        <v>44761</v>
      </c>
      <c r="T194" s="82" t="s">
        <v>284</v>
      </c>
      <c r="U194" s="97"/>
    </row>
    <row r="195" spans="1:21" s="610" customFormat="1" x14ac:dyDescent="0.3">
      <c r="A195" s="73">
        <v>238</v>
      </c>
      <c r="B195" s="96"/>
      <c r="C195" s="96"/>
      <c r="D195" s="87"/>
      <c r="E195" s="96"/>
      <c r="F195" s="96"/>
      <c r="G195" s="96"/>
      <c r="H195" s="96"/>
      <c r="I195" s="96"/>
      <c r="J195" s="96"/>
      <c r="K195" s="96"/>
      <c r="L195" s="96"/>
      <c r="M195" s="96"/>
      <c r="N195" s="96"/>
      <c r="O195" s="96"/>
      <c r="P195" s="87"/>
      <c r="Q195" s="87"/>
      <c r="R195" s="96"/>
      <c r="S195" s="96"/>
      <c r="T195" s="179"/>
      <c r="U195" s="96"/>
    </row>
    <row r="196" spans="1:21" s="610" customFormat="1" x14ac:dyDescent="0.3">
      <c r="A196" s="73">
        <v>237</v>
      </c>
      <c r="B196" s="137" t="str">
        <f t="shared" ref="B196:B203" si="230">IF(INDEX(MO_SNA_IsHistoricalPeriod,,MATCH(F196,MO_Common_ColumnHeader,0)),"Historical","Forward")</f>
      </c>
      <c r="C196" s="96"/>
      <c r="D196" s="76" t="str">
        <f ca="1">INDEX(INDIRECT(E196),0,COLUMN(MO_Common_Column_A))</f>
      </c>
      <c r="E196" s="77" t="s">
        <v>282</v>
      </c>
      <c r="F196" s="137" t="s">
        <v>711</v>
      </c>
      <c r="G196" s="137"/>
      <c r="H196" s="96"/>
      <c r="I196" s="78">
        <v>7838</v>
      </c>
      <c r="J196" s="78">
        <v>7838</v>
      </c>
      <c r="K196" s="78">
        <f t="shared" ref="K196:K203" si="231">AVERAGE(I196:J196)</f>
      </c>
      <c r="L196" s="96"/>
      <c r="M196" s="137" t="str">
        <f t="shared" ref="M196:M203" si="232">IF(INDEX(MO_SNA_IsHistoricalPeriod,,MATCH(F196,MO_Common_ColumnHeader,0)),"Actual","Estimate")</f>
      </c>
      <c r="N196" s="78">
        <f t="shared" ref="N196:N203" ca="1" si="233">IFERROR(INDEX(INDIRECT(E196),0,MATCH(F196,MO_Common_ColumnHeader,0)),"N/A")</f>
      </c>
      <c r="O196" s="96"/>
      <c r="P196" s="79">
        <f t="shared" ref="P196:P203" ca="1" si="234">IF(ISNUMBER(N196),N196-K196,"N/A")</f>
      </c>
      <c r="Q196" s="80">
        <f t="shared" ref="Q196:Q203" ca="1" si="235">IFERROR(IF(ISNUMBER(N196),(N196-K196)/ABS(K196),"N/A"),"N/A")</f>
      </c>
      <c r="R196" s="96"/>
      <c r="S196" s="81">
        <v>44761</v>
      </c>
      <c r="T196" s="82" t="s">
        <v>284</v>
      </c>
      <c r="U196" s="97"/>
    </row>
    <row r="197" spans="1:21" s="610" customFormat="1" x14ac:dyDescent="0.3">
      <c r="A197" s="73">
        <v>236</v>
      </c>
      <c r="B197" s="137" t="str">
        <f t="shared" si="230"/>
      </c>
      <c r="C197" s="96"/>
      <c r="D197" s="76" t="str">
        <f ca="1">INDEX(INDIRECT(E197),0,COLUMN(MO_Common_Column_A))</f>
      </c>
      <c r="E197" s="77" t="s">
        <v>285</v>
      </c>
      <c r="F197" s="137" t="s">
        <v>711</v>
      </c>
      <c r="G197" s="137"/>
      <c r="H197" s="96"/>
      <c r="I197" s="83">
        <v>4.7E-2</v>
      </c>
      <c r="J197" s="83">
        <v>4.7E-2</v>
      </c>
      <c r="K197" s="83">
        <f t="shared" si="231"/>
      </c>
      <c r="L197" s="96"/>
      <c r="M197" s="137" t="str">
        <f t="shared" si="232"/>
      </c>
      <c r="N197" s="83">
        <f t="shared" ca="1" si="233"/>
      </c>
      <c r="O197" s="96"/>
      <c r="P197" s="80">
        <f t="shared" ca="1" si="234"/>
      </c>
      <c r="Q197" s="80">
        <f t="shared" ca="1" si="235"/>
      </c>
      <c r="R197" s="96"/>
      <c r="S197" s="81">
        <v>44761</v>
      </c>
      <c r="T197" s="82" t="s">
        <v>284</v>
      </c>
      <c r="U197" s="97"/>
    </row>
    <row r="198" spans="1:21" s="610" customFormat="1" x14ac:dyDescent="0.3">
      <c r="A198" s="73">
        <v>235</v>
      </c>
      <c r="B198" s="137" t="str">
        <f t="shared" si="230"/>
      </c>
      <c r="C198" s="96"/>
      <c r="D198" s="76" t="str">
        <f ca="1">INDEX(INDIRECT(E198),0,COLUMN(MO_Common_Column_A))</f>
      </c>
      <c r="E198" s="77" t="s">
        <v>286</v>
      </c>
      <c r="F198" s="137" t="s">
        <v>711</v>
      </c>
      <c r="G198" s="137"/>
      <c r="H198" s="96"/>
      <c r="I198" s="78">
        <v>1255</v>
      </c>
      <c r="J198" s="78">
        <v>1255</v>
      </c>
      <c r="K198" s="78">
        <f t="shared" si="231"/>
      </c>
      <c r="L198" s="96"/>
      <c r="M198" s="137" t="str">
        <f t="shared" si="232"/>
      </c>
      <c r="N198" s="78">
        <f t="shared" ca="1" si="233"/>
      </c>
      <c r="O198" s="96"/>
      <c r="P198" s="79">
        <f t="shared" ca="1" si="234"/>
      </c>
      <c r="Q198" s="80">
        <f t="shared" ca="1" si="235"/>
      </c>
      <c r="R198" s="96"/>
      <c r="S198" s="81">
        <v>44761</v>
      </c>
      <c r="T198" s="82" t="s">
        <v>284</v>
      </c>
      <c r="U198" s="97"/>
    </row>
    <row r="199" spans="1:21" s="610" customFormat="1" x14ac:dyDescent="0.3">
      <c r="A199" s="73">
        <v>234</v>
      </c>
      <c r="B199" s="137" t="str">
        <f t="shared" si="230"/>
      </c>
      <c r="C199" s="96"/>
      <c r="D199" s="76" t="s">
        <v>291</v>
      </c>
      <c r="E199" s="77" t="s">
        <v>654</v>
      </c>
      <c r="F199" s="137" t="s">
        <v>711</v>
      </c>
      <c r="G199" s="137"/>
      <c r="H199" s="96"/>
      <c r="I199" s="83">
        <v>0.16</v>
      </c>
      <c r="J199" s="83">
        <v>0.16</v>
      </c>
      <c r="K199" s="83">
        <f t="shared" si="231"/>
      </c>
      <c r="L199" s="96"/>
      <c r="M199" s="137" t="str">
        <f t="shared" si="232"/>
      </c>
      <c r="N199" s="83">
        <f t="shared" ca="1" si="233"/>
      </c>
      <c r="O199" s="86"/>
      <c r="P199" s="80">
        <f t="shared" ca="1" si="234"/>
      </c>
      <c r="Q199" s="80">
        <f t="shared" ca="1" si="235"/>
      </c>
      <c r="R199" s="96"/>
      <c r="S199" s="81">
        <v>44761</v>
      </c>
      <c r="T199" s="82" t="s">
        <v>284</v>
      </c>
      <c r="U199" s="97"/>
    </row>
    <row r="200" spans="1:21" s="610" customFormat="1" x14ac:dyDescent="0.3">
      <c r="A200" s="73">
        <v>233</v>
      </c>
      <c r="B200" s="137" t="str">
        <f t="shared" si="230"/>
      </c>
      <c r="C200" s="96"/>
      <c r="D200" s="76" t="str">
        <f ca="1">INDEX(INDIRECT(E200),0,COLUMN(MO_Common_Column_A))</f>
      </c>
      <c r="E200" s="77" t="s">
        <v>287</v>
      </c>
      <c r="F200" s="137" t="s">
        <v>711</v>
      </c>
      <c r="G200" s="137"/>
      <c r="H200" s="96"/>
      <c r="I200" s="78">
        <v>961</v>
      </c>
      <c r="J200" s="78">
        <v>961</v>
      </c>
      <c r="K200" s="78">
        <f t="shared" si="231"/>
      </c>
      <c r="L200" s="96"/>
      <c r="M200" s="137" t="str">
        <f t="shared" si="232"/>
      </c>
      <c r="N200" s="78">
        <f t="shared" ca="1" si="233"/>
      </c>
      <c r="O200" s="96"/>
      <c r="P200" s="79">
        <f t="shared" ca="1" si="234"/>
      </c>
      <c r="Q200" s="80">
        <f t="shared" ca="1" si="235"/>
      </c>
      <c r="R200" s="96"/>
      <c r="S200" s="81">
        <v>44761</v>
      </c>
      <c r="T200" s="82" t="s">
        <v>284</v>
      </c>
      <c r="U200" s="97"/>
    </row>
    <row r="201" spans="1:21" s="610" customFormat="1" x14ac:dyDescent="0.3">
      <c r="A201" s="73">
        <v>232</v>
      </c>
      <c r="B201" s="137" t="str">
        <f t="shared" si="230"/>
      </c>
      <c r="C201" s="96"/>
      <c r="D201" s="76" t="str">
        <f ca="1">INDEX(INDIRECT(E201),0,COLUMN(MO_Common_Column_A))</f>
      </c>
      <c r="E201" s="77" t="s">
        <v>288</v>
      </c>
      <c r="F201" s="137" t="s">
        <v>711</v>
      </c>
      <c r="G201" s="137"/>
      <c r="H201" s="96"/>
      <c r="I201" s="84">
        <v>0.214</v>
      </c>
      <c r="J201" s="84">
        <v>0.214</v>
      </c>
      <c r="K201" s="84">
        <f t="shared" si="231"/>
      </c>
      <c r="L201" s="96"/>
      <c r="M201" s="137" t="str">
        <f t="shared" si="232"/>
      </c>
      <c r="N201" s="84">
        <f t="shared" ca="1" si="233"/>
      </c>
      <c r="O201" s="96"/>
      <c r="P201" s="85">
        <f t="shared" ca="1" si="234"/>
      </c>
      <c r="Q201" s="80">
        <f t="shared" ca="1" si="235"/>
      </c>
      <c r="R201" s="96"/>
      <c r="S201" s="81">
        <v>44761</v>
      </c>
      <c r="T201" s="82" t="s">
        <v>284</v>
      </c>
      <c r="U201" s="97"/>
    </row>
    <row r="202" spans="1:21" s="610" customFormat="1" x14ac:dyDescent="0.3">
      <c r="A202" s="73">
        <v>231</v>
      </c>
      <c r="B202" s="137" t="str">
        <f t="shared" si="230"/>
      </c>
      <c r="C202" s="96"/>
      <c r="D202" s="76" t="str">
        <f ca="1">INDEX(INDIRECT(E202),0,COLUMN(MO_Common_Column_A))</f>
      </c>
      <c r="E202" s="77" t="s">
        <v>2435</v>
      </c>
      <c r="F202" s="137" t="s">
        <v>711</v>
      </c>
      <c r="G202" s="137"/>
      <c r="H202" s="96"/>
      <c r="I202" s="198">
        <v>221670</v>
      </c>
      <c r="J202" s="198">
        <v>221670</v>
      </c>
      <c r="K202" s="198">
        <f t="shared" si="231"/>
      </c>
      <c r="L202" s="194"/>
      <c r="M202" s="137" t="str">
        <f t="shared" si="232"/>
      </c>
      <c r="N202" s="198">
        <f t="shared" ca="1" si="233"/>
      </c>
      <c r="O202" s="194"/>
      <c r="P202" s="199">
        <f t="shared" ca="1" si="234"/>
      </c>
      <c r="Q202" s="80">
        <f t="shared" ca="1" si="235"/>
      </c>
      <c r="R202" s="96"/>
      <c r="S202" s="81">
        <v>44761</v>
      </c>
      <c r="T202" s="82" t="s">
        <v>284</v>
      </c>
      <c r="U202" s="97"/>
    </row>
    <row r="203" spans="1:21" s="610" customFormat="1" x14ac:dyDescent="0.3">
      <c r="A203" s="73">
        <v>230</v>
      </c>
      <c r="B203" s="137" t="str">
        <f t="shared" si="230"/>
      </c>
      <c r="C203" s="96"/>
      <c r="D203" s="76" t="str">
        <f ca="1">INDEX(INDIRECT(E203),0,COLUMN(MO_Common_Column_A))</f>
      </c>
      <c r="E203" s="77" t="s">
        <v>2436</v>
      </c>
      <c r="F203" s="137" t="s">
        <v>711</v>
      </c>
      <c r="G203" s="137"/>
      <c r="H203" s="96"/>
      <c r="I203" s="198">
        <v>1000</v>
      </c>
      <c r="J203" s="198">
        <v>1000</v>
      </c>
      <c r="K203" s="198">
        <f t="shared" si="231"/>
      </c>
      <c r="L203" s="194"/>
      <c r="M203" s="137" t="str">
        <f t="shared" si="232"/>
      </c>
      <c r="N203" s="198">
        <f t="shared" ca="1" si="233"/>
      </c>
      <c r="O203" s="194"/>
      <c r="P203" s="199">
        <f t="shared" ca="1" si="234"/>
      </c>
      <c r="Q203" s="80">
        <f t="shared" ca="1" si="235"/>
      </c>
      <c r="R203" s="96"/>
      <c r="S203" s="81">
        <v>44761</v>
      </c>
      <c r="T203" s="82" t="s">
        <v>284</v>
      </c>
      <c r="U203" s="97"/>
    </row>
    <row r="204" spans="1:21" s="610" customFormat="1" x14ac:dyDescent="0.3">
      <c r="A204" s="73">
        <v>229</v>
      </c>
      <c r="B204" s="96"/>
      <c r="C204" s="96"/>
      <c r="D204" s="87"/>
      <c r="E204" s="96"/>
      <c r="F204" s="96"/>
      <c r="G204" s="96"/>
      <c r="H204" s="96"/>
      <c r="I204" s="96"/>
      <c r="J204" s="96"/>
      <c r="K204" s="96"/>
      <c r="L204" s="96"/>
      <c r="M204" s="96"/>
      <c r="N204" s="96"/>
      <c r="O204" s="96"/>
      <c r="P204" s="87"/>
      <c r="Q204" s="87"/>
      <c r="R204" s="96"/>
      <c r="S204" s="96"/>
      <c r="T204" s="179"/>
      <c r="U204" s="96"/>
    </row>
    <row r="205" spans="1:21" s="610" customFormat="1" x14ac:dyDescent="0.3">
      <c r="A205" s="73">
        <v>228</v>
      </c>
      <c r="B205" s="137" t="str">
        <f>IF(INDEX(MO_SNA_IsHistoricalPeriod,,MATCH(F205,MO_Common_ColumnHeader,0)),"Historical","Forward")</f>
      </c>
      <c r="C205" s="96"/>
      <c r="D205" s="76" t="s">
        <v>291</v>
      </c>
      <c r="E205" s="77" t="s">
        <v>654</v>
      </c>
      <c r="F205" s="137" t="s">
        <v>706</v>
      </c>
      <c r="G205" s="137"/>
      <c r="H205" s="96"/>
      <c r="I205" s="83">
        <v>0.19</v>
      </c>
      <c r="J205" s="83">
        <v>0.2</v>
      </c>
      <c r="K205" s="83">
        <f>AVERAGE(I205:J205)</f>
      </c>
      <c r="L205" s="96"/>
      <c r="M205" s="137" t="str">
        <f>IF(INDEX(MO_SNA_IsHistoricalPeriod,,MATCH(F205,MO_Common_ColumnHeader,0)),"Actual","Estimate")</f>
      </c>
      <c r="N205" s="83">
        <f ca="1">IFERROR(INDEX(INDIRECT(E205),0,MATCH(F205,MO_Common_ColumnHeader,0)),"N/A")</f>
      </c>
      <c r="O205" s="86"/>
      <c r="P205" s="80">
        <f ca="1">IF(ISNUMBER(N205),N205-K205,"N/A")</f>
      </c>
      <c r="Q205" s="80">
        <f ca="1">IFERROR(IF(ISNUMBER(N205),(N205-K205)/ABS(K205),"N/A"),"N/A")</f>
      </c>
      <c r="R205" s="96"/>
      <c r="S205" s="81">
        <v>44670</v>
      </c>
      <c r="T205" s="82" t="s">
        <v>284</v>
      </c>
      <c r="U205" s="97"/>
    </row>
    <row r="206" spans="1:21" s="610" customFormat="1" x14ac:dyDescent="0.3">
      <c r="A206" s="73">
        <v>227</v>
      </c>
      <c r="B206" s="96"/>
      <c r="C206" s="96"/>
      <c r="D206" s="87"/>
      <c r="E206" s="96"/>
      <c r="F206" s="96"/>
      <c r="G206" s="96"/>
      <c r="H206" s="96"/>
      <c r="I206" s="96"/>
      <c r="J206" s="96"/>
      <c r="K206" s="96"/>
      <c r="L206" s="96"/>
      <c r="M206" s="96"/>
      <c r="N206" s="96"/>
      <c r="O206" s="96"/>
      <c r="P206" s="87"/>
      <c r="Q206" s="87"/>
      <c r="R206" s="96"/>
      <c r="S206" s="96"/>
      <c r="T206" s="179"/>
      <c r="U206" s="96"/>
    </row>
    <row r="207" spans="1:21" s="610" customFormat="1" x14ac:dyDescent="0.3">
      <c r="A207" s="73">
        <v>226</v>
      </c>
      <c r="B207" s="137" t="str">
        <f t="shared" ref="B207:B214" si="236">IF(INDEX(MO_SNA_IsHistoricalPeriod,,MATCH(F207,MO_Common_ColumnHeader,0)),"Historical","Forward")</f>
      </c>
      <c r="C207" s="96"/>
      <c r="D207" s="76" t="str">
        <f ca="1">INDEX(INDIRECT(E207),0,COLUMN(MO_Common_Column_A))</f>
      </c>
      <c r="E207" s="77" t="s">
        <v>282</v>
      </c>
      <c r="F207" s="137" t="s">
        <v>705</v>
      </c>
      <c r="G207" s="137"/>
      <c r="H207" s="96"/>
      <c r="I207" s="78">
        <v>8053</v>
      </c>
      <c r="J207" s="78">
        <v>8053</v>
      </c>
      <c r="K207" s="78">
        <f t="shared" ref="K207:K214" si="237">AVERAGE(I207:J207)</f>
      </c>
      <c r="L207" s="96"/>
      <c r="M207" s="137" t="str">
        <f t="shared" ref="M207:M214" si="238">IF(INDEX(MO_SNA_IsHistoricalPeriod,,MATCH(F207,MO_Common_ColumnHeader,0)),"Actual","Estimate")</f>
      </c>
      <c r="N207" s="78">
        <f t="shared" ref="N207:N214" ca="1" si="239">IFERROR(INDEX(INDIRECT(E207),0,MATCH(F207,MO_Common_ColumnHeader,0)),"N/A")</f>
      </c>
      <c r="O207" s="96"/>
      <c r="P207" s="79">
        <f t="shared" ref="P207:P214" ca="1" si="240">IF(ISNUMBER(N207),N207-K207,"N/A")</f>
      </c>
      <c r="Q207" s="80">
        <f t="shared" ref="Q207:Q214" ca="1" si="241">IFERROR(IF(ISNUMBER(N207),(N207-K207)/ABS(K207),"N/A"),"N/A")</f>
      </c>
      <c r="R207" s="96"/>
      <c r="S207" s="81">
        <v>44670</v>
      </c>
      <c r="T207" s="82" t="s">
        <v>284</v>
      </c>
      <c r="U207" s="97"/>
    </row>
    <row r="208" spans="1:21" s="610" customFormat="1" x14ac:dyDescent="0.3">
      <c r="A208" s="73">
        <v>225</v>
      </c>
      <c r="B208" s="137" t="str">
        <f t="shared" si="236"/>
      </c>
      <c r="C208" s="96"/>
      <c r="D208" s="76" t="str">
        <f ca="1">INDEX(INDIRECT(E208),0,COLUMN(MO_Common_Column_A))</f>
      </c>
      <c r="E208" s="77" t="s">
        <v>285</v>
      </c>
      <c r="F208" s="137" t="s">
        <v>705</v>
      </c>
      <c r="G208" s="137"/>
      <c r="H208" s="96"/>
      <c r="I208" s="83">
        <v>9.7000000000000003E-2</v>
      </c>
      <c r="J208" s="83">
        <v>9.7000000000000003E-2</v>
      </c>
      <c r="K208" s="83">
        <f t="shared" si="237"/>
      </c>
      <c r="L208" s="96"/>
      <c r="M208" s="137" t="str">
        <f t="shared" si="238"/>
      </c>
      <c r="N208" s="83">
        <f t="shared" ca="1" si="239"/>
      </c>
      <c r="O208" s="96"/>
      <c r="P208" s="80">
        <f t="shared" ca="1" si="240"/>
      </c>
      <c r="Q208" s="80">
        <f t="shared" ca="1" si="241"/>
      </c>
      <c r="R208" s="96"/>
      <c r="S208" s="81">
        <v>44670</v>
      </c>
      <c r="T208" s="82" t="s">
        <v>284</v>
      </c>
      <c r="U208" s="97"/>
    </row>
    <row r="209" spans="1:21" s="610" customFormat="1" x14ac:dyDescent="0.3">
      <c r="A209" s="73">
        <v>224</v>
      </c>
      <c r="B209" s="137" t="str">
        <f t="shared" si="236"/>
      </c>
      <c r="C209" s="96"/>
      <c r="D209" s="76" t="str">
        <f ca="1">INDEX(INDIRECT(E209),0,COLUMN(MO_Common_Column_A))</f>
      </c>
      <c r="E209" s="77" t="s">
        <v>286</v>
      </c>
      <c r="F209" s="137" t="s">
        <v>705</v>
      </c>
      <c r="G209" s="137"/>
      <c r="H209" s="96"/>
      <c r="I209" s="78">
        <v>1730</v>
      </c>
      <c r="J209" s="78">
        <v>1730</v>
      </c>
      <c r="K209" s="78">
        <f t="shared" si="237"/>
      </c>
      <c r="L209" s="96"/>
      <c r="M209" s="137" t="str">
        <f t="shared" si="238"/>
      </c>
      <c r="N209" s="78">
        <f t="shared" ca="1" si="239"/>
      </c>
      <c r="O209" s="96"/>
      <c r="P209" s="79">
        <f t="shared" ca="1" si="240"/>
      </c>
      <c r="Q209" s="80">
        <f t="shared" ca="1" si="241"/>
      </c>
      <c r="R209" s="96"/>
      <c r="S209" s="81">
        <v>44670</v>
      </c>
      <c r="T209" s="82" t="s">
        <v>284</v>
      </c>
      <c r="U209" s="97"/>
    </row>
    <row r="210" spans="1:21" s="610" customFormat="1" x14ac:dyDescent="0.3">
      <c r="A210" s="73">
        <v>223</v>
      </c>
      <c r="B210" s="137" t="str">
        <f t="shared" si="236"/>
      </c>
      <c r="C210" s="96"/>
      <c r="D210" s="76" t="s">
        <v>291</v>
      </c>
      <c r="E210" s="77" t="s">
        <v>654</v>
      </c>
      <c r="F210" s="137" t="s">
        <v>705</v>
      </c>
      <c r="G210" s="137"/>
      <c r="H210" s="96"/>
      <c r="I210" s="83">
        <v>0.215</v>
      </c>
      <c r="J210" s="83">
        <v>0.215</v>
      </c>
      <c r="K210" s="83">
        <f t="shared" si="237"/>
      </c>
      <c r="L210" s="96"/>
      <c r="M210" s="137" t="str">
        <f t="shared" si="238"/>
      </c>
      <c r="N210" s="83">
        <f t="shared" ca="1" si="239"/>
      </c>
      <c r="O210" s="86"/>
      <c r="P210" s="80">
        <f t="shared" ca="1" si="240"/>
      </c>
      <c r="Q210" s="80">
        <f t="shared" ca="1" si="241"/>
      </c>
      <c r="R210" s="96"/>
      <c r="S210" s="81">
        <v>44670</v>
      </c>
      <c r="T210" s="82" t="s">
        <v>284</v>
      </c>
      <c r="U210" s="97"/>
    </row>
    <row r="211" spans="1:21" s="610" customFormat="1" x14ac:dyDescent="0.3">
      <c r="A211" s="73">
        <v>222</v>
      </c>
      <c r="B211" s="137" t="str">
        <f t="shared" si="236"/>
      </c>
      <c r="C211" s="96"/>
      <c r="D211" s="76" t="str">
        <f ca="1">INDEX(INDIRECT(E211),0,COLUMN(MO_Common_Column_A))</f>
      </c>
      <c r="E211" s="77" t="s">
        <v>287</v>
      </c>
      <c r="F211" s="137" t="s">
        <v>705</v>
      </c>
      <c r="G211" s="137"/>
      <c r="H211" s="96"/>
      <c r="I211" s="78">
        <v>1354</v>
      </c>
      <c r="J211" s="78">
        <v>1354</v>
      </c>
      <c r="K211" s="78">
        <f t="shared" si="237"/>
      </c>
      <c r="L211" s="96"/>
      <c r="M211" s="137" t="str">
        <f t="shared" si="238"/>
      </c>
      <c r="N211" s="78">
        <f t="shared" ca="1" si="239"/>
      </c>
      <c r="O211" s="96"/>
      <c r="P211" s="79">
        <f t="shared" ca="1" si="240"/>
      </c>
      <c r="Q211" s="80">
        <f t="shared" ca="1" si="241"/>
      </c>
      <c r="R211" s="96"/>
      <c r="S211" s="81">
        <v>44670</v>
      </c>
      <c r="T211" s="82" t="s">
        <v>284</v>
      </c>
      <c r="U211" s="97"/>
    </row>
    <row r="212" spans="1:21" s="610" customFormat="1" x14ac:dyDescent="0.3">
      <c r="A212" s="73">
        <v>221</v>
      </c>
      <c r="B212" s="137" t="str">
        <f t="shared" si="236"/>
      </c>
      <c r="C212" s="96"/>
      <c r="D212" s="76" t="str">
        <f ca="1">INDEX(INDIRECT(E212),0,COLUMN(MO_Common_Column_A))</f>
      </c>
      <c r="E212" s="77" t="s">
        <v>288</v>
      </c>
      <c r="F212" s="137" t="s">
        <v>705</v>
      </c>
      <c r="G212" s="137"/>
      <c r="H212" s="96"/>
      <c r="I212" s="84">
        <v>0.3</v>
      </c>
      <c r="J212" s="84">
        <v>0.3</v>
      </c>
      <c r="K212" s="84">
        <f t="shared" si="237"/>
      </c>
      <c r="L212" s="96"/>
      <c r="M212" s="137" t="str">
        <f t="shared" si="238"/>
      </c>
      <c r="N212" s="84">
        <f t="shared" ca="1" si="239"/>
      </c>
      <c r="O212" s="96"/>
      <c r="P212" s="85">
        <f t="shared" ca="1" si="240"/>
      </c>
      <c r="Q212" s="80">
        <f t="shared" ca="1" si="241"/>
      </c>
      <c r="R212" s="96"/>
      <c r="S212" s="81">
        <v>44670</v>
      </c>
      <c r="T212" s="82" t="s">
        <v>284</v>
      </c>
      <c r="U212" s="97"/>
    </row>
    <row r="213" spans="1:21" s="610" customFormat="1" x14ac:dyDescent="0.3">
      <c r="A213" s="73">
        <v>220</v>
      </c>
      <c r="B213" s="137" t="str">
        <f t="shared" si="236"/>
      </c>
      <c r="C213" s="96"/>
      <c r="D213" s="76" t="str">
        <f ca="1">INDEX(INDIRECT(E213),0,COLUMN(MO_Common_Column_A))</f>
      </c>
      <c r="E213" s="77" t="s">
        <v>2435</v>
      </c>
      <c r="F213" s="137" t="s">
        <v>705</v>
      </c>
      <c r="G213" s="137"/>
      <c r="H213" s="96"/>
      <c r="I213" s="198">
        <v>219640</v>
      </c>
      <c r="J213" s="198">
        <v>219640</v>
      </c>
      <c r="K213" s="198">
        <f t="shared" si="237"/>
      </c>
      <c r="L213" s="194"/>
      <c r="M213" s="137" t="str">
        <f t="shared" si="238"/>
      </c>
      <c r="N213" s="198">
        <f t="shared" ca="1" si="239"/>
      </c>
      <c r="O213" s="194"/>
      <c r="P213" s="199">
        <f t="shared" ca="1" si="240"/>
      </c>
      <c r="Q213" s="80">
        <f t="shared" ca="1" si="241"/>
      </c>
      <c r="R213" s="96"/>
      <c r="S213" s="81">
        <v>44670</v>
      </c>
      <c r="T213" s="82" t="s">
        <v>284</v>
      </c>
      <c r="U213" s="97"/>
    </row>
    <row r="214" spans="1:21" s="610" customFormat="1" x14ac:dyDescent="0.3">
      <c r="A214" s="73">
        <v>219</v>
      </c>
      <c r="B214" s="137" t="str">
        <f t="shared" si="236"/>
      </c>
      <c r="C214" s="96"/>
      <c r="D214" s="76" t="str">
        <f ca="1">INDEX(INDIRECT(E214),0,COLUMN(MO_Common_Column_A))</f>
      </c>
      <c r="E214" s="77" t="s">
        <v>2436</v>
      </c>
      <c r="F214" s="137" t="s">
        <v>705</v>
      </c>
      <c r="G214" s="137"/>
      <c r="H214" s="96"/>
      <c r="I214" s="198">
        <v>-2000</v>
      </c>
      <c r="J214" s="198">
        <v>-2000</v>
      </c>
      <c r="K214" s="198">
        <f t="shared" si="237"/>
      </c>
      <c r="L214" s="194"/>
      <c r="M214" s="137" t="str">
        <f t="shared" si="238"/>
      </c>
      <c r="N214" s="198">
        <f t="shared" ca="1" si="239"/>
      </c>
      <c r="O214" s="194"/>
      <c r="P214" s="199">
        <f t="shared" ca="1" si="240"/>
      </c>
      <c r="Q214" s="80">
        <f t="shared" ca="1" si="241"/>
      </c>
      <c r="R214" s="96"/>
      <c r="S214" s="81">
        <v>44670</v>
      </c>
      <c r="T214" s="82" t="s">
        <v>284</v>
      </c>
      <c r="U214" s="97"/>
    </row>
    <row r="215" spans="1:21" s="610" customFormat="1" x14ac:dyDescent="0.3">
      <c r="A215" s="73">
        <v>218</v>
      </c>
      <c r="B215" s="96"/>
      <c r="C215" s="96"/>
      <c r="D215" s="87"/>
      <c r="E215" s="96"/>
      <c r="F215" s="96"/>
      <c r="G215" s="96"/>
      <c r="H215" s="96"/>
      <c r="I215" s="96"/>
      <c r="J215" s="96"/>
      <c r="K215" s="96"/>
      <c r="L215" s="96"/>
      <c r="M215" s="96"/>
      <c r="N215" s="96"/>
      <c r="O215" s="96"/>
      <c r="P215" s="87"/>
      <c r="Q215" s="87"/>
      <c r="R215" s="96"/>
      <c r="S215" s="96"/>
      <c r="T215" s="179"/>
      <c r="U215" s="96"/>
    </row>
    <row r="216" spans="1:21" s="610" customFormat="1" x14ac:dyDescent="0.3">
      <c r="A216" s="73">
        <v>217</v>
      </c>
      <c r="B216" s="137" t="str">
        <f>IF(INDEX(MO_SNA_IsHistoricalPeriod,,MATCH(F216,MO_Common_ColumnHeader,0)),"Historical","Forward")</f>
      </c>
      <c r="C216" s="96"/>
      <c r="D216" s="76" t="s">
        <v>291</v>
      </c>
      <c r="E216" s="77" t="s">
        <v>654</v>
      </c>
      <c r="F216" s="137" t="s">
        <v>706</v>
      </c>
      <c r="G216" s="137"/>
      <c r="H216" s="96"/>
      <c r="I216" s="83">
        <v>0.19</v>
      </c>
      <c r="J216" s="83">
        <v>0.2</v>
      </c>
      <c r="K216" s="83">
        <f>AVERAGE(I216:J216)</f>
      </c>
      <c r="L216" s="96"/>
      <c r="M216" s="137" t="str">
        <f>IF(INDEX(MO_SNA_IsHistoricalPeriod,,MATCH(F216,MO_Common_ColumnHeader,0)),"Actual","Estimate")</f>
      </c>
      <c r="N216" s="83">
        <f ca="1">IFERROR(INDEX(INDIRECT(E216),0,MATCH(F216,MO_Common_ColumnHeader,0)),"N/A")</f>
      </c>
      <c r="O216" s="86"/>
      <c r="P216" s="80">
        <f ca="1">IF(ISNUMBER(N216),N216-K216,"N/A")</f>
      </c>
      <c r="Q216" s="80">
        <f ca="1">IFERROR(IF(ISNUMBER(N216),(N216-K216)/ABS(K216),"N/A"),"N/A")</f>
      </c>
      <c r="R216" s="96"/>
      <c r="S216" s="81">
        <v>44581</v>
      </c>
      <c r="T216" s="82" t="s">
        <v>284</v>
      </c>
      <c r="U216" s="97"/>
    </row>
    <row r="217" spans="1:21" s="610" customFormat="1" x14ac:dyDescent="0.3">
      <c r="A217" s="73">
        <v>216</v>
      </c>
      <c r="B217" s="96"/>
      <c r="C217" s="96"/>
      <c r="D217" s="87"/>
      <c r="E217" s="96"/>
      <c r="F217" s="96"/>
      <c r="G217" s="96"/>
      <c r="H217" s="96"/>
      <c r="I217" s="96"/>
      <c r="J217" s="96"/>
      <c r="K217" s="96"/>
      <c r="L217" s="96"/>
      <c r="M217" s="96"/>
      <c r="N217" s="96"/>
      <c r="O217" s="96"/>
      <c r="P217" s="87"/>
      <c r="Q217" s="87"/>
      <c r="R217" s="96"/>
      <c r="S217" s="96"/>
      <c r="T217" s="179"/>
      <c r="U217" s="96"/>
    </row>
    <row r="218" spans="1:21" s="610" customFormat="1" x14ac:dyDescent="0.3">
      <c r="A218" s="73">
        <v>215</v>
      </c>
      <c r="B218" s="137" t="str">
        <f t="shared" ref="B218:B225" si="242">IF(INDEX(MO_SNA_IsHistoricalPeriod,,MATCH(F218,MO_Common_ColumnHeader,0)),"Historical","Forward")</f>
      </c>
      <c r="C218" s="96"/>
      <c r="D218" s="76" t="str">
        <f ca="1">INDEX(INDIRECT(E218),0,COLUMN(MO_Common_Column_A))</f>
      </c>
      <c r="E218" s="77" t="s">
        <v>282</v>
      </c>
      <c r="F218" s="137" t="s">
        <v>703</v>
      </c>
      <c r="G218" s="137"/>
      <c r="H218" s="96"/>
      <c r="I218" s="78">
        <v>7903</v>
      </c>
      <c r="J218" s="78">
        <v>7712</v>
      </c>
      <c r="K218" s="78">
        <f t="shared" ref="K218:K225" si="243">AVERAGE(I218:J218)</f>
      </c>
      <c r="L218" s="96"/>
      <c r="M218" s="137" t="str">
        <f t="shared" ref="M218:M225" si="244">IF(INDEX(MO_SNA_IsHistoricalPeriod,,MATCH(F218,MO_Common_ColumnHeader,0)),"Actual","Estimate")</f>
      </c>
      <c r="N218" s="78">
        <f t="shared" ref="N218:N225" ca="1" si="245">IFERROR(INDEX(INDIRECT(E218),0,MATCH(F218,MO_Common_ColumnHeader,0)),"N/A")</f>
      </c>
      <c r="O218" s="96"/>
      <c r="P218" s="79">
        <f t="shared" ref="P218:P225" ca="1" si="246">IF(ISNUMBER(N218),N218-K218,"N/A")</f>
      </c>
      <c r="Q218" s="80">
        <f t="shared" ref="Q218:Q225" ca="1" si="247">IFERROR(IF(ISNUMBER(N218),(N218-K218)/ABS(K218),"N/A"),"N/A")</f>
      </c>
      <c r="R218" s="96"/>
      <c r="S218" s="81">
        <v>44581</v>
      </c>
      <c r="T218" s="82" t="s">
        <v>284</v>
      </c>
      <c r="U218" s="97"/>
    </row>
    <row r="219" spans="1:21" s="610" customFormat="1" x14ac:dyDescent="0.3">
      <c r="A219" s="73">
        <v>214</v>
      </c>
      <c r="B219" s="137" t="str">
        <f t="shared" si="242"/>
      </c>
      <c r="C219" s="96"/>
      <c r="D219" s="76" t="str">
        <f ca="1">INDEX(INDIRECT(E219),0,COLUMN(MO_Common_Column_A))</f>
      </c>
      <c r="E219" s="77" t="s">
        <v>285</v>
      </c>
      <c r="F219" s="137" t="s">
        <v>703</v>
      </c>
      <c r="G219" s="137"/>
      <c r="H219" s="96"/>
      <c r="I219" s="83">
        <v>0.10299999999999999</v>
      </c>
      <c r="J219" s="83">
        <v>0.10299999999999999</v>
      </c>
      <c r="K219" s="83">
        <f t="shared" si="243"/>
      </c>
      <c r="L219" s="96"/>
      <c r="M219" s="137" t="str">
        <f t="shared" si="244"/>
      </c>
      <c r="N219" s="83">
        <f t="shared" ca="1" si="245"/>
      </c>
      <c r="O219" s="96"/>
      <c r="P219" s="80">
        <f t="shared" ca="1" si="246"/>
      </c>
      <c r="Q219" s="80">
        <f t="shared" ca="1" si="247"/>
      </c>
      <c r="R219" s="96"/>
      <c r="S219" s="81">
        <v>44581</v>
      </c>
      <c r="T219" s="82" t="s">
        <v>284</v>
      </c>
      <c r="U219" s="97"/>
    </row>
    <row r="220" spans="1:21" s="610" customFormat="1" x14ac:dyDescent="0.3">
      <c r="A220" s="73">
        <v>213</v>
      </c>
      <c r="B220" s="137" t="str">
        <f t="shared" si="242"/>
      </c>
      <c r="C220" s="96"/>
      <c r="D220" s="76" t="str">
        <f ca="1">INDEX(INDIRECT(E220),0,COLUMN(MO_Common_Column_A))</f>
      </c>
      <c r="E220" s="77" t="s">
        <v>286</v>
      </c>
      <c r="F220" s="137" t="s">
        <v>703</v>
      </c>
      <c r="G220" s="137"/>
      <c r="H220" s="96"/>
      <c r="I220" s="78">
        <v>1765</v>
      </c>
      <c r="J220" s="78">
        <v>1765</v>
      </c>
      <c r="K220" s="78">
        <f t="shared" si="243"/>
      </c>
      <c r="L220" s="96"/>
      <c r="M220" s="137" t="str">
        <f t="shared" si="244"/>
      </c>
      <c r="N220" s="78">
        <f t="shared" ca="1" si="245"/>
      </c>
      <c r="O220" s="96"/>
      <c r="P220" s="79">
        <f t="shared" ca="1" si="246"/>
      </c>
      <c r="Q220" s="80">
        <f t="shared" ca="1" si="247"/>
      </c>
      <c r="R220" s="96"/>
      <c r="S220" s="81">
        <v>44581</v>
      </c>
      <c r="T220" s="82" t="s">
        <v>284</v>
      </c>
      <c r="U220" s="97"/>
    </row>
    <row r="221" spans="1:21" s="610" customFormat="1" x14ac:dyDescent="0.3">
      <c r="A221" s="73">
        <v>212</v>
      </c>
      <c r="B221" s="137" t="str">
        <f t="shared" si="242"/>
      </c>
      <c r="C221" s="96"/>
      <c r="D221" s="76" t="s">
        <v>291</v>
      </c>
      <c r="E221" s="77" t="s">
        <v>654</v>
      </c>
      <c r="F221" s="137" t="s">
        <v>703</v>
      </c>
      <c r="G221" s="137"/>
      <c r="H221" s="96"/>
      <c r="I221" s="83">
        <v>0.223</v>
      </c>
      <c r="J221" s="83">
        <v>0.223</v>
      </c>
      <c r="K221" s="83">
        <f t="shared" si="243"/>
      </c>
      <c r="L221" s="96"/>
      <c r="M221" s="137" t="str">
        <f t="shared" si="244"/>
      </c>
      <c r="N221" s="83">
        <f t="shared" ca="1" si="245"/>
      </c>
      <c r="O221" s="86"/>
      <c r="P221" s="80">
        <f t="shared" ca="1" si="246"/>
      </c>
      <c r="Q221" s="80">
        <f t="shared" ca="1" si="247"/>
      </c>
      <c r="R221" s="96"/>
      <c r="S221" s="81">
        <v>44581</v>
      </c>
      <c r="T221" s="82" t="s">
        <v>284</v>
      </c>
      <c r="U221" s="97"/>
    </row>
    <row r="222" spans="1:21" s="610" customFormat="1" x14ac:dyDescent="0.3">
      <c r="A222" s="73">
        <v>211</v>
      </c>
      <c r="B222" s="137" t="str">
        <f t="shared" si="242"/>
      </c>
      <c r="C222" s="96"/>
      <c r="D222" s="76" t="str">
        <f ca="1">INDEX(INDIRECT(E222),0,COLUMN(MO_Common_Column_A))</f>
      </c>
      <c r="E222" s="77" t="s">
        <v>287</v>
      </c>
      <c r="F222" s="137" t="s">
        <v>703</v>
      </c>
      <c r="G222" s="137"/>
      <c r="H222" s="96"/>
      <c r="I222" s="78">
        <v>1304</v>
      </c>
      <c r="J222" s="78">
        <v>1304</v>
      </c>
      <c r="K222" s="78">
        <f t="shared" si="243"/>
      </c>
      <c r="L222" s="96"/>
      <c r="M222" s="137" t="str">
        <f t="shared" si="244"/>
      </c>
      <c r="N222" s="78">
        <f t="shared" ca="1" si="245"/>
      </c>
      <c r="O222" s="96"/>
      <c r="P222" s="79">
        <f t="shared" ca="1" si="246"/>
      </c>
      <c r="Q222" s="80">
        <f t="shared" ca="1" si="247"/>
      </c>
      <c r="R222" s="96"/>
      <c r="S222" s="81">
        <v>44581</v>
      </c>
      <c r="T222" s="82" t="s">
        <v>284</v>
      </c>
      <c r="U222" s="97"/>
    </row>
    <row r="223" spans="1:21" s="610" customFormat="1" x14ac:dyDescent="0.3">
      <c r="A223" s="73">
        <v>210</v>
      </c>
      <c r="B223" s="137" t="str">
        <f t="shared" si="242"/>
      </c>
      <c r="C223" s="96"/>
      <c r="D223" s="76" t="str">
        <f ca="1">INDEX(INDIRECT(E223),0,COLUMN(MO_Common_Column_A))</f>
      </c>
      <c r="E223" s="77" t="s">
        <v>288</v>
      </c>
      <c r="F223" s="137" t="s">
        <v>703</v>
      </c>
      <c r="G223" s="137"/>
      <c r="H223" s="96"/>
      <c r="I223" s="84">
        <v>0.28599999999999998</v>
      </c>
      <c r="J223" s="84">
        <v>0.28599999999999998</v>
      </c>
      <c r="K223" s="84">
        <f t="shared" si="243"/>
      </c>
      <c r="L223" s="96"/>
      <c r="M223" s="137" t="str">
        <f t="shared" si="244"/>
      </c>
      <c r="N223" s="84">
        <f t="shared" ca="1" si="245"/>
      </c>
      <c r="O223" s="96"/>
      <c r="P223" s="85">
        <f t="shared" ca="1" si="246"/>
      </c>
      <c r="Q223" s="80">
        <f t="shared" ca="1" si="247"/>
      </c>
      <c r="R223" s="96"/>
      <c r="S223" s="81">
        <v>44581</v>
      </c>
      <c r="T223" s="82" t="s">
        <v>284</v>
      </c>
      <c r="U223" s="97"/>
    </row>
    <row r="224" spans="1:21" s="610" customFormat="1" x14ac:dyDescent="0.3">
      <c r="A224" s="73">
        <v>209</v>
      </c>
      <c r="B224" s="137" t="str">
        <f t="shared" si="242"/>
      </c>
      <c r="C224" s="96"/>
      <c r="D224" s="76" t="str">
        <f ca="1">INDEX(INDIRECT(E224),0,COLUMN(MO_Common_Column_A))</f>
      </c>
      <c r="E224" s="77" t="s">
        <v>2435</v>
      </c>
      <c r="F224" s="137" t="s">
        <v>703</v>
      </c>
      <c r="G224" s="137"/>
      <c r="H224" s="96"/>
      <c r="I224" s="198">
        <v>224340</v>
      </c>
      <c r="J224" s="198">
        <v>224340</v>
      </c>
      <c r="K224" s="198">
        <f t="shared" si="243"/>
      </c>
      <c r="L224" s="194"/>
      <c r="M224" s="137" t="str">
        <f t="shared" si="244"/>
      </c>
      <c r="N224" s="198">
        <f t="shared" ca="1" si="245"/>
      </c>
      <c r="O224" s="194"/>
      <c r="P224" s="199">
        <f t="shared" ca="1" si="246"/>
      </c>
      <c r="Q224" s="80">
        <f t="shared" ca="1" si="247"/>
      </c>
      <c r="R224" s="96"/>
      <c r="S224" s="81">
        <v>44581</v>
      </c>
      <c r="T224" s="82" t="s">
        <v>284</v>
      </c>
      <c r="U224" s="97"/>
    </row>
    <row r="225" spans="1:21" s="610" customFormat="1" x14ac:dyDescent="0.3">
      <c r="A225" s="73">
        <v>208</v>
      </c>
      <c r="B225" s="137" t="str">
        <f t="shared" si="242"/>
      </c>
      <c r="C225" s="96"/>
      <c r="D225" s="76" t="str">
        <f ca="1">INDEX(INDIRECT(E225),0,COLUMN(MO_Common_Column_A))</f>
      </c>
      <c r="E225" s="77" t="s">
        <v>2436</v>
      </c>
      <c r="F225" s="137" t="s">
        <v>703</v>
      </c>
      <c r="G225" s="137"/>
      <c r="H225" s="96"/>
      <c r="I225" s="78">
        <v>2500</v>
      </c>
      <c r="J225" s="78">
        <v>2500</v>
      </c>
      <c r="K225" s="78">
        <f t="shared" si="243"/>
      </c>
      <c r="L225" s="96"/>
      <c r="M225" s="137" t="str">
        <f t="shared" si="244"/>
      </c>
      <c r="N225" s="78">
        <f t="shared" ca="1" si="245"/>
      </c>
      <c r="O225" s="96"/>
      <c r="P225" s="79">
        <f t="shared" ca="1" si="246"/>
      </c>
      <c r="Q225" s="80">
        <f t="shared" ca="1" si="247"/>
      </c>
      <c r="R225" s="96"/>
      <c r="S225" s="81">
        <v>44581</v>
      </c>
      <c r="T225" s="82" t="s">
        <v>284</v>
      </c>
      <c r="U225" s="97"/>
    </row>
    <row r="226" spans="1:21" s="610" customFormat="1" x14ac:dyDescent="0.3">
      <c r="A226" s="73">
        <v>207</v>
      </c>
      <c r="B226" s="96"/>
      <c r="C226" s="96"/>
      <c r="D226" s="87"/>
      <c r="E226" s="96"/>
      <c r="F226" s="96"/>
      <c r="G226" s="96"/>
      <c r="H226" s="96"/>
      <c r="I226" s="96"/>
      <c r="J226" s="96"/>
      <c r="K226" s="96"/>
      <c r="L226" s="96"/>
      <c r="M226" s="96"/>
      <c r="N226" s="96"/>
      <c r="O226" s="96"/>
      <c r="P226" s="87"/>
      <c r="Q226" s="87"/>
      <c r="R226" s="96"/>
      <c r="S226" s="96"/>
      <c r="T226" s="179"/>
      <c r="U226" s="96"/>
    </row>
    <row r="227" spans="1:21" s="610" customFormat="1" x14ac:dyDescent="0.3">
      <c r="A227" s="73">
        <v>206</v>
      </c>
      <c r="B227" s="137" t="str">
        <f>IF(INDEX(MO_SNA_IsHistoricalPeriod,,MATCH(F227,MO_Common_ColumnHeader,0)),"Historical","Forward")</f>
      </c>
      <c r="C227" s="96"/>
      <c r="D227" s="76" t="s">
        <v>291</v>
      </c>
      <c r="E227" s="77" t="s">
        <v>654</v>
      </c>
      <c r="F227" s="137" t="s">
        <v>500</v>
      </c>
      <c r="G227" s="137"/>
      <c r="H227" s="96"/>
      <c r="I227" s="83">
        <v>0.2</v>
      </c>
      <c r="J227" s="83">
        <v>0.2</v>
      </c>
      <c r="K227" s="83">
        <f>AVERAGE(I227:J227)</f>
      </c>
      <c r="L227" s="96"/>
      <c r="M227" s="137" t="str">
        <f>IF(INDEX(MO_SNA_IsHistoricalPeriod,,MATCH(F227,MO_Common_ColumnHeader,0)),"Actual","Estimate")</f>
      </c>
      <c r="N227" s="83">
        <f ca="1">IFERROR(INDEX(INDIRECT(E227),0,MATCH(F227,MO_Common_ColumnHeader,0)),"N/A")</f>
      </c>
      <c r="O227" s="86"/>
      <c r="P227" s="80">
        <f ca="1">IF(ISNUMBER(N227),N227-K227,"N/A")</f>
      </c>
      <c r="Q227" s="80">
        <f ca="1">IFERROR(IF(ISNUMBER(N227),(N227-K227)/ABS(K227),"N/A"),"N/A")</f>
      </c>
      <c r="R227" s="96"/>
      <c r="S227" s="81">
        <v>44488</v>
      </c>
      <c r="T227" s="82" t="s">
        <v>284</v>
      </c>
      <c r="U227" s="97"/>
    </row>
    <row r="228" spans="1:21" s="610" customFormat="1" x14ac:dyDescent="0.3">
      <c r="A228" s="73">
        <v>205</v>
      </c>
      <c r="B228" s="96"/>
      <c r="C228" s="96"/>
      <c r="D228" s="87"/>
      <c r="E228" s="96"/>
      <c r="F228" s="96"/>
      <c r="G228" s="96"/>
      <c r="H228" s="96"/>
      <c r="I228" s="96"/>
      <c r="J228" s="96"/>
      <c r="K228" s="96"/>
      <c r="L228" s="96"/>
      <c r="M228" s="96"/>
      <c r="N228" s="96"/>
      <c r="O228" s="96"/>
      <c r="P228" s="87"/>
      <c r="Q228" s="87"/>
      <c r="R228" s="96"/>
      <c r="S228" s="96"/>
      <c r="T228" s="179"/>
      <c r="U228" s="96"/>
    </row>
    <row r="229" spans="1:21" s="610" customFormat="1" x14ac:dyDescent="0.3">
      <c r="A229" s="73">
        <v>204</v>
      </c>
      <c r="B229" s="137" t="str">
        <f t="shared" ref="B229:B236" si="248">IF(INDEX(MO_SNA_IsHistoricalPeriod,,MATCH(F229,MO_Common_ColumnHeader,0)),"Historical","Forward")</f>
      </c>
      <c r="C229" s="96"/>
      <c r="D229" s="76" t="str">
        <f ca="1">INDEX(INDIRECT(E229),0,COLUMN(MO_Common_Column_A))</f>
      </c>
      <c r="E229" s="77" t="s">
        <v>282</v>
      </c>
      <c r="F229" s="137" t="s">
        <v>518</v>
      </c>
      <c r="G229" s="137"/>
      <c r="H229" s="96"/>
      <c r="I229" s="78">
        <v>7712</v>
      </c>
      <c r="J229" s="78">
        <v>7712</v>
      </c>
      <c r="K229" s="78">
        <f t="shared" ref="K229:K236" si="249">AVERAGE(I229:J229)</f>
      </c>
      <c r="L229" s="96"/>
      <c r="M229" s="137" t="str">
        <f t="shared" ref="M229:M236" si="250">IF(INDEX(MO_SNA_IsHistoricalPeriod,,MATCH(F229,MO_Common_ColumnHeader,0)),"Actual","Estimate")</f>
      </c>
      <c r="N229" s="78">
        <f t="shared" ref="N229:N236" ca="1" si="251">IFERROR(INDEX(INDIRECT(E229),0,MATCH(F229,MO_Common_ColumnHeader,0)),"N/A")</f>
      </c>
      <c r="O229" s="96"/>
      <c r="P229" s="79">
        <f t="shared" ref="P229:P236" ca="1" si="252">IF(ISNUMBER(N229),N229-K229,"N/A")</f>
      </c>
      <c r="Q229" s="80">
        <f t="shared" ref="Q229:Q236" ca="1" si="253">IFERROR(IF(ISNUMBER(N229),(N229-K229)/ABS(K229),"N/A"),"N/A")</f>
      </c>
      <c r="R229" s="96"/>
      <c r="S229" s="81">
        <v>44488</v>
      </c>
      <c r="T229" s="82" t="s">
        <v>284</v>
      </c>
      <c r="U229" s="97"/>
    </row>
    <row r="230" spans="1:21" s="610" customFormat="1" x14ac:dyDescent="0.3">
      <c r="A230" s="73">
        <v>203</v>
      </c>
      <c r="B230" s="137" t="str">
        <f t="shared" si="248"/>
      </c>
      <c r="C230" s="96"/>
      <c r="D230" s="76" t="str">
        <f ca="1">INDEX(INDIRECT(E230),0,COLUMN(MO_Common_Column_A))</f>
      </c>
      <c r="E230" s="77" t="s">
        <v>285</v>
      </c>
      <c r="F230" s="137" t="s">
        <v>518</v>
      </c>
      <c r="G230" s="137"/>
      <c r="H230" s="96"/>
      <c r="I230" s="83">
        <v>0.161</v>
      </c>
      <c r="J230" s="83">
        <v>0.161</v>
      </c>
      <c r="K230" s="83">
        <f t="shared" si="249"/>
      </c>
      <c r="L230" s="96"/>
      <c r="M230" s="137" t="str">
        <f t="shared" si="250"/>
      </c>
      <c r="N230" s="83">
        <f t="shared" ca="1" si="251"/>
      </c>
      <c r="O230" s="96"/>
      <c r="P230" s="80">
        <f t="shared" ca="1" si="252"/>
      </c>
      <c r="Q230" s="80">
        <f t="shared" ca="1" si="253"/>
      </c>
      <c r="R230" s="96"/>
      <c r="S230" s="81">
        <v>44488</v>
      </c>
      <c r="T230" s="82" t="s">
        <v>284</v>
      </c>
      <c r="U230" s="97"/>
    </row>
    <row r="231" spans="1:21" s="610" customFormat="1" x14ac:dyDescent="0.3">
      <c r="A231" s="73">
        <v>202</v>
      </c>
      <c r="B231" s="137" t="str">
        <f t="shared" si="248"/>
      </c>
      <c r="C231" s="96"/>
      <c r="D231" s="76" t="str">
        <f ca="1">INDEX(INDIRECT(E231),0,COLUMN(MO_Common_Column_A))</f>
      </c>
      <c r="E231" s="77" t="s">
        <v>286</v>
      </c>
      <c r="F231" s="137" t="s">
        <v>518</v>
      </c>
      <c r="G231" s="137"/>
      <c r="H231" s="96"/>
      <c r="I231" s="78">
        <v>500</v>
      </c>
      <c r="J231" s="78">
        <v>500</v>
      </c>
      <c r="K231" s="78">
        <f t="shared" si="249"/>
      </c>
      <c r="L231" s="96"/>
      <c r="M231" s="137" t="str">
        <f t="shared" si="250"/>
      </c>
      <c r="N231" s="78">
        <f t="shared" ca="1" si="251"/>
      </c>
      <c r="O231" s="96"/>
      <c r="P231" s="79">
        <f t="shared" ca="1" si="252"/>
      </c>
      <c r="Q231" s="80">
        <f t="shared" ca="1" si="253"/>
      </c>
      <c r="R231" s="96"/>
      <c r="S231" s="81">
        <v>44488</v>
      </c>
      <c r="T231" s="82" t="s">
        <v>284</v>
      </c>
      <c r="U231" s="97"/>
    </row>
    <row r="232" spans="1:21" s="610" customFormat="1" x14ac:dyDescent="0.3">
      <c r="A232" s="73">
        <v>201</v>
      </c>
      <c r="B232" s="137" t="str">
        <f t="shared" si="248"/>
      </c>
      <c r="C232" s="96"/>
      <c r="D232" s="76" t="s">
        <v>291</v>
      </c>
      <c r="E232" s="77" t="s">
        <v>654</v>
      </c>
      <c r="F232" s="137" t="s">
        <v>518</v>
      </c>
      <c r="G232" s="137"/>
      <c r="H232" s="96"/>
      <c r="I232" s="83">
        <v>6.5000000000000002E-2</v>
      </c>
      <c r="J232" s="83">
        <v>6.5000000000000002E-2</v>
      </c>
      <c r="K232" s="83">
        <f t="shared" si="249"/>
      </c>
      <c r="L232" s="96"/>
      <c r="M232" s="137" t="str">
        <f t="shared" si="250"/>
      </c>
      <c r="N232" s="83">
        <f t="shared" ca="1" si="251"/>
      </c>
      <c r="O232" s="86"/>
      <c r="P232" s="80">
        <f t="shared" ca="1" si="252"/>
      </c>
      <c r="Q232" s="80">
        <f t="shared" ca="1" si="253"/>
      </c>
      <c r="R232" s="96"/>
      <c r="S232" s="81">
        <v>44488</v>
      </c>
      <c r="T232" s="82" t="s">
        <v>284</v>
      </c>
      <c r="U232" s="97"/>
    </row>
    <row r="233" spans="1:21" s="610" customFormat="1" x14ac:dyDescent="0.3">
      <c r="A233" s="73">
        <v>200</v>
      </c>
      <c r="B233" s="137" t="str">
        <f t="shared" si="248"/>
      </c>
      <c r="C233" s="96"/>
      <c r="D233" s="76" t="str">
        <f ca="1">INDEX(INDIRECT(E233),0,COLUMN(MO_Common_Column_A))</f>
      </c>
      <c r="E233" s="77" t="s">
        <v>287</v>
      </c>
      <c r="F233" s="137" t="s">
        <v>518</v>
      </c>
      <c r="G233" s="137"/>
      <c r="H233" s="96"/>
      <c r="I233" s="78">
        <v>365</v>
      </c>
      <c r="J233" s="78">
        <v>365</v>
      </c>
      <c r="K233" s="78">
        <f t="shared" si="249"/>
      </c>
      <c r="L233" s="96"/>
      <c r="M233" s="137" t="str">
        <f t="shared" si="250"/>
      </c>
      <c r="N233" s="78">
        <f t="shared" ca="1" si="251"/>
      </c>
      <c r="O233" s="96"/>
      <c r="P233" s="79">
        <f t="shared" ca="1" si="252"/>
      </c>
      <c r="Q233" s="80">
        <f t="shared" ca="1" si="253"/>
      </c>
      <c r="R233" s="96"/>
      <c r="S233" s="81">
        <v>44488</v>
      </c>
      <c r="T233" s="82" t="s">
        <v>284</v>
      </c>
      <c r="U233" s="97"/>
    </row>
    <row r="234" spans="1:21" s="610" customFormat="1" x14ac:dyDescent="0.3">
      <c r="A234" s="73">
        <v>199</v>
      </c>
      <c r="B234" s="137" t="str">
        <f t="shared" si="248"/>
      </c>
      <c r="C234" s="96"/>
      <c r="D234" s="76" t="str">
        <f ca="1">INDEX(INDIRECT(E234),0,COLUMN(MO_Common_Column_A))</f>
      </c>
      <c r="E234" s="77" t="s">
        <v>288</v>
      </c>
      <c r="F234" s="137" t="s">
        <v>518</v>
      </c>
      <c r="G234" s="137"/>
      <c r="H234" s="96"/>
      <c r="I234" s="84">
        <v>0.08</v>
      </c>
      <c r="J234" s="84">
        <v>0.08</v>
      </c>
      <c r="K234" s="84">
        <f t="shared" si="249"/>
      </c>
      <c r="L234" s="96"/>
      <c r="M234" s="137" t="str">
        <f t="shared" si="250"/>
      </c>
      <c r="N234" s="84">
        <f t="shared" ca="1" si="251"/>
      </c>
      <c r="O234" s="96"/>
      <c r="P234" s="85">
        <f t="shared" ca="1" si="252"/>
      </c>
      <c r="Q234" s="80">
        <f t="shared" ca="1" si="253"/>
      </c>
      <c r="R234" s="96"/>
      <c r="S234" s="81">
        <v>44488</v>
      </c>
      <c r="T234" s="82" t="s">
        <v>284</v>
      </c>
      <c r="U234" s="97"/>
    </row>
    <row r="235" spans="1:21" s="610" customFormat="1" x14ac:dyDescent="0.3">
      <c r="A235" s="73">
        <v>198</v>
      </c>
      <c r="B235" s="137" t="str">
        <f t="shared" si="248"/>
      </c>
      <c r="C235" s="96"/>
      <c r="D235" s="76" t="str">
        <f ca="1">INDEX(INDIRECT(E235),0,COLUMN(MO_Common_Column_A))</f>
      </c>
      <c r="E235" s="77" t="s">
        <v>2435</v>
      </c>
      <c r="F235" s="137" t="s">
        <v>518</v>
      </c>
      <c r="G235" s="137"/>
      <c r="H235" s="96"/>
      <c r="I235" s="198">
        <v>222060</v>
      </c>
      <c r="J235" s="198">
        <v>222060</v>
      </c>
      <c r="K235" s="198">
        <f t="shared" si="249"/>
      </c>
      <c r="L235" s="194"/>
      <c r="M235" s="137" t="str">
        <f t="shared" si="250"/>
      </c>
      <c r="N235" s="198">
        <f t="shared" ca="1" si="251"/>
      </c>
      <c r="O235" s="194"/>
      <c r="P235" s="199">
        <f t="shared" ca="1" si="252"/>
      </c>
      <c r="Q235" s="80">
        <f t="shared" ca="1" si="253"/>
      </c>
      <c r="R235" s="96"/>
      <c r="S235" s="81">
        <v>44488</v>
      </c>
      <c r="T235" s="82" t="s">
        <v>284</v>
      </c>
      <c r="U235" s="97"/>
    </row>
    <row r="236" spans="1:21" s="610" customFormat="1" x14ac:dyDescent="0.3">
      <c r="A236" s="73">
        <v>197</v>
      </c>
      <c r="B236" s="137" t="str">
        <f t="shared" si="248"/>
      </c>
      <c r="C236" s="96"/>
      <c r="D236" s="76" t="str">
        <f ca="1">INDEX(INDIRECT(E236),0,COLUMN(MO_Common_Column_A))</f>
      </c>
      <c r="E236" s="77" t="s">
        <v>2436</v>
      </c>
      <c r="F236" s="137" t="s">
        <v>518</v>
      </c>
      <c r="G236" s="137"/>
      <c r="H236" s="96"/>
      <c r="I236" s="78">
        <v>8500</v>
      </c>
      <c r="J236" s="78">
        <v>8500</v>
      </c>
      <c r="K236" s="78">
        <f t="shared" si="249"/>
      </c>
      <c r="L236" s="96"/>
      <c r="M236" s="137" t="str">
        <f t="shared" si="250"/>
      </c>
      <c r="N236" s="78">
        <f t="shared" ca="1" si="251"/>
      </c>
      <c r="O236" s="96"/>
      <c r="P236" s="79">
        <f t="shared" ca="1" si="252"/>
      </c>
      <c r="Q236" s="80">
        <f t="shared" ca="1" si="253"/>
      </c>
      <c r="R236" s="96"/>
      <c r="S236" s="81">
        <v>44488</v>
      </c>
      <c r="T236" s="82" t="s">
        <v>284</v>
      </c>
      <c r="U236" s="97"/>
    </row>
    <row r="237" spans="1:21" s="610" customFormat="1" x14ac:dyDescent="0.3">
      <c r="A237" s="73">
        <v>196</v>
      </c>
      <c r="B237" s="96"/>
      <c r="C237" s="96"/>
      <c r="D237" s="87"/>
      <c r="E237" s="96"/>
      <c r="F237" s="96"/>
      <c r="G237" s="96"/>
      <c r="H237" s="96"/>
      <c r="I237" s="96"/>
      <c r="J237" s="96"/>
      <c r="K237" s="96"/>
      <c r="L237" s="96"/>
      <c r="M237" s="96"/>
      <c r="N237" s="96"/>
      <c r="O237" s="96"/>
      <c r="P237" s="87"/>
      <c r="Q237" s="87"/>
      <c r="R237" s="96"/>
      <c r="S237" s="96"/>
      <c r="T237" s="179"/>
      <c r="U237" s="96"/>
    </row>
    <row r="238" spans="1:21" s="610" customFormat="1" x14ac:dyDescent="0.3">
      <c r="A238" s="73">
        <v>195</v>
      </c>
      <c r="B238" s="137" t="str">
        <f t="shared" ref="B238:B245" si="254">IF(INDEX(MO_SNA_IsHistoricalPeriod,,MATCH(F238,MO_Common_ColumnHeader,0)),"Historical","Forward")</f>
      </c>
      <c r="C238" s="96"/>
      <c r="D238" s="76" t="str">
        <f ca="1">INDEX(INDIRECT(E238),0,COLUMN(MO_Common_Column_A))</f>
      </c>
      <c r="E238" s="77" t="s">
        <v>282</v>
      </c>
      <c r="F238" s="137" t="s">
        <v>507</v>
      </c>
      <c r="G238" s="137"/>
      <c r="H238" s="96"/>
      <c r="I238" s="78">
        <v>7477</v>
      </c>
      <c r="J238" s="78">
        <v>7477</v>
      </c>
      <c r="K238" s="78">
        <f t="shared" ref="K238:K245" si="255">AVERAGE(I238:J238)</f>
      </c>
      <c r="L238" s="96"/>
      <c r="M238" s="137" t="str">
        <f t="shared" ref="M238:M245" si="256">IF(INDEX(MO_SNA_IsHistoricalPeriod,,MATCH(F238,MO_Common_ColumnHeader,0)),"Actual","Estimate")</f>
      </c>
      <c r="N238" s="78">
        <f t="shared" ref="N238:N245" ca="1" si="257">IFERROR(INDEX(INDIRECT(E238),0,MATCH(F238,MO_Common_ColumnHeader,0)),"N/A")</f>
      </c>
      <c r="O238" s="96"/>
      <c r="P238" s="79">
        <f t="shared" ref="P238:P245" ca="1" si="258">IF(ISNUMBER(N238),N238-K238,"N/A")</f>
      </c>
      <c r="Q238" s="80">
        <f t="shared" ref="Q238:Q245" ca="1" si="259">IFERROR(IF(ISNUMBER(N238),(N238-K238)/ABS(K238),"N/A"),"N/A")</f>
      </c>
      <c r="R238" s="96"/>
      <c r="S238" s="81">
        <v>44397</v>
      </c>
      <c r="T238" s="82" t="s">
        <v>284</v>
      </c>
      <c r="U238" s="97"/>
    </row>
    <row r="239" spans="1:21" s="610" customFormat="1" x14ac:dyDescent="0.3">
      <c r="A239" s="73">
        <v>194</v>
      </c>
      <c r="B239" s="137" t="str">
        <f t="shared" si="254"/>
      </c>
      <c r="C239" s="96"/>
      <c r="D239" s="76" t="str">
        <f ca="1">INDEX(INDIRECT(E239),0,COLUMN(MO_Common_Column_A))</f>
      </c>
      <c r="E239" s="77" t="s">
        <v>285</v>
      </c>
      <c r="F239" s="137" t="s">
        <v>507</v>
      </c>
      <c r="G239" s="137"/>
      <c r="H239" s="96"/>
      <c r="I239" s="83">
        <v>0.16200000000000001</v>
      </c>
      <c r="J239" s="83">
        <v>0.16200000000000001</v>
      </c>
      <c r="K239" s="83">
        <f t="shared" si="255"/>
      </c>
      <c r="L239" s="96"/>
      <c r="M239" s="137" t="str">
        <f t="shared" si="256"/>
      </c>
      <c r="N239" s="83">
        <f t="shared" ca="1" si="257"/>
      </c>
      <c r="O239" s="96"/>
      <c r="P239" s="80">
        <f t="shared" ca="1" si="258"/>
      </c>
      <c r="Q239" s="80">
        <f t="shared" ca="1" si="259"/>
      </c>
      <c r="R239" s="96"/>
      <c r="S239" s="81">
        <v>44397</v>
      </c>
      <c r="T239" s="82" t="s">
        <v>284</v>
      </c>
      <c r="U239" s="97"/>
    </row>
    <row r="240" spans="1:21" s="610" customFormat="1" x14ac:dyDescent="0.3">
      <c r="A240" s="73">
        <v>193</v>
      </c>
      <c r="B240" s="137" t="str">
        <f t="shared" si="254"/>
      </c>
      <c r="C240" s="96"/>
      <c r="D240" s="76" t="str">
        <f ca="1">INDEX(INDIRECT(E240),0,COLUMN(MO_Common_Column_A))</f>
      </c>
      <c r="E240" s="77" t="s">
        <v>286</v>
      </c>
      <c r="F240" s="137" t="s">
        <v>507</v>
      </c>
      <c r="G240" s="137"/>
      <c r="H240" s="96"/>
      <c r="I240" s="78">
        <v>1550</v>
      </c>
      <c r="J240" s="78">
        <v>1550</v>
      </c>
      <c r="K240" s="78">
        <f t="shared" si="255"/>
      </c>
      <c r="L240" s="96"/>
      <c r="M240" s="137" t="str">
        <f t="shared" si="256"/>
      </c>
      <c r="N240" s="78">
        <f t="shared" ca="1" si="257"/>
      </c>
      <c r="O240" s="96"/>
      <c r="P240" s="79">
        <f t="shared" ca="1" si="258"/>
      </c>
      <c r="Q240" s="80">
        <f t="shared" ca="1" si="259"/>
      </c>
      <c r="R240" s="96"/>
      <c r="S240" s="81">
        <v>44397</v>
      </c>
      <c r="T240" s="82" t="s">
        <v>284</v>
      </c>
      <c r="U240" s="97"/>
    </row>
    <row r="241" spans="1:21" s="610" customFormat="1" x14ac:dyDescent="0.3">
      <c r="A241" s="73">
        <v>192</v>
      </c>
      <c r="B241" s="137" t="str">
        <f t="shared" si="254"/>
      </c>
      <c r="C241" s="96"/>
      <c r="D241" s="76" t="s">
        <v>291</v>
      </c>
      <c r="E241" s="77" t="s">
        <v>654</v>
      </c>
      <c r="F241" s="137" t="s">
        <v>507</v>
      </c>
      <c r="G241" s="137"/>
      <c r="H241" s="96"/>
      <c r="I241" s="83">
        <v>0.20699999999999999</v>
      </c>
      <c r="J241" s="83">
        <v>0.20699999999999999</v>
      </c>
      <c r="K241" s="83">
        <f t="shared" si="255"/>
      </c>
      <c r="L241" s="96"/>
      <c r="M241" s="137" t="str">
        <f t="shared" si="256"/>
      </c>
      <c r="N241" s="83">
        <f t="shared" ca="1" si="257"/>
      </c>
      <c r="O241" s="86"/>
      <c r="P241" s="80">
        <f t="shared" ca="1" si="258"/>
      </c>
      <c r="Q241" s="80">
        <f t="shared" ca="1" si="259"/>
      </c>
      <c r="R241" s="96"/>
      <c r="S241" s="81">
        <v>44397</v>
      </c>
      <c r="T241" s="82" t="s">
        <v>284</v>
      </c>
      <c r="U241" s="97"/>
    </row>
    <row r="242" spans="1:21" s="610" customFormat="1" x14ac:dyDescent="0.3">
      <c r="A242" s="73">
        <v>191</v>
      </c>
      <c r="B242" s="137" t="str">
        <f t="shared" si="254"/>
      </c>
      <c r="C242" s="96"/>
      <c r="D242" s="76" t="str">
        <f ca="1">INDEX(INDIRECT(E242),0,COLUMN(MO_Common_Column_A))</f>
      </c>
      <c r="E242" s="77" t="s">
        <v>287</v>
      </c>
      <c r="F242" s="137" t="s">
        <v>507</v>
      </c>
      <c r="G242" s="137"/>
      <c r="H242" s="96"/>
      <c r="I242" s="78">
        <v>1158</v>
      </c>
      <c r="J242" s="78">
        <v>1158</v>
      </c>
      <c r="K242" s="78">
        <f t="shared" si="255"/>
      </c>
      <c r="L242" s="96"/>
      <c r="M242" s="137" t="str">
        <f t="shared" si="256"/>
      </c>
      <c r="N242" s="78">
        <f t="shared" ca="1" si="257"/>
      </c>
      <c r="O242" s="96"/>
      <c r="P242" s="79">
        <f t="shared" ca="1" si="258"/>
      </c>
      <c r="Q242" s="80">
        <f t="shared" ca="1" si="259"/>
      </c>
      <c r="R242" s="96"/>
      <c r="S242" s="81">
        <v>44397</v>
      </c>
      <c r="T242" s="82" t="s">
        <v>284</v>
      </c>
      <c r="U242" s="97"/>
    </row>
    <row r="243" spans="1:21" s="610" customFormat="1" x14ac:dyDescent="0.3">
      <c r="A243" s="73">
        <v>190</v>
      </c>
      <c r="B243" s="137" t="str">
        <f t="shared" si="254"/>
      </c>
      <c r="C243" s="96"/>
      <c r="D243" s="76" t="str">
        <f ca="1">INDEX(INDIRECT(E243),0,COLUMN(MO_Common_Column_A))</f>
      </c>
      <c r="E243" s="77" t="s">
        <v>288</v>
      </c>
      <c r="F243" s="137" t="s">
        <v>507</v>
      </c>
      <c r="G243" s="137"/>
      <c r="H243" s="96"/>
      <c r="I243" s="84">
        <v>0.255</v>
      </c>
      <c r="J243" s="84">
        <v>0.255</v>
      </c>
      <c r="K243" s="84">
        <f t="shared" si="255"/>
      </c>
      <c r="L243" s="96"/>
      <c r="M243" s="137" t="str">
        <f t="shared" si="256"/>
      </c>
      <c r="N243" s="84">
        <f t="shared" ca="1" si="257"/>
      </c>
      <c r="O243" s="96"/>
      <c r="P243" s="85">
        <f t="shared" ca="1" si="258"/>
      </c>
      <c r="Q243" s="80">
        <f t="shared" ca="1" si="259"/>
      </c>
      <c r="R243" s="96"/>
      <c r="S243" s="81">
        <v>44397</v>
      </c>
      <c r="T243" s="82" t="s">
        <v>284</v>
      </c>
      <c r="U243" s="97"/>
    </row>
    <row r="244" spans="1:21" s="610" customFormat="1" x14ac:dyDescent="0.3">
      <c r="A244" s="73">
        <v>189</v>
      </c>
      <c r="B244" s="137" t="str">
        <f t="shared" si="254"/>
      </c>
      <c r="C244" s="96"/>
      <c r="D244" s="76" t="str">
        <f ca="1">INDEX(INDIRECT(E244),0,COLUMN(MO_Common_Column_A))</f>
      </c>
      <c r="E244" s="77" t="s">
        <v>2435</v>
      </c>
      <c r="F244" s="137" t="s">
        <v>507</v>
      </c>
      <c r="G244" s="137"/>
      <c r="H244" s="96"/>
      <c r="I244" s="198">
        <v>212680</v>
      </c>
      <c r="J244" s="198">
        <v>212680</v>
      </c>
      <c r="K244" s="198">
        <f t="shared" si="255"/>
      </c>
      <c r="L244" s="194"/>
      <c r="M244" s="137" t="str">
        <f t="shared" si="256"/>
      </c>
      <c r="N244" s="198">
        <f t="shared" ca="1" si="257"/>
      </c>
      <c r="O244" s="194"/>
      <c r="P244" s="199">
        <f t="shared" ca="1" si="258"/>
      </c>
      <c r="Q244" s="80">
        <f t="shared" ca="1" si="259"/>
      </c>
      <c r="R244" s="96"/>
      <c r="S244" s="81">
        <v>44397</v>
      </c>
      <c r="T244" s="82" t="s">
        <v>284</v>
      </c>
      <c r="U244" s="97"/>
    </row>
    <row r="245" spans="1:21" s="610" customFormat="1" x14ac:dyDescent="0.3">
      <c r="A245" s="73">
        <v>188</v>
      </c>
      <c r="B245" s="137" t="str">
        <f t="shared" si="254"/>
      </c>
      <c r="C245" s="96"/>
      <c r="D245" s="76" t="str">
        <f ca="1">INDEX(INDIRECT(E245),0,COLUMN(MO_Common_Column_A))</f>
      </c>
      <c r="E245" s="77" t="s">
        <v>2436</v>
      </c>
      <c r="F245" s="137" t="s">
        <v>507</v>
      </c>
      <c r="G245" s="137"/>
      <c r="H245" s="96"/>
      <c r="I245" s="78">
        <v>3500</v>
      </c>
      <c r="J245" s="78">
        <v>3500</v>
      </c>
      <c r="K245" s="78">
        <f t="shared" si="255"/>
      </c>
      <c r="L245" s="96"/>
      <c r="M245" s="137" t="str">
        <f t="shared" si="256"/>
      </c>
      <c r="N245" s="78">
        <f t="shared" ca="1" si="257"/>
      </c>
      <c r="O245" s="96"/>
      <c r="P245" s="79">
        <f t="shared" ca="1" si="258"/>
      </c>
      <c r="Q245" s="80">
        <f t="shared" ca="1" si="259"/>
      </c>
      <c r="R245" s="96"/>
      <c r="S245" s="81">
        <v>44397</v>
      </c>
      <c r="T245" s="82" t="s">
        <v>284</v>
      </c>
      <c r="U245" s="97"/>
    </row>
    <row r="246" spans="1:21" s="610" customFormat="1" x14ac:dyDescent="0.3">
      <c r="A246" s="73">
        <v>187</v>
      </c>
      <c r="B246" s="96"/>
      <c r="C246" s="96"/>
      <c r="D246" s="87"/>
      <c r="E246" s="96"/>
      <c r="F246" s="96"/>
      <c r="G246" s="96"/>
      <c r="H246" s="96"/>
      <c r="I246" s="96"/>
      <c r="J246" s="96"/>
      <c r="K246" s="96"/>
      <c r="L246" s="96"/>
      <c r="M246" s="96"/>
      <c r="N246" s="96"/>
      <c r="O246" s="96"/>
      <c r="P246" s="87"/>
      <c r="Q246" s="87"/>
      <c r="R246" s="96"/>
      <c r="S246" s="96"/>
      <c r="T246" s="179"/>
      <c r="U246" s="96"/>
    </row>
    <row r="247" spans="1:21" s="610" customFormat="1" x14ac:dyDescent="0.3">
      <c r="A247" s="73">
        <v>186</v>
      </c>
      <c r="B247" s="137" t="str">
        <f t="shared" ref="B247:B254" si="260">IF(INDEX(MO_SNA_IsHistoricalPeriod,,MATCH(F247,MO_Common_ColumnHeader,0)),"Historical","Forward")</f>
      </c>
      <c r="C247" s="96"/>
      <c r="D247" s="76" t="str">
        <f ca="1">INDEX(INDIRECT(E247),0,COLUMN(MO_Common_Column_A))</f>
      </c>
      <c r="E247" s="77" t="s">
        <v>282</v>
      </c>
      <c r="F247" s="137" t="s">
        <v>504</v>
      </c>
      <c r="G247" s="137"/>
      <c r="H247" s="96"/>
      <c r="I247" s="78">
        <v>7302</v>
      </c>
      <c r="J247" s="78">
        <v>7302</v>
      </c>
      <c r="K247" s="78">
        <f t="shared" ref="K247:K254" si="261">AVERAGE(I247:J247)</f>
      </c>
      <c r="L247" s="96"/>
      <c r="M247" s="137" t="str">
        <f t="shared" ref="M247:M254" si="262">IF(INDEX(MO_SNA_IsHistoricalPeriod,,MATCH(F247,MO_Common_ColumnHeader,0)),"Actual","Estimate")</f>
      </c>
      <c r="N247" s="78">
        <f t="shared" ref="N247:N254" ca="1" si="263">IFERROR(INDEX(INDIRECT(E247),0,MATCH(F247,MO_Common_ColumnHeader,0)),"N/A")</f>
      </c>
      <c r="O247" s="96"/>
      <c r="P247" s="79">
        <f t="shared" ref="P247:P254" ca="1" si="264">IF(ISNUMBER(N247),N247-K247,"N/A")</f>
      </c>
      <c r="Q247" s="80">
        <f t="shared" ref="Q247:Q254" ca="1" si="265">IFERROR(IF(ISNUMBER(N247),(N247-K247)/ABS(K247),"N/A"),"N/A")</f>
      </c>
      <c r="R247" s="96"/>
      <c r="S247" s="81">
        <v>44306</v>
      </c>
      <c r="T247" s="82" t="s">
        <v>284</v>
      </c>
      <c r="U247" s="97"/>
    </row>
    <row r="248" spans="1:21" s="610" customFormat="1" x14ac:dyDescent="0.3">
      <c r="A248" s="73">
        <v>185</v>
      </c>
      <c r="B248" s="137" t="str">
        <f t="shared" si="260"/>
      </c>
      <c r="C248" s="96"/>
      <c r="D248" s="76" t="str">
        <f ca="1">INDEX(INDIRECT(E248),0,COLUMN(MO_Common_Column_A))</f>
      </c>
      <c r="E248" s="77" t="s">
        <v>285</v>
      </c>
      <c r="F248" s="137" t="s">
        <v>504</v>
      </c>
      <c r="G248" s="137"/>
      <c r="H248" s="96"/>
      <c r="I248" s="83">
        <v>0.188</v>
      </c>
      <c r="J248" s="83">
        <v>0.188</v>
      </c>
      <c r="K248" s="83">
        <f t="shared" si="261"/>
      </c>
      <c r="L248" s="96"/>
      <c r="M248" s="137" t="str">
        <f t="shared" si="262"/>
      </c>
      <c r="N248" s="83">
        <f t="shared" ca="1" si="263"/>
      </c>
      <c r="O248" s="96"/>
      <c r="P248" s="80">
        <f t="shared" ca="1" si="264"/>
      </c>
      <c r="Q248" s="80">
        <f t="shared" ca="1" si="265"/>
      </c>
      <c r="R248" s="96"/>
      <c r="S248" s="81">
        <v>44306</v>
      </c>
      <c r="T248" s="82" t="s">
        <v>284</v>
      </c>
      <c r="U248" s="97"/>
    </row>
    <row r="249" spans="1:21" s="610" customFormat="1" x14ac:dyDescent="0.3">
      <c r="A249" s="73">
        <v>184</v>
      </c>
      <c r="B249" s="137" t="str">
        <f t="shared" si="260"/>
      </c>
      <c r="C249" s="96"/>
      <c r="D249" s="76" t="str">
        <f ca="1">INDEX(INDIRECT(E249),0,COLUMN(MO_Common_Column_A))</f>
      </c>
      <c r="E249" s="77" t="s">
        <v>286</v>
      </c>
      <c r="F249" s="137" t="s">
        <v>504</v>
      </c>
      <c r="G249" s="137"/>
      <c r="H249" s="96"/>
      <c r="I249" s="78">
        <v>1865</v>
      </c>
      <c r="J249" s="78">
        <v>1865</v>
      </c>
      <c r="K249" s="78">
        <f t="shared" si="261"/>
      </c>
      <c r="L249" s="96"/>
      <c r="M249" s="137" t="str">
        <f t="shared" si="262"/>
      </c>
      <c r="N249" s="78">
        <f t="shared" ca="1" si="263"/>
      </c>
      <c r="O249" s="96"/>
      <c r="P249" s="79">
        <f t="shared" ca="1" si="264"/>
      </c>
      <c r="Q249" s="80">
        <f t="shared" ca="1" si="265"/>
      </c>
      <c r="R249" s="96"/>
      <c r="S249" s="81">
        <v>44306</v>
      </c>
      <c r="T249" s="82" t="s">
        <v>284</v>
      </c>
      <c r="U249" s="97"/>
    </row>
    <row r="250" spans="1:21" s="610" customFormat="1" x14ac:dyDescent="0.3">
      <c r="A250" s="73">
        <v>183</v>
      </c>
      <c r="B250" s="137" t="str">
        <f t="shared" si="260"/>
      </c>
      <c r="C250" s="96"/>
      <c r="D250" s="76" t="s">
        <v>291</v>
      </c>
      <c r="E250" s="77" t="s">
        <v>654</v>
      </c>
      <c r="F250" s="137" t="s">
        <v>504</v>
      </c>
      <c r="G250" s="137"/>
      <c r="H250" s="96"/>
      <c r="I250" s="83">
        <v>0.255</v>
      </c>
      <c r="J250" s="83">
        <v>0.255</v>
      </c>
      <c r="K250" s="83">
        <f t="shared" si="261"/>
      </c>
      <c r="L250" s="96"/>
      <c r="M250" s="137" t="str">
        <f t="shared" si="262"/>
      </c>
      <c r="N250" s="83">
        <f t="shared" ca="1" si="263"/>
      </c>
      <c r="O250" s="86"/>
      <c r="P250" s="80">
        <f t="shared" ca="1" si="264"/>
      </c>
      <c r="Q250" s="80">
        <f t="shared" ca="1" si="265"/>
      </c>
      <c r="R250" s="96"/>
      <c r="S250" s="81">
        <v>44306</v>
      </c>
      <c r="T250" s="82" t="s">
        <v>284</v>
      </c>
      <c r="U250" s="97"/>
    </row>
    <row r="251" spans="1:21" s="610" customFormat="1" x14ac:dyDescent="0.3">
      <c r="A251" s="73">
        <v>182</v>
      </c>
      <c r="B251" s="137" t="str">
        <f t="shared" si="260"/>
      </c>
      <c r="C251" s="96"/>
      <c r="D251" s="76" t="str">
        <f ca="1">INDEX(INDIRECT(E251),0,COLUMN(MO_Common_Column_A))</f>
      </c>
      <c r="E251" s="77" t="s">
        <v>287</v>
      </c>
      <c r="F251" s="137" t="s">
        <v>504</v>
      </c>
      <c r="G251" s="137"/>
      <c r="H251" s="96"/>
      <c r="I251" s="78">
        <v>1441</v>
      </c>
      <c r="J251" s="78">
        <v>1441</v>
      </c>
      <c r="K251" s="78">
        <f t="shared" si="261"/>
      </c>
      <c r="L251" s="96"/>
      <c r="M251" s="137" t="str">
        <f t="shared" si="262"/>
      </c>
      <c r="N251" s="78">
        <f t="shared" ca="1" si="263"/>
      </c>
      <c r="O251" s="96"/>
      <c r="P251" s="79">
        <f t="shared" ca="1" si="264"/>
      </c>
      <c r="Q251" s="80">
        <f t="shared" ca="1" si="265"/>
      </c>
      <c r="R251" s="96"/>
      <c r="S251" s="81">
        <v>44306</v>
      </c>
      <c r="T251" s="82" t="s">
        <v>284</v>
      </c>
      <c r="U251" s="97"/>
    </row>
    <row r="252" spans="1:21" s="610" customFormat="1" x14ac:dyDescent="0.3">
      <c r="A252" s="73">
        <v>181</v>
      </c>
      <c r="B252" s="137" t="str">
        <f t="shared" si="260"/>
      </c>
      <c r="C252" s="96"/>
      <c r="D252" s="76" t="str">
        <f ca="1">INDEX(INDIRECT(E252),0,COLUMN(MO_Common_Column_A))</f>
      </c>
      <c r="E252" s="77" t="s">
        <v>288</v>
      </c>
      <c r="F252" s="137" t="s">
        <v>504</v>
      </c>
      <c r="G252" s="137"/>
      <c r="H252" s="96"/>
      <c r="I252" s="84">
        <v>0.316</v>
      </c>
      <c r="J252" s="84">
        <v>0.316</v>
      </c>
      <c r="K252" s="84">
        <f t="shared" si="261"/>
      </c>
      <c r="L252" s="96"/>
      <c r="M252" s="137" t="str">
        <f t="shared" si="262"/>
      </c>
      <c r="N252" s="84">
        <f t="shared" ca="1" si="263"/>
      </c>
      <c r="O252" s="96"/>
      <c r="P252" s="85">
        <f t="shared" ca="1" si="264"/>
      </c>
      <c r="Q252" s="80">
        <f t="shared" ca="1" si="265"/>
      </c>
      <c r="R252" s="96"/>
      <c r="S252" s="81">
        <v>44306</v>
      </c>
      <c r="T252" s="82" t="s">
        <v>284</v>
      </c>
      <c r="U252" s="97"/>
    </row>
    <row r="253" spans="1:21" s="610" customFormat="1" x14ac:dyDescent="0.3">
      <c r="A253" s="73">
        <v>180</v>
      </c>
      <c r="B253" s="137" t="str">
        <f t="shared" si="260"/>
      </c>
      <c r="C253" s="96"/>
      <c r="D253" s="76" t="str">
        <f ca="1">INDEX(INDIRECT(E253),0,COLUMN(MO_Common_Column_A))</f>
      </c>
      <c r="E253" s="77" t="s">
        <v>2435</v>
      </c>
      <c r="F253" s="137" t="s">
        <v>504</v>
      </c>
      <c r="G253" s="137"/>
      <c r="H253" s="96"/>
      <c r="I253" s="198">
        <v>208640</v>
      </c>
      <c r="J253" s="198">
        <v>208640</v>
      </c>
      <c r="K253" s="198">
        <f t="shared" si="261"/>
      </c>
      <c r="L253" s="194"/>
      <c r="M253" s="137" t="str">
        <f t="shared" si="262"/>
      </c>
      <c r="N253" s="198">
        <f t="shared" ca="1" si="263"/>
      </c>
      <c r="O253" s="194"/>
      <c r="P253" s="199">
        <f t="shared" ca="1" si="264"/>
      </c>
      <c r="Q253" s="80">
        <f t="shared" ca="1" si="265"/>
      </c>
      <c r="R253" s="96"/>
      <c r="S253" s="81">
        <v>44306</v>
      </c>
      <c r="T253" s="82" t="s">
        <v>284</v>
      </c>
      <c r="U253" s="97"/>
    </row>
    <row r="254" spans="1:21" s="610" customFormat="1" x14ac:dyDescent="0.3">
      <c r="A254" s="73">
        <v>179</v>
      </c>
      <c r="B254" s="137" t="str">
        <f t="shared" si="260"/>
      </c>
      <c r="C254" s="96"/>
      <c r="D254" s="76" t="str">
        <f ca="1">INDEX(INDIRECT(E254),0,COLUMN(MO_Common_Column_A))</f>
      </c>
      <c r="E254" s="77" t="s">
        <v>2436</v>
      </c>
      <c r="F254" s="137" t="s">
        <v>504</v>
      </c>
      <c r="G254" s="137"/>
      <c r="H254" s="96"/>
      <c r="I254" s="78">
        <v>1000</v>
      </c>
      <c r="J254" s="78">
        <v>1000</v>
      </c>
      <c r="K254" s="78">
        <f t="shared" si="261"/>
      </c>
      <c r="L254" s="96"/>
      <c r="M254" s="137" t="str">
        <f t="shared" si="262"/>
      </c>
      <c r="N254" s="78">
        <f t="shared" ca="1" si="263"/>
      </c>
      <c r="O254" s="96"/>
      <c r="P254" s="79">
        <f t="shared" ca="1" si="264"/>
      </c>
      <c r="Q254" s="80">
        <f t="shared" ca="1" si="265"/>
      </c>
      <c r="R254" s="96"/>
      <c r="S254" s="81">
        <v>44306</v>
      </c>
      <c r="T254" s="82" t="s">
        <v>284</v>
      </c>
      <c r="U254" s="97"/>
    </row>
    <row r="255" spans="1:21" s="610" customFormat="1" x14ac:dyDescent="0.3">
      <c r="A255" s="73">
        <v>178</v>
      </c>
      <c r="B255" s="96"/>
      <c r="C255" s="96"/>
      <c r="D255" s="87"/>
      <c r="E255" s="96"/>
      <c r="F255" s="96"/>
      <c r="G255" s="96"/>
      <c r="H255" s="96"/>
      <c r="I255" s="96"/>
      <c r="J255" s="96"/>
      <c r="K255" s="96"/>
      <c r="L255" s="96"/>
      <c r="M255" s="96"/>
      <c r="N255" s="96"/>
      <c r="O255" s="96"/>
      <c r="P255" s="87"/>
      <c r="Q255" s="87"/>
      <c r="R255" s="96"/>
      <c r="S255" s="96"/>
      <c r="T255" s="179"/>
      <c r="U255" s="96"/>
    </row>
    <row r="256" spans="1:21" s="610" customFormat="1" x14ac:dyDescent="0.3">
      <c r="A256" s="73">
        <v>177</v>
      </c>
      <c r="B256" s="137" t="str">
        <f t="shared" ref="B256:B263" si="266">IF(INDEX(MO_SNA_IsHistoricalPeriod,,MATCH(F256,MO_Common_ColumnHeader,0)),"Historical","Forward")</f>
      </c>
      <c r="C256" s="96"/>
      <c r="D256" s="76" t="str">
        <f ca="1">INDEX(INDIRECT(E256),0,COLUMN(MO_Common_Column_A))</f>
      </c>
      <c r="E256" s="77" t="s">
        <v>282</v>
      </c>
      <c r="F256" s="137" t="s">
        <v>502</v>
      </c>
      <c r="G256" s="137"/>
      <c r="H256" s="96"/>
      <c r="I256" s="78">
        <v>7129</v>
      </c>
      <c r="J256" s="78">
        <v>7129</v>
      </c>
      <c r="K256" s="78">
        <f t="shared" ref="K256:K263" si="267">AVERAGE(I256:J256)</f>
      </c>
      <c r="L256" s="96"/>
      <c r="M256" s="137" t="str">
        <f t="shared" ref="M256:M263" si="268">IF(INDEX(MO_SNA_IsHistoricalPeriod,,MATCH(F256,MO_Common_ColumnHeader,0)),"Actual","Estimate")</f>
      </c>
      <c r="N256" s="78">
        <f t="shared" ref="N256:N263" ca="1" si="269">IFERROR(INDEX(INDIRECT(E256),0,MATCH(F256,MO_Common_ColumnHeader,0)),"N/A")</f>
      </c>
      <c r="O256" s="96"/>
      <c r="P256" s="79">
        <f t="shared" ref="P256:P263" ca="1" si="270">IF(ISNUMBER(N256),N256-K256,"N/A")</f>
      </c>
      <c r="Q256" s="80">
        <f t="shared" ref="Q256:Q263" ca="1" si="271">IFERROR(IF(ISNUMBER(N256),(N256-K256)/ABS(K256),"N/A"),"N/A")</f>
      </c>
      <c r="R256" s="96"/>
      <c r="S256" s="81">
        <v>44215</v>
      </c>
      <c r="T256" s="82" t="s">
        <v>284</v>
      </c>
      <c r="U256" s="97"/>
    </row>
    <row r="257" spans="1:21" s="610" customFormat="1" x14ac:dyDescent="0.3">
      <c r="A257" s="73">
        <v>176</v>
      </c>
      <c r="B257" s="137" t="str">
        <f t="shared" si="266"/>
      </c>
      <c r="C257" s="96"/>
      <c r="D257" s="76" t="str">
        <f ca="1">INDEX(INDIRECT(E257),0,COLUMN(MO_Common_Column_A))</f>
      </c>
      <c r="E257" s="77" t="s">
        <v>285</v>
      </c>
      <c r="F257" s="137" t="s">
        <v>502</v>
      </c>
      <c r="G257" s="137"/>
      <c r="H257" s="96"/>
      <c r="I257" s="83">
        <v>0.23599999999999999</v>
      </c>
      <c r="J257" s="83">
        <v>0.23599999999999999</v>
      </c>
      <c r="K257" s="83">
        <f t="shared" si="267"/>
      </c>
      <c r="L257" s="96"/>
      <c r="M257" s="137" t="str">
        <f t="shared" si="268"/>
      </c>
      <c r="N257" s="83">
        <f t="shared" ca="1" si="269"/>
      </c>
      <c r="O257" s="96"/>
      <c r="P257" s="80">
        <f t="shared" ca="1" si="270"/>
      </c>
      <c r="Q257" s="80">
        <f t="shared" ca="1" si="271"/>
      </c>
      <c r="R257" s="96"/>
      <c r="S257" s="81">
        <v>44215</v>
      </c>
      <c r="T257" s="82" t="s">
        <v>284</v>
      </c>
      <c r="U257" s="97"/>
    </row>
    <row r="258" spans="1:21" s="610" customFormat="1" x14ac:dyDescent="0.3">
      <c r="A258" s="73">
        <v>175</v>
      </c>
      <c r="B258" s="137" t="str">
        <f t="shared" si="266"/>
      </c>
      <c r="C258" s="96"/>
      <c r="D258" s="76" t="str">
        <f ca="1">INDEX(INDIRECT(E258),0,COLUMN(MO_Common_Column_A))</f>
      </c>
      <c r="E258" s="77" t="s">
        <v>286</v>
      </c>
      <c r="F258" s="137" t="s">
        <v>502</v>
      </c>
      <c r="G258" s="137"/>
      <c r="H258" s="96"/>
      <c r="I258" s="78">
        <v>1780</v>
      </c>
      <c r="J258" s="78">
        <v>1780</v>
      </c>
      <c r="K258" s="78">
        <f t="shared" si="267"/>
      </c>
      <c r="L258" s="96"/>
      <c r="M258" s="137" t="str">
        <f t="shared" si="268"/>
      </c>
      <c r="N258" s="78">
        <f t="shared" ca="1" si="269"/>
      </c>
      <c r="O258" s="96"/>
      <c r="P258" s="79">
        <f t="shared" ca="1" si="270"/>
      </c>
      <c r="Q258" s="80">
        <f t="shared" ca="1" si="271"/>
      </c>
      <c r="R258" s="96"/>
      <c r="S258" s="81">
        <v>44215</v>
      </c>
      <c r="T258" s="82" t="s">
        <v>284</v>
      </c>
      <c r="U258" s="97"/>
    </row>
    <row r="259" spans="1:21" s="610" customFormat="1" x14ac:dyDescent="0.3">
      <c r="A259" s="73">
        <v>174</v>
      </c>
      <c r="B259" s="137" t="str">
        <f t="shared" si="266"/>
      </c>
      <c r="C259" s="96"/>
      <c r="D259" s="76" t="s">
        <v>291</v>
      </c>
      <c r="E259" s="77" t="s">
        <v>654</v>
      </c>
      <c r="F259" s="137" t="s">
        <v>502</v>
      </c>
      <c r="G259" s="137"/>
      <c r="H259" s="96"/>
      <c r="I259" s="83">
        <v>0.25</v>
      </c>
      <c r="J259" s="83">
        <v>0.25</v>
      </c>
      <c r="K259" s="83">
        <f t="shared" si="267"/>
      </c>
      <c r="L259" s="96"/>
      <c r="M259" s="137" t="str">
        <f t="shared" si="268"/>
      </c>
      <c r="N259" s="83">
        <f t="shared" ca="1" si="269"/>
      </c>
      <c r="O259" s="86"/>
      <c r="P259" s="80">
        <f t="shared" ca="1" si="270"/>
      </c>
      <c r="Q259" s="80">
        <f t="shared" ca="1" si="271"/>
      </c>
      <c r="R259" s="96"/>
      <c r="S259" s="81">
        <v>44215</v>
      </c>
      <c r="T259" s="82" t="s">
        <v>284</v>
      </c>
      <c r="U259" s="97"/>
    </row>
    <row r="260" spans="1:21" s="610" customFormat="1" x14ac:dyDescent="0.3">
      <c r="A260" s="73">
        <v>173</v>
      </c>
      <c r="B260" s="137" t="str">
        <f t="shared" si="266"/>
      </c>
      <c r="C260" s="96"/>
      <c r="D260" s="76" t="str">
        <f ca="1">INDEX(INDIRECT(E260),0,COLUMN(MO_Common_Column_A))</f>
      </c>
      <c r="E260" s="77" t="s">
        <v>287</v>
      </c>
      <c r="F260" s="137" t="s">
        <v>502</v>
      </c>
      <c r="G260" s="137"/>
      <c r="H260" s="96"/>
      <c r="I260" s="78">
        <v>1355</v>
      </c>
      <c r="J260" s="78">
        <v>1355</v>
      </c>
      <c r="K260" s="78">
        <f t="shared" si="267"/>
      </c>
      <c r="L260" s="96"/>
      <c r="M260" s="137" t="str">
        <f t="shared" si="268"/>
      </c>
      <c r="N260" s="78">
        <f t="shared" ca="1" si="269"/>
      </c>
      <c r="O260" s="96"/>
      <c r="P260" s="79">
        <f t="shared" ca="1" si="270"/>
      </c>
      <c r="Q260" s="80">
        <f t="shared" ca="1" si="271"/>
      </c>
      <c r="R260" s="96"/>
      <c r="S260" s="81">
        <v>44215</v>
      </c>
      <c r="T260" s="82" t="s">
        <v>284</v>
      </c>
      <c r="U260" s="97"/>
    </row>
    <row r="261" spans="1:21" s="610" customFormat="1" x14ac:dyDescent="0.3">
      <c r="A261" s="73">
        <v>172</v>
      </c>
      <c r="B261" s="137" t="str">
        <f t="shared" si="266"/>
      </c>
      <c r="C261" s="96"/>
      <c r="D261" s="76" t="str">
        <f ca="1">INDEX(INDIRECT(E261),0,COLUMN(MO_Common_Column_A))</f>
      </c>
      <c r="E261" s="77" t="s">
        <v>288</v>
      </c>
      <c r="F261" s="137" t="s">
        <v>502</v>
      </c>
      <c r="G261" s="137"/>
      <c r="H261" s="96"/>
      <c r="I261" s="84">
        <v>0.29699999999999999</v>
      </c>
      <c r="J261" s="84">
        <v>0.29699999999999999</v>
      </c>
      <c r="K261" s="84">
        <f t="shared" si="267"/>
      </c>
      <c r="L261" s="96"/>
      <c r="M261" s="137" t="str">
        <f t="shared" si="268"/>
      </c>
      <c r="N261" s="84">
        <f t="shared" ca="1" si="269"/>
      </c>
      <c r="O261" s="96"/>
      <c r="P261" s="85">
        <f t="shared" ca="1" si="270"/>
      </c>
      <c r="Q261" s="80">
        <f t="shared" ca="1" si="271"/>
      </c>
      <c r="R261" s="96"/>
      <c r="S261" s="81">
        <v>44215</v>
      </c>
      <c r="T261" s="82" t="s">
        <v>284</v>
      </c>
      <c r="U261" s="97"/>
    </row>
    <row r="262" spans="1:21" s="610" customFormat="1" x14ac:dyDescent="0.3">
      <c r="A262" s="73">
        <v>171</v>
      </c>
      <c r="B262" s="137" t="str">
        <f t="shared" si="266"/>
      </c>
      <c r="C262" s="96"/>
      <c r="D262" s="76" t="str">
        <f ca="1">INDEX(INDIRECT(E262),0,COLUMN(MO_Common_Column_A))</f>
      </c>
      <c r="E262" s="77" t="s">
        <v>2435</v>
      </c>
      <c r="F262" s="137" t="s">
        <v>502</v>
      </c>
      <c r="G262" s="137"/>
      <c r="H262" s="96"/>
      <c r="I262" s="198">
        <v>209660</v>
      </c>
      <c r="J262" s="198">
        <v>209660</v>
      </c>
      <c r="K262" s="198">
        <f t="shared" si="267"/>
      </c>
      <c r="L262" s="194"/>
      <c r="M262" s="137" t="str">
        <f t="shared" si="268"/>
      </c>
      <c r="N262" s="198">
        <f t="shared" ca="1" si="269"/>
      </c>
      <c r="O262" s="194"/>
      <c r="P262" s="199">
        <f t="shared" ca="1" si="270"/>
      </c>
      <c r="Q262" s="80">
        <f t="shared" ca="1" si="271"/>
      </c>
      <c r="R262" s="96"/>
      <c r="S262" s="81">
        <v>44215</v>
      </c>
      <c r="T262" s="82" t="s">
        <v>284</v>
      </c>
      <c r="U262" s="97"/>
    </row>
    <row r="263" spans="1:21" s="610" customFormat="1" x14ac:dyDescent="0.3">
      <c r="A263" s="73">
        <v>170</v>
      </c>
      <c r="B263" s="137" t="str">
        <f t="shared" si="266"/>
      </c>
      <c r="C263" s="96"/>
      <c r="D263" s="76" t="str">
        <f ca="1">INDEX(INDIRECT(E263),0,COLUMN(MO_Common_Column_A))</f>
      </c>
      <c r="E263" s="77" t="s">
        <v>2436</v>
      </c>
      <c r="F263" s="137" t="s">
        <v>502</v>
      </c>
      <c r="G263" s="137"/>
      <c r="H263" s="96"/>
      <c r="I263" s="78">
        <v>6000</v>
      </c>
      <c r="J263" s="78">
        <v>6000</v>
      </c>
      <c r="K263" s="78">
        <f t="shared" si="267"/>
      </c>
      <c r="L263" s="96"/>
      <c r="M263" s="137" t="str">
        <f t="shared" si="268"/>
      </c>
      <c r="N263" s="78">
        <f t="shared" ca="1" si="269"/>
      </c>
      <c r="O263" s="96"/>
      <c r="P263" s="79">
        <f t="shared" ca="1" si="270"/>
      </c>
      <c r="Q263" s="80">
        <f t="shared" ca="1" si="271"/>
      </c>
      <c r="R263" s="96"/>
      <c r="S263" s="81">
        <v>44215</v>
      </c>
      <c r="T263" s="82" t="s">
        <v>284</v>
      </c>
      <c r="U263" s="97"/>
    </row>
    <row r="264" spans="1:21" s="610" customFormat="1" x14ac:dyDescent="0.3">
      <c r="A264" s="73">
        <v>169</v>
      </c>
      <c r="B264" s="96"/>
      <c r="C264" s="96"/>
      <c r="D264" s="87"/>
      <c r="E264" s="96"/>
      <c r="F264" s="96"/>
      <c r="G264" s="96"/>
      <c r="H264" s="96"/>
      <c r="I264" s="96"/>
      <c r="J264" s="96"/>
      <c r="K264" s="96"/>
      <c r="L264" s="96"/>
      <c r="M264" s="96"/>
      <c r="N264" s="96"/>
      <c r="O264" s="96"/>
      <c r="P264" s="87"/>
      <c r="Q264" s="87"/>
      <c r="R264" s="96"/>
      <c r="S264" s="96"/>
      <c r="T264" s="179"/>
      <c r="U264" s="96"/>
    </row>
    <row r="265" spans="1:21" s="610" customFormat="1" x14ac:dyDescent="0.3">
      <c r="A265" s="73">
        <v>168</v>
      </c>
      <c r="B265" s="137" t="str">
        <f>IF(INDEX(MO_SNA_IsHistoricalPeriod,,MATCH(F265,MO_Common_ColumnHeader,0)),"Historical","Forward")</f>
      </c>
      <c r="C265" s="96"/>
      <c r="D265" s="76" t="s">
        <v>291</v>
      </c>
      <c r="E265" s="77" t="s">
        <v>654</v>
      </c>
      <c r="F265" s="137" t="s">
        <v>500</v>
      </c>
      <c r="G265" s="137"/>
      <c r="H265" s="96"/>
      <c r="I265" s="83">
        <v>0.19</v>
      </c>
      <c r="J265" s="83">
        <v>0.19</v>
      </c>
      <c r="K265" s="83">
        <f>AVERAGE(I265:J265)</f>
      </c>
      <c r="L265" s="96"/>
      <c r="M265" s="137" t="str">
        <f>IF(INDEX(MO_SNA_IsHistoricalPeriod,,MATCH(F265,MO_Common_ColumnHeader,0)),"Actual","Estimate")</f>
      </c>
      <c r="N265" s="83">
        <f ca="1">IFERROR(INDEX(INDIRECT(E265),0,MATCH(F265,MO_Common_ColumnHeader,0)),"N/A")</f>
      </c>
      <c r="O265" s="86"/>
      <c r="P265" s="80">
        <f ca="1">IF(ISNUMBER(N265),N265-K265,"N/A")</f>
      </c>
      <c r="Q265" s="80">
        <f ca="1">IFERROR(IF(ISNUMBER(N265),(N265-K265)/ABS(K265),"N/A"),"N/A")</f>
      </c>
      <c r="R265" s="96"/>
      <c r="S265" s="81">
        <v>44114</v>
      </c>
      <c r="T265" s="82" t="s">
        <v>284</v>
      </c>
      <c r="U265" s="97"/>
    </row>
    <row r="266" spans="1:21" s="610" customFormat="1" x14ac:dyDescent="0.3">
      <c r="A266" s="73">
        <v>167</v>
      </c>
      <c r="B266" s="96"/>
      <c r="C266" s="96"/>
      <c r="D266" s="87"/>
      <c r="E266" s="96"/>
      <c r="F266" s="96"/>
      <c r="G266" s="96"/>
      <c r="H266" s="96"/>
      <c r="I266" s="96"/>
      <c r="J266" s="96"/>
      <c r="K266" s="96"/>
      <c r="L266" s="96"/>
      <c r="M266" s="96"/>
      <c r="N266" s="96"/>
      <c r="O266" s="96"/>
      <c r="P266" s="87"/>
      <c r="Q266" s="87"/>
      <c r="R266" s="96"/>
      <c r="S266" s="96"/>
      <c r="T266" s="179"/>
      <c r="U266" s="96"/>
    </row>
    <row r="267" spans="1:21" s="610" customFormat="1" x14ac:dyDescent="0.3">
      <c r="A267" s="73">
        <v>166</v>
      </c>
      <c r="B267" s="137" t="str">
        <f>IF(INDEX(MO_SNA_IsHistoricalPeriod,,MATCH(F267,MO_Common_ColumnHeader,0)),"Historical","Forward")</f>
      </c>
      <c r="C267" s="96"/>
      <c r="D267" s="76" t="s">
        <v>291</v>
      </c>
      <c r="E267" s="77" t="s">
        <v>654</v>
      </c>
      <c r="F267" s="137" t="s">
        <v>371</v>
      </c>
      <c r="G267" s="137"/>
      <c r="H267" s="96"/>
      <c r="I267" s="83">
        <v>0.18</v>
      </c>
      <c r="J267" s="83">
        <v>0.18</v>
      </c>
      <c r="K267" s="83">
        <f>AVERAGE(I267:J267)</f>
      </c>
      <c r="L267" s="96"/>
      <c r="M267" s="137" t="str">
        <f>IF(INDEX(MO_SNA_IsHistoricalPeriod,,MATCH(F267,MO_Common_ColumnHeader,0)),"Actual","Estimate")</f>
      </c>
      <c r="N267" s="83">
        <f ca="1">IFERROR(INDEX(INDIRECT(E267),0,MATCH(F267,MO_Common_ColumnHeader,0)),"N/A")</f>
      </c>
      <c r="O267" s="86"/>
      <c r="P267" s="80">
        <f ca="1">IF(ISNUMBER(N267),N267-K267,"N/A")</f>
      </c>
      <c r="Q267" s="80">
        <f ca="1">IFERROR(IF(ISNUMBER(N267),(N267-K267)/ABS(K267),"N/A"),"N/A")</f>
      </c>
      <c r="R267" s="96"/>
      <c r="S267" s="81">
        <v>44114</v>
      </c>
      <c r="T267" s="82" t="s">
        <v>284</v>
      </c>
      <c r="U267" s="97"/>
    </row>
    <row r="268" spans="1:21" s="610" customFormat="1" x14ac:dyDescent="0.3">
      <c r="A268" s="73">
        <v>165</v>
      </c>
      <c r="B268" s="96"/>
      <c r="C268" s="96"/>
      <c r="D268" s="87"/>
      <c r="E268" s="96"/>
      <c r="F268" s="96"/>
      <c r="G268" s="96"/>
      <c r="H268" s="96"/>
      <c r="I268" s="96"/>
      <c r="J268" s="96"/>
      <c r="K268" s="96"/>
      <c r="L268" s="96"/>
      <c r="M268" s="96"/>
      <c r="N268" s="96"/>
      <c r="O268" s="96"/>
      <c r="P268" s="87"/>
      <c r="Q268" s="87"/>
      <c r="R268" s="96"/>
      <c r="S268" s="96"/>
      <c r="T268" s="179"/>
      <c r="U268" s="96"/>
    </row>
    <row r="269" spans="1:21" s="610" customFormat="1" x14ac:dyDescent="0.3">
      <c r="A269" s="73">
        <v>164</v>
      </c>
      <c r="B269" s="137" t="str">
        <f t="shared" ref="B269:B276" si="272">IF(INDEX(MO_SNA_IsHistoricalPeriod,,MATCH(F269,MO_Common_ColumnHeader,0)),"Historical","Forward")</f>
      </c>
      <c r="C269" s="96"/>
      <c r="D269" s="76" t="str">
        <f ca="1">INDEX(INDIRECT(E269),0,COLUMN(MO_Common_Column_A))</f>
      </c>
      <c r="E269" s="77" t="s">
        <v>282</v>
      </c>
      <c r="F269" s="137" t="s">
        <v>499</v>
      </c>
      <c r="G269" s="137"/>
      <c r="H269" s="96"/>
      <c r="I269" s="78">
        <v>6572</v>
      </c>
      <c r="J269" s="78">
        <v>6572</v>
      </c>
      <c r="K269" s="78">
        <f t="shared" ref="K269:K276" si="273">AVERAGE(I269:J269)</f>
      </c>
      <c r="L269" s="96"/>
      <c r="M269" s="137" t="str">
        <f t="shared" ref="M269:M276" si="274">IF(INDEX(MO_SNA_IsHistoricalPeriod,,MATCH(F269,MO_Common_ColumnHeader,0)),"Actual","Estimate")</f>
      </c>
      <c r="N269" s="78">
        <f t="shared" ref="N269:N276" ca="1" si="275">IFERROR(INDEX(INDIRECT(E269),0,MATCH(F269,MO_Common_ColumnHeader,0)),"N/A")</f>
      </c>
      <c r="O269" s="96"/>
      <c r="P269" s="79">
        <f t="shared" ref="P269:P276" ca="1" si="276">IF(ISNUMBER(N269),N269-K269,"N/A")</f>
      </c>
      <c r="Q269" s="80">
        <f t="shared" ref="Q269:Q276" ca="1" si="277">IFERROR(IF(ISNUMBER(N269),(N269-K269)/ABS(K269),"N/A"),"N/A")</f>
      </c>
      <c r="R269" s="96"/>
      <c r="S269" s="81">
        <v>44114</v>
      </c>
      <c r="T269" s="82" t="s">
        <v>284</v>
      </c>
      <c r="U269" s="97"/>
    </row>
    <row r="270" spans="1:21" s="610" customFormat="1" x14ac:dyDescent="0.3">
      <c r="A270" s="73">
        <v>163</v>
      </c>
      <c r="B270" s="137" t="str">
        <f t="shared" si="272"/>
      </c>
      <c r="C270" s="96"/>
      <c r="D270" s="76" t="str">
        <f ca="1">INDEX(INDIRECT(E270),0,COLUMN(MO_Common_Column_A))</f>
      </c>
      <c r="E270" s="77" t="s">
        <v>285</v>
      </c>
      <c r="F270" s="137" t="s">
        <v>499</v>
      </c>
      <c r="G270" s="137"/>
      <c r="H270" s="96"/>
      <c r="I270" s="83">
        <v>0.20200000000000001</v>
      </c>
      <c r="J270" s="83">
        <v>0.20200000000000001</v>
      </c>
      <c r="K270" s="83">
        <f t="shared" si="273"/>
      </c>
      <c r="L270" s="96"/>
      <c r="M270" s="137" t="str">
        <f t="shared" si="274"/>
      </c>
      <c r="N270" s="83">
        <f t="shared" ca="1" si="275"/>
      </c>
      <c r="O270" s="96"/>
      <c r="P270" s="80">
        <f t="shared" ca="1" si="276"/>
      </c>
      <c r="Q270" s="80">
        <f t="shared" ca="1" si="277"/>
      </c>
      <c r="R270" s="96"/>
      <c r="S270" s="81">
        <v>44114</v>
      </c>
      <c r="T270" s="82" t="s">
        <v>284</v>
      </c>
      <c r="U270" s="97"/>
    </row>
    <row r="271" spans="1:21" s="610" customFormat="1" x14ac:dyDescent="0.3">
      <c r="A271" s="73">
        <v>162</v>
      </c>
      <c r="B271" s="137" t="str">
        <f t="shared" si="272"/>
      </c>
      <c r="C271" s="96"/>
      <c r="D271" s="76" t="str">
        <f ca="1">INDEX(INDIRECT(E271),0,COLUMN(MO_Common_Column_A))</f>
      </c>
      <c r="E271" s="77" t="s">
        <v>286</v>
      </c>
      <c r="F271" s="137" t="s">
        <v>499</v>
      </c>
      <c r="G271" s="137"/>
      <c r="H271" s="96"/>
      <c r="I271" s="78">
        <v>885</v>
      </c>
      <c r="J271" s="78">
        <v>885</v>
      </c>
      <c r="K271" s="78">
        <f t="shared" si="273"/>
      </c>
      <c r="L271" s="96"/>
      <c r="M271" s="137" t="str">
        <f t="shared" si="274"/>
      </c>
      <c r="N271" s="78">
        <f t="shared" ca="1" si="275"/>
      </c>
      <c r="O271" s="96"/>
      <c r="P271" s="79">
        <f t="shared" ca="1" si="276"/>
      </c>
      <c r="Q271" s="80">
        <f t="shared" ca="1" si="277"/>
      </c>
      <c r="R271" s="96"/>
      <c r="S271" s="81">
        <v>44114</v>
      </c>
      <c r="T271" s="82" t="s">
        <v>284</v>
      </c>
      <c r="U271" s="97"/>
    </row>
    <row r="272" spans="1:21" s="610" customFormat="1" x14ac:dyDescent="0.3">
      <c r="A272" s="73">
        <v>161</v>
      </c>
      <c r="B272" s="137" t="str">
        <f t="shared" si="272"/>
      </c>
      <c r="C272" s="96"/>
      <c r="D272" s="76" t="s">
        <v>291</v>
      </c>
      <c r="E272" s="77" t="s">
        <v>654</v>
      </c>
      <c r="F272" s="137" t="s">
        <v>499</v>
      </c>
      <c r="G272" s="137"/>
      <c r="H272" s="96"/>
      <c r="I272" s="83">
        <v>0.13500000000000001</v>
      </c>
      <c r="J272" s="83">
        <v>0.13500000000000001</v>
      </c>
      <c r="K272" s="83">
        <f t="shared" si="273"/>
      </c>
      <c r="L272" s="96"/>
      <c r="M272" s="137" t="str">
        <f t="shared" si="274"/>
      </c>
      <c r="N272" s="83">
        <f t="shared" ca="1" si="275"/>
      </c>
      <c r="O272" s="86"/>
      <c r="P272" s="80">
        <f t="shared" ca="1" si="276"/>
      </c>
      <c r="Q272" s="80">
        <f t="shared" ca="1" si="277"/>
      </c>
      <c r="R272" s="96"/>
      <c r="S272" s="81">
        <v>44114</v>
      </c>
      <c r="T272" s="82" t="s">
        <v>284</v>
      </c>
      <c r="U272" s="97"/>
    </row>
    <row r="273" spans="1:21" s="610" customFormat="1" x14ac:dyDescent="0.3">
      <c r="A273" s="73">
        <v>160</v>
      </c>
      <c r="B273" s="137" t="str">
        <f t="shared" si="272"/>
      </c>
      <c r="C273" s="96"/>
      <c r="D273" s="76" t="str">
        <f ca="1">INDEX(INDIRECT(E273),0,COLUMN(MO_Common_Column_A))</f>
      </c>
      <c r="E273" s="77" t="s">
        <v>287</v>
      </c>
      <c r="F273" s="137" t="s">
        <v>499</v>
      </c>
      <c r="G273" s="137"/>
      <c r="H273" s="96"/>
      <c r="I273" s="78">
        <v>615</v>
      </c>
      <c r="J273" s="78">
        <v>615</v>
      </c>
      <c r="K273" s="78">
        <f t="shared" si="273"/>
      </c>
      <c r="L273" s="96"/>
      <c r="M273" s="137" t="str">
        <f t="shared" si="274"/>
      </c>
      <c r="N273" s="78">
        <f t="shared" ca="1" si="275"/>
      </c>
      <c r="O273" s="96"/>
      <c r="P273" s="79">
        <f t="shared" ca="1" si="276"/>
      </c>
      <c r="Q273" s="80">
        <f t="shared" ca="1" si="277"/>
      </c>
      <c r="R273" s="96"/>
      <c r="S273" s="81">
        <v>44114</v>
      </c>
      <c r="T273" s="82" t="s">
        <v>284</v>
      </c>
      <c r="U273" s="97"/>
    </row>
    <row r="274" spans="1:21" s="610" customFormat="1" x14ac:dyDescent="0.3">
      <c r="A274" s="73">
        <v>159</v>
      </c>
      <c r="B274" s="137" t="str">
        <f t="shared" si="272"/>
      </c>
      <c r="C274" s="96"/>
      <c r="D274" s="76" t="str">
        <f ca="1">INDEX(INDIRECT(E274),0,COLUMN(MO_Common_Column_A))</f>
      </c>
      <c r="E274" s="77" t="s">
        <v>288</v>
      </c>
      <c r="F274" s="137" t="s">
        <v>499</v>
      </c>
      <c r="G274" s="137"/>
      <c r="H274" s="96"/>
      <c r="I274" s="84">
        <v>0.13500000000000001</v>
      </c>
      <c r="J274" s="84">
        <v>0.13500000000000001</v>
      </c>
      <c r="K274" s="84">
        <f t="shared" si="273"/>
      </c>
      <c r="L274" s="96"/>
      <c r="M274" s="137" t="str">
        <f t="shared" si="274"/>
      </c>
      <c r="N274" s="84">
        <f t="shared" ca="1" si="275"/>
      </c>
      <c r="O274" s="96"/>
      <c r="P274" s="85">
        <f t="shared" ca="1" si="276"/>
      </c>
      <c r="Q274" s="80">
        <f t="shared" ca="1" si="277"/>
      </c>
      <c r="R274" s="96"/>
      <c r="S274" s="81">
        <v>44114</v>
      </c>
      <c r="T274" s="82" t="s">
        <v>284</v>
      </c>
      <c r="U274" s="97"/>
    </row>
    <row r="275" spans="1:21" s="610" customFormat="1" x14ac:dyDescent="0.3">
      <c r="A275" s="73">
        <v>158</v>
      </c>
      <c r="B275" s="137" t="str">
        <f t="shared" si="272"/>
      </c>
      <c r="C275" s="96"/>
      <c r="D275" s="76" t="str">
        <f ca="1">INDEX(INDIRECT(E275),0,COLUMN(MO_Common_Column_A))</f>
      </c>
      <c r="E275" s="77" t="s">
        <v>2435</v>
      </c>
      <c r="F275" s="137" t="s">
        <v>499</v>
      </c>
      <c r="G275" s="137"/>
      <c r="H275" s="96"/>
      <c r="I275" s="198">
        <v>201150</v>
      </c>
      <c r="J275" s="198">
        <v>201150</v>
      </c>
      <c r="K275" s="198">
        <f t="shared" si="273"/>
      </c>
      <c r="L275" s="194"/>
      <c r="M275" s="137" t="str">
        <f t="shared" si="274"/>
      </c>
      <c r="N275" s="198">
        <f t="shared" ca="1" si="275"/>
      </c>
      <c r="O275" s="194"/>
      <c r="P275" s="199">
        <f t="shared" ca="1" si="276"/>
      </c>
      <c r="Q275" s="80">
        <f t="shared" ca="1" si="277"/>
      </c>
      <c r="R275" s="96"/>
      <c r="S275" s="81">
        <v>44114</v>
      </c>
      <c r="T275" s="82" t="s">
        <v>284</v>
      </c>
      <c r="U275" s="97"/>
    </row>
    <row r="276" spans="1:21" s="610" customFormat="1" x14ac:dyDescent="0.3">
      <c r="A276" s="73">
        <v>157</v>
      </c>
      <c r="B276" s="137" t="str">
        <f t="shared" si="272"/>
      </c>
      <c r="C276" s="96"/>
      <c r="D276" s="76" t="str">
        <f ca="1">INDEX(INDIRECT(E276),0,COLUMN(MO_Common_Column_A))</f>
      </c>
      <c r="E276" s="77" t="s">
        <v>2436</v>
      </c>
      <c r="F276" s="137" t="s">
        <v>499</v>
      </c>
      <c r="G276" s="137"/>
      <c r="H276" s="96"/>
      <c r="I276" s="78">
        <v>6000</v>
      </c>
      <c r="J276" s="78">
        <v>6000</v>
      </c>
      <c r="K276" s="78">
        <f t="shared" si="273"/>
      </c>
      <c r="L276" s="96"/>
      <c r="M276" s="137" t="str">
        <f t="shared" si="274"/>
      </c>
      <c r="N276" s="78">
        <f t="shared" ca="1" si="275"/>
      </c>
      <c r="O276" s="96"/>
      <c r="P276" s="79">
        <f t="shared" ca="1" si="276"/>
      </c>
      <c r="Q276" s="80">
        <f t="shared" ca="1" si="277"/>
      </c>
      <c r="R276" s="96"/>
      <c r="S276" s="81">
        <v>44114</v>
      </c>
      <c r="T276" s="82" t="s">
        <v>284</v>
      </c>
      <c r="U276" s="97"/>
    </row>
    <row r="277" spans="1:21" s="610" customFormat="1" x14ac:dyDescent="0.3">
      <c r="A277" s="73">
        <v>156</v>
      </c>
      <c r="B277" s="96"/>
      <c r="C277" s="96"/>
      <c r="D277" s="87"/>
      <c r="E277" s="96"/>
      <c r="F277" s="96"/>
      <c r="G277" s="96"/>
      <c r="H277" s="96"/>
      <c r="I277" s="96"/>
      <c r="J277" s="96"/>
      <c r="K277" s="96"/>
      <c r="L277" s="96"/>
      <c r="M277" s="96"/>
      <c r="N277" s="96"/>
      <c r="O277" s="96"/>
      <c r="P277" s="87"/>
      <c r="Q277" s="87"/>
      <c r="R277" s="96"/>
      <c r="S277" s="96"/>
      <c r="T277" s="179"/>
      <c r="U277" s="96"/>
    </row>
    <row r="278" spans="1:21" s="610" customFormat="1" x14ac:dyDescent="0.3">
      <c r="A278" s="73">
        <v>155</v>
      </c>
      <c r="B278" s="137" t="str">
        <f t="shared" ref="B278:B285" si="278">IF(INDEX(MO_SNA_IsHistoricalPeriod,,MATCH(F278,MO_Common_ColumnHeader,0)),"Historical","Forward")</f>
      </c>
      <c r="C278" s="96"/>
      <c r="D278" s="76" t="str">
        <f ca="1">INDEX(INDIRECT(E278),0,COLUMN(MO_Common_Column_A))</f>
      </c>
      <c r="E278" s="77" t="s">
        <v>282</v>
      </c>
      <c r="F278" s="137" t="s">
        <v>474</v>
      </c>
      <c r="G278" s="137"/>
      <c r="H278" s="96"/>
      <c r="I278" s="78">
        <v>6327</v>
      </c>
      <c r="J278" s="78">
        <v>6327</v>
      </c>
      <c r="K278" s="78">
        <f t="shared" ref="K278:K285" si="279">AVERAGE(I278:J278)</f>
      </c>
      <c r="L278" s="96"/>
      <c r="M278" s="137" t="str">
        <f t="shared" ref="M278:M285" si="280">IF(INDEX(MO_SNA_IsHistoricalPeriod,,MATCH(F278,MO_Common_ColumnHeader,0)),"Actual","Estimate")</f>
      </c>
      <c r="N278" s="78">
        <f t="shared" ref="N278:N285" ca="1" si="281">IFERROR(INDEX(INDIRECT(E278),0,MATCH(F278,MO_Common_ColumnHeader,0)),"N/A")</f>
      </c>
      <c r="O278" s="96"/>
      <c r="P278" s="79">
        <f t="shared" ref="P278:P285" ca="1" si="282">IF(ISNUMBER(N278),N278-K278,"N/A")</f>
      </c>
      <c r="Q278" s="80">
        <f t="shared" ref="Q278:Q285" ca="1" si="283">IFERROR(IF(ISNUMBER(N278),(N278-K278)/ABS(K278),"N/A"),"N/A")</f>
      </c>
      <c r="R278" s="96"/>
      <c r="S278" s="81">
        <v>44028</v>
      </c>
      <c r="T278" s="82" t="s">
        <v>284</v>
      </c>
      <c r="U278" s="97"/>
    </row>
    <row r="279" spans="1:21" s="610" customFormat="1" x14ac:dyDescent="0.3">
      <c r="A279" s="73">
        <v>154</v>
      </c>
      <c r="B279" s="137" t="str">
        <f t="shared" si="278"/>
      </c>
      <c r="C279" s="96"/>
      <c r="D279" s="76" t="str">
        <f ca="1">INDEX(INDIRECT(E279),0,COLUMN(MO_Common_Column_A))</f>
      </c>
      <c r="E279" s="77" t="s">
        <v>285</v>
      </c>
      <c r="F279" s="137" t="s">
        <v>474</v>
      </c>
      <c r="G279" s="137"/>
      <c r="H279" s="96"/>
      <c r="I279" s="83">
        <v>0.20599999999999999</v>
      </c>
      <c r="J279" s="83">
        <v>0.20599999999999999</v>
      </c>
      <c r="K279" s="83">
        <f t="shared" si="279"/>
      </c>
      <c r="L279" s="96"/>
      <c r="M279" s="137" t="str">
        <f t="shared" si="280"/>
      </c>
      <c r="N279" s="83">
        <f t="shared" ca="1" si="281"/>
      </c>
      <c r="O279" s="96"/>
      <c r="P279" s="80">
        <f t="shared" ca="1" si="282"/>
      </c>
      <c r="Q279" s="80">
        <f t="shared" ca="1" si="283"/>
      </c>
      <c r="R279" s="96"/>
      <c r="S279" s="81">
        <v>44028</v>
      </c>
      <c r="T279" s="82" t="s">
        <v>284</v>
      </c>
      <c r="U279" s="97"/>
    </row>
    <row r="280" spans="1:21" s="610" customFormat="1" x14ac:dyDescent="0.3">
      <c r="A280" s="73">
        <v>153</v>
      </c>
      <c r="B280" s="137" t="str">
        <f t="shared" si="278"/>
      </c>
      <c r="C280" s="96"/>
      <c r="D280" s="76" t="str">
        <f ca="1">INDEX(INDIRECT(E280),0,COLUMN(MO_Common_Column_A))</f>
      </c>
      <c r="E280" s="77" t="s">
        <v>286</v>
      </c>
      <c r="F280" s="137" t="s">
        <v>474</v>
      </c>
      <c r="G280" s="137"/>
      <c r="H280" s="96"/>
      <c r="I280" s="78">
        <v>1245</v>
      </c>
      <c r="J280" s="78">
        <v>1245</v>
      </c>
      <c r="K280" s="78">
        <f t="shared" si="279"/>
      </c>
      <c r="L280" s="96"/>
      <c r="M280" s="137" t="str">
        <f t="shared" si="280"/>
      </c>
      <c r="N280" s="78">
        <f t="shared" ca="1" si="281"/>
      </c>
      <c r="O280" s="96"/>
      <c r="P280" s="79">
        <f t="shared" ca="1" si="282"/>
      </c>
      <c r="Q280" s="80">
        <f t="shared" ca="1" si="283"/>
      </c>
      <c r="R280" s="96"/>
      <c r="S280" s="81">
        <v>44028</v>
      </c>
      <c r="T280" s="82" t="s">
        <v>284</v>
      </c>
      <c r="U280" s="97"/>
    </row>
    <row r="281" spans="1:21" s="610" customFormat="1" x14ac:dyDescent="0.3">
      <c r="A281" s="73">
        <v>152</v>
      </c>
      <c r="B281" s="137" t="str">
        <f t="shared" si="278"/>
      </c>
      <c r="C281" s="96"/>
      <c r="D281" s="76" t="s">
        <v>291</v>
      </c>
      <c r="E281" s="77" t="s">
        <v>654</v>
      </c>
      <c r="F281" s="137" t="s">
        <v>474</v>
      </c>
      <c r="G281" s="137"/>
      <c r="H281" s="96"/>
      <c r="I281" s="83">
        <v>0.19700000000000001</v>
      </c>
      <c r="J281" s="83">
        <v>0.19700000000000001</v>
      </c>
      <c r="K281" s="83">
        <f t="shared" si="279"/>
      </c>
      <c r="L281" s="96"/>
      <c r="M281" s="137" t="str">
        <f t="shared" si="280"/>
      </c>
      <c r="N281" s="83">
        <f t="shared" ca="1" si="281"/>
      </c>
      <c r="O281" s="86"/>
      <c r="P281" s="80">
        <f t="shared" ca="1" si="282"/>
      </c>
      <c r="Q281" s="80">
        <f t="shared" ca="1" si="283"/>
      </c>
      <c r="R281" s="96"/>
      <c r="S281" s="81">
        <v>44028</v>
      </c>
      <c r="T281" s="82" t="s">
        <v>284</v>
      </c>
      <c r="U281" s="97"/>
    </row>
    <row r="282" spans="1:21" s="610" customFormat="1" x14ac:dyDescent="0.3">
      <c r="A282" s="73">
        <v>151</v>
      </c>
      <c r="B282" s="137" t="str">
        <f t="shared" si="278"/>
      </c>
      <c r="C282" s="96"/>
      <c r="D282" s="76" t="str">
        <f ca="1">INDEX(INDIRECT(E282),0,COLUMN(MO_Common_Column_A))</f>
      </c>
      <c r="E282" s="77" t="s">
        <v>287</v>
      </c>
      <c r="F282" s="137" t="s">
        <v>474</v>
      </c>
      <c r="G282" s="137"/>
      <c r="H282" s="96"/>
      <c r="I282" s="78">
        <v>954</v>
      </c>
      <c r="J282" s="78">
        <v>954</v>
      </c>
      <c r="K282" s="78">
        <f t="shared" si="279"/>
      </c>
      <c r="L282" s="96"/>
      <c r="M282" s="137" t="str">
        <f t="shared" si="280"/>
      </c>
      <c r="N282" s="78">
        <f t="shared" ca="1" si="281"/>
      </c>
      <c r="O282" s="96"/>
      <c r="P282" s="79">
        <f t="shared" ca="1" si="282"/>
      </c>
      <c r="Q282" s="80">
        <f t="shared" ca="1" si="283"/>
      </c>
      <c r="R282" s="96"/>
      <c r="S282" s="81">
        <v>44028</v>
      </c>
      <c r="T282" s="82" t="s">
        <v>284</v>
      </c>
      <c r="U282" s="97"/>
    </row>
    <row r="283" spans="1:21" s="610" customFormat="1" x14ac:dyDescent="0.3">
      <c r="A283" s="73">
        <v>150</v>
      </c>
      <c r="B283" s="137" t="str">
        <f t="shared" si="278"/>
      </c>
      <c r="C283" s="96"/>
      <c r="D283" s="76" t="str">
        <f ca="1">INDEX(INDIRECT(E283),0,COLUMN(MO_Common_Column_A))</f>
      </c>
      <c r="E283" s="77" t="s">
        <v>288</v>
      </c>
      <c r="F283" s="137" t="s">
        <v>474</v>
      </c>
      <c r="G283" s="137"/>
      <c r="H283" s="96"/>
      <c r="I283" s="84">
        <v>0.20899999999999999</v>
      </c>
      <c r="J283" s="84">
        <v>0.20899999999999999</v>
      </c>
      <c r="K283" s="84">
        <f t="shared" si="279"/>
      </c>
      <c r="L283" s="96"/>
      <c r="M283" s="137" t="str">
        <f t="shared" si="280"/>
      </c>
      <c r="N283" s="84">
        <f t="shared" ca="1" si="281"/>
      </c>
      <c r="O283" s="96"/>
      <c r="P283" s="85">
        <f t="shared" ca="1" si="282"/>
      </c>
      <c r="Q283" s="80">
        <f t="shared" ca="1" si="283"/>
      </c>
      <c r="R283" s="96"/>
      <c r="S283" s="81">
        <v>44028</v>
      </c>
      <c r="T283" s="82" t="s">
        <v>284</v>
      </c>
      <c r="U283" s="97"/>
    </row>
    <row r="284" spans="1:21" s="610" customFormat="1" x14ac:dyDescent="0.3">
      <c r="A284" s="73">
        <v>149</v>
      </c>
      <c r="B284" s="137" t="str">
        <f t="shared" si="278"/>
      </c>
      <c r="C284" s="96"/>
      <c r="D284" s="76" t="str">
        <f ca="1">INDEX(INDIRECT(E284),0,COLUMN(MO_Common_Column_A))</f>
      </c>
      <c r="E284" s="77" t="s">
        <v>2435</v>
      </c>
      <c r="F284" s="137" t="s">
        <v>474</v>
      </c>
      <c r="G284" s="137"/>
      <c r="H284" s="96"/>
      <c r="I284" s="198">
        <v>195450</v>
      </c>
      <c r="J284" s="198">
        <v>195450</v>
      </c>
      <c r="K284" s="198">
        <f t="shared" si="279"/>
      </c>
      <c r="L284" s="194"/>
      <c r="M284" s="137" t="str">
        <f t="shared" si="280"/>
      </c>
      <c r="N284" s="198">
        <f t="shared" ca="1" si="281"/>
      </c>
      <c r="O284" s="194"/>
      <c r="P284" s="199">
        <f t="shared" ca="1" si="282"/>
      </c>
      <c r="Q284" s="80">
        <f t="shared" ca="1" si="283"/>
      </c>
      <c r="R284" s="96"/>
      <c r="S284" s="81">
        <v>44028</v>
      </c>
      <c r="T284" s="82" t="s">
        <v>284</v>
      </c>
      <c r="U284" s="97"/>
    </row>
    <row r="285" spans="1:21" s="610" customFormat="1" x14ac:dyDescent="0.3">
      <c r="A285" s="73">
        <v>148</v>
      </c>
      <c r="B285" s="137" t="str">
        <f t="shared" si="278"/>
      </c>
      <c r="C285" s="96"/>
      <c r="D285" s="76" t="str">
        <f ca="1">INDEX(INDIRECT(E285),0,COLUMN(MO_Common_Column_A))</f>
      </c>
      <c r="E285" s="77" t="s">
        <v>2436</v>
      </c>
      <c r="F285" s="137" t="s">
        <v>474</v>
      </c>
      <c r="G285" s="137"/>
      <c r="H285" s="96"/>
      <c r="I285" s="78">
        <v>2500</v>
      </c>
      <c r="J285" s="78">
        <v>2500</v>
      </c>
      <c r="K285" s="78">
        <f t="shared" si="279"/>
      </c>
      <c r="L285" s="96"/>
      <c r="M285" s="137" t="str">
        <f t="shared" si="280"/>
      </c>
      <c r="N285" s="78">
        <f t="shared" ca="1" si="281"/>
      </c>
      <c r="O285" s="96"/>
      <c r="P285" s="79">
        <f t="shared" ca="1" si="282"/>
      </c>
      <c r="Q285" s="80">
        <f t="shared" ca="1" si="283"/>
      </c>
      <c r="R285" s="96"/>
      <c r="S285" s="81">
        <v>44028</v>
      </c>
      <c r="T285" s="82" t="s">
        <v>284</v>
      </c>
      <c r="U285" s="97"/>
    </row>
    <row r="286" spans="1:21" s="610" customFormat="1" x14ac:dyDescent="0.3">
      <c r="A286" s="73">
        <v>147</v>
      </c>
      <c r="B286" s="96"/>
      <c r="C286" s="96"/>
      <c r="D286" s="87"/>
      <c r="E286" s="96"/>
      <c r="F286" s="96"/>
      <c r="G286" s="96"/>
      <c r="H286" s="96"/>
      <c r="I286" s="96"/>
      <c r="J286" s="96"/>
      <c r="K286" s="96"/>
      <c r="L286" s="96"/>
      <c r="M286" s="96"/>
      <c r="N286" s="96"/>
      <c r="O286" s="96"/>
      <c r="P286" s="87"/>
      <c r="Q286" s="87"/>
      <c r="R286" s="96"/>
      <c r="S286" s="96"/>
      <c r="T286" s="179"/>
      <c r="U286" s="96"/>
    </row>
    <row r="287" spans="1:21" s="610" customFormat="1" x14ac:dyDescent="0.3">
      <c r="A287" s="73">
        <v>146</v>
      </c>
      <c r="B287" s="137" t="str">
        <f t="shared" ref="B287:B294" si="284">IF(INDEX(MO_SNA_IsHistoricalPeriod,,MATCH(F287,MO_Common_ColumnHeader,0)),"Historical","Forward")</f>
      </c>
      <c r="C287" s="96"/>
      <c r="D287" s="76" t="str">
        <f ca="1">INDEX(INDIRECT(E287),0,COLUMN(MO_Common_Column_A))</f>
      </c>
      <c r="E287" s="77" t="s">
        <v>282</v>
      </c>
      <c r="F287" s="137" t="s">
        <v>451</v>
      </c>
      <c r="G287" s="137"/>
      <c r="H287" s="96"/>
      <c r="I287" s="78">
        <v>6048</v>
      </c>
      <c r="J287" s="78">
        <v>6048</v>
      </c>
      <c r="K287" s="78">
        <f t="shared" ref="K287:K294" si="285">AVERAGE(I287:J287)</f>
      </c>
      <c r="L287" s="96"/>
      <c r="M287" s="137" t="str">
        <f t="shared" ref="M287:M294" si="286">IF(INDEX(MO_SNA_IsHistoricalPeriod,,MATCH(F287,MO_Common_ColumnHeader,0)),"Actual","Estimate")</f>
      </c>
      <c r="N287" s="78">
        <f t="shared" ref="N287:N294" ca="1" si="287">IFERROR(INDEX(INDIRECT(E287),0,MATCH(F287,MO_Common_ColumnHeader,0)),"N/A")</f>
      </c>
      <c r="O287" s="96"/>
      <c r="P287" s="79">
        <f t="shared" ref="P287:P294" ca="1" si="288">IF(ISNUMBER(N287),N287-K287,"N/A")</f>
      </c>
      <c r="Q287" s="80">
        <f t="shared" ref="Q287:Q294" ca="1" si="289">IFERROR(IF(ISNUMBER(N287),(N287-K287)/ABS(K287),"N/A"),"N/A")</f>
      </c>
      <c r="R287" s="96"/>
      <c r="S287" s="81">
        <v>43942</v>
      </c>
      <c r="T287" s="82" t="s">
        <v>284</v>
      </c>
      <c r="U287" s="97"/>
    </row>
    <row r="288" spans="1:21" s="610" customFormat="1" x14ac:dyDescent="0.3">
      <c r="A288" s="73">
        <v>145</v>
      </c>
      <c r="B288" s="137" t="str">
        <f t="shared" si="284"/>
      </c>
      <c r="C288" s="96"/>
      <c r="D288" s="76" t="str">
        <f ca="1">INDEX(INDIRECT(E288),0,COLUMN(MO_Common_Column_A))</f>
      </c>
      <c r="E288" s="77" t="s">
        <v>285</v>
      </c>
      <c r="F288" s="137" t="s">
        <v>451</v>
      </c>
      <c r="G288" s="137"/>
      <c r="H288" s="96"/>
      <c r="I288" s="83">
        <v>0.22800000000000001</v>
      </c>
      <c r="J288" s="83">
        <v>0.22800000000000001</v>
      </c>
      <c r="K288" s="83">
        <f t="shared" si="285"/>
      </c>
      <c r="L288" s="96"/>
      <c r="M288" s="137" t="str">
        <f t="shared" si="286"/>
      </c>
      <c r="N288" s="83">
        <f t="shared" ca="1" si="287"/>
      </c>
      <c r="O288" s="96"/>
      <c r="P288" s="80">
        <f t="shared" ca="1" si="288"/>
      </c>
      <c r="Q288" s="80">
        <f t="shared" ca="1" si="289"/>
      </c>
      <c r="R288" s="96"/>
      <c r="S288" s="81">
        <v>43942</v>
      </c>
      <c r="T288" s="82" t="s">
        <v>284</v>
      </c>
      <c r="U288" s="97"/>
    </row>
    <row r="289" spans="1:21" s="610" customFormat="1" x14ac:dyDescent="0.3">
      <c r="A289" s="73">
        <v>144</v>
      </c>
      <c r="B289" s="137" t="str">
        <f t="shared" si="284"/>
      </c>
      <c r="C289" s="96"/>
      <c r="D289" s="76" t="str">
        <f ca="1">INDEX(INDIRECT(E289),0,COLUMN(MO_Common_Column_A))</f>
      </c>
      <c r="E289" s="77" t="s">
        <v>286</v>
      </c>
      <c r="F289" s="137" t="s">
        <v>451</v>
      </c>
      <c r="G289" s="137"/>
      <c r="H289" s="96"/>
      <c r="I289" s="78">
        <v>1080</v>
      </c>
      <c r="J289" s="78">
        <v>1080</v>
      </c>
      <c r="K289" s="78">
        <f t="shared" si="285"/>
      </c>
      <c r="L289" s="96"/>
      <c r="M289" s="137" t="str">
        <f t="shared" si="286"/>
      </c>
      <c r="N289" s="78">
        <f t="shared" ca="1" si="287"/>
      </c>
      <c r="O289" s="96"/>
      <c r="P289" s="79">
        <f t="shared" ca="1" si="288"/>
      </c>
      <c r="Q289" s="80">
        <f t="shared" ca="1" si="289"/>
      </c>
      <c r="R289" s="96"/>
      <c r="S289" s="81">
        <v>43942</v>
      </c>
      <c r="T289" s="82" t="s">
        <v>284</v>
      </c>
      <c r="U289" s="97"/>
    </row>
    <row r="290" spans="1:21" s="610" customFormat="1" x14ac:dyDescent="0.3">
      <c r="A290" s="73">
        <v>143</v>
      </c>
      <c r="B290" s="137" t="str">
        <f t="shared" si="284"/>
      </c>
      <c r="C290" s="96"/>
      <c r="D290" s="76" t="s">
        <v>291</v>
      </c>
      <c r="E290" s="77" t="s">
        <v>654</v>
      </c>
      <c r="F290" s="137" t="s">
        <v>451</v>
      </c>
      <c r="G290" s="137"/>
      <c r="H290" s="96"/>
      <c r="I290" s="83">
        <v>0.17899999999999999</v>
      </c>
      <c r="J290" s="83">
        <v>0.17899999999999999</v>
      </c>
      <c r="K290" s="83">
        <f t="shared" si="285"/>
      </c>
      <c r="L290" s="96"/>
      <c r="M290" s="137" t="str">
        <f t="shared" si="286"/>
      </c>
      <c r="N290" s="83">
        <f t="shared" ca="1" si="287"/>
      </c>
      <c r="O290" s="86"/>
      <c r="P290" s="80">
        <f t="shared" ca="1" si="288"/>
      </c>
      <c r="Q290" s="80">
        <f t="shared" ca="1" si="289"/>
      </c>
      <c r="R290" s="96"/>
      <c r="S290" s="81">
        <v>43851</v>
      </c>
      <c r="T290" s="82" t="s">
        <v>284</v>
      </c>
      <c r="U290" s="97"/>
    </row>
    <row r="291" spans="1:21" s="610" customFormat="1" x14ac:dyDescent="0.3">
      <c r="A291" s="73">
        <v>142</v>
      </c>
      <c r="B291" s="137" t="str">
        <f t="shared" si="284"/>
      </c>
      <c r="C291" s="96"/>
      <c r="D291" s="76" t="str">
        <f ca="1">INDEX(INDIRECT(E291),0,COLUMN(MO_Common_Column_A))</f>
      </c>
      <c r="E291" s="77" t="s">
        <v>287</v>
      </c>
      <c r="F291" s="137" t="s">
        <v>451</v>
      </c>
      <c r="G291" s="137"/>
      <c r="H291" s="96"/>
      <c r="I291" s="78">
        <v>820</v>
      </c>
      <c r="J291" s="78">
        <v>820</v>
      </c>
      <c r="K291" s="78">
        <f t="shared" si="285"/>
      </c>
      <c r="L291" s="96"/>
      <c r="M291" s="137" t="str">
        <f t="shared" si="286"/>
      </c>
      <c r="N291" s="78">
        <f t="shared" ca="1" si="287"/>
      </c>
      <c r="O291" s="96"/>
      <c r="P291" s="79">
        <f t="shared" ca="1" si="288"/>
      </c>
      <c r="Q291" s="80">
        <f t="shared" ca="1" si="289"/>
      </c>
      <c r="R291" s="96"/>
      <c r="S291" s="81">
        <v>43942</v>
      </c>
      <c r="T291" s="82" t="s">
        <v>284</v>
      </c>
      <c r="U291" s="97"/>
    </row>
    <row r="292" spans="1:21" s="610" customFormat="1" x14ac:dyDescent="0.3">
      <c r="A292" s="73">
        <v>141</v>
      </c>
      <c r="B292" s="137" t="str">
        <f t="shared" si="284"/>
      </c>
      <c r="C292" s="96"/>
      <c r="D292" s="76" t="str">
        <f ca="1">INDEX(INDIRECT(E292),0,COLUMN(MO_Common_Column_A))</f>
      </c>
      <c r="E292" s="77" t="s">
        <v>288</v>
      </c>
      <c r="F292" s="137" t="s">
        <v>451</v>
      </c>
      <c r="G292" s="137"/>
      <c r="H292" s="96"/>
      <c r="I292" s="84">
        <v>0.18099999999999999</v>
      </c>
      <c r="J292" s="84">
        <v>0.18099999999999999</v>
      </c>
      <c r="K292" s="84">
        <f t="shared" si="285"/>
      </c>
      <c r="L292" s="96"/>
      <c r="M292" s="137" t="str">
        <f t="shared" si="286"/>
      </c>
      <c r="N292" s="84">
        <f t="shared" ca="1" si="287"/>
      </c>
      <c r="O292" s="96"/>
      <c r="P292" s="85">
        <f t="shared" ca="1" si="288"/>
      </c>
      <c r="Q292" s="80">
        <f t="shared" ca="1" si="289"/>
      </c>
      <c r="R292" s="96"/>
      <c r="S292" s="81">
        <v>43942</v>
      </c>
      <c r="T292" s="82" t="s">
        <v>284</v>
      </c>
      <c r="U292" s="97"/>
    </row>
    <row r="293" spans="1:21" s="610" customFormat="1" x14ac:dyDescent="0.3">
      <c r="A293" s="73">
        <v>140</v>
      </c>
      <c r="B293" s="137" t="str">
        <f t="shared" si="284"/>
      </c>
      <c r="C293" s="96"/>
      <c r="D293" s="76" t="str">
        <f ca="1">INDEX(INDIRECT(E293),0,COLUMN(MO_Common_Column_A))</f>
      </c>
      <c r="E293" s="77" t="s">
        <v>2435</v>
      </c>
      <c r="F293" s="137" t="s">
        <v>451</v>
      </c>
      <c r="G293" s="137"/>
      <c r="H293" s="96"/>
      <c r="I293" s="198">
        <v>190360</v>
      </c>
      <c r="J293" s="198">
        <v>190360</v>
      </c>
      <c r="K293" s="198">
        <f t="shared" si="285"/>
      </c>
      <c r="L293" s="194"/>
      <c r="M293" s="137" t="str">
        <f t="shared" si="286"/>
      </c>
      <c r="N293" s="198">
        <f t="shared" ca="1" si="287"/>
      </c>
      <c r="O293" s="194"/>
      <c r="P293" s="199">
        <f t="shared" ca="1" si="288"/>
      </c>
      <c r="Q293" s="80">
        <f t="shared" ca="1" si="289"/>
      </c>
      <c r="R293" s="96"/>
      <c r="S293" s="81">
        <v>43942</v>
      </c>
      <c r="T293" s="82" t="s">
        <v>284</v>
      </c>
      <c r="U293" s="97"/>
    </row>
    <row r="294" spans="1:21" s="610" customFormat="1" x14ac:dyDescent="0.3">
      <c r="A294" s="73">
        <v>139</v>
      </c>
      <c r="B294" s="137" t="str">
        <f t="shared" si="284"/>
      </c>
      <c r="C294" s="96"/>
      <c r="D294" s="76" t="str">
        <f ca="1">INDEX(INDIRECT(E294),0,COLUMN(MO_Common_Column_A))</f>
      </c>
      <c r="E294" s="77" t="s">
        <v>2436</v>
      </c>
      <c r="F294" s="137" t="s">
        <v>451</v>
      </c>
      <c r="G294" s="137"/>
      <c r="H294" s="96"/>
      <c r="I294" s="78">
        <v>7500</v>
      </c>
      <c r="J294" s="78">
        <v>7500</v>
      </c>
      <c r="K294" s="78">
        <f t="shared" si="285"/>
      </c>
      <c r="L294" s="96"/>
      <c r="M294" s="137" t="str">
        <f t="shared" si="286"/>
      </c>
      <c r="N294" s="78">
        <f t="shared" ca="1" si="287"/>
      </c>
      <c r="O294" s="96"/>
      <c r="P294" s="79">
        <f t="shared" ca="1" si="288"/>
      </c>
      <c r="Q294" s="80">
        <f t="shared" ca="1" si="289"/>
      </c>
      <c r="R294" s="96"/>
      <c r="S294" s="81">
        <v>43942</v>
      </c>
      <c r="T294" s="82" t="s">
        <v>284</v>
      </c>
      <c r="U294" s="97"/>
    </row>
    <row r="295" spans="1:21" s="610" customFormat="1" x14ac:dyDescent="0.3">
      <c r="A295" s="73">
        <v>138</v>
      </c>
      <c r="B295" s="96"/>
      <c r="C295" s="96"/>
      <c r="D295" s="87"/>
      <c r="E295" s="96"/>
      <c r="F295" s="96"/>
      <c r="G295" s="96"/>
      <c r="H295" s="96"/>
      <c r="I295" s="96"/>
      <c r="J295" s="96"/>
      <c r="K295" s="96"/>
      <c r="L295" s="96"/>
      <c r="M295" s="96"/>
      <c r="N295" s="96"/>
      <c r="O295" s="96"/>
      <c r="P295" s="87"/>
      <c r="Q295" s="87"/>
      <c r="R295" s="96"/>
      <c r="S295" s="96"/>
      <c r="T295" s="179"/>
      <c r="U295" s="96"/>
    </row>
    <row r="296" spans="1:21" s="610" customFormat="1" x14ac:dyDescent="0.3">
      <c r="A296" s="73">
        <v>137</v>
      </c>
      <c r="B296" s="137" t="str">
        <f>IF(INDEX(MO_SNA_IsHistoricalPeriod,,MATCH(F296,MO_Common_ColumnHeader,0)),"Historical","Forward")</f>
      </c>
      <c r="C296" s="96"/>
      <c r="D296" s="76" t="s">
        <v>291</v>
      </c>
      <c r="E296" s="77"/>
      <c r="F296" s="137" t="s">
        <v>371</v>
      </c>
      <c r="G296" s="137"/>
      <c r="H296" s="96"/>
      <c r="I296" s="83">
        <v>0.16</v>
      </c>
      <c r="J296" s="83">
        <v>0.16</v>
      </c>
      <c r="K296" s="83">
        <f>AVERAGE(I296:J296)</f>
      </c>
      <c r="L296" s="96"/>
      <c r="M296" s="137" t="str">
        <f>IF(INDEX(MO_SNA_IsHistoricalPeriod,,MATCH(F296,MO_Common_ColumnHeader,0)),"Actual","Estimate")</f>
      </c>
      <c r="N296" s="83">
        <f>IFERROR(INDEX(MO_RIS_EBIT,0,MATCH(F296,MO_Common_ColumnHeader,0)),"N/A")/IFERROR(INDEX(MO_RIS_REV,0,MATCH(F296,MO_Common_ColumnHeader,0)),"N/A")</f>
      </c>
      <c r="O296" s="86"/>
      <c r="P296" s="80">
        <f>IF(ISNUMBER(N296),N296-K296,"N/A")</f>
      </c>
      <c r="Q296" s="80">
        <f>IFERROR(IF(ISNUMBER(N296),(N296-K296)/ABS(K296),"N/A"),"N/A")</f>
      </c>
      <c r="R296" s="96"/>
      <c r="S296" s="81">
        <v>43851</v>
      </c>
      <c r="T296" s="82" t="s">
        <v>284</v>
      </c>
      <c r="U296" s="97"/>
    </row>
    <row r="297" spans="1:21" s="610" customFormat="1" x14ac:dyDescent="0.3">
      <c r="A297" s="73">
        <v>136</v>
      </c>
      <c r="B297" s="96"/>
      <c r="C297" s="96"/>
      <c r="D297" s="87"/>
      <c r="E297" s="96"/>
      <c r="F297" s="96"/>
      <c r="G297" s="96"/>
      <c r="H297" s="96"/>
      <c r="I297" s="96"/>
      <c r="J297" s="96"/>
      <c r="K297" s="96"/>
      <c r="L297" s="96"/>
      <c r="M297" s="96"/>
      <c r="N297" s="96"/>
      <c r="O297" s="96"/>
      <c r="P297" s="87"/>
      <c r="Q297" s="87"/>
      <c r="R297" s="96"/>
      <c r="S297" s="96"/>
      <c r="T297" s="179"/>
      <c r="U297" s="96"/>
    </row>
    <row r="298" spans="1:21" s="610" customFormat="1" x14ac:dyDescent="0.3">
      <c r="A298" s="73">
        <v>135</v>
      </c>
      <c r="B298" s="137" t="str">
        <f t="shared" ref="B298:B304" si="290">IF(INDEX(MO_SNA_IsHistoricalPeriod,,MATCH(F298,MO_Common_ColumnHeader,0)),"Historical","Forward")</f>
      </c>
      <c r="C298" s="96"/>
      <c r="D298" s="76" t="str">
        <f t="shared" ref="D298:D304" ca="1" si="291">INDEX(INDIRECT(E298),0,COLUMN(MO_Common_Column_A))</f>
      </c>
      <c r="E298" s="77" t="s">
        <v>282</v>
      </c>
      <c r="F298" s="137" t="s">
        <v>407</v>
      </c>
      <c r="G298" s="137"/>
      <c r="H298" s="96"/>
      <c r="I298" s="78">
        <v>5731</v>
      </c>
      <c r="J298" s="78">
        <v>5731</v>
      </c>
      <c r="K298" s="78">
        <f t="shared" ref="K298:K304" si="292">AVERAGE(I298:J298)</f>
      </c>
      <c r="L298" s="96"/>
      <c r="M298" s="137" t="str">
        <f t="shared" ref="M298:M304" si="293">IF(INDEX(MO_SNA_IsHistoricalPeriod,,MATCH(F298,MO_Common_ColumnHeader,0)),"Actual","Estimate")</f>
      </c>
      <c r="N298" s="78">
        <f t="shared" ref="N298:N308" ca="1" si="294">IFERROR(INDEX(INDIRECT(E298),0,MATCH(F298,MO_Common_ColumnHeader,0)),"N/A")</f>
      </c>
      <c r="O298" s="96"/>
      <c r="P298" s="79">
        <f t="shared" ref="P298:P304" ca="1" si="295">IF(ISNUMBER(N298),N298-K298,"N/A")</f>
      </c>
      <c r="Q298" s="80">
        <f t="shared" ref="Q298:Q304" ca="1" si="296">IFERROR(IF(ISNUMBER(N298),(N298-K298)/ABS(K298),"N/A"),"N/A")</f>
      </c>
      <c r="R298" s="96"/>
      <c r="S298" s="81">
        <v>43851</v>
      </c>
      <c r="T298" s="82" t="s">
        <v>284</v>
      </c>
      <c r="U298" s="97"/>
    </row>
    <row r="299" spans="1:21" s="610" customFormat="1" x14ac:dyDescent="0.3">
      <c r="A299" s="73">
        <v>134</v>
      </c>
      <c r="B299" s="137" t="str">
        <f t="shared" si="290"/>
      </c>
      <c r="C299" s="96"/>
      <c r="D299" s="76" t="str">
        <f t="shared" ca="1" si="291"/>
      </c>
      <c r="E299" s="77" t="s">
        <v>285</v>
      </c>
      <c r="F299" s="137" t="s">
        <v>407</v>
      </c>
      <c r="G299" s="137"/>
      <c r="H299" s="96"/>
      <c r="I299" s="83">
        <v>0.26800000000000002</v>
      </c>
      <c r="J299" s="83">
        <v>0.26800000000000002</v>
      </c>
      <c r="K299" s="83">
        <f t="shared" si="292"/>
      </c>
      <c r="L299" s="96"/>
      <c r="M299" s="137" t="str">
        <f t="shared" si="293"/>
      </c>
      <c r="N299" s="83">
        <f t="shared" ca="1" si="294"/>
      </c>
      <c r="O299" s="96"/>
      <c r="P299" s="80">
        <f t="shared" ca="1" si="295"/>
      </c>
      <c r="Q299" s="80">
        <f t="shared" ca="1" si="296"/>
      </c>
      <c r="R299" s="96"/>
      <c r="S299" s="81">
        <v>43851</v>
      </c>
      <c r="T299" s="82" t="s">
        <v>284</v>
      </c>
      <c r="U299" s="97"/>
    </row>
    <row r="300" spans="1:21" s="610" customFormat="1" x14ac:dyDescent="0.3">
      <c r="A300" s="73">
        <v>133</v>
      </c>
      <c r="B300" s="137" t="str">
        <f t="shared" si="290"/>
      </c>
      <c r="C300" s="96"/>
      <c r="D300" s="76" t="str">
        <f t="shared" ca="1" si="291"/>
      </c>
      <c r="E300" s="77" t="s">
        <v>286</v>
      </c>
      <c r="F300" s="137" t="s">
        <v>407</v>
      </c>
      <c r="G300" s="137"/>
      <c r="H300" s="96"/>
      <c r="I300" s="78">
        <v>1033</v>
      </c>
      <c r="J300" s="78">
        <v>1033</v>
      </c>
      <c r="K300" s="78">
        <f t="shared" si="292"/>
      </c>
      <c r="L300" s="96"/>
      <c r="M300" s="137" t="str">
        <f t="shared" si="293"/>
      </c>
      <c r="N300" s="78">
        <f t="shared" ca="1" si="294"/>
      </c>
      <c r="O300" s="96"/>
      <c r="P300" s="79">
        <f t="shared" ca="1" si="295"/>
      </c>
      <c r="Q300" s="80">
        <f t="shared" ca="1" si="296"/>
      </c>
      <c r="R300" s="96"/>
      <c r="S300" s="81">
        <v>43851</v>
      </c>
      <c r="T300" s="82" t="s">
        <v>284</v>
      </c>
      <c r="U300" s="97"/>
    </row>
    <row r="301" spans="1:21" s="610" customFormat="1" x14ac:dyDescent="0.3">
      <c r="A301" s="73">
        <v>132</v>
      </c>
      <c r="B301" s="137" t="str">
        <f t="shared" si="290"/>
      </c>
      <c r="C301" s="96"/>
      <c r="D301" s="76" t="str">
        <f t="shared" ca="1" si="291"/>
      </c>
      <c r="E301" s="77" t="s">
        <v>287</v>
      </c>
      <c r="F301" s="137" t="s">
        <v>407</v>
      </c>
      <c r="G301" s="137"/>
      <c r="H301" s="96"/>
      <c r="I301" s="78">
        <v>750</v>
      </c>
      <c r="J301" s="78">
        <v>750</v>
      </c>
      <c r="K301" s="78">
        <f t="shared" si="292"/>
      </c>
      <c r="L301" s="96"/>
      <c r="M301" s="137" t="str">
        <f t="shared" si="293"/>
      </c>
      <c r="N301" s="78">
        <f t="shared" ca="1" si="294"/>
      </c>
      <c r="O301" s="96"/>
      <c r="P301" s="79">
        <f t="shared" ca="1" si="295"/>
      </c>
      <c r="Q301" s="80">
        <f t="shared" ca="1" si="296"/>
      </c>
      <c r="R301" s="96"/>
      <c r="S301" s="81">
        <v>43851</v>
      </c>
      <c r="T301" s="82" t="s">
        <v>284</v>
      </c>
      <c r="U301" s="97"/>
    </row>
    <row r="302" spans="1:21" s="610" customFormat="1" x14ac:dyDescent="0.3">
      <c r="A302" s="73">
        <v>131</v>
      </c>
      <c r="B302" s="137" t="str">
        <f t="shared" si="290"/>
      </c>
      <c r="C302" s="96"/>
      <c r="D302" s="76" t="str">
        <f t="shared" ca="1" si="291"/>
      </c>
      <c r="E302" s="77" t="s">
        <v>288</v>
      </c>
      <c r="F302" s="137" t="s">
        <v>407</v>
      </c>
      <c r="G302" s="137"/>
      <c r="H302" s="96"/>
      <c r="I302" s="84">
        <v>0.16600000000000001</v>
      </c>
      <c r="J302" s="84">
        <v>0.16600000000000001</v>
      </c>
      <c r="K302" s="84">
        <f t="shared" si="292"/>
      </c>
      <c r="L302" s="96"/>
      <c r="M302" s="137" t="str">
        <f t="shared" si="293"/>
      </c>
      <c r="N302" s="84">
        <f t="shared" ca="1" si="294"/>
      </c>
      <c r="O302" s="96"/>
      <c r="P302" s="85">
        <f t="shared" ca="1" si="295"/>
      </c>
      <c r="Q302" s="80">
        <f t="shared" ca="1" si="296"/>
      </c>
      <c r="R302" s="96"/>
      <c r="S302" s="81">
        <v>43851</v>
      </c>
      <c r="T302" s="82" t="s">
        <v>284</v>
      </c>
      <c r="U302" s="97"/>
    </row>
    <row r="303" spans="1:21" s="610" customFormat="1" x14ac:dyDescent="0.3">
      <c r="A303" s="73">
        <v>130</v>
      </c>
      <c r="B303" s="137" t="str">
        <f t="shared" si="290"/>
      </c>
      <c r="C303" s="96"/>
      <c r="D303" s="76" t="str">
        <f t="shared" ca="1" si="291"/>
      </c>
      <c r="E303" s="77" t="s">
        <v>2435</v>
      </c>
      <c r="F303" s="137" t="s">
        <v>407</v>
      </c>
      <c r="G303" s="137"/>
      <c r="H303" s="96"/>
      <c r="I303" s="198">
        <v>174090</v>
      </c>
      <c r="J303" s="198">
        <v>174090</v>
      </c>
      <c r="K303" s="198">
        <f t="shared" si="292"/>
      </c>
      <c r="L303" s="194"/>
      <c r="M303" s="137" t="str">
        <f t="shared" si="293"/>
      </c>
      <c r="N303" s="198">
        <f t="shared" ca="1" si="294"/>
      </c>
      <c r="O303" s="194"/>
      <c r="P303" s="199">
        <f t="shared" ca="1" si="295"/>
      </c>
      <c r="Q303" s="80">
        <f t="shared" ca="1" si="296"/>
      </c>
      <c r="R303" s="96"/>
      <c r="S303" s="81">
        <v>43851</v>
      </c>
      <c r="T303" s="82" t="s">
        <v>284</v>
      </c>
      <c r="U303" s="97"/>
    </row>
    <row r="304" spans="1:21" s="610" customFormat="1" x14ac:dyDescent="0.3">
      <c r="A304" s="73">
        <v>129</v>
      </c>
      <c r="B304" s="137" t="str">
        <f t="shared" si="290"/>
      </c>
      <c r="C304" s="96"/>
      <c r="D304" s="76" t="str">
        <f t="shared" ca="1" si="291"/>
      </c>
      <c r="E304" s="77" t="s">
        <v>2436</v>
      </c>
      <c r="F304" s="137" t="s">
        <v>407</v>
      </c>
      <c r="G304" s="137"/>
      <c r="H304" s="96"/>
      <c r="I304" s="78">
        <v>7000</v>
      </c>
      <c r="J304" s="78">
        <v>7000</v>
      </c>
      <c r="K304" s="78">
        <f t="shared" si="292"/>
      </c>
      <c r="L304" s="96"/>
      <c r="M304" s="137" t="str">
        <f t="shared" si="293"/>
      </c>
      <c r="N304" s="78">
        <f t="shared" ca="1" si="294"/>
      </c>
      <c r="O304" s="96"/>
      <c r="P304" s="79">
        <f t="shared" ca="1" si="295"/>
      </c>
      <c r="Q304" s="80">
        <f t="shared" ca="1" si="296"/>
      </c>
      <c r="R304" s="96"/>
      <c r="S304" s="81">
        <v>43851</v>
      </c>
      <c r="T304" s="82" t="s">
        <v>284</v>
      </c>
      <c r="U304" s="97"/>
    </row>
    <row r="305" spans="1:21" s="610" customFormat="1" x14ac:dyDescent="0.3">
      <c r="A305" s="73">
        <v>128</v>
      </c>
      <c r="B305" s="96"/>
      <c r="C305" s="96"/>
      <c r="D305" s="87"/>
      <c r="E305" s="96"/>
      <c r="F305" s="96"/>
      <c r="G305" s="96"/>
      <c r="H305" s="96"/>
      <c r="I305" s="96"/>
      <c r="J305" s="96"/>
      <c r="K305" s="96"/>
      <c r="L305" s="96"/>
      <c r="M305" s="96"/>
      <c r="N305" s="96"/>
      <c r="O305" s="96"/>
      <c r="P305" s="87"/>
      <c r="Q305" s="87"/>
      <c r="R305" s="96"/>
      <c r="S305" s="96"/>
      <c r="T305" s="179"/>
      <c r="U305" s="96"/>
    </row>
    <row r="306" spans="1:21" s="610" customFormat="1" x14ac:dyDescent="0.3">
      <c r="A306" s="73">
        <v>127</v>
      </c>
      <c r="B306" s="137" t="str">
        <f>IF(INDEX(MO_SNA_IsHistoricalPeriod,,MATCH(F306,MO_Common_ColumnHeader,0)),"Historical","Forward")</f>
      </c>
      <c r="C306" s="96"/>
      <c r="D306" s="76" t="s">
        <v>291</v>
      </c>
      <c r="E306" s="77" t="s">
        <v>654</v>
      </c>
      <c r="F306" s="137" t="s">
        <v>371</v>
      </c>
      <c r="G306" s="137"/>
      <c r="H306" s="96"/>
      <c r="I306" s="83">
        <v>0.16</v>
      </c>
      <c r="J306" s="83">
        <v>0.16</v>
      </c>
      <c r="K306" s="83">
        <f>AVERAGE(I306:J306)</f>
      </c>
      <c r="L306" s="96"/>
      <c r="M306" s="137" t="str">
        <f>IF(INDEX(MO_SNA_IsHistoricalPeriod,,MATCH(F306,MO_Common_ColumnHeader,0)),"Actual","Estimate")</f>
      </c>
      <c r="N306" s="83">
        <f t="shared" ca="1" si="294"/>
      </c>
      <c r="O306" s="86"/>
      <c r="P306" s="80">
        <f ca="1">IF(ISNUMBER(N306),N306-K306,"N/A")</f>
      </c>
      <c r="Q306" s="80">
        <f ca="1">IFERROR(IF(ISNUMBER(N306),(N306-K306)/ABS(K306),"N/A"),"N/A")</f>
      </c>
      <c r="R306" s="96"/>
      <c r="S306" s="81">
        <v>43754</v>
      </c>
      <c r="T306" s="82" t="s">
        <v>284</v>
      </c>
      <c r="U306" s="97"/>
    </row>
    <row r="307" spans="1:21" s="610" customFormat="1" x14ac:dyDescent="0.3">
      <c r="A307" s="73">
        <v>126</v>
      </c>
      <c r="B307" s="96"/>
      <c r="C307" s="96"/>
      <c r="D307" s="87"/>
      <c r="E307" s="96"/>
      <c r="F307" s="96"/>
      <c r="G307" s="96"/>
      <c r="H307" s="96"/>
      <c r="I307" s="96"/>
      <c r="J307" s="96"/>
      <c r="K307" s="96"/>
      <c r="L307" s="96"/>
      <c r="M307" s="96"/>
      <c r="N307" s="96"/>
      <c r="O307" s="96"/>
      <c r="P307" s="87"/>
      <c r="Q307" s="87"/>
      <c r="R307" s="96"/>
      <c r="S307" s="96"/>
      <c r="T307" s="179"/>
      <c r="U307" s="96"/>
    </row>
    <row r="308" spans="1:21" s="610" customFormat="1" x14ac:dyDescent="0.3">
      <c r="A308" s="73">
        <v>125</v>
      </c>
      <c r="B308" s="137" t="str">
        <f>IF(INDEX(MO_SNA_IsHistoricalPeriod,,MATCH(F308,MO_Common_ColumnHeader,0)),"Historical","Forward")</f>
      </c>
      <c r="C308" s="96"/>
      <c r="D308" s="76" t="s">
        <v>291</v>
      </c>
      <c r="E308" s="77" t="s">
        <v>654</v>
      </c>
      <c r="F308" s="137" t="s">
        <v>370</v>
      </c>
      <c r="G308" s="137"/>
      <c r="H308" s="96"/>
      <c r="I308" s="83">
        <v>0.13</v>
      </c>
      <c r="J308" s="83">
        <v>0.13</v>
      </c>
      <c r="K308" s="83">
        <f>AVERAGE(I308:J308)</f>
      </c>
      <c r="L308" s="96"/>
      <c r="M308" s="137" t="str">
        <f>IF(INDEX(MO_SNA_IsHistoricalPeriod,,MATCH(F308,MO_Common_ColumnHeader,0)),"Actual","Estimate")</f>
      </c>
      <c r="N308" s="83">
        <f t="shared" ca="1" si="294"/>
      </c>
      <c r="O308" s="86"/>
      <c r="P308" s="80">
        <f ca="1">IF(ISNUMBER(N308),N308-K308,"N/A")</f>
      </c>
      <c r="Q308" s="80">
        <f ca="1">IFERROR(IF(ISNUMBER(N308),(N308-K308)/ABS(K308),"N/A"),"N/A")</f>
      </c>
      <c r="R308" s="96"/>
      <c r="S308" s="81">
        <v>43754</v>
      </c>
      <c r="T308" s="82" t="s">
        <v>284</v>
      </c>
      <c r="U308" s="97"/>
    </row>
    <row r="309" spans="1:21" s="610" customFormat="1" x14ac:dyDescent="0.3">
      <c r="A309" s="73">
        <v>124</v>
      </c>
      <c r="B309" s="96"/>
      <c r="C309" s="96"/>
      <c r="D309" s="87"/>
      <c r="E309" s="96"/>
      <c r="F309" s="96"/>
      <c r="G309" s="96"/>
      <c r="H309" s="96"/>
      <c r="I309" s="96"/>
      <c r="J309" s="96"/>
      <c r="K309" s="96"/>
      <c r="L309" s="96"/>
      <c r="M309" s="96"/>
      <c r="N309" s="96"/>
      <c r="O309" s="96"/>
      <c r="P309" s="87"/>
      <c r="Q309" s="87"/>
      <c r="R309" s="96"/>
      <c r="S309" s="96"/>
      <c r="T309" s="179"/>
      <c r="U309" s="96"/>
    </row>
    <row r="310" spans="1:21" s="610" customFormat="1" x14ac:dyDescent="0.3">
      <c r="A310" s="73">
        <v>123</v>
      </c>
      <c r="B310" s="137" t="str">
        <f t="shared" ref="B310:B325" si="297">IF(INDEX(MO_SNA_IsHistoricalPeriod,,MATCH(F310,MO_Common_ColumnHeader,0)),"Historical","Forward")</f>
      </c>
      <c r="C310" s="96"/>
      <c r="D310" s="76" t="str">
        <f t="shared" ref="D310:D315" ca="1" si="298">INDEX(INDIRECT(E310),0,COLUMN(MO_Common_Column_A))</f>
      </c>
      <c r="E310" s="77" t="s">
        <v>282</v>
      </c>
      <c r="F310" s="137" t="s">
        <v>365</v>
      </c>
      <c r="G310" s="137"/>
      <c r="H310" s="96"/>
      <c r="I310" s="78">
        <v>5442</v>
      </c>
      <c r="J310" s="78">
        <v>5442</v>
      </c>
      <c r="K310" s="78">
        <f t="shared" ref="K310:K325" si="299">AVERAGE(I310:J310)</f>
      </c>
      <c r="L310" s="96"/>
      <c r="M310" s="137" t="str">
        <f t="shared" ref="M310:M325" si="300">IF(INDEX(MO_SNA_IsHistoricalPeriod,,MATCH(F310,MO_Common_ColumnHeader,0)),"Actual","Estimate")</f>
      </c>
      <c r="N310" s="78">
        <f t="shared" ref="N310:N320" ca="1" si="301">IFERROR(INDEX(INDIRECT(E310),0,MATCH(F310,MO_Common_ColumnHeader,0)),"N/A")</f>
      </c>
      <c r="O310" s="96"/>
      <c r="P310" s="79">
        <f t="shared" ref="P310:P325" ca="1" si="302">IF(ISNUMBER(N310),N310-K310,"N/A")</f>
      </c>
      <c r="Q310" s="80">
        <f t="shared" ref="Q310:Q325" ca="1" si="303">IFERROR(IF(ISNUMBER(N310),(N310-K310)/ABS(K310),"N/A"),"N/A")</f>
      </c>
      <c r="R310" s="96"/>
      <c r="S310" s="81">
        <v>43754</v>
      </c>
      <c r="T310" s="82" t="s">
        <v>284</v>
      </c>
      <c r="U310" s="97"/>
    </row>
    <row r="311" spans="1:21" s="610" customFormat="1" x14ac:dyDescent="0.3">
      <c r="A311" s="73">
        <v>122</v>
      </c>
      <c r="B311" s="137" t="str">
        <f t="shared" si="297"/>
      </c>
      <c r="C311" s="96"/>
      <c r="D311" s="76" t="str">
        <f t="shared" ca="1" si="298"/>
      </c>
      <c r="E311" s="77" t="s">
        <v>285</v>
      </c>
      <c r="F311" s="137" t="s">
        <v>365</v>
      </c>
      <c r="G311" s="137"/>
      <c r="H311" s="96"/>
      <c r="I311" s="83">
        <v>0.3</v>
      </c>
      <c r="J311" s="83">
        <v>0.3</v>
      </c>
      <c r="K311" s="83">
        <f t="shared" si="299"/>
      </c>
      <c r="L311" s="96"/>
      <c r="M311" s="137" t="str">
        <f t="shared" si="300"/>
      </c>
      <c r="N311" s="83">
        <f t="shared" ca="1" si="301"/>
      </c>
      <c r="O311" s="96"/>
      <c r="P311" s="80">
        <f t="shared" ca="1" si="302"/>
      </c>
      <c r="Q311" s="80">
        <f t="shared" ca="1" si="303"/>
      </c>
      <c r="R311" s="96"/>
      <c r="S311" s="81">
        <v>43754</v>
      </c>
      <c r="T311" s="82" t="s">
        <v>284</v>
      </c>
      <c r="U311" s="97"/>
    </row>
    <row r="312" spans="1:21" s="610" customFormat="1" x14ac:dyDescent="0.3">
      <c r="A312" s="73">
        <v>121</v>
      </c>
      <c r="B312" s="137" t="str">
        <f t="shared" si="297"/>
      </c>
      <c r="C312" s="96"/>
      <c r="D312" s="76" t="str">
        <f t="shared" ca="1" si="298"/>
      </c>
      <c r="E312" s="77" t="s">
        <v>286</v>
      </c>
      <c r="F312" s="137" t="s">
        <v>365</v>
      </c>
      <c r="G312" s="137"/>
      <c r="H312" s="96"/>
      <c r="I312" s="78">
        <v>475</v>
      </c>
      <c r="J312" s="78">
        <v>475</v>
      </c>
      <c r="K312" s="78">
        <f t="shared" si="299"/>
      </c>
      <c r="L312" s="96"/>
      <c r="M312" s="137" t="str">
        <f t="shared" si="300"/>
      </c>
      <c r="N312" s="78">
        <f t="shared" ca="1" si="301"/>
      </c>
      <c r="O312" s="96"/>
      <c r="P312" s="79">
        <f t="shared" ca="1" si="302"/>
      </c>
      <c r="Q312" s="80">
        <f t="shared" ca="1" si="303"/>
      </c>
      <c r="R312" s="96"/>
      <c r="S312" s="81">
        <v>43754</v>
      </c>
      <c r="T312" s="82" t="s">
        <v>284</v>
      </c>
      <c r="U312" s="97"/>
    </row>
    <row r="313" spans="1:21" s="610" customFormat="1" x14ac:dyDescent="0.3">
      <c r="A313" s="73">
        <v>120</v>
      </c>
      <c r="B313" s="137" t="str">
        <f t="shared" si="297"/>
      </c>
      <c r="C313" s="96"/>
      <c r="D313" s="76" t="str">
        <f t="shared" ca="1" si="298"/>
      </c>
      <c r="E313" s="77" t="s">
        <v>287</v>
      </c>
      <c r="F313" s="137" t="s">
        <v>365</v>
      </c>
      <c r="G313" s="137"/>
      <c r="H313" s="96"/>
      <c r="I313" s="78">
        <v>232</v>
      </c>
      <c r="J313" s="78">
        <v>232</v>
      </c>
      <c r="K313" s="78">
        <f t="shared" si="299"/>
      </c>
      <c r="L313" s="96"/>
      <c r="M313" s="137" t="str">
        <f t="shared" si="300"/>
      </c>
      <c r="N313" s="78">
        <f t="shared" ca="1" si="301"/>
      </c>
      <c r="O313" s="96"/>
      <c r="P313" s="79">
        <f t="shared" ca="1" si="302"/>
      </c>
      <c r="Q313" s="80">
        <f t="shared" ca="1" si="303"/>
      </c>
      <c r="R313" s="96"/>
      <c r="S313" s="81">
        <v>43754</v>
      </c>
      <c r="T313" s="82" t="s">
        <v>284</v>
      </c>
      <c r="U313" s="97"/>
    </row>
    <row r="314" spans="1:21" s="610" customFormat="1" x14ac:dyDescent="0.3">
      <c r="A314" s="73">
        <v>119</v>
      </c>
      <c r="B314" s="137" t="str">
        <f t="shared" si="297"/>
      </c>
      <c r="C314" s="96"/>
      <c r="D314" s="76" t="str">
        <f t="shared" ca="1" si="298"/>
      </c>
      <c r="E314" s="77" t="s">
        <v>288</v>
      </c>
      <c r="F314" s="137" t="s">
        <v>365</v>
      </c>
      <c r="G314" s="137"/>
      <c r="H314" s="96"/>
      <c r="I314" s="84">
        <v>5.0999999999999997E-2</v>
      </c>
      <c r="J314" s="84">
        <v>5.0999999999999997E-2</v>
      </c>
      <c r="K314" s="84">
        <f t="shared" si="299"/>
      </c>
      <c r="L314" s="96"/>
      <c r="M314" s="137" t="str">
        <f t="shared" si="300"/>
      </c>
      <c r="N314" s="84">
        <f t="shared" ca="1" si="301"/>
      </c>
      <c r="O314" s="96"/>
      <c r="P314" s="85">
        <f t="shared" ca="1" si="302"/>
      </c>
      <c r="Q314" s="80">
        <f t="shared" ca="1" si="303"/>
      </c>
      <c r="R314" s="96"/>
      <c r="S314" s="81">
        <v>43754</v>
      </c>
      <c r="T314" s="82" t="s">
        <v>284</v>
      </c>
      <c r="U314" s="97"/>
    </row>
    <row r="315" spans="1:21" s="610" customFormat="1" x14ac:dyDescent="0.3">
      <c r="A315" s="73">
        <v>118</v>
      </c>
      <c r="B315" s="137" t="str">
        <f t="shared" si="297"/>
      </c>
      <c r="C315" s="96"/>
      <c r="D315" s="76" t="str">
        <f t="shared" ca="1" si="298"/>
      </c>
      <c r="E315" s="77" t="s">
        <v>2437</v>
      </c>
      <c r="F315" s="137" t="s">
        <v>365</v>
      </c>
      <c r="G315" s="137"/>
      <c r="H315" s="96"/>
      <c r="I315" s="78">
        <v>2455</v>
      </c>
      <c r="J315" s="78">
        <v>2455</v>
      </c>
      <c r="K315" s="78">
        <f t="shared" si="299"/>
      </c>
      <c r="L315" s="96"/>
      <c r="M315" s="137" t="str">
        <f t="shared" si="300"/>
      </c>
      <c r="N315" s="78">
        <f t="shared" ca="1" si="301"/>
      </c>
      <c r="O315" s="96"/>
      <c r="P315" s="79">
        <f t="shared" ca="1" si="302"/>
      </c>
      <c r="Q315" s="80">
        <f t="shared" ca="1" si="303"/>
      </c>
      <c r="R315" s="96"/>
      <c r="S315" s="81">
        <v>43754</v>
      </c>
      <c r="T315" s="82" t="s">
        <v>284</v>
      </c>
      <c r="U315" s="97"/>
    </row>
    <row r="316" spans="1:21" s="610" customFormat="1" x14ac:dyDescent="0.3">
      <c r="A316" s="73">
        <v>117</v>
      </c>
      <c r="B316" s="137" t="str">
        <f t="shared" si="297"/>
      </c>
      <c r="C316" s="96"/>
      <c r="D316" s="76" t="s">
        <v>289</v>
      </c>
      <c r="E316" s="77" t="s">
        <v>2438</v>
      </c>
      <c r="F316" s="137" t="s">
        <v>365</v>
      </c>
      <c r="G316" s="137"/>
      <c r="H316" s="96"/>
      <c r="I316" s="78">
        <v>777</v>
      </c>
      <c r="J316" s="78">
        <v>777</v>
      </c>
      <c r="K316" s="78">
        <f t="shared" si="299"/>
      </c>
      <c r="L316" s="96"/>
      <c r="M316" s="137" t="str">
        <f t="shared" si="300"/>
      </c>
      <c r="N316" s="78">
        <f t="shared" ca="1" si="301"/>
      </c>
      <c r="O316" s="774"/>
      <c r="P316" s="79">
        <f t="shared" ca="1" si="302"/>
      </c>
      <c r="Q316" s="80">
        <f t="shared" ca="1" si="303"/>
      </c>
      <c r="R316" s="96"/>
      <c r="S316" s="81">
        <v>43754</v>
      </c>
      <c r="T316" s="82" t="s">
        <v>284</v>
      </c>
      <c r="U316" s="97"/>
    </row>
    <row r="317" spans="1:21" s="610" customFormat="1" x14ac:dyDescent="0.3">
      <c r="A317" s="73">
        <v>116</v>
      </c>
      <c r="B317" s="137" t="str">
        <f t="shared" si="297"/>
      </c>
      <c r="C317" s="96"/>
      <c r="D317" s="76" t="str">
        <f ca="1">INDEX(INDIRECT(E317),0,COLUMN(MO_Common_Column_A))</f>
      </c>
      <c r="E317" s="77" t="s">
        <v>2439</v>
      </c>
      <c r="F317" s="137" t="s">
        <v>365</v>
      </c>
      <c r="G317" s="137"/>
      <c r="H317" s="96"/>
      <c r="I317" s="83">
        <v>0.316</v>
      </c>
      <c r="J317" s="83">
        <v>0.316</v>
      </c>
      <c r="K317" s="83">
        <f t="shared" si="299"/>
      </c>
      <c r="L317" s="96"/>
      <c r="M317" s="137" t="str">
        <f t="shared" si="300"/>
      </c>
      <c r="N317" s="83">
        <f t="shared" ca="1" si="301"/>
      </c>
      <c r="O317" s="96"/>
      <c r="P317" s="80">
        <f t="shared" ca="1" si="302"/>
      </c>
      <c r="Q317" s="80">
        <f t="shared" ca="1" si="303"/>
      </c>
      <c r="R317" s="96"/>
      <c r="S317" s="81">
        <v>43754</v>
      </c>
      <c r="T317" s="82" t="s">
        <v>284</v>
      </c>
      <c r="U317" s="97"/>
    </row>
    <row r="318" spans="1:21" s="610" customFormat="1" x14ac:dyDescent="0.3">
      <c r="A318" s="73">
        <v>115</v>
      </c>
      <c r="B318" s="137" t="str">
        <f t="shared" si="297"/>
      </c>
      <c r="C318" s="96"/>
      <c r="D318" s="76" t="str">
        <f ca="1">INDEX(INDIRECT(E318),0,COLUMN(MO_Common_Column_A))</f>
      </c>
      <c r="E318" s="77" t="s">
        <v>2440</v>
      </c>
      <c r="F318" s="137" t="s">
        <v>365</v>
      </c>
      <c r="G318" s="137"/>
      <c r="H318" s="96"/>
      <c r="I318" s="78">
        <v>61220</v>
      </c>
      <c r="J318" s="78">
        <v>61220</v>
      </c>
      <c r="K318" s="78">
        <f t="shared" si="299"/>
      </c>
      <c r="L318" s="96"/>
      <c r="M318" s="137" t="str">
        <f t="shared" si="300"/>
      </c>
      <c r="N318" s="78">
        <f t="shared" ca="1" si="301"/>
      </c>
      <c r="O318" s="96"/>
      <c r="P318" s="79">
        <f t="shared" ca="1" si="302"/>
      </c>
      <c r="Q318" s="80">
        <f t="shared" ca="1" si="303"/>
      </c>
      <c r="R318" s="96"/>
      <c r="S318" s="81">
        <v>43754</v>
      </c>
      <c r="T318" s="82" t="s">
        <v>284</v>
      </c>
      <c r="U318" s="97"/>
    </row>
    <row r="319" spans="1:21" s="610" customFormat="1" x14ac:dyDescent="0.3">
      <c r="A319" s="73">
        <v>114</v>
      </c>
      <c r="B319" s="137" t="str">
        <f t="shared" si="297"/>
      </c>
      <c r="C319" s="96"/>
      <c r="D319" s="76" t="str">
        <f ca="1">INDEX(INDIRECT(E319),0,COLUMN(MO_Common_Column_A))</f>
      </c>
      <c r="E319" s="77" t="s">
        <v>2441</v>
      </c>
      <c r="F319" s="137" t="s">
        <v>365</v>
      </c>
      <c r="G319" s="137"/>
      <c r="H319" s="96"/>
      <c r="I319" s="78">
        <v>600</v>
      </c>
      <c r="J319" s="78">
        <v>600</v>
      </c>
      <c r="K319" s="78">
        <f t="shared" si="299"/>
      </c>
      <c r="L319" s="96"/>
      <c r="M319" s="137" t="str">
        <f t="shared" si="300"/>
      </c>
      <c r="N319" s="78">
        <f t="shared" ca="1" si="301"/>
      </c>
      <c r="O319" s="96"/>
      <c r="P319" s="79">
        <f t="shared" ca="1" si="302"/>
      </c>
      <c r="Q319" s="80">
        <f t="shared" ca="1" si="303"/>
      </c>
      <c r="R319" s="96"/>
      <c r="S319" s="81">
        <v>43754</v>
      </c>
      <c r="T319" s="82" t="s">
        <v>284</v>
      </c>
      <c r="U319" s="97"/>
    </row>
    <row r="320" spans="1:21" s="610" customFormat="1" x14ac:dyDescent="0.3">
      <c r="A320" s="73">
        <v>113</v>
      </c>
      <c r="B320" s="137" t="str">
        <f t="shared" si="297"/>
      </c>
      <c r="C320" s="96"/>
      <c r="D320" s="76" t="s">
        <v>291</v>
      </c>
      <c r="E320" s="77" t="s">
        <v>654</v>
      </c>
      <c r="F320" s="137" t="s">
        <v>365</v>
      </c>
      <c r="G320" s="137"/>
      <c r="H320" s="96"/>
      <c r="I320" s="83">
        <v>8.6999999999999994E-2</v>
      </c>
      <c r="J320" s="83">
        <v>8.6999999999999994E-2</v>
      </c>
      <c r="K320" s="83">
        <f t="shared" si="299"/>
      </c>
      <c r="L320" s="96"/>
      <c r="M320" s="137" t="str">
        <f t="shared" si="300"/>
      </c>
      <c r="N320" s="83">
        <f t="shared" ca="1" si="301"/>
      </c>
      <c r="O320" s="86"/>
      <c r="P320" s="80">
        <f t="shared" ca="1" si="302"/>
      </c>
      <c r="Q320" s="80">
        <f t="shared" ca="1" si="303"/>
      </c>
      <c r="R320" s="96"/>
      <c r="S320" s="81">
        <v>43754</v>
      </c>
      <c r="T320" s="82" t="s">
        <v>284</v>
      </c>
      <c r="U320" s="97"/>
    </row>
    <row r="321" spans="1:21" s="610" customFormat="1" x14ac:dyDescent="0.3">
      <c r="A321" s="73">
        <v>112</v>
      </c>
      <c r="B321" s="137" t="str">
        <f t="shared" si="297"/>
      </c>
      <c r="C321" s="96"/>
      <c r="D321" s="76" t="str">
        <f ca="1">INDEX(INDIRECT(E321),0,COLUMN(MO_Common_Column_A))</f>
      </c>
      <c r="E321" s="77" t="s">
        <v>2442</v>
      </c>
      <c r="F321" s="137" t="s">
        <v>365</v>
      </c>
      <c r="G321" s="137"/>
      <c r="H321" s="96"/>
      <c r="I321" s="78">
        <v>2918</v>
      </c>
      <c r="J321" s="78">
        <v>2918</v>
      </c>
      <c r="K321" s="78">
        <f t="shared" si="299"/>
      </c>
      <c r="L321" s="96"/>
      <c r="M321" s="137" t="str">
        <f t="shared" si="300"/>
      </c>
      <c r="N321" s="78">
        <f ca="1">IFERROR(INDEX(INDIRECT(E321),0,MATCH(F321,MO_Common_ColumnHeader,0)),"N/A")</f>
      </c>
      <c r="O321" s="96"/>
      <c r="P321" s="79">
        <f t="shared" ca="1" si="302"/>
      </c>
      <c r="Q321" s="80">
        <f t="shared" ca="1" si="303"/>
      </c>
      <c r="R321" s="96"/>
      <c r="S321" s="81">
        <v>43754</v>
      </c>
      <c r="T321" s="82" t="s">
        <v>284</v>
      </c>
      <c r="U321" s="97"/>
    </row>
    <row r="322" spans="1:21" s="610" customFormat="1" x14ac:dyDescent="0.3">
      <c r="A322" s="73">
        <v>111</v>
      </c>
      <c r="B322" s="137" t="str">
        <f t="shared" si="297"/>
      </c>
      <c r="C322" s="96"/>
      <c r="D322" s="76" t="s">
        <v>293</v>
      </c>
      <c r="E322" s="77" t="s">
        <v>2443</v>
      </c>
      <c r="F322" s="137" t="s">
        <v>365</v>
      </c>
      <c r="G322" s="137"/>
      <c r="H322" s="96"/>
      <c r="I322" s="78">
        <v>309</v>
      </c>
      <c r="J322" s="78">
        <v>309</v>
      </c>
      <c r="K322" s="78">
        <f t="shared" si="299"/>
      </c>
      <c r="L322" s="96"/>
      <c r="M322" s="137" t="str">
        <f t="shared" si="300"/>
      </c>
      <c r="N322" s="78">
        <f ca="1">IFERROR(INDEX(INDIRECT(E322),0,MATCH(F322,MO_Common_ColumnHeader,0)),"N/A")</f>
      </c>
      <c r="O322" s="96"/>
      <c r="P322" s="79">
        <f t="shared" ca="1" si="302"/>
      </c>
      <c r="Q322" s="80">
        <f t="shared" ca="1" si="303"/>
      </c>
      <c r="R322" s="96"/>
      <c r="S322" s="81">
        <v>43754</v>
      </c>
      <c r="T322" s="82" t="s">
        <v>284</v>
      </c>
      <c r="U322" s="97"/>
    </row>
    <row r="323" spans="1:21" s="610" customFormat="1" x14ac:dyDescent="0.3">
      <c r="A323" s="73">
        <v>110</v>
      </c>
      <c r="B323" s="137" t="str">
        <f t="shared" si="297"/>
      </c>
      <c r="C323" s="96"/>
      <c r="D323" s="76" t="str">
        <f ca="1">INDEX(INDIRECT(E323),0,COLUMN(MO_Common_Column_A))</f>
      </c>
      <c r="E323" s="77" t="s">
        <v>2444</v>
      </c>
      <c r="F323" s="137" t="s">
        <v>365</v>
      </c>
      <c r="G323" s="137"/>
      <c r="H323" s="96"/>
      <c r="I323" s="83">
        <v>0.106</v>
      </c>
      <c r="J323" s="83">
        <v>0.106</v>
      </c>
      <c r="K323" s="83">
        <f t="shared" si="299"/>
      </c>
      <c r="L323" s="96"/>
      <c r="M323" s="137" t="str">
        <f t="shared" si="300"/>
      </c>
      <c r="N323" s="83">
        <f ca="1">IFERROR(INDEX(INDIRECT(E323),0,MATCH(F323,MO_Common_ColumnHeader,0)),"N/A")</f>
      </c>
      <c r="O323" s="86"/>
      <c r="P323" s="80">
        <f t="shared" ca="1" si="302"/>
      </c>
      <c r="Q323" s="80">
        <f t="shared" ca="1" si="303"/>
      </c>
      <c r="R323" s="96"/>
      <c r="S323" s="81">
        <v>43754</v>
      </c>
      <c r="T323" s="82" t="s">
        <v>284</v>
      </c>
      <c r="U323" s="97"/>
    </row>
    <row r="324" spans="1:21" s="610" customFormat="1" x14ac:dyDescent="0.3">
      <c r="A324" s="73">
        <v>109</v>
      </c>
      <c r="B324" s="137" t="str">
        <f t="shared" si="297"/>
      </c>
      <c r="C324" s="96"/>
      <c r="D324" s="76" t="str">
        <f ca="1">INDEX(INDIRECT(E324),0,COLUMN(MO_Common_Column_A))</f>
      </c>
      <c r="E324" s="77" t="s">
        <v>2445</v>
      </c>
      <c r="F324" s="137" t="s">
        <v>365</v>
      </c>
      <c r="G324" s="137"/>
      <c r="H324" s="96"/>
      <c r="I324" s="78">
        <v>104710</v>
      </c>
      <c r="J324" s="78">
        <v>104710</v>
      </c>
      <c r="K324" s="78">
        <f t="shared" si="299"/>
      </c>
      <c r="L324" s="96"/>
      <c r="M324" s="137" t="str">
        <f t="shared" si="300"/>
      </c>
      <c r="N324" s="78">
        <f ca="1">IFERROR(INDEX(INDIRECT(E324),0,MATCH(F324,MO_Common_ColumnHeader,0)),"N/A")</f>
      </c>
      <c r="O324" s="96"/>
      <c r="P324" s="79">
        <f t="shared" ca="1" si="302"/>
      </c>
      <c r="Q324" s="80">
        <f t="shared" ca="1" si="303"/>
      </c>
      <c r="R324" s="96"/>
      <c r="S324" s="81">
        <v>43754</v>
      </c>
      <c r="T324" s="82" t="s">
        <v>284</v>
      </c>
      <c r="U324" s="97"/>
    </row>
    <row r="325" spans="1:21" s="610" customFormat="1" x14ac:dyDescent="0.3">
      <c r="A325" s="73">
        <v>108</v>
      </c>
      <c r="B325" s="137" t="str">
        <f t="shared" si="297"/>
      </c>
      <c r="C325" s="96"/>
      <c r="D325" s="76" t="str">
        <f ca="1">INDEX(INDIRECT(E325),0,COLUMN(MO_Common_Column_A))</f>
      </c>
      <c r="E325" s="77" t="s">
        <v>2446</v>
      </c>
      <c r="F325" s="137" t="s">
        <v>365</v>
      </c>
      <c r="G325" s="137"/>
      <c r="H325" s="96"/>
      <c r="I325" s="78">
        <v>7000</v>
      </c>
      <c r="J325" s="78">
        <v>7000</v>
      </c>
      <c r="K325" s="78">
        <f t="shared" si="299"/>
      </c>
      <c r="L325" s="96"/>
      <c r="M325" s="137" t="str">
        <f t="shared" si="300"/>
      </c>
      <c r="N325" s="78">
        <f ca="1">IFERROR(INDEX(INDIRECT(E325),0,MATCH(F325,MO_Common_ColumnHeader,0)),"N/A")</f>
      </c>
      <c r="O325" s="96"/>
      <c r="P325" s="79">
        <f t="shared" ca="1" si="302"/>
      </c>
      <c r="Q325" s="80">
        <f t="shared" ca="1" si="303"/>
      </c>
      <c r="R325" s="96"/>
      <c r="S325" s="81">
        <v>43754</v>
      </c>
      <c r="T325" s="82" t="s">
        <v>284</v>
      </c>
      <c r="U325" s="97"/>
    </row>
    <row r="326" spans="1:21" s="610" customFormat="1" x14ac:dyDescent="0.3">
      <c r="A326" s="73">
        <v>107</v>
      </c>
      <c r="B326" s="96"/>
      <c r="C326" s="96"/>
      <c r="D326" s="87"/>
      <c r="E326" s="96"/>
      <c r="F326" s="96"/>
      <c r="G326" s="96"/>
      <c r="H326" s="96"/>
      <c r="I326" s="96"/>
      <c r="J326" s="96"/>
      <c r="K326" s="96"/>
      <c r="L326" s="96"/>
      <c r="M326" s="96"/>
      <c r="N326" s="96"/>
      <c r="O326" s="96"/>
      <c r="P326" s="87"/>
      <c r="Q326" s="87"/>
      <c r="R326" s="96"/>
      <c r="S326" s="96"/>
      <c r="T326" s="179"/>
      <c r="U326" s="96"/>
    </row>
    <row r="327" spans="1:21" s="610" customFormat="1" x14ac:dyDescent="0.3">
      <c r="A327" s="73">
        <v>106</v>
      </c>
      <c r="B327" s="137" t="str">
        <f t="shared" ref="B327:B342" si="304">IF(INDEX(MO_SNA_IsHistoricalPeriod,,MATCH(F327,MO_Common_ColumnHeader,0)),"Historical","Forward")</f>
      </c>
      <c r="C327" s="96"/>
      <c r="D327" s="76" t="str">
        <f t="shared" ref="D327:D332" ca="1" si="305">INDEX(INDIRECT(E327),0,COLUMN(MO_Common_Column_A))</f>
      </c>
      <c r="E327" s="77" t="s">
        <v>282</v>
      </c>
      <c r="F327" s="137" t="s">
        <v>363</v>
      </c>
      <c r="G327" s="137"/>
      <c r="H327" s="96"/>
      <c r="I327" s="78">
        <v>5250</v>
      </c>
      <c r="J327" s="78">
        <v>5250</v>
      </c>
      <c r="K327" s="78">
        <f t="shared" ref="K327:K342" si="306">AVERAGE(I327:J327)</f>
      </c>
      <c r="L327" s="96"/>
      <c r="M327" s="137" t="str">
        <f t="shared" ref="M327:M342" si="307">IF(INDEX(MO_SNA_IsHistoricalPeriod,,MATCH(F327,MO_Common_ColumnHeader,0)),"Actual","Estimate")</f>
      </c>
      <c r="N327" s="78">
        <f t="shared" ref="N327:N337" ca="1" si="308">IFERROR(INDEX(INDIRECT(E327),0,MATCH(F327,MO_Common_ColumnHeader,0)),"N/A")</f>
      </c>
      <c r="O327" s="96"/>
      <c r="P327" s="79">
        <f t="shared" ref="P327:P342" ca="1" si="309">IF(ISNUMBER(N327),N327-K327,"N/A")</f>
      </c>
      <c r="Q327" s="80">
        <f t="shared" ref="Q327:Q342" ca="1" si="310">IFERROR(IF(ISNUMBER(N327),(N327-K327)/ABS(K327),"N/A"),"N/A")</f>
      </c>
      <c r="R327" s="96"/>
      <c r="S327" s="81">
        <v>43663</v>
      </c>
      <c r="T327" s="82" t="s">
        <v>284</v>
      </c>
      <c r="U327" s="97"/>
    </row>
    <row r="328" spans="1:21" s="610" customFormat="1" x14ac:dyDescent="0.3">
      <c r="A328" s="73">
        <v>105</v>
      </c>
      <c r="B328" s="137" t="str">
        <f t="shared" si="304"/>
      </c>
      <c r="C328" s="96"/>
      <c r="D328" s="76" t="str">
        <f t="shared" ca="1" si="305"/>
      </c>
      <c r="E328" s="77" t="s">
        <v>285</v>
      </c>
      <c r="F328" s="137" t="s">
        <v>363</v>
      </c>
      <c r="G328" s="137"/>
      <c r="H328" s="96"/>
      <c r="I328" s="83">
        <v>0.313</v>
      </c>
      <c r="J328" s="83">
        <v>0.313</v>
      </c>
      <c r="K328" s="83">
        <f t="shared" si="306"/>
      </c>
      <c r="L328" s="96"/>
      <c r="M328" s="137" t="str">
        <f t="shared" si="307"/>
      </c>
      <c r="N328" s="83">
        <f t="shared" ca="1" si="308"/>
      </c>
      <c r="O328" s="96"/>
      <c r="P328" s="80">
        <f t="shared" ca="1" si="309"/>
      </c>
      <c r="Q328" s="80">
        <f t="shared" ca="1" si="310"/>
      </c>
      <c r="R328" s="96"/>
      <c r="S328" s="81">
        <v>43663</v>
      </c>
      <c r="T328" s="82" t="s">
        <v>284</v>
      </c>
      <c r="U328" s="97"/>
    </row>
    <row r="329" spans="1:21" s="610" customFormat="1" x14ac:dyDescent="0.3">
      <c r="A329" s="73">
        <v>104</v>
      </c>
      <c r="B329" s="137" t="str">
        <f t="shared" si="304"/>
      </c>
      <c r="C329" s="96"/>
      <c r="D329" s="76" t="str">
        <f t="shared" ca="1" si="305"/>
      </c>
      <c r="E329" s="77" t="s">
        <v>286</v>
      </c>
      <c r="F329" s="137" t="s">
        <v>363</v>
      </c>
      <c r="G329" s="137"/>
      <c r="H329" s="96"/>
      <c r="I329" s="78">
        <v>833</v>
      </c>
      <c r="J329" s="78">
        <v>833</v>
      </c>
      <c r="K329" s="78">
        <f t="shared" si="306"/>
      </c>
      <c r="L329" s="96"/>
      <c r="M329" s="137" t="str">
        <f t="shared" si="307"/>
      </c>
      <c r="N329" s="78">
        <f t="shared" ca="1" si="308"/>
      </c>
      <c r="O329" s="96"/>
      <c r="P329" s="79">
        <f t="shared" ca="1" si="309"/>
      </c>
      <c r="Q329" s="80">
        <f t="shared" ca="1" si="310"/>
      </c>
      <c r="R329" s="96"/>
      <c r="S329" s="81">
        <v>43663</v>
      </c>
      <c r="T329" s="82" t="s">
        <v>284</v>
      </c>
      <c r="U329" s="97"/>
    </row>
    <row r="330" spans="1:21" s="610" customFormat="1" x14ac:dyDescent="0.3">
      <c r="A330" s="73">
        <v>103</v>
      </c>
      <c r="B330" s="137" t="str">
        <f t="shared" si="304"/>
      </c>
      <c r="C330" s="96"/>
      <c r="D330" s="76" t="str">
        <f t="shared" ca="1" si="305"/>
      </c>
      <c r="E330" s="77" t="s">
        <v>287</v>
      </c>
      <c r="F330" s="137" t="s">
        <v>363</v>
      </c>
      <c r="G330" s="137"/>
      <c r="H330" s="96"/>
      <c r="I330" s="78">
        <v>470</v>
      </c>
      <c r="J330" s="78">
        <v>470</v>
      </c>
      <c r="K330" s="78">
        <f t="shared" si="306"/>
      </c>
      <c r="L330" s="96"/>
      <c r="M330" s="137" t="str">
        <f t="shared" si="307"/>
      </c>
      <c r="N330" s="78">
        <f t="shared" ca="1" si="308"/>
      </c>
      <c r="O330" s="96"/>
      <c r="P330" s="79">
        <f t="shared" ca="1" si="309"/>
      </c>
      <c r="Q330" s="80">
        <f t="shared" ca="1" si="310"/>
      </c>
      <c r="R330" s="96"/>
      <c r="S330" s="81">
        <v>43663</v>
      </c>
      <c r="T330" s="82" t="s">
        <v>284</v>
      </c>
      <c r="U330" s="97"/>
    </row>
    <row r="331" spans="1:21" s="610" customFormat="1" x14ac:dyDescent="0.3">
      <c r="A331" s="73">
        <v>102</v>
      </c>
      <c r="B331" s="137" t="str">
        <f t="shared" si="304"/>
      </c>
      <c r="C331" s="96"/>
      <c r="D331" s="76" t="str">
        <f t="shared" ca="1" si="305"/>
      </c>
      <c r="E331" s="77" t="s">
        <v>288</v>
      </c>
      <c r="F331" s="137" t="s">
        <v>363</v>
      </c>
      <c r="G331" s="137"/>
      <c r="H331" s="96"/>
      <c r="I331" s="84">
        <v>0.104</v>
      </c>
      <c r="J331" s="84">
        <v>0.104</v>
      </c>
      <c r="K331" s="84">
        <f t="shared" si="306"/>
      </c>
      <c r="L331" s="96"/>
      <c r="M331" s="137" t="str">
        <f t="shared" si="307"/>
      </c>
      <c r="N331" s="84">
        <f t="shared" ca="1" si="308"/>
      </c>
      <c r="O331" s="96"/>
      <c r="P331" s="85">
        <f t="shared" ca="1" si="309"/>
      </c>
      <c r="Q331" s="80">
        <f t="shared" ca="1" si="310"/>
      </c>
      <c r="R331" s="96"/>
      <c r="S331" s="81">
        <v>43663</v>
      </c>
      <c r="T331" s="82" t="s">
        <v>284</v>
      </c>
      <c r="U331" s="97"/>
    </row>
    <row r="332" spans="1:21" s="610" customFormat="1" x14ac:dyDescent="0.3">
      <c r="A332" s="73">
        <v>101</v>
      </c>
      <c r="B332" s="137" t="str">
        <f t="shared" si="304"/>
      </c>
      <c r="C332" s="96"/>
      <c r="D332" s="76" t="str">
        <f t="shared" ca="1" si="305"/>
      </c>
      <c r="E332" s="77" t="s">
        <v>2437</v>
      </c>
      <c r="F332" s="137" t="s">
        <v>363</v>
      </c>
      <c r="G332" s="137"/>
      <c r="H332" s="96"/>
      <c r="I332" s="78">
        <v>2400</v>
      </c>
      <c r="J332" s="78">
        <v>2400</v>
      </c>
      <c r="K332" s="78">
        <f t="shared" si="306"/>
      </c>
      <c r="L332" s="96"/>
      <c r="M332" s="137" t="str">
        <f t="shared" si="307"/>
      </c>
      <c r="N332" s="78">
        <f t="shared" ca="1" si="308"/>
      </c>
      <c r="O332" s="96"/>
      <c r="P332" s="79">
        <f t="shared" ca="1" si="309"/>
      </c>
      <c r="Q332" s="80">
        <f t="shared" ca="1" si="310"/>
      </c>
      <c r="R332" s="96"/>
      <c r="S332" s="81">
        <v>43663</v>
      </c>
      <c r="T332" s="82" t="s">
        <v>284</v>
      </c>
      <c r="U332" s="97"/>
    </row>
    <row r="333" spans="1:21" s="610" customFormat="1" x14ac:dyDescent="0.3">
      <c r="A333" s="73">
        <v>100</v>
      </c>
      <c r="B333" s="137" t="str">
        <f t="shared" si="304"/>
      </c>
      <c r="C333" s="96"/>
      <c r="D333" s="76" t="s">
        <v>289</v>
      </c>
      <c r="E333" s="77" t="s">
        <v>2438</v>
      </c>
      <c r="F333" s="137" t="s">
        <v>363</v>
      </c>
      <c r="G333" s="137"/>
      <c r="H333" s="96"/>
      <c r="I333" s="78">
        <v>923</v>
      </c>
      <c r="J333" s="78">
        <v>923</v>
      </c>
      <c r="K333" s="78">
        <f t="shared" si="306"/>
      </c>
      <c r="L333" s="96"/>
      <c r="M333" s="137" t="str">
        <f t="shared" si="307"/>
      </c>
      <c r="N333" s="78">
        <f t="shared" ca="1" si="308"/>
      </c>
      <c r="O333" s="774"/>
      <c r="P333" s="79">
        <f t="shared" ca="1" si="309"/>
      </c>
      <c r="Q333" s="80">
        <f t="shared" ca="1" si="310"/>
      </c>
      <c r="R333" s="96"/>
      <c r="S333" s="81">
        <v>43663</v>
      </c>
      <c r="T333" s="82" t="s">
        <v>284</v>
      </c>
      <c r="U333" s="97"/>
    </row>
    <row r="334" spans="1:21" s="610" customFormat="1" x14ac:dyDescent="0.3">
      <c r="A334" s="73">
        <v>99</v>
      </c>
      <c r="B334" s="137" t="str">
        <f t="shared" si="304"/>
      </c>
      <c r="C334" s="96"/>
      <c r="D334" s="76" t="s">
        <v>290</v>
      </c>
      <c r="E334" s="77"/>
      <c r="F334" s="137" t="s">
        <v>363</v>
      </c>
      <c r="G334" s="137"/>
      <c r="H334" s="96"/>
      <c r="I334" s="83">
        <v>0.38500000000000001</v>
      </c>
      <c r="J334" s="83">
        <v>0.38500000000000001</v>
      </c>
      <c r="K334" s="83">
        <f t="shared" si="306"/>
      </c>
      <c r="L334" s="96"/>
      <c r="M334" s="137" t="str">
        <f t="shared" si="307"/>
      </c>
      <c r="N334" s="83" t="str">
        <f t="shared" ca="1" si="308"/>
      </c>
      <c r="O334" s="96"/>
      <c r="P334" s="80" t="str">
        <f t="shared" ca="1" si="309"/>
      </c>
      <c r="Q334" s="80" t="str">
        <f t="shared" ca="1" si="310"/>
      </c>
      <c r="R334" s="96"/>
      <c r="S334" s="81">
        <v>43663</v>
      </c>
      <c r="T334" s="82" t="s">
        <v>284</v>
      </c>
      <c r="U334" s="97"/>
    </row>
    <row r="335" spans="1:21" s="610" customFormat="1" x14ac:dyDescent="0.3">
      <c r="A335" s="73">
        <v>98</v>
      </c>
      <c r="B335" s="137" t="str">
        <f t="shared" si="304"/>
      </c>
      <c r="C335" s="96"/>
      <c r="D335" s="76" t="str">
        <f ca="1">INDEX(INDIRECT(E335),0,COLUMN(MO_Common_Column_A))</f>
      </c>
      <c r="E335" s="77" t="s">
        <v>2440</v>
      </c>
      <c r="F335" s="137" t="s">
        <v>363</v>
      </c>
      <c r="G335" s="137"/>
      <c r="H335" s="96"/>
      <c r="I335" s="78">
        <v>60900</v>
      </c>
      <c r="J335" s="78">
        <v>60900</v>
      </c>
      <c r="K335" s="78">
        <f t="shared" si="306"/>
      </c>
      <c r="L335" s="96"/>
      <c r="M335" s="137" t="str">
        <f t="shared" si="307"/>
      </c>
      <c r="N335" s="78">
        <f t="shared" ca="1" si="308"/>
      </c>
      <c r="O335" s="96"/>
      <c r="P335" s="79">
        <f t="shared" ca="1" si="309"/>
      </c>
      <c r="Q335" s="80">
        <f t="shared" ca="1" si="310"/>
      </c>
      <c r="R335" s="96"/>
      <c r="S335" s="81">
        <v>43663</v>
      </c>
      <c r="T335" s="82" t="s">
        <v>284</v>
      </c>
      <c r="U335" s="97"/>
    </row>
    <row r="336" spans="1:21" s="610" customFormat="1" x14ac:dyDescent="0.3">
      <c r="A336" s="73">
        <v>97</v>
      </c>
      <c r="B336" s="137" t="str">
        <f t="shared" si="304"/>
      </c>
      <c r="C336" s="96"/>
      <c r="D336" s="76" t="str">
        <f ca="1">INDEX(INDIRECT(E336),0,COLUMN(MO_Common_Column_A))</f>
      </c>
      <c r="E336" s="77" t="s">
        <v>2441</v>
      </c>
      <c r="F336" s="137" t="s">
        <v>363</v>
      </c>
      <c r="G336" s="137"/>
      <c r="H336" s="96"/>
      <c r="I336" s="78">
        <v>800</v>
      </c>
      <c r="J336" s="78">
        <v>800</v>
      </c>
      <c r="K336" s="78">
        <f t="shared" si="306"/>
      </c>
      <c r="L336" s="96"/>
      <c r="M336" s="137" t="str">
        <f t="shared" si="307"/>
      </c>
      <c r="N336" s="78">
        <f t="shared" ca="1" si="308"/>
      </c>
      <c r="O336" s="96"/>
      <c r="P336" s="79">
        <f t="shared" ca="1" si="309"/>
      </c>
      <c r="Q336" s="80">
        <f t="shared" ca="1" si="310"/>
      </c>
      <c r="R336" s="96"/>
      <c r="S336" s="81">
        <v>43663</v>
      </c>
      <c r="T336" s="82" t="s">
        <v>284</v>
      </c>
      <c r="U336" s="97"/>
    </row>
    <row r="337" spans="1:21" s="610" customFormat="1" x14ac:dyDescent="0.3">
      <c r="A337" s="73">
        <v>96</v>
      </c>
      <c r="B337" s="137" t="str">
        <f t="shared" si="304"/>
      </c>
      <c r="C337" s="96"/>
      <c r="D337" s="76" t="s">
        <v>291</v>
      </c>
      <c r="E337" s="77" t="s">
        <v>654</v>
      </c>
      <c r="F337" s="137" t="s">
        <v>363</v>
      </c>
      <c r="G337" s="137"/>
      <c r="H337" s="96"/>
      <c r="I337" s="83">
        <v>0.159</v>
      </c>
      <c r="J337" s="83">
        <v>0.159</v>
      </c>
      <c r="K337" s="83">
        <f t="shared" si="306"/>
      </c>
      <c r="L337" s="96"/>
      <c r="M337" s="137" t="str">
        <f t="shared" si="307"/>
      </c>
      <c r="N337" s="83">
        <f t="shared" ca="1" si="308"/>
      </c>
      <c r="O337" s="86"/>
      <c r="P337" s="80">
        <f t="shared" ca="1" si="309"/>
      </c>
      <c r="Q337" s="80">
        <f t="shared" ca="1" si="310"/>
      </c>
      <c r="R337" s="96"/>
      <c r="S337" s="81">
        <v>43663</v>
      </c>
      <c r="T337" s="82" t="s">
        <v>284</v>
      </c>
      <c r="U337" s="97"/>
    </row>
    <row r="338" spans="1:21" s="610" customFormat="1" x14ac:dyDescent="0.3">
      <c r="A338" s="73">
        <v>95</v>
      </c>
      <c r="B338" s="137" t="str">
        <f t="shared" si="304"/>
      </c>
      <c r="C338" s="96"/>
      <c r="D338" s="76" t="str">
        <f ca="1">INDEX(INDIRECT(E338),0,COLUMN(MO_Common_Column_A))</f>
      </c>
      <c r="E338" s="77" t="s">
        <v>2442</v>
      </c>
      <c r="F338" s="137" t="s">
        <v>363</v>
      </c>
      <c r="G338" s="137"/>
      <c r="H338" s="96"/>
      <c r="I338" s="78">
        <v>2778</v>
      </c>
      <c r="J338" s="78">
        <v>2778</v>
      </c>
      <c r="K338" s="78">
        <f t="shared" si="306"/>
      </c>
      <c r="L338" s="96"/>
      <c r="M338" s="137" t="str">
        <f t="shared" si="307"/>
      </c>
      <c r="N338" s="78">
        <f ca="1">IFERROR(INDEX(INDIRECT(E338),0,MATCH(F338,MO_Common_ColumnHeader,0)),"N/A")</f>
      </c>
      <c r="O338" s="96"/>
      <c r="P338" s="79">
        <f t="shared" ca="1" si="309"/>
      </c>
      <c r="Q338" s="80">
        <f t="shared" ca="1" si="310"/>
      </c>
      <c r="R338" s="96"/>
      <c r="S338" s="81">
        <v>43663</v>
      </c>
      <c r="T338" s="82" t="s">
        <v>284</v>
      </c>
      <c r="U338" s="97"/>
    </row>
    <row r="339" spans="1:21" s="610" customFormat="1" x14ac:dyDescent="0.3">
      <c r="A339" s="73">
        <v>94</v>
      </c>
      <c r="B339" s="137" t="str">
        <f t="shared" si="304"/>
      </c>
      <c r="C339" s="96"/>
      <c r="D339" s="76" t="s">
        <v>293</v>
      </c>
      <c r="E339" s="77" t="s">
        <v>2443</v>
      </c>
      <c r="F339" s="137" t="s">
        <v>363</v>
      </c>
      <c r="G339" s="137"/>
      <c r="H339" s="96"/>
      <c r="I339" s="78">
        <v>503</v>
      </c>
      <c r="J339" s="78">
        <v>503</v>
      </c>
      <c r="K339" s="78">
        <f t="shared" si="306"/>
      </c>
      <c r="L339" s="96"/>
      <c r="M339" s="137" t="str">
        <f t="shared" si="307"/>
      </c>
      <c r="N339" s="78">
        <f ca="1">IFERROR(INDEX(INDIRECT(E339),0,MATCH(F339,MO_Common_ColumnHeader,0)),"N/A")</f>
      </c>
      <c r="O339" s="96"/>
      <c r="P339" s="79">
        <f t="shared" ca="1" si="309"/>
      </c>
      <c r="Q339" s="80">
        <f t="shared" ca="1" si="310"/>
      </c>
      <c r="R339" s="96"/>
      <c r="S339" s="81">
        <v>43663</v>
      </c>
      <c r="T339" s="82" t="s">
        <v>284</v>
      </c>
      <c r="U339" s="97"/>
    </row>
    <row r="340" spans="1:21" s="610" customFormat="1" x14ac:dyDescent="0.3">
      <c r="A340" s="73">
        <v>93</v>
      </c>
      <c r="B340" s="137" t="str">
        <f t="shared" si="304"/>
      </c>
      <c r="C340" s="96"/>
      <c r="D340" s="76" t="s">
        <v>294</v>
      </c>
      <c r="E340" s="77"/>
      <c r="F340" s="137" t="s">
        <v>363</v>
      </c>
      <c r="G340" s="137"/>
      <c r="H340" s="96"/>
      <c r="I340" s="83">
        <v>0.18099999999999999</v>
      </c>
      <c r="J340" s="83">
        <v>0.18099999999999999</v>
      </c>
      <c r="K340" s="83">
        <f t="shared" si="306"/>
      </c>
      <c r="L340" s="96"/>
      <c r="M340" s="137" t="str">
        <f t="shared" si="307"/>
      </c>
      <c r="N340" s="83" t="str">
        <f ca="1">IFERROR(INDEX(INDIRECT(E340),0,MATCH(F340,MO_Common_ColumnHeader,0)),"N/A")</f>
      </c>
      <c r="O340" s="86"/>
      <c r="P340" s="80" t="str">
        <f t="shared" ca="1" si="309"/>
      </c>
      <c r="Q340" s="80" t="str">
        <f t="shared" ca="1" si="310"/>
      </c>
      <c r="R340" s="96"/>
      <c r="S340" s="81">
        <v>43663</v>
      </c>
      <c r="T340" s="82" t="s">
        <v>284</v>
      </c>
      <c r="U340" s="97"/>
    </row>
    <row r="341" spans="1:21" s="610" customFormat="1" x14ac:dyDescent="0.3">
      <c r="A341" s="73">
        <v>92</v>
      </c>
      <c r="B341" s="137" t="str">
        <f t="shared" si="304"/>
      </c>
      <c r="C341" s="96"/>
      <c r="D341" s="76" t="str">
        <f ca="1">INDEX(INDIRECT(E341),0,COLUMN(MO_Common_Column_A))</f>
      </c>
      <c r="E341" s="77" t="s">
        <v>2445</v>
      </c>
      <c r="F341" s="137" t="s">
        <v>363</v>
      </c>
      <c r="G341" s="137"/>
      <c r="H341" s="96"/>
      <c r="I341" s="78">
        <v>97660</v>
      </c>
      <c r="J341" s="78">
        <v>97660</v>
      </c>
      <c r="K341" s="78">
        <f t="shared" si="306"/>
      </c>
      <c r="L341" s="96"/>
      <c r="M341" s="137" t="str">
        <f t="shared" si="307"/>
      </c>
      <c r="N341" s="78">
        <f ca="1">IFERROR(INDEX(INDIRECT(E341),0,MATCH(F341,MO_Common_ColumnHeader,0)),"N/A")</f>
      </c>
      <c r="O341" s="96"/>
      <c r="P341" s="79">
        <f t="shared" ca="1" si="309"/>
      </c>
      <c r="Q341" s="80">
        <f t="shared" ca="1" si="310"/>
      </c>
      <c r="R341" s="96"/>
      <c r="S341" s="81">
        <v>43663</v>
      </c>
      <c r="T341" s="82" t="s">
        <v>284</v>
      </c>
      <c r="U341" s="97"/>
    </row>
    <row r="342" spans="1:21" s="610" customFormat="1" x14ac:dyDescent="0.3">
      <c r="A342" s="73">
        <v>91</v>
      </c>
      <c r="B342" s="137" t="str">
        <f t="shared" si="304"/>
      </c>
      <c r="C342" s="96"/>
      <c r="D342" s="76" t="str">
        <f ca="1">INDEX(INDIRECT(E342),0,COLUMN(MO_Common_Column_A))</f>
      </c>
      <c r="E342" s="77" t="s">
        <v>2446</v>
      </c>
      <c r="F342" s="137" t="s">
        <v>363</v>
      </c>
      <c r="G342" s="137"/>
      <c r="H342" s="96"/>
      <c r="I342" s="78">
        <v>6200</v>
      </c>
      <c r="J342" s="78">
        <v>6200</v>
      </c>
      <c r="K342" s="78">
        <f t="shared" si="306"/>
      </c>
      <c r="L342" s="96"/>
      <c r="M342" s="137" t="str">
        <f t="shared" si="307"/>
      </c>
      <c r="N342" s="78">
        <f ca="1">IFERROR(INDEX(INDIRECT(E342),0,MATCH(F342,MO_Common_ColumnHeader,0)),"N/A")</f>
      </c>
      <c r="O342" s="96"/>
      <c r="P342" s="79">
        <f t="shared" ca="1" si="309"/>
      </c>
      <c r="Q342" s="80">
        <f t="shared" ca="1" si="310"/>
      </c>
      <c r="R342" s="96"/>
      <c r="S342" s="81">
        <v>43663</v>
      </c>
      <c r="T342" s="82" t="s">
        <v>284</v>
      </c>
      <c r="U342" s="97"/>
    </row>
    <row r="343" spans="1:21" s="610" customFormat="1" x14ac:dyDescent="0.3">
      <c r="A343" s="73">
        <v>90</v>
      </c>
      <c r="B343" s="96"/>
      <c r="C343" s="96"/>
      <c r="D343" s="87"/>
      <c r="E343" s="96"/>
      <c r="F343" s="96"/>
      <c r="G343" s="96"/>
      <c r="H343" s="96"/>
      <c r="I343" s="96"/>
      <c r="J343" s="96"/>
      <c r="K343" s="96"/>
      <c r="L343" s="96"/>
      <c r="M343" s="96"/>
      <c r="N343" s="96"/>
      <c r="O343" s="96"/>
      <c r="P343" s="87"/>
      <c r="Q343" s="87"/>
      <c r="R343" s="96"/>
      <c r="S343" s="96"/>
      <c r="T343" s="179"/>
      <c r="U343" s="96"/>
    </row>
    <row r="344" spans="1:21" s="610" customFormat="1" x14ac:dyDescent="0.3">
      <c r="A344" s="73">
        <v>89</v>
      </c>
      <c r="B344" s="137" t="str">
        <f t="shared" ref="B344:B360" si="311">IF(INDEX(MO_SNA_IsHistoricalPeriod,,MATCH(F344,MO_Common_ColumnHeader,0)),"Historical","Forward")</f>
      </c>
      <c r="C344" s="96"/>
      <c r="D344" s="76" t="str">
        <f t="shared" ref="D344:D349" ca="1" si="312">INDEX(INDIRECT(E344),0,COLUMN(MO_Common_Column_A))</f>
      </c>
      <c r="E344" s="77" t="s">
        <v>282</v>
      </c>
      <c r="F344" s="137" t="s">
        <v>283</v>
      </c>
      <c r="G344" s="137"/>
      <c r="H344" s="96"/>
      <c r="I344" s="78">
        <v>4928</v>
      </c>
      <c r="J344" s="78">
        <v>4928</v>
      </c>
      <c r="K344" s="78">
        <f t="shared" ref="K344:K360" si="313">AVERAGE(I344:J344)</f>
      </c>
      <c r="L344" s="96"/>
      <c r="M344" s="137" t="str">
        <f t="shared" ref="M344:M360" si="314">IF(INDEX(MO_SNA_IsHistoricalPeriod,,MATCH(F344,MO_Common_ColumnHeader,0)),"Actual","Estimate")</f>
      </c>
      <c r="N344" s="78">
        <f t="shared" ref="N344:N360" ca="1" si="315">IFERROR(INDEX(INDIRECT(E344),0,MATCH(F344,MO_Common_ColumnHeader,0)),"N/A")</f>
      </c>
      <c r="O344" s="96"/>
      <c r="P344" s="79">
        <f t="shared" ref="P344:P360" ca="1" si="316">IF(ISNUMBER(N344),N344-K344,"N/A")</f>
      </c>
      <c r="Q344" s="80">
        <f t="shared" ref="Q344:Q360" ca="1" si="317">IFERROR(IF(ISNUMBER(N344),(N344-K344)/ABS(K344),"N/A"),"N/A")</f>
      </c>
      <c r="R344" s="96"/>
      <c r="S344" s="81">
        <v>43571</v>
      </c>
      <c r="T344" s="82" t="s">
        <v>284</v>
      </c>
      <c r="U344" s="97"/>
    </row>
    <row r="345" spans="1:21" s="610" customFormat="1" x14ac:dyDescent="0.3">
      <c r="A345" s="73">
        <v>88</v>
      </c>
      <c r="B345" s="137" t="str">
        <f t="shared" si="311"/>
      </c>
      <c r="C345" s="96"/>
      <c r="D345" s="76" t="str">
        <f t="shared" ca="1" si="312"/>
      </c>
      <c r="E345" s="77" t="s">
        <v>285</v>
      </c>
      <c r="F345" s="137" t="s">
        <v>283</v>
      </c>
      <c r="G345" s="137"/>
      <c r="H345" s="96"/>
      <c r="I345" s="83">
        <v>0.26100000000000001</v>
      </c>
      <c r="J345" s="83">
        <v>0.26100000000000001</v>
      </c>
      <c r="K345" s="83">
        <f t="shared" si="313"/>
      </c>
      <c r="L345" s="96"/>
      <c r="M345" s="137" t="str">
        <f t="shared" si="314"/>
      </c>
      <c r="N345" s="83">
        <f t="shared" ca="1" si="315"/>
      </c>
      <c r="O345" s="96"/>
      <c r="P345" s="80">
        <f t="shared" ca="1" si="316"/>
      </c>
      <c r="Q345" s="80">
        <f t="shared" ca="1" si="317"/>
      </c>
      <c r="R345" s="96"/>
      <c r="S345" s="81">
        <v>43571</v>
      </c>
      <c r="T345" s="82" t="s">
        <v>284</v>
      </c>
      <c r="U345" s="97"/>
    </row>
    <row r="346" spans="1:21" s="610" customFormat="1" x14ac:dyDescent="0.3">
      <c r="A346" s="73">
        <v>87</v>
      </c>
      <c r="B346" s="137" t="str">
        <f t="shared" si="311"/>
      </c>
      <c r="C346" s="96"/>
      <c r="D346" s="76" t="str">
        <f t="shared" ca="1" si="312"/>
      </c>
      <c r="E346" s="77" t="s">
        <v>286</v>
      </c>
      <c r="F346" s="137" t="s">
        <v>283</v>
      </c>
      <c r="G346" s="137"/>
      <c r="H346" s="96"/>
      <c r="I346" s="78">
        <v>616</v>
      </c>
      <c r="J346" s="78">
        <v>616</v>
      </c>
      <c r="K346" s="78">
        <f t="shared" si="313"/>
      </c>
      <c r="L346" s="96"/>
      <c r="M346" s="137" t="str">
        <f t="shared" si="314"/>
      </c>
      <c r="N346" s="78">
        <f t="shared" ca="1" si="315"/>
      </c>
      <c r="O346" s="96"/>
      <c r="P346" s="79">
        <f t="shared" ca="1" si="316"/>
      </c>
      <c r="Q346" s="80">
        <f t="shared" ca="1" si="317"/>
      </c>
      <c r="R346" s="96"/>
      <c r="S346" s="81">
        <v>43571</v>
      </c>
      <c r="T346" s="82" t="s">
        <v>284</v>
      </c>
      <c r="U346" s="97"/>
    </row>
    <row r="347" spans="1:21" s="610" customFormat="1" x14ac:dyDescent="0.3">
      <c r="A347" s="73">
        <v>86</v>
      </c>
      <c r="B347" s="137" t="str">
        <f t="shared" si="311"/>
      </c>
      <c r="C347" s="96"/>
      <c r="D347" s="76" t="str">
        <f t="shared" ca="1" si="312"/>
      </c>
      <c r="E347" s="77" t="s">
        <v>287</v>
      </c>
      <c r="F347" s="137" t="s">
        <v>283</v>
      </c>
      <c r="G347" s="137"/>
      <c r="H347" s="96"/>
      <c r="I347" s="78">
        <v>249</v>
      </c>
      <c r="J347" s="78">
        <v>249</v>
      </c>
      <c r="K347" s="78">
        <f t="shared" si="313"/>
      </c>
      <c r="L347" s="96"/>
      <c r="M347" s="137" t="str">
        <f t="shared" si="314"/>
      </c>
      <c r="N347" s="78">
        <f t="shared" ca="1" si="315"/>
      </c>
      <c r="O347" s="96"/>
      <c r="P347" s="79">
        <f t="shared" ca="1" si="316"/>
      </c>
      <c r="Q347" s="80">
        <f t="shared" ca="1" si="317"/>
      </c>
      <c r="R347" s="96"/>
      <c r="S347" s="81">
        <v>43571</v>
      </c>
      <c r="T347" s="82" t="s">
        <v>284</v>
      </c>
      <c r="U347" s="97"/>
    </row>
    <row r="348" spans="1:21" s="610" customFormat="1" x14ac:dyDescent="0.3">
      <c r="A348" s="73">
        <v>85</v>
      </c>
      <c r="B348" s="137" t="str">
        <f t="shared" si="311"/>
      </c>
      <c r="C348" s="96"/>
      <c r="D348" s="76" t="str">
        <f t="shared" ca="1" si="312"/>
      </c>
      <c r="E348" s="77" t="s">
        <v>288</v>
      </c>
      <c r="F348" s="137" t="s">
        <v>283</v>
      </c>
      <c r="G348" s="137"/>
      <c r="H348" s="96"/>
      <c r="I348" s="84">
        <v>5.5E-2</v>
      </c>
      <c r="J348" s="84">
        <v>5.5E-2</v>
      </c>
      <c r="K348" s="84">
        <f t="shared" si="313"/>
      </c>
      <c r="L348" s="96"/>
      <c r="M348" s="137" t="str">
        <f t="shared" si="314"/>
      </c>
      <c r="N348" s="84">
        <f t="shared" ca="1" si="315"/>
      </c>
      <c r="O348" s="96"/>
      <c r="P348" s="85">
        <f t="shared" ca="1" si="316"/>
      </c>
      <c r="Q348" s="80">
        <f t="shared" ca="1" si="317"/>
      </c>
      <c r="R348" s="96"/>
      <c r="S348" s="81">
        <v>43571</v>
      </c>
      <c r="T348" s="82" t="s">
        <v>284</v>
      </c>
      <c r="U348" s="97"/>
    </row>
    <row r="349" spans="1:21" s="610" customFormat="1" x14ac:dyDescent="0.3">
      <c r="A349" s="73">
        <v>84</v>
      </c>
      <c r="B349" s="137" t="str">
        <f t="shared" si="311"/>
      </c>
      <c r="C349" s="96"/>
      <c r="D349" s="76" t="str">
        <f t="shared" ca="1" si="312"/>
      </c>
      <c r="E349" s="77" t="s">
        <v>2437</v>
      </c>
      <c r="F349" s="137" t="s">
        <v>283</v>
      </c>
      <c r="G349" s="137"/>
      <c r="H349" s="96"/>
      <c r="I349" s="78">
        <v>2277</v>
      </c>
      <c r="J349" s="78">
        <v>2277</v>
      </c>
      <c r="K349" s="78">
        <f t="shared" si="313"/>
      </c>
      <c r="L349" s="96"/>
      <c r="M349" s="137" t="str">
        <f t="shared" si="314"/>
      </c>
      <c r="N349" s="78">
        <f t="shared" ca="1" si="315"/>
      </c>
      <c r="O349" s="96"/>
      <c r="P349" s="79">
        <f t="shared" ca="1" si="316"/>
      </c>
      <c r="Q349" s="80">
        <f t="shared" ca="1" si="317"/>
      </c>
      <c r="R349" s="96"/>
      <c r="S349" s="81">
        <v>43571</v>
      </c>
      <c r="T349" s="82" t="s">
        <v>284</v>
      </c>
      <c r="U349" s="97"/>
    </row>
    <row r="350" spans="1:21" s="610" customFormat="1" x14ac:dyDescent="0.3">
      <c r="A350" s="73">
        <v>83</v>
      </c>
      <c r="B350" s="137" t="str">
        <f t="shared" si="311"/>
      </c>
      <c r="C350" s="96"/>
      <c r="D350" s="76" t="s">
        <v>289</v>
      </c>
      <c r="E350" s="77" t="s">
        <v>2438</v>
      </c>
      <c r="F350" s="137" t="s">
        <v>283</v>
      </c>
      <c r="G350" s="137"/>
      <c r="H350" s="96"/>
      <c r="I350" s="78">
        <v>795</v>
      </c>
      <c r="J350" s="78">
        <v>795</v>
      </c>
      <c r="K350" s="78">
        <f t="shared" si="313"/>
      </c>
      <c r="L350" s="96"/>
      <c r="M350" s="137" t="str">
        <f t="shared" si="314"/>
      </c>
      <c r="N350" s="78">
        <f t="shared" ca="1" si="315"/>
      </c>
      <c r="O350" s="774"/>
      <c r="P350" s="79">
        <f t="shared" ca="1" si="316"/>
      </c>
      <c r="Q350" s="80">
        <f t="shared" ca="1" si="317"/>
      </c>
      <c r="R350" s="96"/>
      <c r="S350" s="81">
        <v>43571</v>
      </c>
      <c r="T350" s="82" t="s">
        <v>284</v>
      </c>
      <c r="U350" s="97"/>
    </row>
    <row r="351" spans="1:21" s="610" customFormat="1" x14ac:dyDescent="0.3">
      <c r="A351" s="73">
        <v>82</v>
      </c>
      <c r="B351" s="137" t="str">
        <f t="shared" si="311"/>
      </c>
      <c r="C351" s="96"/>
      <c r="D351" s="76" t="s">
        <v>290</v>
      </c>
      <c r="E351" s="77"/>
      <c r="F351" s="137" t="s">
        <v>283</v>
      </c>
      <c r="G351" s="137"/>
      <c r="H351" s="96"/>
      <c r="I351" s="83">
        <v>0.34899999999999998</v>
      </c>
      <c r="J351" s="83">
        <v>0.34899999999999998</v>
      </c>
      <c r="K351" s="83">
        <f t="shared" si="313"/>
      </c>
      <c r="L351" s="96"/>
      <c r="M351" s="137" t="str">
        <f t="shared" si="314"/>
      </c>
      <c r="N351" s="83" t="str">
        <f t="shared" ca="1" si="315"/>
      </c>
      <c r="O351" s="96"/>
      <c r="P351" s="80" t="str">
        <f t="shared" ca="1" si="316"/>
      </c>
      <c r="Q351" s="80" t="str">
        <f t="shared" ca="1" si="317"/>
      </c>
      <c r="R351" s="96"/>
      <c r="S351" s="81">
        <v>43571</v>
      </c>
      <c r="T351" s="82" t="s">
        <v>284</v>
      </c>
      <c r="U351" s="97"/>
    </row>
    <row r="352" spans="1:21" s="610" customFormat="1" x14ac:dyDescent="0.3">
      <c r="A352" s="73">
        <v>81</v>
      </c>
      <c r="B352" s="137" t="str">
        <f t="shared" si="311"/>
      </c>
      <c r="C352" s="96"/>
      <c r="D352" s="76" t="str">
        <f ca="1">INDEX(INDIRECT(E352),0,COLUMN(MO_Common_Column_A))</f>
      </c>
      <c r="E352" s="77" t="s">
        <v>2440</v>
      </c>
      <c r="F352" s="137" t="s">
        <v>283</v>
      </c>
      <c r="G352" s="137"/>
      <c r="H352" s="96"/>
      <c r="I352" s="78">
        <v>60530</v>
      </c>
      <c r="J352" s="78">
        <v>60530</v>
      </c>
      <c r="K352" s="78">
        <f t="shared" si="313"/>
      </c>
      <c r="L352" s="96"/>
      <c r="M352" s="137" t="str">
        <f t="shared" si="314"/>
      </c>
      <c r="N352" s="78">
        <f t="shared" ca="1" si="315"/>
      </c>
      <c r="O352" s="96"/>
      <c r="P352" s="79">
        <f t="shared" ca="1" si="316"/>
      </c>
      <c r="Q352" s="80">
        <f t="shared" ca="1" si="317"/>
      </c>
      <c r="R352" s="96"/>
      <c r="S352" s="81">
        <v>43571</v>
      </c>
      <c r="T352" s="82" t="s">
        <v>284</v>
      </c>
      <c r="U352" s="97"/>
    </row>
    <row r="353" spans="1:21" s="610" customFormat="1" x14ac:dyDescent="0.3">
      <c r="A353" s="73">
        <v>80</v>
      </c>
      <c r="B353" s="137" t="str">
        <f t="shared" si="311"/>
      </c>
      <c r="C353" s="96"/>
      <c r="D353" s="76" t="str">
        <f ca="1">INDEX(INDIRECT(E353),0,COLUMN(MO_Common_Column_A))</f>
      </c>
      <c r="E353" s="77" t="s">
        <v>2441</v>
      </c>
      <c r="F353" s="137" t="s">
        <v>283</v>
      </c>
      <c r="G353" s="137"/>
      <c r="H353" s="96"/>
      <c r="I353" s="78">
        <v>300</v>
      </c>
      <c r="J353" s="78">
        <v>300</v>
      </c>
      <c r="K353" s="78">
        <f t="shared" si="313"/>
      </c>
      <c r="L353" s="96"/>
      <c r="M353" s="137" t="str">
        <f t="shared" si="314"/>
      </c>
      <c r="N353" s="78">
        <f t="shared" ca="1" si="315"/>
      </c>
      <c r="O353" s="96"/>
      <c r="P353" s="79">
        <f t="shared" ca="1" si="316"/>
      </c>
      <c r="Q353" s="80">
        <f t="shared" ca="1" si="317"/>
      </c>
      <c r="R353" s="96"/>
      <c r="S353" s="81">
        <v>43571</v>
      </c>
      <c r="T353" s="82" t="s">
        <v>284</v>
      </c>
      <c r="U353" s="97"/>
    </row>
    <row r="354" spans="1:21" s="610" customFormat="1" x14ac:dyDescent="0.3">
      <c r="A354" s="73">
        <v>79</v>
      </c>
      <c r="B354" s="137" t="str">
        <f t="shared" si="311"/>
      </c>
      <c r="C354" s="96"/>
      <c r="D354" s="76" t="s">
        <v>291</v>
      </c>
      <c r="E354" s="77" t="s">
        <v>654</v>
      </c>
      <c r="F354" s="137" t="s">
        <v>283</v>
      </c>
      <c r="G354" s="137"/>
      <c r="H354" s="96"/>
      <c r="I354" s="83">
        <v>0.125</v>
      </c>
      <c r="J354" s="83">
        <v>0.125</v>
      </c>
      <c r="K354" s="83">
        <f t="shared" si="313"/>
      </c>
      <c r="L354" s="96"/>
      <c r="M354" s="137" t="str">
        <f t="shared" si="314"/>
      </c>
      <c r="N354" s="83">
        <f t="shared" ca="1" si="315"/>
      </c>
      <c r="O354" s="86"/>
      <c r="P354" s="80">
        <f t="shared" ca="1" si="316"/>
      </c>
      <c r="Q354" s="80">
        <f t="shared" ca="1" si="317"/>
      </c>
      <c r="R354" s="96"/>
      <c r="S354" s="81">
        <v>43571</v>
      </c>
      <c r="T354" s="82" t="s">
        <v>284</v>
      </c>
      <c r="U354" s="97"/>
    </row>
    <row r="355" spans="1:21" s="610" customFormat="1" x14ac:dyDescent="0.3">
      <c r="A355" s="73">
        <v>78</v>
      </c>
      <c r="B355" s="137" t="str">
        <f t="shared" si="311"/>
      </c>
      <c r="C355" s="96"/>
      <c r="D355" s="76" t="s">
        <v>292</v>
      </c>
      <c r="E355" s="77"/>
      <c r="F355" s="137" t="s">
        <v>283</v>
      </c>
      <c r="G355" s="137"/>
      <c r="H355" s="96"/>
      <c r="I355" s="78">
        <v>0.3</v>
      </c>
      <c r="J355" s="78">
        <v>0.13</v>
      </c>
      <c r="K355" s="78">
        <f t="shared" si="313"/>
      </c>
      <c r="L355" s="96"/>
      <c r="M355" s="137" t="str">
        <f t="shared" si="314"/>
      </c>
      <c r="N355" s="78" t="str">
        <f t="shared" ca="1" si="315"/>
      </c>
      <c r="O355" s="96"/>
      <c r="P355" s="79" t="str">
        <f t="shared" ca="1" si="316"/>
      </c>
      <c r="Q355" s="80" t="str">
        <f t="shared" ca="1" si="317"/>
      </c>
      <c r="R355" s="96"/>
      <c r="S355" s="81">
        <v>43571</v>
      </c>
      <c r="T355" s="82" t="s">
        <v>284</v>
      </c>
      <c r="U355" s="97"/>
    </row>
    <row r="356" spans="1:21" s="610" customFormat="1" x14ac:dyDescent="0.3">
      <c r="A356" s="73">
        <v>77</v>
      </c>
      <c r="B356" s="137" t="str">
        <f t="shared" si="311"/>
      </c>
      <c r="C356" s="96"/>
      <c r="D356" s="76" t="str">
        <f ca="1">INDEX(INDIRECT(E356),0,COLUMN(MO_Common_Column_A))</f>
      </c>
      <c r="E356" s="77" t="s">
        <v>2442</v>
      </c>
      <c r="F356" s="137" t="s">
        <v>283</v>
      </c>
      <c r="G356" s="137"/>
      <c r="H356" s="96"/>
      <c r="I356" s="78">
        <v>2575</v>
      </c>
      <c r="J356" s="78">
        <v>2575</v>
      </c>
      <c r="K356" s="78">
        <f t="shared" si="313"/>
      </c>
      <c r="L356" s="96"/>
      <c r="M356" s="137" t="str">
        <f t="shared" si="314"/>
      </c>
      <c r="N356" s="78">
        <f t="shared" ca="1" si="315"/>
      </c>
      <c r="O356" s="96"/>
      <c r="P356" s="79">
        <f t="shared" ca="1" si="316"/>
      </c>
      <c r="Q356" s="80">
        <f t="shared" ca="1" si="317"/>
      </c>
      <c r="R356" s="96"/>
      <c r="S356" s="81">
        <v>43571</v>
      </c>
      <c r="T356" s="82" t="s">
        <v>284</v>
      </c>
      <c r="U356" s="97"/>
    </row>
    <row r="357" spans="1:21" s="610" customFormat="1" x14ac:dyDescent="0.3">
      <c r="A357" s="73">
        <v>76</v>
      </c>
      <c r="B357" s="137" t="str">
        <f t="shared" si="311"/>
      </c>
      <c r="C357" s="96"/>
      <c r="D357" s="76" t="s">
        <v>293</v>
      </c>
      <c r="E357" s="77" t="s">
        <v>2443</v>
      </c>
      <c r="F357" s="137" t="s">
        <v>283</v>
      </c>
      <c r="G357" s="137"/>
      <c r="H357" s="96"/>
      <c r="I357" s="78">
        <v>400</v>
      </c>
      <c r="J357" s="78">
        <v>400</v>
      </c>
      <c r="K357" s="78">
        <f t="shared" si="313"/>
      </c>
      <c r="L357" s="96"/>
      <c r="M357" s="137" t="str">
        <f t="shared" si="314"/>
      </c>
      <c r="N357" s="78">
        <f t="shared" ca="1" si="315"/>
      </c>
      <c r="O357" s="96"/>
      <c r="P357" s="79">
        <f t="shared" ca="1" si="316"/>
      </c>
      <c r="Q357" s="80">
        <f t="shared" ca="1" si="317"/>
      </c>
      <c r="R357" s="96"/>
      <c r="S357" s="81">
        <v>43571</v>
      </c>
      <c r="T357" s="82" t="s">
        <v>284</v>
      </c>
      <c r="U357" s="97"/>
    </row>
    <row r="358" spans="1:21" s="610" customFormat="1" x14ac:dyDescent="0.3">
      <c r="A358" s="73">
        <v>75</v>
      </c>
      <c r="B358" s="137" t="str">
        <f t="shared" si="311"/>
      </c>
      <c r="C358" s="96"/>
      <c r="D358" s="76" t="s">
        <v>294</v>
      </c>
      <c r="E358" s="77"/>
      <c r="F358" s="137" t="s">
        <v>283</v>
      </c>
      <c r="G358" s="137"/>
      <c r="H358" s="96"/>
      <c r="I358" s="83">
        <v>0.155</v>
      </c>
      <c r="J358" s="83">
        <v>0.155</v>
      </c>
      <c r="K358" s="83">
        <f t="shared" si="313"/>
      </c>
      <c r="L358" s="96"/>
      <c r="M358" s="137" t="str">
        <f t="shared" si="314"/>
      </c>
      <c r="N358" s="83" t="str">
        <f t="shared" ca="1" si="315"/>
      </c>
      <c r="O358" s="86"/>
      <c r="P358" s="80" t="str">
        <f t="shared" ca="1" si="316"/>
      </c>
      <c r="Q358" s="80" t="str">
        <f t="shared" ca="1" si="317"/>
      </c>
      <c r="R358" s="96"/>
      <c r="S358" s="81">
        <v>43571</v>
      </c>
      <c r="T358" s="82" t="s">
        <v>284</v>
      </c>
      <c r="U358" s="97"/>
    </row>
    <row r="359" spans="1:21" s="610" customFormat="1" x14ac:dyDescent="0.3">
      <c r="A359" s="73">
        <v>74</v>
      </c>
      <c r="B359" s="137" t="str">
        <f t="shared" si="311"/>
      </c>
      <c r="C359" s="96"/>
      <c r="D359" s="76" t="str">
        <f ca="1">INDEX(INDIRECT(E359),0,COLUMN(MO_Common_Column_A))</f>
      </c>
      <c r="E359" s="77" t="s">
        <v>2445</v>
      </c>
      <c r="F359" s="137" t="s">
        <v>283</v>
      </c>
      <c r="G359" s="137"/>
      <c r="H359" s="96"/>
      <c r="I359" s="78">
        <v>93330</v>
      </c>
      <c r="J359" s="78">
        <v>93330</v>
      </c>
      <c r="K359" s="78">
        <f t="shared" si="313"/>
      </c>
      <c r="L359" s="96"/>
      <c r="M359" s="137" t="str">
        <f t="shared" si="314"/>
      </c>
      <c r="N359" s="78">
        <f t="shared" ca="1" si="315"/>
      </c>
      <c r="O359" s="96"/>
      <c r="P359" s="79">
        <f t="shared" ca="1" si="316"/>
      </c>
      <c r="Q359" s="80">
        <f t="shared" ca="1" si="317"/>
      </c>
      <c r="R359" s="96"/>
      <c r="S359" s="81">
        <v>43571</v>
      </c>
      <c r="T359" s="82" t="s">
        <v>284</v>
      </c>
      <c r="U359" s="97"/>
    </row>
    <row r="360" spans="1:21" s="610" customFormat="1" x14ac:dyDescent="0.3">
      <c r="A360" s="73">
        <v>73</v>
      </c>
      <c r="B360" s="137" t="str">
        <f t="shared" si="311"/>
      </c>
      <c r="C360" s="96"/>
      <c r="D360" s="76" t="str">
        <f ca="1">INDEX(INDIRECT(E360),0,COLUMN(MO_Common_Column_A))</f>
      </c>
      <c r="E360" s="77" t="s">
        <v>2446</v>
      </c>
      <c r="F360" s="137" t="s">
        <v>283</v>
      </c>
      <c r="G360" s="137"/>
      <c r="H360" s="96"/>
      <c r="I360" s="78">
        <v>4700</v>
      </c>
      <c r="J360" s="78">
        <v>4700</v>
      </c>
      <c r="K360" s="78">
        <f t="shared" si="313"/>
      </c>
      <c r="L360" s="96"/>
      <c r="M360" s="137" t="str">
        <f t="shared" si="314"/>
      </c>
      <c r="N360" s="78">
        <f t="shared" ca="1" si="315"/>
      </c>
      <c r="O360" s="96"/>
      <c r="P360" s="79">
        <f t="shared" ca="1" si="316"/>
      </c>
      <c r="Q360" s="80">
        <f t="shared" ca="1" si="317"/>
      </c>
      <c r="R360" s="96"/>
      <c r="S360" s="81">
        <v>43571</v>
      </c>
      <c r="T360" s="82" t="s">
        <v>284</v>
      </c>
      <c r="U360" s="97"/>
    </row>
    <row r="361" spans="1:21" s="610" customFormat="1" x14ac:dyDescent="0.3">
      <c r="A361" s="73">
        <v>72</v>
      </c>
      <c r="B361" s="96"/>
      <c r="C361" s="96"/>
      <c r="D361" s="87"/>
      <c r="E361" s="96"/>
      <c r="F361" s="96"/>
      <c r="G361" s="96"/>
      <c r="H361" s="96"/>
      <c r="I361" s="96"/>
      <c r="J361" s="96"/>
      <c r="K361" s="96"/>
      <c r="L361" s="96"/>
      <c r="M361" s="96"/>
      <c r="N361" s="96"/>
      <c r="O361" s="96"/>
      <c r="P361" s="87"/>
      <c r="Q361" s="87"/>
      <c r="R361" s="96"/>
      <c r="S361" s="96"/>
      <c r="T361" s="179"/>
      <c r="U361" s="96"/>
    </row>
    <row r="362" spans="1:21" s="610" customFormat="1" x14ac:dyDescent="0.3">
      <c r="A362" s="73">
        <v>71</v>
      </c>
      <c r="B362" s="137" t="str">
        <f t="shared" ref="B362:B378" si="318">IF(INDEX(MO_SNA_IsHistoricalPeriod,,MATCH(F362,MO_Common_ColumnHeader,0)),"Historical","Forward")</f>
      </c>
      <c r="C362" s="96"/>
      <c r="D362" s="76" t="str">
        <f t="shared" ref="D362:D367" ca="1" si="319">INDEX(INDIRECT(E362),0,COLUMN(MO_Common_Column_A))</f>
      </c>
      <c r="E362" s="77" t="s">
        <v>282</v>
      </c>
      <c r="F362" s="137" t="s">
        <v>296</v>
      </c>
      <c r="G362" s="137"/>
      <c r="H362" s="96"/>
      <c r="I362" s="78">
        <v>4494</v>
      </c>
      <c r="J362" s="78">
        <v>4494</v>
      </c>
      <c r="K362" s="78">
        <f t="shared" ref="K362:K378" si="320">AVERAGE(I362:J362)</f>
      </c>
      <c r="L362" s="96"/>
      <c r="M362" s="137" t="str">
        <f t="shared" ref="M362:M378" si="321">IF(INDEX(MO_SNA_IsHistoricalPeriod,,MATCH(F362,MO_Common_ColumnHeader,0)),"Actual","Estimate")</f>
      </c>
      <c r="N362" s="78">
        <f t="shared" ref="N362:N378" ca="1" si="322">IFERROR(INDEX(INDIRECT(E362),0,MATCH(F362,MO_Common_ColumnHeader,0)),"N/A")</f>
      </c>
      <c r="O362" s="96"/>
      <c r="P362" s="79">
        <f t="shared" ref="P362:P378" ca="1" si="323">IF(ISNUMBER(N362),N362-K362,"N/A")</f>
      </c>
      <c r="Q362" s="80">
        <f t="shared" ref="Q362:Q378" ca="1" si="324">IFERROR(IF(ISNUMBER(N362),(N362-K362)/ABS(K362),"N/A"),"N/A")</f>
      </c>
      <c r="R362" s="96"/>
      <c r="S362" s="81">
        <v>43482</v>
      </c>
      <c r="T362" s="82" t="s">
        <v>284</v>
      </c>
      <c r="U362" s="97"/>
    </row>
    <row r="363" spans="1:21" s="610" customFormat="1" x14ac:dyDescent="0.3">
      <c r="A363" s="73">
        <v>70</v>
      </c>
      <c r="B363" s="137" t="str">
        <f t="shared" si="318"/>
      </c>
      <c r="C363" s="96"/>
      <c r="D363" s="76" t="str">
        <f t="shared" ca="1" si="319"/>
      </c>
      <c r="E363" s="77" t="s">
        <v>285</v>
      </c>
      <c r="F363" s="137" t="s">
        <v>296</v>
      </c>
      <c r="G363" s="137"/>
      <c r="H363" s="96"/>
      <c r="I363" s="83">
        <v>0.214</v>
      </c>
      <c r="J363" s="83">
        <v>0.214</v>
      </c>
      <c r="K363" s="83">
        <f t="shared" si="320"/>
      </c>
      <c r="L363" s="96"/>
      <c r="M363" s="137" t="str">
        <f t="shared" si="321"/>
      </c>
      <c r="N363" s="83">
        <f t="shared" ca="1" si="322"/>
      </c>
      <c r="O363" s="96"/>
      <c r="P363" s="80">
        <f t="shared" ca="1" si="323"/>
      </c>
      <c r="Q363" s="80">
        <f t="shared" ca="1" si="324"/>
      </c>
      <c r="R363" s="96"/>
      <c r="S363" s="81">
        <v>43482</v>
      </c>
      <c r="T363" s="82" t="s">
        <v>284</v>
      </c>
      <c r="U363" s="97"/>
    </row>
    <row r="364" spans="1:21" s="610" customFormat="1" x14ac:dyDescent="0.3">
      <c r="A364" s="73">
        <v>69</v>
      </c>
      <c r="B364" s="137" t="str">
        <f t="shared" si="318"/>
      </c>
      <c r="C364" s="96"/>
      <c r="D364" s="76" t="str">
        <f t="shared" ca="1" si="319"/>
      </c>
      <c r="E364" s="77" t="s">
        <v>286</v>
      </c>
      <c r="F364" s="137" t="s">
        <v>296</v>
      </c>
      <c r="G364" s="137"/>
      <c r="H364" s="96"/>
      <c r="I364" s="78">
        <v>400</v>
      </c>
      <c r="J364" s="78">
        <v>400</v>
      </c>
      <c r="K364" s="78">
        <f t="shared" si="320"/>
      </c>
      <c r="L364" s="96"/>
      <c r="M364" s="137" t="str">
        <f t="shared" si="321"/>
      </c>
      <c r="N364" s="78">
        <f t="shared" ca="1" si="322"/>
      </c>
      <c r="O364" s="96"/>
      <c r="P364" s="79">
        <f t="shared" ca="1" si="323"/>
      </c>
      <c r="Q364" s="80">
        <f t="shared" ca="1" si="324"/>
      </c>
      <c r="R364" s="96"/>
      <c r="S364" s="81">
        <v>43482</v>
      </c>
      <c r="T364" s="82" t="s">
        <v>284</v>
      </c>
      <c r="U364" s="97"/>
    </row>
    <row r="365" spans="1:21" s="610" customFormat="1" x14ac:dyDescent="0.3">
      <c r="A365" s="73">
        <v>68</v>
      </c>
      <c r="B365" s="137" t="str">
        <f t="shared" si="318"/>
      </c>
      <c r="C365" s="96"/>
      <c r="D365" s="76" t="str">
        <f t="shared" ca="1" si="319"/>
      </c>
      <c r="E365" s="77" t="s">
        <v>287</v>
      </c>
      <c r="F365" s="137" t="s">
        <v>296</v>
      </c>
      <c r="G365" s="137"/>
      <c r="H365" s="96"/>
      <c r="I365" s="78">
        <v>253</v>
      </c>
      <c r="J365" s="78">
        <v>253</v>
      </c>
      <c r="K365" s="78">
        <f t="shared" si="320"/>
      </c>
      <c r="L365" s="96"/>
      <c r="M365" s="137" t="str">
        <f t="shared" si="321"/>
      </c>
      <c r="N365" s="78">
        <f t="shared" ca="1" si="322"/>
      </c>
      <c r="O365" s="96"/>
      <c r="P365" s="79">
        <f t="shared" ca="1" si="323"/>
      </c>
      <c r="Q365" s="80">
        <f t="shared" ca="1" si="324"/>
      </c>
      <c r="R365" s="96"/>
      <c r="S365" s="81">
        <v>43482</v>
      </c>
      <c r="T365" s="82" t="s">
        <v>284</v>
      </c>
      <c r="U365" s="97"/>
    </row>
    <row r="366" spans="1:21" s="610" customFormat="1" x14ac:dyDescent="0.3">
      <c r="A366" s="73">
        <v>67</v>
      </c>
      <c r="B366" s="137" t="str">
        <f t="shared" si="318"/>
      </c>
      <c r="C366" s="96"/>
      <c r="D366" s="76" t="str">
        <f t="shared" ca="1" si="319"/>
      </c>
      <c r="E366" s="77" t="s">
        <v>288</v>
      </c>
      <c r="F366" s="137" t="s">
        <v>296</v>
      </c>
      <c r="G366" s="137"/>
      <c r="H366" s="96"/>
      <c r="I366" s="84">
        <v>5.6000000000000001E-2</v>
      </c>
      <c r="J366" s="84">
        <v>5.6000000000000001E-2</v>
      </c>
      <c r="K366" s="84">
        <f t="shared" si="320"/>
      </c>
      <c r="L366" s="96"/>
      <c r="M366" s="137" t="str">
        <f t="shared" si="321"/>
      </c>
      <c r="N366" s="84">
        <f t="shared" ca="1" si="322"/>
      </c>
      <c r="O366" s="96"/>
      <c r="P366" s="85">
        <f t="shared" ca="1" si="323"/>
      </c>
      <c r="Q366" s="80">
        <f t="shared" ca="1" si="324"/>
      </c>
      <c r="R366" s="96"/>
      <c r="S366" s="81">
        <v>43482</v>
      </c>
      <c r="T366" s="82" t="s">
        <v>284</v>
      </c>
      <c r="U366" s="97"/>
    </row>
    <row r="367" spans="1:21" s="610" customFormat="1" x14ac:dyDescent="0.3">
      <c r="A367" s="73">
        <v>66</v>
      </c>
      <c r="B367" s="137" t="str">
        <f t="shared" si="318"/>
      </c>
      <c r="C367" s="96"/>
      <c r="D367" s="76" t="str">
        <f t="shared" ca="1" si="319"/>
      </c>
      <c r="E367" s="77" t="s">
        <v>2437</v>
      </c>
      <c r="F367" s="137" t="s">
        <v>296</v>
      </c>
      <c r="G367" s="137"/>
      <c r="H367" s="96"/>
      <c r="I367" s="78">
        <v>2064</v>
      </c>
      <c r="J367" s="78">
        <v>2064</v>
      </c>
      <c r="K367" s="78">
        <f t="shared" si="320"/>
      </c>
      <c r="L367" s="96"/>
      <c r="M367" s="137" t="str">
        <f t="shared" si="321"/>
      </c>
      <c r="N367" s="78">
        <f t="shared" ca="1" si="322"/>
      </c>
      <c r="O367" s="96"/>
      <c r="P367" s="79">
        <f t="shared" ca="1" si="323"/>
      </c>
      <c r="Q367" s="80">
        <f t="shared" ca="1" si="324"/>
      </c>
      <c r="R367" s="96"/>
      <c r="S367" s="81">
        <v>43482</v>
      </c>
      <c r="T367" s="82" t="s">
        <v>284</v>
      </c>
      <c r="U367" s="97"/>
    </row>
    <row r="368" spans="1:21" s="610" customFormat="1" x14ac:dyDescent="0.3">
      <c r="A368" s="73">
        <v>65</v>
      </c>
      <c r="B368" s="137" t="str">
        <f t="shared" si="318"/>
      </c>
      <c r="C368" s="96"/>
      <c r="D368" s="76" t="s">
        <v>289</v>
      </c>
      <c r="E368" s="77" t="s">
        <v>2438</v>
      </c>
      <c r="F368" s="137" t="s">
        <v>296</v>
      </c>
      <c r="G368" s="137"/>
      <c r="H368" s="96"/>
      <c r="I368" s="78">
        <v>705</v>
      </c>
      <c r="J368" s="78">
        <v>705</v>
      </c>
      <c r="K368" s="78">
        <f t="shared" si="320"/>
      </c>
      <c r="L368" s="96"/>
      <c r="M368" s="137" t="str">
        <f t="shared" si="321"/>
      </c>
      <c r="N368" s="78">
        <f t="shared" ca="1" si="322"/>
      </c>
      <c r="O368" s="774"/>
      <c r="P368" s="79">
        <f t="shared" ca="1" si="323"/>
      </c>
      <c r="Q368" s="80">
        <f t="shared" ca="1" si="324"/>
      </c>
      <c r="R368" s="96"/>
      <c r="S368" s="81">
        <v>43482</v>
      </c>
      <c r="T368" s="82" t="s">
        <v>284</v>
      </c>
      <c r="U368" s="97"/>
    </row>
    <row r="369" spans="1:21" s="610" customFormat="1" x14ac:dyDescent="0.3">
      <c r="A369" s="73">
        <v>64</v>
      </c>
      <c r="B369" s="137" t="str">
        <f t="shared" si="318"/>
      </c>
      <c r="C369" s="96"/>
      <c r="D369" s="76" t="s">
        <v>290</v>
      </c>
      <c r="E369" s="77"/>
      <c r="F369" s="137" t="s">
        <v>296</v>
      </c>
      <c r="G369" s="137"/>
      <c r="H369" s="96"/>
      <c r="I369" s="83">
        <v>0.34200000000000003</v>
      </c>
      <c r="J369" s="83">
        <v>0.34200000000000003</v>
      </c>
      <c r="K369" s="83">
        <f t="shared" si="320"/>
      </c>
      <c r="L369" s="96"/>
      <c r="M369" s="137" t="str">
        <f t="shared" si="321"/>
      </c>
      <c r="N369" s="83" t="str">
        <f t="shared" ca="1" si="322"/>
      </c>
      <c r="O369" s="96"/>
      <c r="P369" s="80" t="str">
        <f t="shared" ca="1" si="323"/>
      </c>
      <c r="Q369" s="80" t="str">
        <f t="shared" ca="1" si="324"/>
      </c>
      <c r="R369" s="96"/>
      <c r="S369" s="81">
        <v>43482</v>
      </c>
      <c r="T369" s="82" t="s">
        <v>284</v>
      </c>
      <c r="U369" s="97"/>
    </row>
    <row r="370" spans="1:21" s="610" customFormat="1" x14ac:dyDescent="0.3">
      <c r="A370" s="73">
        <v>63</v>
      </c>
      <c r="B370" s="137" t="str">
        <f t="shared" si="318"/>
      </c>
      <c r="C370" s="96"/>
      <c r="D370" s="76" t="str">
        <f ca="1">INDEX(INDIRECT(E370),0,COLUMN(MO_Common_Column_A))</f>
      </c>
      <c r="E370" s="77" t="s">
        <v>2440</v>
      </c>
      <c r="F370" s="137" t="s">
        <v>296</v>
      </c>
      <c r="G370" s="137"/>
      <c r="H370" s="96"/>
      <c r="I370" s="78">
        <v>60090</v>
      </c>
      <c r="J370" s="78">
        <v>60090</v>
      </c>
      <c r="K370" s="78">
        <f t="shared" si="320"/>
      </c>
      <c r="L370" s="96"/>
      <c r="M370" s="137" t="str">
        <f t="shared" si="321"/>
      </c>
      <c r="N370" s="78">
        <f t="shared" ca="1" si="322"/>
      </c>
      <c r="O370" s="96"/>
      <c r="P370" s="79">
        <f t="shared" ca="1" si="323"/>
      </c>
      <c r="Q370" s="80">
        <f t="shared" ca="1" si="324"/>
      </c>
      <c r="R370" s="96"/>
      <c r="S370" s="81">
        <v>43482</v>
      </c>
      <c r="T370" s="82" t="s">
        <v>284</v>
      </c>
      <c r="U370" s="97"/>
    </row>
    <row r="371" spans="1:21" s="610" customFormat="1" x14ac:dyDescent="0.3">
      <c r="A371" s="73">
        <v>62</v>
      </c>
      <c r="B371" s="137" t="str">
        <f t="shared" si="318"/>
      </c>
      <c r="C371" s="96"/>
      <c r="D371" s="76" t="str">
        <f ca="1">INDEX(INDIRECT(E371),0,COLUMN(MO_Common_Column_A))</f>
      </c>
      <c r="E371" s="77" t="s">
        <v>2441</v>
      </c>
      <c r="F371" s="137" t="s">
        <v>296</v>
      </c>
      <c r="G371" s="137"/>
      <c r="H371" s="96"/>
      <c r="I371" s="78">
        <v>1600</v>
      </c>
      <c r="J371" s="78">
        <v>1600</v>
      </c>
      <c r="K371" s="78">
        <f t="shared" si="320"/>
      </c>
      <c r="L371" s="96"/>
      <c r="M371" s="137" t="str">
        <f t="shared" si="321"/>
      </c>
      <c r="N371" s="78">
        <f t="shared" ca="1" si="322"/>
      </c>
      <c r="O371" s="96"/>
      <c r="P371" s="79">
        <f t="shared" ca="1" si="323"/>
      </c>
      <c r="Q371" s="80">
        <f t="shared" ca="1" si="324"/>
      </c>
      <c r="R371" s="96"/>
      <c r="S371" s="81">
        <v>43482</v>
      </c>
      <c r="T371" s="82" t="s">
        <v>284</v>
      </c>
      <c r="U371" s="97"/>
    </row>
    <row r="372" spans="1:21" s="610" customFormat="1" x14ac:dyDescent="0.3">
      <c r="A372" s="73">
        <v>61</v>
      </c>
      <c r="B372" s="137" t="str">
        <f t="shared" si="318"/>
      </c>
      <c r="C372" s="96"/>
      <c r="D372" s="76" t="s">
        <v>291</v>
      </c>
      <c r="E372" s="77" t="s">
        <v>654</v>
      </c>
      <c r="F372" s="137" t="s">
        <v>296</v>
      </c>
      <c r="G372" s="137"/>
      <c r="H372" s="96"/>
      <c r="I372" s="83">
        <v>8.8999999999999996E-2</v>
      </c>
      <c r="J372" s="83">
        <v>8.8999999999999996E-2</v>
      </c>
      <c r="K372" s="83">
        <f t="shared" si="320"/>
      </c>
      <c r="L372" s="96"/>
      <c r="M372" s="137" t="str">
        <f t="shared" si="321"/>
      </c>
      <c r="N372" s="83">
        <f t="shared" ca="1" si="322"/>
      </c>
      <c r="O372" s="86"/>
      <c r="P372" s="80">
        <f t="shared" ca="1" si="323"/>
      </c>
      <c r="Q372" s="80">
        <f t="shared" ca="1" si="324"/>
      </c>
      <c r="R372" s="96"/>
      <c r="S372" s="81">
        <v>43482</v>
      </c>
      <c r="T372" s="82" t="s">
        <v>284</v>
      </c>
      <c r="U372" s="97"/>
    </row>
    <row r="373" spans="1:21" s="610" customFormat="1" x14ac:dyDescent="0.3">
      <c r="A373" s="73">
        <v>60</v>
      </c>
      <c r="B373" s="137" t="str">
        <f t="shared" si="318"/>
      </c>
      <c r="C373" s="96"/>
      <c r="D373" s="76" t="s">
        <v>292</v>
      </c>
      <c r="E373" s="77"/>
      <c r="F373" s="137" t="s">
        <v>296</v>
      </c>
      <c r="G373" s="137"/>
      <c r="H373" s="96"/>
      <c r="I373" s="78">
        <v>1.6</v>
      </c>
      <c r="J373" s="78">
        <v>1.6</v>
      </c>
      <c r="K373" s="78">
        <f t="shared" si="320"/>
      </c>
      <c r="L373" s="96"/>
      <c r="M373" s="137" t="str">
        <f t="shared" si="321"/>
      </c>
      <c r="N373" s="78" t="str">
        <f t="shared" ca="1" si="322"/>
      </c>
      <c r="O373" s="96"/>
      <c r="P373" s="79" t="str">
        <f t="shared" ca="1" si="323"/>
      </c>
      <c r="Q373" s="80" t="str">
        <f t="shared" ca="1" si="324"/>
      </c>
      <c r="R373" s="96"/>
      <c r="S373" s="81">
        <v>43482</v>
      </c>
      <c r="T373" s="82" t="s">
        <v>284</v>
      </c>
      <c r="U373" s="97"/>
    </row>
    <row r="374" spans="1:21" s="610" customFormat="1" x14ac:dyDescent="0.3">
      <c r="A374" s="73">
        <v>59</v>
      </c>
      <c r="B374" s="137" t="str">
        <f t="shared" si="318"/>
      </c>
      <c r="C374" s="96"/>
      <c r="D374" s="76" t="str">
        <f ca="1">INDEX(INDIRECT(E374),0,COLUMN(MO_Common_Column_A))</f>
      </c>
      <c r="E374" s="77" t="s">
        <v>2442</v>
      </c>
      <c r="F374" s="137" t="s">
        <v>296</v>
      </c>
      <c r="G374" s="137"/>
      <c r="H374" s="96"/>
      <c r="I374" s="78">
        <v>2350</v>
      </c>
      <c r="J374" s="78">
        <v>2350</v>
      </c>
      <c r="K374" s="78">
        <f t="shared" si="320"/>
      </c>
      <c r="L374" s="96"/>
      <c r="M374" s="137" t="str">
        <f t="shared" si="321"/>
      </c>
      <c r="N374" s="78">
        <f t="shared" ca="1" si="322"/>
      </c>
      <c r="O374" s="96"/>
      <c r="P374" s="79">
        <f t="shared" ca="1" si="323"/>
      </c>
      <c r="Q374" s="80">
        <f t="shared" ca="1" si="324"/>
      </c>
      <c r="R374" s="96"/>
      <c r="S374" s="81">
        <v>43482</v>
      </c>
      <c r="T374" s="82" t="s">
        <v>284</v>
      </c>
      <c r="U374" s="97"/>
    </row>
    <row r="375" spans="1:21" s="610" customFormat="1" x14ac:dyDescent="0.3">
      <c r="A375" s="73">
        <v>58</v>
      </c>
      <c r="B375" s="137" t="str">
        <f t="shared" si="318"/>
      </c>
      <c r="C375" s="96"/>
      <c r="D375" s="76" t="s">
        <v>293</v>
      </c>
      <c r="E375" s="77" t="s">
        <v>2443</v>
      </c>
      <c r="F375" s="137" t="s">
        <v>296</v>
      </c>
      <c r="G375" s="137"/>
      <c r="H375" s="96"/>
      <c r="I375" s="78">
        <v>230</v>
      </c>
      <c r="J375" s="78">
        <v>230</v>
      </c>
      <c r="K375" s="78">
        <f t="shared" si="320"/>
      </c>
      <c r="L375" s="96"/>
      <c r="M375" s="137" t="str">
        <f t="shared" si="321"/>
      </c>
      <c r="N375" s="78">
        <f t="shared" ca="1" si="322"/>
      </c>
      <c r="O375" s="96"/>
      <c r="P375" s="79">
        <f t="shared" ca="1" si="323"/>
      </c>
      <c r="Q375" s="80">
        <f t="shared" ca="1" si="324"/>
      </c>
      <c r="R375" s="96"/>
      <c r="S375" s="81">
        <v>43482</v>
      </c>
      <c r="T375" s="82" t="s">
        <v>284</v>
      </c>
      <c r="U375" s="97"/>
    </row>
    <row r="376" spans="1:21" s="610" customFormat="1" x14ac:dyDescent="0.3">
      <c r="A376" s="73">
        <v>57</v>
      </c>
      <c r="B376" s="137" t="str">
        <f t="shared" si="318"/>
      </c>
      <c r="C376" s="96"/>
      <c r="D376" s="76" t="s">
        <v>294</v>
      </c>
      <c r="E376" s="77"/>
      <c r="F376" s="137" t="s">
        <v>296</v>
      </c>
      <c r="G376" s="137"/>
      <c r="H376" s="96"/>
      <c r="I376" s="83">
        <v>9.8000000000000004E-2</v>
      </c>
      <c r="J376" s="83">
        <v>9.8000000000000004E-2</v>
      </c>
      <c r="K376" s="83">
        <f t="shared" si="320"/>
      </c>
      <c r="L376" s="96"/>
      <c r="M376" s="137" t="str">
        <f t="shared" si="321"/>
      </c>
      <c r="N376" s="83" t="str">
        <f t="shared" ca="1" si="322"/>
      </c>
      <c r="O376" s="86"/>
      <c r="P376" s="80" t="str">
        <f t="shared" ca="1" si="323"/>
      </c>
      <c r="Q376" s="80" t="str">
        <f t="shared" ca="1" si="324"/>
      </c>
      <c r="R376" s="96"/>
      <c r="S376" s="81">
        <v>43482</v>
      </c>
      <c r="T376" s="82" t="s">
        <v>284</v>
      </c>
      <c r="U376" s="97"/>
    </row>
    <row r="377" spans="1:21" s="610" customFormat="1" x14ac:dyDescent="0.3">
      <c r="A377" s="73">
        <v>56</v>
      </c>
      <c r="B377" s="137" t="str">
        <f t="shared" si="318"/>
      </c>
      <c r="C377" s="96"/>
      <c r="D377" s="76" t="str">
        <f ca="1">INDEX(INDIRECT(E377),0,COLUMN(MO_Common_Column_A))</f>
      </c>
      <c r="E377" s="77" t="s">
        <v>2445</v>
      </c>
      <c r="F377" s="137" t="s">
        <v>296</v>
      </c>
      <c r="G377" s="137"/>
      <c r="H377" s="96"/>
      <c r="I377" s="78">
        <v>88070</v>
      </c>
      <c r="J377" s="78">
        <v>88070</v>
      </c>
      <c r="K377" s="78">
        <f t="shared" si="320"/>
      </c>
      <c r="L377" s="96"/>
      <c r="M377" s="137" t="str">
        <f t="shared" si="321"/>
      </c>
      <c r="N377" s="78">
        <f t="shared" ca="1" si="322"/>
      </c>
      <c r="O377" s="96"/>
      <c r="P377" s="79">
        <f t="shared" ca="1" si="323"/>
      </c>
      <c r="Q377" s="80">
        <f t="shared" ca="1" si="324"/>
      </c>
      <c r="R377" s="96"/>
      <c r="S377" s="81">
        <v>43482</v>
      </c>
      <c r="T377" s="82" t="s">
        <v>284</v>
      </c>
      <c r="U377" s="97"/>
    </row>
    <row r="378" spans="1:21" s="610" customFormat="1" x14ac:dyDescent="0.3">
      <c r="A378" s="73">
        <v>55</v>
      </c>
      <c r="B378" s="137" t="str">
        <f t="shared" si="318"/>
      </c>
      <c r="C378" s="96"/>
      <c r="D378" s="76" t="str">
        <f ca="1">INDEX(INDIRECT(E378),0,COLUMN(MO_Common_Column_A))</f>
      </c>
      <c r="E378" s="77" t="s">
        <v>2446</v>
      </c>
      <c r="F378" s="137" t="s">
        <v>296</v>
      </c>
      <c r="G378" s="137"/>
      <c r="H378" s="96"/>
      <c r="I378" s="78">
        <v>7300</v>
      </c>
      <c r="J378" s="78">
        <v>7300</v>
      </c>
      <c r="K378" s="78">
        <f t="shared" si="320"/>
      </c>
      <c r="L378" s="96"/>
      <c r="M378" s="137" t="str">
        <f t="shared" si="321"/>
      </c>
      <c r="N378" s="78">
        <f t="shared" ca="1" si="322"/>
      </c>
      <c r="O378" s="96"/>
      <c r="P378" s="79">
        <f t="shared" ca="1" si="323"/>
      </c>
      <c r="Q378" s="80">
        <f t="shared" ca="1" si="324"/>
      </c>
      <c r="R378" s="96"/>
      <c r="S378" s="81">
        <v>43482</v>
      </c>
      <c r="T378" s="82" t="s">
        <v>284</v>
      </c>
      <c r="U378" s="97"/>
    </row>
    <row r="379" spans="1:21" s="610" customFormat="1" x14ac:dyDescent="0.3">
      <c r="A379" s="73">
        <v>54</v>
      </c>
      <c r="B379" s="96"/>
      <c r="C379" s="96"/>
      <c r="D379" s="87"/>
      <c r="E379" s="96"/>
      <c r="F379" s="96"/>
      <c r="G379" s="96"/>
      <c r="H379" s="96"/>
      <c r="I379" s="96"/>
      <c r="J379" s="96"/>
      <c r="K379" s="96"/>
      <c r="L379" s="96"/>
      <c r="M379" s="96"/>
      <c r="N379" s="96"/>
      <c r="O379" s="96"/>
      <c r="P379" s="87"/>
      <c r="Q379" s="87"/>
      <c r="R379" s="96"/>
      <c r="S379" s="96"/>
      <c r="T379" s="179"/>
      <c r="U379" s="96"/>
    </row>
    <row r="380" spans="1:21" s="610" customFormat="1" x14ac:dyDescent="0.3">
      <c r="A380" s="73">
        <v>53</v>
      </c>
      <c r="B380" s="137" t="str">
        <f t="shared" ref="B380:B397" si="325">IF(INDEX(MO_SNA_IsHistoricalPeriod,,MATCH(F380,MO_Common_ColumnHeader,0)),"Historical","Forward")</f>
      </c>
      <c r="C380" s="96"/>
      <c r="D380" s="76" t="str">
        <f ca="1">INDEX(INDIRECT(E380),0,COLUMN(MO_Common_Column_A))</f>
      </c>
      <c r="E380" s="77" t="s">
        <v>282</v>
      </c>
      <c r="F380" s="137" t="s">
        <v>297</v>
      </c>
      <c r="G380" s="137"/>
      <c r="H380" s="96"/>
      <c r="I380" s="78">
        <v>4199</v>
      </c>
      <c r="J380" s="78">
        <v>4199</v>
      </c>
      <c r="K380" s="78">
        <f t="shared" ref="K380:K397" si="326">AVERAGE(I380:J380)</f>
      </c>
      <c r="L380" s="96"/>
      <c r="M380" s="137" t="str">
        <f t="shared" ref="M380:M397" si="327">IF(INDEX(MO_SNA_IsHistoricalPeriod,,MATCH(F380,MO_Common_ColumnHeader,0)),"Actual","Estimate")</f>
      </c>
      <c r="N380" s="78">
        <f t="shared" ref="N380:N397" ca="1" si="328">IFERROR(INDEX(INDIRECT(E380),0,MATCH(F380,MO_Common_ColumnHeader,0)),"N/A")</f>
      </c>
      <c r="O380" s="96"/>
      <c r="P380" s="79">
        <f t="shared" ref="P380:P397" ca="1" si="329">IF(ISNUMBER(N380),N380-K380,"N/A")</f>
      </c>
      <c r="Q380" s="80">
        <f t="shared" ref="Q380:Q397" ca="1" si="330">IFERROR(IF(ISNUMBER(N380),(N380-K380)/ABS(K380),"N/A"),"N/A")</f>
      </c>
      <c r="R380" s="96"/>
      <c r="S380" s="81">
        <v>43389</v>
      </c>
      <c r="T380" s="82" t="s">
        <v>284</v>
      </c>
      <c r="U380" s="96"/>
    </row>
    <row r="381" spans="1:21" s="610" customFormat="1" x14ac:dyDescent="0.3">
      <c r="A381" s="73">
        <v>52</v>
      </c>
      <c r="B381" s="137" t="str">
        <f t="shared" si="325"/>
      </c>
      <c r="C381" s="96"/>
      <c r="D381" s="76" t="str">
        <f ca="1">INDEX(INDIRECT(E381),0,COLUMN(MO_Common_Column_A))</f>
      </c>
      <c r="E381" s="77" t="s">
        <v>285</v>
      </c>
      <c r="F381" s="137" t="s">
        <v>297</v>
      </c>
      <c r="G381" s="137"/>
      <c r="H381" s="96"/>
      <c r="I381" s="83">
        <v>0.27800000000000002</v>
      </c>
      <c r="J381" s="83">
        <v>0.27800000000000002</v>
      </c>
      <c r="K381" s="83">
        <f t="shared" si="326"/>
      </c>
      <c r="L381" s="96"/>
      <c r="M381" s="137" t="str">
        <f t="shared" si="327"/>
      </c>
      <c r="N381" s="83">
        <f t="shared" ca="1" si="328"/>
      </c>
      <c r="O381" s="96"/>
      <c r="P381" s="80">
        <f t="shared" ca="1" si="329"/>
      </c>
      <c r="Q381" s="80">
        <f t="shared" ca="1" si="330"/>
      </c>
      <c r="R381" s="96"/>
      <c r="S381" s="81">
        <v>43389</v>
      </c>
      <c r="T381" s="82" t="s">
        <v>284</v>
      </c>
      <c r="U381" s="96"/>
    </row>
    <row r="382" spans="1:21" s="610" customFormat="1" x14ac:dyDescent="0.3">
      <c r="A382" s="73">
        <v>51</v>
      </c>
      <c r="B382" s="137" t="str">
        <f t="shared" si="325"/>
      </c>
      <c r="C382" s="96"/>
      <c r="D382" s="76" t="str">
        <f ca="1">INDEX(INDIRECT(E382),0,COLUMN(MO_Common_Column_A))</f>
      </c>
      <c r="E382" s="77" t="s">
        <v>287</v>
      </c>
      <c r="F382" s="137" t="s">
        <v>297</v>
      </c>
      <c r="G382" s="137"/>
      <c r="H382" s="96"/>
      <c r="I382" s="78">
        <v>105</v>
      </c>
      <c r="J382" s="78">
        <v>105</v>
      </c>
      <c r="K382" s="78">
        <f t="shared" si="326"/>
      </c>
      <c r="L382" s="96"/>
      <c r="M382" s="137" t="str">
        <f t="shared" si="327"/>
      </c>
      <c r="N382" s="78">
        <f t="shared" ca="1" si="328"/>
      </c>
      <c r="O382" s="96"/>
      <c r="P382" s="79">
        <f t="shared" ca="1" si="329"/>
      </c>
      <c r="Q382" s="80">
        <f t="shared" ca="1" si="330"/>
      </c>
      <c r="R382" s="96"/>
      <c r="S382" s="81">
        <v>43389</v>
      </c>
      <c r="T382" s="82" t="s">
        <v>284</v>
      </c>
      <c r="U382" s="96"/>
    </row>
    <row r="383" spans="1:21" s="610" customFormat="1" x14ac:dyDescent="0.3">
      <c r="A383" s="73">
        <v>50</v>
      </c>
      <c r="B383" s="137" t="str">
        <f t="shared" si="325"/>
      </c>
      <c r="C383" s="96"/>
      <c r="D383" s="76" t="str">
        <f ca="1">INDEX(INDIRECT(E383),0,COLUMN(MO_Common_Column_A))</f>
      </c>
      <c r="E383" s="77" t="s">
        <v>288</v>
      </c>
      <c r="F383" s="137" t="s">
        <v>297</v>
      </c>
      <c r="G383" s="137"/>
      <c r="H383" s="96"/>
      <c r="I383" s="84">
        <v>2.3E-2</v>
      </c>
      <c r="J383" s="84">
        <v>2.3E-2</v>
      </c>
      <c r="K383" s="84">
        <f t="shared" si="326"/>
      </c>
      <c r="L383" s="96"/>
      <c r="M383" s="137" t="str">
        <f t="shared" si="327"/>
      </c>
      <c r="N383" s="84">
        <f t="shared" ca="1" si="328"/>
      </c>
      <c r="O383" s="96"/>
      <c r="P383" s="85">
        <f t="shared" ca="1" si="329"/>
      </c>
      <c r="Q383" s="80">
        <f t="shared" ca="1" si="330"/>
      </c>
      <c r="R383" s="96"/>
      <c r="S383" s="81">
        <v>43389</v>
      </c>
      <c r="T383" s="82" t="s">
        <v>284</v>
      </c>
      <c r="U383" s="96"/>
    </row>
    <row r="384" spans="1:21" s="610" customFormat="1" x14ac:dyDescent="0.3">
      <c r="A384" s="73">
        <v>49</v>
      </c>
      <c r="B384" s="137" t="str">
        <f t="shared" si="325"/>
      </c>
      <c r="C384" s="96"/>
      <c r="D384" s="76" t="str">
        <f ca="1">INDEX(INDIRECT(E384),0,COLUMN(MO_Common_Column_A))</f>
      </c>
      <c r="E384" s="77" t="s">
        <v>2437</v>
      </c>
      <c r="F384" s="137" t="s">
        <v>297</v>
      </c>
      <c r="G384" s="137"/>
      <c r="H384" s="96"/>
      <c r="I384" s="78">
        <v>1995</v>
      </c>
      <c r="J384" s="78">
        <v>1995</v>
      </c>
      <c r="K384" s="78">
        <f t="shared" si="326"/>
      </c>
      <c r="L384" s="96"/>
      <c r="M384" s="137" t="str">
        <f t="shared" si="327"/>
      </c>
      <c r="N384" s="78">
        <f t="shared" ca="1" si="328"/>
      </c>
      <c r="O384" s="96"/>
      <c r="P384" s="79">
        <f t="shared" ca="1" si="329"/>
      </c>
      <c r="Q384" s="80">
        <f t="shared" ca="1" si="330"/>
      </c>
      <c r="R384" s="96"/>
      <c r="S384" s="81">
        <v>43389</v>
      </c>
      <c r="T384" s="82" t="s">
        <v>284</v>
      </c>
      <c r="U384" s="96"/>
    </row>
    <row r="385" spans="1:21" s="610" customFormat="1" x14ac:dyDescent="0.3">
      <c r="A385" s="73">
        <v>48</v>
      </c>
      <c r="B385" s="137" t="str">
        <f t="shared" si="325"/>
      </c>
      <c r="C385" s="96"/>
      <c r="D385" s="76" t="s">
        <v>289</v>
      </c>
      <c r="E385" s="77" t="s">
        <v>2438</v>
      </c>
      <c r="F385" s="137" t="s">
        <v>297</v>
      </c>
      <c r="G385" s="137"/>
      <c r="H385" s="96"/>
      <c r="I385" s="78">
        <v>663</v>
      </c>
      <c r="J385" s="78">
        <v>663</v>
      </c>
      <c r="K385" s="78">
        <f t="shared" si="326"/>
      </c>
      <c r="L385" s="96"/>
      <c r="M385" s="137" t="str">
        <f t="shared" si="327"/>
      </c>
      <c r="N385" s="78">
        <f t="shared" ca="1" si="328"/>
      </c>
      <c r="O385" s="774"/>
      <c r="P385" s="79">
        <f t="shared" ca="1" si="329"/>
      </c>
      <c r="Q385" s="80">
        <f t="shared" ca="1" si="330"/>
      </c>
      <c r="R385" s="96"/>
      <c r="S385" s="81">
        <v>43389</v>
      </c>
      <c r="T385" s="82" t="s">
        <v>284</v>
      </c>
      <c r="U385" s="96"/>
    </row>
    <row r="386" spans="1:21" s="610" customFormat="1" x14ac:dyDescent="0.3">
      <c r="A386" s="73">
        <v>47</v>
      </c>
      <c r="B386" s="137" t="str">
        <f t="shared" si="325"/>
      </c>
      <c r="C386" s="96"/>
      <c r="D386" s="76" t="s">
        <v>290</v>
      </c>
      <c r="E386" s="77"/>
      <c r="F386" s="137" t="s">
        <v>297</v>
      </c>
      <c r="G386" s="137"/>
      <c r="H386" s="96"/>
      <c r="I386" s="83">
        <v>0.33200000000000002</v>
      </c>
      <c r="J386" s="83">
        <v>0.33200000000000002</v>
      </c>
      <c r="K386" s="83">
        <f t="shared" si="326"/>
      </c>
      <c r="L386" s="96"/>
      <c r="M386" s="137" t="str">
        <f t="shared" si="327"/>
      </c>
      <c r="N386" s="83" t="str">
        <f t="shared" ca="1" si="328"/>
      </c>
      <c r="O386" s="96"/>
      <c r="P386" s="80" t="str">
        <f t="shared" ca="1" si="329"/>
      </c>
      <c r="Q386" s="80" t="str">
        <f t="shared" ca="1" si="330"/>
      </c>
      <c r="R386" s="96"/>
      <c r="S386" s="81">
        <v>43389</v>
      </c>
      <c r="T386" s="82" t="s">
        <v>284</v>
      </c>
      <c r="U386" s="96"/>
    </row>
    <row r="387" spans="1:21" s="610" customFormat="1" x14ac:dyDescent="0.3">
      <c r="A387" s="73">
        <v>46</v>
      </c>
      <c r="B387" s="137" t="str">
        <f t="shared" si="325"/>
      </c>
      <c r="C387" s="96"/>
      <c r="D387" s="76" t="str">
        <f ca="1">INDEX(INDIRECT(E387),0,COLUMN(MO_Common_Column_A))</f>
      </c>
      <c r="E387" s="77" t="s">
        <v>2440</v>
      </c>
      <c r="F387" s="137" t="s">
        <v>297</v>
      </c>
      <c r="G387" s="137"/>
      <c r="H387" s="96"/>
      <c r="I387" s="78">
        <v>58460</v>
      </c>
      <c r="J387" s="78">
        <v>58460</v>
      </c>
      <c r="K387" s="78">
        <f t="shared" si="326"/>
      </c>
      <c r="L387" s="96"/>
      <c r="M387" s="137" t="str">
        <f t="shared" si="327"/>
      </c>
      <c r="N387" s="78">
        <f t="shared" ca="1" si="328"/>
      </c>
      <c r="O387" s="96"/>
      <c r="P387" s="79">
        <f t="shared" ca="1" si="329"/>
      </c>
      <c r="Q387" s="80">
        <f t="shared" ca="1" si="330"/>
      </c>
      <c r="R387" s="96"/>
      <c r="S387" s="81">
        <v>43389</v>
      </c>
      <c r="T387" s="82" t="s">
        <v>284</v>
      </c>
      <c r="U387" s="96"/>
    </row>
    <row r="388" spans="1:21" s="610" customFormat="1" x14ac:dyDescent="0.3">
      <c r="A388" s="73">
        <v>45</v>
      </c>
      <c r="B388" s="137" t="str">
        <f t="shared" si="325"/>
      </c>
      <c r="C388" s="96"/>
      <c r="D388" s="76" t="str">
        <f ca="1">INDEX(INDIRECT(E388),0,COLUMN(MO_Common_Column_A))</f>
      </c>
      <c r="E388" s="77" t="s">
        <v>2441</v>
      </c>
      <c r="F388" s="137" t="s">
        <v>297</v>
      </c>
      <c r="G388" s="137"/>
      <c r="H388" s="96"/>
      <c r="I388" s="78">
        <v>1500</v>
      </c>
      <c r="J388" s="78">
        <v>1500</v>
      </c>
      <c r="K388" s="78">
        <f t="shared" si="326"/>
      </c>
      <c r="L388" s="96"/>
      <c r="M388" s="137" t="str">
        <f t="shared" si="327"/>
      </c>
      <c r="N388" s="78">
        <f t="shared" ca="1" si="328"/>
      </c>
      <c r="O388" s="96"/>
      <c r="P388" s="79">
        <f t="shared" ca="1" si="329"/>
      </c>
      <c r="Q388" s="80">
        <f t="shared" ca="1" si="330"/>
      </c>
      <c r="R388" s="96"/>
      <c r="S388" s="81">
        <v>43389</v>
      </c>
      <c r="T388" s="82" t="s">
        <v>284</v>
      </c>
      <c r="U388" s="96"/>
    </row>
    <row r="389" spans="1:21" s="610" customFormat="1" x14ac:dyDescent="0.3">
      <c r="A389" s="73">
        <v>44</v>
      </c>
      <c r="B389" s="137" t="str">
        <f t="shared" si="325"/>
      </c>
      <c r="C389" s="96"/>
      <c r="D389" s="76" t="s">
        <v>298</v>
      </c>
      <c r="E389" s="77"/>
      <c r="F389" s="137" t="s">
        <v>297</v>
      </c>
      <c r="G389" s="137"/>
      <c r="H389" s="96"/>
      <c r="I389" s="78">
        <v>60.26</v>
      </c>
      <c r="J389" s="78">
        <v>60.26</v>
      </c>
      <c r="K389" s="78">
        <f t="shared" si="326"/>
      </c>
      <c r="L389" s="96"/>
      <c r="M389" s="137" t="str">
        <f t="shared" si="327"/>
      </c>
      <c r="N389" s="78" t="str">
        <f t="shared" ca="1" si="328"/>
      </c>
      <c r="O389" s="96"/>
      <c r="P389" s="79" t="str">
        <f t="shared" ca="1" si="329"/>
      </c>
      <c r="Q389" s="80" t="str">
        <f t="shared" ca="1" si="330"/>
      </c>
      <c r="R389" s="96"/>
      <c r="S389" s="81">
        <v>43389</v>
      </c>
      <c r="T389" s="82" t="s">
        <v>284</v>
      </c>
      <c r="U389" s="96"/>
    </row>
    <row r="390" spans="1:21" s="610" customFormat="1" x14ac:dyDescent="0.3">
      <c r="A390" s="73">
        <v>43</v>
      </c>
      <c r="B390" s="137" t="str">
        <f t="shared" si="325"/>
      </c>
      <c r="C390" s="96"/>
      <c r="D390" s="76" t="s">
        <v>292</v>
      </c>
      <c r="E390" s="77"/>
      <c r="F390" s="137" t="s">
        <v>297</v>
      </c>
      <c r="G390" s="137"/>
      <c r="H390" s="96"/>
      <c r="I390" s="78">
        <v>1.8</v>
      </c>
      <c r="J390" s="78">
        <v>1.8</v>
      </c>
      <c r="K390" s="78">
        <f t="shared" si="326"/>
      </c>
      <c r="L390" s="96"/>
      <c r="M390" s="137" t="str">
        <f t="shared" si="327"/>
      </c>
      <c r="N390" s="78" t="str">
        <f t="shared" ca="1" si="328"/>
      </c>
      <c r="O390" s="96"/>
      <c r="P390" s="79" t="str">
        <f t="shared" ca="1" si="329"/>
      </c>
      <c r="Q390" s="80" t="str">
        <f t="shared" ca="1" si="330"/>
      </c>
      <c r="R390" s="96"/>
      <c r="S390" s="81">
        <v>43389</v>
      </c>
      <c r="T390" s="82" t="s">
        <v>284</v>
      </c>
      <c r="U390" s="96"/>
    </row>
    <row r="391" spans="1:21" s="610" customFormat="1" x14ac:dyDescent="0.3">
      <c r="A391" s="73">
        <v>42</v>
      </c>
      <c r="B391" s="137" t="str">
        <f t="shared" si="325"/>
      </c>
      <c r="C391" s="96"/>
      <c r="D391" s="76" t="str">
        <f ca="1">INDEX(INDIRECT(E391),0,COLUMN(MO_Common_Column_A))</f>
      </c>
      <c r="E391" s="77" t="s">
        <v>2442</v>
      </c>
      <c r="F391" s="137" t="s">
        <v>297</v>
      </c>
      <c r="G391" s="137"/>
      <c r="H391" s="96"/>
      <c r="I391" s="78">
        <v>2119</v>
      </c>
      <c r="J391" s="78">
        <v>2119</v>
      </c>
      <c r="K391" s="78">
        <f t="shared" si="326"/>
      </c>
      <c r="L391" s="96"/>
      <c r="M391" s="137" t="str">
        <f t="shared" si="327"/>
      </c>
      <c r="N391" s="78">
        <f t="shared" ca="1" si="328"/>
      </c>
      <c r="O391" s="96"/>
      <c r="P391" s="79">
        <f t="shared" ca="1" si="329"/>
      </c>
      <c r="Q391" s="80">
        <f t="shared" ca="1" si="330"/>
      </c>
      <c r="R391" s="96"/>
      <c r="S391" s="81">
        <v>43389</v>
      </c>
      <c r="T391" s="82" t="s">
        <v>284</v>
      </c>
      <c r="U391" s="96"/>
    </row>
    <row r="392" spans="1:21" s="610" customFormat="1" x14ac:dyDescent="0.3">
      <c r="A392" s="73">
        <v>41</v>
      </c>
      <c r="B392" s="137" t="str">
        <f t="shared" si="325"/>
      </c>
      <c r="C392" s="96"/>
      <c r="D392" s="76" t="s">
        <v>293</v>
      </c>
      <c r="E392" s="77" t="s">
        <v>2443</v>
      </c>
      <c r="F392" s="137" t="s">
        <v>297</v>
      </c>
      <c r="G392" s="137"/>
      <c r="H392" s="96"/>
      <c r="I392" s="78">
        <v>211</v>
      </c>
      <c r="J392" s="78">
        <v>211</v>
      </c>
      <c r="K392" s="78">
        <f t="shared" si="326"/>
      </c>
      <c r="L392" s="96"/>
      <c r="M392" s="137" t="str">
        <f t="shared" si="327"/>
      </c>
      <c r="N392" s="78">
        <f t="shared" ca="1" si="328"/>
      </c>
      <c r="O392" s="96"/>
      <c r="P392" s="79">
        <f t="shared" ca="1" si="329"/>
      </c>
      <c r="Q392" s="80">
        <f t="shared" ca="1" si="330"/>
      </c>
      <c r="R392" s="96"/>
      <c r="S392" s="81">
        <v>43389</v>
      </c>
      <c r="T392" s="82" t="s">
        <v>284</v>
      </c>
      <c r="U392" s="96"/>
    </row>
    <row r="393" spans="1:21" s="610" customFormat="1" x14ac:dyDescent="0.3">
      <c r="A393" s="73">
        <v>40</v>
      </c>
      <c r="B393" s="137" t="str">
        <f t="shared" si="325"/>
      </c>
      <c r="C393" s="96"/>
      <c r="D393" s="76" t="s">
        <v>294</v>
      </c>
      <c r="E393" s="77"/>
      <c r="F393" s="137" t="s">
        <v>297</v>
      </c>
      <c r="G393" s="137"/>
      <c r="H393" s="96"/>
      <c r="I393" s="83">
        <v>0.1</v>
      </c>
      <c r="J393" s="83">
        <v>0.1</v>
      </c>
      <c r="K393" s="83">
        <f t="shared" si="326"/>
      </c>
      <c r="L393" s="96"/>
      <c r="M393" s="137" t="str">
        <f t="shared" si="327"/>
      </c>
      <c r="N393" s="83" t="str">
        <f t="shared" ca="1" si="328"/>
      </c>
      <c r="O393" s="86"/>
      <c r="P393" s="80" t="str">
        <f t="shared" ca="1" si="329"/>
      </c>
      <c r="Q393" s="80" t="str">
        <f t="shared" ca="1" si="330"/>
      </c>
      <c r="R393" s="96"/>
      <c r="S393" s="81">
        <v>43389</v>
      </c>
      <c r="T393" s="82" t="s">
        <v>284</v>
      </c>
      <c r="U393" s="96"/>
    </row>
    <row r="394" spans="1:21" s="610" customFormat="1" x14ac:dyDescent="0.3">
      <c r="A394" s="73">
        <v>39</v>
      </c>
      <c r="B394" s="137" t="str">
        <f t="shared" si="325"/>
      </c>
      <c r="C394" s="96"/>
      <c r="D394" s="76" t="str">
        <f ca="1">INDEX(INDIRECT(E394),0,COLUMN(MO_Common_Column_A))</f>
      </c>
      <c r="E394" s="77" t="s">
        <v>2445</v>
      </c>
      <c r="F394" s="137" t="s">
        <v>297</v>
      </c>
      <c r="G394" s="137"/>
      <c r="H394" s="96"/>
      <c r="I394" s="78">
        <v>79560</v>
      </c>
      <c r="J394" s="78">
        <v>79560</v>
      </c>
      <c r="K394" s="78">
        <f t="shared" si="326"/>
      </c>
      <c r="L394" s="96"/>
      <c r="M394" s="137" t="str">
        <f t="shared" si="327"/>
      </c>
      <c r="N394" s="78">
        <f t="shared" ca="1" si="328"/>
      </c>
      <c r="O394" s="96"/>
      <c r="P394" s="79">
        <f t="shared" ca="1" si="329"/>
      </c>
      <c r="Q394" s="80">
        <f t="shared" ca="1" si="330"/>
      </c>
      <c r="R394" s="96"/>
      <c r="S394" s="81">
        <v>43389</v>
      </c>
      <c r="T394" s="82" t="s">
        <v>284</v>
      </c>
      <c r="U394" s="96"/>
    </row>
    <row r="395" spans="1:21" s="610" customFormat="1" x14ac:dyDescent="0.3">
      <c r="A395" s="73">
        <v>38</v>
      </c>
      <c r="B395" s="137" t="str">
        <f t="shared" si="325"/>
      </c>
      <c r="C395" s="96"/>
      <c r="D395" s="76" t="str">
        <f ca="1">INDEX(INDIRECT(E395),0,COLUMN(MO_Common_Column_A))</f>
      </c>
      <c r="E395" s="77" t="s">
        <v>2446</v>
      </c>
      <c r="F395" s="137" t="s">
        <v>297</v>
      </c>
      <c r="G395" s="137"/>
      <c r="H395" s="96"/>
      <c r="I395" s="78">
        <v>6100</v>
      </c>
      <c r="J395" s="78">
        <v>6100</v>
      </c>
      <c r="K395" s="78">
        <f t="shared" si="326"/>
      </c>
      <c r="L395" s="96"/>
      <c r="M395" s="137" t="str">
        <f t="shared" si="327"/>
      </c>
      <c r="N395" s="78">
        <f t="shared" ca="1" si="328"/>
      </c>
      <c r="O395" s="96"/>
      <c r="P395" s="79">
        <f t="shared" ca="1" si="329"/>
      </c>
      <c r="Q395" s="80">
        <f t="shared" ca="1" si="330"/>
      </c>
      <c r="R395" s="96"/>
      <c r="S395" s="81">
        <v>43389</v>
      </c>
      <c r="T395" s="82" t="s">
        <v>284</v>
      </c>
      <c r="U395" s="96"/>
    </row>
    <row r="396" spans="1:21" s="610" customFormat="1" x14ac:dyDescent="0.3">
      <c r="A396" s="73">
        <v>37</v>
      </c>
      <c r="B396" s="137" t="str">
        <f t="shared" si="325"/>
      </c>
      <c r="C396" s="96"/>
      <c r="D396" s="76" t="s">
        <v>299</v>
      </c>
      <c r="E396" s="77"/>
      <c r="F396" s="137" t="s">
        <v>297</v>
      </c>
      <c r="G396" s="137"/>
      <c r="H396" s="96"/>
      <c r="I396" s="78">
        <v>86.24</v>
      </c>
      <c r="J396" s="78">
        <v>86.24</v>
      </c>
      <c r="K396" s="78">
        <f t="shared" si="326"/>
      </c>
      <c r="L396" s="96"/>
      <c r="M396" s="137" t="str">
        <f t="shared" si="327"/>
      </c>
      <c r="N396" s="78" t="str">
        <f t="shared" ca="1" si="328"/>
      </c>
      <c r="O396" s="96"/>
      <c r="P396" s="79" t="str">
        <f t="shared" ca="1" si="329"/>
      </c>
      <c r="Q396" s="80" t="str">
        <f t="shared" ca="1" si="330"/>
      </c>
      <c r="R396" s="96"/>
      <c r="S396" s="81">
        <v>43389</v>
      </c>
      <c r="T396" s="82" t="s">
        <v>284</v>
      </c>
      <c r="U396" s="96"/>
    </row>
    <row r="397" spans="1:21" s="610" customFormat="1" x14ac:dyDescent="0.3">
      <c r="A397" s="73">
        <v>36</v>
      </c>
      <c r="B397" s="137" t="str">
        <f t="shared" si="325"/>
      </c>
      <c r="C397" s="96"/>
      <c r="D397" s="76" t="s">
        <v>295</v>
      </c>
      <c r="E397" s="77"/>
      <c r="F397" s="137" t="s">
        <v>297</v>
      </c>
      <c r="G397" s="137"/>
      <c r="H397" s="96"/>
      <c r="I397" s="78">
        <v>7.6</v>
      </c>
      <c r="J397" s="78">
        <v>7.6</v>
      </c>
      <c r="K397" s="78">
        <f t="shared" si="326"/>
      </c>
      <c r="L397" s="96"/>
      <c r="M397" s="137" t="str">
        <f t="shared" si="327"/>
      </c>
      <c r="N397" s="78" t="str">
        <f t="shared" ca="1" si="328"/>
      </c>
      <c r="O397" s="96"/>
      <c r="P397" s="79" t="str">
        <f t="shared" ca="1" si="329"/>
      </c>
      <c r="Q397" s="80" t="str">
        <f t="shared" ca="1" si="330"/>
      </c>
      <c r="R397" s="96"/>
      <c r="S397" s="81">
        <v>43389</v>
      </c>
      <c r="T397" s="82" t="s">
        <v>284</v>
      </c>
      <c r="U397" s="96"/>
    </row>
    <row r="398" spans="1:21" s="610" customFormat="1" x14ac:dyDescent="0.3">
      <c r="A398" s="73">
        <v>35</v>
      </c>
      <c r="B398" s="96"/>
      <c r="C398" s="96"/>
      <c r="D398" s="87"/>
      <c r="E398" s="88"/>
      <c r="F398" s="96"/>
      <c r="G398" s="96"/>
      <c r="H398" s="96"/>
      <c r="I398" s="774"/>
      <c r="J398" s="774"/>
      <c r="K398" s="774"/>
      <c r="L398" s="96"/>
      <c r="M398" s="96"/>
      <c r="N398" s="774"/>
      <c r="O398" s="96"/>
      <c r="P398" s="89"/>
      <c r="Q398" s="35"/>
      <c r="R398" s="96"/>
      <c r="S398" s="90"/>
      <c r="T398" s="91"/>
      <c r="U398" s="96"/>
    </row>
    <row r="399" spans="1:21" s="610" customFormat="1" x14ac:dyDescent="0.3">
      <c r="A399" s="73">
        <v>34</v>
      </c>
      <c r="B399" s="137" t="str">
        <f t="shared" ref="B399:B418" si="331">IF(INDEX(MO_SNA_IsHistoricalPeriod,,MATCH(F399,MO_Common_ColumnHeader,0)),"Historical","Forward")</f>
      </c>
      <c r="C399" s="96"/>
      <c r="D399" s="76" t="str">
        <f t="shared" ref="D399:D405" ca="1" si="332">INDEX(INDIRECT(E399),0,COLUMN(MO_Common_Column_A))</f>
      </c>
      <c r="E399" s="77" t="s">
        <v>282</v>
      </c>
      <c r="F399" s="137" t="s">
        <v>300</v>
      </c>
      <c r="G399" s="137"/>
      <c r="H399" s="96"/>
      <c r="I399" s="78">
        <v>3988</v>
      </c>
      <c r="J399" s="78">
        <v>3988</v>
      </c>
      <c r="K399" s="78">
        <f t="shared" ref="K399:K418" si="333">AVERAGE(I399:J399)</f>
      </c>
      <c r="L399" s="96"/>
      <c r="M399" s="137" t="str">
        <f t="shared" ref="M399:M418" si="334">IF(INDEX(MO_SNA_IsHistoricalPeriod,,MATCH(F399,MO_Common_ColumnHeader,0)),"Actual","Estimate")</f>
      </c>
      <c r="N399" s="78">
        <f t="shared" ref="N399:N418" ca="1" si="335">IFERROR(INDEX(INDIRECT(E399),0,MATCH(F399,MO_Common_ColumnHeader,0)),"N/A")</f>
      </c>
      <c r="O399" s="96"/>
      <c r="P399" s="79">
        <f t="shared" ref="P399:P418" ca="1" si="336">IF(ISNUMBER(N399),N399-K399,"N/A")</f>
      </c>
      <c r="Q399" s="80">
        <f t="shared" ref="Q399:Q418" ca="1" si="337">IFERROR(IF(ISNUMBER(N399),(N399-K399)/ABS(K399),"N/A"),"N/A")</f>
      </c>
      <c r="R399" s="96"/>
      <c r="S399" s="81">
        <v>43297</v>
      </c>
      <c r="T399" s="82" t="s">
        <v>284</v>
      </c>
      <c r="U399" s="96"/>
    </row>
    <row r="400" spans="1:21" s="610" customFormat="1" x14ac:dyDescent="0.3">
      <c r="A400" s="73">
        <v>33</v>
      </c>
      <c r="B400" s="137" t="str">
        <f t="shared" si="331"/>
      </c>
      <c r="C400" s="96"/>
      <c r="D400" s="76" t="str">
        <f t="shared" ca="1" si="332"/>
      </c>
      <c r="E400" s="77" t="s">
        <v>285</v>
      </c>
      <c r="F400" s="137" t="s">
        <v>300</v>
      </c>
      <c r="G400" s="137"/>
      <c r="H400" s="96"/>
      <c r="I400" s="83">
        <v>0.33600000000000002</v>
      </c>
      <c r="J400" s="83">
        <v>0.33600000000000002</v>
      </c>
      <c r="K400" s="83">
        <f t="shared" si="333"/>
      </c>
      <c r="L400" s="96"/>
      <c r="M400" s="137" t="str">
        <f t="shared" si="334"/>
      </c>
      <c r="N400" s="83">
        <f t="shared" ca="1" si="335"/>
      </c>
      <c r="O400" s="96"/>
      <c r="P400" s="80">
        <f t="shared" ca="1" si="336"/>
      </c>
      <c r="Q400" s="80">
        <f t="shared" ca="1" si="337"/>
      </c>
      <c r="R400" s="96"/>
      <c r="S400" s="81">
        <v>43297</v>
      </c>
      <c r="T400" s="82" t="s">
        <v>284</v>
      </c>
      <c r="U400" s="96"/>
    </row>
    <row r="401" spans="1:21" s="610" customFormat="1" x14ac:dyDescent="0.3">
      <c r="A401" s="73">
        <v>32</v>
      </c>
      <c r="B401" s="137" t="str">
        <f t="shared" si="331"/>
      </c>
      <c r="C401" s="96"/>
      <c r="D401" s="76" t="str">
        <f t="shared" ca="1" si="332"/>
      </c>
      <c r="E401" s="77" t="s">
        <v>301</v>
      </c>
      <c r="F401" s="137" t="s">
        <v>300</v>
      </c>
      <c r="G401" s="137"/>
      <c r="H401" s="96"/>
      <c r="I401" s="78">
        <v>420</v>
      </c>
      <c r="J401" s="78">
        <v>420</v>
      </c>
      <c r="K401" s="78">
        <f t="shared" si="333"/>
      </c>
      <c r="L401" s="96"/>
      <c r="M401" s="137" t="str">
        <f t="shared" si="334"/>
      </c>
      <c r="N401" s="78">
        <f t="shared" ca="1" si="335"/>
      </c>
      <c r="O401" s="96"/>
      <c r="P401" s="79">
        <f t="shared" ca="1" si="336"/>
      </c>
      <c r="Q401" s="80">
        <f t="shared" ca="1" si="337"/>
      </c>
      <c r="R401" s="96"/>
      <c r="S401" s="81">
        <v>43297</v>
      </c>
      <c r="T401" s="82" t="s">
        <v>284</v>
      </c>
      <c r="U401" s="96"/>
    </row>
    <row r="402" spans="1:21" s="610" customFormat="1" x14ac:dyDescent="0.3">
      <c r="A402" s="73">
        <v>31</v>
      </c>
      <c r="B402" s="137" t="str">
        <f t="shared" si="331"/>
      </c>
      <c r="C402" s="96"/>
      <c r="D402" s="76" t="str">
        <f t="shared" ca="1" si="332"/>
      </c>
      <c r="E402" s="77" t="s">
        <v>302</v>
      </c>
      <c r="F402" s="137" t="s">
        <v>300</v>
      </c>
      <c r="G402" s="137"/>
      <c r="H402" s="96"/>
      <c r="I402" s="83">
        <v>0.105</v>
      </c>
      <c r="J402" s="83">
        <v>0.105</v>
      </c>
      <c r="K402" s="83">
        <f t="shared" si="333"/>
      </c>
      <c r="L402" s="96"/>
      <c r="M402" s="137" t="str">
        <f t="shared" si="334"/>
      </c>
      <c r="N402" s="83">
        <f t="shared" ca="1" si="335"/>
      </c>
      <c r="O402" s="96"/>
      <c r="P402" s="80">
        <f t="shared" ca="1" si="336"/>
      </c>
      <c r="Q402" s="80">
        <f t="shared" ca="1" si="337"/>
      </c>
      <c r="R402" s="96"/>
      <c r="S402" s="81">
        <v>43297</v>
      </c>
      <c r="T402" s="82" t="s">
        <v>284</v>
      </c>
      <c r="U402" s="96"/>
    </row>
    <row r="403" spans="1:21" s="610" customFormat="1" x14ac:dyDescent="0.3">
      <c r="A403" s="73">
        <v>30</v>
      </c>
      <c r="B403" s="137" t="str">
        <f t="shared" si="331"/>
      </c>
      <c r="C403" s="96"/>
      <c r="D403" s="76" t="str">
        <f t="shared" ca="1" si="332"/>
      </c>
      <c r="E403" s="77" t="s">
        <v>287</v>
      </c>
      <c r="F403" s="137" t="s">
        <v>300</v>
      </c>
      <c r="G403" s="137"/>
      <c r="H403" s="96"/>
      <c r="I403" s="78">
        <v>307</v>
      </c>
      <c r="J403" s="78">
        <v>307</v>
      </c>
      <c r="K403" s="78">
        <f t="shared" si="333"/>
      </c>
      <c r="L403" s="96"/>
      <c r="M403" s="137" t="str">
        <f t="shared" si="334"/>
      </c>
      <c r="N403" s="78">
        <f t="shared" ca="1" si="335"/>
      </c>
      <c r="O403" s="96"/>
      <c r="P403" s="79">
        <f t="shared" ca="1" si="336"/>
      </c>
      <c r="Q403" s="80">
        <f t="shared" ca="1" si="337"/>
      </c>
      <c r="R403" s="96"/>
      <c r="S403" s="81">
        <v>43297</v>
      </c>
      <c r="T403" s="82" t="s">
        <v>284</v>
      </c>
      <c r="U403" s="96"/>
    </row>
    <row r="404" spans="1:21" s="610" customFormat="1" x14ac:dyDescent="0.3">
      <c r="A404" s="73">
        <v>29</v>
      </c>
      <c r="B404" s="137" t="str">
        <f t="shared" si="331"/>
      </c>
      <c r="C404" s="96"/>
      <c r="D404" s="76" t="str">
        <f t="shared" ca="1" si="332"/>
      </c>
      <c r="E404" s="77" t="s">
        <v>288</v>
      </c>
      <c r="F404" s="137" t="s">
        <v>300</v>
      </c>
      <c r="G404" s="137"/>
      <c r="H404" s="96"/>
      <c r="I404" s="84">
        <v>6.8000000000000005E-2</v>
      </c>
      <c r="J404" s="84">
        <v>6.8000000000000005E-2</v>
      </c>
      <c r="K404" s="84">
        <f t="shared" si="333"/>
      </c>
      <c r="L404" s="96"/>
      <c r="M404" s="137" t="str">
        <f t="shared" si="334"/>
      </c>
      <c r="N404" s="84">
        <f t="shared" ca="1" si="335"/>
      </c>
      <c r="O404" s="96"/>
      <c r="P404" s="85">
        <f t="shared" ca="1" si="336"/>
      </c>
      <c r="Q404" s="80">
        <f t="shared" ca="1" si="337"/>
      </c>
      <c r="R404" s="96"/>
      <c r="S404" s="81">
        <v>43297</v>
      </c>
      <c r="T404" s="82" t="s">
        <v>284</v>
      </c>
      <c r="U404" s="96"/>
    </row>
    <row r="405" spans="1:21" s="610" customFormat="1" x14ac:dyDescent="0.3">
      <c r="A405" s="73">
        <v>28</v>
      </c>
      <c r="B405" s="137" t="str">
        <f t="shared" si="331"/>
      </c>
      <c r="C405" s="96"/>
      <c r="D405" s="76" t="str">
        <f t="shared" ca="1" si="332"/>
      </c>
      <c r="E405" s="77" t="s">
        <v>2437</v>
      </c>
      <c r="F405" s="137" t="s">
        <v>300</v>
      </c>
      <c r="G405" s="137"/>
      <c r="H405" s="96"/>
      <c r="I405" s="78">
        <v>1930</v>
      </c>
      <c r="J405" s="78">
        <v>1930</v>
      </c>
      <c r="K405" s="78">
        <f t="shared" si="333"/>
      </c>
      <c r="L405" s="96"/>
      <c r="M405" s="137" t="str">
        <f t="shared" si="334"/>
      </c>
      <c r="N405" s="78">
        <f t="shared" ca="1" si="335"/>
      </c>
      <c r="O405" s="96"/>
      <c r="P405" s="79">
        <f t="shared" ca="1" si="336"/>
      </c>
      <c r="Q405" s="80">
        <f t="shared" ca="1" si="337"/>
      </c>
      <c r="R405" s="96"/>
      <c r="S405" s="81">
        <v>43297</v>
      </c>
      <c r="T405" s="82" t="s">
        <v>284</v>
      </c>
      <c r="U405" s="96"/>
    </row>
    <row r="406" spans="1:21" s="610" customFormat="1" x14ac:dyDescent="0.3">
      <c r="A406" s="73">
        <v>27</v>
      </c>
      <c r="B406" s="137" t="str">
        <f t="shared" si="331"/>
      </c>
      <c r="C406" s="96"/>
      <c r="D406" s="76" t="s">
        <v>289</v>
      </c>
      <c r="E406" s="77" t="s">
        <v>2438</v>
      </c>
      <c r="F406" s="137" t="s">
        <v>300</v>
      </c>
      <c r="G406" s="137"/>
      <c r="H406" s="96"/>
      <c r="I406" s="78">
        <v>730</v>
      </c>
      <c r="J406" s="78">
        <v>730</v>
      </c>
      <c r="K406" s="78">
        <f t="shared" si="333"/>
      </c>
      <c r="L406" s="96"/>
      <c r="M406" s="137" t="str">
        <f t="shared" si="334"/>
      </c>
      <c r="N406" s="78">
        <f t="shared" ca="1" si="335"/>
      </c>
      <c r="O406" s="774"/>
      <c r="P406" s="79">
        <f t="shared" ca="1" si="336"/>
      </c>
      <c r="Q406" s="80">
        <f t="shared" ca="1" si="337"/>
      </c>
      <c r="R406" s="96"/>
      <c r="S406" s="81">
        <v>43297</v>
      </c>
      <c r="T406" s="82" t="s">
        <v>284</v>
      </c>
      <c r="U406" s="96"/>
    </row>
    <row r="407" spans="1:21" s="610" customFormat="1" x14ac:dyDescent="0.3">
      <c r="A407" s="73">
        <v>26</v>
      </c>
      <c r="B407" s="137" t="str">
        <f t="shared" si="331"/>
      </c>
      <c r="C407" s="96"/>
      <c r="D407" s="76" t="s">
        <v>290</v>
      </c>
      <c r="E407" s="77"/>
      <c r="F407" s="137" t="s">
        <v>300</v>
      </c>
      <c r="G407" s="137"/>
      <c r="H407" s="96"/>
      <c r="I407" s="83">
        <v>0.378</v>
      </c>
      <c r="J407" s="83">
        <v>0.378</v>
      </c>
      <c r="K407" s="83">
        <f t="shared" si="333"/>
      </c>
      <c r="L407" s="96"/>
      <c r="M407" s="137" t="str">
        <f t="shared" si="334"/>
      </c>
      <c r="N407" s="83" t="str">
        <f t="shared" ca="1" si="335"/>
      </c>
      <c r="O407" s="96"/>
      <c r="P407" s="80" t="str">
        <f t="shared" ca="1" si="336"/>
      </c>
      <c r="Q407" s="80" t="str">
        <f t="shared" ca="1" si="337"/>
      </c>
      <c r="R407" s="96"/>
      <c r="S407" s="81">
        <v>43297</v>
      </c>
      <c r="T407" s="82" t="s">
        <v>284</v>
      </c>
      <c r="U407" s="96"/>
    </row>
    <row r="408" spans="1:21" s="610" customFormat="1" x14ac:dyDescent="0.3">
      <c r="A408" s="73">
        <v>25</v>
      </c>
      <c r="B408" s="137" t="str">
        <f t="shared" si="331"/>
      </c>
      <c r="C408" s="96"/>
      <c r="D408" s="76" t="str">
        <f ca="1">INDEX(INDIRECT(E408),0,COLUMN(MO_Common_Column_A))</f>
      </c>
      <c r="E408" s="77" t="s">
        <v>2440</v>
      </c>
      <c r="F408" s="137" t="s">
        <v>300</v>
      </c>
      <c r="G408" s="137"/>
      <c r="H408" s="96"/>
      <c r="I408" s="78">
        <v>56660</v>
      </c>
      <c r="J408" s="78">
        <v>56660</v>
      </c>
      <c r="K408" s="78">
        <f t="shared" si="333"/>
      </c>
      <c r="L408" s="96"/>
      <c r="M408" s="137" t="str">
        <f t="shared" si="334"/>
      </c>
      <c r="N408" s="78">
        <f t="shared" ca="1" si="335"/>
      </c>
      <c r="O408" s="96"/>
      <c r="P408" s="79">
        <f t="shared" ca="1" si="336"/>
      </c>
      <c r="Q408" s="80">
        <f t="shared" ca="1" si="337"/>
      </c>
      <c r="R408" s="96"/>
      <c r="S408" s="81">
        <v>43297</v>
      </c>
      <c r="T408" s="82" t="s">
        <v>284</v>
      </c>
      <c r="U408" s="96"/>
    </row>
    <row r="409" spans="1:21" s="610" customFormat="1" x14ac:dyDescent="0.3">
      <c r="A409" s="73">
        <v>24</v>
      </c>
      <c r="B409" s="137" t="str">
        <f t="shared" si="331"/>
      </c>
      <c r="C409" s="96"/>
      <c r="D409" s="76" t="str">
        <f ca="1">INDEX(INDIRECT(E409),0,COLUMN(MO_Common_Column_A))</f>
      </c>
      <c r="E409" s="77" t="s">
        <v>2441</v>
      </c>
      <c r="F409" s="137" t="s">
        <v>300</v>
      </c>
      <c r="G409" s="137"/>
      <c r="H409" s="96"/>
      <c r="I409" s="78">
        <v>700</v>
      </c>
      <c r="J409" s="78">
        <v>700</v>
      </c>
      <c r="K409" s="78">
        <f t="shared" si="333"/>
      </c>
      <c r="L409" s="96"/>
      <c r="M409" s="137" t="str">
        <f t="shared" si="334"/>
      </c>
      <c r="N409" s="78">
        <f t="shared" ca="1" si="335"/>
      </c>
      <c r="O409" s="96"/>
      <c r="P409" s="79">
        <f t="shared" ca="1" si="336"/>
      </c>
      <c r="Q409" s="80">
        <f t="shared" ca="1" si="337"/>
      </c>
      <c r="R409" s="96"/>
      <c r="S409" s="81">
        <v>43297</v>
      </c>
      <c r="T409" s="82" t="s">
        <v>284</v>
      </c>
      <c r="U409" s="96"/>
    </row>
    <row r="410" spans="1:21" s="610" customFormat="1" x14ac:dyDescent="0.3">
      <c r="A410" s="73">
        <v>23</v>
      </c>
      <c r="B410" s="137" t="str">
        <f t="shared" si="331"/>
      </c>
      <c r="C410" s="96"/>
      <c r="D410" s="76" t="s">
        <v>298</v>
      </c>
      <c r="E410" s="77"/>
      <c r="F410" s="137" t="s">
        <v>300</v>
      </c>
      <c r="G410" s="137"/>
      <c r="H410" s="96"/>
      <c r="I410" s="78">
        <v>58.03</v>
      </c>
      <c r="J410" s="78">
        <v>58.03</v>
      </c>
      <c r="K410" s="78">
        <f t="shared" si="333"/>
      </c>
      <c r="L410" s="96"/>
      <c r="M410" s="137" t="str">
        <f t="shared" si="334"/>
      </c>
      <c r="N410" s="78" t="str">
        <f t="shared" ca="1" si="335"/>
      </c>
      <c r="O410" s="96"/>
      <c r="P410" s="79" t="str">
        <f t="shared" ca="1" si="336"/>
      </c>
      <c r="Q410" s="80" t="str">
        <f t="shared" ca="1" si="337"/>
      </c>
      <c r="R410" s="96"/>
      <c r="S410" s="81">
        <v>43297</v>
      </c>
      <c r="T410" s="82" t="s">
        <v>284</v>
      </c>
      <c r="U410" s="96"/>
    </row>
    <row r="411" spans="1:21" s="610" customFormat="1" x14ac:dyDescent="0.3">
      <c r="A411" s="73">
        <v>22</v>
      </c>
      <c r="B411" s="137" t="str">
        <f t="shared" si="331"/>
      </c>
      <c r="C411" s="96"/>
      <c r="D411" s="76" t="s">
        <v>292</v>
      </c>
      <c r="E411" s="77"/>
      <c r="F411" s="137" t="s">
        <v>300</v>
      </c>
      <c r="G411" s="137"/>
      <c r="H411" s="96"/>
      <c r="I411" s="78">
        <v>0.65</v>
      </c>
      <c r="J411" s="78">
        <v>0.65</v>
      </c>
      <c r="K411" s="78">
        <f t="shared" si="333"/>
      </c>
      <c r="L411" s="96"/>
      <c r="M411" s="137" t="str">
        <f t="shared" si="334"/>
      </c>
      <c r="N411" s="78" t="str">
        <f t="shared" ca="1" si="335"/>
      </c>
      <c r="O411" s="96"/>
      <c r="P411" s="79" t="str">
        <f t="shared" ca="1" si="336"/>
      </c>
      <c r="Q411" s="80" t="str">
        <f t="shared" ca="1" si="337"/>
      </c>
      <c r="R411" s="96"/>
      <c r="S411" s="81">
        <v>43297</v>
      </c>
      <c r="T411" s="82" t="s">
        <v>284</v>
      </c>
      <c r="U411" s="96"/>
    </row>
    <row r="412" spans="1:21" s="610" customFormat="1" x14ac:dyDescent="0.3">
      <c r="A412" s="73">
        <v>21</v>
      </c>
      <c r="B412" s="137" t="str">
        <f t="shared" si="331"/>
      </c>
      <c r="C412" s="96"/>
      <c r="D412" s="76" t="str">
        <f ca="1">INDEX(INDIRECT(E412),0,COLUMN(MO_Common_Column_A))</f>
      </c>
      <c r="E412" s="77" t="s">
        <v>2442</v>
      </c>
      <c r="F412" s="137" t="s">
        <v>300</v>
      </c>
      <c r="G412" s="137"/>
      <c r="H412" s="96"/>
      <c r="I412" s="78">
        <v>1970</v>
      </c>
      <c r="J412" s="78">
        <v>1970</v>
      </c>
      <c r="K412" s="78">
        <f t="shared" si="333"/>
      </c>
      <c r="L412" s="96"/>
      <c r="M412" s="137" t="str">
        <f t="shared" si="334"/>
      </c>
      <c r="N412" s="78">
        <f t="shared" ca="1" si="335"/>
      </c>
      <c r="O412" s="96"/>
      <c r="P412" s="79">
        <f t="shared" ca="1" si="336"/>
      </c>
      <c r="Q412" s="80">
        <f t="shared" ca="1" si="337"/>
      </c>
      <c r="R412" s="96"/>
      <c r="S412" s="81">
        <v>43297</v>
      </c>
      <c r="T412" s="82" t="s">
        <v>284</v>
      </c>
      <c r="U412" s="96"/>
    </row>
    <row r="413" spans="1:21" s="610" customFormat="1" x14ac:dyDescent="0.3">
      <c r="A413" s="73">
        <v>20</v>
      </c>
      <c r="B413" s="137" t="str">
        <f t="shared" si="331"/>
      </c>
      <c r="C413" s="96"/>
      <c r="D413" s="76" t="s">
        <v>293</v>
      </c>
      <c r="E413" s="77" t="s">
        <v>2443</v>
      </c>
      <c r="F413" s="137" t="s">
        <v>300</v>
      </c>
      <c r="G413" s="137"/>
      <c r="H413" s="96"/>
      <c r="I413" s="78">
        <v>290</v>
      </c>
      <c r="J413" s="78">
        <v>290</v>
      </c>
      <c r="K413" s="78">
        <f t="shared" si="333"/>
      </c>
      <c r="L413" s="96"/>
      <c r="M413" s="137" t="str">
        <f t="shared" si="334"/>
      </c>
      <c r="N413" s="78">
        <f t="shared" ca="1" si="335"/>
      </c>
      <c r="O413" s="96"/>
      <c r="P413" s="79">
        <f t="shared" ca="1" si="336"/>
      </c>
      <c r="Q413" s="80">
        <f t="shared" ca="1" si="337"/>
      </c>
      <c r="R413" s="96"/>
      <c r="S413" s="81">
        <v>43297</v>
      </c>
      <c r="T413" s="82" t="s">
        <v>284</v>
      </c>
      <c r="U413" s="96"/>
    </row>
    <row r="414" spans="1:21" s="610" customFormat="1" x14ac:dyDescent="0.3">
      <c r="A414" s="73">
        <v>19</v>
      </c>
      <c r="B414" s="137" t="str">
        <f t="shared" si="331"/>
      </c>
      <c r="C414" s="96"/>
      <c r="D414" s="76" t="s">
        <v>294</v>
      </c>
      <c r="E414" s="77"/>
      <c r="F414" s="137" t="s">
        <v>300</v>
      </c>
      <c r="G414" s="137"/>
      <c r="H414" s="96"/>
      <c r="I414" s="83">
        <v>0.14699999999999999</v>
      </c>
      <c r="J414" s="83">
        <v>0.14699999999999999</v>
      </c>
      <c r="K414" s="83">
        <f t="shared" si="333"/>
      </c>
      <c r="L414" s="96"/>
      <c r="M414" s="137" t="str">
        <f t="shared" si="334"/>
      </c>
      <c r="N414" s="83" t="str">
        <f t="shared" ca="1" si="335"/>
      </c>
      <c r="O414" s="86"/>
      <c r="P414" s="80" t="str">
        <f t="shared" ca="1" si="336"/>
      </c>
      <c r="Q414" s="80" t="str">
        <f t="shared" ca="1" si="337"/>
      </c>
      <c r="R414" s="96"/>
      <c r="S414" s="81">
        <v>43297</v>
      </c>
      <c r="T414" s="82" t="s">
        <v>284</v>
      </c>
      <c r="U414" s="96"/>
    </row>
    <row r="415" spans="1:21" s="610" customFormat="1" x14ac:dyDescent="0.3">
      <c r="A415" s="73">
        <v>18</v>
      </c>
      <c r="B415" s="137" t="str">
        <f t="shared" si="331"/>
      </c>
      <c r="C415" s="96"/>
      <c r="D415" s="76" t="str">
        <f ca="1">INDEX(INDIRECT(E415),0,COLUMN(MO_Common_Column_A))</f>
      </c>
      <c r="E415" s="77" t="s">
        <v>2445</v>
      </c>
      <c r="F415" s="137" t="s">
        <v>300</v>
      </c>
      <c r="G415" s="137"/>
      <c r="H415" s="96"/>
      <c r="I415" s="78">
        <v>72850</v>
      </c>
      <c r="J415" s="78">
        <v>72850</v>
      </c>
      <c r="K415" s="78">
        <f t="shared" si="333"/>
      </c>
      <c r="L415" s="96"/>
      <c r="M415" s="137" t="str">
        <f t="shared" si="334"/>
      </c>
      <c r="N415" s="78">
        <f t="shared" ca="1" si="335"/>
      </c>
      <c r="O415" s="96"/>
      <c r="P415" s="79">
        <f t="shared" ca="1" si="336"/>
      </c>
      <c r="Q415" s="80">
        <f t="shared" ca="1" si="337"/>
      </c>
      <c r="R415" s="96"/>
      <c r="S415" s="81">
        <v>43297</v>
      </c>
      <c r="T415" s="82" t="s">
        <v>284</v>
      </c>
      <c r="U415" s="96"/>
    </row>
    <row r="416" spans="1:21" s="610" customFormat="1" x14ac:dyDescent="0.3">
      <c r="A416" s="73">
        <v>17</v>
      </c>
      <c r="B416" s="137" t="str">
        <f t="shared" si="331"/>
      </c>
      <c r="C416" s="96"/>
      <c r="D416" s="76" t="str">
        <f ca="1">INDEX(INDIRECT(E416),0,COLUMN(MO_Common_Column_A))</f>
      </c>
      <c r="E416" s="77" t="s">
        <v>2446</v>
      </c>
      <c r="F416" s="137" t="s">
        <v>300</v>
      </c>
      <c r="G416" s="137"/>
      <c r="H416" s="96"/>
      <c r="I416" s="78">
        <v>4450</v>
      </c>
      <c r="J416" s="78">
        <v>4450</v>
      </c>
      <c r="K416" s="78">
        <f t="shared" si="333"/>
      </c>
      <c r="L416" s="96"/>
      <c r="M416" s="137" t="str">
        <f t="shared" si="334"/>
      </c>
      <c r="N416" s="78">
        <f t="shared" ca="1" si="335"/>
      </c>
      <c r="O416" s="96"/>
      <c r="P416" s="79">
        <f t="shared" ca="1" si="336"/>
      </c>
      <c r="Q416" s="80">
        <f t="shared" ca="1" si="337"/>
      </c>
      <c r="R416" s="96"/>
      <c r="S416" s="81">
        <v>43297</v>
      </c>
      <c r="T416" s="82" t="s">
        <v>284</v>
      </c>
      <c r="U416" s="96"/>
    </row>
    <row r="417" spans="1:21" s="610" customFormat="1" x14ac:dyDescent="0.3">
      <c r="A417" s="73">
        <v>16</v>
      </c>
      <c r="B417" s="137" t="str">
        <f t="shared" si="331"/>
      </c>
      <c r="C417" s="96"/>
      <c r="D417" s="76" t="s">
        <v>299</v>
      </c>
      <c r="E417" s="77"/>
      <c r="F417" s="137" t="s">
        <v>300</v>
      </c>
      <c r="G417" s="137"/>
      <c r="H417" s="96"/>
      <c r="I417" s="78">
        <v>77.11</v>
      </c>
      <c r="J417" s="78">
        <v>77.11</v>
      </c>
      <c r="K417" s="78">
        <f t="shared" si="333"/>
      </c>
      <c r="L417" s="96"/>
      <c r="M417" s="137" t="str">
        <f t="shared" si="334"/>
      </c>
      <c r="N417" s="78" t="str">
        <f t="shared" ca="1" si="335"/>
      </c>
      <c r="O417" s="96"/>
      <c r="P417" s="79" t="str">
        <f t="shared" ca="1" si="336"/>
      </c>
      <c r="Q417" s="80" t="str">
        <f t="shared" ca="1" si="337"/>
      </c>
      <c r="R417" s="96"/>
      <c r="S417" s="81">
        <v>43297</v>
      </c>
      <c r="T417" s="82" t="s">
        <v>284</v>
      </c>
      <c r="U417" s="96"/>
    </row>
    <row r="418" spans="1:21" s="610" customFormat="1" x14ac:dyDescent="0.3">
      <c r="A418" s="73">
        <v>15</v>
      </c>
      <c r="B418" s="137" t="str">
        <f t="shared" si="331"/>
      </c>
      <c r="C418" s="96"/>
      <c r="D418" s="76" t="s">
        <v>295</v>
      </c>
      <c r="E418" s="77"/>
      <c r="F418" s="137" t="s">
        <v>300</v>
      </c>
      <c r="G418" s="137"/>
      <c r="H418" s="96"/>
      <c r="I418" s="78">
        <v>4.3499999999999996</v>
      </c>
      <c r="J418" s="78">
        <v>4.3499999999999996</v>
      </c>
      <c r="K418" s="78">
        <f t="shared" si="333"/>
      </c>
      <c r="L418" s="96"/>
      <c r="M418" s="137" t="str">
        <f t="shared" si="334"/>
      </c>
      <c r="N418" s="78" t="str">
        <f t="shared" ca="1" si="335"/>
      </c>
      <c r="O418" s="96"/>
      <c r="P418" s="79" t="str">
        <f t="shared" ca="1" si="336"/>
      </c>
      <c r="Q418" s="80" t="str">
        <f t="shared" ca="1" si="337"/>
      </c>
      <c r="R418" s="96"/>
      <c r="S418" s="81">
        <v>43297</v>
      </c>
      <c r="T418" s="82" t="s">
        <v>284</v>
      </c>
      <c r="U418" s="96"/>
    </row>
    <row r="419" spans="1:21" s="610" customFormat="1" x14ac:dyDescent="0.3">
      <c r="A419" s="73">
        <v>14</v>
      </c>
      <c r="B419" s="96"/>
      <c r="C419" s="96"/>
      <c r="D419" s="87"/>
      <c r="E419" s="88"/>
      <c r="F419" s="96"/>
      <c r="G419" s="96"/>
      <c r="H419" s="96"/>
      <c r="I419" s="774"/>
      <c r="J419" s="774"/>
      <c r="K419" s="774"/>
      <c r="L419" s="96"/>
      <c r="M419" s="96"/>
      <c r="N419" s="774"/>
      <c r="O419" s="96"/>
      <c r="P419" s="89"/>
      <c r="Q419" s="35"/>
      <c r="R419" s="96"/>
      <c r="S419" s="90"/>
      <c r="T419" s="91"/>
      <c r="U419" s="96"/>
    </row>
    <row r="420" spans="1:21" s="610" customFormat="1" x14ac:dyDescent="0.3">
      <c r="A420" s="73">
        <v>13</v>
      </c>
      <c r="B420" s="137" t="str">
        <f>IF(INDEX(MO_SNA_IsHistoricalPeriod,,MATCH(F420,MO_Common_ColumnHeader,0)),"Historical","Forward")</f>
      </c>
      <c r="C420" s="96"/>
      <c r="D420" s="76" t="s">
        <v>303</v>
      </c>
      <c r="E420" s="77"/>
      <c r="F420" s="137" t="s">
        <v>304</v>
      </c>
      <c r="G420" s="137"/>
      <c r="H420" s="96"/>
      <c r="I420" s="78">
        <v>7500</v>
      </c>
      <c r="J420" s="78">
        <v>8000</v>
      </c>
      <c r="K420" s="78">
        <f>AVERAGE(I420:J420)</f>
      </c>
      <c r="L420" s="96"/>
      <c r="M420" s="137" t="str">
        <f>IF(INDEX(MO_SNA_IsHistoricalPeriod,,MATCH(F420,MO_Common_ColumnHeader,0)),"Actual","Estimate")</f>
      </c>
      <c r="N420" s="78" t="str">
        <f ca="1">IFERROR(INDEX(INDIRECT(E420),0,MATCH(F420,MO_Common_ColumnHeader,0)),"N/A")</f>
      </c>
      <c r="O420" s="96"/>
      <c r="P420" s="79" t="str">
        <f ca="1">IF(ISNUMBER(N420),N420-K420,"N/A")</f>
      </c>
      <c r="Q420" s="80" t="str">
        <f ca="1">IFERROR(IF(ISNUMBER(N420),(N420-K420)/ABS(K420),"N/A"),"N/A")</f>
      </c>
      <c r="R420" s="96"/>
      <c r="S420" s="81">
        <v>43206</v>
      </c>
      <c r="T420" s="82" t="s">
        <v>284</v>
      </c>
      <c r="U420" s="96"/>
    </row>
    <row r="421" spans="1:21" s="610" customFormat="1" x14ac:dyDescent="0.3">
      <c r="A421" s="73">
        <v>12</v>
      </c>
      <c r="B421" s="137" t="str">
        <f>IF(INDEX(MO_SNA_IsHistoricalPeriod,,MATCH(F421,MO_Common_ColumnHeader,0)),"Historical","Forward")</f>
      </c>
      <c r="C421" s="96"/>
      <c r="D421" s="76" t="s">
        <v>305</v>
      </c>
      <c r="E421" s="77" t="s">
        <v>654</v>
      </c>
      <c r="F421" s="137" t="s">
        <v>304</v>
      </c>
      <c r="G421" s="137"/>
      <c r="H421" s="96"/>
      <c r="I421" s="83">
        <v>0.1</v>
      </c>
      <c r="J421" s="83">
        <v>0.1</v>
      </c>
      <c r="K421" s="83">
        <f>AVERAGE(I421:J421)</f>
      </c>
      <c r="L421" s="96"/>
      <c r="M421" s="137" t="str">
        <f>IF(INDEX(MO_SNA_IsHistoricalPeriod,,MATCH(F421,MO_Common_ColumnHeader,0)),"Actual","Estimate")</f>
      </c>
      <c r="N421" s="83">
        <f t="shared" ref="N421" ca="1" si="338">IFERROR(INDEX(INDIRECT(E421),0,MATCH(F421,MO_Common_ColumnHeader,0)),"N/A")</f>
      </c>
      <c r="O421" s="96"/>
      <c r="P421" s="80">
        <f ca="1">IF(ISNUMBER(N421),N421-K421,"N/A")</f>
      </c>
      <c r="Q421" s="80">
        <f ca="1">IFERROR(IF(ISNUMBER(N421),(N421-K421)/ABS(K421),"N/A"),"N/A")</f>
      </c>
      <c r="R421" s="96"/>
      <c r="S421" s="81">
        <v>43206</v>
      </c>
      <c r="T421" s="82" t="s">
        <v>284</v>
      </c>
      <c r="U421" s="96"/>
    </row>
    <row r="422" spans="1:21" s="610" customFormat="1" x14ac:dyDescent="0.3">
      <c r="A422" s="73">
        <v>11</v>
      </c>
      <c r="B422" s="96"/>
      <c r="C422" s="96"/>
      <c r="D422" s="87"/>
      <c r="E422" s="88"/>
      <c r="F422" s="96"/>
      <c r="G422" s="96"/>
      <c r="H422" s="96"/>
      <c r="I422" s="774"/>
      <c r="J422" s="774"/>
      <c r="K422" s="774"/>
      <c r="L422" s="96"/>
      <c r="M422" s="96"/>
      <c r="N422" s="774"/>
      <c r="O422" s="96"/>
      <c r="P422" s="89"/>
      <c r="Q422" s="35"/>
      <c r="R422" s="96"/>
      <c r="S422" s="90"/>
      <c r="T422" s="91"/>
      <c r="U422" s="96"/>
    </row>
    <row r="423" spans="1:21" s="610" customFormat="1" x14ac:dyDescent="0.3">
      <c r="A423" s="73">
        <v>10</v>
      </c>
      <c r="B423" s="137" t="str">
        <f>IF(INDEX(MO_SNA_IsHistoricalPeriod,,MATCH(F423,MO_Common_ColumnHeader,0)),"Historical","Forward")</f>
      </c>
      <c r="C423" s="96"/>
      <c r="D423" s="76" t="str">
        <f ca="1">INDEX(INDIRECT(E423),0,COLUMN(MO_Common_Column_A))</f>
      </c>
      <c r="E423" s="77" t="s">
        <v>2441</v>
      </c>
      <c r="F423" s="137" t="s">
        <v>306</v>
      </c>
      <c r="G423" s="137"/>
      <c r="H423" s="96"/>
      <c r="I423" s="78">
        <v>1200</v>
      </c>
      <c r="J423" s="78">
        <v>1200</v>
      </c>
      <c r="K423" s="78">
        <f>AVERAGE(I423:J423)</f>
      </c>
      <c r="L423" s="96"/>
      <c r="M423" s="137" t="str">
        <f>IF(INDEX(MO_SNA_IsHistoricalPeriod,,MATCH(F423,MO_Common_ColumnHeader,0)),"Actual","Estimate")</f>
      </c>
      <c r="N423" s="78">
        <f ca="1">IFERROR(INDEX(INDIRECT(E423),0,MATCH(F423,MO_Common_ColumnHeader,0)),"N/A")</f>
      </c>
      <c r="O423" s="96"/>
      <c r="P423" s="79">
        <f ca="1">IF(ISNUMBER(N423),N423-K423,"N/A")</f>
      </c>
      <c r="Q423" s="80">
        <f ca="1">IFERROR(IF(ISNUMBER(N423),(N423-K423)/ABS(K423),"N/A"),"N/A")</f>
      </c>
      <c r="R423" s="96"/>
      <c r="S423" s="81">
        <v>43206</v>
      </c>
      <c r="T423" s="82" t="s">
        <v>284</v>
      </c>
      <c r="U423" s="96"/>
    </row>
    <row r="424" spans="1:21" x14ac:dyDescent="0.3">
      <c r="A424" s="73">
        <v>9</v>
      </c>
      <c r="B424" s="137" t="str">
        <f>IF(INDEX(MO_SNA_IsHistoricalPeriod,,MATCH(F424,MO_Common_ColumnHeader,0)),"Historical","Forward")</f>
      </c>
      <c r="C424" s="96"/>
      <c r="D424" s="76" t="str">
        <f ca="1">INDEX(INDIRECT(E424),0,COLUMN(MO_Common_Column_A))</f>
      </c>
      <c r="E424" s="77" t="s">
        <v>2446</v>
      </c>
      <c r="F424" s="137" t="s">
        <v>306</v>
      </c>
      <c r="G424" s="137"/>
      <c r="H424" s="96"/>
      <c r="I424" s="78">
        <v>5000</v>
      </c>
      <c r="J424" s="78">
        <v>5000</v>
      </c>
      <c r="K424" s="78">
        <f>AVERAGE(I424:J424)</f>
      </c>
      <c r="L424" s="96"/>
      <c r="M424" s="137" t="str">
        <f>IF(INDEX(MO_SNA_IsHistoricalPeriod,,MATCH(F424,MO_Common_ColumnHeader,0)),"Actual","Estimate")</f>
      </c>
      <c r="N424" s="78">
        <f ca="1">IFERROR(INDEX(INDIRECT(E424),0,MATCH(F424,MO_Common_ColumnHeader,0)),"N/A")</f>
      </c>
      <c r="O424" s="96"/>
      <c r="P424" s="79">
        <f ca="1">IF(ISNUMBER(N424),N424-K424,"N/A")</f>
      </c>
      <c r="Q424" s="80">
        <f ca="1">IFERROR(IF(ISNUMBER(N424),(N424-K424)/ABS(K424),"N/A"),"N/A")</f>
      </c>
      <c r="R424" s="96"/>
      <c r="S424" s="81">
        <v>43206</v>
      </c>
      <c r="T424" s="82" t="s">
        <v>284</v>
      </c>
      <c r="U424" s="96"/>
    </row>
    <row r="425" spans="1:21" x14ac:dyDescent="0.3">
      <c r="A425" s="73">
        <v>8</v>
      </c>
      <c r="B425" s="137" t="str">
        <f>IF(INDEX(MO_SNA_IsHistoricalPeriod,,MATCH(F425,MO_Common_ColumnHeader,0)),"Historical","Forward")</f>
      </c>
      <c r="C425" s="96"/>
      <c r="D425" s="76" t="s">
        <v>305</v>
      </c>
      <c r="E425" s="77" t="s">
        <v>654</v>
      </c>
      <c r="F425" s="137" t="s">
        <v>306</v>
      </c>
      <c r="G425" s="137"/>
      <c r="H425" s="96"/>
      <c r="I425" s="83">
        <v>0.12</v>
      </c>
      <c r="J425" s="83">
        <v>0.12</v>
      </c>
      <c r="K425" s="83">
        <f>AVERAGE(I425:J425)</f>
      </c>
      <c r="L425" s="96"/>
      <c r="M425" s="137" t="str">
        <f>IF(INDEX(MO_SNA_IsHistoricalPeriod,,MATCH(F425,MO_Common_ColumnHeader,0)),"Actual","Estimate")</f>
      </c>
      <c r="N425" s="83">
        <f t="shared" ref="N425" ca="1" si="339">IFERROR(INDEX(INDIRECT(E425),0,MATCH(F425,MO_Common_ColumnHeader,0)),"N/A")</f>
      </c>
      <c r="O425" s="96"/>
      <c r="P425" s="80">
        <f ca="1">IF(ISNUMBER(N425),N425-K425,"N/A")</f>
      </c>
      <c r="Q425" s="80">
        <f ca="1">IFERROR(IF(ISNUMBER(N425),(N425-K425)/ABS(K425),"N/A"),"N/A")</f>
      </c>
      <c r="R425" s="96"/>
      <c r="S425" s="81">
        <v>43206</v>
      </c>
      <c r="T425" s="82" t="s">
        <v>284</v>
      </c>
      <c r="U425" s="96"/>
    </row>
    <row r="426" spans="1:21" x14ac:dyDescent="0.3">
      <c r="A426" s="73">
        <v>7</v>
      </c>
      <c r="B426" s="96"/>
      <c r="C426" s="96"/>
      <c r="D426" s="87"/>
      <c r="E426" s="88"/>
      <c r="F426" s="96"/>
      <c r="G426" s="96"/>
      <c r="H426" s="96"/>
      <c r="I426" s="774"/>
      <c r="J426" s="774"/>
      <c r="K426" s="774"/>
      <c r="L426" s="96"/>
      <c r="M426" s="96"/>
      <c r="N426" s="774"/>
      <c r="O426" s="96"/>
      <c r="P426" s="89"/>
      <c r="Q426" s="35"/>
      <c r="R426" s="96"/>
      <c r="S426" s="90"/>
      <c r="T426" s="91"/>
      <c r="U426" s="96"/>
    </row>
    <row r="427" spans="1:21" x14ac:dyDescent="0.3">
      <c r="A427" s="73">
        <v>6</v>
      </c>
      <c r="B427" s="137" t="str">
        <f>IF(INDEX(MO_SNA_IsHistoricalPeriod,,MATCH(F427,MO_Common_ColumnHeader,0)),"Historical","Forward")</f>
      </c>
      <c r="C427" s="96"/>
      <c r="D427" s="76" t="s">
        <v>303</v>
      </c>
      <c r="E427" s="77"/>
      <c r="F427" s="137" t="s">
        <v>304</v>
      </c>
      <c r="G427" s="137"/>
      <c r="H427" s="96"/>
      <c r="I427" s="78">
        <v>7500</v>
      </c>
      <c r="J427" s="78">
        <v>8000</v>
      </c>
      <c r="K427" s="78">
        <f>AVERAGE(I427:J427)</f>
      </c>
      <c r="L427" s="96"/>
      <c r="M427" s="137" t="str">
        <f>IF(INDEX(MO_SNA_IsHistoricalPeriod,,MATCH(F427,MO_Common_ColumnHeader,0)),"Actual","Estimate")</f>
      </c>
      <c r="N427" s="78" t="str">
        <f ca="1">IFERROR(INDEX(INDIRECT(E427),0,MATCH(F427,MO_Common_ColumnHeader,0)),"N/A")</f>
      </c>
      <c r="O427" s="96"/>
      <c r="P427" s="79" t="str">
        <f ca="1">IF(ISNUMBER(N427),N427-K427,"N/A")</f>
      </c>
      <c r="Q427" s="80" t="str">
        <f ca="1">IFERROR(IF(ISNUMBER(N427),(N427-K427)/ABS(K427),"N/A"),"N/A")</f>
      </c>
      <c r="R427" s="96"/>
      <c r="S427" s="81">
        <v>43122</v>
      </c>
      <c r="T427" s="82" t="s">
        <v>284</v>
      </c>
      <c r="U427" s="96"/>
    </row>
    <row r="428" spans="1:21" x14ac:dyDescent="0.3">
      <c r="A428" s="73">
        <v>5</v>
      </c>
      <c r="B428" s="137" t="str">
        <f>IF(INDEX(MO_SNA_IsHistoricalPeriod,,MATCH(F428,MO_Common_ColumnHeader,0)),"Historical","Forward")</f>
      </c>
      <c r="C428" s="96"/>
      <c r="D428" s="76" t="s">
        <v>305</v>
      </c>
      <c r="E428" s="77" t="s">
        <v>654</v>
      </c>
      <c r="F428" s="137" t="s">
        <v>304</v>
      </c>
      <c r="G428" s="137"/>
      <c r="H428" s="96"/>
      <c r="I428" s="83">
        <v>0.1</v>
      </c>
      <c r="J428" s="83">
        <v>0.1</v>
      </c>
      <c r="K428" s="83">
        <f>AVERAGE(I428:J428)</f>
      </c>
      <c r="L428" s="96"/>
      <c r="M428" s="137" t="str">
        <f>IF(INDEX(MO_SNA_IsHistoricalPeriod,,MATCH(F428,MO_Common_ColumnHeader,0)),"Actual","Estimate")</f>
      </c>
      <c r="N428" s="83">
        <f t="shared" ref="N428" ca="1" si="340">IFERROR(INDEX(INDIRECT(E428),0,MATCH(F428,MO_Common_ColumnHeader,0)),"N/A")</f>
      </c>
      <c r="O428" s="96"/>
      <c r="P428" s="80">
        <f ca="1">IF(ISNUMBER(N428),N428-K428,"N/A")</f>
      </c>
      <c r="Q428" s="80">
        <f ca="1">IFERROR(IF(ISNUMBER(N428),(N428-K428)/ABS(K428),"N/A"),"N/A")</f>
      </c>
      <c r="R428" s="96"/>
      <c r="S428" s="81">
        <v>43122</v>
      </c>
      <c r="T428" s="82" t="s">
        <v>284</v>
      </c>
      <c r="U428" s="96"/>
    </row>
    <row r="429" spans="1:21" x14ac:dyDescent="0.3">
      <c r="A429" s="73">
        <v>4</v>
      </c>
      <c r="B429" s="137" t="str">
        <f>IF(INDEX(MO_SNA_IsHistoricalPeriod,,MATCH(F429,MO_Common_ColumnHeader,0)),"Historical","Forward")</f>
      </c>
      <c r="C429" s="96"/>
      <c r="D429" s="76" t="str">
        <f ca="1">INDEX(INDIRECT(E429),0,COLUMN(MO_Common_Column_A))</f>
      </c>
      <c r="E429" s="77" t="s">
        <v>307</v>
      </c>
      <c r="F429" s="137" t="s">
        <v>304</v>
      </c>
      <c r="G429" s="137"/>
      <c r="H429" s="96"/>
      <c r="I429" s="78">
        <v>2000</v>
      </c>
      <c r="J429" s="78">
        <v>2000</v>
      </c>
      <c r="K429" s="78">
        <f>AVERAGE(I429:J429)</f>
      </c>
      <c r="L429" s="96"/>
      <c r="M429" s="137" t="str">
        <f>IF(INDEX(MO_SNA_IsHistoricalPeriod,,MATCH(F429,MO_Common_ColumnHeader,0)),"Actual","Estimate")</f>
      </c>
      <c r="N429" s="78">
        <f ca="1">IFERROR(INDEX(INDIRECT(E429),0,MATCH(F429,MO_Common_ColumnHeader,0)),"N/A")</f>
      </c>
      <c r="O429" s="96"/>
      <c r="P429" s="79">
        <f ca="1">IF(ISNUMBER(N429),N429-K429,"N/A")</f>
      </c>
      <c r="Q429" s="80">
        <f ca="1">IFERROR(IF(ISNUMBER(N429),(N429-K429)/ABS(K429),"N/A"),"N/A")</f>
      </c>
      <c r="R429" s="96"/>
      <c r="S429" s="81">
        <v>43122</v>
      </c>
      <c r="T429" s="82" t="s">
        <v>284</v>
      </c>
      <c r="U429" s="96"/>
    </row>
    <row r="430" spans="1:21" x14ac:dyDescent="0.3">
      <c r="A430" s="73">
        <v>3</v>
      </c>
      <c r="B430" s="137" t="str">
        <f>IF(INDEX(MO_SNA_IsHistoricalPeriod,,MATCH(F430,MO_Common_ColumnHeader,0)),"Historical","Forward")</f>
      </c>
      <c r="C430" s="96"/>
      <c r="D430" s="76" t="str">
        <f ca="1">INDEX(INDIRECT(E430),0,COLUMN(MO_Common_Column_A))</f>
      </c>
      <c r="E430" s="77" t="s">
        <v>308</v>
      </c>
      <c r="F430" s="137" t="s">
        <v>304</v>
      </c>
      <c r="G430" s="137"/>
      <c r="H430" s="96"/>
      <c r="I430" s="78">
        <v>1300</v>
      </c>
      <c r="J430" s="78">
        <v>1300</v>
      </c>
      <c r="K430" s="78">
        <f>AVERAGE(I430:J430)</f>
      </c>
      <c r="L430" s="96"/>
      <c r="M430" s="137" t="str">
        <f>IF(INDEX(MO_SNA_IsHistoricalPeriod,,MATCH(F430,MO_Common_ColumnHeader,0)),"Actual","Estimate")</f>
      </c>
      <c r="N430" s="78">
        <f ca="1">IFERROR(INDEX(INDIRECT(E430),0,MATCH(F430,MO_Common_ColumnHeader,0)),"N/A")</f>
      </c>
      <c r="O430" s="96"/>
      <c r="P430" s="79">
        <f ca="1">IF(ISNUMBER(N430),N430-K430,"N/A")</f>
      </c>
      <c r="Q430" s="80">
        <f ca="1">IFERROR(IF(ISNUMBER(N430),(N430-K430)/ABS(K430),"N/A"),"N/A")</f>
      </c>
      <c r="R430" s="96"/>
      <c r="S430" s="81">
        <v>43122</v>
      </c>
      <c r="T430" s="82" t="s">
        <v>284</v>
      </c>
      <c r="U430" s="96"/>
    </row>
    <row r="431" spans="1:21" x14ac:dyDescent="0.3">
      <c r="A431" s="73">
        <v>2</v>
      </c>
      <c r="B431" s="96"/>
      <c r="C431" s="96"/>
      <c r="D431" s="87"/>
      <c r="E431" s="88"/>
      <c r="F431" s="96"/>
      <c r="G431" s="96"/>
      <c r="H431" s="96"/>
      <c r="I431" s="774"/>
      <c r="J431" s="774"/>
      <c r="K431" s="774"/>
      <c r="L431" s="96"/>
      <c r="M431" s="96"/>
      <c r="N431" s="774"/>
      <c r="O431" s="96"/>
      <c r="P431" s="89"/>
      <c r="Q431" s="35"/>
      <c r="R431" s="96"/>
      <c r="S431" s="90"/>
      <c r="T431" s="91"/>
      <c r="U431" s="96"/>
    </row>
    <row r="432" spans="1:21" x14ac:dyDescent="0.3">
      <c r="A432" s="73">
        <v>1</v>
      </c>
      <c r="B432" s="137" t="str">
        <f>IF(INDEX(MO_SNA_IsHistoricalPeriod,,MATCH(F432,MO_Common_ColumnHeader,0)),"Historical","Forward")</f>
      </c>
      <c r="C432" s="96"/>
      <c r="D432" s="76" t="s">
        <v>309</v>
      </c>
      <c r="E432" s="77"/>
      <c r="F432" s="137" t="s">
        <v>310</v>
      </c>
      <c r="G432" s="137"/>
      <c r="H432" s="96"/>
      <c r="I432" s="78">
        <v>6350</v>
      </c>
      <c r="J432" s="78">
        <v>6350</v>
      </c>
      <c r="K432" s="78">
        <f>AVERAGE(I432:J432)</f>
      </c>
      <c r="L432" s="96"/>
      <c r="M432" s="137" t="str">
        <f>IF(INDEX(MO_SNA_IsHistoricalPeriod,,MATCH(F432,MO_Common_ColumnHeader,0)),"Actual","Estimate")</f>
      </c>
      <c r="N432" s="78" t="str">
        <f ca="1">IFERROR(INDEX(INDIRECT(E432),0,MATCH(F432,MO_Common_ColumnHeader,0)),"N/A")</f>
      </c>
      <c r="O432" s="96"/>
      <c r="P432" s="79" t="str">
        <f ca="1">IF(ISNUMBER(N432),N432-K432,"N/A")</f>
      </c>
      <c r="Q432" s="80" t="str">
        <f ca="1">IFERROR(IF(ISNUMBER(N432),(N432-K432)/ABS(K432),"N/A"),"N/A")</f>
      </c>
      <c r="R432" s="96"/>
      <c r="S432" s="81">
        <v>43122</v>
      </c>
      <c r="T432" s="82" t="s">
        <v>284</v>
      </c>
      <c r="U432" s="96"/>
    </row>
    <row r="433" spans="1:21" x14ac:dyDescent="0.3">
      <c r="A433" s="73">
        <v>0</v>
      </c>
      <c r="B433" s="96"/>
      <c r="C433" s="96"/>
      <c r="D433" s="96"/>
      <c r="E433" s="88"/>
      <c r="F433" s="96"/>
      <c r="G433" s="96"/>
      <c r="H433" s="96"/>
      <c r="I433" s="96"/>
      <c r="J433" s="96"/>
      <c r="K433" s="96"/>
      <c r="L433" s="96"/>
      <c r="M433" s="96"/>
      <c r="N433" s="96"/>
      <c r="O433" s="96"/>
      <c r="P433" s="96"/>
      <c r="Q433" s="86"/>
      <c r="R433" s="96"/>
      <c r="S433" s="95"/>
      <c r="T433" s="96"/>
      <c r="U433" s="96"/>
    </row>
  </sheetData>
  <autoFilter ref="A5:U5" xr:uid="{00000000-0009-0000-0000-000004000000}"/>
  <conditionalFormatting sqref="Q1:Q3 Q5 Q128:Q129 Q134 Q267:Q268 Q398 Q408 Q423 Q425:Q426 Q432:Q434">
    <cfRule type="colorScale" priority="362">
      <colorScale>
        <cfvo type="num" val="-0.1"/>
        <cfvo type="num" val="0"/>
        <cfvo type="num" val="0.1"/>
        <color rgb="FFF8696B"/>
        <color rgb="FFFFEB84"/>
        <color rgb="FF63BE7B"/>
      </colorScale>
    </cfRule>
  </conditionalFormatting>
  <conditionalFormatting sqref="Q6:Q8">
    <cfRule type="colorScale" priority="5">
      <colorScale>
        <cfvo type="num" val="-0.1"/>
        <cfvo type="num" val="0"/>
        <cfvo type="num" val="0.1"/>
        <color rgb="FFF8696B"/>
        <color rgb="FFFFEB84"/>
        <color rgb="FF63BE7B"/>
      </colorScale>
    </cfRule>
  </conditionalFormatting>
  <conditionalFormatting sqref="Q9">
    <cfRule type="colorScale" priority="4">
      <colorScale>
        <cfvo type="num" val="-0.1"/>
        <cfvo type="num" val="0"/>
        <cfvo type="num" val="0.1"/>
        <color rgb="FFF8696B"/>
        <color rgb="FFFFEB84"/>
        <color rgb="FF63BE7B"/>
      </colorScale>
    </cfRule>
  </conditionalFormatting>
  <conditionalFormatting sqref="Q10">
    <cfRule type="colorScale" priority="3">
      <colorScale>
        <cfvo type="num" val="-0.1"/>
        <cfvo type="num" val="0"/>
        <cfvo type="num" val="0.1"/>
        <color rgb="FFF8696B"/>
        <color rgb="FFFFEB84"/>
        <color rgb="FF63BE7B"/>
      </colorScale>
    </cfRule>
  </conditionalFormatting>
  <conditionalFormatting sqref="Q11:Q12">
    <cfRule type="colorScale" priority="10">
      <colorScale>
        <cfvo type="num" val="-0.1"/>
        <cfvo type="num" val="0"/>
        <cfvo type="num" val="0.1"/>
        <color rgb="FFF8696B"/>
        <color rgb="FFFFEB84"/>
        <color rgb="FF63BE7B"/>
      </colorScale>
    </cfRule>
  </conditionalFormatting>
  <conditionalFormatting sqref="Q13">
    <cfRule type="colorScale" priority="1">
      <colorScale>
        <cfvo type="num" val="-0.1"/>
        <cfvo type="num" val="0"/>
        <cfvo type="num" val="0.1"/>
        <color rgb="FFF8696B"/>
        <color rgb="FFFFEB84"/>
        <color rgb="FF63BE7B"/>
      </colorScale>
    </cfRule>
  </conditionalFormatting>
  <conditionalFormatting sqref="Q14">
    <cfRule type="colorScale" priority="7">
      <colorScale>
        <cfvo type="num" val="-0.1"/>
        <cfvo type="num" val="0"/>
        <cfvo type="num" val="0.1"/>
        <color rgb="FFF8696B"/>
        <color rgb="FFFFEB84"/>
        <color rgb="FF63BE7B"/>
      </colorScale>
    </cfRule>
  </conditionalFormatting>
  <conditionalFormatting sqref="Q15">
    <cfRule type="colorScale" priority="6">
      <colorScale>
        <cfvo type="num" val="-0.1"/>
        <cfvo type="num" val="0"/>
        <cfvo type="num" val="0.1"/>
        <color rgb="FFF8696B"/>
        <color rgb="FFFFEB84"/>
        <color rgb="FF63BE7B"/>
      </colorScale>
    </cfRule>
  </conditionalFormatting>
  <conditionalFormatting sqref="Q16">
    <cfRule type="colorScale" priority="9">
      <colorScale>
        <cfvo type="num" val="-0.1"/>
        <cfvo type="num" val="0"/>
        <cfvo type="num" val="0.1"/>
        <color rgb="FFF8696B"/>
        <color rgb="FFFFEB84"/>
        <color rgb="FF63BE7B"/>
      </colorScale>
    </cfRule>
  </conditionalFormatting>
  <conditionalFormatting sqref="Q17">
    <cfRule type="colorScale" priority="8">
      <colorScale>
        <cfvo type="num" val="-0.1"/>
        <cfvo type="num" val="0"/>
        <cfvo type="num" val="0.1"/>
        <color rgb="FFF8696B"/>
        <color rgb="FFFFEB84"/>
        <color rgb="FF63BE7B"/>
      </colorScale>
    </cfRule>
  </conditionalFormatting>
  <conditionalFormatting sqref="Q18">
    <cfRule type="colorScale" priority="2">
      <colorScale>
        <cfvo type="num" val="-0.1"/>
        <cfvo type="num" val="0"/>
        <cfvo type="num" val="0.1"/>
        <color rgb="FFF8696B"/>
        <color rgb="FFFFEB84"/>
        <color rgb="FF63BE7B"/>
      </colorScale>
    </cfRule>
  </conditionalFormatting>
  <conditionalFormatting sqref="Q19:Q21">
    <cfRule type="colorScale" priority="14">
      <colorScale>
        <cfvo type="num" val="-0.1"/>
        <cfvo type="num" val="0"/>
        <cfvo type="num" val="0.1"/>
        <color rgb="FFF8696B"/>
        <color rgb="FFFFEB84"/>
        <color rgb="FF63BE7B"/>
      </colorScale>
    </cfRule>
  </conditionalFormatting>
  <conditionalFormatting sqref="Q22">
    <cfRule type="colorScale" priority="13">
      <colorScale>
        <cfvo type="num" val="-0.1"/>
        <cfvo type="num" val="0"/>
        <cfvo type="num" val="0.1"/>
        <color rgb="FFF8696B"/>
        <color rgb="FFFFEB84"/>
        <color rgb="FF63BE7B"/>
      </colorScale>
    </cfRule>
  </conditionalFormatting>
  <conditionalFormatting sqref="Q23">
    <cfRule type="colorScale" priority="12">
      <colorScale>
        <cfvo type="num" val="-0.1"/>
        <cfvo type="num" val="0"/>
        <cfvo type="num" val="0.1"/>
        <color rgb="FFF8696B"/>
        <color rgb="FFFFEB84"/>
        <color rgb="FF63BE7B"/>
      </colorScale>
    </cfRule>
  </conditionalFormatting>
  <conditionalFormatting sqref="Q24:Q25">
    <cfRule type="colorScale" priority="19">
      <colorScale>
        <cfvo type="num" val="-0.1"/>
        <cfvo type="num" val="0"/>
        <cfvo type="num" val="0.1"/>
        <color rgb="FFF8696B"/>
        <color rgb="FFFFEB84"/>
        <color rgb="FF63BE7B"/>
      </colorScale>
    </cfRule>
  </conditionalFormatting>
  <conditionalFormatting sqref="Q26">
    <cfRule type="colorScale" priority="16">
      <colorScale>
        <cfvo type="num" val="-0.1"/>
        <cfvo type="num" val="0"/>
        <cfvo type="num" val="0.1"/>
        <color rgb="FFF8696B"/>
        <color rgb="FFFFEB84"/>
        <color rgb="FF63BE7B"/>
      </colorScale>
    </cfRule>
  </conditionalFormatting>
  <conditionalFormatting sqref="Q27">
    <cfRule type="colorScale" priority="15">
      <colorScale>
        <cfvo type="num" val="-0.1"/>
        <cfvo type="num" val="0"/>
        <cfvo type="num" val="0.1"/>
        <color rgb="FFF8696B"/>
        <color rgb="FFFFEB84"/>
        <color rgb="FF63BE7B"/>
      </colorScale>
    </cfRule>
  </conditionalFormatting>
  <conditionalFormatting sqref="Q28">
    <cfRule type="colorScale" priority="18">
      <colorScale>
        <cfvo type="num" val="-0.1"/>
        <cfvo type="num" val="0"/>
        <cfvo type="num" val="0.1"/>
        <color rgb="FFF8696B"/>
        <color rgb="FFFFEB84"/>
        <color rgb="FF63BE7B"/>
      </colorScale>
    </cfRule>
  </conditionalFormatting>
  <conditionalFormatting sqref="Q29">
    <cfRule type="colorScale" priority="17">
      <colorScale>
        <cfvo type="num" val="-0.1"/>
        <cfvo type="num" val="0"/>
        <cfvo type="num" val="0.1"/>
        <color rgb="FFF8696B"/>
        <color rgb="FFFFEB84"/>
        <color rgb="FF63BE7B"/>
      </colorScale>
    </cfRule>
  </conditionalFormatting>
  <conditionalFormatting sqref="Q30">
    <cfRule type="colorScale" priority="11">
      <colorScale>
        <cfvo type="num" val="-0.1"/>
        <cfvo type="num" val="0"/>
        <cfvo type="num" val="0.1"/>
        <color rgb="FFF8696B"/>
        <color rgb="FFFFEB84"/>
        <color rgb="FF63BE7B"/>
      </colorScale>
    </cfRule>
  </conditionalFormatting>
  <conditionalFormatting sqref="Q31:Q33">
    <cfRule type="colorScale" priority="23">
      <colorScale>
        <cfvo type="num" val="-0.1"/>
        <cfvo type="num" val="0"/>
        <cfvo type="num" val="0.1"/>
        <color rgb="FFF8696B"/>
        <color rgb="FFFFEB84"/>
        <color rgb="FF63BE7B"/>
      </colorScale>
    </cfRule>
  </conditionalFormatting>
  <conditionalFormatting sqref="Q34">
    <cfRule type="colorScale" priority="22">
      <colorScale>
        <cfvo type="num" val="-0.1"/>
        <cfvo type="num" val="0"/>
        <cfvo type="num" val="0.1"/>
        <color rgb="FFF8696B"/>
        <color rgb="FFFFEB84"/>
        <color rgb="FF63BE7B"/>
      </colorScale>
    </cfRule>
  </conditionalFormatting>
  <conditionalFormatting sqref="Q35">
    <cfRule type="colorScale" priority="21">
      <colorScale>
        <cfvo type="num" val="-0.1"/>
        <cfvo type="num" val="0"/>
        <cfvo type="num" val="0.1"/>
        <color rgb="FFF8696B"/>
        <color rgb="FFFFEB84"/>
        <color rgb="FF63BE7B"/>
      </colorScale>
    </cfRule>
  </conditionalFormatting>
  <conditionalFormatting sqref="Q36:Q38">
    <cfRule type="colorScale" priority="28">
      <colorScale>
        <cfvo type="num" val="-0.1"/>
        <cfvo type="num" val="0"/>
        <cfvo type="num" val="0.1"/>
        <color rgb="FFF8696B"/>
        <color rgb="FFFFEB84"/>
        <color rgb="FF63BE7B"/>
      </colorScale>
    </cfRule>
  </conditionalFormatting>
  <conditionalFormatting sqref="Q39">
    <cfRule type="colorScale" priority="25">
      <colorScale>
        <cfvo type="num" val="-0.1"/>
        <cfvo type="num" val="0"/>
        <cfvo type="num" val="0.1"/>
        <color rgb="FFF8696B"/>
        <color rgb="FFFFEB84"/>
        <color rgb="FF63BE7B"/>
      </colorScale>
    </cfRule>
  </conditionalFormatting>
  <conditionalFormatting sqref="Q40">
    <cfRule type="colorScale" priority="24">
      <colorScale>
        <cfvo type="num" val="-0.1"/>
        <cfvo type="num" val="0"/>
        <cfvo type="num" val="0.1"/>
        <color rgb="FFF8696B"/>
        <color rgb="FFFFEB84"/>
        <color rgb="FF63BE7B"/>
      </colorScale>
    </cfRule>
  </conditionalFormatting>
  <conditionalFormatting sqref="Q41">
    <cfRule type="colorScale" priority="27">
      <colorScale>
        <cfvo type="num" val="-0.1"/>
        <cfvo type="num" val="0"/>
        <cfvo type="num" val="0.1"/>
        <color rgb="FFF8696B"/>
        <color rgb="FFFFEB84"/>
        <color rgb="FF63BE7B"/>
      </colorScale>
    </cfRule>
  </conditionalFormatting>
  <conditionalFormatting sqref="Q42">
    <cfRule type="colorScale" priority="26">
      <colorScale>
        <cfvo type="num" val="-0.1"/>
        <cfvo type="num" val="0"/>
        <cfvo type="num" val="0.1"/>
        <color rgb="FFF8696B"/>
        <color rgb="FFFFEB84"/>
        <color rgb="FF63BE7B"/>
      </colorScale>
    </cfRule>
  </conditionalFormatting>
  <conditionalFormatting sqref="Q43">
    <cfRule type="colorScale" priority="20">
      <colorScale>
        <cfvo type="num" val="-0.1"/>
        <cfvo type="num" val="0"/>
        <cfvo type="num" val="0.1"/>
        <color rgb="FFF8696B"/>
        <color rgb="FFFFEB84"/>
        <color rgb="FF63BE7B"/>
      </colorScale>
    </cfRule>
  </conditionalFormatting>
  <conditionalFormatting sqref="Q44:Q46">
    <cfRule type="colorScale" priority="31">
      <colorScale>
        <cfvo type="num" val="-0.1"/>
        <cfvo type="num" val="0"/>
        <cfvo type="num" val="0.1"/>
        <color rgb="FFF8696B"/>
        <color rgb="FFFFEB84"/>
        <color rgb="FF63BE7B"/>
      </colorScale>
    </cfRule>
  </conditionalFormatting>
  <conditionalFormatting sqref="Q47">
    <cfRule type="colorScale" priority="30">
      <colorScale>
        <cfvo type="num" val="-0.1"/>
        <cfvo type="num" val="0"/>
        <cfvo type="num" val="0.1"/>
        <color rgb="FFF8696B"/>
        <color rgb="FFFFEB84"/>
        <color rgb="FF63BE7B"/>
      </colorScale>
    </cfRule>
  </conditionalFormatting>
  <conditionalFormatting sqref="Q48">
    <cfRule type="colorScale" priority="29">
      <colorScale>
        <cfvo type="num" val="-0.1"/>
        <cfvo type="num" val="0"/>
        <cfvo type="num" val="0.1"/>
        <color rgb="FFF8696B"/>
        <color rgb="FFFFEB84"/>
        <color rgb="FF63BE7B"/>
      </colorScale>
    </cfRule>
  </conditionalFormatting>
  <conditionalFormatting sqref="Q49:Q51">
    <cfRule type="colorScale" priority="37">
      <colorScale>
        <cfvo type="num" val="-0.1"/>
        <cfvo type="num" val="0"/>
        <cfvo type="num" val="0.1"/>
        <color rgb="FFF8696B"/>
        <color rgb="FFFFEB84"/>
        <color rgb="FF63BE7B"/>
      </colorScale>
    </cfRule>
  </conditionalFormatting>
  <conditionalFormatting sqref="Q52">
    <cfRule type="colorScale" priority="34">
      <colorScale>
        <cfvo type="num" val="-0.1"/>
        <cfvo type="num" val="0"/>
        <cfvo type="num" val="0.1"/>
        <color rgb="FFF8696B"/>
        <color rgb="FFFFEB84"/>
        <color rgb="FF63BE7B"/>
      </colorScale>
    </cfRule>
  </conditionalFormatting>
  <conditionalFormatting sqref="Q53">
    <cfRule type="colorScale" priority="33">
      <colorScale>
        <cfvo type="num" val="-0.1"/>
        <cfvo type="num" val="0"/>
        <cfvo type="num" val="0.1"/>
        <color rgb="FFF8696B"/>
        <color rgb="FFFFEB84"/>
        <color rgb="FF63BE7B"/>
      </colorScale>
    </cfRule>
  </conditionalFormatting>
  <conditionalFormatting sqref="Q54">
    <cfRule type="colorScale" priority="36">
      <colorScale>
        <cfvo type="num" val="-0.1"/>
        <cfvo type="num" val="0"/>
        <cfvo type="num" val="0.1"/>
        <color rgb="FFF8696B"/>
        <color rgb="FFFFEB84"/>
        <color rgb="FF63BE7B"/>
      </colorScale>
    </cfRule>
  </conditionalFormatting>
  <conditionalFormatting sqref="Q55">
    <cfRule type="colorScale" priority="35">
      <colorScale>
        <cfvo type="num" val="-0.1"/>
        <cfvo type="num" val="0"/>
        <cfvo type="num" val="0.1"/>
        <color rgb="FFF8696B"/>
        <color rgb="FFFFEB84"/>
        <color rgb="FF63BE7B"/>
      </colorScale>
    </cfRule>
  </conditionalFormatting>
  <conditionalFormatting sqref="Q56">
    <cfRule type="colorScale" priority="32">
      <colorScale>
        <cfvo type="num" val="-0.1"/>
        <cfvo type="num" val="0"/>
        <cfvo type="num" val="0.1"/>
        <color rgb="FFF8696B"/>
        <color rgb="FFFFEB84"/>
        <color rgb="FF63BE7B"/>
      </colorScale>
    </cfRule>
  </conditionalFormatting>
  <conditionalFormatting sqref="Q57:Q59">
    <cfRule type="colorScale" priority="40">
      <colorScale>
        <cfvo type="num" val="-0.1"/>
        <cfvo type="num" val="0"/>
        <cfvo type="num" val="0.1"/>
        <color rgb="FFF8696B"/>
        <color rgb="FFFFEB84"/>
        <color rgb="FF63BE7B"/>
      </colorScale>
    </cfRule>
  </conditionalFormatting>
  <conditionalFormatting sqref="Q60">
    <cfRule type="colorScale" priority="39">
      <colorScale>
        <cfvo type="num" val="-0.1"/>
        <cfvo type="num" val="0"/>
        <cfvo type="num" val="0.1"/>
        <color rgb="FFF8696B"/>
        <color rgb="FFFFEB84"/>
        <color rgb="FF63BE7B"/>
      </colorScale>
    </cfRule>
  </conditionalFormatting>
  <conditionalFormatting sqref="Q61">
    <cfRule type="colorScale" priority="38">
      <colorScale>
        <cfvo type="num" val="-0.1"/>
        <cfvo type="num" val="0"/>
        <cfvo type="num" val="0.1"/>
        <color rgb="FFF8696B"/>
        <color rgb="FFFFEB84"/>
        <color rgb="FF63BE7B"/>
      </colorScale>
    </cfRule>
  </conditionalFormatting>
  <conditionalFormatting sqref="Q62:Q64">
    <cfRule type="colorScale" priority="46">
      <colorScale>
        <cfvo type="num" val="-0.1"/>
        <cfvo type="num" val="0"/>
        <cfvo type="num" val="0.1"/>
        <color rgb="FFF8696B"/>
        <color rgb="FFFFEB84"/>
        <color rgb="FF63BE7B"/>
      </colorScale>
    </cfRule>
  </conditionalFormatting>
  <conditionalFormatting sqref="Q65">
    <cfRule type="colorScale" priority="43">
      <colorScale>
        <cfvo type="num" val="-0.1"/>
        <cfvo type="num" val="0"/>
        <cfvo type="num" val="0.1"/>
        <color rgb="FFF8696B"/>
        <color rgb="FFFFEB84"/>
        <color rgb="FF63BE7B"/>
      </colorScale>
    </cfRule>
  </conditionalFormatting>
  <conditionalFormatting sqref="Q66">
    <cfRule type="colorScale" priority="42">
      <colorScale>
        <cfvo type="num" val="-0.1"/>
        <cfvo type="num" val="0"/>
        <cfvo type="num" val="0.1"/>
        <color rgb="FFF8696B"/>
        <color rgb="FFFFEB84"/>
        <color rgb="FF63BE7B"/>
      </colorScale>
    </cfRule>
  </conditionalFormatting>
  <conditionalFormatting sqref="Q67">
    <cfRule type="colorScale" priority="45">
      <colorScale>
        <cfvo type="num" val="-0.1"/>
        <cfvo type="num" val="0"/>
        <cfvo type="num" val="0.1"/>
        <color rgb="FFF8696B"/>
        <color rgb="FFFFEB84"/>
        <color rgb="FF63BE7B"/>
      </colorScale>
    </cfRule>
  </conditionalFormatting>
  <conditionalFormatting sqref="Q68">
    <cfRule type="colorScale" priority="44">
      <colorScale>
        <cfvo type="num" val="-0.1"/>
        <cfvo type="num" val="0"/>
        <cfvo type="num" val="0.1"/>
        <color rgb="FFF8696B"/>
        <color rgb="FFFFEB84"/>
        <color rgb="FF63BE7B"/>
      </colorScale>
    </cfRule>
  </conditionalFormatting>
  <conditionalFormatting sqref="Q69">
    <cfRule type="colorScale" priority="41">
      <colorScale>
        <cfvo type="num" val="-0.1"/>
        <cfvo type="num" val="0"/>
        <cfvo type="num" val="0.1"/>
        <color rgb="FFF8696B"/>
        <color rgb="FFFFEB84"/>
        <color rgb="FF63BE7B"/>
      </colorScale>
    </cfRule>
  </conditionalFormatting>
  <conditionalFormatting sqref="Q70:Q72">
    <cfRule type="colorScale" priority="49">
      <colorScale>
        <cfvo type="num" val="-0.1"/>
        <cfvo type="num" val="0"/>
        <cfvo type="num" val="0.1"/>
        <color rgb="FFF8696B"/>
        <color rgb="FFFFEB84"/>
        <color rgb="FF63BE7B"/>
      </colorScale>
    </cfRule>
  </conditionalFormatting>
  <conditionalFormatting sqref="Q73">
    <cfRule type="colorScale" priority="48">
      <colorScale>
        <cfvo type="num" val="-0.1"/>
        <cfvo type="num" val="0"/>
        <cfvo type="num" val="0.1"/>
        <color rgb="FFF8696B"/>
        <color rgb="FFFFEB84"/>
        <color rgb="FF63BE7B"/>
      </colorScale>
    </cfRule>
  </conditionalFormatting>
  <conditionalFormatting sqref="Q74">
    <cfRule type="colorScale" priority="47">
      <colorScale>
        <cfvo type="num" val="-0.1"/>
        <cfvo type="num" val="0"/>
        <cfvo type="num" val="0.1"/>
        <color rgb="FFF8696B"/>
        <color rgb="FFFFEB84"/>
        <color rgb="FF63BE7B"/>
      </colorScale>
    </cfRule>
  </conditionalFormatting>
  <conditionalFormatting sqref="Q75:Q77">
    <cfRule type="colorScale" priority="58">
      <colorScale>
        <cfvo type="num" val="-0.1"/>
        <cfvo type="num" val="0"/>
        <cfvo type="num" val="0.1"/>
        <color rgb="FFF8696B"/>
        <color rgb="FFFFEB84"/>
        <color rgb="FF63BE7B"/>
      </colorScale>
    </cfRule>
  </conditionalFormatting>
  <conditionalFormatting sqref="Q78">
    <cfRule type="colorScale" priority="55">
      <colorScale>
        <cfvo type="num" val="-0.1"/>
        <cfvo type="num" val="0"/>
        <cfvo type="num" val="0.1"/>
        <color rgb="FFF8696B"/>
        <color rgb="FFFFEB84"/>
        <color rgb="FF63BE7B"/>
      </colorScale>
    </cfRule>
  </conditionalFormatting>
  <conditionalFormatting sqref="Q79">
    <cfRule type="colorScale" priority="54">
      <colorScale>
        <cfvo type="num" val="-0.1"/>
        <cfvo type="num" val="0"/>
        <cfvo type="num" val="0.1"/>
        <color rgb="FFF8696B"/>
        <color rgb="FFFFEB84"/>
        <color rgb="FF63BE7B"/>
      </colorScale>
    </cfRule>
  </conditionalFormatting>
  <conditionalFormatting sqref="Q80">
    <cfRule type="colorScale" priority="57">
      <colorScale>
        <cfvo type="num" val="-0.1"/>
        <cfvo type="num" val="0"/>
        <cfvo type="num" val="0.1"/>
        <color rgb="FFF8696B"/>
        <color rgb="FFFFEB84"/>
        <color rgb="FF63BE7B"/>
      </colorScale>
    </cfRule>
  </conditionalFormatting>
  <conditionalFormatting sqref="Q81">
    <cfRule type="colorScale" priority="56">
      <colorScale>
        <cfvo type="num" val="-0.1"/>
        <cfvo type="num" val="0"/>
        <cfvo type="num" val="0.1"/>
        <color rgb="FFF8696B"/>
        <color rgb="FFFFEB84"/>
        <color rgb="FF63BE7B"/>
      </colorScale>
    </cfRule>
  </conditionalFormatting>
  <conditionalFormatting sqref="Q82">
    <cfRule type="colorScale" priority="50">
      <colorScale>
        <cfvo type="num" val="-0.1"/>
        <cfvo type="num" val="0"/>
        <cfvo type="num" val="0.1"/>
        <color rgb="FFF8696B"/>
        <color rgb="FFFFEB84"/>
        <color rgb="FF63BE7B"/>
      </colorScale>
    </cfRule>
  </conditionalFormatting>
  <conditionalFormatting sqref="Q83:Q84">
    <cfRule type="colorScale" priority="61">
      <colorScale>
        <cfvo type="num" val="-0.1"/>
        <cfvo type="num" val="0"/>
        <cfvo type="num" val="0.1"/>
        <color rgb="FFF8696B"/>
        <color rgb="FFFFEB84"/>
        <color rgb="FF63BE7B"/>
      </colorScale>
    </cfRule>
  </conditionalFormatting>
  <conditionalFormatting sqref="Q85">
    <cfRule type="colorScale" priority="60">
      <colorScale>
        <cfvo type="num" val="-0.1"/>
        <cfvo type="num" val="0"/>
        <cfvo type="num" val="0.1"/>
        <color rgb="FFF8696B"/>
        <color rgb="FFFFEB84"/>
        <color rgb="FF63BE7B"/>
      </colorScale>
    </cfRule>
  </conditionalFormatting>
  <conditionalFormatting sqref="Q86">
    <cfRule type="colorScale" priority="59">
      <colorScale>
        <cfvo type="num" val="-0.1"/>
        <cfvo type="num" val="0"/>
        <cfvo type="num" val="0.1"/>
        <color rgb="FFF8696B"/>
        <color rgb="FFFFEB84"/>
        <color rgb="FF63BE7B"/>
      </colorScale>
    </cfRule>
  </conditionalFormatting>
  <conditionalFormatting sqref="Q87">
    <cfRule type="colorScale" priority="63">
      <colorScale>
        <cfvo type="num" val="-0.1"/>
        <cfvo type="num" val="0"/>
        <cfvo type="num" val="0.1"/>
        <color rgb="FFF8696B"/>
        <color rgb="FFFFEB84"/>
        <color rgb="FF63BE7B"/>
      </colorScale>
    </cfRule>
  </conditionalFormatting>
  <conditionalFormatting sqref="Q88">
    <cfRule type="colorScale" priority="65">
      <colorScale>
        <cfvo type="num" val="-0.1"/>
        <cfvo type="num" val="0"/>
        <cfvo type="num" val="0.1"/>
        <color rgb="FFF8696B"/>
        <color rgb="FFFFEB84"/>
        <color rgb="FF63BE7B"/>
      </colorScale>
    </cfRule>
  </conditionalFormatting>
  <conditionalFormatting sqref="Q89">
    <cfRule type="colorScale" priority="66">
      <colorScale>
        <cfvo type="num" val="-0.1"/>
        <cfvo type="num" val="0"/>
        <cfvo type="num" val="0.1"/>
        <color rgb="FFF8696B"/>
        <color rgb="FFFFEB84"/>
        <color rgb="FF63BE7B"/>
      </colorScale>
    </cfRule>
  </conditionalFormatting>
  <conditionalFormatting sqref="Q90:Q92">
    <cfRule type="colorScale" priority="71">
      <colorScale>
        <cfvo type="num" val="-0.1"/>
        <cfvo type="num" val="0"/>
        <cfvo type="num" val="0.1"/>
        <color rgb="FFF8696B"/>
        <color rgb="FFFFEB84"/>
        <color rgb="FF63BE7B"/>
      </colorScale>
    </cfRule>
  </conditionalFormatting>
  <conditionalFormatting sqref="Q93">
    <cfRule type="colorScale" priority="68">
      <colorScale>
        <cfvo type="num" val="-0.1"/>
        <cfvo type="num" val="0"/>
        <cfvo type="num" val="0.1"/>
        <color rgb="FFF8696B"/>
        <color rgb="FFFFEB84"/>
        <color rgb="FF63BE7B"/>
      </colorScale>
    </cfRule>
  </conditionalFormatting>
  <conditionalFormatting sqref="Q94">
    <cfRule type="colorScale" priority="67">
      <colorScale>
        <cfvo type="num" val="-0.1"/>
        <cfvo type="num" val="0"/>
        <cfvo type="num" val="0.1"/>
        <color rgb="FFF8696B"/>
        <color rgb="FFFFEB84"/>
        <color rgb="FF63BE7B"/>
      </colorScale>
    </cfRule>
  </conditionalFormatting>
  <conditionalFormatting sqref="Q95">
    <cfRule type="colorScale" priority="70">
      <colorScale>
        <cfvo type="num" val="-0.1"/>
        <cfvo type="num" val="0"/>
        <cfvo type="num" val="0.1"/>
        <color rgb="FFF8696B"/>
        <color rgb="FFFFEB84"/>
        <color rgb="FF63BE7B"/>
      </colorScale>
    </cfRule>
  </conditionalFormatting>
  <conditionalFormatting sqref="Q96:Q97">
    <cfRule type="colorScale" priority="69">
      <colorScale>
        <cfvo type="num" val="-0.1"/>
        <cfvo type="num" val="0"/>
        <cfvo type="num" val="0.1"/>
        <color rgb="FFF8696B"/>
        <color rgb="FFFFEB84"/>
        <color rgb="FF63BE7B"/>
      </colorScale>
    </cfRule>
  </conditionalFormatting>
  <conditionalFormatting sqref="Q98">
    <cfRule type="colorScale" priority="62">
      <colorScale>
        <cfvo type="num" val="-0.1"/>
        <cfvo type="num" val="0"/>
        <cfvo type="num" val="0.1"/>
        <color rgb="FFF8696B"/>
        <color rgb="FFFFEB84"/>
        <color rgb="FF63BE7B"/>
      </colorScale>
    </cfRule>
  </conditionalFormatting>
  <conditionalFormatting sqref="Q99">
    <cfRule type="colorScale" priority="72">
      <colorScale>
        <cfvo type="num" val="-0.1"/>
        <cfvo type="num" val="0"/>
        <cfvo type="num" val="0.1"/>
        <color rgb="FFF8696B"/>
        <color rgb="FFFFEB84"/>
        <color rgb="FF63BE7B"/>
      </colorScale>
    </cfRule>
  </conditionalFormatting>
  <conditionalFormatting sqref="Q100">
    <cfRule type="colorScale" priority="75">
      <colorScale>
        <cfvo type="num" val="-0.1"/>
        <cfvo type="num" val="0"/>
        <cfvo type="num" val="0.1"/>
        <color rgb="FFF8696B"/>
        <color rgb="FFFFEB84"/>
        <color rgb="FF63BE7B"/>
      </colorScale>
    </cfRule>
  </conditionalFormatting>
  <conditionalFormatting sqref="Q101">
    <cfRule type="colorScale" priority="76">
      <colorScale>
        <cfvo type="num" val="-0.1"/>
        <cfvo type="num" val="0"/>
        <cfvo type="num" val="0.1"/>
        <color rgb="FFF8696B"/>
        <color rgb="FFFFEB84"/>
        <color rgb="FF63BE7B"/>
      </colorScale>
    </cfRule>
  </conditionalFormatting>
  <conditionalFormatting sqref="Q102:Q104">
    <cfRule type="colorScale" priority="81">
      <colorScale>
        <cfvo type="num" val="-0.1"/>
        <cfvo type="num" val="0"/>
        <cfvo type="num" val="0.1"/>
        <color rgb="FFF8696B"/>
        <color rgb="FFFFEB84"/>
        <color rgb="FF63BE7B"/>
      </colorScale>
    </cfRule>
  </conditionalFormatting>
  <conditionalFormatting sqref="Q105">
    <cfRule type="colorScale" priority="78">
      <colorScale>
        <cfvo type="num" val="-0.1"/>
        <cfvo type="num" val="0"/>
        <cfvo type="num" val="0.1"/>
        <color rgb="FFF8696B"/>
        <color rgb="FFFFEB84"/>
        <color rgb="FF63BE7B"/>
      </colorScale>
    </cfRule>
  </conditionalFormatting>
  <conditionalFormatting sqref="Q106">
    <cfRule type="colorScale" priority="77">
      <colorScale>
        <cfvo type="num" val="-0.1"/>
        <cfvo type="num" val="0"/>
        <cfvo type="num" val="0.1"/>
        <color rgb="FFF8696B"/>
        <color rgb="FFFFEB84"/>
        <color rgb="FF63BE7B"/>
      </colorScale>
    </cfRule>
  </conditionalFormatting>
  <conditionalFormatting sqref="Q107">
    <cfRule type="colorScale" priority="80">
      <colorScale>
        <cfvo type="num" val="-0.1"/>
        <cfvo type="num" val="0"/>
        <cfvo type="num" val="0.1"/>
        <color rgb="FFF8696B"/>
        <color rgb="FFFFEB84"/>
        <color rgb="FF63BE7B"/>
      </colorScale>
    </cfRule>
  </conditionalFormatting>
  <conditionalFormatting sqref="Q108:Q109">
    <cfRule type="colorScale" priority="79">
      <colorScale>
        <cfvo type="num" val="-0.1"/>
        <cfvo type="num" val="0"/>
        <cfvo type="num" val="0.1"/>
        <color rgb="FFF8696B"/>
        <color rgb="FFFFEB84"/>
        <color rgb="FF63BE7B"/>
      </colorScale>
    </cfRule>
  </conditionalFormatting>
  <conditionalFormatting sqref="Q110">
    <cfRule type="colorScale" priority="74">
      <colorScale>
        <cfvo type="num" val="-0.1"/>
        <cfvo type="num" val="0"/>
        <cfvo type="num" val="0.1"/>
        <color rgb="FFF8696B"/>
        <color rgb="FFFFEB84"/>
        <color rgb="FF63BE7B"/>
      </colorScale>
    </cfRule>
  </conditionalFormatting>
  <conditionalFormatting sqref="Q111">
    <cfRule type="colorScale" priority="73">
      <colorScale>
        <cfvo type="num" val="-0.1"/>
        <cfvo type="num" val="0"/>
        <cfvo type="num" val="0.1"/>
        <color rgb="FFF8696B"/>
        <color rgb="FFFFEB84"/>
        <color rgb="FF63BE7B"/>
      </colorScale>
    </cfRule>
  </conditionalFormatting>
  <conditionalFormatting sqref="Q112">
    <cfRule type="colorScale" priority="87">
      <colorScale>
        <cfvo type="num" val="-0.1"/>
        <cfvo type="num" val="0"/>
        <cfvo type="num" val="0.1"/>
        <color rgb="FFF8696B"/>
        <color rgb="FFFFEB84"/>
        <color rgb="FF63BE7B"/>
      </colorScale>
    </cfRule>
  </conditionalFormatting>
  <conditionalFormatting sqref="Q113">
    <cfRule type="colorScale" priority="91">
      <colorScale>
        <cfvo type="num" val="-0.1"/>
        <cfvo type="num" val="0"/>
        <cfvo type="num" val="0.1"/>
        <color rgb="FFF8696B"/>
        <color rgb="FFFFEB84"/>
        <color rgb="FF63BE7B"/>
      </colorScale>
    </cfRule>
  </conditionalFormatting>
  <conditionalFormatting sqref="Q114">
    <cfRule type="colorScale" priority="92">
      <colorScale>
        <cfvo type="num" val="-0.1"/>
        <cfvo type="num" val="0"/>
        <cfvo type="num" val="0.1"/>
        <color rgb="FFF8696B"/>
        <color rgb="FFFFEB84"/>
        <color rgb="FF63BE7B"/>
      </colorScale>
    </cfRule>
  </conditionalFormatting>
  <conditionalFormatting sqref="Q115:Q117">
    <cfRule type="colorScale" priority="97">
      <colorScale>
        <cfvo type="num" val="-0.1"/>
        <cfvo type="num" val="0"/>
        <cfvo type="num" val="0.1"/>
        <color rgb="FFF8696B"/>
        <color rgb="FFFFEB84"/>
        <color rgb="FF63BE7B"/>
      </colorScale>
    </cfRule>
  </conditionalFormatting>
  <conditionalFormatting sqref="Q118">
    <cfRule type="colorScale" priority="94">
      <colorScale>
        <cfvo type="num" val="-0.1"/>
        <cfvo type="num" val="0"/>
        <cfvo type="num" val="0.1"/>
        <color rgb="FFF8696B"/>
        <color rgb="FFFFEB84"/>
        <color rgb="FF63BE7B"/>
      </colorScale>
    </cfRule>
  </conditionalFormatting>
  <conditionalFormatting sqref="Q119">
    <cfRule type="colorScale" priority="93">
      <colorScale>
        <cfvo type="num" val="-0.1"/>
        <cfvo type="num" val="0"/>
        <cfvo type="num" val="0.1"/>
        <color rgb="FFF8696B"/>
        <color rgb="FFFFEB84"/>
        <color rgb="FF63BE7B"/>
      </colorScale>
    </cfRule>
  </conditionalFormatting>
  <conditionalFormatting sqref="Q120">
    <cfRule type="colorScale" priority="96">
      <colorScale>
        <cfvo type="num" val="-0.1"/>
        <cfvo type="num" val="0"/>
        <cfvo type="num" val="0.1"/>
        <color rgb="FFF8696B"/>
        <color rgb="FFFFEB84"/>
        <color rgb="FF63BE7B"/>
      </colorScale>
    </cfRule>
  </conditionalFormatting>
  <conditionalFormatting sqref="Q121:Q122">
    <cfRule type="colorScale" priority="95">
      <colorScale>
        <cfvo type="num" val="-0.1"/>
        <cfvo type="num" val="0"/>
        <cfvo type="num" val="0.1"/>
        <color rgb="FFF8696B"/>
        <color rgb="FFFFEB84"/>
        <color rgb="FF63BE7B"/>
      </colorScale>
    </cfRule>
  </conditionalFormatting>
  <conditionalFormatting sqref="Q123">
    <cfRule type="colorScale" priority="90">
      <colorScale>
        <cfvo type="num" val="-0.1"/>
        <cfvo type="num" val="0"/>
        <cfvo type="num" val="0.1"/>
        <color rgb="FFF8696B"/>
        <color rgb="FFFFEB84"/>
        <color rgb="FF63BE7B"/>
      </colorScale>
    </cfRule>
  </conditionalFormatting>
  <conditionalFormatting sqref="Q124">
    <cfRule type="colorScale" priority="88">
      <colorScale>
        <cfvo type="num" val="-0.1"/>
        <cfvo type="num" val="0"/>
        <cfvo type="num" val="0.1"/>
        <color rgb="FFF8696B"/>
        <color rgb="FFFFEB84"/>
        <color rgb="FF63BE7B"/>
      </colorScale>
    </cfRule>
  </conditionalFormatting>
  <conditionalFormatting sqref="Q125">
    <cfRule type="colorScale" priority="99">
      <colorScale>
        <cfvo type="num" val="-0.1"/>
        <cfvo type="num" val="0"/>
        <cfvo type="num" val="0.1"/>
        <color rgb="FFF8696B"/>
        <color rgb="FFFFEB84"/>
        <color rgb="FF63BE7B"/>
      </colorScale>
    </cfRule>
  </conditionalFormatting>
  <conditionalFormatting sqref="Q126">
    <cfRule type="colorScale" priority="98">
      <colorScale>
        <cfvo type="num" val="-0.1"/>
        <cfvo type="num" val="0"/>
        <cfvo type="num" val="0.1"/>
        <color rgb="FFF8696B"/>
        <color rgb="FFFFEB84"/>
        <color rgb="FF63BE7B"/>
      </colorScale>
    </cfRule>
  </conditionalFormatting>
  <conditionalFormatting sqref="Q127">
    <cfRule type="colorScale" priority="86">
      <colorScale>
        <cfvo type="num" val="-0.1"/>
        <cfvo type="num" val="0"/>
        <cfvo type="num" val="0.1"/>
        <color rgb="FFF8696B"/>
        <color rgb="FFFFEB84"/>
        <color rgb="FF63BE7B"/>
      </colorScale>
    </cfRule>
  </conditionalFormatting>
  <conditionalFormatting sqref="Q130">
    <cfRule type="colorScale" priority="85">
      <colorScale>
        <cfvo type="num" val="-0.1"/>
        <cfvo type="num" val="0"/>
        <cfvo type="num" val="0.1"/>
        <color rgb="FFF8696B"/>
        <color rgb="FFFFEB84"/>
        <color rgb="FF63BE7B"/>
      </colorScale>
    </cfRule>
  </conditionalFormatting>
  <conditionalFormatting sqref="Q131">
    <cfRule type="colorScale" priority="84">
      <colorScale>
        <cfvo type="num" val="-0.1"/>
        <cfvo type="num" val="0"/>
        <cfvo type="num" val="0.1"/>
        <color rgb="FFF8696B"/>
        <color rgb="FFFFEB84"/>
        <color rgb="FF63BE7B"/>
      </colorScale>
    </cfRule>
  </conditionalFormatting>
  <conditionalFormatting sqref="Q132">
    <cfRule type="colorScale" priority="83">
      <colorScale>
        <cfvo type="num" val="-0.1"/>
        <cfvo type="num" val="0"/>
        <cfvo type="num" val="0.1"/>
        <color rgb="FFF8696B"/>
        <color rgb="FFFFEB84"/>
        <color rgb="FF63BE7B"/>
      </colorScale>
    </cfRule>
  </conditionalFormatting>
  <conditionalFormatting sqref="Q133">
    <cfRule type="colorScale" priority="82">
      <colorScale>
        <cfvo type="num" val="-0.1"/>
        <cfvo type="num" val="0"/>
        <cfvo type="num" val="0.1"/>
        <color rgb="FFF8696B"/>
        <color rgb="FFFFEB84"/>
        <color rgb="FF63BE7B"/>
      </colorScale>
    </cfRule>
  </conditionalFormatting>
  <conditionalFormatting sqref="Q135">
    <cfRule type="colorScale" priority="100">
      <colorScale>
        <cfvo type="num" val="-0.1"/>
        <cfvo type="num" val="0"/>
        <cfvo type="num" val="0.1"/>
        <color rgb="FFF8696B"/>
        <color rgb="FFFFEB84"/>
        <color rgb="FF63BE7B"/>
      </colorScale>
    </cfRule>
  </conditionalFormatting>
  <conditionalFormatting sqref="Q137 Q139">
    <cfRule type="colorScale" priority="109">
      <colorScale>
        <cfvo type="num" val="-0.1"/>
        <cfvo type="num" val="0"/>
        <cfvo type="num" val="0.1"/>
        <color rgb="FFF8696B"/>
        <color rgb="FFFFEB84"/>
        <color rgb="FF63BE7B"/>
      </colorScale>
    </cfRule>
  </conditionalFormatting>
  <conditionalFormatting sqref="Q138">
    <cfRule type="colorScale" priority="107">
      <colorScale>
        <cfvo type="num" val="-0.1"/>
        <cfvo type="num" val="0"/>
        <cfvo type="num" val="0.1"/>
        <color rgb="FFF8696B"/>
        <color rgb="FFFFEB84"/>
        <color rgb="FF63BE7B"/>
      </colorScale>
    </cfRule>
  </conditionalFormatting>
  <conditionalFormatting sqref="Q140">
    <cfRule type="colorScale" priority="106">
      <colorScale>
        <cfvo type="num" val="-0.1"/>
        <cfvo type="num" val="0"/>
        <cfvo type="num" val="0.1"/>
        <color rgb="FFF8696B"/>
        <color rgb="FFFFEB84"/>
        <color rgb="FF63BE7B"/>
      </colorScale>
    </cfRule>
  </conditionalFormatting>
  <conditionalFormatting sqref="Q141">
    <cfRule type="colorScale" priority="110">
      <colorScale>
        <cfvo type="num" val="-0.1"/>
        <cfvo type="num" val="0"/>
        <cfvo type="num" val="0.1"/>
        <color rgb="FFF8696B"/>
        <color rgb="FFFFEB84"/>
        <color rgb="FF63BE7B"/>
      </colorScale>
    </cfRule>
  </conditionalFormatting>
  <conditionalFormatting sqref="Q142:Q144">
    <cfRule type="colorScale" priority="115">
      <colorScale>
        <cfvo type="num" val="-0.1"/>
        <cfvo type="num" val="0"/>
        <cfvo type="num" val="0.1"/>
        <color rgb="FFF8696B"/>
        <color rgb="FFFFEB84"/>
        <color rgb="FF63BE7B"/>
      </colorScale>
    </cfRule>
  </conditionalFormatting>
  <conditionalFormatting sqref="Q145">
    <cfRule type="colorScale" priority="112">
      <colorScale>
        <cfvo type="num" val="-0.1"/>
        <cfvo type="num" val="0"/>
        <cfvo type="num" val="0.1"/>
        <color rgb="FFF8696B"/>
        <color rgb="FFFFEB84"/>
        <color rgb="FF63BE7B"/>
      </colorScale>
    </cfRule>
  </conditionalFormatting>
  <conditionalFormatting sqref="Q146">
    <cfRule type="colorScale" priority="111">
      <colorScale>
        <cfvo type="num" val="-0.1"/>
        <cfvo type="num" val="0"/>
        <cfvo type="num" val="0.1"/>
        <color rgb="FFF8696B"/>
        <color rgb="FFFFEB84"/>
        <color rgb="FF63BE7B"/>
      </colorScale>
    </cfRule>
  </conditionalFormatting>
  <conditionalFormatting sqref="Q147">
    <cfRule type="colorScale" priority="114">
      <colorScale>
        <cfvo type="num" val="-0.1"/>
        <cfvo type="num" val="0"/>
        <cfvo type="num" val="0.1"/>
        <color rgb="FFF8696B"/>
        <color rgb="FFFFEB84"/>
        <color rgb="FF63BE7B"/>
      </colorScale>
    </cfRule>
  </conditionalFormatting>
  <conditionalFormatting sqref="Q148:Q149">
    <cfRule type="colorScale" priority="113">
      <colorScale>
        <cfvo type="num" val="-0.1"/>
        <cfvo type="num" val="0"/>
        <cfvo type="num" val="0.1"/>
        <color rgb="FFF8696B"/>
        <color rgb="FFFFEB84"/>
        <color rgb="FF63BE7B"/>
      </colorScale>
    </cfRule>
  </conditionalFormatting>
  <conditionalFormatting sqref="Q150">
    <cfRule type="colorScale" priority="108">
      <colorScale>
        <cfvo type="num" val="-0.1"/>
        <cfvo type="num" val="0"/>
        <cfvo type="num" val="0.1"/>
        <color rgb="FFF8696B"/>
        <color rgb="FFFFEB84"/>
        <color rgb="FF63BE7B"/>
      </colorScale>
    </cfRule>
  </conditionalFormatting>
  <conditionalFormatting sqref="Q152:Q153">
    <cfRule type="colorScale" priority="117">
      <colorScale>
        <cfvo type="num" val="-0.1"/>
        <cfvo type="num" val="0"/>
        <cfvo type="num" val="0.1"/>
        <color rgb="FFF8696B"/>
        <color rgb="FFFFEB84"/>
        <color rgb="FF63BE7B"/>
      </colorScale>
    </cfRule>
  </conditionalFormatting>
  <conditionalFormatting sqref="Q154">
    <cfRule type="colorScale" priority="118">
      <colorScale>
        <cfvo type="num" val="-0.1"/>
        <cfvo type="num" val="0"/>
        <cfvo type="num" val="0.1"/>
        <color rgb="FFF8696B"/>
        <color rgb="FFFFEB84"/>
        <color rgb="FF63BE7B"/>
      </colorScale>
    </cfRule>
  </conditionalFormatting>
  <conditionalFormatting sqref="Q155:Q157">
    <cfRule type="colorScale" priority="123">
      <colorScale>
        <cfvo type="num" val="-0.1"/>
        <cfvo type="num" val="0"/>
        <cfvo type="num" val="0.1"/>
        <color rgb="FFF8696B"/>
        <color rgb="FFFFEB84"/>
        <color rgb="FF63BE7B"/>
      </colorScale>
    </cfRule>
  </conditionalFormatting>
  <conditionalFormatting sqref="Q158">
    <cfRule type="colorScale" priority="120">
      <colorScale>
        <cfvo type="num" val="-0.1"/>
        <cfvo type="num" val="0"/>
        <cfvo type="num" val="0.1"/>
        <color rgb="FFF8696B"/>
        <color rgb="FFFFEB84"/>
        <color rgb="FF63BE7B"/>
      </colorScale>
    </cfRule>
  </conditionalFormatting>
  <conditionalFormatting sqref="Q159">
    <cfRule type="colorScale" priority="119">
      <colorScale>
        <cfvo type="num" val="-0.1"/>
        <cfvo type="num" val="0"/>
        <cfvo type="num" val="0.1"/>
        <color rgb="FFF8696B"/>
        <color rgb="FFFFEB84"/>
        <color rgb="FF63BE7B"/>
      </colorScale>
    </cfRule>
  </conditionalFormatting>
  <conditionalFormatting sqref="Q160">
    <cfRule type="colorScale" priority="122">
      <colorScale>
        <cfvo type="num" val="-0.1"/>
        <cfvo type="num" val="0"/>
        <cfvo type="num" val="0.1"/>
        <color rgb="FFF8696B"/>
        <color rgb="FFFFEB84"/>
        <color rgb="FF63BE7B"/>
      </colorScale>
    </cfRule>
  </conditionalFormatting>
  <conditionalFormatting sqref="Q161:Q162">
    <cfRule type="colorScale" priority="121">
      <colorScale>
        <cfvo type="num" val="-0.1"/>
        <cfvo type="num" val="0"/>
        <cfvo type="num" val="0.1"/>
        <color rgb="FFF8696B"/>
        <color rgb="FFFFEB84"/>
        <color rgb="FF63BE7B"/>
      </colorScale>
    </cfRule>
  </conditionalFormatting>
  <conditionalFormatting sqref="Q163">
    <cfRule type="colorScale" priority="116">
      <colorScale>
        <cfvo type="num" val="-0.1"/>
        <cfvo type="num" val="0"/>
        <cfvo type="num" val="0.1"/>
        <color rgb="FFF8696B"/>
        <color rgb="FFFFEB84"/>
        <color rgb="FF63BE7B"/>
      </colorScale>
    </cfRule>
  </conditionalFormatting>
  <conditionalFormatting sqref="Q165">
    <cfRule type="colorScale" priority="124">
      <colorScale>
        <cfvo type="num" val="-0.1"/>
        <cfvo type="num" val="0"/>
        <cfvo type="num" val="0.1"/>
        <color rgb="FFF8696B"/>
        <color rgb="FFFFEB84"/>
        <color rgb="FF63BE7B"/>
      </colorScale>
    </cfRule>
  </conditionalFormatting>
  <conditionalFormatting sqref="Q166">
    <cfRule type="colorScale" priority="128">
      <colorScale>
        <cfvo type="num" val="-0.1"/>
        <cfvo type="num" val="0"/>
        <cfvo type="num" val="0.1"/>
        <color rgb="FFF8696B"/>
        <color rgb="FFFFEB84"/>
        <color rgb="FF63BE7B"/>
      </colorScale>
    </cfRule>
  </conditionalFormatting>
  <conditionalFormatting sqref="Q167:Q169">
    <cfRule type="colorScale" priority="134">
      <colorScale>
        <cfvo type="num" val="-0.1"/>
        <cfvo type="num" val="0"/>
        <cfvo type="num" val="0.1"/>
        <color rgb="FFF8696B"/>
        <color rgb="FFFFEB84"/>
        <color rgb="FF63BE7B"/>
      </colorScale>
    </cfRule>
  </conditionalFormatting>
  <conditionalFormatting sqref="Q170">
    <cfRule type="colorScale" priority="130">
      <colorScale>
        <cfvo type="num" val="-0.1"/>
        <cfvo type="num" val="0"/>
        <cfvo type="num" val="0.1"/>
        <color rgb="FFF8696B"/>
        <color rgb="FFFFEB84"/>
        <color rgb="FF63BE7B"/>
      </colorScale>
    </cfRule>
  </conditionalFormatting>
  <conditionalFormatting sqref="Q171">
    <cfRule type="colorScale" priority="129">
      <colorScale>
        <cfvo type="num" val="-0.1"/>
        <cfvo type="num" val="0"/>
        <cfvo type="num" val="0.1"/>
        <color rgb="FFF8696B"/>
        <color rgb="FFFFEB84"/>
        <color rgb="FF63BE7B"/>
      </colorScale>
    </cfRule>
  </conditionalFormatting>
  <conditionalFormatting sqref="Q172">
    <cfRule type="colorScale" priority="133">
      <colorScale>
        <cfvo type="num" val="-0.1"/>
        <cfvo type="num" val="0"/>
        <cfvo type="num" val="0.1"/>
        <color rgb="FFF8696B"/>
        <color rgb="FFFFEB84"/>
        <color rgb="FF63BE7B"/>
      </colorScale>
    </cfRule>
  </conditionalFormatting>
  <conditionalFormatting sqref="Q173">
    <cfRule type="colorScale" priority="132">
      <colorScale>
        <cfvo type="num" val="-0.1"/>
        <cfvo type="num" val="0"/>
        <cfvo type="num" val="0.1"/>
        <color rgb="FFF8696B"/>
        <color rgb="FFFFEB84"/>
        <color rgb="FF63BE7B"/>
      </colorScale>
    </cfRule>
  </conditionalFormatting>
  <conditionalFormatting sqref="Q175:Q176">
    <cfRule type="colorScale" priority="143">
      <colorScale>
        <cfvo type="num" val="-0.1"/>
        <cfvo type="num" val="0"/>
        <cfvo type="num" val="0.1"/>
        <color rgb="FFF8696B"/>
        <color rgb="FFFFEB84"/>
        <color rgb="FF63BE7B"/>
      </colorScale>
    </cfRule>
  </conditionalFormatting>
  <conditionalFormatting sqref="Q177">
    <cfRule type="colorScale" priority="139">
      <colorScale>
        <cfvo type="num" val="-0.1"/>
        <cfvo type="num" val="0"/>
        <cfvo type="num" val="0.1"/>
        <color rgb="FFF8696B"/>
        <color rgb="FFFFEB84"/>
        <color rgb="FF63BE7B"/>
      </colorScale>
    </cfRule>
  </conditionalFormatting>
  <conditionalFormatting sqref="Q178">
    <cfRule type="colorScale" priority="138">
      <colorScale>
        <cfvo type="num" val="-0.1"/>
        <cfvo type="num" val="0"/>
        <cfvo type="num" val="0.1"/>
        <color rgb="FFF8696B"/>
        <color rgb="FFFFEB84"/>
        <color rgb="FF63BE7B"/>
      </colorScale>
    </cfRule>
  </conditionalFormatting>
  <conditionalFormatting sqref="Q179">
    <cfRule type="colorScale" priority="142">
      <colorScale>
        <cfvo type="num" val="-0.1"/>
        <cfvo type="num" val="0"/>
        <cfvo type="num" val="0.1"/>
        <color rgb="FFF8696B"/>
        <color rgb="FFFFEB84"/>
        <color rgb="FF63BE7B"/>
      </colorScale>
    </cfRule>
  </conditionalFormatting>
  <conditionalFormatting sqref="Q180">
    <cfRule type="colorScale" priority="141">
      <colorScale>
        <cfvo type="num" val="-0.1"/>
        <cfvo type="num" val="0"/>
        <cfvo type="num" val="0.1"/>
        <color rgb="FFF8696B"/>
        <color rgb="FFFFEB84"/>
        <color rgb="FF63BE7B"/>
      </colorScale>
    </cfRule>
  </conditionalFormatting>
  <conditionalFormatting sqref="Q182">
    <cfRule type="colorScale" priority="145">
      <colorScale>
        <cfvo type="num" val="-0.1"/>
        <cfvo type="num" val="0"/>
        <cfvo type="num" val="0.1"/>
        <color rgb="FFF8696B"/>
        <color rgb="FFFFEB84"/>
        <color rgb="FF63BE7B"/>
      </colorScale>
    </cfRule>
  </conditionalFormatting>
  <conditionalFormatting sqref="Q183">
    <cfRule type="colorScale" priority="144">
      <colorScale>
        <cfvo type="num" val="-0.1"/>
        <cfvo type="num" val="0"/>
        <cfvo type="num" val="0.1"/>
        <color rgb="FFF8696B"/>
        <color rgb="FFFFEB84"/>
        <color rgb="FF63BE7B"/>
      </colorScale>
    </cfRule>
  </conditionalFormatting>
  <conditionalFormatting sqref="Q184">
    <cfRule type="colorScale" priority="150">
      <colorScale>
        <cfvo type="num" val="-0.1"/>
        <cfvo type="num" val="0"/>
        <cfvo type="num" val="0.1"/>
        <color rgb="FFF8696B"/>
        <color rgb="FFFFEB84"/>
        <color rgb="FF63BE7B"/>
      </colorScale>
    </cfRule>
  </conditionalFormatting>
  <conditionalFormatting sqref="Q185:Q186">
    <cfRule type="colorScale" priority="156">
      <colorScale>
        <cfvo type="num" val="-0.1"/>
        <cfvo type="num" val="0"/>
        <cfvo type="num" val="0.1"/>
        <color rgb="FFF8696B"/>
        <color rgb="FFFFEB84"/>
        <color rgb="FF63BE7B"/>
      </colorScale>
    </cfRule>
  </conditionalFormatting>
  <conditionalFormatting sqref="Q187">
    <cfRule type="colorScale" priority="152">
      <colorScale>
        <cfvo type="num" val="-0.1"/>
        <cfvo type="num" val="0"/>
        <cfvo type="num" val="0.1"/>
        <color rgb="FFF8696B"/>
        <color rgb="FFFFEB84"/>
        <color rgb="FF63BE7B"/>
      </colorScale>
    </cfRule>
  </conditionalFormatting>
  <conditionalFormatting sqref="Q188">
    <cfRule type="colorScale" priority="151">
      <colorScale>
        <cfvo type="num" val="-0.1"/>
        <cfvo type="num" val="0"/>
        <cfvo type="num" val="0.1"/>
        <color rgb="FFF8696B"/>
        <color rgb="FFFFEB84"/>
        <color rgb="FF63BE7B"/>
      </colorScale>
    </cfRule>
  </conditionalFormatting>
  <conditionalFormatting sqref="Q189">
    <cfRule type="colorScale" priority="155">
      <colorScale>
        <cfvo type="num" val="-0.1"/>
        <cfvo type="num" val="0"/>
        <cfvo type="num" val="0.1"/>
        <color rgb="FFF8696B"/>
        <color rgb="FFFFEB84"/>
        <color rgb="FF63BE7B"/>
      </colorScale>
    </cfRule>
  </conditionalFormatting>
  <conditionalFormatting sqref="Q190">
    <cfRule type="colorScale" priority="154">
      <colorScale>
        <cfvo type="num" val="-0.1"/>
        <cfvo type="num" val="0"/>
        <cfvo type="num" val="0.1"/>
        <color rgb="FFF8696B"/>
        <color rgb="FFFFEB84"/>
        <color rgb="FF63BE7B"/>
      </colorScale>
    </cfRule>
  </conditionalFormatting>
  <conditionalFormatting sqref="Q191">
    <cfRule type="colorScale" priority="153">
      <colorScale>
        <cfvo type="num" val="-0.1"/>
        <cfvo type="num" val="0"/>
        <cfvo type="num" val="0.1"/>
        <color rgb="FFF8696B"/>
        <color rgb="FFFFEB84"/>
        <color rgb="FF63BE7B"/>
      </colorScale>
    </cfRule>
  </conditionalFormatting>
  <conditionalFormatting sqref="Q192">
    <cfRule type="colorScale" priority="148">
      <colorScale>
        <cfvo type="num" val="-0.1"/>
        <cfvo type="num" val="0"/>
        <cfvo type="num" val="0.1"/>
        <color rgb="FFF8696B"/>
        <color rgb="FFFFEB84"/>
        <color rgb="FF63BE7B"/>
      </colorScale>
    </cfRule>
  </conditionalFormatting>
  <conditionalFormatting sqref="Q194">
    <cfRule type="colorScale" priority="157">
      <colorScale>
        <cfvo type="num" val="-0.1"/>
        <cfvo type="num" val="0"/>
        <cfvo type="num" val="0.1"/>
        <color rgb="FFF8696B"/>
        <color rgb="FFFFEB84"/>
        <color rgb="FF63BE7B"/>
      </colorScale>
    </cfRule>
  </conditionalFormatting>
  <conditionalFormatting sqref="Q194:Q195">
    <cfRule type="colorScale" priority="158">
      <colorScale>
        <cfvo type="num" val="-0.1"/>
        <cfvo type="num" val="0"/>
        <cfvo type="num" val="0.1"/>
        <color rgb="FFF8696B"/>
        <color rgb="FFFFEB84"/>
        <color rgb="FF63BE7B"/>
      </colorScale>
    </cfRule>
  </conditionalFormatting>
  <conditionalFormatting sqref="Q196:Q197">
    <cfRule type="colorScale" priority="164">
      <colorScale>
        <cfvo type="num" val="-0.1"/>
        <cfvo type="num" val="0"/>
        <cfvo type="num" val="0.1"/>
        <color rgb="FFF8696B"/>
        <color rgb="FFFFEB84"/>
        <color rgb="FF63BE7B"/>
      </colorScale>
    </cfRule>
  </conditionalFormatting>
  <conditionalFormatting sqref="Q198">
    <cfRule type="colorScale" priority="160">
      <colorScale>
        <cfvo type="num" val="-0.1"/>
        <cfvo type="num" val="0"/>
        <cfvo type="num" val="0.1"/>
        <color rgb="FFF8696B"/>
        <color rgb="FFFFEB84"/>
        <color rgb="FF63BE7B"/>
      </colorScale>
    </cfRule>
  </conditionalFormatting>
  <conditionalFormatting sqref="Q199">
    <cfRule type="colorScale" priority="159">
      <colorScale>
        <cfvo type="num" val="-0.1"/>
        <cfvo type="num" val="0"/>
        <cfvo type="num" val="0.1"/>
        <color rgb="FFF8696B"/>
        <color rgb="FFFFEB84"/>
        <color rgb="FF63BE7B"/>
      </colorScale>
    </cfRule>
  </conditionalFormatting>
  <conditionalFormatting sqref="Q200">
    <cfRule type="colorScale" priority="163">
      <colorScale>
        <cfvo type="num" val="-0.1"/>
        <cfvo type="num" val="0"/>
        <cfvo type="num" val="0.1"/>
        <color rgb="FFF8696B"/>
        <color rgb="FFFFEB84"/>
        <color rgb="FF63BE7B"/>
      </colorScale>
    </cfRule>
  </conditionalFormatting>
  <conditionalFormatting sqref="Q201">
    <cfRule type="colorScale" priority="162">
      <colorScale>
        <cfvo type="num" val="-0.1"/>
        <cfvo type="num" val="0"/>
        <cfvo type="num" val="0.1"/>
        <color rgb="FFF8696B"/>
        <color rgb="FFFFEB84"/>
        <color rgb="FF63BE7B"/>
      </colorScale>
    </cfRule>
  </conditionalFormatting>
  <conditionalFormatting sqref="Q202">
    <cfRule type="colorScale" priority="161">
      <colorScale>
        <cfvo type="num" val="-0.1"/>
        <cfvo type="num" val="0"/>
        <cfvo type="num" val="0.1"/>
        <color rgb="FFF8696B"/>
        <color rgb="FFFFEB84"/>
        <color rgb="FF63BE7B"/>
      </colorScale>
    </cfRule>
  </conditionalFormatting>
  <conditionalFormatting sqref="Q203">
    <cfRule type="colorScale" priority="147">
      <colorScale>
        <cfvo type="num" val="-0.1"/>
        <cfvo type="num" val="0"/>
        <cfvo type="num" val="0.1"/>
        <color rgb="FFF8696B"/>
        <color rgb="FFFFEB84"/>
        <color rgb="FF63BE7B"/>
      </colorScale>
    </cfRule>
  </conditionalFormatting>
  <conditionalFormatting sqref="Q205">
    <cfRule type="colorScale" priority="165">
      <colorScale>
        <cfvo type="num" val="-0.1"/>
        <cfvo type="num" val="0"/>
        <cfvo type="num" val="0.1"/>
        <color rgb="FFF8696B"/>
        <color rgb="FFFFEB84"/>
        <color rgb="FF63BE7B"/>
      </colorScale>
    </cfRule>
  </conditionalFormatting>
  <conditionalFormatting sqref="Q205:Q206">
    <cfRule type="colorScale" priority="166">
      <colorScale>
        <cfvo type="num" val="-0.1"/>
        <cfvo type="num" val="0"/>
        <cfvo type="num" val="0.1"/>
        <color rgb="FFF8696B"/>
        <color rgb="FFFFEB84"/>
        <color rgb="FF63BE7B"/>
      </colorScale>
    </cfRule>
  </conditionalFormatting>
  <conditionalFormatting sqref="Q207:Q208">
    <cfRule type="colorScale" priority="172">
      <colorScale>
        <cfvo type="num" val="-0.1"/>
        <cfvo type="num" val="0"/>
        <cfvo type="num" val="0.1"/>
        <color rgb="FFF8696B"/>
        <color rgb="FFFFEB84"/>
        <color rgb="FF63BE7B"/>
      </colorScale>
    </cfRule>
  </conditionalFormatting>
  <conditionalFormatting sqref="Q209">
    <cfRule type="colorScale" priority="168">
      <colorScale>
        <cfvo type="num" val="-0.1"/>
        <cfvo type="num" val="0"/>
        <cfvo type="num" val="0.1"/>
        <color rgb="FFF8696B"/>
        <color rgb="FFFFEB84"/>
        <color rgb="FF63BE7B"/>
      </colorScale>
    </cfRule>
  </conditionalFormatting>
  <conditionalFormatting sqref="Q210">
    <cfRule type="colorScale" priority="167">
      <colorScale>
        <cfvo type="num" val="-0.1"/>
        <cfvo type="num" val="0"/>
        <cfvo type="num" val="0.1"/>
        <color rgb="FFF8696B"/>
        <color rgb="FFFFEB84"/>
        <color rgb="FF63BE7B"/>
      </colorScale>
    </cfRule>
  </conditionalFormatting>
  <conditionalFormatting sqref="Q211">
    <cfRule type="colorScale" priority="171">
      <colorScale>
        <cfvo type="num" val="-0.1"/>
        <cfvo type="num" val="0"/>
        <cfvo type="num" val="0.1"/>
        <color rgb="FFF8696B"/>
        <color rgb="FFFFEB84"/>
        <color rgb="FF63BE7B"/>
      </colorScale>
    </cfRule>
  </conditionalFormatting>
  <conditionalFormatting sqref="Q212">
    <cfRule type="colorScale" priority="170">
      <colorScale>
        <cfvo type="num" val="-0.1"/>
        <cfvo type="num" val="0"/>
        <cfvo type="num" val="0.1"/>
        <color rgb="FFF8696B"/>
        <color rgb="FFFFEB84"/>
        <color rgb="FF63BE7B"/>
      </colorScale>
    </cfRule>
  </conditionalFormatting>
  <conditionalFormatting sqref="Q213">
    <cfRule type="colorScale" priority="169">
      <colorScale>
        <cfvo type="num" val="-0.1"/>
        <cfvo type="num" val="0"/>
        <cfvo type="num" val="0.1"/>
        <color rgb="FFF8696B"/>
        <color rgb="FFFFEB84"/>
        <color rgb="FF63BE7B"/>
      </colorScale>
    </cfRule>
  </conditionalFormatting>
  <conditionalFormatting sqref="Q214">
    <cfRule type="colorScale" priority="146">
      <colorScale>
        <cfvo type="num" val="-0.1"/>
        <cfvo type="num" val="0"/>
        <cfvo type="num" val="0.1"/>
        <color rgb="FFF8696B"/>
        <color rgb="FFFFEB84"/>
        <color rgb="FF63BE7B"/>
      </colorScale>
    </cfRule>
  </conditionalFormatting>
  <conditionalFormatting sqref="Q216">
    <cfRule type="colorScale" priority="173">
      <colorScale>
        <cfvo type="num" val="-0.1"/>
        <cfvo type="num" val="0"/>
        <cfvo type="num" val="0.1"/>
        <color rgb="FFF8696B"/>
        <color rgb="FFFFEB84"/>
        <color rgb="FF63BE7B"/>
      </colorScale>
    </cfRule>
  </conditionalFormatting>
  <conditionalFormatting sqref="Q216:Q217">
    <cfRule type="colorScale" priority="174">
      <colorScale>
        <cfvo type="num" val="-0.1"/>
        <cfvo type="num" val="0"/>
        <cfvo type="num" val="0.1"/>
        <color rgb="FFF8696B"/>
        <color rgb="FFFFEB84"/>
        <color rgb="FF63BE7B"/>
      </colorScale>
    </cfRule>
  </conditionalFormatting>
  <conditionalFormatting sqref="Q218:Q219">
    <cfRule type="colorScale" priority="180">
      <colorScale>
        <cfvo type="num" val="-0.1"/>
        <cfvo type="num" val="0"/>
        <cfvo type="num" val="0.1"/>
        <color rgb="FFF8696B"/>
        <color rgb="FFFFEB84"/>
        <color rgb="FF63BE7B"/>
      </colorScale>
    </cfRule>
  </conditionalFormatting>
  <conditionalFormatting sqref="Q220">
    <cfRule type="colorScale" priority="176">
      <colorScale>
        <cfvo type="num" val="-0.1"/>
        <cfvo type="num" val="0"/>
        <cfvo type="num" val="0.1"/>
        <color rgb="FFF8696B"/>
        <color rgb="FFFFEB84"/>
        <color rgb="FF63BE7B"/>
      </colorScale>
    </cfRule>
  </conditionalFormatting>
  <conditionalFormatting sqref="Q221">
    <cfRule type="colorScale" priority="175">
      <colorScale>
        <cfvo type="num" val="-0.1"/>
        <cfvo type="num" val="0"/>
        <cfvo type="num" val="0.1"/>
        <color rgb="FFF8696B"/>
        <color rgb="FFFFEB84"/>
        <color rgb="FF63BE7B"/>
      </colorScale>
    </cfRule>
  </conditionalFormatting>
  <conditionalFormatting sqref="Q222">
    <cfRule type="colorScale" priority="179">
      <colorScale>
        <cfvo type="num" val="-0.1"/>
        <cfvo type="num" val="0"/>
        <cfvo type="num" val="0.1"/>
        <color rgb="FFF8696B"/>
        <color rgb="FFFFEB84"/>
        <color rgb="FF63BE7B"/>
      </colorScale>
    </cfRule>
  </conditionalFormatting>
  <conditionalFormatting sqref="Q223">
    <cfRule type="colorScale" priority="178">
      <colorScale>
        <cfvo type="num" val="-0.1"/>
        <cfvo type="num" val="0"/>
        <cfvo type="num" val="0.1"/>
        <color rgb="FFF8696B"/>
        <color rgb="FFFFEB84"/>
        <color rgb="FF63BE7B"/>
      </colorScale>
    </cfRule>
  </conditionalFormatting>
  <conditionalFormatting sqref="Q224:Q225">
    <cfRule type="colorScale" priority="177">
      <colorScale>
        <cfvo type="num" val="-0.1"/>
        <cfvo type="num" val="0"/>
        <cfvo type="num" val="0.1"/>
        <color rgb="FFF8696B"/>
        <color rgb="FFFFEB84"/>
        <color rgb="FF63BE7B"/>
      </colorScale>
    </cfRule>
  </conditionalFormatting>
  <conditionalFormatting sqref="Q227">
    <cfRule type="colorScale" priority="181">
      <colorScale>
        <cfvo type="num" val="-0.1"/>
        <cfvo type="num" val="0"/>
        <cfvo type="num" val="0.1"/>
        <color rgb="FFF8696B"/>
        <color rgb="FFFFEB84"/>
        <color rgb="FF63BE7B"/>
      </colorScale>
    </cfRule>
  </conditionalFormatting>
  <conditionalFormatting sqref="Q227:Q228">
    <cfRule type="colorScale" priority="182">
      <colorScale>
        <cfvo type="num" val="-0.1"/>
        <cfvo type="num" val="0"/>
        <cfvo type="num" val="0.1"/>
        <color rgb="FFF8696B"/>
        <color rgb="FFFFEB84"/>
        <color rgb="FF63BE7B"/>
      </colorScale>
    </cfRule>
  </conditionalFormatting>
  <conditionalFormatting sqref="Q229:Q230">
    <cfRule type="colorScale" priority="188">
      <colorScale>
        <cfvo type="num" val="-0.1"/>
        <cfvo type="num" val="0"/>
        <cfvo type="num" val="0.1"/>
        <color rgb="FFF8696B"/>
        <color rgb="FFFFEB84"/>
        <color rgb="FF63BE7B"/>
      </colorScale>
    </cfRule>
  </conditionalFormatting>
  <conditionalFormatting sqref="Q231">
    <cfRule type="colorScale" priority="184">
      <colorScale>
        <cfvo type="num" val="-0.1"/>
        <cfvo type="num" val="0"/>
        <cfvo type="num" val="0.1"/>
        <color rgb="FFF8696B"/>
        <color rgb="FFFFEB84"/>
        <color rgb="FF63BE7B"/>
      </colorScale>
    </cfRule>
  </conditionalFormatting>
  <conditionalFormatting sqref="Q232">
    <cfRule type="colorScale" priority="183">
      <colorScale>
        <cfvo type="num" val="-0.1"/>
        <cfvo type="num" val="0"/>
        <cfvo type="num" val="0.1"/>
        <color rgb="FFF8696B"/>
        <color rgb="FFFFEB84"/>
        <color rgb="FF63BE7B"/>
      </colorScale>
    </cfRule>
  </conditionalFormatting>
  <conditionalFormatting sqref="Q233">
    <cfRule type="colorScale" priority="187">
      <colorScale>
        <cfvo type="num" val="-0.1"/>
        <cfvo type="num" val="0"/>
        <cfvo type="num" val="0.1"/>
        <color rgb="FFF8696B"/>
        <color rgb="FFFFEB84"/>
        <color rgb="FF63BE7B"/>
      </colorScale>
    </cfRule>
  </conditionalFormatting>
  <conditionalFormatting sqref="Q234">
    <cfRule type="colorScale" priority="186">
      <colorScale>
        <cfvo type="num" val="-0.1"/>
        <cfvo type="num" val="0"/>
        <cfvo type="num" val="0.1"/>
        <color rgb="FFF8696B"/>
        <color rgb="FFFFEB84"/>
        <color rgb="FF63BE7B"/>
      </colorScale>
    </cfRule>
  </conditionalFormatting>
  <conditionalFormatting sqref="Q235:Q236">
    <cfRule type="colorScale" priority="185">
      <colorScale>
        <cfvo type="num" val="-0.1"/>
        <cfvo type="num" val="0"/>
        <cfvo type="num" val="0.1"/>
        <color rgb="FFF8696B"/>
        <color rgb="FFFFEB84"/>
        <color rgb="FF63BE7B"/>
      </colorScale>
    </cfRule>
  </conditionalFormatting>
  <conditionalFormatting sqref="Q238:Q239">
    <cfRule type="colorScale" priority="194">
      <colorScale>
        <cfvo type="num" val="-0.1"/>
        <cfvo type="num" val="0"/>
        <cfvo type="num" val="0.1"/>
        <color rgb="FFF8696B"/>
        <color rgb="FFFFEB84"/>
        <color rgb="FF63BE7B"/>
      </colorScale>
    </cfRule>
  </conditionalFormatting>
  <conditionalFormatting sqref="Q240">
    <cfRule type="colorScale" priority="190">
      <colorScale>
        <cfvo type="num" val="-0.1"/>
        <cfvo type="num" val="0"/>
        <cfvo type="num" val="0.1"/>
        <color rgb="FFF8696B"/>
        <color rgb="FFFFEB84"/>
        <color rgb="FF63BE7B"/>
      </colorScale>
    </cfRule>
  </conditionalFormatting>
  <conditionalFormatting sqref="Q241">
    <cfRule type="colorScale" priority="189">
      <colorScale>
        <cfvo type="num" val="-0.1"/>
        <cfvo type="num" val="0"/>
        <cfvo type="num" val="0.1"/>
        <color rgb="FFF8696B"/>
        <color rgb="FFFFEB84"/>
        <color rgb="FF63BE7B"/>
      </colorScale>
    </cfRule>
  </conditionalFormatting>
  <conditionalFormatting sqref="Q242">
    <cfRule type="colorScale" priority="193">
      <colorScale>
        <cfvo type="num" val="-0.1"/>
        <cfvo type="num" val="0"/>
        <cfvo type="num" val="0.1"/>
        <color rgb="FFF8696B"/>
        <color rgb="FFFFEB84"/>
        <color rgb="FF63BE7B"/>
      </colorScale>
    </cfRule>
  </conditionalFormatting>
  <conditionalFormatting sqref="Q243">
    <cfRule type="colorScale" priority="192">
      <colorScale>
        <cfvo type="num" val="-0.1"/>
        <cfvo type="num" val="0"/>
        <cfvo type="num" val="0.1"/>
        <color rgb="FFF8696B"/>
        <color rgb="FFFFEB84"/>
        <color rgb="FF63BE7B"/>
      </colorScale>
    </cfRule>
  </conditionalFormatting>
  <conditionalFormatting sqref="Q244:Q245">
    <cfRule type="colorScale" priority="191">
      <colorScale>
        <cfvo type="num" val="-0.1"/>
        <cfvo type="num" val="0"/>
        <cfvo type="num" val="0.1"/>
        <color rgb="FFF8696B"/>
        <color rgb="FFFFEB84"/>
        <color rgb="FF63BE7B"/>
      </colorScale>
    </cfRule>
  </conditionalFormatting>
  <conditionalFormatting sqref="Q247:Q248">
    <cfRule type="colorScale" priority="200">
      <colorScale>
        <cfvo type="num" val="-0.1"/>
        <cfvo type="num" val="0"/>
        <cfvo type="num" val="0.1"/>
        <color rgb="FFF8696B"/>
        <color rgb="FFFFEB84"/>
        <color rgb="FF63BE7B"/>
      </colorScale>
    </cfRule>
  </conditionalFormatting>
  <conditionalFormatting sqref="Q249">
    <cfRule type="colorScale" priority="196">
      <colorScale>
        <cfvo type="num" val="-0.1"/>
        <cfvo type="num" val="0"/>
        <cfvo type="num" val="0.1"/>
        <color rgb="FFF8696B"/>
        <color rgb="FFFFEB84"/>
        <color rgb="FF63BE7B"/>
      </colorScale>
    </cfRule>
  </conditionalFormatting>
  <conditionalFormatting sqref="Q250">
    <cfRule type="colorScale" priority="195">
      <colorScale>
        <cfvo type="num" val="-0.1"/>
        <cfvo type="num" val="0"/>
        <cfvo type="num" val="0.1"/>
        <color rgb="FFF8696B"/>
        <color rgb="FFFFEB84"/>
        <color rgb="FF63BE7B"/>
      </colorScale>
    </cfRule>
  </conditionalFormatting>
  <conditionalFormatting sqref="Q251">
    <cfRule type="colorScale" priority="199">
      <colorScale>
        <cfvo type="num" val="-0.1"/>
        <cfvo type="num" val="0"/>
        <cfvo type="num" val="0.1"/>
        <color rgb="FFF8696B"/>
        <color rgb="FFFFEB84"/>
        <color rgb="FF63BE7B"/>
      </colorScale>
    </cfRule>
  </conditionalFormatting>
  <conditionalFormatting sqref="Q252">
    <cfRule type="colorScale" priority="198">
      <colorScale>
        <cfvo type="num" val="-0.1"/>
        <cfvo type="num" val="0"/>
        <cfvo type="num" val="0.1"/>
        <color rgb="FFF8696B"/>
        <color rgb="FFFFEB84"/>
        <color rgb="FF63BE7B"/>
      </colorScale>
    </cfRule>
  </conditionalFormatting>
  <conditionalFormatting sqref="Q253:Q254">
    <cfRule type="colorScale" priority="197">
      <colorScale>
        <cfvo type="num" val="-0.1"/>
        <cfvo type="num" val="0"/>
        <cfvo type="num" val="0.1"/>
        <color rgb="FFF8696B"/>
        <color rgb="FFFFEB84"/>
        <color rgb="FF63BE7B"/>
      </colorScale>
    </cfRule>
  </conditionalFormatting>
  <conditionalFormatting sqref="Q256:Q257">
    <cfRule type="colorScale" priority="206">
      <colorScale>
        <cfvo type="num" val="-0.1"/>
        <cfvo type="num" val="0"/>
        <cfvo type="num" val="0.1"/>
        <color rgb="FFF8696B"/>
        <color rgb="FFFFEB84"/>
        <color rgb="FF63BE7B"/>
      </colorScale>
    </cfRule>
  </conditionalFormatting>
  <conditionalFormatting sqref="Q258">
    <cfRule type="colorScale" priority="202">
      <colorScale>
        <cfvo type="num" val="-0.1"/>
        <cfvo type="num" val="0"/>
        <cfvo type="num" val="0.1"/>
        <color rgb="FFF8696B"/>
        <color rgb="FFFFEB84"/>
        <color rgb="FF63BE7B"/>
      </colorScale>
    </cfRule>
  </conditionalFormatting>
  <conditionalFormatting sqref="Q259">
    <cfRule type="colorScale" priority="201">
      <colorScale>
        <cfvo type="num" val="-0.1"/>
        <cfvo type="num" val="0"/>
        <cfvo type="num" val="0.1"/>
        <color rgb="FFF8696B"/>
        <color rgb="FFFFEB84"/>
        <color rgb="FF63BE7B"/>
      </colorScale>
    </cfRule>
  </conditionalFormatting>
  <conditionalFormatting sqref="Q260">
    <cfRule type="colorScale" priority="205">
      <colorScale>
        <cfvo type="num" val="-0.1"/>
        <cfvo type="num" val="0"/>
        <cfvo type="num" val="0.1"/>
        <color rgb="FFF8696B"/>
        <color rgb="FFFFEB84"/>
        <color rgb="FF63BE7B"/>
      </colorScale>
    </cfRule>
  </conditionalFormatting>
  <conditionalFormatting sqref="Q261">
    <cfRule type="colorScale" priority="204">
      <colorScale>
        <cfvo type="num" val="-0.1"/>
        <cfvo type="num" val="0"/>
        <cfvo type="num" val="0.1"/>
        <color rgb="FFF8696B"/>
        <color rgb="FFFFEB84"/>
        <color rgb="FF63BE7B"/>
      </colorScale>
    </cfRule>
  </conditionalFormatting>
  <conditionalFormatting sqref="Q262:Q263">
    <cfRule type="colorScale" priority="203">
      <colorScale>
        <cfvo type="num" val="-0.1"/>
        <cfvo type="num" val="0"/>
        <cfvo type="num" val="0.1"/>
        <color rgb="FFF8696B"/>
        <color rgb="FFFFEB84"/>
        <color rgb="FF63BE7B"/>
      </colorScale>
    </cfRule>
  </conditionalFormatting>
  <conditionalFormatting sqref="Q265">
    <cfRule type="colorScale" priority="207">
      <colorScale>
        <cfvo type="num" val="-0.1"/>
        <cfvo type="num" val="0"/>
        <cfvo type="num" val="0.1"/>
        <color rgb="FFF8696B"/>
        <color rgb="FFFFEB84"/>
        <color rgb="FF63BE7B"/>
      </colorScale>
    </cfRule>
  </conditionalFormatting>
  <conditionalFormatting sqref="Q265:Q266">
    <cfRule type="colorScale" priority="208">
      <colorScale>
        <cfvo type="num" val="-0.1"/>
        <cfvo type="num" val="0"/>
        <cfvo type="num" val="0.1"/>
        <color rgb="FFF8696B"/>
        <color rgb="FFFFEB84"/>
        <color rgb="FF63BE7B"/>
      </colorScale>
    </cfRule>
  </conditionalFormatting>
  <conditionalFormatting sqref="Q267">
    <cfRule type="colorScale" priority="209">
      <colorScale>
        <cfvo type="num" val="-0.1"/>
        <cfvo type="num" val="0"/>
        <cfvo type="num" val="0.1"/>
        <color rgb="FFF8696B"/>
        <color rgb="FFFFEB84"/>
        <color rgb="FF63BE7B"/>
      </colorScale>
    </cfRule>
  </conditionalFormatting>
  <conditionalFormatting sqref="Q269:Q270">
    <cfRule type="colorScale" priority="215">
      <colorScale>
        <cfvo type="num" val="-0.1"/>
        <cfvo type="num" val="0"/>
        <cfvo type="num" val="0.1"/>
        <color rgb="FFF8696B"/>
        <color rgb="FFFFEB84"/>
        <color rgb="FF63BE7B"/>
      </colorScale>
    </cfRule>
  </conditionalFormatting>
  <conditionalFormatting sqref="Q271">
    <cfRule type="colorScale" priority="211">
      <colorScale>
        <cfvo type="num" val="-0.1"/>
        <cfvo type="num" val="0"/>
        <cfvo type="num" val="0.1"/>
        <color rgb="FFF8696B"/>
        <color rgb="FFFFEB84"/>
        <color rgb="FF63BE7B"/>
      </colorScale>
    </cfRule>
  </conditionalFormatting>
  <conditionalFormatting sqref="Q272">
    <cfRule type="colorScale" priority="210">
      <colorScale>
        <cfvo type="num" val="-0.1"/>
        <cfvo type="num" val="0"/>
        <cfvo type="num" val="0.1"/>
        <color rgb="FFF8696B"/>
        <color rgb="FFFFEB84"/>
        <color rgb="FF63BE7B"/>
      </colorScale>
    </cfRule>
  </conditionalFormatting>
  <conditionalFormatting sqref="Q273">
    <cfRule type="colorScale" priority="214">
      <colorScale>
        <cfvo type="num" val="-0.1"/>
        <cfvo type="num" val="0"/>
        <cfvo type="num" val="0.1"/>
        <color rgb="FFF8696B"/>
        <color rgb="FFFFEB84"/>
        <color rgb="FF63BE7B"/>
      </colorScale>
    </cfRule>
  </conditionalFormatting>
  <conditionalFormatting sqref="Q274">
    <cfRule type="colorScale" priority="213">
      <colorScale>
        <cfvo type="num" val="-0.1"/>
        <cfvo type="num" val="0"/>
        <cfvo type="num" val="0.1"/>
        <color rgb="FFF8696B"/>
        <color rgb="FFFFEB84"/>
        <color rgb="FF63BE7B"/>
      </colorScale>
    </cfRule>
  </conditionalFormatting>
  <conditionalFormatting sqref="Q275:Q276">
    <cfRule type="colorScale" priority="212">
      <colorScale>
        <cfvo type="num" val="-0.1"/>
        <cfvo type="num" val="0"/>
        <cfvo type="num" val="0.1"/>
        <color rgb="FFF8696B"/>
        <color rgb="FFFFEB84"/>
        <color rgb="FF63BE7B"/>
      </colorScale>
    </cfRule>
  </conditionalFormatting>
  <conditionalFormatting sqref="Q278:Q279">
    <cfRule type="colorScale" priority="221">
      <colorScale>
        <cfvo type="num" val="-0.1"/>
        <cfvo type="num" val="0"/>
        <cfvo type="num" val="0.1"/>
        <color rgb="FFF8696B"/>
        <color rgb="FFFFEB84"/>
        <color rgb="FF63BE7B"/>
      </colorScale>
    </cfRule>
  </conditionalFormatting>
  <conditionalFormatting sqref="Q280">
    <cfRule type="colorScale" priority="217">
      <colorScale>
        <cfvo type="num" val="-0.1"/>
        <cfvo type="num" val="0"/>
        <cfvo type="num" val="0.1"/>
        <color rgb="FFF8696B"/>
        <color rgb="FFFFEB84"/>
        <color rgb="FF63BE7B"/>
      </colorScale>
    </cfRule>
  </conditionalFormatting>
  <conditionalFormatting sqref="Q281">
    <cfRule type="colorScale" priority="216">
      <colorScale>
        <cfvo type="num" val="-0.1"/>
        <cfvo type="num" val="0"/>
        <cfvo type="num" val="0.1"/>
        <color rgb="FFF8696B"/>
        <color rgb="FFFFEB84"/>
        <color rgb="FF63BE7B"/>
      </colorScale>
    </cfRule>
  </conditionalFormatting>
  <conditionalFormatting sqref="Q282">
    <cfRule type="colorScale" priority="220">
      <colorScale>
        <cfvo type="num" val="-0.1"/>
        <cfvo type="num" val="0"/>
        <cfvo type="num" val="0.1"/>
        <color rgb="FFF8696B"/>
        <color rgb="FFFFEB84"/>
        <color rgb="FF63BE7B"/>
      </colorScale>
    </cfRule>
  </conditionalFormatting>
  <conditionalFormatting sqref="Q283">
    <cfRule type="colorScale" priority="219">
      <colorScale>
        <cfvo type="num" val="-0.1"/>
        <cfvo type="num" val="0"/>
        <cfvo type="num" val="0.1"/>
        <color rgb="FFF8696B"/>
        <color rgb="FFFFEB84"/>
        <color rgb="FF63BE7B"/>
      </colorScale>
    </cfRule>
  </conditionalFormatting>
  <conditionalFormatting sqref="Q284:Q285">
    <cfRule type="colorScale" priority="218">
      <colorScale>
        <cfvo type="num" val="-0.1"/>
        <cfvo type="num" val="0"/>
        <cfvo type="num" val="0.1"/>
        <color rgb="FFF8696B"/>
        <color rgb="FFFFEB84"/>
        <color rgb="FF63BE7B"/>
      </colorScale>
    </cfRule>
  </conditionalFormatting>
  <conditionalFormatting sqref="Q287:Q288">
    <cfRule type="colorScale" priority="228">
      <colorScale>
        <cfvo type="num" val="-0.1"/>
        <cfvo type="num" val="0"/>
        <cfvo type="num" val="0.1"/>
        <color rgb="FFF8696B"/>
        <color rgb="FFFFEB84"/>
        <color rgb="FF63BE7B"/>
      </colorScale>
    </cfRule>
  </conditionalFormatting>
  <conditionalFormatting sqref="Q289">
    <cfRule type="colorScale" priority="224">
      <colorScale>
        <cfvo type="num" val="-0.1"/>
        <cfvo type="num" val="0"/>
        <cfvo type="num" val="0.1"/>
        <color rgb="FFF8696B"/>
        <color rgb="FFFFEB84"/>
        <color rgb="FF63BE7B"/>
      </colorScale>
    </cfRule>
  </conditionalFormatting>
  <conditionalFormatting sqref="Q290">
    <cfRule type="colorScale" priority="222">
      <colorScale>
        <cfvo type="num" val="-0.1"/>
        <cfvo type="num" val="0"/>
        <cfvo type="num" val="0.1"/>
        <color rgb="FFF8696B"/>
        <color rgb="FFFFEB84"/>
        <color rgb="FF63BE7B"/>
      </colorScale>
    </cfRule>
  </conditionalFormatting>
  <conditionalFormatting sqref="Q291">
    <cfRule type="colorScale" priority="227">
      <colorScale>
        <cfvo type="num" val="-0.1"/>
        <cfvo type="num" val="0"/>
        <cfvo type="num" val="0.1"/>
        <color rgb="FFF8696B"/>
        <color rgb="FFFFEB84"/>
        <color rgb="FF63BE7B"/>
      </colorScale>
    </cfRule>
  </conditionalFormatting>
  <conditionalFormatting sqref="Q292">
    <cfRule type="colorScale" priority="226">
      <colorScale>
        <cfvo type="num" val="-0.1"/>
        <cfvo type="num" val="0"/>
        <cfvo type="num" val="0.1"/>
        <color rgb="FFF8696B"/>
        <color rgb="FFFFEB84"/>
        <color rgb="FF63BE7B"/>
      </colorScale>
    </cfRule>
  </conditionalFormatting>
  <conditionalFormatting sqref="Q293:Q294">
    <cfRule type="colorScale" priority="225">
      <colorScale>
        <cfvo type="num" val="-0.1"/>
        <cfvo type="num" val="0"/>
        <cfvo type="num" val="0.1"/>
        <color rgb="FFF8696B"/>
        <color rgb="FFFFEB84"/>
        <color rgb="FF63BE7B"/>
      </colorScale>
    </cfRule>
  </conditionalFormatting>
  <conditionalFormatting sqref="Q296">
    <cfRule type="colorScale" priority="229">
      <colorScale>
        <cfvo type="num" val="-0.1"/>
        <cfvo type="num" val="0"/>
        <cfvo type="num" val="0.1"/>
        <color rgb="FFF8696B"/>
        <color rgb="FFFFEB84"/>
        <color rgb="FF63BE7B"/>
      </colorScale>
    </cfRule>
  </conditionalFormatting>
  <conditionalFormatting sqref="Q298:Q299">
    <cfRule type="colorScale" priority="242">
      <colorScale>
        <cfvo type="num" val="-0.1"/>
        <cfvo type="num" val="0"/>
        <cfvo type="num" val="0.1"/>
        <color rgb="FFF8696B"/>
        <color rgb="FFFFEB84"/>
        <color rgb="FF63BE7B"/>
      </colorScale>
    </cfRule>
  </conditionalFormatting>
  <conditionalFormatting sqref="Q300">
    <cfRule type="colorScale" priority="231">
      <colorScale>
        <cfvo type="num" val="-0.1"/>
        <cfvo type="num" val="0"/>
        <cfvo type="num" val="0.1"/>
        <color rgb="FFF8696B"/>
        <color rgb="FFFFEB84"/>
        <color rgb="FF63BE7B"/>
      </colorScale>
    </cfRule>
  </conditionalFormatting>
  <conditionalFormatting sqref="Q301">
    <cfRule type="colorScale" priority="241">
      <colorScale>
        <cfvo type="num" val="-0.1"/>
        <cfvo type="num" val="0"/>
        <cfvo type="num" val="0.1"/>
        <color rgb="FFF8696B"/>
        <color rgb="FFFFEB84"/>
        <color rgb="FF63BE7B"/>
      </colorScale>
    </cfRule>
  </conditionalFormatting>
  <conditionalFormatting sqref="Q302">
    <cfRule type="colorScale" priority="240">
      <colorScale>
        <cfvo type="num" val="-0.1"/>
        <cfvo type="num" val="0"/>
        <cfvo type="num" val="0.1"/>
        <color rgb="FFF8696B"/>
        <color rgb="FFFFEB84"/>
        <color rgb="FF63BE7B"/>
      </colorScale>
    </cfRule>
  </conditionalFormatting>
  <conditionalFormatting sqref="Q303:Q304">
    <cfRule type="colorScale" priority="238">
      <colorScale>
        <cfvo type="num" val="-0.1"/>
        <cfvo type="num" val="0"/>
        <cfvo type="num" val="0.1"/>
        <color rgb="FFF8696B"/>
        <color rgb="FFFFEB84"/>
        <color rgb="FF63BE7B"/>
      </colorScale>
    </cfRule>
  </conditionalFormatting>
  <conditionalFormatting sqref="Q306 Q308">
    <cfRule type="colorScale" priority="243">
      <colorScale>
        <cfvo type="num" val="-0.1"/>
        <cfvo type="num" val="0"/>
        <cfvo type="num" val="0.1"/>
        <color rgb="FFF8696B"/>
        <color rgb="FFFFEB84"/>
        <color rgb="FF63BE7B"/>
      </colorScale>
    </cfRule>
  </conditionalFormatting>
  <conditionalFormatting sqref="Q308">
    <cfRule type="colorScale" priority="244">
      <colorScale>
        <cfvo type="num" val="-0.1"/>
        <cfvo type="num" val="0"/>
        <cfvo type="num" val="0.1"/>
        <color rgb="FFF8696B"/>
        <color rgb="FFFFEB84"/>
        <color rgb="FF63BE7B"/>
      </colorScale>
    </cfRule>
  </conditionalFormatting>
  <conditionalFormatting sqref="Q310:Q311">
    <cfRule type="colorScale" priority="260">
      <colorScale>
        <cfvo type="num" val="-0.1"/>
        <cfvo type="num" val="0"/>
        <cfvo type="num" val="0.1"/>
        <color rgb="FFF8696B"/>
        <color rgb="FFFFEB84"/>
        <color rgb="FF63BE7B"/>
      </colorScale>
    </cfRule>
  </conditionalFormatting>
  <conditionalFormatting sqref="Q312">
    <cfRule type="colorScale" priority="247">
      <colorScale>
        <cfvo type="num" val="-0.1"/>
        <cfvo type="num" val="0"/>
        <cfvo type="num" val="0.1"/>
        <color rgb="FFF8696B"/>
        <color rgb="FFFFEB84"/>
        <color rgb="FF63BE7B"/>
      </colorScale>
    </cfRule>
  </conditionalFormatting>
  <conditionalFormatting sqref="Q313">
    <cfRule type="colorScale" priority="259">
      <colorScale>
        <cfvo type="num" val="-0.1"/>
        <cfvo type="num" val="0"/>
        <cfvo type="num" val="0.1"/>
        <color rgb="FFF8696B"/>
        <color rgb="FFFFEB84"/>
        <color rgb="FF63BE7B"/>
      </colorScale>
    </cfRule>
  </conditionalFormatting>
  <conditionalFormatting sqref="Q314">
    <cfRule type="colorScale" priority="258">
      <colorScale>
        <cfvo type="num" val="-0.1"/>
        <cfvo type="num" val="0"/>
        <cfvo type="num" val="0.1"/>
        <color rgb="FFF8696B"/>
        <color rgb="FFFFEB84"/>
        <color rgb="FF63BE7B"/>
      </colorScale>
    </cfRule>
  </conditionalFormatting>
  <conditionalFormatting sqref="Q315">
    <cfRule type="colorScale" priority="257">
      <colorScale>
        <cfvo type="num" val="-0.1"/>
        <cfvo type="num" val="0"/>
        <cfvo type="num" val="0.1"/>
        <color rgb="FFF8696B"/>
        <color rgb="FFFFEB84"/>
        <color rgb="FF63BE7B"/>
      </colorScale>
    </cfRule>
  </conditionalFormatting>
  <conditionalFormatting sqref="Q316">
    <cfRule type="colorScale" priority="254">
      <colorScale>
        <cfvo type="num" val="-0.1"/>
        <cfvo type="num" val="0"/>
        <cfvo type="num" val="0.1"/>
        <color rgb="FFF8696B"/>
        <color rgb="FFFFEB84"/>
        <color rgb="FF63BE7B"/>
      </colorScale>
    </cfRule>
  </conditionalFormatting>
  <conditionalFormatting sqref="Q317">
    <cfRule type="colorScale" priority="253">
      <colorScale>
        <cfvo type="num" val="-0.1"/>
        <cfvo type="num" val="0"/>
        <cfvo type="num" val="0.1"/>
        <color rgb="FFF8696B"/>
        <color rgb="FFFFEB84"/>
        <color rgb="FF63BE7B"/>
      </colorScale>
    </cfRule>
  </conditionalFormatting>
  <conditionalFormatting sqref="Q318:Q319 Q321 Q324">
    <cfRule type="colorScale" priority="256">
      <colorScale>
        <cfvo type="num" val="-0.1"/>
        <cfvo type="num" val="0"/>
        <cfvo type="num" val="0.1"/>
        <color rgb="FFF8696B"/>
        <color rgb="FFFFEB84"/>
        <color rgb="FF63BE7B"/>
      </colorScale>
    </cfRule>
  </conditionalFormatting>
  <conditionalFormatting sqref="Q320">
    <cfRule type="colorScale" priority="248">
      <colorScale>
        <cfvo type="num" val="-0.1"/>
        <cfvo type="num" val="0"/>
        <cfvo type="num" val="0.1"/>
        <color rgb="FFF8696B"/>
        <color rgb="FFFFEB84"/>
        <color rgb="FF63BE7B"/>
      </colorScale>
    </cfRule>
  </conditionalFormatting>
  <conditionalFormatting sqref="Q322">
    <cfRule type="colorScale" priority="252">
      <colorScale>
        <cfvo type="num" val="-0.1"/>
        <cfvo type="num" val="0"/>
        <cfvo type="num" val="0.1"/>
        <color rgb="FFF8696B"/>
        <color rgb="FFFFEB84"/>
        <color rgb="FF63BE7B"/>
      </colorScale>
    </cfRule>
  </conditionalFormatting>
  <conditionalFormatting sqref="Q323">
    <cfRule type="colorScale" priority="251">
      <colorScale>
        <cfvo type="num" val="-0.1"/>
        <cfvo type="num" val="0"/>
        <cfvo type="num" val="0.1"/>
        <color rgb="FFF8696B"/>
        <color rgb="FFFFEB84"/>
        <color rgb="FF63BE7B"/>
      </colorScale>
    </cfRule>
  </conditionalFormatting>
  <conditionalFormatting sqref="Q325">
    <cfRule type="colorScale" priority="255">
      <colorScale>
        <cfvo type="num" val="-0.1"/>
        <cfvo type="num" val="0"/>
        <cfvo type="num" val="0.1"/>
        <color rgb="FFF8696B"/>
        <color rgb="FFFFEB84"/>
        <color rgb="FF63BE7B"/>
      </colorScale>
    </cfRule>
  </conditionalFormatting>
  <conditionalFormatting sqref="Q327:Q328">
    <cfRule type="colorScale" priority="276">
      <colorScale>
        <cfvo type="num" val="-0.1"/>
        <cfvo type="num" val="0"/>
        <cfvo type="num" val="0.1"/>
        <color rgb="FFF8696B"/>
        <color rgb="FFFFEB84"/>
        <color rgb="FF63BE7B"/>
      </colorScale>
    </cfRule>
  </conditionalFormatting>
  <conditionalFormatting sqref="Q329">
    <cfRule type="colorScale" priority="261">
      <colorScale>
        <cfvo type="num" val="-0.1"/>
        <cfvo type="num" val="0"/>
        <cfvo type="num" val="0.1"/>
        <color rgb="FFF8696B"/>
        <color rgb="FFFFEB84"/>
        <color rgb="FF63BE7B"/>
      </colorScale>
    </cfRule>
  </conditionalFormatting>
  <conditionalFormatting sqref="Q330">
    <cfRule type="colorScale" priority="275">
      <colorScale>
        <cfvo type="num" val="-0.1"/>
        <cfvo type="num" val="0"/>
        <cfvo type="num" val="0.1"/>
        <color rgb="FFF8696B"/>
        <color rgb="FFFFEB84"/>
        <color rgb="FF63BE7B"/>
      </colorScale>
    </cfRule>
  </conditionalFormatting>
  <conditionalFormatting sqref="Q331">
    <cfRule type="colorScale" priority="274">
      <colorScale>
        <cfvo type="num" val="-0.1"/>
        <cfvo type="num" val="0"/>
        <cfvo type="num" val="0.1"/>
        <color rgb="FFF8696B"/>
        <color rgb="FFFFEB84"/>
        <color rgb="FF63BE7B"/>
      </colorScale>
    </cfRule>
  </conditionalFormatting>
  <conditionalFormatting sqref="Q332">
    <cfRule type="colorScale" priority="273">
      <colorScale>
        <cfvo type="num" val="-0.1"/>
        <cfvo type="num" val="0"/>
        <cfvo type="num" val="0.1"/>
        <color rgb="FFF8696B"/>
        <color rgb="FFFFEB84"/>
        <color rgb="FF63BE7B"/>
      </colorScale>
    </cfRule>
  </conditionalFormatting>
  <conditionalFormatting sqref="Q333">
    <cfRule type="colorScale" priority="270">
      <colorScale>
        <cfvo type="num" val="-0.1"/>
        <cfvo type="num" val="0"/>
        <cfvo type="num" val="0.1"/>
        <color rgb="FFF8696B"/>
        <color rgb="FFFFEB84"/>
        <color rgb="FF63BE7B"/>
      </colorScale>
    </cfRule>
  </conditionalFormatting>
  <conditionalFormatting sqref="Q334">
    <cfRule type="colorScale" priority="269">
      <colorScale>
        <cfvo type="num" val="-0.1"/>
        <cfvo type="num" val="0"/>
        <cfvo type="num" val="0.1"/>
        <color rgb="FFF8696B"/>
        <color rgb="FFFFEB84"/>
        <color rgb="FF63BE7B"/>
      </colorScale>
    </cfRule>
  </conditionalFormatting>
  <conditionalFormatting sqref="Q335:Q336 Q338 Q341">
    <cfRule type="colorScale" priority="272">
      <colorScale>
        <cfvo type="num" val="-0.1"/>
        <cfvo type="num" val="0"/>
        <cfvo type="num" val="0.1"/>
        <color rgb="FFF8696B"/>
        <color rgb="FFFFEB84"/>
        <color rgb="FF63BE7B"/>
      </colorScale>
    </cfRule>
  </conditionalFormatting>
  <conditionalFormatting sqref="Q337">
    <cfRule type="colorScale" priority="262">
      <colorScale>
        <cfvo type="num" val="-0.1"/>
        <cfvo type="num" val="0"/>
        <cfvo type="num" val="0.1"/>
        <color rgb="FFF8696B"/>
        <color rgb="FFFFEB84"/>
        <color rgb="FF63BE7B"/>
      </colorScale>
    </cfRule>
  </conditionalFormatting>
  <conditionalFormatting sqref="Q339">
    <cfRule type="colorScale" priority="267">
      <colorScale>
        <cfvo type="num" val="-0.1"/>
        <cfvo type="num" val="0"/>
        <cfvo type="num" val="0.1"/>
        <color rgb="FFF8696B"/>
        <color rgb="FFFFEB84"/>
        <color rgb="FF63BE7B"/>
      </colorScale>
    </cfRule>
  </conditionalFormatting>
  <conditionalFormatting sqref="Q340">
    <cfRule type="colorScale" priority="266">
      <colorScale>
        <cfvo type="num" val="-0.1"/>
        <cfvo type="num" val="0"/>
        <cfvo type="num" val="0.1"/>
        <color rgb="FFF8696B"/>
        <color rgb="FFFFEB84"/>
        <color rgb="FF63BE7B"/>
      </colorScale>
    </cfRule>
  </conditionalFormatting>
  <conditionalFormatting sqref="Q342">
    <cfRule type="colorScale" priority="271">
      <colorScale>
        <cfvo type="num" val="-0.1"/>
        <cfvo type="num" val="0"/>
        <cfvo type="num" val="0.1"/>
        <color rgb="FFF8696B"/>
        <color rgb="FFFFEB84"/>
        <color rgb="FF63BE7B"/>
      </colorScale>
    </cfRule>
  </conditionalFormatting>
  <conditionalFormatting sqref="Q344:Q345">
    <cfRule type="colorScale" priority="297">
      <colorScale>
        <cfvo type="num" val="-0.1"/>
        <cfvo type="num" val="0"/>
        <cfvo type="num" val="0.1"/>
        <color rgb="FFF8696B"/>
        <color rgb="FFFFEB84"/>
        <color rgb="FF63BE7B"/>
      </colorScale>
    </cfRule>
  </conditionalFormatting>
  <conditionalFormatting sqref="Q346">
    <cfRule type="colorScale" priority="282">
      <colorScale>
        <cfvo type="num" val="-0.1"/>
        <cfvo type="num" val="0"/>
        <cfvo type="num" val="0.1"/>
        <color rgb="FFF8696B"/>
        <color rgb="FFFFEB84"/>
        <color rgb="FF63BE7B"/>
      </colorScale>
    </cfRule>
  </conditionalFormatting>
  <conditionalFormatting sqref="Q347">
    <cfRule type="colorScale" priority="296">
      <colorScale>
        <cfvo type="num" val="-0.1"/>
        <cfvo type="num" val="0"/>
        <cfvo type="num" val="0.1"/>
        <color rgb="FFF8696B"/>
        <color rgb="FFFFEB84"/>
        <color rgb="FF63BE7B"/>
      </colorScale>
    </cfRule>
  </conditionalFormatting>
  <conditionalFormatting sqref="Q348">
    <cfRule type="colorScale" priority="295">
      <colorScale>
        <cfvo type="num" val="-0.1"/>
        <cfvo type="num" val="0"/>
        <cfvo type="num" val="0.1"/>
        <color rgb="FFF8696B"/>
        <color rgb="FFFFEB84"/>
        <color rgb="FF63BE7B"/>
      </colorScale>
    </cfRule>
  </conditionalFormatting>
  <conditionalFormatting sqref="Q349">
    <cfRule type="colorScale" priority="294">
      <colorScale>
        <cfvo type="num" val="-0.1"/>
        <cfvo type="num" val="0"/>
        <cfvo type="num" val="0.1"/>
        <color rgb="FFF8696B"/>
        <color rgb="FFFFEB84"/>
        <color rgb="FF63BE7B"/>
      </colorScale>
    </cfRule>
  </conditionalFormatting>
  <conditionalFormatting sqref="Q350">
    <cfRule type="colorScale" priority="291">
      <colorScale>
        <cfvo type="num" val="-0.1"/>
        <cfvo type="num" val="0"/>
        <cfvo type="num" val="0.1"/>
        <color rgb="FFF8696B"/>
        <color rgb="FFFFEB84"/>
        <color rgb="FF63BE7B"/>
      </colorScale>
    </cfRule>
  </conditionalFormatting>
  <conditionalFormatting sqref="Q351">
    <cfRule type="colorScale" priority="290">
      <colorScale>
        <cfvo type="num" val="-0.1"/>
        <cfvo type="num" val="0"/>
        <cfvo type="num" val="0.1"/>
        <color rgb="FFF8696B"/>
        <color rgb="FFFFEB84"/>
        <color rgb="FF63BE7B"/>
      </colorScale>
    </cfRule>
  </conditionalFormatting>
  <conditionalFormatting sqref="Q352:Q353 Q356 Q359">
    <cfRule type="colorScale" priority="293">
      <colorScale>
        <cfvo type="num" val="-0.1"/>
        <cfvo type="num" val="0"/>
        <cfvo type="num" val="0.1"/>
        <color rgb="FFF8696B"/>
        <color rgb="FFFFEB84"/>
        <color rgb="FF63BE7B"/>
      </colorScale>
    </cfRule>
  </conditionalFormatting>
  <conditionalFormatting sqref="Q354">
    <cfRule type="colorScale" priority="283">
      <colorScale>
        <cfvo type="num" val="-0.1"/>
        <cfvo type="num" val="0"/>
        <cfvo type="num" val="0.1"/>
        <color rgb="FFF8696B"/>
        <color rgb="FFFFEB84"/>
        <color rgb="FF63BE7B"/>
      </colorScale>
    </cfRule>
  </conditionalFormatting>
  <conditionalFormatting sqref="Q355">
    <cfRule type="colorScale" priority="289">
      <colorScale>
        <cfvo type="num" val="-0.1"/>
        <cfvo type="num" val="0"/>
        <cfvo type="num" val="0.1"/>
        <color rgb="FFF8696B"/>
        <color rgb="FFFFEB84"/>
        <color rgb="FF63BE7B"/>
      </colorScale>
    </cfRule>
  </conditionalFormatting>
  <conditionalFormatting sqref="Q357">
    <cfRule type="colorScale" priority="288">
      <colorScale>
        <cfvo type="num" val="-0.1"/>
        <cfvo type="num" val="0"/>
        <cfvo type="num" val="0.1"/>
        <color rgb="FFF8696B"/>
        <color rgb="FFFFEB84"/>
        <color rgb="FF63BE7B"/>
      </colorScale>
    </cfRule>
  </conditionalFormatting>
  <conditionalFormatting sqref="Q358">
    <cfRule type="colorScale" priority="287">
      <colorScale>
        <cfvo type="num" val="-0.1"/>
        <cfvo type="num" val="0"/>
        <cfvo type="num" val="0.1"/>
        <color rgb="FFF8696B"/>
        <color rgb="FFFFEB84"/>
        <color rgb="FF63BE7B"/>
      </colorScale>
    </cfRule>
  </conditionalFormatting>
  <conditionalFormatting sqref="Q360">
    <cfRule type="colorScale" priority="292">
      <colorScale>
        <cfvo type="num" val="-0.1"/>
        <cfvo type="num" val="0"/>
        <cfvo type="num" val="0.1"/>
        <color rgb="FFF8696B"/>
        <color rgb="FFFFEB84"/>
        <color rgb="FF63BE7B"/>
      </colorScale>
    </cfRule>
  </conditionalFormatting>
  <conditionalFormatting sqref="Q362:Q363">
    <cfRule type="colorScale" priority="315">
      <colorScale>
        <cfvo type="num" val="-0.1"/>
        <cfvo type="num" val="0"/>
        <cfvo type="num" val="0.1"/>
        <color rgb="FFF8696B"/>
        <color rgb="FFFFEB84"/>
        <color rgb="FF63BE7B"/>
      </colorScale>
    </cfRule>
  </conditionalFormatting>
  <conditionalFormatting sqref="Q364">
    <cfRule type="colorScale" priority="298">
      <colorScale>
        <cfvo type="num" val="-0.1"/>
        <cfvo type="num" val="0"/>
        <cfvo type="num" val="0.1"/>
        <color rgb="FFF8696B"/>
        <color rgb="FFFFEB84"/>
        <color rgb="FF63BE7B"/>
      </colorScale>
    </cfRule>
  </conditionalFormatting>
  <conditionalFormatting sqref="Q365">
    <cfRule type="colorScale" priority="314">
      <colorScale>
        <cfvo type="num" val="-0.1"/>
        <cfvo type="num" val="0"/>
        <cfvo type="num" val="0.1"/>
        <color rgb="FFF8696B"/>
        <color rgb="FFFFEB84"/>
        <color rgb="FF63BE7B"/>
      </colorScale>
    </cfRule>
  </conditionalFormatting>
  <conditionalFormatting sqref="Q366">
    <cfRule type="colorScale" priority="313">
      <colorScale>
        <cfvo type="num" val="-0.1"/>
        <cfvo type="num" val="0"/>
        <cfvo type="num" val="0.1"/>
        <color rgb="FFF8696B"/>
        <color rgb="FFFFEB84"/>
        <color rgb="FF63BE7B"/>
      </colorScale>
    </cfRule>
  </conditionalFormatting>
  <conditionalFormatting sqref="Q367">
    <cfRule type="colorScale" priority="312">
      <colorScale>
        <cfvo type="num" val="-0.1"/>
        <cfvo type="num" val="0"/>
        <cfvo type="num" val="0.1"/>
        <color rgb="FFF8696B"/>
        <color rgb="FFFFEB84"/>
        <color rgb="FF63BE7B"/>
      </colorScale>
    </cfRule>
  </conditionalFormatting>
  <conditionalFormatting sqref="Q368">
    <cfRule type="colorScale" priority="309">
      <colorScale>
        <cfvo type="num" val="-0.1"/>
        <cfvo type="num" val="0"/>
        <cfvo type="num" val="0.1"/>
        <color rgb="FFF8696B"/>
        <color rgb="FFFFEB84"/>
        <color rgb="FF63BE7B"/>
      </colorScale>
    </cfRule>
  </conditionalFormatting>
  <conditionalFormatting sqref="Q369">
    <cfRule type="colorScale" priority="308">
      <colorScale>
        <cfvo type="num" val="-0.1"/>
        <cfvo type="num" val="0"/>
        <cfvo type="num" val="0.1"/>
        <color rgb="FFF8696B"/>
        <color rgb="FFFFEB84"/>
        <color rgb="FF63BE7B"/>
      </colorScale>
    </cfRule>
  </conditionalFormatting>
  <conditionalFormatting sqref="Q370:Q371 Q374 Q377">
    <cfRule type="colorScale" priority="311">
      <colorScale>
        <cfvo type="num" val="-0.1"/>
        <cfvo type="num" val="0"/>
        <cfvo type="num" val="0.1"/>
        <color rgb="FFF8696B"/>
        <color rgb="FFFFEB84"/>
        <color rgb="FF63BE7B"/>
      </colorScale>
    </cfRule>
  </conditionalFormatting>
  <conditionalFormatting sqref="Q372">
    <cfRule type="colorScale" priority="299">
      <colorScale>
        <cfvo type="num" val="-0.1"/>
        <cfvo type="num" val="0"/>
        <cfvo type="num" val="0.1"/>
        <color rgb="FFF8696B"/>
        <color rgb="FFFFEB84"/>
        <color rgb="FF63BE7B"/>
      </colorScale>
    </cfRule>
  </conditionalFormatting>
  <conditionalFormatting sqref="Q373">
    <cfRule type="colorScale" priority="306">
      <colorScale>
        <cfvo type="num" val="-0.1"/>
        <cfvo type="num" val="0"/>
        <cfvo type="num" val="0.1"/>
        <color rgb="FFF8696B"/>
        <color rgb="FFFFEB84"/>
        <color rgb="FF63BE7B"/>
      </colorScale>
    </cfRule>
  </conditionalFormatting>
  <conditionalFormatting sqref="Q375">
    <cfRule type="colorScale" priority="305">
      <colorScale>
        <cfvo type="num" val="-0.1"/>
        <cfvo type="num" val="0"/>
        <cfvo type="num" val="0.1"/>
        <color rgb="FFF8696B"/>
        <color rgb="FFFFEB84"/>
        <color rgb="FF63BE7B"/>
      </colorScale>
    </cfRule>
  </conditionalFormatting>
  <conditionalFormatting sqref="Q376">
    <cfRule type="colorScale" priority="304">
      <colorScale>
        <cfvo type="num" val="-0.1"/>
        <cfvo type="num" val="0"/>
        <cfvo type="num" val="0.1"/>
        <color rgb="FFF8696B"/>
        <color rgb="FFFFEB84"/>
        <color rgb="FF63BE7B"/>
      </colorScale>
    </cfRule>
  </conditionalFormatting>
  <conditionalFormatting sqref="Q378">
    <cfRule type="colorScale" priority="310">
      <colorScale>
        <cfvo type="num" val="-0.1"/>
        <cfvo type="num" val="0"/>
        <cfvo type="num" val="0.1"/>
        <color rgb="FFF8696B"/>
        <color rgb="FFFFEB84"/>
        <color rgb="FF63BE7B"/>
      </colorScale>
    </cfRule>
  </conditionalFormatting>
  <conditionalFormatting sqref="Q380:Q381">
    <cfRule type="colorScale" priority="333">
      <colorScale>
        <cfvo type="num" val="-0.1"/>
        <cfvo type="num" val="0"/>
        <cfvo type="num" val="0.1"/>
        <color rgb="FFF8696B"/>
        <color rgb="FFFFEB84"/>
        <color rgb="FF63BE7B"/>
      </colorScale>
    </cfRule>
  </conditionalFormatting>
  <conditionalFormatting sqref="Q382">
    <cfRule type="colorScale" priority="328">
      <colorScale>
        <cfvo type="num" val="-0.1"/>
        <cfvo type="num" val="0"/>
        <cfvo type="num" val="0.1"/>
        <color rgb="FFF8696B"/>
        <color rgb="FFFFEB84"/>
        <color rgb="FF63BE7B"/>
      </colorScale>
    </cfRule>
  </conditionalFormatting>
  <conditionalFormatting sqref="Q383">
    <cfRule type="colorScale" priority="327">
      <colorScale>
        <cfvo type="num" val="-0.1"/>
        <cfvo type="num" val="0"/>
        <cfvo type="num" val="0.1"/>
        <color rgb="FFF8696B"/>
        <color rgb="FFFFEB84"/>
        <color rgb="FF63BE7B"/>
      </colorScale>
    </cfRule>
  </conditionalFormatting>
  <conditionalFormatting sqref="Q384">
    <cfRule type="colorScale" priority="326">
      <colorScale>
        <cfvo type="num" val="-0.1"/>
        <cfvo type="num" val="0"/>
        <cfvo type="num" val="0.1"/>
        <color rgb="FFF8696B"/>
        <color rgb="FFFFEB84"/>
        <color rgb="FF63BE7B"/>
      </colorScale>
    </cfRule>
  </conditionalFormatting>
  <conditionalFormatting sqref="Q385">
    <cfRule type="colorScale" priority="323">
      <colorScale>
        <cfvo type="num" val="-0.1"/>
        <cfvo type="num" val="0"/>
        <cfvo type="num" val="0.1"/>
        <color rgb="FFF8696B"/>
        <color rgb="FFFFEB84"/>
        <color rgb="FF63BE7B"/>
      </colorScale>
    </cfRule>
  </conditionalFormatting>
  <conditionalFormatting sqref="Q386">
    <cfRule type="colorScale" priority="322">
      <colorScale>
        <cfvo type="num" val="-0.1"/>
        <cfvo type="num" val="0"/>
        <cfvo type="num" val="0.1"/>
        <color rgb="FFF8696B"/>
        <color rgb="FFFFEB84"/>
        <color rgb="FF63BE7B"/>
      </colorScale>
    </cfRule>
  </conditionalFormatting>
  <conditionalFormatting sqref="Q387:Q388 Q391 Q394">
    <cfRule type="colorScale" priority="325">
      <colorScale>
        <cfvo type="num" val="-0.1"/>
        <cfvo type="num" val="0"/>
        <cfvo type="num" val="0.1"/>
        <color rgb="FFF8696B"/>
        <color rgb="FFFFEB84"/>
        <color rgb="FF63BE7B"/>
      </colorScale>
    </cfRule>
  </conditionalFormatting>
  <conditionalFormatting sqref="Q389">
    <cfRule type="colorScale" priority="321">
      <colorScale>
        <cfvo type="num" val="-0.1"/>
        <cfvo type="num" val="0"/>
        <cfvo type="num" val="0.1"/>
        <color rgb="FFF8696B"/>
        <color rgb="FFFFEB84"/>
        <color rgb="FF63BE7B"/>
      </colorScale>
    </cfRule>
  </conditionalFormatting>
  <conditionalFormatting sqref="Q390">
    <cfRule type="colorScale" priority="320">
      <colorScale>
        <cfvo type="num" val="-0.1"/>
        <cfvo type="num" val="0"/>
        <cfvo type="num" val="0.1"/>
        <color rgb="FFF8696B"/>
        <color rgb="FFFFEB84"/>
        <color rgb="FF63BE7B"/>
      </colorScale>
    </cfRule>
  </conditionalFormatting>
  <conditionalFormatting sqref="Q392">
    <cfRule type="colorScale" priority="319">
      <colorScale>
        <cfvo type="num" val="-0.1"/>
        <cfvo type="num" val="0"/>
        <cfvo type="num" val="0.1"/>
        <color rgb="FFF8696B"/>
        <color rgb="FFFFEB84"/>
        <color rgb="FF63BE7B"/>
      </colorScale>
    </cfRule>
  </conditionalFormatting>
  <conditionalFormatting sqref="Q393">
    <cfRule type="colorScale" priority="318">
      <colorScale>
        <cfvo type="num" val="-0.1"/>
        <cfvo type="num" val="0"/>
        <cfvo type="num" val="0.1"/>
        <color rgb="FFF8696B"/>
        <color rgb="FFFFEB84"/>
        <color rgb="FF63BE7B"/>
      </colorScale>
    </cfRule>
  </conditionalFormatting>
  <conditionalFormatting sqref="Q395">
    <cfRule type="colorScale" priority="324">
      <colorScale>
        <cfvo type="num" val="-0.1"/>
        <cfvo type="num" val="0"/>
        <cfvo type="num" val="0.1"/>
        <color rgb="FFF8696B"/>
        <color rgb="FFFFEB84"/>
        <color rgb="FF63BE7B"/>
      </colorScale>
    </cfRule>
  </conditionalFormatting>
  <conditionalFormatting sqref="Q396">
    <cfRule type="colorScale" priority="317">
      <colorScale>
        <cfvo type="num" val="-0.1"/>
        <cfvo type="num" val="0"/>
        <cfvo type="num" val="0.1"/>
        <color rgb="FFF8696B"/>
        <color rgb="FFFFEB84"/>
        <color rgb="FF63BE7B"/>
      </colorScale>
    </cfRule>
  </conditionalFormatting>
  <conditionalFormatting sqref="Q397:Q398">
    <cfRule type="colorScale" priority="316">
      <colorScale>
        <cfvo type="num" val="-0.1"/>
        <cfvo type="num" val="0"/>
        <cfvo type="num" val="0.1"/>
        <color rgb="FFF8696B"/>
        <color rgb="FFFFEB84"/>
        <color rgb="FF63BE7B"/>
      </colorScale>
    </cfRule>
  </conditionalFormatting>
  <conditionalFormatting sqref="Q399">
    <cfRule type="colorScale" priority="329">
      <colorScale>
        <cfvo type="num" val="-0.1"/>
        <cfvo type="num" val="0"/>
        <cfvo type="num" val="0.1"/>
        <color rgb="FFF8696B"/>
        <color rgb="FFFFEB84"/>
        <color rgb="FF63BE7B"/>
      </colorScale>
    </cfRule>
    <cfRule type="colorScale" priority="330">
      <colorScale>
        <cfvo type="num" val="-0.1"/>
        <cfvo type="num" val="0"/>
        <cfvo type="num" val="0.1"/>
        <color rgb="FFF8696B"/>
        <color rgb="FFFFEB84"/>
        <color rgb="FF63BE7B"/>
      </colorScale>
    </cfRule>
  </conditionalFormatting>
  <conditionalFormatting sqref="Q400:Q401">
    <cfRule type="colorScale" priority="351">
      <colorScale>
        <cfvo type="num" val="-0.1"/>
        <cfvo type="num" val="0"/>
        <cfvo type="num" val="0.1"/>
        <color rgb="FFF8696B"/>
        <color rgb="FFFFEB84"/>
        <color rgb="FF63BE7B"/>
      </colorScale>
    </cfRule>
  </conditionalFormatting>
  <conditionalFormatting sqref="Q402">
    <cfRule type="colorScale" priority="350">
      <colorScale>
        <cfvo type="num" val="-0.1"/>
        <cfvo type="num" val="0"/>
        <cfvo type="num" val="0.1"/>
        <color rgb="FFF8696B"/>
        <color rgb="FFFFEB84"/>
        <color rgb="FF63BE7B"/>
      </colorScale>
    </cfRule>
  </conditionalFormatting>
  <conditionalFormatting sqref="Q403">
    <cfRule type="colorScale" priority="349">
      <colorScale>
        <cfvo type="num" val="-0.1"/>
        <cfvo type="num" val="0"/>
        <cfvo type="num" val="0.1"/>
        <color rgb="FFF8696B"/>
        <color rgb="FFFFEB84"/>
        <color rgb="FF63BE7B"/>
      </colorScale>
    </cfRule>
  </conditionalFormatting>
  <conditionalFormatting sqref="Q404">
    <cfRule type="colorScale" priority="346">
      <colorScale>
        <cfvo type="num" val="-0.1"/>
        <cfvo type="num" val="0"/>
        <cfvo type="num" val="0.1"/>
        <color rgb="FFF8696B"/>
        <color rgb="FFFFEB84"/>
        <color rgb="FF63BE7B"/>
      </colorScale>
    </cfRule>
  </conditionalFormatting>
  <conditionalFormatting sqref="Q405">
    <cfRule type="colorScale" priority="345">
      <colorScale>
        <cfvo type="num" val="-0.1"/>
        <cfvo type="num" val="0"/>
        <cfvo type="num" val="0.1"/>
        <color rgb="FFF8696B"/>
        <color rgb="FFFFEB84"/>
        <color rgb="FF63BE7B"/>
      </colorScale>
    </cfRule>
  </conditionalFormatting>
  <conditionalFormatting sqref="Q406">
    <cfRule type="colorScale" priority="344">
      <colorScale>
        <cfvo type="num" val="-0.1"/>
        <cfvo type="num" val="0"/>
        <cfvo type="num" val="0.1"/>
        <color rgb="FFF8696B"/>
        <color rgb="FFFFEB84"/>
        <color rgb="FF63BE7B"/>
      </colorScale>
    </cfRule>
  </conditionalFormatting>
  <conditionalFormatting sqref="Q407">
    <cfRule type="colorScale" priority="341">
      <colorScale>
        <cfvo type="num" val="-0.1"/>
        <cfvo type="num" val="0"/>
        <cfvo type="num" val="0.1"/>
        <color rgb="FFF8696B"/>
        <color rgb="FFFFEB84"/>
        <color rgb="FF63BE7B"/>
      </colorScale>
    </cfRule>
  </conditionalFormatting>
  <conditionalFormatting sqref="Q409:Q410 Q413 Q416">
    <cfRule type="colorScale" priority="343">
      <colorScale>
        <cfvo type="num" val="-0.1"/>
        <cfvo type="num" val="0"/>
        <cfvo type="num" val="0.1"/>
        <color rgb="FFF8696B"/>
        <color rgb="FFFFEB84"/>
        <color rgb="FF63BE7B"/>
      </colorScale>
    </cfRule>
  </conditionalFormatting>
  <conditionalFormatting sqref="Q411">
    <cfRule type="colorScale" priority="339">
      <colorScale>
        <cfvo type="num" val="-0.1"/>
        <cfvo type="num" val="0"/>
        <cfvo type="num" val="0.1"/>
        <color rgb="FFF8696B"/>
        <color rgb="FFFFEB84"/>
        <color rgb="FF63BE7B"/>
      </colorScale>
    </cfRule>
  </conditionalFormatting>
  <conditionalFormatting sqref="Q412">
    <cfRule type="colorScale" priority="338">
      <colorScale>
        <cfvo type="num" val="-0.1"/>
        <cfvo type="num" val="0"/>
        <cfvo type="num" val="0.1"/>
        <color rgb="FFF8696B"/>
        <color rgb="FFFFEB84"/>
        <color rgb="FF63BE7B"/>
      </colorScale>
    </cfRule>
  </conditionalFormatting>
  <conditionalFormatting sqref="Q414">
    <cfRule type="colorScale" priority="337">
      <colorScale>
        <cfvo type="num" val="-0.1"/>
        <cfvo type="num" val="0"/>
        <cfvo type="num" val="0.1"/>
        <color rgb="FFF8696B"/>
        <color rgb="FFFFEB84"/>
        <color rgb="FF63BE7B"/>
      </colorScale>
    </cfRule>
  </conditionalFormatting>
  <conditionalFormatting sqref="Q415">
    <cfRule type="colorScale" priority="336">
      <colorScale>
        <cfvo type="num" val="-0.1"/>
        <cfvo type="num" val="0"/>
        <cfvo type="num" val="0.1"/>
        <color rgb="FFF8696B"/>
        <color rgb="FFFFEB84"/>
        <color rgb="FF63BE7B"/>
      </colorScale>
    </cfRule>
  </conditionalFormatting>
  <conditionalFormatting sqref="Q417">
    <cfRule type="colorScale" priority="342">
      <colorScale>
        <cfvo type="num" val="-0.1"/>
        <cfvo type="num" val="0"/>
        <cfvo type="num" val="0.1"/>
        <color rgb="FFF8696B"/>
        <color rgb="FFFFEB84"/>
        <color rgb="FF63BE7B"/>
      </colorScale>
    </cfRule>
  </conditionalFormatting>
  <conditionalFormatting sqref="Q418:Q419">
    <cfRule type="colorScale" priority="335">
      <colorScale>
        <cfvo type="num" val="-0.1"/>
        <cfvo type="num" val="0"/>
        <cfvo type="num" val="0.1"/>
        <color rgb="FFF8696B"/>
        <color rgb="FFFFEB84"/>
        <color rgb="FF63BE7B"/>
      </colorScale>
    </cfRule>
  </conditionalFormatting>
  <conditionalFormatting sqref="Q419">
    <cfRule type="colorScale" priority="360">
      <colorScale>
        <cfvo type="num" val="-0.1"/>
        <cfvo type="num" val="0"/>
        <cfvo type="num" val="0.1"/>
        <color rgb="FFF8696B"/>
        <color rgb="FFFFEB84"/>
        <color rgb="FF63BE7B"/>
      </colorScale>
    </cfRule>
  </conditionalFormatting>
  <conditionalFormatting sqref="Q420">
    <cfRule type="colorScale" priority="334">
      <colorScale>
        <cfvo type="num" val="-0.1"/>
        <cfvo type="num" val="0"/>
        <cfvo type="num" val="0.1"/>
        <color rgb="FFF8696B"/>
        <color rgb="FFFFEB84"/>
        <color rgb="FF63BE7B"/>
      </colorScale>
    </cfRule>
  </conditionalFormatting>
  <conditionalFormatting sqref="Q421:Q422">
    <cfRule type="colorScale" priority="347">
      <colorScale>
        <cfvo type="num" val="-0.1"/>
        <cfvo type="num" val="0"/>
        <cfvo type="num" val="0.1"/>
        <color rgb="FFF8696B"/>
        <color rgb="FFFFEB84"/>
        <color rgb="FF63BE7B"/>
      </colorScale>
    </cfRule>
    <cfRule type="colorScale" priority="348">
      <colorScale>
        <cfvo type="num" val="-0.1"/>
        <cfvo type="num" val="0"/>
        <cfvo type="num" val="0.1"/>
        <color rgb="FFF8696B"/>
        <color rgb="FFFFEB84"/>
        <color rgb="FF63BE7B"/>
      </colorScale>
    </cfRule>
  </conditionalFormatting>
  <conditionalFormatting sqref="Q422">
    <cfRule type="colorScale" priority="359">
      <colorScale>
        <cfvo type="num" val="-0.1"/>
        <cfvo type="num" val="0"/>
        <cfvo type="num" val="0.1"/>
        <color rgb="FFF8696B"/>
        <color rgb="FFFFEB84"/>
        <color rgb="FF63BE7B"/>
      </colorScale>
    </cfRule>
  </conditionalFormatting>
  <conditionalFormatting sqref="Q424">
    <cfRule type="colorScale" priority="352">
      <colorScale>
        <cfvo type="num" val="-0.1"/>
        <cfvo type="num" val="0"/>
        <cfvo type="num" val="0.1"/>
        <color rgb="FFF8696B"/>
        <color rgb="FFFFEB84"/>
        <color rgb="FF63BE7B"/>
      </colorScale>
    </cfRule>
  </conditionalFormatting>
  <conditionalFormatting sqref="Q425:Q426">
    <cfRule type="colorScale" priority="353">
      <colorScale>
        <cfvo type="num" val="-0.1"/>
        <cfvo type="num" val="0"/>
        <cfvo type="num" val="0.1"/>
        <color rgb="FFF8696B"/>
        <color rgb="FFFFEB84"/>
        <color rgb="FF63BE7B"/>
      </colorScale>
    </cfRule>
  </conditionalFormatting>
  <conditionalFormatting sqref="Q427:Q428 Q423">
    <cfRule type="colorScale" priority="355">
      <colorScale>
        <cfvo type="num" val="-0.1"/>
        <cfvo type="num" val="0"/>
        <cfvo type="num" val="0.1"/>
        <color rgb="FFF8696B"/>
        <color rgb="FFFFEB84"/>
        <color rgb="FF63BE7B"/>
      </colorScale>
    </cfRule>
  </conditionalFormatting>
  <conditionalFormatting sqref="Q429">
    <cfRule type="colorScale" priority="354">
      <colorScale>
        <cfvo type="num" val="-0.1"/>
        <cfvo type="num" val="0"/>
        <cfvo type="num" val="0.1"/>
        <color rgb="FFF8696B"/>
        <color rgb="FFFFEB84"/>
        <color rgb="FF63BE7B"/>
      </colorScale>
    </cfRule>
  </conditionalFormatting>
  <conditionalFormatting sqref="Q430:Q431">
    <cfRule type="colorScale" priority="357">
      <colorScale>
        <cfvo type="num" val="-0.1"/>
        <cfvo type="num" val="0"/>
        <cfvo type="num" val="0.1"/>
        <color rgb="FFF8696B"/>
        <color rgb="FFFFEB84"/>
        <color rgb="FF63BE7B"/>
      </colorScale>
    </cfRule>
  </conditionalFormatting>
  <conditionalFormatting sqref="Q431">
    <cfRule type="colorScale" priority="358">
      <colorScale>
        <cfvo type="num" val="-0.1"/>
        <cfvo type="num" val="0"/>
        <cfvo type="num" val="0.1"/>
        <color rgb="FFF8696B"/>
        <color rgb="FFFFEB84"/>
        <color rgb="FF63BE7B"/>
      </colorScale>
    </cfRule>
  </conditionalFormatting>
  <conditionalFormatting sqref="R343">
    <cfRule type="colorScale" priority="264">
      <colorScale>
        <cfvo type="num" val="-0.1"/>
        <cfvo type="num" val="0"/>
        <cfvo type="num" val="0.1"/>
        <color rgb="FFF8696B"/>
        <color rgb="FFFFEB84"/>
        <color rgb="FF63BE7B"/>
      </colorScale>
    </cfRule>
    <cfRule type="colorScale" priority="263">
      <colorScale>
        <cfvo type="num" val="-0.1"/>
        <cfvo type="num" val="0"/>
        <cfvo type="num" val="0.1"/>
        <color rgb="FFF8696B"/>
        <color rgb="FFFFEB84"/>
        <color rgb="FF63BE7B"/>
      </colorScale>
    </cfRule>
  </conditionalFormatting>
  <conditionalFormatting sqref="R361">
    <cfRule type="colorScale" priority="285">
      <colorScale>
        <cfvo type="num" val="-0.1"/>
        <cfvo type="num" val="0"/>
        <cfvo type="num" val="0.1"/>
        <color rgb="FFF8696B"/>
        <color rgb="FFFFEB84"/>
        <color rgb="FF63BE7B"/>
      </colorScale>
    </cfRule>
    <cfRule type="colorScale" priority="284">
      <colorScale>
        <cfvo type="num" val="-0.1"/>
        <cfvo type="num" val="0"/>
        <cfvo type="num" val="0.1"/>
        <color rgb="FFF8696B"/>
        <color rgb="FFFFEB84"/>
        <color rgb="FF63BE7B"/>
      </colorScale>
    </cfRule>
  </conditionalFormatting>
  <conditionalFormatting sqref="R379">
    <cfRule type="colorScale" priority="301">
      <colorScale>
        <cfvo type="num" val="-0.1"/>
        <cfvo type="num" val="0"/>
        <cfvo type="num" val="0.1"/>
        <color rgb="FFF8696B"/>
        <color rgb="FFFFEB84"/>
        <color rgb="FF63BE7B"/>
      </colorScale>
    </cfRule>
    <cfRule type="colorScale" priority="300">
      <colorScale>
        <cfvo type="num" val="-0.1"/>
        <cfvo type="num" val="0"/>
        <cfvo type="num" val="0.1"/>
        <color rgb="FFF8696B"/>
        <color rgb="FFFFEB84"/>
        <color rgb="FF63BE7B"/>
      </colorScale>
    </cfRule>
  </conditionalFormatting>
  <hyperlinks>
    <hyperlink ref="T344" r:id="rId1" xr:uid="{00000000-0004-0000-0400-000000000000}"/>
    <hyperlink ref="T345" r:id="rId2" xr:uid="{00000000-0004-0000-0400-000001000000}"/>
    <hyperlink ref="T346" r:id="rId3" xr:uid="{00000000-0004-0000-0400-000002000000}"/>
    <hyperlink ref="T347" r:id="rId4" xr:uid="{00000000-0004-0000-0400-000003000000}"/>
    <hyperlink ref="T348" r:id="rId5" xr:uid="{00000000-0004-0000-0400-000004000000}"/>
    <hyperlink ref="T349" r:id="rId6" xr:uid="{00000000-0004-0000-0400-000005000000}"/>
    <hyperlink ref="T350" r:id="rId7" xr:uid="{00000000-0004-0000-0400-000006000000}"/>
    <hyperlink ref="T351" r:id="rId8" xr:uid="{00000000-0004-0000-0400-000007000000}"/>
    <hyperlink ref="T352" r:id="rId9" xr:uid="{00000000-0004-0000-0400-000008000000}"/>
    <hyperlink ref="T353" r:id="rId10" xr:uid="{00000000-0004-0000-0400-000009000000}"/>
    <hyperlink ref="T354" r:id="rId11" xr:uid="{00000000-0004-0000-0400-00000A000000}"/>
    <hyperlink ref="T355" r:id="rId12" xr:uid="{00000000-0004-0000-0400-00000B000000}"/>
    <hyperlink ref="T356" r:id="rId13" xr:uid="{00000000-0004-0000-0400-00000C000000}"/>
    <hyperlink ref="T357" r:id="rId14" xr:uid="{00000000-0004-0000-0400-00000D000000}"/>
    <hyperlink ref="T358" r:id="rId15" xr:uid="{00000000-0004-0000-0400-00000E000000}"/>
    <hyperlink ref="T359" r:id="rId16" xr:uid="{00000000-0004-0000-0400-00000F000000}"/>
    <hyperlink ref="T360" r:id="rId17" xr:uid="{00000000-0004-0000-0400-000010000000}"/>
    <hyperlink ref="T362" r:id="rId18" xr:uid="{00000000-0004-0000-0400-000011000000}"/>
    <hyperlink ref="T363" r:id="rId19" xr:uid="{00000000-0004-0000-0400-000012000000}"/>
    <hyperlink ref="T364" r:id="rId20" xr:uid="{00000000-0004-0000-0400-000013000000}"/>
    <hyperlink ref="T365" r:id="rId21" xr:uid="{00000000-0004-0000-0400-000014000000}"/>
    <hyperlink ref="T366" r:id="rId22" xr:uid="{00000000-0004-0000-0400-000015000000}"/>
    <hyperlink ref="T367" r:id="rId23" xr:uid="{00000000-0004-0000-0400-000016000000}"/>
    <hyperlink ref="T368" r:id="rId24" xr:uid="{00000000-0004-0000-0400-000017000000}"/>
    <hyperlink ref="T369" r:id="rId25" xr:uid="{00000000-0004-0000-0400-000018000000}"/>
    <hyperlink ref="T370" r:id="rId26" xr:uid="{00000000-0004-0000-0400-000019000000}"/>
    <hyperlink ref="T371" r:id="rId27" xr:uid="{00000000-0004-0000-0400-00001A000000}"/>
    <hyperlink ref="T372" r:id="rId28" xr:uid="{00000000-0004-0000-0400-00001B000000}"/>
    <hyperlink ref="T373" r:id="rId29" xr:uid="{00000000-0004-0000-0400-00001C000000}"/>
    <hyperlink ref="T374" r:id="rId30" xr:uid="{00000000-0004-0000-0400-00001D000000}"/>
    <hyperlink ref="T375" r:id="rId31" xr:uid="{00000000-0004-0000-0400-00001E000000}"/>
    <hyperlink ref="T376" r:id="rId32" xr:uid="{00000000-0004-0000-0400-00001F000000}"/>
    <hyperlink ref="T377" r:id="rId33" xr:uid="{00000000-0004-0000-0400-000020000000}"/>
    <hyperlink ref="T378" r:id="rId34" xr:uid="{00000000-0004-0000-0400-000021000000}"/>
    <hyperlink ref="T380" r:id="rId35" xr:uid="{00000000-0004-0000-0400-000022000000}"/>
    <hyperlink ref="T381" r:id="rId36" xr:uid="{00000000-0004-0000-0400-000023000000}"/>
    <hyperlink ref="T382" r:id="rId37" xr:uid="{00000000-0004-0000-0400-000024000000}"/>
    <hyperlink ref="T383" r:id="rId38" xr:uid="{00000000-0004-0000-0400-000025000000}"/>
    <hyperlink ref="T384" r:id="rId39" xr:uid="{00000000-0004-0000-0400-000026000000}"/>
    <hyperlink ref="T385" r:id="rId40" xr:uid="{00000000-0004-0000-0400-000027000000}"/>
    <hyperlink ref="T386" r:id="rId41" xr:uid="{00000000-0004-0000-0400-000028000000}"/>
    <hyperlink ref="T387" r:id="rId42" xr:uid="{00000000-0004-0000-0400-000029000000}"/>
    <hyperlink ref="T388" r:id="rId43" xr:uid="{00000000-0004-0000-0400-00002A000000}"/>
    <hyperlink ref="T389" r:id="rId44" xr:uid="{00000000-0004-0000-0400-00002B000000}"/>
    <hyperlink ref="T390" r:id="rId45" xr:uid="{00000000-0004-0000-0400-00002C000000}"/>
    <hyperlink ref="T391" r:id="rId46" xr:uid="{00000000-0004-0000-0400-00002D000000}"/>
    <hyperlink ref="T392" r:id="rId47" xr:uid="{00000000-0004-0000-0400-00002E000000}"/>
    <hyperlink ref="T393" r:id="rId48" xr:uid="{00000000-0004-0000-0400-00002F000000}"/>
    <hyperlink ref="T394" r:id="rId49" xr:uid="{00000000-0004-0000-0400-000030000000}"/>
    <hyperlink ref="T395" r:id="rId50" xr:uid="{00000000-0004-0000-0400-000031000000}"/>
    <hyperlink ref="T396" r:id="rId51" xr:uid="{00000000-0004-0000-0400-000032000000}"/>
    <hyperlink ref="T397" r:id="rId52" xr:uid="{00000000-0004-0000-0400-000033000000}"/>
    <hyperlink ref="T399" r:id="rId53" xr:uid="{00000000-0004-0000-0400-000034000000}"/>
    <hyperlink ref="T400" r:id="rId54" xr:uid="{00000000-0004-0000-0400-000035000000}"/>
    <hyperlink ref="T401" r:id="rId55" xr:uid="{00000000-0004-0000-0400-000036000000}"/>
    <hyperlink ref="T402" r:id="rId56" xr:uid="{00000000-0004-0000-0400-000037000000}"/>
    <hyperlink ref="T403" r:id="rId57" xr:uid="{00000000-0004-0000-0400-000038000000}"/>
    <hyperlink ref="T404" r:id="rId58" xr:uid="{00000000-0004-0000-0400-000039000000}"/>
    <hyperlink ref="T405" r:id="rId59" xr:uid="{00000000-0004-0000-0400-00003A000000}"/>
    <hyperlink ref="T406" r:id="rId60" xr:uid="{00000000-0004-0000-0400-00003B000000}"/>
    <hyperlink ref="T407" r:id="rId61" xr:uid="{00000000-0004-0000-0400-00003C000000}"/>
    <hyperlink ref="T408" r:id="rId62" xr:uid="{00000000-0004-0000-0400-00003D000000}"/>
    <hyperlink ref="T409" r:id="rId63" xr:uid="{00000000-0004-0000-0400-00003E000000}"/>
    <hyperlink ref="T410" r:id="rId64" xr:uid="{00000000-0004-0000-0400-00003F000000}"/>
    <hyperlink ref="T411" r:id="rId65" xr:uid="{00000000-0004-0000-0400-000040000000}"/>
    <hyperlink ref="T412" r:id="rId66" xr:uid="{00000000-0004-0000-0400-000041000000}"/>
    <hyperlink ref="T413" r:id="rId67" xr:uid="{00000000-0004-0000-0400-000042000000}"/>
    <hyperlink ref="T414" r:id="rId68" xr:uid="{00000000-0004-0000-0400-000043000000}"/>
    <hyperlink ref="T415" r:id="rId69" xr:uid="{00000000-0004-0000-0400-000044000000}"/>
    <hyperlink ref="T416" r:id="rId70" xr:uid="{00000000-0004-0000-0400-000045000000}"/>
    <hyperlink ref="T417" r:id="rId71" xr:uid="{00000000-0004-0000-0400-000046000000}"/>
    <hyperlink ref="T418" r:id="rId72" xr:uid="{00000000-0004-0000-0400-000047000000}"/>
    <hyperlink ref="T420" r:id="rId73" xr:uid="{00000000-0004-0000-0400-000048000000}"/>
    <hyperlink ref="T421" r:id="rId74" xr:uid="{00000000-0004-0000-0400-000049000000}"/>
    <hyperlink ref="T423" r:id="rId75" xr:uid="{00000000-0004-0000-0400-00004A000000}"/>
    <hyperlink ref="T424" r:id="rId76" xr:uid="{00000000-0004-0000-0400-00004B000000}"/>
    <hyperlink ref="T425" r:id="rId77" xr:uid="{00000000-0004-0000-0400-00004C000000}"/>
    <hyperlink ref="T427" r:id="rId78" xr:uid="{00000000-0004-0000-0400-00004D000000}"/>
    <hyperlink ref="T428" r:id="rId79" xr:uid="{00000000-0004-0000-0400-00004E000000}"/>
    <hyperlink ref="T429" r:id="rId80" xr:uid="{00000000-0004-0000-0400-00004F000000}"/>
    <hyperlink ref="T430" r:id="rId81" xr:uid="{00000000-0004-0000-0400-000050000000}"/>
    <hyperlink ref="T432" r:id="rId82" xr:uid="{00000000-0004-0000-0400-000051000000}"/>
    <hyperlink ref="T327" r:id="rId83" xr:uid="{00000000-0004-0000-0400-000052000000}"/>
    <hyperlink ref="T328" r:id="rId84" xr:uid="{00000000-0004-0000-0400-000053000000}"/>
    <hyperlink ref="T329" r:id="rId85" xr:uid="{00000000-0004-0000-0400-000054000000}"/>
    <hyperlink ref="T330" r:id="rId86" xr:uid="{00000000-0004-0000-0400-000055000000}"/>
    <hyperlink ref="T331" r:id="rId87" xr:uid="{00000000-0004-0000-0400-000056000000}"/>
    <hyperlink ref="T332" r:id="rId88" xr:uid="{00000000-0004-0000-0400-000057000000}"/>
    <hyperlink ref="T333" r:id="rId89" xr:uid="{00000000-0004-0000-0400-000058000000}"/>
    <hyperlink ref="T334" r:id="rId90" xr:uid="{00000000-0004-0000-0400-000059000000}"/>
    <hyperlink ref="T335" r:id="rId91" xr:uid="{00000000-0004-0000-0400-00005A000000}"/>
    <hyperlink ref="T336" r:id="rId92" xr:uid="{00000000-0004-0000-0400-00005B000000}"/>
    <hyperlink ref="T337" r:id="rId93" xr:uid="{00000000-0004-0000-0400-00005C000000}"/>
    <hyperlink ref="T338" r:id="rId94" xr:uid="{00000000-0004-0000-0400-00005D000000}"/>
    <hyperlink ref="T339" r:id="rId95" xr:uid="{00000000-0004-0000-0400-00005E000000}"/>
    <hyperlink ref="T340" r:id="rId96" xr:uid="{00000000-0004-0000-0400-00005F000000}"/>
    <hyperlink ref="T341" r:id="rId97" xr:uid="{00000000-0004-0000-0400-000060000000}"/>
    <hyperlink ref="T342" r:id="rId98" xr:uid="{00000000-0004-0000-0400-000061000000}"/>
    <hyperlink ref="T310" r:id="rId99" xr:uid="{00000000-0004-0000-0400-000062000000}"/>
    <hyperlink ref="T311" r:id="rId100" xr:uid="{00000000-0004-0000-0400-000063000000}"/>
    <hyperlink ref="T312" r:id="rId101" xr:uid="{00000000-0004-0000-0400-000064000000}"/>
    <hyperlink ref="T313" r:id="rId102" xr:uid="{00000000-0004-0000-0400-000065000000}"/>
    <hyperlink ref="T314" r:id="rId103" xr:uid="{00000000-0004-0000-0400-000066000000}"/>
    <hyperlink ref="T315" r:id="rId104" xr:uid="{00000000-0004-0000-0400-000067000000}"/>
    <hyperlink ref="T316" r:id="rId105" xr:uid="{00000000-0004-0000-0400-000068000000}"/>
    <hyperlink ref="T317" r:id="rId106" xr:uid="{00000000-0004-0000-0400-000069000000}"/>
    <hyperlink ref="T318" r:id="rId107" xr:uid="{00000000-0004-0000-0400-00006A000000}"/>
    <hyperlink ref="T319" r:id="rId108" xr:uid="{00000000-0004-0000-0400-00006B000000}"/>
    <hyperlink ref="T320" r:id="rId109" xr:uid="{00000000-0004-0000-0400-00006C000000}"/>
    <hyperlink ref="T321" r:id="rId110" xr:uid="{00000000-0004-0000-0400-00006D000000}"/>
    <hyperlink ref="T322" r:id="rId111" xr:uid="{00000000-0004-0000-0400-00006E000000}"/>
    <hyperlink ref="T323" r:id="rId112" xr:uid="{00000000-0004-0000-0400-00006F000000}"/>
    <hyperlink ref="T324" r:id="rId113" xr:uid="{00000000-0004-0000-0400-000070000000}"/>
    <hyperlink ref="T325" r:id="rId114" xr:uid="{00000000-0004-0000-0400-000071000000}"/>
    <hyperlink ref="T308" r:id="rId115" xr:uid="{00000000-0004-0000-0400-000072000000}"/>
    <hyperlink ref="T306" r:id="rId116" xr:uid="{00000000-0004-0000-0400-000073000000}"/>
    <hyperlink ref="T296" r:id="rId117" xr:uid="{00000000-0004-0000-0400-000074000000}"/>
    <hyperlink ref="T298" r:id="rId118" xr:uid="{00000000-0004-0000-0400-000075000000}"/>
    <hyperlink ref="T299" r:id="rId119" xr:uid="{00000000-0004-0000-0400-000076000000}"/>
    <hyperlink ref="T300" r:id="rId120" xr:uid="{00000000-0004-0000-0400-000077000000}"/>
    <hyperlink ref="T301" r:id="rId121" xr:uid="{00000000-0004-0000-0400-000078000000}"/>
    <hyperlink ref="T302" r:id="rId122" xr:uid="{00000000-0004-0000-0400-000079000000}"/>
    <hyperlink ref="T303" r:id="rId123" xr:uid="{00000000-0004-0000-0400-00007A000000}"/>
    <hyperlink ref="T304" r:id="rId124" xr:uid="{00000000-0004-0000-0400-00007B000000}"/>
    <hyperlink ref="T287" r:id="rId125" xr:uid="{00000000-0004-0000-0400-00007C000000}"/>
    <hyperlink ref="T288" r:id="rId126" xr:uid="{00000000-0004-0000-0400-00007D000000}"/>
    <hyperlink ref="T289" r:id="rId127" xr:uid="{00000000-0004-0000-0400-00007E000000}"/>
    <hyperlink ref="T290" r:id="rId128" xr:uid="{00000000-0004-0000-0400-00007F000000}"/>
    <hyperlink ref="T291" r:id="rId129" xr:uid="{00000000-0004-0000-0400-000080000000}"/>
    <hyperlink ref="T292" r:id="rId130" xr:uid="{00000000-0004-0000-0400-000081000000}"/>
    <hyperlink ref="T293" r:id="rId131" xr:uid="{00000000-0004-0000-0400-000082000000}"/>
    <hyperlink ref="T294" r:id="rId132" xr:uid="{00000000-0004-0000-0400-000083000000}"/>
    <hyperlink ref="T278" r:id="rId133" xr:uid="{00000000-0004-0000-0400-000084000000}"/>
    <hyperlink ref="T279" r:id="rId134" xr:uid="{00000000-0004-0000-0400-000085000000}"/>
    <hyperlink ref="T280" r:id="rId135" xr:uid="{00000000-0004-0000-0400-000086000000}"/>
    <hyperlink ref="T281" r:id="rId136" xr:uid="{00000000-0004-0000-0400-000087000000}"/>
    <hyperlink ref="T282" r:id="rId137" xr:uid="{00000000-0004-0000-0400-000088000000}"/>
    <hyperlink ref="T283" r:id="rId138" xr:uid="{00000000-0004-0000-0400-000089000000}"/>
    <hyperlink ref="T284" r:id="rId139" xr:uid="{00000000-0004-0000-0400-00008A000000}"/>
    <hyperlink ref="T285" r:id="rId140" xr:uid="{00000000-0004-0000-0400-00008B000000}"/>
    <hyperlink ref="T269" r:id="rId141" xr:uid="{00000000-0004-0000-0400-00008C000000}"/>
    <hyperlink ref="T270" r:id="rId142" xr:uid="{00000000-0004-0000-0400-00008D000000}"/>
    <hyperlink ref="T271" r:id="rId143" xr:uid="{00000000-0004-0000-0400-00008E000000}"/>
    <hyperlink ref="T272" r:id="rId144" xr:uid="{00000000-0004-0000-0400-00008F000000}"/>
    <hyperlink ref="T273" r:id="rId145" xr:uid="{00000000-0004-0000-0400-000090000000}"/>
    <hyperlink ref="T274" r:id="rId146" xr:uid="{00000000-0004-0000-0400-000091000000}"/>
    <hyperlink ref="T275" r:id="rId147" xr:uid="{00000000-0004-0000-0400-000092000000}"/>
    <hyperlink ref="T276" r:id="rId148" xr:uid="{00000000-0004-0000-0400-000093000000}"/>
    <hyperlink ref="T267" r:id="rId149" xr:uid="{00000000-0004-0000-0400-000094000000}"/>
    <hyperlink ref="T265" r:id="rId150" xr:uid="{00000000-0004-0000-0400-000095000000}"/>
    <hyperlink ref="T256" r:id="rId151" xr:uid="{00000000-0004-0000-0400-000096000000}"/>
    <hyperlink ref="T257" r:id="rId152" xr:uid="{00000000-0004-0000-0400-000097000000}"/>
    <hyperlink ref="T258" r:id="rId153" xr:uid="{00000000-0004-0000-0400-000098000000}"/>
    <hyperlink ref="T259" r:id="rId154" xr:uid="{00000000-0004-0000-0400-000099000000}"/>
    <hyperlink ref="T260" r:id="rId155" xr:uid="{00000000-0004-0000-0400-00009A000000}"/>
    <hyperlink ref="T261" r:id="rId156" xr:uid="{00000000-0004-0000-0400-00009B000000}"/>
    <hyperlink ref="T262" r:id="rId157" xr:uid="{00000000-0004-0000-0400-00009C000000}"/>
    <hyperlink ref="T263" r:id="rId158" xr:uid="{00000000-0004-0000-0400-00009D000000}"/>
    <hyperlink ref="T256:T263" r:id="rId159" display="Press Release" xr:uid="{00000000-0004-0000-0400-00009E000000}"/>
    <hyperlink ref="T247" r:id="rId160" xr:uid="{00000000-0004-0000-0400-00009F000000}"/>
    <hyperlink ref="T248:T254" r:id="rId161" display="Press Release" xr:uid="{00000000-0004-0000-0400-0000A0000000}"/>
    <hyperlink ref="T238" r:id="rId162" xr:uid="{00000000-0004-0000-0400-0000A1000000}"/>
    <hyperlink ref="T239:T245" r:id="rId163" display="Press Release" xr:uid="{00000000-0004-0000-0400-0000A2000000}"/>
    <hyperlink ref="T229" r:id="rId164" xr:uid="{00000000-0004-0000-0400-0000A3000000}"/>
    <hyperlink ref="T230:T236" r:id="rId165" display="Press Release" xr:uid="{00000000-0004-0000-0400-0000A4000000}"/>
    <hyperlink ref="T227" r:id="rId166" xr:uid="{00000000-0004-0000-0400-0000A5000000}"/>
    <hyperlink ref="T216" r:id="rId167" xr:uid="{00000000-0004-0000-0400-0000A6000000}"/>
    <hyperlink ref="T218" r:id="rId168" xr:uid="{00000000-0004-0000-0400-0000A7000000}"/>
    <hyperlink ref="T219" r:id="rId169" xr:uid="{00000000-0004-0000-0400-0000A8000000}"/>
    <hyperlink ref="T220" r:id="rId170" xr:uid="{00000000-0004-0000-0400-0000A9000000}"/>
    <hyperlink ref="T221" r:id="rId171" xr:uid="{00000000-0004-0000-0400-0000AA000000}"/>
    <hyperlink ref="T222" r:id="rId172" xr:uid="{00000000-0004-0000-0400-0000AB000000}"/>
    <hyperlink ref="T223" r:id="rId173" xr:uid="{00000000-0004-0000-0400-0000AC000000}"/>
    <hyperlink ref="T224" r:id="rId174" xr:uid="{00000000-0004-0000-0400-0000AD000000}"/>
    <hyperlink ref="T225" r:id="rId175" xr:uid="{00000000-0004-0000-0400-0000AE000000}"/>
    <hyperlink ref="T205" r:id="rId176" xr:uid="{00000000-0004-0000-0400-0000AF000000}"/>
    <hyperlink ref="T207" r:id="rId177" xr:uid="{00000000-0004-0000-0400-0000B0000000}"/>
    <hyperlink ref="T208" r:id="rId178" xr:uid="{00000000-0004-0000-0400-0000B1000000}"/>
    <hyperlink ref="T209" r:id="rId179" xr:uid="{00000000-0004-0000-0400-0000B2000000}"/>
    <hyperlink ref="T210" r:id="rId180" xr:uid="{00000000-0004-0000-0400-0000B3000000}"/>
    <hyperlink ref="T211" r:id="rId181" xr:uid="{00000000-0004-0000-0400-0000B4000000}"/>
    <hyperlink ref="T212" r:id="rId182" xr:uid="{00000000-0004-0000-0400-0000B5000000}"/>
    <hyperlink ref="T213" r:id="rId183" xr:uid="{00000000-0004-0000-0400-0000B6000000}"/>
    <hyperlink ref="T214" r:id="rId184" xr:uid="{00000000-0004-0000-0400-0000B7000000}"/>
    <hyperlink ref="T194" r:id="rId185" xr:uid="{00000000-0004-0000-0400-0000B8000000}"/>
    <hyperlink ref="T196" r:id="rId186" xr:uid="{00000000-0004-0000-0400-0000B9000000}"/>
    <hyperlink ref="T197" r:id="rId187" xr:uid="{00000000-0004-0000-0400-0000BA000000}"/>
    <hyperlink ref="T198" r:id="rId188" xr:uid="{00000000-0004-0000-0400-0000BB000000}"/>
    <hyperlink ref="T199" r:id="rId189" xr:uid="{00000000-0004-0000-0400-0000BC000000}"/>
    <hyperlink ref="T200" r:id="rId190" xr:uid="{00000000-0004-0000-0400-0000BD000000}"/>
    <hyperlink ref="T201" r:id="rId191" xr:uid="{00000000-0004-0000-0400-0000BE000000}"/>
    <hyperlink ref="T202" r:id="rId192" xr:uid="{00000000-0004-0000-0400-0000BF000000}"/>
    <hyperlink ref="T203" r:id="rId193" xr:uid="{00000000-0004-0000-0400-0000C0000000}"/>
    <hyperlink ref="T182" r:id="rId194" xr:uid="{00000000-0004-0000-0400-0000C1000000}"/>
    <hyperlink ref="T183" r:id="rId195" xr:uid="{00000000-0004-0000-0400-0000C2000000}"/>
    <hyperlink ref="T185" r:id="rId196" xr:uid="{00000000-0004-0000-0400-0000C3000000}"/>
    <hyperlink ref="T186" r:id="rId197" xr:uid="{00000000-0004-0000-0400-0000C4000000}"/>
    <hyperlink ref="T187" r:id="rId198" xr:uid="{00000000-0004-0000-0400-0000C5000000}"/>
    <hyperlink ref="T188" r:id="rId199" xr:uid="{00000000-0004-0000-0400-0000C6000000}"/>
    <hyperlink ref="T189" r:id="rId200" xr:uid="{00000000-0004-0000-0400-0000C7000000}"/>
    <hyperlink ref="T190" r:id="rId201" xr:uid="{00000000-0004-0000-0400-0000C8000000}"/>
    <hyperlink ref="T191" r:id="rId202" xr:uid="{00000000-0004-0000-0400-0000C9000000}"/>
    <hyperlink ref="T192" r:id="rId203" xr:uid="{00000000-0004-0000-0400-0000CA000000}"/>
    <hyperlink ref="T175" r:id="rId204" xr:uid="{00000000-0004-0000-0400-0000CB000000}"/>
    <hyperlink ref="T176:T180" r:id="rId205" display="Press Release" xr:uid="{00000000-0004-0000-0400-0000CC000000}"/>
    <hyperlink ref="T167" r:id="rId206" xr:uid="{00000000-0004-0000-0400-0000CD000000}"/>
    <hyperlink ref="T168" r:id="rId207" xr:uid="{00000000-0004-0000-0400-0000CE000000}"/>
    <hyperlink ref="T170" r:id="rId208" xr:uid="{00000000-0004-0000-0400-0000CF000000}"/>
    <hyperlink ref="T171" r:id="rId209" xr:uid="{00000000-0004-0000-0400-0000D0000000}"/>
    <hyperlink ref="T172" r:id="rId210" xr:uid="{00000000-0004-0000-0400-0000D1000000}"/>
    <hyperlink ref="T173" r:id="rId211" xr:uid="{00000000-0004-0000-0400-0000D2000000}"/>
    <hyperlink ref="T167:T173" r:id="rId212" display="Press Release" xr:uid="{00000000-0004-0000-0400-0000D3000000}"/>
    <hyperlink ref="T169" r:id="rId213" xr:uid="{00000000-0004-0000-0400-0000D4000000}"/>
    <hyperlink ref="T165" r:id="rId214" xr:uid="{00000000-0004-0000-0400-0000D5000000}"/>
    <hyperlink ref="T152" r:id="rId215" xr:uid="{00000000-0004-0000-0400-0000D6000000}"/>
    <hyperlink ref="T155:T161" r:id="rId216" display="Press Release" xr:uid="{00000000-0004-0000-0400-0000D7000000}"/>
    <hyperlink ref="T162" r:id="rId217" xr:uid="{00000000-0004-0000-0400-0000D8000000}"/>
    <hyperlink ref="T163" r:id="rId218" xr:uid="{00000000-0004-0000-0400-0000D9000000}"/>
    <hyperlink ref="T153" r:id="rId219" xr:uid="{00000000-0004-0000-0400-0000DA000000}"/>
    <hyperlink ref="T142" r:id="rId220" xr:uid="{00000000-0004-0000-0400-0000DB000000}"/>
    <hyperlink ref="T143" r:id="rId221" xr:uid="{00000000-0004-0000-0400-0000DC000000}"/>
    <hyperlink ref="T144" r:id="rId222" xr:uid="{00000000-0004-0000-0400-0000DD000000}"/>
    <hyperlink ref="T145" r:id="rId223" xr:uid="{00000000-0004-0000-0400-0000DE000000}"/>
    <hyperlink ref="T146" r:id="rId224" xr:uid="{00000000-0004-0000-0400-0000DF000000}"/>
    <hyperlink ref="T147" r:id="rId225" xr:uid="{00000000-0004-0000-0400-0000E0000000}"/>
    <hyperlink ref="T148" r:id="rId226" xr:uid="{00000000-0004-0000-0400-0000E1000000}"/>
    <hyperlink ref="T149" r:id="rId227" xr:uid="{00000000-0004-0000-0400-0000E2000000}"/>
    <hyperlink ref="T150" r:id="rId228" xr:uid="{00000000-0004-0000-0400-0000E3000000}"/>
    <hyperlink ref="T139" r:id="rId229" xr:uid="{00000000-0004-0000-0400-0000E4000000}"/>
    <hyperlink ref="T137" r:id="rId230" xr:uid="{00000000-0004-0000-0400-0000E5000000}"/>
    <hyperlink ref="T140" r:id="rId231" xr:uid="{00000000-0004-0000-0400-0000E6000000}"/>
    <hyperlink ref="T128" r:id="rId232" xr:uid="{00000000-0004-0000-0400-0000E7000000}"/>
    <hyperlink ref="T129" r:id="rId233" xr:uid="{00000000-0004-0000-0400-0000E8000000}"/>
    <hyperlink ref="T134" r:id="rId234" xr:uid="{00000000-0004-0000-0400-0000E9000000}"/>
    <hyperlink ref="T135" r:id="rId235" xr:uid="{00000000-0004-0000-0400-0000EA000000}"/>
    <hyperlink ref="T125" r:id="rId236" xr:uid="{00000000-0004-0000-0400-0000EB000000}"/>
    <hyperlink ref="T128:T135" r:id="rId237" display="Letter to Shareholders" xr:uid="{00000000-0004-0000-0400-0000EC000000}"/>
    <hyperlink ref="T112" r:id="rId238" xr:uid="{00000000-0004-0000-0400-0000ED000000}"/>
    <hyperlink ref="T113" r:id="rId239" xr:uid="{00000000-0004-0000-0400-0000EE000000}"/>
    <hyperlink ref="T115:T123" r:id="rId240" display="Letter to Shareholders" xr:uid="{00000000-0004-0000-0400-0000EF000000}"/>
    <hyperlink ref="T127" r:id="rId241" xr:uid="{00000000-0004-0000-0400-0000F0000000}"/>
    <hyperlink ref="T130" r:id="rId242" xr:uid="{00000000-0004-0000-0400-0000F1000000}"/>
    <hyperlink ref="T131" r:id="rId243" xr:uid="{00000000-0004-0000-0400-0000F2000000}"/>
    <hyperlink ref="T132" r:id="rId244" xr:uid="{00000000-0004-0000-0400-0000F3000000}"/>
    <hyperlink ref="T133" r:id="rId245" xr:uid="{00000000-0004-0000-0400-0000F4000000}"/>
    <hyperlink ref="T127:T135" r:id="rId246" display="Letter to Shareholders" xr:uid="{00000000-0004-0000-0400-0000F5000000}"/>
    <hyperlink ref="T99" r:id="rId247" xr:uid="{00000000-0004-0000-0400-0000F6000000}"/>
    <hyperlink ref="T100" r:id="rId248" xr:uid="{00000000-0004-0000-0400-0000F7000000}"/>
    <hyperlink ref="T102:T110" r:id="rId249" display="Letter to Shareholders" xr:uid="{00000000-0004-0000-0400-0000F8000000}"/>
    <hyperlink ref="T83:T84" r:id="rId250" display="Letter to Shareholders" xr:uid="{00000000-0004-0000-0400-0000F9000000}"/>
    <hyperlink ref="T83" r:id="rId251" xr:uid="{00000000-0004-0000-0400-0000FA000000}"/>
    <hyperlink ref="T84:T85" r:id="rId252" display="Letter to Shareholders" xr:uid="{00000000-0004-0000-0400-0000FB000000}"/>
    <hyperlink ref="T87:T88" r:id="rId253" display="Letter to Shareholders" xr:uid="{00000000-0004-0000-0400-0000FC000000}"/>
    <hyperlink ref="T90:T97" r:id="rId254" display="Letter to Shareholders" xr:uid="{00000000-0004-0000-0400-0000FD000000}"/>
    <hyperlink ref="T70:T71" r:id="rId255" display="Letter to Shareholders" xr:uid="{00000000-0004-0000-0400-0000FE000000}"/>
    <hyperlink ref="T70" r:id="rId256" xr:uid="{00000000-0004-0000-0400-0000FF000000}"/>
    <hyperlink ref="T71:T73" r:id="rId257" display="Letter to Shareholders" xr:uid="{00000000-0004-0000-0400-000000010000}"/>
    <hyperlink ref="T75:T81" r:id="rId258" display="Letter to Shareholders" xr:uid="{00000000-0004-0000-0400-000001010000}"/>
    <hyperlink ref="T72" r:id="rId259" xr:uid="{00000000-0004-0000-0400-000002010000}"/>
    <hyperlink ref="T70:T73" r:id="rId260" display="Letter to Shareholders" xr:uid="{00000000-0004-0000-0400-000003010000}"/>
    <hyperlink ref="T57" r:id="rId261" xr:uid="{00000000-0004-0000-0400-000004010000}"/>
    <hyperlink ref="T58" r:id="rId262" xr:uid="{00000000-0004-0000-0400-000005010000}"/>
    <hyperlink ref="T59" r:id="rId263" xr:uid="{00000000-0004-0000-0400-000006010000}"/>
    <hyperlink ref="T60" r:id="rId264" xr:uid="{00000000-0004-0000-0400-000007010000}"/>
    <hyperlink ref="T62" r:id="rId265" xr:uid="{00000000-0004-0000-0400-000008010000}"/>
    <hyperlink ref="T63" r:id="rId266" xr:uid="{00000000-0004-0000-0400-000009010000}"/>
    <hyperlink ref="T64" r:id="rId267" xr:uid="{00000000-0004-0000-0400-00000A010000}"/>
    <hyperlink ref="T65" r:id="rId268" xr:uid="{00000000-0004-0000-0400-00000B010000}"/>
    <hyperlink ref="T66" r:id="rId269" xr:uid="{00000000-0004-0000-0400-00000C010000}"/>
    <hyperlink ref="T67" r:id="rId270" xr:uid="{00000000-0004-0000-0400-00000D010000}"/>
    <hyperlink ref="T68" r:id="rId271" xr:uid="{00000000-0004-0000-0400-00000E010000}"/>
    <hyperlink ref="T44" r:id="rId272" xr:uid="{00000000-0004-0000-0400-00000F010000}"/>
    <hyperlink ref="T45" r:id="rId273" xr:uid="{00000000-0004-0000-0400-000010010000}"/>
    <hyperlink ref="T46" r:id="rId274" xr:uid="{00000000-0004-0000-0400-000011010000}"/>
    <hyperlink ref="T47" r:id="rId275" xr:uid="{00000000-0004-0000-0400-000012010000}"/>
    <hyperlink ref="T49" r:id="rId276" xr:uid="{00000000-0004-0000-0400-000013010000}"/>
    <hyperlink ref="T50" r:id="rId277" xr:uid="{00000000-0004-0000-0400-000014010000}"/>
    <hyperlink ref="T51" r:id="rId278" xr:uid="{00000000-0004-0000-0400-000015010000}"/>
    <hyperlink ref="T52" r:id="rId279" xr:uid="{00000000-0004-0000-0400-000016010000}"/>
    <hyperlink ref="T53" r:id="rId280" xr:uid="{00000000-0004-0000-0400-000017010000}"/>
    <hyperlink ref="T54" r:id="rId281" xr:uid="{00000000-0004-0000-0400-000018010000}"/>
    <hyperlink ref="T55" r:id="rId282" xr:uid="{00000000-0004-0000-0400-000019010000}"/>
    <hyperlink ref="T49:T55" r:id="rId283" display="Letter to Shareholders" xr:uid="{00000000-0004-0000-0400-00001A010000}"/>
    <hyperlink ref="T44:T47" r:id="rId284" display="Letter to Shareholders" xr:uid="{00000000-0004-0000-0400-00001B010000}"/>
    <hyperlink ref="T31" r:id="rId285" xr:uid="{00000000-0004-0000-0400-00001C010000}"/>
    <hyperlink ref="T32:T34" r:id="rId286" display="Letter to Shareholders" xr:uid="{00000000-0004-0000-0400-00001D010000}"/>
    <hyperlink ref="T36:T42" r:id="rId287" display="Letter to Shareholders" xr:uid="{00000000-0004-0000-0400-00001E010000}"/>
    <hyperlink ref="T19" r:id="rId288" xr:uid="{00000000-0004-0000-0400-00001F010000}"/>
    <hyperlink ref="T20:T22" r:id="rId289" display="Letter to Shareholders" xr:uid="{00000000-0004-0000-0400-000020010000}"/>
    <hyperlink ref="T24:T29" r:id="rId290" display="Letter to Shareholders" xr:uid="{00000000-0004-0000-0400-000021010000}"/>
    <hyperlink ref="T19:T22" r:id="rId291" display="Letter to Shareholders" xr:uid="{00000000-0004-0000-0400-000022010000}"/>
    <hyperlink ref="T6" r:id="rId292" xr:uid="{00000000-0004-0000-0400-000023010000}"/>
    <hyperlink ref="T7" r:id="rId293" xr:uid="{00000000-0004-0000-0400-000024010000}"/>
    <hyperlink ref="T8" r:id="rId294" xr:uid="{00000000-0004-0000-0400-000025010000}"/>
    <hyperlink ref="T9" r:id="rId295" xr:uid="{00000000-0004-0000-0400-000026010000}"/>
    <hyperlink ref="T11" r:id="rId296" xr:uid="{00000000-0004-0000-0400-000027010000}"/>
    <hyperlink ref="T12" r:id="rId297" xr:uid="{00000000-0004-0000-0400-000028010000}"/>
    <hyperlink ref="T14" r:id="rId298" xr:uid="{00000000-0004-0000-0400-000029010000}"/>
    <hyperlink ref="T15" r:id="rId299" xr:uid="{00000000-0004-0000-0400-00002A010000}"/>
    <hyperlink ref="T16" r:id="rId300" xr:uid="{00000000-0004-0000-0400-00002B010000}"/>
    <hyperlink ref="T17" r:id="rId301" xr:uid="{00000000-0004-0000-0400-00002C010000}"/>
    <hyperlink ref="T13" r:id="rId302" xr:uid="{00000000-0004-0000-0400-00002D010000}"/>
  </hyperlinks>
  <pageMargins left="0.7" right="0.7" top="0.75" bottom="0.75" header="0.3" footer="0.3"/>
  <pageSetup orientation="portrait"/>
  <legacyDrawing r:id="rId3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1858F-C01A-4151-8A53-066FC37CBEEA}">
  <sheetPr codeName="Sheet1">
    <pageSetUpPr fitToPage="1"/>
  </sheetPr>
  <dimension ref="A1:CG142"/>
  <sheetViews>
    <sheetView workbookViewId="0">
      <pane xSplit="2" ySplit="2" topLeftCell="C3" activePane="bottomRight" state="frozen"/>
      <selection pane="topRight" activeCell="C1" sqref="C1"/>
      <selection pane="bottomLeft" activeCell="A3" sqref="A3"/>
      <selection pane="bottomRight"/>
    </sheetView>
  </sheetViews>
  <sheetFormatPr defaultColWidth="9.109375" defaultRowHeight="14.4" outlineLevelRow="1" outlineLevelCol="1" x14ac:dyDescent="0.3"/>
  <cols>
    <col min="1" max="1" width="41.44140625" customWidth="1"/>
    <col min="2" max="2" width="9.5546875" customWidth="1"/>
    <col min="3" max="5" width="9.5546875" hidden="1" customWidth="1" outlineLevel="1"/>
    <col min="6" max="6" width="9.5546875" customWidth="1" collapsed="1"/>
    <col min="7" max="10" width="9.5546875" hidden="1" customWidth="1" outlineLevel="1"/>
    <col min="11" max="11" width="9.5546875" customWidth="1" collapsed="1"/>
    <col min="12" max="15" width="9.5546875" hidden="1" customWidth="1" outlineLevel="1"/>
    <col min="16" max="16" width="9.5546875" customWidth="1" collapsed="1"/>
    <col min="17" max="20" width="9.5546875" hidden="1" customWidth="1" outlineLevel="1"/>
    <col min="21" max="21" width="9.5546875" customWidth="1" collapsed="1"/>
    <col min="22" max="25" width="9.5546875" hidden="1" customWidth="1" outlineLevel="1"/>
    <col min="26" max="26" width="9.5546875" customWidth="1" collapsed="1"/>
    <col min="27" max="30" width="9.5546875" hidden="1" customWidth="1" outlineLevel="1"/>
    <col min="31" max="31" width="9.5546875" customWidth="1" collapsed="1"/>
    <col min="32" max="35" width="9.5546875" hidden="1" customWidth="1" outlineLevel="1"/>
    <col min="36" max="36" width="9.5546875" customWidth="1" collapsed="1"/>
    <col min="37" max="40" width="9.5546875" hidden="1" customWidth="1" outlineLevel="1"/>
    <col min="41" max="41" width="9.5546875" customWidth="1" collapsed="1"/>
    <col min="42" max="45" width="9.5546875" hidden="1" customWidth="1" outlineLevel="1"/>
    <col min="46" max="46" width="9.5546875" customWidth="1" collapsed="1"/>
    <col min="47" max="50" width="9.5546875" hidden="1" customWidth="1" outlineLevel="1"/>
    <col min="51" max="51" width="9.5546875" collapsed="1"/>
    <col min="52" max="54" width="9.5546875" hidden="1" customWidth="1" outlineLevel="1" collapsed="1"/>
    <col min="55" max="55" width="9.5546875" hidden="1" customWidth="1" outlineLevel="1"/>
    <col min="56" max="56" width="9.5546875" customWidth="1" collapsed="1"/>
    <col min="57" max="59" width="9.5546875" hidden="1" customWidth="1" outlineLevel="1" collapsed="1"/>
    <col min="60" max="60" width="9.5546875" hidden="1" customWidth="1" outlineLevel="1"/>
    <col min="61" max="61" width="9.5546875" customWidth="1" collapsed="1"/>
    <col min="62" max="64" width="9.5546875" hidden="1" customWidth="1" outlineLevel="1" collapsed="1"/>
    <col min="65" max="65" width="9.5546875" hidden="1" customWidth="1" outlineLevel="1"/>
    <col min="66" max="66" width="9.5546875" customWidth="1" collapsed="1"/>
    <col min="67" max="69" width="9.5546875" hidden="1" customWidth="1" outlineLevel="1" collapsed="1"/>
    <col min="70" max="70" width="9.5546875" hidden="1" customWidth="1" outlineLevel="1"/>
    <col min="71" max="71" width="9.5546875" customWidth="1" collapsed="1"/>
    <col min="72" max="74" width="9.5546875" customWidth="1" outlineLevel="1" collapsed="1"/>
    <col min="75" max="75" width="9.5546875" customWidth="1" outlineLevel="1"/>
    <col min="76" max="76" width="9.5546875" customWidth="1"/>
    <col min="77" max="79" width="9.5546875" hidden="1" customWidth="1" outlineLevel="1" collapsed="1"/>
    <col min="80" max="80" width="9.5546875" hidden="1" customWidth="1" outlineLevel="1"/>
    <col min="81" max="81" width="9.5546875" customWidth="1" collapsed="1"/>
    <col min="82" max="84" width="9.5546875" customWidth="1"/>
    <col min="85" max="85" width="9.109375" customWidth="1"/>
    <col min="86" max="86" width="9.109375" style="603" customWidth="1"/>
    <col min="87" max="16384" width="9.109375" style="603"/>
  </cols>
  <sheetData>
    <row r="1" spans="1:85" customFormat="1" ht="28.8" x14ac:dyDescent="0.55000000000000004">
      <c r="A1" s="94" t="str">
        <f>MO.CompanyName</f>
      </c>
      <c r="B1" s="774"/>
      <c r="C1" s="1087">
        <f t="shared" ref="C1:AH1" si="0">INDEX(MO_Common_QEndDate,0,COLUMN())</f>
      </c>
      <c r="D1" s="1088">
        <f t="shared" si="0"/>
      </c>
      <c r="E1" s="1088">
        <f t="shared" si="0"/>
      </c>
      <c r="F1" s="1088">
        <f t="shared" si="0"/>
      </c>
      <c r="G1" s="72">
        <f t="shared" si="0"/>
      </c>
      <c r="H1" s="72">
        <f t="shared" si="0"/>
      </c>
      <c r="I1" s="72">
        <f t="shared" si="0"/>
      </c>
      <c r="J1" s="72">
        <f t="shared" si="0"/>
      </c>
      <c r="K1" s="1088">
        <f t="shared" si="0"/>
      </c>
      <c r="L1" s="72">
        <f t="shared" si="0"/>
      </c>
      <c r="M1" s="72">
        <f t="shared" si="0"/>
      </c>
      <c r="N1" s="72">
        <f t="shared" si="0"/>
      </c>
      <c r="O1" s="72">
        <f t="shared" si="0"/>
      </c>
      <c r="P1" s="1088">
        <f t="shared" si="0"/>
      </c>
      <c r="Q1" s="72">
        <f t="shared" si="0"/>
      </c>
      <c r="R1" s="72">
        <f t="shared" si="0"/>
      </c>
      <c r="S1" s="72">
        <f t="shared" si="0"/>
      </c>
      <c r="T1" s="72">
        <f t="shared" si="0"/>
      </c>
      <c r="U1" s="1088">
        <f t="shared" si="0"/>
      </c>
      <c r="V1" s="72">
        <f t="shared" si="0"/>
      </c>
      <c r="W1" s="72">
        <f t="shared" si="0"/>
      </c>
      <c r="X1" s="72">
        <f t="shared" si="0"/>
      </c>
      <c r="Y1" s="72">
        <f t="shared" si="0"/>
      </c>
      <c r="Z1" s="1088">
        <f t="shared" si="0"/>
      </c>
      <c r="AA1" s="72">
        <f t="shared" si="0"/>
      </c>
      <c r="AB1" s="72">
        <f t="shared" si="0"/>
      </c>
      <c r="AC1" s="72">
        <f t="shared" si="0"/>
      </c>
      <c r="AD1" s="72">
        <f t="shared" si="0"/>
      </c>
      <c r="AE1" s="1088">
        <f t="shared" si="0"/>
      </c>
      <c r="AF1" s="72">
        <f t="shared" si="0"/>
      </c>
      <c r="AG1" s="72">
        <f t="shared" si="0"/>
      </c>
      <c r="AH1" s="72">
        <f t="shared" si="0"/>
      </c>
      <c r="AI1" s="72">
        <f t="shared" ref="AI1:BD1" si="1">INDEX(MO_Common_QEndDate,0,COLUMN())</f>
      </c>
      <c r="AJ1" s="1088">
        <f t="shared" si="1"/>
      </c>
      <c r="AK1" s="72">
        <f t="shared" si="1"/>
      </c>
      <c r="AL1" s="72">
        <f t="shared" si="1"/>
      </c>
      <c r="AM1" s="72">
        <f t="shared" si="1"/>
      </c>
      <c r="AN1" s="72">
        <f t="shared" si="1"/>
      </c>
      <c r="AO1" s="1088">
        <f t="shared" si="1"/>
      </c>
      <c r="AP1" s="72">
        <f t="shared" si="1"/>
      </c>
      <c r="AQ1" s="72">
        <f t="shared" si="1"/>
      </c>
      <c r="AR1" s="72">
        <f t="shared" si="1"/>
      </c>
      <c r="AS1" s="72">
        <f t="shared" si="1"/>
      </c>
      <c r="AT1" s="1088">
        <f t="shared" si="1"/>
      </c>
      <c r="AU1" s="72">
        <f t="shared" si="1"/>
      </c>
      <c r="AV1" s="72">
        <f t="shared" si="1"/>
      </c>
      <c r="AW1" s="72">
        <f t="shared" si="1"/>
      </c>
      <c r="AX1" s="72">
        <f t="shared" si="1"/>
      </c>
      <c r="AY1" s="1088">
        <f t="shared" si="1"/>
      </c>
      <c r="AZ1" s="72">
        <f t="shared" si="1"/>
      </c>
      <c r="BA1" s="72">
        <f t="shared" si="1"/>
      </c>
      <c r="BB1" s="72">
        <f t="shared" si="1"/>
      </c>
      <c r="BC1" s="72">
        <f t="shared" si="1"/>
      </c>
      <c r="BD1" s="1088">
        <f t="shared" si="1"/>
      </c>
      <c r="BE1" s="72">
        <f t="shared" ref="BE1:BJ1" si="2">INDEX(MO_Common_QEndDate,0,COLUMN())</f>
      </c>
      <c r="BF1" s="72">
        <f t="shared" si="2"/>
      </c>
      <c r="BG1" s="72">
        <f t="shared" si="2"/>
      </c>
      <c r="BH1" s="72">
        <f t="shared" si="2"/>
      </c>
      <c r="BI1" s="1088">
        <f t="shared" si="2"/>
      </c>
      <c r="BJ1" s="72">
        <f t="shared" si="2"/>
      </c>
      <c r="BK1" s="72">
        <f t="shared" ref="BK1:BP1" si="3">INDEX(MO_Common_QEndDate,0,COLUMN())</f>
      </c>
      <c r="BL1" s="72">
        <f t="shared" si="3"/>
      </c>
      <c r="BM1" s="72">
        <f t="shared" si="3"/>
      </c>
      <c r="BN1" s="1088">
        <f t="shared" si="3"/>
      </c>
      <c r="BO1" s="72">
        <f t="shared" si="3"/>
      </c>
      <c r="BP1" s="72">
        <f t="shared" si="3"/>
      </c>
      <c r="BQ1" s="72">
        <f>INDEX(MO_Common_QEndDate,0,COLUMN())</f>
      </c>
      <c r="BR1" s="72">
        <f>INDEX(MO_Common_QEndDate,0,COLUMN())</f>
      </c>
      <c r="BS1" s="1088">
        <f>INDEX(MO_Common_QEndDate,0,COLUMN())</f>
      </c>
      <c r="BT1" s="734">
        <f>INDEX(MO_Common_QEndDate,0,COLUMN())</f>
      </c>
      <c r="BU1" s="72">
        <f t="shared" ref="BU1:BX1" si="4">INDEX(MO_Common_QEndDate,0,COLUMN())</f>
      </c>
      <c r="BV1" s="72">
        <f t="shared" si="4"/>
      </c>
      <c r="BW1" s="72">
        <f t="shared" si="4"/>
      </c>
      <c r="BX1" s="1088">
        <f t="shared" si="4"/>
      </c>
      <c r="BY1" s="72">
        <f t="shared" ref="BY1:CF1" si="5">INDEX(MO_Common_QEndDate,0,COLUMN())</f>
      </c>
      <c r="BZ1" s="72">
        <f t="shared" si="5"/>
      </c>
      <c r="CA1" s="72">
        <f t="shared" si="5"/>
      </c>
      <c r="CB1" s="72">
        <f t="shared" si="5"/>
      </c>
      <c r="CC1" s="1088">
        <f t="shared" si="5"/>
      </c>
      <c r="CD1" s="1088">
        <f t="shared" si="5"/>
      </c>
      <c r="CE1" s="1088">
        <f t="shared" si="5"/>
      </c>
      <c r="CF1" s="1088">
        <f t="shared" si="5"/>
      </c>
      <c r="CG1" s="96"/>
    </row>
    <row r="2" spans="1:85" customFormat="1" x14ac:dyDescent="0.3">
      <c r="A2" s="104" t="s">
        <v>311</v>
      </c>
      <c r="B2" s="105" t="str">
        <f>MO.ReportFX</f>
      </c>
      <c r="C2" s="79" t="str">
        <f t="shared" ref="C2:AH2" si="6">INDEX(MO_Common_ColumnHeader,0,COLUMN())</f>
      </c>
      <c r="D2" s="1089" t="str">
        <f t="shared" si="6"/>
      </c>
      <c r="E2" s="1089" t="str">
        <f t="shared" si="6"/>
      </c>
      <c r="F2" s="1089" t="str">
        <f t="shared" si="6"/>
      </c>
      <c r="G2" s="33" t="str">
        <f t="shared" si="6"/>
      </c>
      <c r="H2" s="33" t="str">
        <f t="shared" si="6"/>
      </c>
      <c r="I2" s="33" t="str">
        <f t="shared" si="6"/>
      </c>
      <c r="J2" s="33" t="str">
        <f t="shared" si="6"/>
      </c>
      <c r="K2" s="1089" t="str">
        <f t="shared" si="6"/>
      </c>
      <c r="L2" s="33" t="str">
        <f t="shared" si="6"/>
      </c>
      <c r="M2" s="33" t="str">
        <f t="shared" si="6"/>
      </c>
      <c r="N2" s="33" t="str">
        <f t="shared" si="6"/>
      </c>
      <c r="O2" s="33" t="str">
        <f t="shared" si="6"/>
      </c>
      <c r="P2" s="1089" t="str">
        <f t="shared" si="6"/>
      </c>
      <c r="Q2" s="33" t="str">
        <f t="shared" si="6"/>
      </c>
      <c r="R2" s="33" t="str">
        <f t="shared" si="6"/>
      </c>
      <c r="S2" s="33" t="str">
        <f t="shared" si="6"/>
      </c>
      <c r="T2" s="33" t="str">
        <f t="shared" si="6"/>
      </c>
      <c r="U2" s="1089" t="str">
        <f t="shared" si="6"/>
      </c>
      <c r="V2" s="33" t="str">
        <f t="shared" si="6"/>
      </c>
      <c r="W2" s="33" t="str">
        <f t="shared" si="6"/>
      </c>
      <c r="X2" s="33" t="str">
        <f t="shared" si="6"/>
      </c>
      <c r="Y2" s="33" t="str">
        <f t="shared" si="6"/>
      </c>
      <c r="Z2" s="1089" t="str">
        <f t="shared" si="6"/>
      </c>
      <c r="AA2" s="33" t="str">
        <f t="shared" si="6"/>
      </c>
      <c r="AB2" s="33" t="str">
        <f t="shared" si="6"/>
      </c>
      <c r="AC2" s="33" t="str">
        <f t="shared" si="6"/>
      </c>
      <c r="AD2" s="33" t="str">
        <f t="shared" si="6"/>
      </c>
      <c r="AE2" s="1089" t="str">
        <f t="shared" si="6"/>
      </c>
      <c r="AF2" s="33" t="str">
        <f t="shared" si="6"/>
      </c>
      <c r="AG2" s="33" t="str">
        <f t="shared" si="6"/>
      </c>
      <c r="AH2" s="33" t="str">
        <f t="shared" si="6"/>
      </c>
      <c r="AI2" s="33" t="str">
        <f t="shared" ref="AI2:BD2" si="7">INDEX(MO_Common_ColumnHeader,0,COLUMN())</f>
      </c>
      <c r="AJ2" s="1089" t="str">
        <f t="shared" si="7"/>
      </c>
      <c r="AK2" s="33" t="str">
        <f t="shared" si="7"/>
      </c>
      <c r="AL2" s="33" t="str">
        <f t="shared" si="7"/>
      </c>
      <c r="AM2" s="33" t="str">
        <f t="shared" si="7"/>
      </c>
      <c r="AN2" s="33" t="str">
        <f t="shared" si="7"/>
      </c>
      <c r="AO2" s="1089" t="str">
        <f t="shared" si="7"/>
      </c>
      <c r="AP2" s="33" t="str">
        <f t="shared" si="7"/>
      </c>
      <c r="AQ2" s="33" t="str">
        <f t="shared" si="7"/>
      </c>
      <c r="AR2" s="33" t="str">
        <f t="shared" si="7"/>
      </c>
      <c r="AS2" s="33" t="str">
        <f t="shared" si="7"/>
      </c>
      <c r="AT2" s="1089" t="str">
        <f t="shared" si="7"/>
      </c>
      <c r="AU2" s="33" t="str">
        <f t="shared" si="7"/>
      </c>
      <c r="AV2" s="33" t="str">
        <f t="shared" si="7"/>
      </c>
      <c r="AW2" s="33" t="str">
        <f t="shared" si="7"/>
      </c>
      <c r="AX2" s="33" t="str">
        <f t="shared" si="7"/>
      </c>
      <c r="AY2" s="1089" t="str">
        <f t="shared" si="7"/>
      </c>
      <c r="AZ2" s="33" t="str">
        <f t="shared" si="7"/>
      </c>
      <c r="BA2" s="33" t="str">
        <f t="shared" si="7"/>
      </c>
      <c r="BB2" s="33" t="str">
        <f t="shared" si="7"/>
      </c>
      <c r="BC2" s="33" t="str">
        <f t="shared" si="7"/>
      </c>
      <c r="BD2" s="1089" t="str">
        <f t="shared" si="7"/>
      </c>
      <c r="BE2" s="33" t="str">
        <f t="shared" ref="BE2:BJ2" si="8">INDEX(MO_Common_ColumnHeader,0,COLUMN())</f>
      </c>
      <c r="BF2" s="33" t="str">
        <f t="shared" si="8"/>
      </c>
      <c r="BG2" s="33" t="str">
        <f t="shared" si="8"/>
      </c>
      <c r="BH2" s="33" t="str">
        <f t="shared" si="8"/>
      </c>
      <c r="BI2" s="1089" t="str">
        <f t="shared" si="8"/>
      </c>
      <c r="BJ2" s="33" t="str">
        <f t="shared" si="8"/>
      </c>
      <c r="BK2" s="33" t="str">
        <f t="shared" ref="BK2:BP2" si="9">INDEX(MO_Common_ColumnHeader,0,COLUMN())</f>
      </c>
      <c r="BL2" s="33" t="str">
        <f t="shared" si="9"/>
      </c>
      <c r="BM2" s="33" t="str">
        <f t="shared" si="9"/>
      </c>
      <c r="BN2" s="1089" t="str">
        <f t="shared" si="9"/>
      </c>
      <c r="BO2" s="33" t="str">
        <f t="shared" si="9"/>
      </c>
      <c r="BP2" s="33" t="str">
        <f t="shared" si="9"/>
      </c>
      <c r="BQ2" s="33" t="str">
        <f>INDEX(MO_Common_ColumnHeader,0,COLUMN())</f>
      </c>
      <c r="BR2" s="33" t="str">
        <f>INDEX(MO_Common_ColumnHeader,0,COLUMN())</f>
      </c>
      <c r="BS2" s="1089" t="str">
        <f>INDEX(MO_Common_ColumnHeader,0,COLUMN())</f>
      </c>
      <c r="BT2" s="735" t="str">
        <f>INDEX(MO_Common_ColumnHeader,0,COLUMN())</f>
      </c>
      <c r="BU2" s="33" t="str">
        <f t="shared" ref="BU2:BX2" si="10">INDEX(MO_Common_ColumnHeader,0,COLUMN())</f>
      </c>
      <c r="BV2" s="33" t="str">
        <f t="shared" si="10"/>
      </c>
      <c r="BW2" s="33" t="str">
        <f t="shared" si="10"/>
      </c>
      <c r="BX2" s="1089" t="str">
        <f t="shared" si="10"/>
      </c>
      <c r="BY2" s="33" t="str">
        <f t="shared" ref="BY2:CF2" si="11">INDEX(MO_Common_ColumnHeader,0,COLUMN())</f>
      </c>
      <c r="BZ2" s="33" t="str">
        <f t="shared" si="11"/>
      </c>
      <c r="CA2" s="33" t="str">
        <f t="shared" si="11"/>
      </c>
      <c r="CB2" s="33" t="str">
        <f t="shared" si="11"/>
      </c>
      <c r="CC2" s="1089" t="str">
        <f t="shared" si="11"/>
      </c>
      <c r="CD2" s="1089" t="str">
        <f t="shared" si="11"/>
      </c>
      <c r="CE2" s="1089" t="str">
        <f t="shared" si="11"/>
      </c>
      <c r="CF2" s="1089" t="str">
        <f t="shared" si="11"/>
      </c>
      <c r="CG2" s="774"/>
    </row>
    <row r="3" spans="1:85" customFormat="1" x14ac:dyDescent="0.3">
      <c r="A3" s="50" t="s">
        <v>312</v>
      </c>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302"/>
      <c r="BU3" s="50"/>
      <c r="BV3" s="50"/>
      <c r="BW3" s="50"/>
      <c r="BX3" s="50"/>
      <c r="BY3" s="50"/>
      <c r="BZ3" s="50"/>
      <c r="CA3" s="50"/>
      <c r="CB3" s="50"/>
      <c r="CC3" s="50"/>
      <c r="CD3" s="50"/>
      <c r="CE3" s="50"/>
      <c r="CF3" s="50"/>
      <c r="CG3" s="96"/>
    </row>
    <row r="4" spans="1:85" customFormat="1" x14ac:dyDescent="0.3">
      <c r="A4" s="216" t="str">
        <f>"Stock Price - "&amp;SP.ValuationToggle</f>
      </c>
      <c r="B4" s="846" t="s">
        <v>924</v>
      </c>
      <c r="C4" s="1090">
        <f t="shared" ref="C4:AH4" si="12">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D4" s="1090">
        <f t="shared" si="12"/>
      </c>
      <c r="E4" s="1090">
        <f t="shared" si="12"/>
      </c>
      <c r="F4" s="1090">
        <f t="shared" si="12"/>
      </c>
      <c r="G4" s="217">
        <f t="shared" si="12"/>
      </c>
      <c r="H4" s="217">
        <f t="shared" si="12"/>
      </c>
      <c r="I4" s="217">
        <f t="shared" si="12"/>
      </c>
      <c r="J4" s="217">
        <f t="shared" si="12"/>
      </c>
      <c r="K4" s="1090">
        <f t="shared" si="12"/>
      </c>
      <c r="L4" s="217">
        <f t="shared" si="12"/>
      </c>
      <c r="M4" s="217">
        <f t="shared" si="12"/>
      </c>
      <c r="N4" s="217">
        <f t="shared" si="12"/>
      </c>
      <c r="O4" s="217">
        <f t="shared" si="12"/>
      </c>
      <c r="P4" s="1090">
        <f t="shared" si="12"/>
      </c>
      <c r="Q4" s="217">
        <f t="shared" si="12"/>
      </c>
      <c r="R4" s="217">
        <f t="shared" si="12"/>
      </c>
      <c r="S4" s="217">
        <f t="shared" si="12"/>
      </c>
      <c r="T4" s="217">
        <f t="shared" si="12"/>
      </c>
      <c r="U4" s="1090">
        <f t="shared" si="12"/>
      </c>
      <c r="V4" s="217">
        <f t="shared" si="12"/>
      </c>
      <c r="W4" s="217">
        <f t="shared" si="12"/>
      </c>
      <c r="X4" s="217">
        <f t="shared" si="12"/>
      </c>
      <c r="Y4" s="217">
        <f t="shared" si="12"/>
      </c>
      <c r="Z4" s="1091">
        <f t="shared" si="12"/>
      </c>
      <c r="AA4" s="217">
        <f t="shared" si="12"/>
      </c>
      <c r="AB4" s="217">
        <f t="shared" si="12"/>
      </c>
      <c r="AC4" s="217">
        <f t="shared" si="12"/>
      </c>
      <c r="AD4" s="217">
        <f t="shared" si="12"/>
      </c>
      <c r="AE4" s="1091">
        <f t="shared" si="12"/>
      </c>
      <c r="AF4" s="217">
        <f t="shared" si="12"/>
      </c>
      <c r="AG4" s="217">
        <f t="shared" si="12"/>
      </c>
      <c r="AH4" s="217">
        <f t="shared" si="12"/>
      </c>
      <c r="AI4" s="217">
        <f t="shared" ref="AI4:BD4" si="13">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AJ4" s="1091">
        <f t="shared" si="13"/>
      </c>
      <c r="AK4" s="217">
        <f t="shared" si="13"/>
      </c>
      <c r="AL4" s="217">
        <f t="shared" si="13"/>
      </c>
      <c r="AM4" s="217">
        <f t="shared" si="13"/>
      </c>
      <c r="AN4" s="217">
        <f t="shared" si="13"/>
      </c>
      <c r="AO4" s="1091">
        <f t="shared" si="13"/>
      </c>
      <c r="AP4" s="217">
        <f t="shared" si="13"/>
      </c>
      <c r="AQ4" s="217">
        <f t="shared" si="13"/>
      </c>
      <c r="AR4" s="217">
        <f t="shared" si="13"/>
      </c>
      <c r="AS4" s="217">
        <f t="shared" si="13"/>
      </c>
      <c r="AT4" s="1091">
        <f t="shared" si="13"/>
      </c>
      <c r="AU4" s="217">
        <f t="shared" si="13"/>
      </c>
      <c r="AV4" s="217">
        <f t="shared" si="13"/>
      </c>
      <c r="AW4" s="217">
        <f t="shared" si="13"/>
      </c>
      <c r="AX4" s="217">
        <f t="shared" si="13"/>
      </c>
      <c r="AY4" s="1091">
        <f t="shared" si="13"/>
      </c>
      <c r="AZ4" s="217">
        <f t="shared" si="13"/>
      </c>
      <c r="BA4" s="217">
        <f t="shared" si="13"/>
      </c>
      <c r="BB4" s="217">
        <f t="shared" si="13"/>
      </c>
      <c r="BC4" s="217">
        <f t="shared" si="13"/>
      </c>
      <c r="BD4" s="1091">
        <f t="shared" si="13"/>
      </c>
      <c r="BE4" s="217">
        <f t="shared" ref="BE4:BJ4" si="14">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F4" s="217">
        <f t="shared" si="14"/>
      </c>
      <c r="BG4" s="217">
        <f t="shared" si="14"/>
      </c>
      <c r="BH4" s="217">
        <f t="shared" si="14"/>
      </c>
      <c r="BI4" s="1091">
        <f t="shared" si="14"/>
      </c>
      <c r="BJ4" s="217">
        <f t="shared" si="14"/>
      </c>
      <c r="BK4" s="217">
        <f t="shared" ref="BK4:BP4" si="15">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L4" s="217">
        <f t="shared" si="15"/>
      </c>
      <c r="BM4" s="217">
        <f t="shared" si="15"/>
      </c>
      <c r="BN4" s="1091">
        <f t="shared" si="15"/>
      </c>
      <c r="BO4" s="217">
        <f t="shared" si="15"/>
      </c>
      <c r="BP4" s="217">
        <f t="shared" si="15"/>
      </c>
      <c r="BQ4" s="217">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R4" s="217">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S4" s="109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T4" s="73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U4" s="217">
        <f t="shared" ref="BU4:BX4" si="16">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V4" s="217">
        <f t="shared" si="16"/>
      </c>
      <c r="BW4" s="217">
        <f t="shared" si="16"/>
      </c>
      <c r="BX4" s="1091">
        <f t="shared" si="16"/>
      </c>
      <c r="BY4" s="217">
        <f t="shared" ref="BY4:CF4" si="17">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c>
      <c r="BZ4" s="217">
        <f t="shared" si="17"/>
      </c>
      <c r="CA4" s="217">
        <f t="shared" si="17"/>
      </c>
      <c r="CB4" s="217">
        <f t="shared" si="17"/>
      </c>
      <c r="CC4" s="1091">
        <f t="shared" si="17"/>
      </c>
      <c r="CD4" s="1091">
        <f t="shared" si="17"/>
      </c>
      <c r="CE4" s="1091">
        <f t="shared" si="17"/>
      </c>
      <c r="CF4" s="1091">
        <f t="shared" si="17"/>
      </c>
      <c r="CG4" s="34"/>
    </row>
    <row r="5" spans="1:85" customFormat="1" x14ac:dyDescent="0.3">
      <c r="A5" s="480" t="str">
        <f>INDEX(MO_SCA_ShareCount_EoP_Diluted,0,COLUMN())</f>
      </c>
      <c r="B5" s="486"/>
      <c r="C5" s="1092">
        <f t="shared" ref="C5:AH5" si="18">INDEX(MO_SCA_ShareCount_EoP_Diluted,0,COLUMN())</f>
      </c>
      <c r="D5" s="1092">
        <f t="shared" si="18"/>
      </c>
      <c r="E5" s="1092">
        <f t="shared" si="18"/>
      </c>
      <c r="F5" s="1092">
        <f t="shared" si="18"/>
      </c>
      <c r="G5" s="836">
        <f t="shared" si="18"/>
      </c>
      <c r="H5" s="836">
        <f t="shared" si="18"/>
      </c>
      <c r="I5" s="836">
        <f t="shared" si="18"/>
      </c>
      <c r="J5" s="836">
        <f t="shared" si="18"/>
      </c>
      <c r="K5" s="1092">
        <f t="shared" si="18"/>
      </c>
      <c r="L5" s="836">
        <f t="shared" si="18"/>
      </c>
      <c r="M5" s="836">
        <f t="shared" si="18"/>
      </c>
      <c r="N5" s="836">
        <f t="shared" si="18"/>
      </c>
      <c r="O5" s="836">
        <f t="shared" si="18"/>
      </c>
      <c r="P5" s="1092">
        <f t="shared" si="18"/>
      </c>
      <c r="Q5" s="836">
        <f t="shared" si="18"/>
      </c>
      <c r="R5" s="836">
        <f t="shared" si="18"/>
      </c>
      <c r="S5" s="836">
        <f t="shared" si="18"/>
      </c>
      <c r="T5" s="836">
        <f t="shared" si="18"/>
      </c>
      <c r="U5" s="1092">
        <f t="shared" si="18"/>
      </c>
      <c r="V5" s="836">
        <f t="shared" si="18"/>
      </c>
      <c r="W5" s="836">
        <f t="shared" si="18"/>
      </c>
      <c r="X5" s="836">
        <f t="shared" si="18"/>
      </c>
      <c r="Y5" s="836">
        <f t="shared" si="18"/>
      </c>
      <c r="Z5" s="1093">
        <f t="shared" si="18"/>
      </c>
      <c r="AA5" s="836">
        <f t="shared" si="18"/>
      </c>
      <c r="AB5" s="836">
        <f t="shared" si="18"/>
      </c>
      <c r="AC5" s="836">
        <f t="shared" si="18"/>
      </c>
      <c r="AD5" s="836">
        <f t="shared" si="18"/>
      </c>
      <c r="AE5" s="1093">
        <f t="shared" si="18"/>
      </c>
      <c r="AF5" s="836">
        <f t="shared" si="18"/>
      </c>
      <c r="AG5" s="836">
        <f t="shared" si="18"/>
      </c>
      <c r="AH5" s="836">
        <f t="shared" si="18"/>
      </c>
      <c r="AI5" s="836">
        <f t="shared" ref="AI5:BD5" si="19">INDEX(MO_SCA_ShareCount_EoP_Diluted,0,COLUMN())</f>
      </c>
      <c r="AJ5" s="1093">
        <f t="shared" si="19"/>
      </c>
      <c r="AK5" s="836">
        <f t="shared" si="19"/>
      </c>
      <c r="AL5" s="836">
        <f t="shared" si="19"/>
      </c>
      <c r="AM5" s="836">
        <f t="shared" si="19"/>
      </c>
      <c r="AN5" s="836">
        <f t="shared" si="19"/>
      </c>
      <c r="AO5" s="1093">
        <f t="shared" si="19"/>
      </c>
      <c r="AP5" s="836">
        <f t="shared" si="19"/>
      </c>
      <c r="AQ5" s="836">
        <f t="shared" si="19"/>
      </c>
      <c r="AR5" s="836">
        <f t="shared" si="19"/>
      </c>
      <c r="AS5" s="836">
        <f t="shared" si="19"/>
      </c>
      <c r="AT5" s="1093">
        <f t="shared" si="19"/>
      </c>
      <c r="AU5" s="836">
        <f t="shared" si="19"/>
      </c>
      <c r="AV5" s="836">
        <f t="shared" si="19"/>
      </c>
      <c r="AW5" s="836">
        <f t="shared" si="19"/>
      </c>
      <c r="AX5" s="836">
        <f t="shared" si="19"/>
      </c>
      <c r="AY5" s="1093">
        <f t="shared" si="19"/>
      </c>
      <c r="AZ5" s="836">
        <f t="shared" si="19"/>
      </c>
      <c r="BA5" s="836">
        <f t="shared" si="19"/>
      </c>
      <c r="BB5" s="836">
        <f t="shared" si="19"/>
      </c>
      <c r="BC5" s="836">
        <f t="shared" si="19"/>
      </c>
      <c r="BD5" s="1093">
        <f t="shared" si="19"/>
      </c>
      <c r="BE5" s="836">
        <f t="shared" ref="BE5:BJ5" si="20">INDEX(MO_SCA_ShareCount_EoP_Diluted,0,COLUMN())</f>
      </c>
      <c r="BF5" s="836">
        <f t="shared" si="20"/>
      </c>
      <c r="BG5" s="836">
        <f t="shared" si="20"/>
      </c>
      <c r="BH5" s="836">
        <f t="shared" si="20"/>
      </c>
      <c r="BI5" s="1093">
        <f t="shared" si="20"/>
      </c>
      <c r="BJ5" s="836">
        <f t="shared" si="20"/>
      </c>
      <c r="BK5" s="836">
        <f t="shared" ref="BK5:BP5" si="21">INDEX(MO_SCA_ShareCount_EoP_Diluted,0,COLUMN())</f>
      </c>
      <c r="BL5" s="836">
        <f t="shared" si="21"/>
      </c>
      <c r="BM5" s="836">
        <f t="shared" si="21"/>
      </c>
      <c r="BN5" s="1093">
        <f t="shared" si="21"/>
      </c>
      <c r="BO5" s="836">
        <f t="shared" si="21"/>
      </c>
      <c r="BP5" s="836">
        <f t="shared" si="21"/>
      </c>
      <c r="BQ5" s="836">
        <f>INDEX(MO_SCA_ShareCount_EoP_Diluted,0,COLUMN())</f>
      </c>
      <c r="BR5" s="836">
        <f>INDEX(MO_SCA_ShareCount_EoP_Diluted,0,COLUMN())</f>
      </c>
      <c r="BS5" s="1093">
        <f>INDEX(MO_SCA_ShareCount_EoP_Diluted,0,COLUMN())</f>
      </c>
      <c r="BT5" s="837">
        <f>INDEX(MO_SCA_ShareCount_EoP_Diluted,0,COLUMN())</f>
      </c>
      <c r="BU5" s="836">
        <f t="shared" ref="BU5:BX5" si="22">INDEX(MO_SCA_ShareCount_EoP_Diluted,0,COLUMN())</f>
      </c>
      <c r="BV5" s="836">
        <f t="shared" si="22"/>
      </c>
      <c r="BW5" s="836">
        <f t="shared" si="22"/>
      </c>
      <c r="BX5" s="1093">
        <f t="shared" si="22"/>
      </c>
      <c r="BY5" s="836">
        <f t="shared" ref="BY5:CF5" si="23">INDEX(MO_SCA_ShareCount_EoP_Diluted,0,COLUMN())</f>
      </c>
      <c r="BZ5" s="836">
        <f t="shared" si="23"/>
      </c>
      <c r="CA5" s="836">
        <f t="shared" si="23"/>
      </c>
      <c r="CB5" s="836">
        <f t="shared" si="23"/>
      </c>
      <c r="CC5" s="1093">
        <f t="shared" si="23"/>
      </c>
      <c r="CD5" s="1093">
        <f t="shared" si="23"/>
      </c>
      <c r="CE5" s="1093">
        <f t="shared" si="23"/>
      </c>
      <c r="CF5" s="1093">
        <f t="shared" si="23"/>
      </c>
      <c r="CG5" s="34"/>
    </row>
    <row r="6" spans="1:85" s="582" customFormat="1" x14ac:dyDescent="0.3">
      <c r="A6" s="351" t="str">
        <f>"Market Cap - "&amp;SP.ValuationToggle</f>
      </c>
      <c r="B6" s="479"/>
      <c r="C6" s="1094">
        <f t="shared" ref="C6:AH6" si="24">INDEX(SP_CS_StockPrice,0,COLUMN())*INDEX(SP_CS_ShareCount_EoP_Diluted,0,COLUMN())</f>
      </c>
      <c r="D6" s="1094">
        <f t="shared" si="24"/>
      </c>
      <c r="E6" s="1094">
        <f t="shared" si="24"/>
      </c>
      <c r="F6" s="1094">
        <f t="shared" si="24"/>
      </c>
      <c r="G6" s="197">
        <f t="shared" si="24"/>
      </c>
      <c r="H6" s="197">
        <f t="shared" si="24"/>
      </c>
      <c r="I6" s="197">
        <f t="shared" si="24"/>
      </c>
      <c r="J6" s="197">
        <f t="shared" si="24"/>
      </c>
      <c r="K6" s="1094">
        <f t="shared" si="24"/>
      </c>
      <c r="L6" s="197">
        <f t="shared" si="24"/>
      </c>
      <c r="M6" s="197">
        <f t="shared" si="24"/>
      </c>
      <c r="N6" s="197">
        <f t="shared" si="24"/>
      </c>
      <c r="O6" s="197">
        <f t="shared" si="24"/>
      </c>
      <c r="P6" s="1094">
        <f t="shared" si="24"/>
      </c>
      <c r="Q6" s="197">
        <f t="shared" si="24"/>
      </c>
      <c r="R6" s="197">
        <f t="shared" si="24"/>
      </c>
      <c r="S6" s="197">
        <f t="shared" si="24"/>
      </c>
      <c r="T6" s="197">
        <f t="shared" si="24"/>
      </c>
      <c r="U6" s="1094">
        <f t="shared" si="24"/>
      </c>
      <c r="V6" s="197">
        <f t="shared" si="24"/>
      </c>
      <c r="W6" s="197">
        <f t="shared" si="24"/>
      </c>
      <c r="X6" s="197">
        <f t="shared" si="24"/>
      </c>
      <c r="Y6" s="197">
        <f t="shared" si="24"/>
      </c>
      <c r="Z6" s="1094">
        <f t="shared" si="24"/>
      </c>
      <c r="AA6" s="197">
        <f t="shared" si="24"/>
      </c>
      <c r="AB6" s="197">
        <f t="shared" si="24"/>
      </c>
      <c r="AC6" s="197">
        <f t="shared" si="24"/>
      </c>
      <c r="AD6" s="197">
        <f t="shared" si="24"/>
      </c>
      <c r="AE6" s="1094">
        <f t="shared" si="24"/>
      </c>
      <c r="AF6" s="197">
        <f t="shared" si="24"/>
      </c>
      <c r="AG6" s="197">
        <f t="shared" si="24"/>
      </c>
      <c r="AH6" s="197">
        <f t="shared" si="24"/>
      </c>
      <c r="AI6" s="197">
        <f t="shared" ref="AI6:BD6" si="25">INDEX(SP_CS_StockPrice,0,COLUMN())*INDEX(SP_CS_ShareCount_EoP_Diluted,0,COLUMN())</f>
      </c>
      <c r="AJ6" s="1094">
        <f t="shared" si="25"/>
      </c>
      <c r="AK6" s="197">
        <f t="shared" si="25"/>
      </c>
      <c r="AL6" s="197">
        <f t="shared" si="25"/>
      </c>
      <c r="AM6" s="197">
        <f t="shared" si="25"/>
      </c>
      <c r="AN6" s="197">
        <f t="shared" si="25"/>
      </c>
      <c r="AO6" s="1094">
        <f t="shared" si="25"/>
      </c>
      <c r="AP6" s="197">
        <f t="shared" si="25"/>
      </c>
      <c r="AQ6" s="197">
        <f t="shared" si="25"/>
      </c>
      <c r="AR6" s="197">
        <f t="shared" si="25"/>
      </c>
      <c r="AS6" s="197">
        <f t="shared" si="25"/>
      </c>
      <c r="AT6" s="1094">
        <f t="shared" si="25"/>
      </c>
      <c r="AU6" s="197">
        <f t="shared" si="25"/>
      </c>
      <c r="AV6" s="197">
        <f t="shared" si="25"/>
      </c>
      <c r="AW6" s="197">
        <f t="shared" si="25"/>
      </c>
      <c r="AX6" s="197">
        <f t="shared" si="25"/>
      </c>
      <c r="AY6" s="1094">
        <f t="shared" si="25"/>
      </c>
      <c r="AZ6" s="197">
        <f t="shared" si="25"/>
      </c>
      <c r="BA6" s="197">
        <f t="shared" si="25"/>
      </c>
      <c r="BB6" s="197">
        <f t="shared" si="25"/>
      </c>
      <c r="BC6" s="197">
        <f t="shared" si="25"/>
      </c>
      <c r="BD6" s="1094">
        <f t="shared" si="25"/>
      </c>
      <c r="BE6" s="197">
        <f t="shared" ref="BE6:BJ6" si="26">INDEX(SP_CS_StockPrice,0,COLUMN())*INDEX(SP_CS_ShareCount_EoP_Diluted,0,COLUMN())</f>
      </c>
      <c r="BF6" s="197">
        <f t="shared" si="26"/>
      </c>
      <c r="BG6" s="197">
        <f t="shared" si="26"/>
      </c>
      <c r="BH6" s="197">
        <f t="shared" si="26"/>
      </c>
      <c r="BI6" s="1094">
        <f t="shared" si="26"/>
      </c>
      <c r="BJ6" s="197">
        <f t="shared" si="26"/>
      </c>
      <c r="BK6" s="197">
        <f t="shared" ref="BK6:BP6" si="27">INDEX(SP_CS_StockPrice,0,COLUMN())*INDEX(SP_CS_ShareCount_EoP_Diluted,0,COLUMN())</f>
      </c>
      <c r="BL6" s="197">
        <f t="shared" si="27"/>
      </c>
      <c r="BM6" s="197">
        <f t="shared" si="27"/>
      </c>
      <c r="BN6" s="1094">
        <f t="shared" si="27"/>
      </c>
      <c r="BO6" s="197">
        <f t="shared" si="27"/>
      </c>
      <c r="BP6" s="197">
        <f t="shared" si="27"/>
      </c>
      <c r="BQ6" s="197">
        <f>INDEX(SP_CS_StockPrice,0,COLUMN())*INDEX(SP_CS_ShareCount_EoP_Diluted,0,COLUMN())</f>
      </c>
      <c r="BR6" s="197">
        <f>INDEX(SP_CS_StockPrice,0,COLUMN())*INDEX(SP_CS_ShareCount_EoP_Diluted,0,COLUMN())</f>
      </c>
      <c r="BS6" s="1094">
        <f>INDEX(SP_CS_StockPrice,0,COLUMN())*INDEX(SP_CS_ShareCount_EoP_Diluted,0,COLUMN())</f>
      </c>
      <c r="BT6" s="727">
        <f>INDEX(SP_CS_StockPrice,0,COLUMN())*INDEX(SP_CS_ShareCount_EoP_Diluted,0,COLUMN())</f>
      </c>
      <c r="BU6" s="197">
        <f t="shared" ref="BU6:BX6" si="28">INDEX(SP_CS_StockPrice,0,COLUMN())*INDEX(SP_CS_ShareCount_EoP_Diluted,0,COLUMN())</f>
      </c>
      <c r="BV6" s="197">
        <f t="shared" si="28"/>
      </c>
      <c r="BW6" s="197">
        <f t="shared" si="28"/>
      </c>
      <c r="BX6" s="1094">
        <f t="shared" si="28"/>
      </c>
      <c r="BY6" s="197">
        <f t="shared" ref="BY6:CF6" si="29">INDEX(SP_CS_StockPrice,0,COLUMN())*INDEX(SP_CS_ShareCount_EoP_Diluted,0,COLUMN())</f>
      </c>
      <c r="BZ6" s="197">
        <f t="shared" si="29"/>
      </c>
      <c r="CA6" s="197">
        <f t="shared" si="29"/>
      </c>
      <c r="CB6" s="197">
        <f t="shared" si="29"/>
      </c>
      <c r="CC6" s="1094">
        <f t="shared" si="29"/>
      </c>
      <c r="CD6" s="1094">
        <f t="shared" si="29"/>
      </c>
      <c r="CE6" s="1094">
        <f t="shared" si="29"/>
      </c>
      <c r="CF6" s="1094">
        <f t="shared" si="29"/>
      </c>
      <c r="CG6" s="197"/>
    </row>
    <row r="7" spans="1:85" s="582" customFormat="1" x14ac:dyDescent="0.3">
      <c r="A7" s="224" t="str">
        <f>INDEX(MO_BSS_Cash,0,COLUMN())</f>
      </c>
      <c r="B7" s="193"/>
      <c r="C7" s="198">
        <f t="shared" ref="C7:AH7" si="30">INDEX(MO_BSS_Cash,0,COLUMN())</f>
      </c>
      <c r="D7" s="198">
        <f t="shared" si="30"/>
      </c>
      <c r="E7" s="198">
        <f t="shared" si="30"/>
      </c>
      <c r="F7" s="198">
        <f t="shared" si="30"/>
      </c>
      <c r="G7" s="194">
        <f t="shared" si="30"/>
      </c>
      <c r="H7" s="194">
        <f t="shared" si="30"/>
      </c>
      <c r="I7" s="194">
        <f t="shared" si="30"/>
      </c>
      <c r="J7" s="194">
        <f t="shared" si="30"/>
      </c>
      <c r="K7" s="198">
        <f t="shared" si="30"/>
      </c>
      <c r="L7" s="194">
        <f t="shared" si="30"/>
      </c>
      <c r="M7" s="194">
        <f t="shared" si="30"/>
      </c>
      <c r="N7" s="194">
        <f t="shared" si="30"/>
      </c>
      <c r="O7" s="194">
        <f t="shared" si="30"/>
      </c>
      <c r="P7" s="198">
        <f t="shared" si="30"/>
      </c>
      <c r="Q7" s="194">
        <f t="shared" si="30"/>
      </c>
      <c r="R7" s="194">
        <f t="shared" si="30"/>
      </c>
      <c r="S7" s="194">
        <f t="shared" si="30"/>
      </c>
      <c r="T7" s="194">
        <f t="shared" si="30"/>
      </c>
      <c r="U7" s="198">
        <f t="shared" si="30"/>
      </c>
      <c r="V7" s="194">
        <f t="shared" si="30"/>
      </c>
      <c r="W7" s="194">
        <f t="shared" si="30"/>
      </c>
      <c r="X7" s="194">
        <f t="shared" si="30"/>
      </c>
      <c r="Y7" s="194">
        <f t="shared" si="30"/>
      </c>
      <c r="Z7" s="198">
        <f t="shared" si="30"/>
      </c>
      <c r="AA7" s="194">
        <f t="shared" si="30"/>
      </c>
      <c r="AB7" s="194">
        <f t="shared" si="30"/>
      </c>
      <c r="AC7" s="194">
        <f t="shared" si="30"/>
      </c>
      <c r="AD7" s="194">
        <f t="shared" si="30"/>
      </c>
      <c r="AE7" s="198">
        <f t="shared" si="30"/>
      </c>
      <c r="AF7" s="194">
        <f t="shared" si="30"/>
      </c>
      <c r="AG7" s="194">
        <f t="shared" si="30"/>
      </c>
      <c r="AH7" s="194">
        <f t="shared" si="30"/>
      </c>
      <c r="AI7" s="194">
        <f t="shared" ref="AI7:BD7" si="31">INDEX(MO_BSS_Cash,0,COLUMN())</f>
      </c>
      <c r="AJ7" s="198">
        <f t="shared" si="31"/>
      </c>
      <c r="AK7" s="194">
        <f t="shared" si="31"/>
      </c>
      <c r="AL7" s="194">
        <f t="shared" si="31"/>
      </c>
      <c r="AM7" s="194">
        <f t="shared" si="31"/>
      </c>
      <c r="AN7" s="194">
        <f t="shared" si="31"/>
      </c>
      <c r="AO7" s="198">
        <f t="shared" si="31"/>
      </c>
      <c r="AP7" s="194">
        <f t="shared" si="31"/>
      </c>
      <c r="AQ7" s="194">
        <f t="shared" si="31"/>
      </c>
      <c r="AR7" s="194">
        <f t="shared" si="31"/>
      </c>
      <c r="AS7" s="194">
        <f t="shared" si="31"/>
      </c>
      <c r="AT7" s="198">
        <f t="shared" si="31"/>
      </c>
      <c r="AU7" s="194">
        <f t="shared" si="31"/>
      </c>
      <c r="AV7" s="194">
        <f t="shared" si="31"/>
      </c>
      <c r="AW7" s="194">
        <f t="shared" si="31"/>
      </c>
      <c r="AX7" s="194">
        <f t="shared" si="31"/>
      </c>
      <c r="AY7" s="198">
        <f t="shared" si="31"/>
      </c>
      <c r="AZ7" s="194">
        <f t="shared" si="31"/>
      </c>
      <c r="BA7" s="194">
        <f t="shared" si="31"/>
      </c>
      <c r="BB7" s="194">
        <f t="shared" si="31"/>
      </c>
      <c r="BC7" s="194">
        <f t="shared" si="31"/>
      </c>
      <c r="BD7" s="198">
        <f t="shared" si="31"/>
      </c>
      <c r="BE7" s="194">
        <f t="shared" ref="BE7:BJ7" si="32">INDEX(MO_BSS_Cash,0,COLUMN())</f>
      </c>
      <c r="BF7" s="194">
        <f t="shared" si="32"/>
      </c>
      <c r="BG7" s="194">
        <f t="shared" si="32"/>
      </c>
      <c r="BH7" s="194">
        <f t="shared" si="32"/>
      </c>
      <c r="BI7" s="198">
        <f t="shared" si="32"/>
      </c>
      <c r="BJ7" s="194">
        <f t="shared" si="32"/>
      </c>
      <c r="BK7" s="194">
        <f t="shared" ref="BK7:BP7" si="33">INDEX(MO_BSS_Cash,0,COLUMN())</f>
      </c>
      <c r="BL7" s="194">
        <f t="shared" si="33"/>
      </c>
      <c r="BM7" s="194">
        <f t="shared" si="33"/>
      </c>
      <c r="BN7" s="198">
        <f t="shared" si="33"/>
      </c>
      <c r="BO7" s="194">
        <f t="shared" si="33"/>
      </c>
      <c r="BP7" s="194">
        <f t="shared" si="33"/>
      </c>
      <c r="BQ7" s="194">
        <f>INDEX(MO_BSS_Cash,0,COLUMN())</f>
      </c>
      <c r="BR7" s="194">
        <f>INDEX(MO_BSS_Cash,0,COLUMN())</f>
      </c>
      <c r="BS7" s="198">
        <f>INDEX(MO_BSS_Cash,0,COLUMN())</f>
      </c>
      <c r="BT7" s="726">
        <f>INDEX(MO_BSS_Cash,0,COLUMN())</f>
      </c>
      <c r="BU7" s="194">
        <f t="shared" ref="BU7:BX7" si="34">INDEX(MO_BSS_Cash,0,COLUMN())</f>
      </c>
      <c r="BV7" s="194">
        <f t="shared" si="34"/>
      </c>
      <c r="BW7" s="194">
        <f t="shared" si="34"/>
      </c>
      <c r="BX7" s="198">
        <f t="shared" si="34"/>
      </c>
      <c r="BY7" s="194">
        <f t="shared" ref="BY7:CF7" si="35">INDEX(MO_BSS_Cash,0,COLUMN())</f>
      </c>
      <c r="BZ7" s="194">
        <f t="shared" si="35"/>
      </c>
      <c r="CA7" s="194">
        <f t="shared" si="35"/>
      </c>
      <c r="CB7" s="194">
        <f t="shared" si="35"/>
      </c>
      <c r="CC7" s="198">
        <f t="shared" si="35"/>
      </c>
      <c r="CD7" s="198">
        <f t="shared" si="35"/>
      </c>
      <c r="CE7" s="198">
        <f t="shared" si="35"/>
      </c>
      <c r="CF7" s="198">
        <f t="shared" si="35"/>
      </c>
      <c r="CG7" s="194"/>
    </row>
    <row r="8" spans="1:85" s="582" customFormat="1" x14ac:dyDescent="0.3">
      <c r="A8" s="224" t="str">
        <f>INDEX(MO_BSS_Debt,0,COLUMN())</f>
      </c>
      <c r="B8" s="193"/>
      <c r="C8" s="198">
        <f t="shared" ref="C8:AH8" si="36">INDEX(MO_BSS_Debt,0,COLUMN())</f>
      </c>
      <c r="D8" s="198">
        <f t="shared" si="36"/>
      </c>
      <c r="E8" s="198">
        <f t="shared" si="36"/>
      </c>
      <c r="F8" s="198">
        <f t="shared" si="36"/>
      </c>
      <c r="G8" s="194">
        <f t="shared" si="36"/>
      </c>
      <c r="H8" s="194">
        <f t="shared" si="36"/>
      </c>
      <c r="I8" s="194">
        <f t="shared" si="36"/>
      </c>
      <c r="J8" s="194">
        <f t="shared" si="36"/>
      </c>
      <c r="K8" s="198">
        <f t="shared" si="36"/>
      </c>
      <c r="L8" s="194">
        <f t="shared" si="36"/>
      </c>
      <c r="M8" s="194">
        <f t="shared" si="36"/>
      </c>
      <c r="N8" s="194">
        <f t="shared" si="36"/>
      </c>
      <c r="O8" s="194">
        <f t="shared" si="36"/>
      </c>
      <c r="P8" s="198">
        <f t="shared" si="36"/>
      </c>
      <c r="Q8" s="194">
        <f t="shared" si="36"/>
      </c>
      <c r="R8" s="194">
        <f t="shared" si="36"/>
      </c>
      <c r="S8" s="194">
        <f t="shared" si="36"/>
      </c>
      <c r="T8" s="194">
        <f t="shared" si="36"/>
      </c>
      <c r="U8" s="198">
        <f t="shared" si="36"/>
      </c>
      <c r="V8" s="194">
        <f t="shared" si="36"/>
      </c>
      <c r="W8" s="194">
        <f t="shared" si="36"/>
      </c>
      <c r="X8" s="194">
        <f t="shared" si="36"/>
      </c>
      <c r="Y8" s="194">
        <f t="shared" si="36"/>
      </c>
      <c r="Z8" s="198">
        <f t="shared" si="36"/>
      </c>
      <c r="AA8" s="194">
        <f t="shared" si="36"/>
      </c>
      <c r="AB8" s="194">
        <f t="shared" si="36"/>
      </c>
      <c r="AC8" s="194">
        <f t="shared" si="36"/>
      </c>
      <c r="AD8" s="194">
        <f t="shared" si="36"/>
      </c>
      <c r="AE8" s="198">
        <f t="shared" si="36"/>
      </c>
      <c r="AF8" s="194">
        <f t="shared" si="36"/>
      </c>
      <c r="AG8" s="194">
        <f t="shared" si="36"/>
      </c>
      <c r="AH8" s="194">
        <f t="shared" si="36"/>
      </c>
      <c r="AI8" s="194">
        <f t="shared" ref="AI8:BD8" si="37">INDEX(MO_BSS_Debt,0,COLUMN())</f>
      </c>
      <c r="AJ8" s="198">
        <f t="shared" si="37"/>
      </c>
      <c r="AK8" s="194">
        <f t="shared" si="37"/>
      </c>
      <c r="AL8" s="194">
        <f t="shared" si="37"/>
      </c>
      <c r="AM8" s="194">
        <f t="shared" si="37"/>
      </c>
      <c r="AN8" s="194">
        <f t="shared" si="37"/>
      </c>
      <c r="AO8" s="198">
        <f t="shared" si="37"/>
      </c>
      <c r="AP8" s="194">
        <f t="shared" si="37"/>
      </c>
      <c r="AQ8" s="194">
        <f t="shared" si="37"/>
      </c>
      <c r="AR8" s="194">
        <f t="shared" si="37"/>
      </c>
      <c r="AS8" s="194">
        <f t="shared" si="37"/>
      </c>
      <c r="AT8" s="198">
        <f t="shared" si="37"/>
      </c>
      <c r="AU8" s="194">
        <f t="shared" si="37"/>
      </c>
      <c r="AV8" s="194">
        <f t="shared" si="37"/>
      </c>
      <c r="AW8" s="194">
        <f t="shared" si="37"/>
      </c>
      <c r="AX8" s="194">
        <f t="shared" si="37"/>
      </c>
      <c r="AY8" s="198">
        <f t="shared" si="37"/>
      </c>
      <c r="AZ8" s="194">
        <f t="shared" si="37"/>
      </c>
      <c r="BA8" s="194">
        <f t="shared" si="37"/>
      </c>
      <c r="BB8" s="194">
        <f t="shared" si="37"/>
      </c>
      <c r="BC8" s="194">
        <f t="shared" si="37"/>
      </c>
      <c r="BD8" s="198">
        <f t="shared" si="37"/>
      </c>
      <c r="BE8" s="194">
        <f t="shared" ref="BE8:BJ8" si="38">INDEX(MO_BSS_Debt,0,COLUMN())</f>
      </c>
      <c r="BF8" s="194">
        <f t="shared" si="38"/>
      </c>
      <c r="BG8" s="194">
        <f t="shared" si="38"/>
      </c>
      <c r="BH8" s="194">
        <f t="shared" si="38"/>
      </c>
      <c r="BI8" s="198">
        <f t="shared" si="38"/>
      </c>
      <c r="BJ8" s="194">
        <f t="shared" si="38"/>
      </c>
      <c r="BK8" s="194">
        <f t="shared" ref="BK8:BP8" si="39">INDEX(MO_BSS_Debt,0,COLUMN())</f>
      </c>
      <c r="BL8" s="194">
        <f t="shared" si="39"/>
      </c>
      <c r="BM8" s="194">
        <f t="shared" si="39"/>
      </c>
      <c r="BN8" s="198">
        <f t="shared" si="39"/>
      </c>
      <c r="BO8" s="194">
        <f t="shared" si="39"/>
      </c>
      <c r="BP8" s="194">
        <f t="shared" si="39"/>
      </c>
      <c r="BQ8" s="194">
        <f>INDEX(MO_BSS_Debt,0,COLUMN())</f>
      </c>
      <c r="BR8" s="194">
        <f>INDEX(MO_BSS_Debt,0,COLUMN())</f>
      </c>
      <c r="BS8" s="198">
        <f>INDEX(MO_BSS_Debt,0,COLUMN())</f>
      </c>
      <c r="BT8" s="726">
        <f>INDEX(MO_BSS_Debt,0,COLUMN())</f>
      </c>
      <c r="BU8" s="194">
        <f t="shared" ref="BU8:BX8" si="40">INDEX(MO_BSS_Debt,0,COLUMN())</f>
      </c>
      <c r="BV8" s="194">
        <f t="shared" si="40"/>
      </c>
      <c r="BW8" s="194">
        <f t="shared" si="40"/>
      </c>
      <c r="BX8" s="198">
        <f t="shared" si="40"/>
      </c>
      <c r="BY8" s="194">
        <f t="shared" ref="BY8:CF8" si="41">INDEX(MO_BSS_Debt,0,COLUMN())</f>
      </c>
      <c r="BZ8" s="194">
        <f t="shared" si="41"/>
      </c>
      <c r="CA8" s="194">
        <f t="shared" si="41"/>
      </c>
      <c r="CB8" s="194">
        <f t="shared" si="41"/>
      </c>
      <c r="CC8" s="198">
        <f t="shared" si="41"/>
      </c>
      <c r="CD8" s="198">
        <f t="shared" si="41"/>
      </c>
      <c r="CE8" s="198">
        <f t="shared" si="41"/>
      </c>
      <c r="CF8" s="198">
        <f t="shared" si="41"/>
      </c>
      <c r="CG8" s="194"/>
    </row>
    <row r="9" spans="1:85" s="582" customFormat="1" x14ac:dyDescent="0.3">
      <c r="A9" s="224" t="s">
        <v>381</v>
      </c>
      <c r="B9" s="193"/>
      <c r="C9" s="198">
        <f t="shared" ref="C9:AH9" si="42">INDEX(MO_BSS_OL,0,COLUMN())</f>
      </c>
      <c r="D9" s="198">
        <f t="shared" si="42"/>
      </c>
      <c r="E9" s="198">
        <f t="shared" si="42"/>
      </c>
      <c r="F9" s="198">
        <f t="shared" si="42"/>
      </c>
      <c r="G9" s="194">
        <f t="shared" si="42"/>
      </c>
      <c r="H9" s="194">
        <f t="shared" si="42"/>
      </c>
      <c r="I9" s="194">
        <f t="shared" si="42"/>
      </c>
      <c r="J9" s="194">
        <f t="shared" si="42"/>
      </c>
      <c r="K9" s="198">
        <f t="shared" si="42"/>
      </c>
      <c r="L9" s="194">
        <f t="shared" si="42"/>
      </c>
      <c r="M9" s="194">
        <f t="shared" si="42"/>
      </c>
      <c r="N9" s="194">
        <f t="shared" si="42"/>
      </c>
      <c r="O9" s="194">
        <f t="shared" si="42"/>
      </c>
      <c r="P9" s="198">
        <f t="shared" si="42"/>
      </c>
      <c r="Q9" s="194">
        <f t="shared" si="42"/>
      </c>
      <c r="R9" s="194">
        <f t="shared" si="42"/>
      </c>
      <c r="S9" s="194">
        <f t="shared" si="42"/>
      </c>
      <c r="T9" s="194">
        <f t="shared" si="42"/>
      </c>
      <c r="U9" s="198">
        <f t="shared" si="42"/>
      </c>
      <c r="V9" s="194">
        <f t="shared" si="42"/>
      </c>
      <c r="W9" s="194">
        <f t="shared" si="42"/>
      </c>
      <c r="X9" s="194">
        <f t="shared" si="42"/>
      </c>
      <c r="Y9" s="194">
        <f t="shared" si="42"/>
      </c>
      <c r="Z9" s="198">
        <f t="shared" si="42"/>
      </c>
      <c r="AA9" s="194">
        <f t="shared" si="42"/>
      </c>
      <c r="AB9" s="194">
        <f t="shared" si="42"/>
      </c>
      <c r="AC9" s="194">
        <f t="shared" si="42"/>
      </c>
      <c r="AD9" s="194">
        <f t="shared" si="42"/>
      </c>
      <c r="AE9" s="198">
        <f t="shared" si="42"/>
      </c>
      <c r="AF9" s="194">
        <f t="shared" si="42"/>
      </c>
      <c r="AG9" s="194">
        <f t="shared" si="42"/>
      </c>
      <c r="AH9" s="194">
        <f t="shared" si="42"/>
      </c>
      <c r="AI9" s="194">
        <f t="shared" ref="AI9:BD9" si="43">INDEX(MO_BSS_OL,0,COLUMN())</f>
      </c>
      <c r="AJ9" s="198">
        <f t="shared" si="43"/>
      </c>
      <c r="AK9" s="194">
        <f t="shared" si="43"/>
      </c>
      <c r="AL9" s="194">
        <f t="shared" si="43"/>
      </c>
      <c r="AM9" s="194">
        <f t="shared" si="43"/>
      </c>
      <c r="AN9" s="194">
        <f t="shared" si="43"/>
      </c>
      <c r="AO9" s="198">
        <f t="shared" si="43"/>
      </c>
      <c r="AP9" s="194">
        <f t="shared" si="43"/>
      </c>
      <c r="AQ9" s="194">
        <f t="shared" si="43"/>
      </c>
      <c r="AR9" s="194">
        <f t="shared" si="43"/>
      </c>
      <c r="AS9" s="194">
        <f t="shared" si="43"/>
      </c>
      <c r="AT9" s="198">
        <f t="shared" si="43"/>
      </c>
      <c r="AU9" s="194">
        <f t="shared" si="43"/>
      </c>
      <c r="AV9" s="194">
        <f t="shared" si="43"/>
      </c>
      <c r="AW9" s="194">
        <f t="shared" si="43"/>
      </c>
      <c r="AX9" s="194">
        <f t="shared" si="43"/>
      </c>
      <c r="AY9" s="198">
        <f t="shared" si="43"/>
      </c>
      <c r="AZ9" s="194">
        <f t="shared" si="43"/>
      </c>
      <c r="BA9" s="194">
        <f t="shared" si="43"/>
      </c>
      <c r="BB9" s="194">
        <f t="shared" si="43"/>
      </c>
      <c r="BC9" s="194">
        <f t="shared" si="43"/>
      </c>
      <c r="BD9" s="198">
        <f t="shared" si="43"/>
      </c>
      <c r="BE9" s="194">
        <f t="shared" ref="BE9:BJ9" si="44">INDEX(MO_BSS_OL,0,COLUMN())</f>
      </c>
      <c r="BF9" s="194">
        <f t="shared" si="44"/>
      </c>
      <c r="BG9" s="194">
        <f t="shared" si="44"/>
      </c>
      <c r="BH9" s="194">
        <f t="shared" si="44"/>
      </c>
      <c r="BI9" s="198">
        <f t="shared" si="44"/>
      </c>
      <c r="BJ9" s="194">
        <f t="shared" si="44"/>
      </c>
      <c r="BK9" s="194">
        <f t="shared" ref="BK9:BP9" si="45">INDEX(MO_BSS_OL,0,COLUMN())</f>
      </c>
      <c r="BL9" s="194">
        <f t="shared" si="45"/>
      </c>
      <c r="BM9" s="194">
        <f t="shared" si="45"/>
      </c>
      <c r="BN9" s="198">
        <f t="shared" si="45"/>
      </c>
      <c r="BO9" s="194">
        <f t="shared" si="45"/>
      </c>
      <c r="BP9" s="194">
        <f t="shared" si="45"/>
      </c>
      <c r="BQ9" s="194">
        <f>INDEX(MO_BSS_OL,0,COLUMN())</f>
      </c>
      <c r="BR9" s="194">
        <f>INDEX(MO_BSS_OL,0,COLUMN())</f>
      </c>
      <c r="BS9" s="198">
        <f>INDEX(MO_BSS_OL,0,COLUMN())</f>
      </c>
      <c r="BT9" s="726">
        <f>INDEX(MO_BSS_OL,0,COLUMN())</f>
      </c>
      <c r="BU9" s="194">
        <f t="shared" ref="BU9:BX9" si="46">INDEX(MO_BSS_OL,0,COLUMN())</f>
      </c>
      <c r="BV9" s="194">
        <f t="shared" si="46"/>
      </c>
      <c r="BW9" s="194">
        <f t="shared" si="46"/>
      </c>
      <c r="BX9" s="198">
        <f t="shared" si="46"/>
      </c>
      <c r="BY9" s="194">
        <f t="shared" ref="BY9:CF9" si="47">INDEX(MO_BSS_OL,0,COLUMN())</f>
      </c>
      <c r="BZ9" s="194">
        <f t="shared" si="47"/>
      </c>
      <c r="CA9" s="194">
        <f t="shared" si="47"/>
      </c>
      <c r="CB9" s="194">
        <f t="shared" si="47"/>
      </c>
      <c r="CC9" s="198">
        <f t="shared" si="47"/>
      </c>
      <c r="CD9" s="198">
        <f t="shared" si="47"/>
      </c>
      <c r="CE9" s="198">
        <f t="shared" si="47"/>
      </c>
      <c r="CF9" s="198">
        <f t="shared" si="47"/>
      </c>
      <c r="CG9" s="194"/>
    </row>
    <row r="10" spans="1:85" s="582" customFormat="1" x14ac:dyDescent="0.3">
      <c r="A10" s="225" t="s">
        <v>124</v>
      </c>
      <c r="B10" s="226"/>
      <c r="C10" s="1095">
        <f t="shared" ref="C10:AH10" si="48">INDEX(MO_VA_EVCalc_NCI,0,COLUMN())+INDEX(MO_VA_EVCalc_Prefs,0,COLUMN())+INDEX(MO_VA_EVCalc_Other,0,COLUMN())</f>
      </c>
      <c r="D10" s="1095">
        <f t="shared" si="48"/>
      </c>
      <c r="E10" s="1095">
        <f t="shared" si="48"/>
      </c>
      <c r="F10" s="1095">
        <f t="shared" si="48"/>
      </c>
      <c r="G10" s="227">
        <f t="shared" si="48"/>
      </c>
      <c r="H10" s="227">
        <f t="shared" si="48"/>
      </c>
      <c r="I10" s="227">
        <f t="shared" si="48"/>
      </c>
      <c r="J10" s="227">
        <f t="shared" si="48"/>
      </c>
      <c r="K10" s="1095">
        <f t="shared" si="48"/>
      </c>
      <c r="L10" s="227">
        <f t="shared" si="48"/>
      </c>
      <c r="M10" s="227">
        <f t="shared" si="48"/>
      </c>
      <c r="N10" s="227">
        <f t="shared" si="48"/>
      </c>
      <c r="O10" s="227">
        <f t="shared" si="48"/>
      </c>
      <c r="P10" s="1095">
        <f t="shared" si="48"/>
      </c>
      <c r="Q10" s="227">
        <f t="shared" si="48"/>
      </c>
      <c r="R10" s="227">
        <f t="shared" si="48"/>
      </c>
      <c r="S10" s="227">
        <f t="shared" si="48"/>
      </c>
      <c r="T10" s="227">
        <f t="shared" si="48"/>
      </c>
      <c r="U10" s="1095">
        <f t="shared" si="48"/>
      </c>
      <c r="V10" s="227">
        <f t="shared" si="48"/>
      </c>
      <c r="W10" s="227">
        <f t="shared" si="48"/>
      </c>
      <c r="X10" s="227">
        <f t="shared" si="48"/>
      </c>
      <c r="Y10" s="227">
        <f t="shared" si="48"/>
      </c>
      <c r="Z10" s="1095">
        <f t="shared" si="48"/>
      </c>
      <c r="AA10" s="227">
        <f t="shared" si="48"/>
      </c>
      <c r="AB10" s="227">
        <f t="shared" si="48"/>
      </c>
      <c r="AC10" s="227">
        <f t="shared" si="48"/>
      </c>
      <c r="AD10" s="227">
        <f t="shared" si="48"/>
      </c>
      <c r="AE10" s="1095">
        <f t="shared" si="48"/>
      </c>
      <c r="AF10" s="227">
        <f t="shared" si="48"/>
      </c>
      <c r="AG10" s="227">
        <f t="shared" si="48"/>
      </c>
      <c r="AH10" s="227">
        <f t="shared" si="48"/>
      </c>
      <c r="AI10" s="227">
        <f t="shared" ref="AI10:BD10" si="49">INDEX(MO_VA_EVCalc_NCI,0,COLUMN())+INDEX(MO_VA_EVCalc_Prefs,0,COLUMN())+INDEX(MO_VA_EVCalc_Other,0,COLUMN())</f>
      </c>
      <c r="AJ10" s="1095">
        <f t="shared" si="49"/>
      </c>
      <c r="AK10" s="227">
        <f t="shared" si="49"/>
      </c>
      <c r="AL10" s="227">
        <f t="shared" si="49"/>
      </c>
      <c r="AM10" s="227">
        <f t="shared" si="49"/>
      </c>
      <c r="AN10" s="227">
        <f t="shared" si="49"/>
      </c>
      <c r="AO10" s="1095">
        <f t="shared" si="49"/>
      </c>
      <c r="AP10" s="227">
        <f t="shared" si="49"/>
      </c>
      <c r="AQ10" s="227">
        <f t="shared" si="49"/>
      </c>
      <c r="AR10" s="227">
        <f t="shared" si="49"/>
      </c>
      <c r="AS10" s="227">
        <f t="shared" si="49"/>
      </c>
      <c r="AT10" s="1095">
        <f t="shared" si="49"/>
      </c>
      <c r="AU10" s="227">
        <f t="shared" si="49"/>
      </c>
      <c r="AV10" s="227">
        <f t="shared" si="49"/>
      </c>
      <c r="AW10" s="227">
        <f t="shared" si="49"/>
      </c>
      <c r="AX10" s="227">
        <f t="shared" si="49"/>
      </c>
      <c r="AY10" s="1095">
        <f t="shared" si="49"/>
      </c>
      <c r="AZ10" s="227">
        <f t="shared" si="49"/>
      </c>
      <c r="BA10" s="227">
        <f t="shared" si="49"/>
      </c>
      <c r="BB10" s="227">
        <f t="shared" si="49"/>
      </c>
      <c r="BC10" s="227">
        <f t="shared" si="49"/>
      </c>
      <c r="BD10" s="1095">
        <f t="shared" si="49"/>
      </c>
      <c r="BE10" s="227">
        <f t="shared" ref="BE10:BJ10" si="50">INDEX(MO_VA_EVCalc_NCI,0,COLUMN())+INDEX(MO_VA_EVCalc_Prefs,0,COLUMN())+INDEX(MO_VA_EVCalc_Other,0,COLUMN())</f>
      </c>
      <c r="BF10" s="227">
        <f t="shared" si="50"/>
      </c>
      <c r="BG10" s="227">
        <f t="shared" si="50"/>
      </c>
      <c r="BH10" s="227">
        <f t="shared" si="50"/>
      </c>
      <c r="BI10" s="1095">
        <f t="shared" si="50"/>
      </c>
      <c r="BJ10" s="227">
        <f t="shared" si="50"/>
      </c>
      <c r="BK10" s="227">
        <f t="shared" ref="BK10:BP10" si="51">INDEX(MO_VA_EVCalc_NCI,0,COLUMN())+INDEX(MO_VA_EVCalc_Prefs,0,COLUMN())+INDEX(MO_VA_EVCalc_Other,0,COLUMN())</f>
      </c>
      <c r="BL10" s="227">
        <f t="shared" si="51"/>
      </c>
      <c r="BM10" s="227">
        <f t="shared" si="51"/>
      </c>
      <c r="BN10" s="1095">
        <f t="shared" si="51"/>
      </c>
      <c r="BO10" s="227">
        <f t="shared" si="51"/>
      </c>
      <c r="BP10" s="227">
        <f t="shared" si="51"/>
      </c>
      <c r="BQ10" s="227">
        <f>INDEX(MO_VA_EVCalc_NCI,0,COLUMN())+INDEX(MO_VA_EVCalc_Prefs,0,COLUMN())+INDEX(MO_VA_EVCalc_Other,0,COLUMN())</f>
      </c>
      <c r="BR10" s="227">
        <f>INDEX(MO_VA_EVCalc_NCI,0,COLUMN())+INDEX(MO_VA_EVCalc_Prefs,0,COLUMN())+INDEX(MO_VA_EVCalc_Other,0,COLUMN())</f>
      </c>
      <c r="BS10" s="1095">
        <f>INDEX(MO_VA_EVCalc_NCI,0,COLUMN())+INDEX(MO_VA_EVCalc_Prefs,0,COLUMN())+INDEX(MO_VA_EVCalc_Other,0,COLUMN())</f>
      </c>
      <c r="BT10" s="737">
        <f>INDEX(MO_VA_EVCalc_NCI,0,COLUMN())+INDEX(MO_VA_EVCalc_Prefs,0,COLUMN())+INDEX(MO_VA_EVCalc_Other,0,COLUMN())</f>
      </c>
      <c r="BU10" s="227">
        <f t="shared" ref="BU10:BX10" si="52">INDEX(MO_VA_EVCalc_NCI,0,COLUMN())+INDEX(MO_VA_EVCalc_Prefs,0,COLUMN())+INDEX(MO_VA_EVCalc_Other,0,COLUMN())</f>
      </c>
      <c r="BV10" s="227">
        <f t="shared" si="52"/>
      </c>
      <c r="BW10" s="227">
        <f t="shared" si="52"/>
      </c>
      <c r="BX10" s="1095">
        <f t="shared" si="52"/>
      </c>
      <c r="BY10" s="227">
        <f t="shared" ref="BY10:CF10" si="53">INDEX(MO_VA_EVCalc_NCI,0,COLUMN())+INDEX(MO_VA_EVCalc_Prefs,0,COLUMN())+INDEX(MO_VA_EVCalc_Other,0,COLUMN())</f>
      </c>
      <c r="BZ10" s="227">
        <f t="shared" si="53"/>
      </c>
      <c r="CA10" s="227">
        <f t="shared" si="53"/>
      </c>
      <c r="CB10" s="227">
        <f t="shared" si="53"/>
      </c>
      <c r="CC10" s="1095">
        <f t="shared" si="53"/>
      </c>
      <c r="CD10" s="1095">
        <f t="shared" si="53"/>
      </c>
      <c r="CE10" s="1095">
        <f t="shared" si="53"/>
      </c>
      <c r="CF10" s="1095">
        <f t="shared" si="53"/>
      </c>
      <c r="CG10" s="194"/>
    </row>
    <row r="11" spans="1:85" s="582" customFormat="1" x14ac:dyDescent="0.3">
      <c r="A11" s="223" t="str">
        <f>"Enterprise Value - "&amp;SP.ValuationToggle</f>
      </c>
      <c r="B11" s="195"/>
      <c r="C11" s="1096">
        <f t="shared" ref="C11:AH11" si="54">INDEX(SP_CS_MarketCap,0,COLUMN())-INDEX(SP_CS_Cash,0,COLUMN())+INDEX(SP_CS_Debt,0,COLUMN())+INDEX(SP_CS_OL,0,COLUMN())+INDEX(SP_CS_EVCalc_Other,0,COLUMN())</f>
      </c>
      <c r="D11" s="1096">
        <f t="shared" si="54"/>
      </c>
      <c r="E11" s="1096">
        <f t="shared" si="54"/>
      </c>
      <c r="F11" s="1096">
        <f t="shared" si="54"/>
      </c>
      <c r="G11" s="196">
        <f t="shared" si="54"/>
      </c>
      <c r="H11" s="196">
        <f t="shared" si="54"/>
      </c>
      <c r="I11" s="196">
        <f t="shared" si="54"/>
      </c>
      <c r="J11" s="196">
        <f t="shared" si="54"/>
      </c>
      <c r="K11" s="1096">
        <f t="shared" si="54"/>
      </c>
      <c r="L11" s="196">
        <f t="shared" si="54"/>
      </c>
      <c r="M11" s="196">
        <f t="shared" si="54"/>
      </c>
      <c r="N11" s="196">
        <f t="shared" si="54"/>
      </c>
      <c r="O11" s="196">
        <f t="shared" si="54"/>
      </c>
      <c r="P11" s="1096">
        <f t="shared" si="54"/>
      </c>
      <c r="Q11" s="196">
        <f t="shared" si="54"/>
      </c>
      <c r="R11" s="196">
        <f t="shared" si="54"/>
      </c>
      <c r="S11" s="196">
        <f t="shared" si="54"/>
      </c>
      <c r="T11" s="196">
        <f t="shared" si="54"/>
      </c>
      <c r="U11" s="1096">
        <f t="shared" si="54"/>
      </c>
      <c r="V11" s="196">
        <f t="shared" si="54"/>
      </c>
      <c r="W11" s="196">
        <f t="shared" si="54"/>
      </c>
      <c r="X11" s="196">
        <f t="shared" si="54"/>
      </c>
      <c r="Y11" s="196">
        <f t="shared" si="54"/>
      </c>
      <c r="Z11" s="1096">
        <f t="shared" si="54"/>
      </c>
      <c r="AA11" s="196">
        <f t="shared" si="54"/>
      </c>
      <c r="AB11" s="196">
        <f t="shared" si="54"/>
      </c>
      <c r="AC11" s="196">
        <f t="shared" si="54"/>
      </c>
      <c r="AD11" s="196">
        <f t="shared" si="54"/>
      </c>
      <c r="AE11" s="1096">
        <f t="shared" si="54"/>
      </c>
      <c r="AF11" s="196">
        <f t="shared" si="54"/>
      </c>
      <c r="AG11" s="196">
        <f t="shared" si="54"/>
      </c>
      <c r="AH11" s="196">
        <f t="shared" si="54"/>
      </c>
      <c r="AI11" s="196">
        <f t="shared" ref="AI11:BD11" si="55">INDEX(SP_CS_MarketCap,0,COLUMN())-INDEX(SP_CS_Cash,0,COLUMN())+INDEX(SP_CS_Debt,0,COLUMN())+INDEX(SP_CS_OL,0,COLUMN())+INDEX(SP_CS_EVCalc_Other,0,COLUMN())</f>
      </c>
      <c r="AJ11" s="1096">
        <f t="shared" si="55"/>
      </c>
      <c r="AK11" s="196">
        <f t="shared" si="55"/>
      </c>
      <c r="AL11" s="196">
        <f t="shared" si="55"/>
      </c>
      <c r="AM11" s="196">
        <f t="shared" si="55"/>
      </c>
      <c r="AN11" s="196">
        <f t="shared" si="55"/>
      </c>
      <c r="AO11" s="1096">
        <f t="shared" si="55"/>
      </c>
      <c r="AP11" s="196">
        <f t="shared" si="55"/>
      </c>
      <c r="AQ11" s="196">
        <f t="shared" si="55"/>
      </c>
      <c r="AR11" s="196">
        <f t="shared" si="55"/>
      </c>
      <c r="AS11" s="196">
        <f t="shared" si="55"/>
      </c>
      <c r="AT11" s="1096">
        <f t="shared" si="55"/>
      </c>
      <c r="AU11" s="196">
        <f t="shared" si="55"/>
      </c>
      <c r="AV11" s="196">
        <f t="shared" si="55"/>
      </c>
      <c r="AW11" s="196">
        <f t="shared" si="55"/>
      </c>
      <c r="AX11" s="196">
        <f t="shared" si="55"/>
      </c>
      <c r="AY11" s="1096">
        <f t="shared" si="55"/>
      </c>
      <c r="AZ11" s="196">
        <f t="shared" si="55"/>
      </c>
      <c r="BA11" s="196">
        <f t="shared" si="55"/>
      </c>
      <c r="BB11" s="196">
        <f t="shared" si="55"/>
      </c>
      <c r="BC11" s="196">
        <f t="shared" si="55"/>
      </c>
      <c r="BD11" s="1096">
        <f t="shared" si="55"/>
      </c>
      <c r="BE11" s="196">
        <f t="shared" ref="BE11:BJ11" si="56">INDEX(SP_CS_MarketCap,0,COLUMN())-INDEX(SP_CS_Cash,0,COLUMN())+INDEX(SP_CS_Debt,0,COLUMN())+INDEX(SP_CS_OL,0,COLUMN())+INDEX(SP_CS_EVCalc_Other,0,COLUMN())</f>
      </c>
      <c r="BF11" s="196">
        <f t="shared" si="56"/>
      </c>
      <c r="BG11" s="196">
        <f t="shared" si="56"/>
      </c>
      <c r="BH11" s="196">
        <f t="shared" si="56"/>
      </c>
      <c r="BI11" s="1096">
        <f t="shared" si="56"/>
      </c>
      <c r="BJ11" s="196">
        <f t="shared" si="56"/>
      </c>
      <c r="BK11" s="196">
        <f t="shared" ref="BK11:BP11" si="57">INDEX(SP_CS_MarketCap,0,COLUMN())-INDEX(SP_CS_Cash,0,COLUMN())+INDEX(SP_CS_Debt,0,COLUMN())+INDEX(SP_CS_OL,0,COLUMN())+INDEX(SP_CS_EVCalc_Other,0,COLUMN())</f>
      </c>
      <c r="BL11" s="196">
        <f t="shared" si="57"/>
      </c>
      <c r="BM11" s="196">
        <f t="shared" si="57"/>
      </c>
      <c r="BN11" s="1096">
        <f t="shared" si="57"/>
      </c>
      <c r="BO11" s="196">
        <f t="shared" si="57"/>
      </c>
      <c r="BP11" s="196">
        <f t="shared" si="57"/>
      </c>
      <c r="BQ11" s="196">
        <f>INDEX(SP_CS_MarketCap,0,COLUMN())-INDEX(SP_CS_Cash,0,COLUMN())+INDEX(SP_CS_Debt,0,COLUMN())+INDEX(SP_CS_OL,0,COLUMN())+INDEX(SP_CS_EVCalc_Other,0,COLUMN())</f>
      </c>
      <c r="BR11" s="196">
        <f>INDEX(SP_CS_MarketCap,0,COLUMN())-INDEX(SP_CS_Cash,0,COLUMN())+INDEX(SP_CS_Debt,0,COLUMN())+INDEX(SP_CS_OL,0,COLUMN())+INDEX(SP_CS_EVCalc_Other,0,COLUMN())</f>
      </c>
      <c r="BS11" s="1096">
        <f>INDEX(SP_CS_MarketCap,0,COLUMN())-INDEX(SP_CS_Cash,0,COLUMN())+INDEX(SP_CS_Debt,0,COLUMN())+INDEX(SP_CS_OL,0,COLUMN())+INDEX(SP_CS_EVCalc_Other,0,COLUMN())</f>
      </c>
      <c r="BT11" s="738">
        <f>INDEX(SP_CS_MarketCap,0,COLUMN())-INDEX(SP_CS_Cash,0,COLUMN())+INDEX(SP_CS_Debt,0,COLUMN())+INDEX(SP_CS_OL,0,COLUMN())+INDEX(SP_CS_EVCalc_Other,0,COLUMN())</f>
      </c>
      <c r="BU11" s="196">
        <f t="shared" ref="BU11:BX11" si="58">INDEX(SP_CS_MarketCap,0,COLUMN())-INDEX(SP_CS_Cash,0,COLUMN())+INDEX(SP_CS_Debt,0,COLUMN())+INDEX(SP_CS_OL,0,COLUMN())+INDEX(SP_CS_EVCalc_Other,0,COLUMN())</f>
      </c>
      <c r="BV11" s="196">
        <f t="shared" si="58"/>
      </c>
      <c r="BW11" s="196">
        <f t="shared" si="58"/>
      </c>
      <c r="BX11" s="1096">
        <f t="shared" si="58"/>
      </c>
      <c r="BY11" s="196">
        <f t="shared" ref="BY11:CF11" si="59">INDEX(SP_CS_MarketCap,0,COLUMN())-INDEX(SP_CS_Cash,0,COLUMN())+INDEX(SP_CS_Debt,0,COLUMN())+INDEX(SP_CS_OL,0,COLUMN())+INDEX(SP_CS_EVCalc_Other,0,COLUMN())</f>
      </c>
      <c r="BZ11" s="196">
        <f t="shared" si="59"/>
      </c>
      <c r="CA11" s="196">
        <f t="shared" si="59"/>
      </c>
      <c r="CB11" s="196">
        <f t="shared" si="59"/>
      </c>
      <c r="CC11" s="1096">
        <f t="shared" si="59"/>
      </c>
      <c r="CD11" s="1096">
        <f t="shared" si="59"/>
      </c>
      <c r="CE11" s="1096">
        <f t="shared" si="59"/>
      </c>
      <c r="CF11" s="1096">
        <f t="shared" si="59"/>
      </c>
      <c r="CG11" s="197"/>
    </row>
    <row r="12" spans="1:85" customFormat="1" x14ac:dyDescent="0.3">
      <c r="A12" s="106"/>
      <c r="B12" s="111"/>
      <c r="C12" s="1097"/>
      <c r="D12" s="1097"/>
      <c r="E12" s="1097"/>
      <c r="F12" s="1097"/>
      <c r="G12" s="772"/>
      <c r="H12" s="772"/>
      <c r="I12" s="772"/>
      <c r="J12" s="772"/>
      <c r="K12" s="1097"/>
      <c r="L12" s="772"/>
      <c r="M12" s="772"/>
      <c r="N12" s="772"/>
      <c r="O12" s="772"/>
      <c r="P12" s="1097"/>
      <c r="Q12" s="772"/>
      <c r="R12" s="772"/>
      <c r="S12" s="772"/>
      <c r="T12" s="772"/>
      <c r="U12" s="1097"/>
      <c r="V12" s="772"/>
      <c r="W12" s="772"/>
      <c r="X12" s="772"/>
      <c r="Y12" s="772"/>
      <c r="Z12" s="1097"/>
      <c r="AA12" s="772"/>
      <c r="AB12" s="772"/>
      <c r="AC12" s="772"/>
      <c r="AD12" s="772"/>
      <c r="AE12" s="1097"/>
      <c r="AF12" s="772"/>
      <c r="AG12" s="772"/>
      <c r="AH12" s="772"/>
      <c r="AI12" s="772"/>
      <c r="AJ12" s="1097"/>
      <c r="AK12" s="772"/>
      <c r="AL12" s="772"/>
      <c r="AM12" s="772"/>
      <c r="AN12" s="772"/>
      <c r="AO12" s="1097"/>
      <c r="AP12" s="772"/>
      <c r="AQ12" s="772"/>
      <c r="AR12" s="772"/>
      <c r="AS12" s="772"/>
      <c r="AT12" s="1097"/>
      <c r="AU12" s="772"/>
      <c r="AV12" s="772"/>
      <c r="AW12" s="772"/>
      <c r="AX12" s="772"/>
      <c r="AY12" s="1097"/>
      <c r="AZ12" s="772"/>
      <c r="BA12" s="772"/>
      <c r="BB12" s="772"/>
      <c r="BC12" s="772"/>
      <c r="BD12" s="1097"/>
      <c r="BE12" s="772"/>
      <c r="BF12" s="772"/>
      <c r="BG12" s="772"/>
      <c r="BH12" s="772"/>
      <c r="BI12" s="1097"/>
      <c r="BJ12" s="772"/>
      <c r="BK12" s="772"/>
      <c r="BL12" s="772"/>
      <c r="BM12" s="772"/>
      <c r="BN12" s="1097"/>
      <c r="BO12" s="772"/>
      <c r="BP12" s="772"/>
      <c r="BQ12" s="772"/>
      <c r="BR12" s="772"/>
      <c r="BS12" s="1097"/>
      <c r="BT12" s="838"/>
      <c r="BU12" s="772"/>
      <c r="BV12" s="772"/>
      <c r="BW12" s="772"/>
      <c r="BX12" s="1097"/>
      <c r="BY12" s="772"/>
      <c r="BZ12" s="772"/>
      <c r="CA12" s="772"/>
      <c r="CB12" s="772"/>
      <c r="CC12" s="1097"/>
      <c r="CD12" s="1097"/>
      <c r="CE12" s="1097"/>
      <c r="CF12" s="1097"/>
      <c r="CG12" s="772"/>
    </row>
    <row r="13" spans="1:85" customFormat="1" x14ac:dyDescent="0.3">
      <c r="A13" s="50" t="s">
        <v>313</v>
      </c>
      <c r="B13" s="773"/>
      <c r="C13" s="773"/>
      <c r="D13" s="773"/>
      <c r="E13" s="773"/>
      <c r="F13" s="773"/>
      <c r="G13" s="773"/>
      <c r="H13" s="773"/>
      <c r="I13" s="773"/>
      <c r="J13" s="773"/>
      <c r="K13" s="773"/>
      <c r="L13" s="773"/>
      <c r="M13" s="773"/>
      <c r="N13" s="773"/>
      <c r="O13" s="773"/>
      <c r="P13" s="773"/>
      <c r="Q13" s="773"/>
      <c r="R13" s="773"/>
      <c r="S13" s="773"/>
      <c r="T13" s="773"/>
      <c r="U13" s="773"/>
      <c r="V13" s="773"/>
      <c r="W13" s="773"/>
      <c r="X13" s="773"/>
      <c r="Y13" s="773"/>
      <c r="Z13" s="773"/>
      <c r="AA13" s="773"/>
      <c r="AB13" s="773"/>
      <c r="AC13" s="773"/>
      <c r="AD13" s="773"/>
      <c r="AE13" s="773"/>
      <c r="AF13" s="773"/>
      <c r="AG13" s="773"/>
      <c r="AH13" s="773"/>
      <c r="AI13" s="773"/>
      <c r="AJ13" s="773"/>
      <c r="AK13" s="773"/>
      <c r="AL13" s="773"/>
      <c r="AM13" s="773"/>
      <c r="AN13" s="773"/>
      <c r="AO13" s="773"/>
      <c r="AP13" s="773"/>
      <c r="AQ13" s="773"/>
      <c r="AR13" s="773"/>
      <c r="AS13" s="773"/>
      <c r="AT13" s="773"/>
      <c r="AU13" s="773"/>
      <c r="AV13" s="773"/>
      <c r="AW13" s="773"/>
      <c r="AX13" s="773"/>
      <c r="AY13" s="773"/>
      <c r="AZ13" s="773"/>
      <c r="BA13" s="773"/>
      <c r="BB13" s="773"/>
      <c r="BC13" s="773"/>
      <c r="BD13" s="773"/>
      <c r="BE13" s="773"/>
      <c r="BF13" s="773"/>
      <c r="BG13" s="773"/>
      <c r="BH13" s="773"/>
      <c r="BI13" s="773"/>
      <c r="BJ13" s="773"/>
      <c r="BK13" s="773"/>
      <c r="BL13" s="773"/>
      <c r="BM13" s="773"/>
      <c r="BN13" s="773"/>
      <c r="BO13" s="773"/>
      <c r="BP13" s="773"/>
      <c r="BQ13" s="773"/>
      <c r="BR13" s="773"/>
      <c r="BS13" s="773"/>
      <c r="BT13" s="839"/>
      <c r="BU13" s="773"/>
      <c r="BV13" s="773"/>
      <c r="BW13" s="773"/>
      <c r="BX13" s="773"/>
      <c r="BY13" s="773"/>
      <c r="BZ13" s="773"/>
      <c r="CA13" s="773"/>
      <c r="CB13" s="773"/>
      <c r="CC13" s="773"/>
      <c r="CD13" s="773"/>
      <c r="CE13" s="773"/>
      <c r="CF13" s="773"/>
      <c r="CG13" s="96"/>
    </row>
    <row r="14" spans="1:85" s="590" customFormat="1" x14ac:dyDescent="0.3">
      <c r="A14" s="377" t="str">
        <f>Model!A75</f>
      </c>
      <c r="B14" s="375"/>
      <c r="C14" s="83">
        <f>Model!C75</f>
      </c>
      <c r="D14" s="83">
        <f>Model!D75</f>
      </c>
      <c r="E14" s="83">
        <f>Model!E75</f>
      </c>
      <c r="F14" s="83">
        <f>Model!F75</f>
      </c>
      <c r="G14" s="86">
        <f>Model!G75</f>
      </c>
      <c r="H14" s="86">
        <f>Model!H75</f>
      </c>
      <c r="I14" s="86">
        <f>Model!I75</f>
      </c>
      <c r="J14" s="86">
        <f>Model!J75</f>
      </c>
      <c r="K14" s="83">
        <f>Model!K75</f>
      </c>
      <c r="L14" s="86">
        <f>Model!L75</f>
      </c>
      <c r="M14" s="86">
        <f>Model!M75</f>
      </c>
      <c r="N14" s="86">
        <f>Model!N75</f>
      </c>
      <c r="O14" s="86">
        <f>Model!O75</f>
      </c>
      <c r="P14" s="83">
        <f>Model!P75</f>
      </c>
      <c r="Q14" s="86">
        <f>Model!Q75</f>
      </c>
      <c r="R14" s="86">
        <f>Model!R75</f>
      </c>
      <c r="S14" s="86">
        <f>Model!S75</f>
      </c>
      <c r="T14" s="86">
        <f>Model!T75</f>
      </c>
      <c r="U14" s="83">
        <f>Model!U75</f>
      </c>
      <c r="V14" s="86">
        <f>Model!V75</f>
      </c>
      <c r="W14" s="86">
        <f>Model!W75</f>
      </c>
      <c r="X14" s="86">
        <f>Model!X75</f>
      </c>
      <c r="Y14" s="86">
        <f>Model!Y75</f>
      </c>
      <c r="Z14" s="83">
        <f>Model!Z75</f>
      </c>
      <c r="AA14" s="86">
        <f>Model!AA75</f>
      </c>
      <c r="AB14" s="86">
        <f>Model!AB75</f>
      </c>
      <c r="AC14" s="86">
        <f>Model!AC75</f>
      </c>
      <c r="AD14" s="86">
        <f>Model!AD75</f>
      </c>
      <c r="AE14" s="83">
        <f>Model!AE75</f>
      </c>
      <c r="AF14" s="86">
        <f>Model!AF75</f>
      </c>
      <c r="AG14" s="86">
        <f>Model!AG75</f>
      </c>
      <c r="AH14" s="86">
        <f>Model!AH75</f>
      </c>
      <c r="AI14" s="86">
        <f>Model!AI75</f>
      </c>
      <c r="AJ14" s="83">
        <f>Model!AJ75</f>
      </c>
      <c r="AK14" s="86">
        <f>Model!AK75</f>
      </c>
      <c r="AL14" s="86">
        <f>Model!AL75</f>
      </c>
      <c r="AM14" s="86">
        <f>Model!AM75</f>
      </c>
      <c r="AN14" s="86">
        <f>Model!AN75</f>
      </c>
      <c r="AO14" s="83">
        <f>Model!AO75</f>
      </c>
      <c r="AP14" s="86">
        <f>Model!AP75</f>
      </c>
      <c r="AQ14" s="86">
        <f>Model!AQ75</f>
      </c>
      <c r="AR14" s="86">
        <f>Model!AR75</f>
      </c>
      <c r="AS14" s="86">
        <f>Model!AS75</f>
      </c>
      <c r="AT14" s="83">
        <f>Model!AT75</f>
      </c>
      <c r="AU14" s="86">
        <f>Model!AU75</f>
      </c>
      <c r="AV14" s="86">
        <f>Model!AV75</f>
      </c>
      <c r="AW14" s="86">
        <f>Model!AW75</f>
      </c>
      <c r="AX14" s="86">
        <f>Model!AX75</f>
      </c>
      <c r="AY14" s="83">
        <f>Model!AY75</f>
      </c>
      <c r="AZ14" s="86">
        <f>Model!AZ75</f>
      </c>
      <c r="BA14" s="86">
        <f>Model!BA75</f>
      </c>
      <c r="BB14" s="86">
        <f>Model!BB75</f>
      </c>
      <c r="BC14" s="86">
        <f>Model!BC75</f>
      </c>
      <c r="BD14" s="83">
        <f>Model!BD75</f>
      </c>
      <c r="BE14" s="86">
        <f>Model!BE75</f>
      </c>
      <c r="BF14" s="86">
        <f>Model!BF75</f>
      </c>
      <c r="BG14" s="86">
        <f>Model!BG75</f>
      </c>
      <c r="BH14" s="86">
        <f>Model!BH75</f>
      </c>
      <c r="BI14" s="83">
        <f>Model!BI75</f>
      </c>
      <c r="BJ14" s="86">
        <f>Model!BJ75</f>
      </c>
      <c r="BK14" s="86">
        <f>Model!BK75</f>
      </c>
      <c r="BL14" s="86">
        <f>Model!BL75</f>
      </c>
      <c r="BM14" s="86">
        <f>Model!BM75</f>
      </c>
      <c r="BN14" s="83">
        <f>Model!BN75</f>
      </c>
      <c r="BO14" s="86">
        <f>Model!BO75</f>
      </c>
      <c r="BP14" s="86">
        <f>Model!BP75</f>
      </c>
      <c r="BQ14" s="86">
        <f>Model!BQ75</f>
      </c>
      <c r="BR14" s="86">
        <f>Model!BR75</f>
      </c>
      <c r="BS14" s="83">
        <f>Model!BS75</f>
      </c>
      <c r="BT14" s="725">
        <f>Model!BT75</f>
      </c>
      <c r="BU14" s="86">
        <f>Model!BU75</f>
      </c>
      <c r="BV14" s="86">
        <f>Model!BV75</f>
      </c>
      <c r="BW14" s="86">
        <f>Model!BW75</f>
      </c>
      <c r="BX14" s="83">
        <f>Model!BX75</f>
      </c>
      <c r="BY14" s="86">
        <f>Model!BY75</f>
      </c>
      <c r="BZ14" s="86">
        <f>Model!BZ75</f>
      </c>
      <c r="CA14" s="86">
        <f>Model!CA75</f>
      </c>
      <c r="CB14" s="86">
        <f>Model!CB75</f>
      </c>
      <c r="CC14" s="83">
        <f>Model!CC75</f>
      </c>
      <c r="CD14" s="83">
        <f>Model!CD75</f>
      </c>
      <c r="CE14" s="83">
        <f>Model!CE75</f>
      </c>
      <c r="CF14" s="83">
        <f>Model!CF75</f>
      </c>
      <c r="CG14" s="86"/>
    </row>
    <row r="15" spans="1:85" s="590" customFormat="1" x14ac:dyDescent="0.3">
      <c r="A15" s="377" t="str">
        <f>Model!A95</f>
      </c>
      <c r="B15" s="375"/>
      <c r="C15" s="83">
        <f>Model!C95</f>
      </c>
      <c r="D15" s="83">
        <f>Model!D95</f>
      </c>
      <c r="E15" s="83">
        <f>Model!E95</f>
      </c>
      <c r="F15" s="83">
        <f>Model!F95</f>
      </c>
      <c r="G15" s="86">
        <f>Model!G95</f>
      </c>
      <c r="H15" s="86">
        <f>Model!H95</f>
      </c>
      <c r="I15" s="86">
        <f>Model!I95</f>
      </c>
      <c r="J15" s="86">
        <f>Model!J95</f>
      </c>
      <c r="K15" s="83">
        <f>Model!K95</f>
      </c>
      <c r="L15" s="86">
        <f>Model!L95</f>
      </c>
      <c r="M15" s="86">
        <f>Model!M95</f>
      </c>
      <c r="N15" s="86">
        <f>Model!N95</f>
      </c>
      <c r="O15" s="86">
        <f>Model!O95</f>
      </c>
      <c r="P15" s="83">
        <f>Model!P95</f>
      </c>
      <c r="Q15" s="86">
        <f>Model!Q95</f>
      </c>
      <c r="R15" s="86">
        <f>Model!R95</f>
      </c>
      <c r="S15" s="86">
        <f>Model!S95</f>
      </c>
      <c r="T15" s="86">
        <f>Model!T95</f>
      </c>
      <c r="U15" s="83">
        <f>Model!U95</f>
      </c>
      <c r="V15" s="86">
        <f>Model!V95</f>
      </c>
      <c r="W15" s="86">
        <f>Model!W95</f>
      </c>
      <c r="X15" s="86">
        <f>Model!X95</f>
      </c>
      <c r="Y15" s="86">
        <f>Model!Y95</f>
      </c>
      <c r="Z15" s="83">
        <f>Model!Z95</f>
      </c>
      <c r="AA15" s="86">
        <f>Model!AA95</f>
      </c>
      <c r="AB15" s="86">
        <f>Model!AB95</f>
      </c>
      <c r="AC15" s="86">
        <f>Model!AC95</f>
      </c>
      <c r="AD15" s="86">
        <f>Model!AD95</f>
      </c>
      <c r="AE15" s="83">
        <f>Model!AE95</f>
      </c>
      <c r="AF15" s="86">
        <f>Model!AF95</f>
      </c>
      <c r="AG15" s="86">
        <f>Model!AG95</f>
      </c>
      <c r="AH15" s="86">
        <f>Model!AH95</f>
      </c>
      <c r="AI15" s="86">
        <f>Model!AI95</f>
      </c>
      <c r="AJ15" s="83">
        <f>Model!AJ95</f>
      </c>
      <c r="AK15" s="86">
        <f>Model!AK95</f>
      </c>
      <c r="AL15" s="86">
        <f>Model!AL95</f>
      </c>
      <c r="AM15" s="86">
        <f>Model!AM95</f>
      </c>
      <c r="AN15" s="86">
        <f>Model!AN95</f>
      </c>
      <c r="AO15" s="83">
        <f>Model!AO95</f>
      </c>
      <c r="AP15" s="86">
        <f>Model!AP95</f>
      </c>
      <c r="AQ15" s="86">
        <f>Model!AQ95</f>
      </c>
      <c r="AR15" s="86">
        <f>Model!AR95</f>
      </c>
      <c r="AS15" s="86">
        <f>Model!AS95</f>
      </c>
      <c r="AT15" s="83">
        <f>Model!AT95</f>
      </c>
      <c r="AU15" s="86">
        <f>Model!AU95</f>
      </c>
      <c r="AV15" s="86">
        <f>Model!AV95</f>
      </c>
      <c r="AW15" s="86">
        <f>Model!AW95</f>
      </c>
      <c r="AX15" s="86">
        <f>Model!AX95</f>
      </c>
      <c r="AY15" s="83">
        <f>Model!AY95</f>
      </c>
      <c r="AZ15" s="86">
        <f>Model!AZ95</f>
      </c>
      <c r="BA15" s="86">
        <f>Model!BA95</f>
      </c>
      <c r="BB15" s="86">
        <f>Model!BB95</f>
      </c>
      <c r="BC15" s="86">
        <f>Model!BC95</f>
      </c>
      <c r="BD15" s="83">
        <f>Model!BD95</f>
      </c>
      <c r="BE15" s="86">
        <f>Model!BE95</f>
      </c>
      <c r="BF15" s="86">
        <f>Model!BF95</f>
      </c>
      <c r="BG15" s="86">
        <f>Model!BG95</f>
      </c>
      <c r="BH15" s="86">
        <f>Model!BH95</f>
      </c>
      <c r="BI15" s="83">
        <f>Model!BI95</f>
      </c>
      <c r="BJ15" s="86">
        <f>Model!BJ95</f>
      </c>
      <c r="BK15" s="86">
        <f>Model!BK95</f>
      </c>
      <c r="BL15" s="86">
        <f>Model!BL95</f>
      </c>
      <c r="BM15" s="86">
        <f>Model!BM95</f>
      </c>
      <c r="BN15" s="83">
        <f>Model!BN95</f>
      </c>
      <c r="BO15" s="86">
        <f>Model!BO95</f>
      </c>
      <c r="BP15" s="86">
        <f>Model!BP95</f>
      </c>
      <c r="BQ15" s="86">
        <f>Model!BQ95</f>
      </c>
      <c r="BR15" s="86">
        <f>Model!BR95</f>
      </c>
      <c r="BS15" s="83">
        <f>Model!BS95</f>
      </c>
      <c r="BT15" s="725">
        <f>Model!BT95</f>
      </c>
      <c r="BU15" s="86">
        <f>Model!BU95</f>
      </c>
      <c r="BV15" s="86">
        <f>Model!BV95</f>
      </c>
      <c r="BW15" s="86">
        <f>Model!BW95</f>
      </c>
      <c r="BX15" s="83">
        <f>Model!BX95</f>
      </c>
      <c r="BY15" s="86">
        <f>Model!BY95</f>
      </c>
      <c r="BZ15" s="86">
        <f>Model!BZ95</f>
      </c>
      <c r="CA15" s="86">
        <f>Model!CA95</f>
      </c>
      <c r="CB15" s="86">
        <f>Model!CB95</f>
      </c>
      <c r="CC15" s="83">
        <f>Model!CC95</f>
      </c>
      <c r="CD15" s="83">
        <f>Model!CD95</f>
      </c>
      <c r="CE15" s="83">
        <f>Model!CE95</f>
      </c>
      <c r="CF15" s="83">
        <f>Model!CF95</f>
      </c>
      <c r="CG15" s="86"/>
    </row>
    <row r="16" spans="1:85" s="590" customFormat="1" x14ac:dyDescent="0.3">
      <c r="A16" s="377" t="str">
        <f>Model!A115</f>
      </c>
      <c r="B16" s="375"/>
      <c r="C16" s="83">
        <f>Model!C115</f>
      </c>
      <c r="D16" s="83">
        <f>Model!D115</f>
      </c>
      <c r="E16" s="83">
        <f>Model!E115</f>
      </c>
      <c r="F16" s="83">
        <f>Model!F115</f>
      </c>
      <c r="G16" s="86">
        <f>Model!G115</f>
      </c>
      <c r="H16" s="86">
        <f>Model!H115</f>
      </c>
      <c r="I16" s="86">
        <f>Model!I115</f>
      </c>
      <c r="J16" s="86">
        <f>Model!J115</f>
      </c>
      <c r="K16" s="83">
        <f>Model!K115</f>
      </c>
      <c r="L16" s="86">
        <f>Model!L115</f>
      </c>
      <c r="M16" s="86">
        <f>Model!M115</f>
      </c>
      <c r="N16" s="86">
        <f>Model!N115</f>
      </c>
      <c r="O16" s="86">
        <f>Model!O115</f>
      </c>
      <c r="P16" s="83">
        <f>Model!P115</f>
      </c>
      <c r="Q16" s="86">
        <f>Model!Q115</f>
      </c>
      <c r="R16" s="86">
        <f>Model!R115</f>
      </c>
      <c r="S16" s="86">
        <f>Model!S115</f>
      </c>
      <c r="T16" s="86">
        <f>Model!T115</f>
      </c>
      <c r="U16" s="83">
        <f>Model!U115</f>
      </c>
      <c r="V16" s="86">
        <f>Model!V115</f>
      </c>
      <c r="W16" s="86">
        <f>Model!W115</f>
      </c>
      <c r="X16" s="86">
        <f>Model!X115</f>
      </c>
      <c r="Y16" s="86">
        <f>Model!Y115</f>
      </c>
      <c r="Z16" s="83">
        <f>Model!Z115</f>
      </c>
      <c r="AA16" s="86">
        <f>Model!AA115</f>
      </c>
      <c r="AB16" s="86">
        <f>Model!AB115</f>
      </c>
      <c r="AC16" s="86">
        <f>Model!AC115</f>
      </c>
      <c r="AD16" s="86">
        <f>Model!AD115</f>
      </c>
      <c r="AE16" s="83">
        <f>Model!AE115</f>
      </c>
      <c r="AF16" s="86">
        <f>Model!AF115</f>
      </c>
      <c r="AG16" s="86">
        <f>Model!AG115</f>
      </c>
      <c r="AH16" s="86">
        <f>Model!AH115</f>
      </c>
      <c r="AI16" s="86">
        <f>Model!AI115</f>
      </c>
      <c r="AJ16" s="83">
        <f>Model!AJ115</f>
      </c>
      <c r="AK16" s="86">
        <f>Model!AK115</f>
      </c>
      <c r="AL16" s="86">
        <f>Model!AL115</f>
      </c>
      <c r="AM16" s="86">
        <f>Model!AM115</f>
      </c>
      <c r="AN16" s="86">
        <f>Model!AN115</f>
      </c>
      <c r="AO16" s="83">
        <f>Model!AO115</f>
      </c>
      <c r="AP16" s="86">
        <f>Model!AP115</f>
      </c>
      <c r="AQ16" s="86">
        <f>Model!AQ115</f>
      </c>
      <c r="AR16" s="86">
        <f>Model!AR115</f>
      </c>
      <c r="AS16" s="86">
        <f>Model!AS115</f>
      </c>
      <c r="AT16" s="83">
        <f>Model!AT115</f>
      </c>
      <c r="AU16" s="86">
        <f>Model!AU115</f>
      </c>
      <c r="AV16" s="86">
        <f>Model!AV115</f>
      </c>
      <c r="AW16" s="86">
        <f>Model!AW115</f>
      </c>
      <c r="AX16" s="86">
        <f>Model!AX115</f>
      </c>
      <c r="AY16" s="83">
        <f>Model!AY115</f>
      </c>
      <c r="AZ16" s="86">
        <f>Model!AZ115</f>
      </c>
      <c r="BA16" s="86">
        <f>Model!BA115</f>
      </c>
      <c r="BB16" s="86">
        <f>Model!BB115</f>
      </c>
      <c r="BC16" s="86">
        <f>Model!BC115</f>
      </c>
      <c r="BD16" s="83">
        <f>Model!BD115</f>
      </c>
      <c r="BE16" s="86">
        <f>Model!BE115</f>
      </c>
      <c r="BF16" s="86">
        <f>Model!BF115</f>
      </c>
      <c r="BG16" s="86">
        <f>Model!BG115</f>
      </c>
      <c r="BH16" s="86">
        <f>Model!BH115</f>
      </c>
      <c r="BI16" s="83">
        <f>Model!BI115</f>
      </c>
      <c r="BJ16" s="86">
        <f>Model!BJ115</f>
      </c>
      <c r="BK16" s="86">
        <f>Model!BK115</f>
      </c>
      <c r="BL16" s="86">
        <f>Model!BL115</f>
      </c>
      <c r="BM16" s="86">
        <f>Model!BM115</f>
      </c>
      <c r="BN16" s="83">
        <f>Model!BN115</f>
      </c>
      <c r="BO16" s="86">
        <f>Model!BO115</f>
      </c>
      <c r="BP16" s="86">
        <f>Model!BP115</f>
      </c>
      <c r="BQ16" s="86">
        <f>Model!BQ115</f>
      </c>
      <c r="BR16" s="86">
        <f>Model!BR115</f>
      </c>
      <c r="BS16" s="83">
        <f>Model!BS115</f>
      </c>
      <c r="BT16" s="725">
        <f>Model!BT115</f>
      </c>
      <c r="BU16" s="86">
        <f>Model!BU115</f>
      </c>
      <c r="BV16" s="86">
        <f>Model!BV115</f>
      </c>
      <c r="BW16" s="86">
        <f>Model!BW115</f>
      </c>
      <c r="BX16" s="83">
        <f>Model!BX115</f>
      </c>
      <c r="BY16" s="86">
        <f>Model!BY115</f>
      </c>
      <c r="BZ16" s="86">
        <f>Model!BZ115</f>
      </c>
      <c r="CA16" s="86">
        <f>Model!CA115</f>
      </c>
      <c r="CB16" s="86">
        <f>Model!CB115</f>
      </c>
      <c r="CC16" s="83">
        <f>Model!CC115</f>
      </c>
      <c r="CD16" s="83">
        <f>Model!CD115</f>
      </c>
      <c r="CE16" s="83">
        <f>Model!CE115</f>
      </c>
      <c r="CF16" s="83">
        <f>Model!CF115</f>
      </c>
      <c r="CG16" s="86"/>
    </row>
    <row r="17" spans="1:85" s="590" customFormat="1" x14ac:dyDescent="0.3">
      <c r="A17" s="378" t="str">
        <f>Model!A135</f>
      </c>
      <c r="B17" s="379"/>
      <c r="C17" s="1098">
        <f>Model!C135</f>
      </c>
      <c r="D17" s="1098">
        <f>Model!D135</f>
      </c>
      <c r="E17" s="1098">
        <f>Model!E135</f>
      </c>
      <c r="F17" s="1098">
        <f>Model!F135</f>
      </c>
      <c r="G17" s="380">
        <f>Model!G135</f>
      </c>
      <c r="H17" s="380">
        <f>Model!H135</f>
      </c>
      <c r="I17" s="380">
        <f>Model!I135</f>
      </c>
      <c r="J17" s="380">
        <f>Model!J135</f>
      </c>
      <c r="K17" s="1098">
        <f>Model!K135</f>
      </c>
      <c r="L17" s="380">
        <f>Model!L135</f>
      </c>
      <c r="M17" s="380">
        <f>Model!M135</f>
      </c>
      <c r="N17" s="380">
        <f>Model!N135</f>
      </c>
      <c r="O17" s="380">
        <f>Model!O135</f>
      </c>
      <c r="P17" s="1098">
        <f>Model!P135</f>
      </c>
      <c r="Q17" s="380">
        <f>Model!Q135</f>
      </c>
      <c r="R17" s="380">
        <f>Model!R135</f>
      </c>
      <c r="S17" s="380">
        <f>Model!S135</f>
      </c>
      <c r="T17" s="380">
        <f>Model!T135</f>
      </c>
      <c r="U17" s="1098">
        <f>Model!U135</f>
      </c>
      <c r="V17" s="380">
        <f>Model!V135</f>
      </c>
      <c r="W17" s="380">
        <f>Model!W135</f>
      </c>
      <c r="X17" s="380">
        <f>Model!X135</f>
      </c>
      <c r="Y17" s="380">
        <f>Model!Y135</f>
      </c>
      <c r="Z17" s="1098">
        <f>Model!Z135</f>
      </c>
      <c r="AA17" s="380">
        <f>Model!AA135</f>
      </c>
      <c r="AB17" s="380">
        <f>Model!AB135</f>
      </c>
      <c r="AC17" s="380">
        <f>Model!AC135</f>
      </c>
      <c r="AD17" s="380">
        <f>Model!AD135</f>
      </c>
      <c r="AE17" s="1098">
        <f>Model!AE135</f>
      </c>
      <c r="AF17" s="380">
        <f>Model!AF135</f>
      </c>
      <c r="AG17" s="380">
        <f>Model!AG135</f>
      </c>
      <c r="AH17" s="380">
        <f>Model!AH135</f>
      </c>
      <c r="AI17" s="380">
        <f>Model!AI135</f>
      </c>
      <c r="AJ17" s="1098">
        <f>Model!AJ135</f>
      </c>
      <c r="AK17" s="380">
        <f>Model!AK135</f>
      </c>
      <c r="AL17" s="380">
        <f>Model!AL135</f>
      </c>
      <c r="AM17" s="380">
        <f>Model!AM135</f>
      </c>
      <c r="AN17" s="380">
        <f>Model!AN135</f>
      </c>
      <c r="AO17" s="1098">
        <f>Model!AO135</f>
      </c>
      <c r="AP17" s="380">
        <f>Model!AP135</f>
      </c>
      <c r="AQ17" s="380">
        <f>Model!AQ135</f>
      </c>
      <c r="AR17" s="380">
        <f>Model!AR135</f>
      </c>
      <c r="AS17" s="380">
        <f>Model!AS135</f>
      </c>
      <c r="AT17" s="1098">
        <f>Model!AT135</f>
      </c>
      <c r="AU17" s="380">
        <f>Model!AU135</f>
      </c>
      <c r="AV17" s="380">
        <f>Model!AV135</f>
      </c>
      <c r="AW17" s="380">
        <f>Model!AW135</f>
      </c>
      <c r="AX17" s="380">
        <f>Model!AX135</f>
      </c>
      <c r="AY17" s="1098">
        <f>Model!AY135</f>
      </c>
      <c r="AZ17" s="380">
        <f>Model!AZ135</f>
      </c>
      <c r="BA17" s="380">
        <f>Model!BA135</f>
      </c>
      <c r="BB17" s="380">
        <f>Model!BB135</f>
      </c>
      <c r="BC17" s="380">
        <f>Model!BC135</f>
      </c>
      <c r="BD17" s="1098">
        <f>Model!BD135</f>
      </c>
      <c r="BE17" s="380">
        <f>Model!BE135</f>
      </c>
      <c r="BF17" s="380">
        <f>Model!BF135</f>
      </c>
      <c r="BG17" s="380">
        <f>Model!BG135</f>
      </c>
      <c r="BH17" s="380">
        <f>Model!BH135</f>
      </c>
      <c r="BI17" s="1098">
        <f>Model!BI135</f>
      </c>
      <c r="BJ17" s="380">
        <f>Model!BJ135</f>
      </c>
      <c r="BK17" s="380">
        <f>Model!BK135</f>
      </c>
      <c r="BL17" s="380">
        <f>Model!BL135</f>
      </c>
      <c r="BM17" s="380">
        <f>Model!BM135</f>
      </c>
      <c r="BN17" s="1098">
        <f>Model!BN135</f>
      </c>
      <c r="BO17" s="380">
        <f>Model!BO135</f>
      </c>
      <c r="BP17" s="380">
        <f>Model!BP135</f>
      </c>
      <c r="BQ17" s="380">
        <f>Model!BQ135</f>
      </c>
      <c r="BR17" s="380">
        <f>Model!BR135</f>
      </c>
      <c r="BS17" s="1098">
        <f>Model!BS135</f>
      </c>
      <c r="BT17" s="739">
        <f>Model!BT135</f>
      </c>
      <c r="BU17" s="380">
        <f>Model!BU135</f>
      </c>
      <c r="BV17" s="380">
        <f>Model!BV135</f>
      </c>
      <c r="BW17" s="380">
        <f>Model!BW135</f>
      </c>
      <c r="BX17" s="1098">
        <f>Model!BX135</f>
      </c>
      <c r="BY17" s="380">
        <f>Model!BY135</f>
      </c>
      <c r="BZ17" s="380">
        <f>Model!BZ135</f>
      </c>
      <c r="CA17" s="380">
        <f>Model!CA135</f>
      </c>
      <c r="CB17" s="380">
        <f>Model!CB135</f>
      </c>
      <c r="CC17" s="1098">
        <f>Model!CC135</f>
      </c>
      <c r="CD17" s="1098">
        <f>Model!CD135</f>
      </c>
      <c r="CE17" s="1098">
        <f>Model!CE135</f>
      </c>
      <c r="CF17" s="1098">
        <f>Model!CF135</f>
      </c>
      <c r="CG17" s="86"/>
    </row>
    <row r="18" spans="1:85" s="592" customFormat="1" x14ac:dyDescent="0.3">
      <c r="A18" s="381" t="str">
        <f>Model!A23</f>
      </c>
      <c r="B18" s="382"/>
      <c r="C18" s="1099">
        <f>Model!C23</f>
      </c>
      <c r="D18" s="1099">
        <f>Model!D23</f>
      </c>
      <c r="E18" s="1099">
        <f>Model!E23</f>
      </c>
      <c r="F18" s="1099">
        <f>Model!F23</f>
      </c>
      <c r="G18" s="185">
        <f>Model!G23</f>
      </c>
      <c r="H18" s="185">
        <f>Model!H23</f>
      </c>
      <c r="I18" s="185">
        <f>Model!I23</f>
      </c>
      <c r="J18" s="185">
        <f>Model!J23</f>
      </c>
      <c r="K18" s="1099">
        <f>Model!K23</f>
      </c>
      <c r="L18" s="185">
        <f>Model!L23</f>
      </c>
      <c r="M18" s="185">
        <f>Model!M23</f>
      </c>
      <c r="N18" s="185">
        <f>Model!N23</f>
      </c>
      <c r="O18" s="185">
        <f>Model!O23</f>
      </c>
      <c r="P18" s="1099">
        <f>Model!P23</f>
      </c>
      <c r="Q18" s="185">
        <f>Model!Q23</f>
      </c>
      <c r="R18" s="185">
        <f>Model!R23</f>
      </c>
      <c r="S18" s="185">
        <f>Model!S23</f>
      </c>
      <c r="T18" s="185">
        <f>Model!T23</f>
      </c>
      <c r="U18" s="1099">
        <f>Model!U23</f>
      </c>
      <c r="V18" s="185">
        <f>Model!V23</f>
      </c>
      <c r="W18" s="185">
        <f>Model!W23</f>
      </c>
      <c r="X18" s="185">
        <f>Model!X23</f>
      </c>
      <c r="Y18" s="185">
        <f>Model!Y23</f>
      </c>
      <c r="Z18" s="1099">
        <f>Model!Z23</f>
      </c>
      <c r="AA18" s="185">
        <f>Model!AA23</f>
      </c>
      <c r="AB18" s="185">
        <f>Model!AB23</f>
      </c>
      <c r="AC18" s="185">
        <f>Model!AC23</f>
      </c>
      <c r="AD18" s="185">
        <f>Model!AD23</f>
      </c>
      <c r="AE18" s="1099">
        <f>Model!AE23</f>
      </c>
      <c r="AF18" s="185">
        <f>Model!AF23</f>
      </c>
      <c r="AG18" s="185">
        <f>Model!AG23</f>
      </c>
      <c r="AH18" s="185">
        <f>Model!AH23</f>
      </c>
      <c r="AI18" s="185">
        <f>Model!AI23</f>
      </c>
      <c r="AJ18" s="1099">
        <f>Model!AJ23</f>
      </c>
      <c r="AK18" s="185">
        <f>Model!AK23</f>
      </c>
      <c r="AL18" s="185">
        <f>Model!AL23</f>
      </c>
      <c r="AM18" s="185">
        <f>Model!AM23</f>
      </c>
      <c r="AN18" s="185">
        <f>Model!AN23</f>
      </c>
      <c r="AO18" s="1099">
        <f>Model!AO23</f>
      </c>
      <c r="AP18" s="185">
        <f>Model!AP23</f>
      </c>
      <c r="AQ18" s="185">
        <f>Model!AQ23</f>
      </c>
      <c r="AR18" s="185">
        <f>Model!AR23</f>
      </c>
      <c r="AS18" s="185">
        <f>Model!AS23</f>
      </c>
      <c r="AT18" s="1099">
        <f>Model!AT23</f>
      </c>
      <c r="AU18" s="185">
        <f>Model!AU23</f>
      </c>
      <c r="AV18" s="185">
        <f>Model!AV23</f>
      </c>
      <c r="AW18" s="185">
        <f>Model!AW23</f>
      </c>
      <c r="AX18" s="185">
        <f>Model!AX23</f>
      </c>
      <c r="AY18" s="1099">
        <f>Model!AY23</f>
      </c>
      <c r="AZ18" s="185">
        <f>Model!AZ23</f>
      </c>
      <c r="BA18" s="185">
        <f>Model!BA23</f>
      </c>
      <c r="BB18" s="185">
        <f>Model!BB23</f>
      </c>
      <c r="BC18" s="185">
        <f>Model!BC23</f>
      </c>
      <c r="BD18" s="1099">
        <f>Model!BD23</f>
      </c>
      <c r="BE18" s="185">
        <f>Model!BE23</f>
      </c>
      <c r="BF18" s="185">
        <f>Model!BF23</f>
      </c>
      <c r="BG18" s="185">
        <f>Model!BG23</f>
      </c>
      <c r="BH18" s="185">
        <f>Model!BH23</f>
      </c>
      <c r="BI18" s="1099">
        <f>Model!BI23</f>
      </c>
      <c r="BJ18" s="185">
        <f>Model!BJ23</f>
      </c>
      <c r="BK18" s="185">
        <f>Model!BK23</f>
      </c>
      <c r="BL18" s="185">
        <f>Model!BL23</f>
      </c>
      <c r="BM18" s="185">
        <f>Model!BM23</f>
      </c>
      <c r="BN18" s="1099">
        <f>Model!BN23</f>
      </c>
      <c r="BO18" s="185">
        <f>Model!BO23</f>
      </c>
      <c r="BP18" s="185">
        <f>Model!BP23</f>
      </c>
      <c r="BQ18" s="185">
        <f>Model!BQ23</f>
      </c>
      <c r="BR18" s="185">
        <f>Model!BR23</f>
      </c>
      <c r="BS18" s="1099">
        <f>Model!BS23</f>
      </c>
      <c r="BT18" s="730">
        <f>Model!BT23</f>
      </c>
      <c r="BU18" s="185">
        <f>Model!BU23</f>
      </c>
      <c r="BV18" s="185">
        <f>Model!BV23</f>
      </c>
      <c r="BW18" s="185">
        <f>Model!BW23</f>
      </c>
      <c r="BX18" s="1099">
        <f>Model!BX23</f>
      </c>
      <c r="BY18" s="185">
        <f>Model!BY23</f>
      </c>
      <c r="BZ18" s="185">
        <f>Model!BZ23</f>
      </c>
      <c r="CA18" s="185">
        <f>Model!CA23</f>
      </c>
      <c r="CB18" s="185">
        <f>Model!CB23</f>
      </c>
      <c r="CC18" s="1099">
        <f>Model!CC23</f>
      </c>
      <c r="CD18" s="1099">
        <f>Model!CD23</f>
      </c>
      <c r="CE18" s="1099">
        <f>Model!CE23</f>
      </c>
      <c r="CF18" s="1099">
        <f>Model!CF23</f>
      </c>
      <c r="CG18" s="185"/>
    </row>
    <row r="19" spans="1:85" s="590" customFormat="1" x14ac:dyDescent="0.3">
      <c r="A19" s="383" t="str">
        <f>Model!A26</f>
      </c>
      <c r="B19" s="379"/>
      <c r="C19" s="1098">
        <f>Model!C26</f>
      </c>
      <c r="D19" s="1098">
        <f>Model!D26</f>
      </c>
      <c r="E19" s="1098">
        <f>Model!E26</f>
      </c>
      <c r="F19" s="1098">
        <f>Model!F26</f>
      </c>
      <c r="G19" s="380">
        <f>Model!G26</f>
      </c>
      <c r="H19" s="380">
        <f>Model!H26</f>
      </c>
      <c r="I19" s="380">
        <f>Model!I26</f>
      </c>
      <c r="J19" s="380">
        <f>Model!J26</f>
      </c>
      <c r="K19" s="1098">
        <f>Model!K26</f>
      </c>
      <c r="L19" s="380">
        <f>Model!L26</f>
      </c>
      <c r="M19" s="380">
        <f>Model!M26</f>
      </c>
      <c r="N19" s="380">
        <f>Model!N26</f>
      </c>
      <c r="O19" s="380">
        <f>Model!O26</f>
      </c>
      <c r="P19" s="1098">
        <f>Model!P26</f>
      </c>
      <c r="Q19" s="380">
        <f>Model!Q26</f>
      </c>
      <c r="R19" s="380">
        <f>Model!R26</f>
      </c>
      <c r="S19" s="380">
        <f>Model!S26</f>
      </c>
      <c r="T19" s="380">
        <f>Model!T26</f>
      </c>
      <c r="U19" s="1098">
        <f>Model!U26</f>
      </c>
      <c r="V19" s="380">
        <f>Model!V26</f>
      </c>
      <c r="W19" s="380">
        <f>Model!W26</f>
      </c>
      <c r="X19" s="380">
        <f>Model!X26</f>
      </c>
      <c r="Y19" s="380">
        <f>Model!Y26</f>
      </c>
      <c r="Z19" s="1098">
        <f>Model!Z26</f>
      </c>
      <c r="AA19" s="380">
        <f>Model!AA26</f>
      </c>
      <c r="AB19" s="380">
        <f>Model!AB26</f>
      </c>
      <c r="AC19" s="380">
        <f>Model!AC26</f>
      </c>
      <c r="AD19" s="380">
        <f>Model!AD26</f>
      </c>
      <c r="AE19" s="1098">
        <f>Model!AE26</f>
      </c>
      <c r="AF19" s="380">
        <f>Model!AF26</f>
      </c>
      <c r="AG19" s="380">
        <f>Model!AG26</f>
      </c>
      <c r="AH19" s="380">
        <f>Model!AH26</f>
      </c>
      <c r="AI19" s="380">
        <f>Model!AI26</f>
      </c>
      <c r="AJ19" s="1098">
        <f>Model!AJ26</f>
      </c>
      <c r="AK19" s="380">
        <f>Model!AK26</f>
      </c>
      <c r="AL19" s="380">
        <f>Model!AL26</f>
      </c>
      <c r="AM19" s="380">
        <f>Model!AM26</f>
      </c>
      <c r="AN19" s="380">
        <f>Model!AN26</f>
      </c>
      <c r="AO19" s="1098">
        <f>Model!AO26</f>
      </c>
      <c r="AP19" s="380">
        <f>Model!AP26</f>
      </c>
      <c r="AQ19" s="380">
        <f>Model!AQ26</f>
      </c>
      <c r="AR19" s="380">
        <f>Model!AR26</f>
      </c>
      <c r="AS19" s="380">
        <f>Model!AS26</f>
      </c>
      <c r="AT19" s="1098">
        <f>Model!AT26</f>
      </c>
      <c r="AU19" s="380">
        <f>Model!AU26</f>
      </c>
      <c r="AV19" s="380">
        <f>Model!AV26</f>
      </c>
      <c r="AW19" s="380">
        <f>Model!AW26</f>
      </c>
      <c r="AX19" s="380">
        <f>Model!AX26</f>
      </c>
      <c r="AY19" s="1098">
        <f>Model!AY26</f>
      </c>
      <c r="AZ19" s="380">
        <f>Model!AZ26</f>
      </c>
      <c r="BA19" s="380">
        <f>Model!BA26</f>
      </c>
      <c r="BB19" s="380">
        <f>Model!BB26</f>
      </c>
      <c r="BC19" s="380">
        <f>Model!BC26</f>
      </c>
      <c r="BD19" s="1098">
        <f>Model!BD26</f>
      </c>
      <c r="BE19" s="380">
        <f>Model!BE26</f>
      </c>
      <c r="BF19" s="380">
        <f>Model!BF26</f>
      </c>
      <c r="BG19" s="380">
        <f>Model!BG26</f>
      </c>
      <c r="BH19" s="380">
        <f>Model!BH26</f>
      </c>
      <c r="BI19" s="1098">
        <f>Model!BI26</f>
      </c>
      <c r="BJ19" s="380">
        <f>Model!BJ26</f>
      </c>
      <c r="BK19" s="380">
        <f>Model!BK26</f>
      </c>
      <c r="BL19" s="380">
        <f>Model!BL26</f>
      </c>
      <c r="BM19" s="380">
        <f>Model!BM26</f>
      </c>
      <c r="BN19" s="1098">
        <f>Model!BN26</f>
      </c>
      <c r="BO19" s="380">
        <f>Model!BO26</f>
      </c>
      <c r="BP19" s="380">
        <f>Model!BP26</f>
      </c>
      <c r="BQ19" s="380">
        <f>Model!BQ26</f>
      </c>
      <c r="BR19" s="380">
        <f>Model!BR26</f>
      </c>
      <c r="BS19" s="1098">
        <f>Model!BS26</f>
      </c>
      <c r="BT19" s="739">
        <f>Model!BT26</f>
      </c>
      <c r="BU19" s="380">
        <f>Model!BU26</f>
      </c>
      <c r="BV19" s="380">
        <f>Model!BV26</f>
      </c>
      <c r="BW19" s="380">
        <f>Model!BW26</f>
      </c>
      <c r="BX19" s="1098">
        <f>Model!BX26</f>
      </c>
      <c r="BY19" s="380">
        <f>Model!BY26</f>
      </c>
      <c r="BZ19" s="380">
        <f>Model!BZ26</f>
      </c>
      <c r="CA19" s="380">
        <f>Model!CA26</f>
      </c>
      <c r="CB19" s="380">
        <f>Model!CB26</f>
      </c>
      <c r="CC19" s="1098">
        <f>Model!CC26</f>
      </c>
      <c r="CD19" s="1098">
        <f>Model!CD26</f>
      </c>
      <c r="CE19" s="1098">
        <f>Model!CE26</f>
      </c>
      <c r="CF19" s="1098">
        <f>Model!CF26</f>
      </c>
      <c r="CG19" s="86"/>
    </row>
    <row r="20" spans="1:85" s="592" customFormat="1" x14ac:dyDescent="0.3">
      <c r="A20" s="55" t="str">
        <f>Model!A33</f>
      </c>
      <c r="B20" s="382"/>
      <c r="C20" s="1099">
        <f>Model!C33</f>
      </c>
      <c r="D20" s="1099">
        <f>Model!D33</f>
      </c>
      <c r="E20" s="1099">
        <f>Model!E33</f>
      </c>
      <c r="F20" s="1099">
        <f>Model!F33</f>
      </c>
      <c r="G20" s="185">
        <f>Model!G33</f>
      </c>
      <c r="H20" s="185">
        <f>Model!H33</f>
      </c>
      <c r="I20" s="185">
        <f>Model!I33</f>
      </c>
      <c r="J20" s="185">
        <f>Model!J33</f>
      </c>
      <c r="K20" s="1099">
        <f>Model!K33</f>
      </c>
      <c r="L20" s="185">
        <f>Model!L33</f>
      </c>
      <c r="M20" s="185">
        <f>Model!M33</f>
      </c>
      <c r="N20" s="185">
        <f>Model!N33</f>
      </c>
      <c r="O20" s="185">
        <f>Model!O33</f>
      </c>
      <c r="P20" s="1099">
        <f>Model!P33</f>
      </c>
      <c r="Q20" s="185">
        <f>Model!Q33</f>
      </c>
      <c r="R20" s="185">
        <f>Model!R33</f>
      </c>
      <c r="S20" s="185">
        <f>Model!S33</f>
      </c>
      <c r="T20" s="185">
        <f>Model!T33</f>
      </c>
      <c r="U20" s="1099">
        <f>Model!U33</f>
      </c>
      <c r="V20" s="185">
        <f>Model!V33</f>
      </c>
      <c r="W20" s="185">
        <f>Model!W33</f>
      </c>
      <c r="X20" s="185">
        <f>Model!X33</f>
      </c>
      <c r="Y20" s="185">
        <f>Model!Y33</f>
      </c>
      <c r="Z20" s="1099">
        <f>Model!Z33</f>
      </c>
      <c r="AA20" s="185">
        <f>Model!AA33</f>
      </c>
      <c r="AB20" s="185">
        <f>Model!AB33</f>
      </c>
      <c r="AC20" s="185">
        <f>Model!AC33</f>
      </c>
      <c r="AD20" s="185">
        <f>Model!AD33</f>
      </c>
      <c r="AE20" s="1099">
        <f>Model!AE33</f>
      </c>
      <c r="AF20" s="185">
        <f>Model!AF33</f>
      </c>
      <c r="AG20" s="185">
        <f>Model!AG33</f>
      </c>
      <c r="AH20" s="185">
        <f>Model!AH33</f>
      </c>
      <c r="AI20" s="185">
        <f>Model!AI33</f>
      </c>
      <c r="AJ20" s="1099">
        <f>Model!AJ33</f>
      </c>
      <c r="AK20" s="185">
        <f>Model!AK33</f>
      </c>
      <c r="AL20" s="185">
        <f>Model!AL33</f>
      </c>
      <c r="AM20" s="185">
        <f>Model!AM33</f>
      </c>
      <c r="AN20" s="185">
        <f>Model!AN33</f>
      </c>
      <c r="AO20" s="1099">
        <f>Model!AO33</f>
      </c>
      <c r="AP20" s="185">
        <f>Model!AP33</f>
      </c>
      <c r="AQ20" s="185">
        <f>Model!AQ33</f>
      </c>
      <c r="AR20" s="185">
        <f>Model!AR33</f>
      </c>
      <c r="AS20" s="185">
        <f>Model!AS33</f>
      </c>
      <c r="AT20" s="1099">
        <f>Model!AT33</f>
      </c>
      <c r="AU20" s="185">
        <f>Model!AU33</f>
      </c>
      <c r="AV20" s="185">
        <f>Model!AV33</f>
      </c>
      <c r="AW20" s="185">
        <f>Model!AW33</f>
      </c>
      <c r="AX20" s="185">
        <f>Model!AX33</f>
      </c>
      <c r="AY20" s="1099">
        <f>Model!AY33</f>
      </c>
      <c r="AZ20" s="185">
        <f>Model!AZ33</f>
      </c>
      <c r="BA20" s="185">
        <f>Model!BA33</f>
      </c>
      <c r="BB20" s="185">
        <f>Model!BB33</f>
      </c>
      <c r="BC20" s="185">
        <f>Model!BC33</f>
      </c>
      <c r="BD20" s="1099">
        <f>Model!BD33</f>
      </c>
      <c r="BE20" s="185">
        <f>Model!BE33</f>
      </c>
      <c r="BF20" s="185">
        <f>Model!BF33</f>
      </c>
      <c r="BG20" s="185">
        <f>Model!BG33</f>
      </c>
      <c r="BH20" s="185">
        <f>Model!BH33</f>
      </c>
      <c r="BI20" s="1099">
        <f>Model!BI33</f>
      </c>
      <c r="BJ20" s="185">
        <f>Model!BJ33</f>
      </c>
      <c r="BK20" s="185">
        <f>Model!BK33</f>
      </c>
      <c r="BL20" s="185">
        <f>Model!BL33</f>
      </c>
      <c r="BM20" s="185">
        <f>Model!BM33</f>
      </c>
      <c r="BN20" s="1099">
        <f>Model!BN33</f>
      </c>
      <c r="BO20" s="185">
        <f>Model!BO33</f>
      </c>
      <c r="BP20" s="185">
        <f>Model!BP33</f>
      </c>
      <c r="BQ20" s="185">
        <f>Model!BQ33</f>
      </c>
      <c r="BR20" s="185">
        <f>Model!BR33</f>
      </c>
      <c r="BS20" s="1099">
        <f>Model!BS33</f>
      </c>
      <c r="BT20" s="730">
        <f>Model!BT33</f>
      </c>
      <c r="BU20" s="185">
        <f>Model!BU33</f>
      </c>
      <c r="BV20" s="185">
        <f>Model!BV33</f>
      </c>
      <c r="BW20" s="185">
        <f>Model!BW33</f>
      </c>
      <c r="BX20" s="1099">
        <f>Model!BX33</f>
      </c>
      <c r="BY20" s="185">
        <f>Model!BY33</f>
      </c>
      <c r="BZ20" s="185">
        <f>Model!BZ33</f>
      </c>
      <c r="CA20" s="185">
        <f>Model!CA33</f>
      </c>
      <c r="CB20" s="185">
        <f>Model!CB33</f>
      </c>
      <c r="CC20" s="1099">
        <f>Model!CC33</f>
      </c>
      <c r="CD20" s="1099">
        <f>Model!CD33</f>
      </c>
      <c r="CE20" s="1099">
        <f>Model!CE33</f>
      </c>
      <c r="CF20" s="1099">
        <f>Model!CF33</f>
      </c>
      <c r="CG20" s="185"/>
    </row>
    <row r="21" spans="1:85" s="592" customFormat="1" x14ac:dyDescent="0.3">
      <c r="A21" s="55" t="str">
        <f>Model!A32</f>
      </c>
      <c r="B21" s="382"/>
      <c r="C21" s="1099">
        <f>Model!C32</f>
      </c>
      <c r="D21" s="1099">
        <f>Model!D32</f>
      </c>
      <c r="E21" s="1099">
        <f>Model!E32</f>
      </c>
      <c r="F21" s="1099">
        <f>Model!F32</f>
      </c>
      <c r="G21" s="185">
        <f>Model!G32</f>
      </c>
      <c r="H21" s="185">
        <f>Model!H32</f>
      </c>
      <c r="I21" s="185">
        <f>Model!I32</f>
      </c>
      <c r="J21" s="185">
        <f>Model!J32</f>
      </c>
      <c r="K21" s="1099">
        <f>Model!K32</f>
      </c>
      <c r="L21" s="185">
        <f>Model!L32</f>
      </c>
      <c r="M21" s="185">
        <f>Model!M32</f>
      </c>
      <c r="N21" s="185">
        <f>Model!N32</f>
      </c>
      <c r="O21" s="185">
        <f>Model!O32</f>
      </c>
      <c r="P21" s="1099">
        <f>Model!P32</f>
      </c>
      <c r="Q21" s="185">
        <f>Model!Q32</f>
      </c>
      <c r="R21" s="185">
        <f>Model!R32</f>
      </c>
      <c r="S21" s="185">
        <f>Model!S32</f>
      </c>
      <c r="T21" s="185">
        <f>Model!T32</f>
      </c>
      <c r="U21" s="1099">
        <f>Model!U32</f>
      </c>
      <c r="V21" s="185">
        <f>Model!V32</f>
      </c>
      <c r="W21" s="185">
        <f>Model!W32</f>
      </c>
      <c r="X21" s="185">
        <f>Model!X32</f>
      </c>
      <c r="Y21" s="185">
        <f>Model!Y32</f>
      </c>
      <c r="Z21" s="1099">
        <f>Model!Z32</f>
      </c>
      <c r="AA21" s="185">
        <f>Model!AA32</f>
      </c>
      <c r="AB21" s="185">
        <f>Model!AB32</f>
      </c>
      <c r="AC21" s="185">
        <f>Model!AC32</f>
      </c>
      <c r="AD21" s="185">
        <f>Model!AD32</f>
      </c>
      <c r="AE21" s="1099">
        <f>Model!AE32</f>
      </c>
      <c r="AF21" s="185">
        <f>Model!AF32</f>
      </c>
      <c r="AG21" s="185">
        <f>Model!AG32</f>
      </c>
      <c r="AH21" s="185">
        <f>Model!AH32</f>
      </c>
      <c r="AI21" s="185">
        <f>Model!AI32</f>
      </c>
      <c r="AJ21" s="1099">
        <f>Model!AJ32</f>
      </c>
      <c r="AK21" s="185">
        <f>Model!AK32</f>
      </c>
      <c r="AL21" s="185">
        <f>Model!AL32</f>
      </c>
      <c r="AM21" s="185">
        <f>Model!AM32</f>
      </c>
      <c r="AN21" s="185">
        <f>Model!AN32</f>
      </c>
      <c r="AO21" s="1099">
        <f>Model!AO32</f>
      </c>
      <c r="AP21" s="185">
        <f>Model!AP32</f>
      </c>
      <c r="AQ21" s="185">
        <f>Model!AQ32</f>
      </c>
      <c r="AR21" s="185">
        <f>Model!AR32</f>
      </c>
      <c r="AS21" s="185">
        <f>Model!AS32</f>
      </c>
      <c r="AT21" s="1099">
        <f>Model!AT32</f>
      </c>
      <c r="AU21" s="185">
        <f>Model!AU32</f>
      </c>
      <c r="AV21" s="185">
        <f>Model!AV32</f>
      </c>
      <c r="AW21" s="185">
        <f>Model!AW32</f>
      </c>
      <c r="AX21" s="185">
        <f>Model!AX32</f>
      </c>
      <c r="AY21" s="1099">
        <f>Model!AY32</f>
      </c>
      <c r="AZ21" s="185">
        <f>Model!AZ32</f>
      </c>
      <c r="BA21" s="185">
        <f>Model!BA32</f>
      </c>
      <c r="BB21" s="185">
        <f>Model!BB32</f>
      </c>
      <c r="BC21" s="185">
        <f>Model!BC32</f>
      </c>
      <c r="BD21" s="1099">
        <f>Model!BD32</f>
      </c>
      <c r="BE21" s="185">
        <f>Model!BE32</f>
      </c>
      <c r="BF21" s="185">
        <f>Model!BF32</f>
      </c>
      <c r="BG21" s="185">
        <f>Model!BG32</f>
      </c>
      <c r="BH21" s="185">
        <f>Model!BH32</f>
      </c>
      <c r="BI21" s="1099">
        <f>Model!BI32</f>
      </c>
      <c r="BJ21" s="185">
        <f>Model!BJ32</f>
      </c>
      <c r="BK21" s="185">
        <f>Model!BK32</f>
      </c>
      <c r="BL21" s="185">
        <f>Model!BL32</f>
      </c>
      <c r="BM21" s="185">
        <f>Model!BM32</f>
      </c>
      <c r="BN21" s="1099">
        <f>Model!BN32</f>
      </c>
      <c r="BO21" s="185">
        <f>Model!BO32</f>
      </c>
      <c r="BP21" s="185">
        <f>Model!BP32</f>
      </c>
      <c r="BQ21" s="185">
        <f>Model!BQ32</f>
      </c>
      <c r="BR21" s="185">
        <f>Model!BR32</f>
      </c>
      <c r="BS21" s="1099">
        <f>Model!BS32</f>
      </c>
      <c r="BT21" s="730">
        <f>Model!BT32</f>
      </c>
      <c r="BU21" s="185">
        <f>Model!BU32</f>
      </c>
      <c r="BV21" s="185">
        <f>Model!BV32</f>
      </c>
      <c r="BW21" s="185">
        <f>Model!BW32</f>
      </c>
      <c r="BX21" s="1099">
        <f>Model!BX32</f>
      </c>
      <c r="BY21" s="185">
        <f>Model!BY32</f>
      </c>
      <c r="BZ21" s="185">
        <f>Model!BZ32</f>
      </c>
      <c r="CA21" s="185">
        <f>Model!CA32</f>
      </c>
      <c r="CB21" s="185">
        <f>Model!CB32</f>
      </c>
      <c r="CC21" s="1099">
        <f>Model!CC32</f>
      </c>
      <c r="CD21" s="1099">
        <f>Model!CD32</f>
      </c>
      <c r="CE21" s="1099">
        <f>Model!CE32</f>
      </c>
      <c r="CF21" s="1099">
        <f>Model!CF32</f>
      </c>
      <c r="CG21" s="185"/>
    </row>
    <row r="22" spans="1:85" s="590" customFormat="1" x14ac:dyDescent="0.3">
      <c r="A22" s="115"/>
      <c r="B22" s="375"/>
      <c r="C22" s="83"/>
      <c r="D22" s="83"/>
      <c r="E22" s="83"/>
      <c r="F22" s="83"/>
      <c r="G22" s="86"/>
      <c r="H22" s="86"/>
      <c r="I22" s="86"/>
      <c r="J22" s="86"/>
      <c r="K22" s="83"/>
      <c r="L22" s="86"/>
      <c r="M22" s="86"/>
      <c r="N22" s="86"/>
      <c r="O22" s="86"/>
      <c r="P22" s="83"/>
      <c r="Q22" s="86"/>
      <c r="R22" s="86"/>
      <c r="S22" s="86"/>
      <c r="T22" s="86"/>
      <c r="U22" s="83"/>
      <c r="V22" s="86"/>
      <c r="W22" s="86"/>
      <c r="X22" s="86"/>
      <c r="Y22" s="86"/>
      <c r="Z22" s="83"/>
      <c r="AA22" s="86"/>
      <c r="AB22" s="86"/>
      <c r="AC22" s="86"/>
      <c r="AD22" s="86"/>
      <c r="AE22" s="83"/>
      <c r="AF22" s="86"/>
      <c r="AG22" s="86"/>
      <c r="AH22" s="86"/>
      <c r="AI22" s="86"/>
      <c r="AJ22" s="83"/>
      <c r="AK22" s="86"/>
      <c r="AL22" s="86"/>
      <c r="AM22" s="86"/>
      <c r="AN22" s="86"/>
      <c r="AO22" s="83"/>
      <c r="AP22" s="86"/>
      <c r="AQ22" s="86"/>
      <c r="AR22" s="86"/>
      <c r="AS22" s="86"/>
      <c r="AT22" s="83"/>
      <c r="AU22" s="86"/>
      <c r="AV22" s="86"/>
      <c r="AW22" s="86"/>
      <c r="AX22" s="86"/>
      <c r="AY22" s="83"/>
      <c r="AZ22" s="86"/>
      <c r="BA22" s="86"/>
      <c r="BB22" s="86"/>
      <c r="BC22" s="86"/>
      <c r="BD22" s="83"/>
      <c r="BE22" s="86"/>
      <c r="BF22" s="86"/>
      <c r="BG22" s="86"/>
      <c r="BH22" s="86"/>
      <c r="BI22" s="83"/>
      <c r="BJ22" s="86"/>
      <c r="BK22" s="86"/>
      <c r="BL22" s="86"/>
      <c r="BM22" s="86"/>
      <c r="BN22" s="83"/>
      <c r="BO22" s="86"/>
      <c r="BP22" s="86"/>
      <c r="BQ22" s="86"/>
      <c r="BR22" s="86"/>
      <c r="BS22" s="83"/>
      <c r="BT22" s="725"/>
      <c r="BU22" s="86"/>
      <c r="BV22" s="86"/>
      <c r="BW22" s="86"/>
      <c r="BX22" s="83"/>
      <c r="BY22" s="86"/>
      <c r="BZ22" s="86"/>
      <c r="CA22" s="86"/>
      <c r="CB22" s="86"/>
      <c r="CC22" s="83"/>
      <c r="CD22" s="83"/>
      <c r="CE22" s="83"/>
      <c r="CF22" s="83"/>
      <c r="CG22" s="86"/>
    </row>
    <row r="23" spans="1:85" s="590" customFormat="1" x14ac:dyDescent="0.3">
      <c r="A23" s="376" t="str">
        <f>Model!A54</f>
      </c>
      <c r="B23" s="375"/>
      <c r="C23" s="83">
        <f>Model!C54</f>
      </c>
      <c r="D23" s="83">
        <f>Model!D54</f>
      </c>
      <c r="E23" s="83">
        <f>Model!E54</f>
      </c>
      <c r="F23" s="83">
        <f>Model!F54</f>
      </c>
      <c r="G23" s="86">
        <f>Model!G54</f>
      </c>
      <c r="H23" s="86">
        <f>Model!H54</f>
      </c>
      <c r="I23" s="86">
        <f>Model!I54</f>
      </c>
      <c r="J23" s="86">
        <f>Model!J54</f>
      </c>
      <c r="K23" s="83">
        <f>Model!K54</f>
      </c>
      <c r="L23" s="86">
        <f>Model!L54</f>
      </c>
      <c r="M23" s="86">
        <f>Model!M54</f>
      </c>
      <c r="N23" s="86">
        <f>Model!N54</f>
      </c>
      <c r="O23" s="86">
        <f>Model!O54</f>
      </c>
      <c r="P23" s="83">
        <f>Model!P54</f>
      </c>
      <c r="Q23" s="86">
        <f>Model!Q54</f>
      </c>
      <c r="R23" s="86">
        <f>Model!R54</f>
      </c>
      <c r="S23" s="86">
        <f>Model!S54</f>
      </c>
      <c r="T23" s="86">
        <f>Model!T54</f>
      </c>
      <c r="U23" s="83">
        <f>Model!U54</f>
      </c>
      <c r="V23" s="86">
        <f>Model!V54</f>
      </c>
      <c r="W23" s="86">
        <f>Model!W54</f>
      </c>
      <c r="X23" s="86">
        <f>Model!X54</f>
      </c>
      <c r="Y23" s="86">
        <f>Model!Y54</f>
      </c>
      <c r="Z23" s="83">
        <f>Model!Z54</f>
      </c>
      <c r="AA23" s="86">
        <f>Model!AA54</f>
      </c>
      <c r="AB23" s="86">
        <f>Model!AB54</f>
      </c>
      <c r="AC23" s="86">
        <f>Model!AC54</f>
      </c>
      <c r="AD23" s="86">
        <f>Model!AD54</f>
      </c>
      <c r="AE23" s="83">
        <f>Model!AE54</f>
      </c>
      <c r="AF23" s="86">
        <f>Model!AF54</f>
      </c>
      <c r="AG23" s="86">
        <f>Model!AG54</f>
      </c>
      <c r="AH23" s="86">
        <f>Model!AH54</f>
      </c>
      <c r="AI23" s="86">
        <f>Model!AI54</f>
      </c>
      <c r="AJ23" s="83">
        <f>Model!AJ54</f>
      </c>
      <c r="AK23" s="86">
        <f>Model!AK54</f>
      </c>
      <c r="AL23" s="86">
        <f>Model!AL54</f>
      </c>
      <c r="AM23" s="86">
        <f>Model!AM54</f>
      </c>
      <c r="AN23" s="86">
        <f>Model!AN54</f>
      </c>
      <c r="AO23" s="83">
        <f>Model!AO54</f>
      </c>
      <c r="AP23" s="86">
        <f>Model!AP54</f>
      </c>
      <c r="AQ23" s="86">
        <f>Model!AQ54</f>
      </c>
      <c r="AR23" s="86">
        <f>Model!AR54</f>
      </c>
      <c r="AS23" s="86">
        <f>Model!AS54</f>
      </c>
      <c r="AT23" s="83">
        <f>Model!AT54</f>
      </c>
      <c r="AU23" s="86">
        <f>Model!AU54</f>
      </c>
      <c r="AV23" s="86">
        <f>Model!AV54</f>
      </c>
      <c r="AW23" s="86">
        <f>Model!AW54</f>
      </c>
      <c r="AX23" s="86">
        <f>Model!AX54</f>
      </c>
      <c r="AY23" s="83">
        <f>Model!AY54</f>
      </c>
      <c r="AZ23" s="86">
        <f>Model!AZ54</f>
      </c>
      <c r="BA23" s="86">
        <f>Model!BA54</f>
      </c>
      <c r="BB23" s="86">
        <f>Model!BB54</f>
      </c>
      <c r="BC23" s="86">
        <f>Model!BC54</f>
      </c>
      <c r="BD23" s="83">
        <f>Model!BD54</f>
      </c>
      <c r="BE23" s="86">
        <f>Model!BE54</f>
      </c>
      <c r="BF23" s="86">
        <f>Model!BF54</f>
      </c>
      <c r="BG23" s="86">
        <f>Model!BG54</f>
      </c>
      <c r="BH23" s="86">
        <f>Model!BH54</f>
      </c>
      <c r="BI23" s="83">
        <f>Model!BI54</f>
      </c>
      <c r="BJ23" s="86">
        <f>Model!BJ54</f>
      </c>
      <c r="BK23" s="86">
        <f>Model!BK54</f>
      </c>
      <c r="BL23" s="86">
        <f>Model!BL54</f>
      </c>
      <c r="BM23" s="86">
        <f>Model!BM54</f>
      </c>
      <c r="BN23" s="83">
        <f>Model!BN54</f>
      </c>
      <c r="BO23" s="86">
        <f>Model!BO54</f>
      </c>
      <c r="BP23" s="86">
        <f>Model!BP54</f>
      </c>
      <c r="BQ23" s="86">
        <f>Model!BQ54</f>
      </c>
      <c r="BR23" s="86">
        <f>Model!BR54</f>
      </c>
      <c r="BS23" s="83">
        <f>Model!BS54</f>
      </c>
      <c r="BT23" s="725">
        <f>Model!BT54</f>
      </c>
      <c r="BU23" s="86">
        <f>Model!BU54</f>
      </c>
      <c r="BV23" s="86">
        <f>Model!BV54</f>
      </c>
      <c r="BW23" s="86">
        <f>Model!BW54</f>
      </c>
      <c r="BX23" s="83">
        <f>Model!BX54</f>
      </c>
      <c r="BY23" s="86">
        <f>Model!BY54</f>
      </c>
      <c r="BZ23" s="86">
        <f>Model!BZ54</f>
      </c>
      <c r="CA23" s="86">
        <f>Model!CA54</f>
      </c>
      <c r="CB23" s="86">
        <f>Model!CB54</f>
      </c>
      <c r="CC23" s="83">
        <f>Model!CC54</f>
      </c>
      <c r="CD23" s="83">
        <f>Model!CD54</f>
      </c>
      <c r="CE23" s="83">
        <f>Model!CE54</f>
      </c>
      <c r="CF23" s="83">
        <f>Model!CF54</f>
      </c>
      <c r="CG23" s="86"/>
    </row>
    <row r="24" spans="1:85" s="590" customFormat="1" x14ac:dyDescent="0.3">
      <c r="A24" s="376" t="str">
        <f>Model!A82</f>
      </c>
      <c r="B24" s="375"/>
      <c r="C24" s="83">
        <f>Model!C82</f>
      </c>
      <c r="D24" s="83">
        <f>Model!D82</f>
      </c>
      <c r="E24" s="83">
        <f>Model!E82</f>
      </c>
      <c r="F24" s="83">
        <f>Model!F82</f>
      </c>
      <c r="G24" s="86">
        <f>Model!G82</f>
      </c>
      <c r="H24" s="86">
        <f>Model!H82</f>
      </c>
      <c r="I24" s="86">
        <f>Model!I82</f>
      </c>
      <c r="J24" s="86">
        <f>Model!J82</f>
      </c>
      <c r="K24" s="83">
        <f>Model!K82</f>
      </c>
      <c r="L24" s="86">
        <f>Model!L82</f>
      </c>
      <c r="M24" s="86">
        <f>Model!M82</f>
      </c>
      <c r="N24" s="86">
        <f>Model!N82</f>
      </c>
      <c r="O24" s="86">
        <f>Model!O82</f>
      </c>
      <c r="P24" s="83">
        <f>Model!P82</f>
      </c>
      <c r="Q24" s="86">
        <f>Model!Q82</f>
      </c>
      <c r="R24" s="86">
        <f>Model!R82</f>
      </c>
      <c r="S24" s="86">
        <f>Model!S82</f>
      </c>
      <c r="T24" s="86">
        <f>Model!T82</f>
      </c>
      <c r="U24" s="83">
        <f>Model!U82</f>
      </c>
      <c r="V24" s="86">
        <f>Model!V82</f>
      </c>
      <c r="W24" s="86">
        <f>Model!W82</f>
      </c>
      <c r="X24" s="86">
        <f>Model!X82</f>
      </c>
      <c r="Y24" s="86">
        <f>Model!Y82</f>
      </c>
      <c r="Z24" s="83">
        <f>Model!Z82</f>
      </c>
      <c r="AA24" s="86">
        <f>Model!AA82</f>
      </c>
      <c r="AB24" s="86">
        <f>Model!AB82</f>
      </c>
      <c r="AC24" s="86">
        <f>Model!AC82</f>
      </c>
      <c r="AD24" s="86">
        <f>Model!AD82</f>
      </c>
      <c r="AE24" s="83">
        <f>Model!AE82</f>
      </c>
      <c r="AF24" s="86">
        <f>Model!AF82</f>
      </c>
      <c r="AG24" s="86">
        <f>Model!AG82</f>
      </c>
      <c r="AH24" s="86">
        <f>Model!AH82</f>
      </c>
      <c r="AI24" s="86">
        <f>Model!AI82</f>
      </c>
      <c r="AJ24" s="83">
        <f>Model!AJ82</f>
      </c>
      <c r="AK24" s="86">
        <f>Model!AK82</f>
      </c>
      <c r="AL24" s="86">
        <f>Model!AL82</f>
      </c>
      <c r="AM24" s="86">
        <f>Model!AM82</f>
      </c>
      <c r="AN24" s="86">
        <f>Model!AN82</f>
      </c>
      <c r="AO24" s="83">
        <f>Model!AO82</f>
      </c>
      <c r="AP24" s="86">
        <f>Model!AP82</f>
      </c>
      <c r="AQ24" s="86">
        <f>Model!AQ82</f>
      </c>
      <c r="AR24" s="86">
        <f>Model!AR82</f>
      </c>
      <c r="AS24" s="86">
        <f>Model!AS82</f>
      </c>
      <c r="AT24" s="83">
        <f>Model!AT82</f>
      </c>
      <c r="AU24" s="86">
        <f>Model!AU82</f>
      </c>
      <c r="AV24" s="86">
        <f>Model!AV82</f>
      </c>
      <c r="AW24" s="86">
        <f>Model!AW82</f>
      </c>
      <c r="AX24" s="86">
        <f>Model!AX82</f>
      </c>
      <c r="AY24" s="83">
        <f>Model!AY82</f>
      </c>
      <c r="AZ24" s="86">
        <f>Model!AZ82</f>
      </c>
      <c r="BA24" s="86">
        <f>Model!BA82</f>
      </c>
      <c r="BB24" s="86">
        <f>Model!BB82</f>
      </c>
      <c r="BC24" s="86">
        <f>Model!BC82</f>
      </c>
      <c r="BD24" s="83">
        <f>Model!BD82</f>
      </c>
      <c r="BE24" s="86">
        <f>Model!BE82</f>
      </c>
      <c r="BF24" s="86">
        <f>Model!BF82</f>
      </c>
      <c r="BG24" s="86">
        <f>Model!BG82</f>
      </c>
      <c r="BH24" s="86">
        <f>Model!BH82</f>
      </c>
      <c r="BI24" s="83">
        <f>Model!BI82</f>
      </c>
      <c r="BJ24" s="86">
        <f>Model!BJ82</f>
      </c>
      <c r="BK24" s="86">
        <f>Model!BK82</f>
      </c>
      <c r="BL24" s="86">
        <f>Model!BL82</f>
      </c>
      <c r="BM24" s="86">
        <f>Model!BM82</f>
      </c>
      <c r="BN24" s="83">
        <f>Model!BN82</f>
      </c>
      <c r="BO24" s="86">
        <f>Model!BO82</f>
      </c>
      <c r="BP24" s="86">
        <f>Model!BP82</f>
      </c>
      <c r="BQ24" s="86">
        <f>Model!BQ82</f>
      </c>
      <c r="BR24" s="86">
        <f>Model!BR82</f>
      </c>
      <c r="BS24" s="83">
        <f>Model!BS82</f>
      </c>
      <c r="BT24" s="725">
        <f>Model!BT82</f>
      </c>
      <c r="BU24" s="86">
        <f>Model!BU82</f>
      </c>
      <c r="BV24" s="86">
        <f>Model!BV82</f>
      </c>
      <c r="BW24" s="86">
        <f>Model!BW82</f>
      </c>
      <c r="BX24" s="83">
        <f>Model!BX82</f>
      </c>
      <c r="BY24" s="86">
        <f>Model!BY82</f>
      </c>
      <c r="BZ24" s="86">
        <f>Model!BZ82</f>
      </c>
      <c r="CA24" s="86">
        <f>Model!CA82</f>
      </c>
      <c r="CB24" s="86">
        <f>Model!CB82</f>
      </c>
      <c r="CC24" s="83">
        <f>Model!CC82</f>
      </c>
      <c r="CD24" s="83">
        <f>Model!CD82</f>
      </c>
      <c r="CE24" s="83">
        <f>Model!CE82</f>
      </c>
      <c r="CF24" s="83">
        <f>Model!CF82</f>
      </c>
      <c r="CG24" s="86"/>
    </row>
    <row r="25" spans="1:85" s="590" customFormat="1" x14ac:dyDescent="0.3">
      <c r="A25" s="376" t="str">
        <f>Model!A102</f>
      </c>
      <c r="B25" s="375"/>
      <c r="C25" s="83">
        <f>Model!C102</f>
      </c>
      <c r="D25" s="83">
        <f>Model!D102</f>
      </c>
      <c r="E25" s="83">
        <f>Model!E102</f>
      </c>
      <c r="F25" s="83">
        <f>Model!F102</f>
      </c>
      <c r="G25" s="86">
        <f>Model!G102</f>
      </c>
      <c r="H25" s="86">
        <f>Model!H102</f>
      </c>
      <c r="I25" s="86">
        <f>Model!I102</f>
      </c>
      <c r="J25" s="86">
        <f>Model!J102</f>
      </c>
      <c r="K25" s="83">
        <f>Model!K102</f>
      </c>
      <c r="L25" s="86">
        <f>Model!L102</f>
      </c>
      <c r="M25" s="86">
        <f>Model!M102</f>
      </c>
      <c r="N25" s="86">
        <f>Model!N102</f>
      </c>
      <c r="O25" s="86">
        <f>Model!O102</f>
      </c>
      <c r="P25" s="83">
        <f>Model!P102</f>
      </c>
      <c r="Q25" s="86">
        <f>Model!Q102</f>
      </c>
      <c r="R25" s="86">
        <f>Model!R102</f>
      </c>
      <c r="S25" s="86">
        <f>Model!S102</f>
      </c>
      <c r="T25" s="86">
        <f>Model!T102</f>
      </c>
      <c r="U25" s="83">
        <f>Model!U102</f>
      </c>
      <c r="V25" s="86">
        <f>Model!V102</f>
      </c>
      <c r="W25" s="86">
        <f>Model!W102</f>
      </c>
      <c r="X25" s="86">
        <f>Model!X102</f>
      </c>
      <c r="Y25" s="86">
        <f>Model!Y102</f>
      </c>
      <c r="Z25" s="83">
        <f>Model!Z102</f>
      </c>
      <c r="AA25" s="86">
        <f>Model!AA102</f>
      </c>
      <c r="AB25" s="86">
        <f>Model!AB102</f>
      </c>
      <c r="AC25" s="86">
        <f>Model!AC102</f>
      </c>
      <c r="AD25" s="86">
        <f>Model!AD102</f>
      </c>
      <c r="AE25" s="83">
        <f>Model!AE102</f>
      </c>
      <c r="AF25" s="86">
        <f>Model!AF102</f>
      </c>
      <c r="AG25" s="86">
        <f>Model!AG102</f>
      </c>
      <c r="AH25" s="86">
        <f>Model!AH102</f>
      </c>
      <c r="AI25" s="86">
        <f>Model!AI102</f>
      </c>
      <c r="AJ25" s="83">
        <f>Model!AJ102</f>
      </c>
      <c r="AK25" s="86">
        <f>Model!AK102</f>
      </c>
      <c r="AL25" s="86">
        <f>Model!AL102</f>
      </c>
      <c r="AM25" s="86">
        <f>Model!AM102</f>
      </c>
      <c r="AN25" s="86">
        <f>Model!AN102</f>
      </c>
      <c r="AO25" s="83">
        <f>Model!AO102</f>
      </c>
      <c r="AP25" s="86">
        <f>Model!AP102</f>
      </c>
      <c r="AQ25" s="86">
        <f>Model!AQ102</f>
      </c>
      <c r="AR25" s="86">
        <f>Model!AR102</f>
      </c>
      <c r="AS25" s="86">
        <f>Model!AS102</f>
      </c>
      <c r="AT25" s="83">
        <f>Model!AT102</f>
      </c>
      <c r="AU25" s="86">
        <f>Model!AU102</f>
      </c>
      <c r="AV25" s="86">
        <f>Model!AV102</f>
      </c>
      <c r="AW25" s="86">
        <f>Model!AW102</f>
      </c>
      <c r="AX25" s="86">
        <f>Model!AX102</f>
      </c>
      <c r="AY25" s="83">
        <f>Model!AY102</f>
      </c>
      <c r="AZ25" s="86">
        <f>Model!AZ102</f>
      </c>
      <c r="BA25" s="86">
        <f>Model!BA102</f>
      </c>
      <c r="BB25" s="86">
        <f>Model!BB102</f>
      </c>
      <c r="BC25" s="86">
        <f>Model!BC102</f>
      </c>
      <c r="BD25" s="83">
        <f>Model!BD102</f>
      </c>
      <c r="BE25" s="86">
        <f>Model!BE102</f>
      </c>
      <c r="BF25" s="86">
        <f>Model!BF102</f>
      </c>
      <c r="BG25" s="86">
        <f>Model!BG102</f>
      </c>
      <c r="BH25" s="86">
        <f>Model!BH102</f>
      </c>
      <c r="BI25" s="83">
        <f>Model!BI102</f>
      </c>
      <c r="BJ25" s="86">
        <f>Model!BJ102</f>
      </c>
      <c r="BK25" s="86">
        <f>Model!BK102</f>
      </c>
      <c r="BL25" s="86">
        <f>Model!BL102</f>
      </c>
      <c r="BM25" s="86">
        <f>Model!BM102</f>
      </c>
      <c r="BN25" s="83">
        <f>Model!BN102</f>
      </c>
      <c r="BO25" s="86">
        <f>Model!BO102</f>
      </c>
      <c r="BP25" s="86">
        <f>Model!BP102</f>
      </c>
      <c r="BQ25" s="86">
        <f>Model!BQ102</f>
      </c>
      <c r="BR25" s="86">
        <f>Model!BR102</f>
      </c>
      <c r="BS25" s="83">
        <f>Model!BS102</f>
      </c>
      <c r="BT25" s="725">
        <f>Model!BT102</f>
      </c>
      <c r="BU25" s="86">
        <f>Model!BU102</f>
      </c>
      <c r="BV25" s="86">
        <f>Model!BV102</f>
      </c>
      <c r="BW25" s="86">
        <f>Model!BW102</f>
      </c>
      <c r="BX25" s="83">
        <f>Model!BX102</f>
      </c>
      <c r="BY25" s="86">
        <f>Model!BY102</f>
      </c>
      <c r="BZ25" s="86">
        <f>Model!BZ102</f>
      </c>
      <c r="CA25" s="86">
        <f>Model!CA102</f>
      </c>
      <c r="CB25" s="86">
        <f>Model!CB102</f>
      </c>
      <c r="CC25" s="83">
        <f>Model!CC102</f>
      </c>
      <c r="CD25" s="83">
        <f>Model!CD102</f>
      </c>
      <c r="CE25" s="83">
        <f>Model!CE102</f>
      </c>
      <c r="CF25" s="83">
        <f>Model!CF102</f>
      </c>
      <c r="CG25" s="86"/>
    </row>
    <row r="26" spans="1:85" s="590" customFormat="1" x14ac:dyDescent="0.3">
      <c r="A26" s="383" t="str">
        <f>Model!A122</f>
      </c>
      <c r="B26" s="379"/>
      <c r="C26" s="1098">
        <f>Model!C122</f>
      </c>
      <c r="D26" s="1098">
        <f>Model!D122</f>
      </c>
      <c r="E26" s="1098">
        <f>Model!E122</f>
      </c>
      <c r="F26" s="1098">
        <f>Model!F122</f>
      </c>
      <c r="G26" s="380">
        <f>Model!G122</f>
      </c>
      <c r="H26" s="380">
        <f>Model!H122</f>
      </c>
      <c r="I26" s="380">
        <f>Model!I122</f>
      </c>
      <c r="J26" s="380">
        <f>Model!J122</f>
      </c>
      <c r="K26" s="1098">
        <f>Model!K122</f>
      </c>
      <c r="L26" s="380">
        <f>Model!L122</f>
      </c>
      <c r="M26" s="380">
        <f>Model!M122</f>
      </c>
      <c r="N26" s="380">
        <f>Model!N122</f>
      </c>
      <c r="O26" s="380">
        <f>Model!O122</f>
      </c>
      <c r="P26" s="1098">
        <f>Model!P122</f>
      </c>
      <c r="Q26" s="380">
        <f>Model!Q122</f>
      </c>
      <c r="R26" s="380">
        <f>Model!R122</f>
      </c>
      <c r="S26" s="380">
        <f>Model!S122</f>
      </c>
      <c r="T26" s="380">
        <f>Model!T122</f>
      </c>
      <c r="U26" s="1098">
        <f>Model!U122</f>
      </c>
      <c r="V26" s="380">
        <f>Model!V122</f>
      </c>
      <c r="W26" s="380">
        <f>Model!W122</f>
      </c>
      <c r="X26" s="380">
        <f>Model!X122</f>
      </c>
      <c r="Y26" s="380">
        <f>Model!Y122</f>
      </c>
      <c r="Z26" s="1098">
        <f>Model!Z122</f>
      </c>
      <c r="AA26" s="380">
        <f>Model!AA122</f>
      </c>
      <c r="AB26" s="380">
        <f>Model!AB122</f>
      </c>
      <c r="AC26" s="380">
        <f>Model!AC122</f>
      </c>
      <c r="AD26" s="380">
        <f>Model!AD122</f>
      </c>
      <c r="AE26" s="1098">
        <f>Model!AE122</f>
      </c>
      <c r="AF26" s="380">
        <f>Model!AF122</f>
      </c>
      <c r="AG26" s="380">
        <f>Model!AG122</f>
      </c>
      <c r="AH26" s="380">
        <f>Model!AH122</f>
      </c>
      <c r="AI26" s="380">
        <f>Model!AI122</f>
      </c>
      <c r="AJ26" s="1098">
        <f>Model!AJ122</f>
      </c>
      <c r="AK26" s="380">
        <f>Model!AK122</f>
      </c>
      <c r="AL26" s="380">
        <f>Model!AL122</f>
      </c>
      <c r="AM26" s="380">
        <f>Model!AM122</f>
      </c>
      <c r="AN26" s="380">
        <f>Model!AN122</f>
      </c>
      <c r="AO26" s="1098">
        <f>Model!AO122</f>
      </c>
      <c r="AP26" s="380">
        <f>Model!AP122</f>
      </c>
      <c r="AQ26" s="380">
        <f>Model!AQ122</f>
      </c>
      <c r="AR26" s="380">
        <f>Model!AR122</f>
      </c>
      <c r="AS26" s="380">
        <f>Model!AS122</f>
      </c>
      <c r="AT26" s="1098">
        <f>Model!AT122</f>
      </c>
      <c r="AU26" s="380">
        <f>Model!AU122</f>
      </c>
      <c r="AV26" s="380">
        <f>Model!AV122</f>
      </c>
      <c r="AW26" s="380">
        <f>Model!AW122</f>
      </c>
      <c r="AX26" s="380">
        <f>Model!AX122</f>
      </c>
      <c r="AY26" s="1098">
        <f>Model!AY122</f>
      </c>
      <c r="AZ26" s="380">
        <f>Model!AZ122</f>
      </c>
      <c r="BA26" s="380">
        <f>Model!BA122</f>
      </c>
      <c r="BB26" s="380">
        <f>Model!BB122</f>
      </c>
      <c r="BC26" s="380">
        <f>Model!BC122</f>
      </c>
      <c r="BD26" s="1098">
        <f>Model!BD122</f>
      </c>
      <c r="BE26" s="380">
        <f>Model!BE122</f>
      </c>
      <c r="BF26" s="380">
        <f>Model!BF122</f>
      </c>
      <c r="BG26" s="380">
        <f>Model!BG122</f>
      </c>
      <c r="BH26" s="380">
        <f>Model!BH122</f>
      </c>
      <c r="BI26" s="1098">
        <f>Model!BI122</f>
      </c>
      <c r="BJ26" s="380">
        <f>Model!BJ122</f>
      </c>
      <c r="BK26" s="380">
        <f>Model!BK122</f>
      </c>
      <c r="BL26" s="380">
        <f>Model!BL122</f>
      </c>
      <c r="BM26" s="380">
        <f>Model!BM122</f>
      </c>
      <c r="BN26" s="1098">
        <f>Model!BN122</f>
      </c>
      <c r="BO26" s="380">
        <f>Model!BO122</f>
      </c>
      <c r="BP26" s="380">
        <f>Model!BP122</f>
      </c>
      <c r="BQ26" s="380">
        <f>Model!BQ122</f>
      </c>
      <c r="BR26" s="380">
        <f>Model!BR122</f>
      </c>
      <c r="BS26" s="1098">
        <f>Model!BS122</f>
      </c>
      <c r="BT26" s="739">
        <f>Model!BT122</f>
      </c>
      <c r="BU26" s="380">
        <f>Model!BU122</f>
      </c>
      <c r="BV26" s="380">
        <f>Model!BV122</f>
      </c>
      <c r="BW26" s="380">
        <f>Model!BW122</f>
      </c>
      <c r="BX26" s="1098">
        <f>Model!BX122</f>
      </c>
      <c r="BY26" s="380">
        <f>Model!BY122</f>
      </c>
      <c r="BZ26" s="380">
        <f>Model!BZ122</f>
      </c>
      <c r="CA26" s="380">
        <f>Model!CA122</f>
      </c>
      <c r="CB26" s="380">
        <f>Model!CB122</f>
      </c>
      <c r="CC26" s="1098">
        <f>Model!CC122</f>
      </c>
      <c r="CD26" s="1098">
        <f>Model!CD122</f>
      </c>
      <c r="CE26" s="1098">
        <f>Model!CE122</f>
      </c>
      <c r="CF26" s="1098">
        <f>Model!CF122</f>
      </c>
      <c r="CG26" s="86"/>
    </row>
    <row r="27" spans="1:85" s="592" customFormat="1" x14ac:dyDescent="0.3">
      <c r="A27" s="55" t="str">
        <f>Model!A11</f>
      </c>
      <c r="B27" s="382"/>
      <c r="C27" s="1099">
        <f>Model!C11</f>
      </c>
      <c r="D27" s="1099">
        <f>Model!D11</f>
      </c>
      <c r="E27" s="1099">
        <f>Model!E11</f>
      </c>
      <c r="F27" s="1099">
        <f>Model!F11</f>
      </c>
      <c r="G27" s="185">
        <f>Model!G11</f>
      </c>
      <c r="H27" s="185">
        <f>Model!H11</f>
      </c>
      <c r="I27" s="185">
        <f>Model!I11</f>
      </c>
      <c r="J27" s="185">
        <f>Model!J11</f>
      </c>
      <c r="K27" s="1099">
        <f>Model!K11</f>
      </c>
      <c r="L27" s="185">
        <f>Model!L11</f>
      </c>
      <c r="M27" s="185">
        <f>Model!M11</f>
      </c>
      <c r="N27" s="185">
        <f>Model!N11</f>
      </c>
      <c r="O27" s="185">
        <f>Model!O11</f>
      </c>
      <c r="P27" s="1099">
        <f>Model!P11</f>
      </c>
      <c r="Q27" s="185">
        <f>Model!Q11</f>
      </c>
      <c r="R27" s="185">
        <f>Model!R11</f>
      </c>
      <c r="S27" s="185">
        <f>Model!S11</f>
      </c>
      <c r="T27" s="185">
        <f>Model!T11</f>
      </c>
      <c r="U27" s="1099">
        <f>Model!U11</f>
      </c>
      <c r="V27" s="185">
        <f>Model!V11</f>
      </c>
      <c r="W27" s="185">
        <f>Model!W11</f>
      </c>
      <c r="X27" s="185">
        <f>Model!X11</f>
      </c>
      <c r="Y27" s="185">
        <f>Model!Y11</f>
      </c>
      <c r="Z27" s="1099">
        <f>Model!Z11</f>
      </c>
      <c r="AA27" s="185">
        <f>Model!AA11</f>
      </c>
      <c r="AB27" s="185">
        <f>Model!AB11</f>
      </c>
      <c r="AC27" s="185">
        <f>Model!AC11</f>
      </c>
      <c r="AD27" s="185">
        <f>Model!AD11</f>
      </c>
      <c r="AE27" s="1099">
        <f>Model!AE11</f>
      </c>
      <c r="AF27" s="185">
        <f>Model!AF11</f>
      </c>
      <c r="AG27" s="185">
        <f>Model!AG11</f>
      </c>
      <c r="AH27" s="185">
        <f>Model!AH11</f>
      </c>
      <c r="AI27" s="185">
        <f>Model!AI11</f>
      </c>
      <c r="AJ27" s="1099">
        <f>Model!AJ11</f>
      </c>
      <c r="AK27" s="185">
        <f>Model!AK11</f>
      </c>
      <c r="AL27" s="185">
        <f>Model!AL11</f>
      </c>
      <c r="AM27" s="185">
        <f>Model!AM11</f>
      </c>
      <c r="AN27" s="185">
        <f>Model!AN11</f>
      </c>
      <c r="AO27" s="1099">
        <f>Model!AO11</f>
      </c>
      <c r="AP27" s="185">
        <f>Model!AP11</f>
      </c>
      <c r="AQ27" s="185">
        <f>Model!AQ11</f>
      </c>
      <c r="AR27" s="185">
        <f>Model!AR11</f>
      </c>
      <c r="AS27" s="185">
        <f>Model!AS11</f>
      </c>
      <c r="AT27" s="1099">
        <f>Model!AT11</f>
      </c>
      <c r="AU27" s="185">
        <f>Model!AU11</f>
      </c>
      <c r="AV27" s="185">
        <f>Model!AV11</f>
      </c>
      <c r="AW27" s="185">
        <f>Model!AW11</f>
      </c>
      <c r="AX27" s="185">
        <f>Model!AX11</f>
      </c>
      <c r="AY27" s="1099">
        <f>Model!AY11</f>
      </c>
      <c r="AZ27" s="185">
        <f>Model!AZ11</f>
      </c>
      <c r="BA27" s="185">
        <f>Model!BA11</f>
      </c>
      <c r="BB27" s="185">
        <f>Model!BB11</f>
      </c>
      <c r="BC27" s="185">
        <f>Model!BC11</f>
      </c>
      <c r="BD27" s="1099">
        <f>Model!BD11</f>
      </c>
      <c r="BE27" s="185">
        <f>Model!BE11</f>
      </c>
      <c r="BF27" s="185">
        <f>Model!BF11</f>
      </c>
      <c r="BG27" s="185">
        <f>Model!BG11</f>
      </c>
      <c r="BH27" s="185">
        <f>Model!BH11</f>
      </c>
      <c r="BI27" s="1099">
        <f>Model!BI11</f>
      </c>
      <c r="BJ27" s="185">
        <f>Model!BJ11</f>
      </c>
      <c r="BK27" s="185">
        <f>Model!BK11</f>
      </c>
      <c r="BL27" s="185">
        <f>Model!BL11</f>
      </c>
      <c r="BM27" s="185">
        <f>Model!BM11</f>
      </c>
      <c r="BN27" s="1099">
        <f>Model!BN11</f>
      </c>
      <c r="BO27" s="185">
        <f>Model!BO11</f>
      </c>
      <c r="BP27" s="185">
        <f>Model!BP11</f>
      </c>
      <c r="BQ27" s="185">
        <f>Model!BQ11</f>
      </c>
      <c r="BR27" s="185">
        <f>Model!BR11</f>
      </c>
      <c r="BS27" s="1099">
        <f>Model!BS11</f>
      </c>
      <c r="BT27" s="730">
        <f>Model!BT11</f>
      </c>
      <c r="BU27" s="185">
        <f>Model!BU11</f>
      </c>
      <c r="BV27" s="185">
        <f>Model!BV11</f>
      </c>
      <c r="BW27" s="185">
        <f>Model!BW11</f>
      </c>
      <c r="BX27" s="1099">
        <f>Model!BX11</f>
      </c>
      <c r="BY27" s="185">
        <f>Model!BY11</f>
      </c>
      <c r="BZ27" s="185">
        <f>Model!BZ11</f>
      </c>
      <c r="CA27" s="185">
        <f>Model!CA11</f>
      </c>
      <c r="CB27" s="185">
        <f>Model!CB11</f>
      </c>
      <c r="CC27" s="1099">
        <f>Model!CC11</f>
      </c>
      <c r="CD27" s="1099">
        <f>Model!CD11</f>
      </c>
      <c r="CE27" s="1099">
        <f>Model!CE11</f>
      </c>
      <c r="CF27" s="1099">
        <f>Model!CF11</f>
      </c>
      <c r="CG27" s="185"/>
    </row>
    <row r="28" spans="1:85" s="590" customFormat="1" x14ac:dyDescent="0.3">
      <c r="A28" s="115"/>
      <c r="B28" s="375"/>
      <c r="C28" s="83"/>
      <c r="D28" s="83"/>
      <c r="E28" s="83"/>
      <c r="F28" s="83"/>
      <c r="G28" s="86"/>
      <c r="H28" s="86"/>
      <c r="I28" s="86"/>
      <c r="J28" s="86"/>
      <c r="K28" s="83"/>
      <c r="L28" s="86"/>
      <c r="M28" s="86"/>
      <c r="N28" s="86"/>
      <c r="O28" s="86"/>
      <c r="P28" s="83"/>
      <c r="Q28" s="86"/>
      <c r="R28" s="86"/>
      <c r="S28" s="86"/>
      <c r="T28" s="86"/>
      <c r="U28" s="83"/>
      <c r="V28" s="86"/>
      <c r="W28" s="86"/>
      <c r="X28" s="86"/>
      <c r="Y28" s="86"/>
      <c r="Z28" s="83"/>
      <c r="AA28" s="86"/>
      <c r="AB28" s="86"/>
      <c r="AC28" s="86"/>
      <c r="AD28" s="86"/>
      <c r="AE28" s="83"/>
      <c r="AF28" s="86"/>
      <c r="AG28" s="86"/>
      <c r="AH28" s="86"/>
      <c r="AI28" s="86"/>
      <c r="AJ28" s="83"/>
      <c r="AK28" s="86"/>
      <c r="AL28" s="86"/>
      <c r="AM28" s="86"/>
      <c r="AN28" s="86"/>
      <c r="AO28" s="83"/>
      <c r="AP28" s="86"/>
      <c r="AQ28" s="86"/>
      <c r="AR28" s="86"/>
      <c r="AS28" s="86"/>
      <c r="AT28" s="83"/>
      <c r="AU28" s="86"/>
      <c r="AV28" s="86"/>
      <c r="AW28" s="86"/>
      <c r="AX28" s="86"/>
      <c r="AY28" s="83"/>
      <c r="AZ28" s="86"/>
      <c r="BA28" s="86"/>
      <c r="BB28" s="86"/>
      <c r="BC28" s="86"/>
      <c r="BD28" s="83"/>
      <c r="BE28" s="86"/>
      <c r="BF28" s="86"/>
      <c r="BG28" s="86"/>
      <c r="BH28" s="86"/>
      <c r="BI28" s="83"/>
      <c r="BJ28" s="86"/>
      <c r="BK28" s="86"/>
      <c r="BL28" s="86"/>
      <c r="BM28" s="86"/>
      <c r="BN28" s="83"/>
      <c r="BO28" s="86"/>
      <c r="BP28" s="86"/>
      <c r="BQ28" s="86"/>
      <c r="BR28" s="86"/>
      <c r="BS28" s="83"/>
      <c r="BT28" s="725"/>
      <c r="BU28" s="86"/>
      <c r="BV28" s="86"/>
      <c r="BW28" s="86"/>
      <c r="BX28" s="83"/>
      <c r="BY28" s="86"/>
      <c r="BZ28" s="86"/>
      <c r="CA28" s="86"/>
      <c r="CB28" s="86"/>
      <c r="CC28" s="83"/>
      <c r="CD28" s="83"/>
      <c r="CE28" s="83"/>
      <c r="CF28" s="83"/>
      <c r="CG28" s="86"/>
    </row>
    <row r="29" spans="1:85" s="590" customFormat="1" x14ac:dyDescent="0.3">
      <c r="A29" s="115" t="str">
        <f>Model!A17</f>
      </c>
      <c r="B29" s="375"/>
      <c r="C29" s="83">
        <f>Model!C17</f>
      </c>
      <c r="D29" s="83">
        <f>Model!D17</f>
      </c>
      <c r="E29" s="83">
        <f>Model!E17</f>
      </c>
      <c r="F29" s="83">
        <f>Model!F17</f>
      </c>
      <c r="G29" s="86">
        <f>Model!G17</f>
      </c>
      <c r="H29" s="86">
        <f>Model!H17</f>
      </c>
      <c r="I29" s="86">
        <f>Model!I17</f>
      </c>
      <c r="J29" s="86">
        <f>Model!J17</f>
      </c>
      <c r="K29" s="83">
        <f>Model!K17</f>
      </c>
      <c r="L29" s="86">
        <f>Model!L17</f>
      </c>
      <c r="M29" s="86">
        <f>Model!M17</f>
      </c>
      <c r="N29" s="86">
        <f>Model!N17</f>
      </c>
      <c r="O29" s="86">
        <f>Model!O17</f>
      </c>
      <c r="P29" s="83">
        <f>Model!P17</f>
      </c>
      <c r="Q29" s="86">
        <f>Model!Q17</f>
      </c>
      <c r="R29" s="86">
        <f>Model!R17</f>
      </c>
      <c r="S29" s="86">
        <f>Model!S17</f>
      </c>
      <c r="T29" s="86">
        <f>Model!T17</f>
      </c>
      <c r="U29" s="83">
        <f>Model!U17</f>
      </c>
      <c r="V29" s="86">
        <f>Model!V17</f>
      </c>
      <c r="W29" s="86">
        <f>Model!W17</f>
      </c>
      <c r="X29" s="86">
        <f>Model!X17</f>
      </c>
      <c r="Y29" s="86">
        <f>Model!Y17</f>
      </c>
      <c r="Z29" s="83">
        <f>Model!Z17</f>
      </c>
      <c r="AA29" s="86">
        <f>Model!AA17</f>
      </c>
      <c r="AB29" s="86">
        <f>Model!AB17</f>
      </c>
      <c r="AC29" s="86">
        <f>Model!AC17</f>
      </c>
      <c r="AD29" s="86">
        <f>Model!AD17</f>
      </c>
      <c r="AE29" s="83">
        <f>Model!AE17</f>
      </c>
      <c r="AF29" s="86">
        <f>Model!AF17</f>
      </c>
      <c r="AG29" s="86">
        <f>Model!AG17</f>
      </c>
      <c r="AH29" s="86">
        <f>Model!AH17</f>
      </c>
      <c r="AI29" s="86">
        <f>Model!AI17</f>
      </c>
      <c r="AJ29" s="83">
        <f>Model!AJ17</f>
      </c>
      <c r="AK29" s="86">
        <f>Model!AK17</f>
      </c>
      <c r="AL29" s="86">
        <f>Model!AL17</f>
      </c>
      <c r="AM29" s="86">
        <f>Model!AM17</f>
      </c>
      <c r="AN29" s="86">
        <f>Model!AN17</f>
      </c>
      <c r="AO29" s="83">
        <f>Model!AO17</f>
      </c>
      <c r="AP29" s="86">
        <f>Model!AP17</f>
      </c>
      <c r="AQ29" s="86">
        <f>Model!AQ17</f>
      </c>
      <c r="AR29" s="86">
        <f>Model!AR17</f>
      </c>
      <c r="AS29" s="86">
        <f>Model!AS17</f>
      </c>
      <c r="AT29" s="83">
        <f>Model!AT17</f>
      </c>
      <c r="AU29" s="86">
        <f>Model!AU17</f>
      </c>
      <c r="AV29" s="86">
        <f>Model!AV17</f>
      </c>
      <c r="AW29" s="86">
        <f>Model!AW17</f>
      </c>
      <c r="AX29" s="86">
        <f>Model!AX17</f>
      </c>
      <c r="AY29" s="83">
        <f>Model!AY17</f>
      </c>
      <c r="AZ29" s="86">
        <f>Model!AZ17</f>
      </c>
      <c r="BA29" s="86">
        <f>Model!BA17</f>
      </c>
      <c r="BB29" s="86">
        <f>Model!BB17</f>
      </c>
      <c r="BC29" s="86">
        <f>Model!BC17</f>
      </c>
      <c r="BD29" s="83">
        <f>Model!BD17</f>
      </c>
      <c r="BE29" s="86">
        <f>Model!BE17</f>
      </c>
      <c r="BF29" s="86">
        <f>Model!BF17</f>
      </c>
      <c r="BG29" s="86">
        <f>Model!BG17</f>
      </c>
      <c r="BH29" s="86">
        <f>Model!BH17</f>
      </c>
      <c r="BI29" s="83">
        <f>Model!BI17</f>
      </c>
      <c r="BJ29" s="86">
        <f>Model!BJ17</f>
      </c>
      <c r="BK29" s="86">
        <f>Model!BK17</f>
      </c>
      <c r="BL29" s="86">
        <f>Model!BL17</f>
      </c>
      <c r="BM29" s="86">
        <f>Model!BM17</f>
      </c>
      <c r="BN29" s="83">
        <f>Model!BN17</f>
      </c>
      <c r="BO29" s="86">
        <f>Model!BO17</f>
      </c>
      <c r="BP29" s="86">
        <f>Model!BP17</f>
      </c>
      <c r="BQ29" s="86">
        <f>Model!BQ17</f>
      </c>
      <c r="BR29" s="86">
        <f>Model!BR17</f>
      </c>
      <c r="BS29" s="83">
        <f>Model!BS17</f>
      </c>
      <c r="BT29" s="725">
        <f>Model!BT17</f>
      </c>
      <c r="BU29" s="86">
        <f>Model!BU17</f>
      </c>
      <c r="BV29" s="86">
        <f>Model!BV17</f>
      </c>
      <c r="BW29" s="86">
        <f>Model!BW17</f>
      </c>
      <c r="BX29" s="83">
        <f>Model!BX17</f>
      </c>
      <c r="BY29" s="86">
        <f>Model!BY17</f>
      </c>
      <c r="BZ29" s="86">
        <f>Model!BZ17</f>
      </c>
      <c r="CA29" s="86">
        <f>Model!CA17</f>
      </c>
      <c r="CB29" s="86">
        <f>Model!CB17</f>
      </c>
      <c r="CC29" s="83">
        <f>Model!CC17</f>
      </c>
      <c r="CD29" s="83">
        <f>Model!CD17</f>
      </c>
      <c r="CE29" s="83">
        <f>Model!CE17</f>
      </c>
      <c r="CF29" s="83">
        <f>Model!CF17</f>
      </c>
      <c r="CG29" s="86"/>
    </row>
    <row r="30" spans="1:85" s="590" customFormat="1" x14ac:dyDescent="0.3">
      <c r="A30" s="115" t="str">
        <f>Model!A18</f>
      </c>
      <c r="B30" s="375"/>
      <c r="C30" s="83">
        <f>Model!C18</f>
      </c>
      <c r="D30" s="83">
        <f>Model!D18</f>
      </c>
      <c r="E30" s="83">
        <f>Model!E18</f>
      </c>
      <c r="F30" s="83">
        <f>Model!F18</f>
      </c>
      <c r="G30" s="86">
        <f>Model!G18</f>
      </c>
      <c r="H30" s="86">
        <f>Model!H18</f>
      </c>
      <c r="I30" s="86">
        <f>Model!I18</f>
      </c>
      <c r="J30" s="86">
        <f>Model!J18</f>
      </c>
      <c r="K30" s="83">
        <f>Model!K18</f>
      </c>
      <c r="L30" s="86">
        <f>Model!L18</f>
      </c>
      <c r="M30" s="86">
        <f>Model!M18</f>
      </c>
      <c r="N30" s="86">
        <f>Model!N18</f>
      </c>
      <c r="O30" s="86">
        <f>Model!O18</f>
      </c>
      <c r="P30" s="83">
        <f>Model!P18</f>
      </c>
      <c r="Q30" s="86">
        <f>Model!Q18</f>
      </c>
      <c r="R30" s="86">
        <f>Model!R18</f>
      </c>
      <c r="S30" s="86">
        <f>Model!S18</f>
      </c>
      <c r="T30" s="86">
        <f>Model!T18</f>
      </c>
      <c r="U30" s="83">
        <f>Model!U18</f>
      </c>
      <c r="V30" s="86">
        <f>Model!V18</f>
      </c>
      <c r="W30" s="86">
        <f>Model!W18</f>
      </c>
      <c r="X30" s="86">
        <f>Model!X18</f>
      </c>
      <c r="Y30" s="86">
        <f>Model!Y18</f>
      </c>
      <c r="Z30" s="83">
        <f>Model!Z18</f>
      </c>
      <c r="AA30" s="86">
        <f>Model!AA18</f>
      </c>
      <c r="AB30" s="86">
        <f>Model!AB18</f>
      </c>
      <c r="AC30" s="86">
        <f>Model!AC18</f>
      </c>
      <c r="AD30" s="86">
        <f>Model!AD18</f>
      </c>
      <c r="AE30" s="83">
        <f>Model!AE18</f>
      </c>
      <c r="AF30" s="86">
        <f>Model!AF18</f>
      </c>
      <c r="AG30" s="86">
        <f>Model!AG18</f>
      </c>
      <c r="AH30" s="86">
        <f>Model!AH18</f>
      </c>
      <c r="AI30" s="86">
        <f>Model!AI18</f>
      </c>
      <c r="AJ30" s="83">
        <f>Model!AJ18</f>
      </c>
      <c r="AK30" s="86">
        <f>Model!AK18</f>
      </c>
      <c r="AL30" s="86">
        <f>Model!AL18</f>
      </c>
      <c r="AM30" s="86">
        <f>Model!AM18</f>
      </c>
      <c r="AN30" s="86">
        <f>Model!AN18</f>
      </c>
      <c r="AO30" s="83">
        <f>Model!AO18</f>
      </c>
      <c r="AP30" s="86">
        <f>Model!AP18</f>
      </c>
      <c r="AQ30" s="86">
        <f>Model!AQ18</f>
      </c>
      <c r="AR30" s="86">
        <f>Model!AR18</f>
      </c>
      <c r="AS30" s="86">
        <f>Model!AS18</f>
      </c>
      <c r="AT30" s="83">
        <f>Model!AT18</f>
      </c>
      <c r="AU30" s="86">
        <f>Model!AU18</f>
      </c>
      <c r="AV30" s="86">
        <f>Model!AV18</f>
      </c>
      <c r="AW30" s="86">
        <f>Model!AW18</f>
      </c>
      <c r="AX30" s="86">
        <f>Model!AX18</f>
      </c>
      <c r="AY30" s="83">
        <f>Model!AY18</f>
      </c>
      <c r="AZ30" s="86">
        <f>Model!AZ18</f>
      </c>
      <c r="BA30" s="86">
        <f>Model!BA18</f>
      </c>
      <c r="BB30" s="86">
        <f>Model!BB18</f>
      </c>
      <c r="BC30" s="86">
        <f>Model!BC18</f>
      </c>
      <c r="BD30" s="83">
        <f>Model!BD18</f>
      </c>
      <c r="BE30" s="86">
        <f>Model!BE18</f>
      </c>
      <c r="BF30" s="86">
        <f>Model!BF18</f>
      </c>
      <c r="BG30" s="86">
        <f>Model!BG18</f>
      </c>
      <c r="BH30" s="86">
        <f>Model!BH18</f>
      </c>
      <c r="BI30" s="83">
        <f>Model!BI18</f>
      </c>
      <c r="BJ30" s="86">
        <f>Model!BJ18</f>
      </c>
      <c r="BK30" s="86">
        <f>Model!BK18</f>
      </c>
      <c r="BL30" s="86">
        <f>Model!BL18</f>
      </c>
      <c r="BM30" s="86">
        <f>Model!BM18</f>
      </c>
      <c r="BN30" s="83">
        <f>Model!BN18</f>
      </c>
      <c r="BO30" s="86">
        <f>Model!BO18</f>
      </c>
      <c r="BP30" s="86">
        <f>Model!BP18</f>
      </c>
      <c r="BQ30" s="86">
        <f>Model!BQ18</f>
      </c>
      <c r="BR30" s="86">
        <f>Model!BR18</f>
      </c>
      <c r="BS30" s="83">
        <f>Model!BS18</f>
      </c>
      <c r="BT30" s="725">
        <f>Model!BT18</f>
      </c>
      <c r="BU30" s="86">
        <f>Model!BU18</f>
      </c>
      <c r="BV30" s="86">
        <f>Model!BV18</f>
      </c>
      <c r="BW30" s="86">
        <f>Model!BW18</f>
      </c>
      <c r="BX30" s="83">
        <f>Model!BX18</f>
      </c>
      <c r="BY30" s="86">
        <f>Model!BY18</f>
      </c>
      <c r="BZ30" s="86">
        <f>Model!BZ18</f>
      </c>
      <c r="CA30" s="86">
        <f>Model!CA18</f>
      </c>
      <c r="CB30" s="86">
        <f>Model!CB18</f>
      </c>
      <c r="CC30" s="83">
        <f>Model!CC18</f>
      </c>
      <c r="CD30" s="83">
        <f>Model!CD18</f>
      </c>
      <c r="CE30" s="83">
        <f>Model!CE18</f>
      </c>
      <c r="CF30" s="83">
        <f>Model!CF18</f>
      </c>
      <c r="CG30" s="86"/>
    </row>
    <row r="31" spans="1:85" s="592" customFormat="1" x14ac:dyDescent="0.3">
      <c r="A31" s="55" t="str">
        <f>Model!A19</f>
      </c>
      <c r="B31" s="382"/>
      <c r="C31" s="1099">
        <f>Model!C19</f>
      </c>
      <c r="D31" s="1099">
        <f>Model!D19</f>
      </c>
      <c r="E31" s="1099">
        <f>Model!E19</f>
      </c>
      <c r="F31" s="1099">
        <f>Model!F19</f>
      </c>
      <c r="G31" s="185">
        <f>Model!G19</f>
      </c>
      <c r="H31" s="185">
        <f>Model!H19</f>
      </c>
      <c r="I31" s="185">
        <f>Model!I19</f>
      </c>
      <c r="J31" s="185">
        <f>Model!J19</f>
      </c>
      <c r="K31" s="1099">
        <f>Model!K19</f>
      </c>
      <c r="L31" s="185">
        <f>Model!L19</f>
      </c>
      <c r="M31" s="185">
        <f>Model!M19</f>
      </c>
      <c r="N31" s="185">
        <f>Model!N19</f>
      </c>
      <c r="O31" s="185">
        <f>Model!O19</f>
      </c>
      <c r="P31" s="1099">
        <f>Model!P19</f>
      </c>
      <c r="Q31" s="185">
        <f>Model!Q19</f>
      </c>
      <c r="R31" s="185">
        <f>Model!R19</f>
      </c>
      <c r="S31" s="185">
        <f>Model!S19</f>
      </c>
      <c r="T31" s="185">
        <f>Model!T19</f>
      </c>
      <c r="U31" s="1099">
        <f>Model!U19</f>
      </c>
      <c r="V31" s="185">
        <f>Model!V19</f>
      </c>
      <c r="W31" s="185">
        <f>Model!W19</f>
      </c>
      <c r="X31" s="185">
        <f>Model!X19</f>
      </c>
      <c r="Y31" s="185">
        <f>Model!Y19</f>
      </c>
      <c r="Z31" s="1099">
        <f>Model!Z19</f>
      </c>
      <c r="AA31" s="185">
        <f>Model!AA19</f>
      </c>
      <c r="AB31" s="185">
        <f>Model!AB19</f>
      </c>
      <c r="AC31" s="185">
        <f>Model!AC19</f>
      </c>
      <c r="AD31" s="185">
        <f>Model!AD19</f>
      </c>
      <c r="AE31" s="1099">
        <f>Model!AE19</f>
      </c>
      <c r="AF31" s="185">
        <f>Model!AF19</f>
      </c>
      <c r="AG31" s="185">
        <f>Model!AG19</f>
      </c>
      <c r="AH31" s="185">
        <f>Model!AH19</f>
      </c>
      <c r="AI31" s="185">
        <f>Model!AI19</f>
      </c>
      <c r="AJ31" s="1099">
        <f>Model!AJ19</f>
      </c>
      <c r="AK31" s="185">
        <f>Model!AK19</f>
      </c>
      <c r="AL31" s="185">
        <f>Model!AL19</f>
      </c>
      <c r="AM31" s="185">
        <f>Model!AM19</f>
      </c>
      <c r="AN31" s="185">
        <f>Model!AN19</f>
      </c>
      <c r="AO31" s="1099">
        <f>Model!AO19</f>
      </c>
      <c r="AP31" s="185">
        <f>Model!AP19</f>
      </c>
      <c r="AQ31" s="185">
        <f>Model!AQ19</f>
      </c>
      <c r="AR31" s="185">
        <f>Model!AR19</f>
      </c>
      <c r="AS31" s="185">
        <f>Model!AS19</f>
      </c>
      <c r="AT31" s="1099">
        <f>Model!AT19</f>
      </c>
      <c r="AU31" s="185">
        <f>Model!AU19</f>
      </c>
      <c r="AV31" s="185">
        <f>Model!AV19</f>
      </c>
      <c r="AW31" s="185">
        <f>Model!AW19</f>
      </c>
      <c r="AX31" s="185">
        <f>Model!AX19</f>
      </c>
      <c r="AY31" s="1099">
        <f>Model!AY19</f>
      </c>
      <c r="AZ31" s="185">
        <f>Model!AZ19</f>
      </c>
      <c r="BA31" s="185">
        <f>Model!BA19</f>
      </c>
      <c r="BB31" s="185">
        <f>Model!BB19</f>
      </c>
      <c r="BC31" s="185">
        <f>Model!BC19</f>
      </c>
      <c r="BD31" s="1099">
        <f>Model!BD19</f>
      </c>
      <c r="BE31" s="185">
        <f>Model!BE19</f>
      </c>
      <c r="BF31" s="185">
        <f>Model!BF19</f>
      </c>
      <c r="BG31" s="185">
        <f>Model!BG19</f>
      </c>
      <c r="BH31" s="185">
        <f>Model!BH19</f>
      </c>
      <c r="BI31" s="1099">
        <f>Model!BI19</f>
      </c>
      <c r="BJ31" s="185">
        <f>Model!BJ19</f>
      </c>
      <c r="BK31" s="185">
        <f>Model!BK19</f>
      </c>
      <c r="BL31" s="185">
        <f>Model!BL19</f>
      </c>
      <c r="BM31" s="185">
        <f>Model!BM19</f>
      </c>
      <c r="BN31" s="1099">
        <f>Model!BN19</f>
      </c>
      <c r="BO31" s="185">
        <f>Model!BO19</f>
      </c>
      <c r="BP31" s="185">
        <f>Model!BP19</f>
      </c>
      <c r="BQ31" s="185">
        <f>Model!BQ19</f>
      </c>
      <c r="BR31" s="185">
        <f>Model!BR19</f>
      </c>
      <c r="BS31" s="1099">
        <f>Model!BS19</f>
      </c>
      <c r="BT31" s="730">
        <f>Model!BT19</f>
      </c>
      <c r="BU31" s="185">
        <f>Model!BU19</f>
      </c>
      <c r="BV31" s="185">
        <f>Model!BV19</f>
      </c>
      <c r="BW31" s="185">
        <f>Model!BW19</f>
      </c>
      <c r="BX31" s="1099">
        <f>Model!BX19</f>
      </c>
      <c r="BY31" s="185">
        <f>Model!BY19</f>
      </c>
      <c r="BZ31" s="185">
        <f>Model!BZ19</f>
      </c>
      <c r="CA31" s="185">
        <f>Model!CA19</f>
      </c>
      <c r="CB31" s="185">
        <f>Model!CB19</f>
      </c>
      <c r="CC31" s="1099">
        <f>Model!CC19</f>
      </c>
      <c r="CD31" s="1099">
        <f>Model!CD19</f>
      </c>
      <c r="CE31" s="1099">
        <f>Model!CE19</f>
      </c>
      <c r="CF31" s="1099">
        <f>Model!CF19</f>
      </c>
      <c r="CG31" s="185"/>
    </row>
    <row r="32" spans="1:85" customFormat="1" x14ac:dyDescent="0.3">
      <c r="A32" s="5"/>
      <c r="B32" s="48"/>
      <c r="C32" s="990"/>
      <c r="D32" s="990"/>
      <c r="E32" s="990"/>
      <c r="F32" s="990"/>
      <c r="G32" s="19"/>
      <c r="H32" s="19"/>
      <c r="I32" s="19"/>
      <c r="J32" s="19"/>
      <c r="K32" s="990"/>
      <c r="L32" s="19"/>
      <c r="M32" s="19"/>
      <c r="N32" s="19"/>
      <c r="O32" s="19"/>
      <c r="P32" s="990"/>
      <c r="Q32" s="19"/>
      <c r="R32" s="19"/>
      <c r="S32" s="19"/>
      <c r="T32" s="19"/>
      <c r="U32" s="990"/>
      <c r="V32" s="19"/>
      <c r="W32" s="19"/>
      <c r="X32" s="19"/>
      <c r="Y32" s="19"/>
      <c r="Z32" s="990"/>
      <c r="AA32" s="19"/>
      <c r="AB32" s="19"/>
      <c r="AC32" s="19"/>
      <c r="AD32" s="19"/>
      <c r="AE32" s="990"/>
      <c r="AF32" s="19"/>
      <c r="AG32" s="19"/>
      <c r="AH32" s="19"/>
      <c r="AI32" s="19"/>
      <c r="AJ32" s="990"/>
      <c r="AK32" s="19"/>
      <c r="AL32" s="19"/>
      <c r="AM32" s="19"/>
      <c r="AN32" s="19"/>
      <c r="AO32" s="990"/>
      <c r="AP32" s="19"/>
      <c r="AQ32" s="19"/>
      <c r="AR32" s="19"/>
      <c r="AS32" s="19"/>
      <c r="AT32" s="990"/>
      <c r="AU32" s="19"/>
      <c r="AV32" s="19"/>
      <c r="AW32" s="19"/>
      <c r="AX32" s="19"/>
      <c r="AY32" s="990"/>
      <c r="AZ32" s="19"/>
      <c r="BA32" s="19"/>
      <c r="BB32" s="19"/>
      <c r="BC32" s="19"/>
      <c r="BD32" s="990"/>
      <c r="BE32" s="19"/>
      <c r="BF32" s="19"/>
      <c r="BG32" s="19"/>
      <c r="BH32" s="19"/>
      <c r="BI32" s="990"/>
      <c r="BJ32" s="19"/>
      <c r="BK32" s="19"/>
      <c r="BL32" s="19"/>
      <c r="BM32" s="19"/>
      <c r="BN32" s="990"/>
      <c r="BO32" s="19"/>
      <c r="BP32" s="19"/>
      <c r="BQ32" s="19"/>
      <c r="BR32" s="19"/>
      <c r="BS32" s="990"/>
      <c r="BT32" s="687"/>
      <c r="BU32" s="19"/>
      <c r="BV32" s="19"/>
      <c r="BW32" s="19"/>
      <c r="BX32" s="990"/>
      <c r="BY32" s="19"/>
      <c r="BZ32" s="19"/>
      <c r="CA32" s="19"/>
      <c r="CB32" s="19"/>
      <c r="CC32" s="990"/>
      <c r="CD32" s="990"/>
      <c r="CE32" s="990"/>
      <c r="CF32" s="990"/>
      <c r="CG32" s="19"/>
    </row>
    <row r="33" spans="1:85" customFormat="1" x14ac:dyDescent="0.3">
      <c r="A33" s="50" t="s">
        <v>314</v>
      </c>
      <c r="B33" s="773"/>
      <c r="C33" s="773"/>
      <c r="D33" s="773"/>
      <c r="E33" s="773"/>
      <c r="F33" s="773"/>
      <c r="G33" s="773"/>
      <c r="H33" s="773"/>
      <c r="I33" s="773"/>
      <c r="J33" s="773"/>
      <c r="K33" s="773"/>
      <c r="L33" s="773"/>
      <c r="M33" s="773"/>
      <c r="N33" s="773"/>
      <c r="O33" s="773"/>
      <c r="P33" s="773"/>
      <c r="Q33" s="773"/>
      <c r="R33" s="773"/>
      <c r="S33" s="773"/>
      <c r="T33" s="773"/>
      <c r="U33" s="773"/>
      <c r="V33" s="773"/>
      <c r="W33" s="773"/>
      <c r="X33" s="773"/>
      <c r="Y33" s="773"/>
      <c r="Z33" s="773"/>
      <c r="AA33" s="773"/>
      <c r="AB33" s="773"/>
      <c r="AC33" s="773"/>
      <c r="AD33" s="773"/>
      <c r="AE33" s="773"/>
      <c r="AF33" s="773"/>
      <c r="AG33" s="773"/>
      <c r="AH33" s="773"/>
      <c r="AI33" s="773"/>
      <c r="AJ33" s="773"/>
      <c r="AK33" s="773"/>
      <c r="AL33" s="773"/>
      <c r="AM33" s="773"/>
      <c r="AN33" s="773"/>
      <c r="AO33" s="773"/>
      <c r="AP33" s="773"/>
      <c r="AQ33" s="773"/>
      <c r="AR33" s="773"/>
      <c r="AS33" s="773"/>
      <c r="AT33" s="773"/>
      <c r="AU33" s="773"/>
      <c r="AV33" s="773"/>
      <c r="AW33" s="773"/>
      <c r="AX33" s="773"/>
      <c r="AY33" s="773"/>
      <c r="AZ33" s="773"/>
      <c r="BA33" s="773"/>
      <c r="BB33" s="773"/>
      <c r="BC33" s="773"/>
      <c r="BD33" s="773"/>
      <c r="BE33" s="773"/>
      <c r="BF33" s="773"/>
      <c r="BG33" s="773"/>
      <c r="BH33" s="773"/>
      <c r="BI33" s="773"/>
      <c r="BJ33" s="773"/>
      <c r="BK33" s="773"/>
      <c r="BL33" s="773"/>
      <c r="BM33" s="773"/>
      <c r="BN33" s="773"/>
      <c r="BO33" s="773"/>
      <c r="BP33" s="773"/>
      <c r="BQ33" s="773"/>
      <c r="BR33" s="773"/>
      <c r="BS33" s="773"/>
      <c r="BT33" s="839"/>
      <c r="BU33" s="773"/>
      <c r="BV33" s="773"/>
      <c r="BW33" s="773"/>
      <c r="BX33" s="773"/>
      <c r="BY33" s="773"/>
      <c r="BZ33" s="773"/>
      <c r="CA33" s="773"/>
      <c r="CB33" s="773"/>
      <c r="CC33" s="773"/>
      <c r="CD33" s="773"/>
      <c r="CE33" s="773"/>
      <c r="CF33" s="773"/>
      <c r="CG33" s="96"/>
    </row>
    <row r="34" spans="1:85" customFormat="1" x14ac:dyDescent="0.3">
      <c r="A34" s="106" t="str">
        <f>INDEX(MO_RIS_REV,0,COLUMN())</f>
      </c>
      <c r="B34" s="111"/>
      <c r="C34" s="1097">
        <f t="shared" ref="C34:AH34" si="60">INDEX(MO_RIS_REV,0,COLUMN())</f>
      </c>
      <c r="D34" s="1097">
        <f t="shared" si="60"/>
      </c>
      <c r="E34" s="1097">
        <f t="shared" si="60"/>
      </c>
      <c r="F34" s="1097">
        <f t="shared" si="60"/>
      </c>
      <c r="G34" s="772">
        <f t="shared" si="60"/>
      </c>
      <c r="H34" s="772">
        <f t="shared" si="60"/>
      </c>
      <c r="I34" s="772">
        <f t="shared" si="60"/>
      </c>
      <c r="J34" s="772">
        <f t="shared" si="60"/>
      </c>
      <c r="K34" s="1097">
        <f t="shared" si="60"/>
      </c>
      <c r="L34" s="772">
        <f t="shared" si="60"/>
      </c>
      <c r="M34" s="772">
        <f t="shared" si="60"/>
      </c>
      <c r="N34" s="772">
        <f t="shared" si="60"/>
      </c>
      <c r="O34" s="772">
        <f t="shared" si="60"/>
      </c>
      <c r="P34" s="1097">
        <f t="shared" si="60"/>
      </c>
      <c r="Q34" s="772">
        <f t="shared" si="60"/>
      </c>
      <c r="R34" s="772">
        <f t="shared" si="60"/>
      </c>
      <c r="S34" s="772">
        <f t="shared" si="60"/>
      </c>
      <c r="T34" s="772">
        <f t="shared" si="60"/>
      </c>
      <c r="U34" s="1097">
        <f t="shared" si="60"/>
      </c>
      <c r="V34" s="772">
        <f t="shared" si="60"/>
      </c>
      <c r="W34" s="772">
        <f t="shared" si="60"/>
      </c>
      <c r="X34" s="772">
        <f t="shared" si="60"/>
      </c>
      <c r="Y34" s="772">
        <f t="shared" si="60"/>
      </c>
      <c r="Z34" s="1097">
        <f t="shared" si="60"/>
      </c>
      <c r="AA34" s="772">
        <f t="shared" si="60"/>
      </c>
      <c r="AB34" s="772">
        <f t="shared" si="60"/>
      </c>
      <c r="AC34" s="772">
        <f t="shared" si="60"/>
      </c>
      <c r="AD34" s="772">
        <f t="shared" si="60"/>
      </c>
      <c r="AE34" s="1097">
        <f t="shared" si="60"/>
      </c>
      <c r="AF34" s="772">
        <f t="shared" si="60"/>
      </c>
      <c r="AG34" s="772">
        <f t="shared" si="60"/>
      </c>
      <c r="AH34" s="772">
        <f t="shared" si="60"/>
      </c>
      <c r="AI34" s="772">
        <f t="shared" ref="AI34:BD34" si="61">INDEX(MO_RIS_REV,0,COLUMN())</f>
      </c>
      <c r="AJ34" s="1097">
        <f t="shared" si="61"/>
      </c>
      <c r="AK34" s="772">
        <f t="shared" si="61"/>
      </c>
      <c r="AL34" s="772">
        <f t="shared" si="61"/>
      </c>
      <c r="AM34" s="772">
        <f t="shared" si="61"/>
      </c>
      <c r="AN34" s="772">
        <f t="shared" si="61"/>
      </c>
      <c r="AO34" s="1097">
        <f t="shared" si="61"/>
      </c>
      <c r="AP34" s="772">
        <f t="shared" si="61"/>
      </c>
      <c r="AQ34" s="772">
        <f t="shared" si="61"/>
      </c>
      <c r="AR34" s="772">
        <f t="shared" si="61"/>
      </c>
      <c r="AS34" s="772">
        <f t="shared" si="61"/>
      </c>
      <c r="AT34" s="1097">
        <f t="shared" si="61"/>
      </c>
      <c r="AU34" s="772">
        <f t="shared" si="61"/>
      </c>
      <c r="AV34" s="772">
        <f t="shared" si="61"/>
      </c>
      <c r="AW34" s="772">
        <f t="shared" si="61"/>
      </c>
      <c r="AX34" s="772">
        <f t="shared" si="61"/>
      </c>
      <c r="AY34" s="1097">
        <f t="shared" si="61"/>
      </c>
      <c r="AZ34" s="772">
        <f t="shared" si="61"/>
      </c>
      <c r="BA34" s="772">
        <f t="shared" si="61"/>
      </c>
      <c r="BB34" s="772">
        <f t="shared" si="61"/>
      </c>
      <c r="BC34" s="772">
        <f t="shared" si="61"/>
      </c>
      <c r="BD34" s="1097">
        <f t="shared" si="61"/>
      </c>
      <c r="BE34" s="772">
        <f t="shared" ref="BE34:BJ34" si="62">INDEX(MO_RIS_REV,0,COLUMN())</f>
      </c>
      <c r="BF34" s="772">
        <f t="shared" si="62"/>
      </c>
      <c r="BG34" s="772">
        <f t="shared" si="62"/>
      </c>
      <c r="BH34" s="772">
        <f t="shared" si="62"/>
      </c>
      <c r="BI34" s="1097">
        <f t="shared" si="62"/>
      </c>
      <c r="BJ34" s="772">
        <f t="shared" si="62"/>
      </c>
      <c r="BK34" s="772">
        <f t="shared" ref="BK34:BP34" si="63">INDEX(MO_RIS_REV,0,COLUMN())</f>
      </c>
      <c r="BL34" s="772">
        <f t="shared" si="63"/>
      </c>
      <c r="BM34" s="772">
        <f t="shared" si="63"/>
      </c>
      <c r="BN34" s="1097">
        <f t="shared" si="63"/>
      </c>
      <c r="BO34" s="772">
        <f t="shared" si="63"/>
      </c>
      <c r="BP34" s="772">
        <f t="shared" si="63"/>
      </c>
      <c r="BQ34" s="772">
        <f>INDEX(MO_RIS_REV,0,COLUMN())</f>
      </c>
      <c r="BR34" s="772">
        <f>INDEX(MO_RIS_REV,0,COLUMN())</f>
      </c>
      <c r="BS34" s="1097">
        <f>INDEX(MO_RIS_REV,0,COLUMN())</f>
      </c>
      <c r="BT34" s="838">
        <f>INDEX(MO_RIS_REV,0,COLUMN())</f>
      </c>
      <c r="BU34" s="772">
        <f t="shared" ref="BU34:BX34" si="64">INDEX(MO_RIS_REV,0,COLUMN())</f>
      </c>
      <c r="BV34" s="772">
        <f t="shared" si="64"/>
      </c>
      <c r="BW34" s="772">
        <f t="shared" si="64"/>
      </c>
      <c r="BX34" s="1097">
        <f t="shared" si="64"/>
      </c>
      <c r="BY34" s="772">
        <f t="shared" ref="BY34:CF34" si="65">INDEX(MO_RIS_REV,0,COLUMN())</f>
      </c>
      <c r="BZ34" s="772">
        <f t="shared" si="65"/>
      </c>
      <c r="CA34" s="772">
        <f t="shared" si="65"/>
      </c>
      <c r="CB34" s="772">
        <f t="shared" si="65"/>
      </c>
      <c r="CC34" s="1097">
        <f t="shared" si="65"/>
      </c>
      <c r="CD34" s="1097">
        <f t="shared" si="65"/>
      </c>
      <c r="CE34" s="1097">
        <f t="shared" si="65"/>
      </c>
      <c r="CF34" s="1097">
        <f t="shared" si="65"/>
      </c>
      <c r="CG34" s="772"/>
    </row>
    <row r="35" spans="1:85" customFormat="1" x14ac:dyDescent="0.3">
      <c r="A35" s="107" t="str">
        <f>INDEX(MO_RIS_COGS,0,COLUMN())</f>
      </c>
      <c r="B35" s="108"/>
      <c r="C35" s="78">
        <f t="shared" ref="C35:AH35" si="66">INDEX(MO_RIS_COGS,0,COLUMN())</f>
      </c>
      <c r="D35" s="78">
        <f t="shared" si="66"/>
      </c>
      <c r="E35" s="78">
        <f t="shared" si="66"/>
      </c>
      <c r="F35" s="78">
        <f t="shared" si="66"/>
      </c>
      <c r="G35" s="774">
        <f t="shared" si="66"/>
      </c>
      <c r="H35" s="774">
        <f t="shared" si="66"/>
      </c>
      <c r="I35" s="774">
        <f t="shared" si="66"/>
      </c>
      <c r="J35" s="774">
        <f t="shared" si="66"/>
      </c>
      <c r="K35" s="78">
        <f t="shared" si="66"/>
      </c>
      <c r="L35" s="774">
        <f t="shared" si="66"/>
      </c>
      <c r="M35" s="774">
        <f t="shared" si="66"/>
      </c>
      <c r="N35" s="774">
        <f t="shared" si="66"/>
      </c>
      <c r="O35" s="774">
        <f t="shared" si="66"/>
      </c>
      <c r="P35" s="78">
        <f t="shared" si="66"/>
      </c>
      <c r="Q35" s="774">
        <f t="shared" si="66"/>
      </c>
      <c r="R35" s="774">
        <f t="shared" si="66"/>
      </c>
      <c r="S35" s="774">
        <f t="shared" si="66"/>
      </c>
      <c r="T35" s="774">
        <f t="shared" si="66"/>
      </c>
      <c r="U35" s="78">
        <f t="shared" si="66"/>
      </c>
      <c r="V35" s="774">
        <f t="shared" si="66"/>
      </c>
      <c r="W35" s="774">
        <f t="shared" si="66"/>
      </c>
      <c r="X35" s="774">
        <f t="shared" si="66"/>
      </c>
      <c r="Y35" s="774">
        <f t="shared" si="66"/>
      </c>
      <c r="Z35" s="78">
        <f t="shared" si="66"/>
      </c>
      <c r="AA35" s="774">
        <f t="shared" si="66"/>
      </c>
      <c r="AB35" s="774">
        <f t="shared" si="66"/>
      </c>
      <c r="AC35" s="774">
        <f t="shared" si="66"/>
      </c>
      <c r="AD35" s="774">
        <f t="shared" si="66"/>
      </c>
      <c r="AE35" s="78">
        <f t="shared" si="66"/>
      </c>
      <c r="AF35" s="774">
        <f t="shared" si="66"/>
      </c>
      <c r="AG35" s="774">
        <f t="shared" si="66"/>
      </c>
      <c r="AH35" s="774">
        <f t="shared" si="66"/>
      </c>
      <c r="AI35" s="774">
        <f t="shared" ref="AI35:BD35" si="67">INDEX(MO_RIS_COGS,0,COLUMN())</f>
      </c>
      <c r="AJ35" s="78">
        <f t="shared" si="67"/>
      </c>
      <c r="AK35" s="774">
        <f t="shared" si="67"/>
      </c>
      <c r="AL35" s="774">
        <f t="shared" si="67"/>
      </c>
      <c r="AM35" s="774">
        <f t="shared" si="67"/>
      </c>
      <c r="AN35" s="774">
        <f t="shared" si="67"/>
      </c>
      <c r="AO35" s="78">
        <f t="shared" si="67"/>
      </c>
      <c r="AP35" s="774">
        <f t="shared" si="67"/>
      </c>
      <c r="AQ35" s="774">
        <f t="shared" si="67"/>
      </c>
      <c r="AR35" s="774">
        <f t="shared" si="67"/>
      </c>
      <c r="AS35" s="774">
        <f t="shared" si="67"/>
      </c>
      <c r="AT35" s="78">
        <f t="shared" si="67"/>
      </c>
      <c r="AU35" s="774">
        <f t="shared" si="67"/>
      </c>
      <c r="AV35" s="774">
        <f t="shared" si="67"/>
      </c>
      <c r="AW35" s="774">
        <f t="shared" si="67"/>
      </c>
      <c r="AX35" s="774">
        <f t="shared" si="67"/>
      </c>
      <c r="AY35" s="78">
        <f t="shared" si="67"/>
      </c>
      <c r="AZ35" s="774">
        <f t="shared" si="67"/>
      </c>
      <c r="BA35" s="774">
        <f t="shared" si="67"/>
      </c>
      <c r="BB35" s="774">
        <f t="shared" si="67"/>
      </c>
      <c r="BC35" s="774">
        <f t="shared" si="67"/>
      </c>
      <c r="BD35" s="78">
        <f t="shared" si="67"/>
      </c>
      <c r="BE35" s="774">
        <f t="shared" ref="BE35:BJ35" si="68">INDEX(MO_RIS_COGS,0,COLUMN())</f>
      </c>
      <c r="BF35" s="774">
        <f t="shared" si="68"/>
      </c>
      <c r="BG35" s="774">
        <f t="shared" si="68"/>
      </c>
      <c r="BH35" s="774">
        <f t="shared" si="68"/>
      </c>
      <c r="BI35" s="78">
        <f t="shared" si="68"/>
      </c>
      <c r="BJ35" s="774">
        <f t="shared" si="68"/>
      </c>
      <c r="BK35" s="774">
        <f t="shared" ref="BK35:BP35" si="69">INDEX(MO_RIS_COGS,0,COLUMN())</f>
      </c>
      <c r="BL35" s="774">
        <f t="shared" si="69"/>
      </c>
      <c r="BM35" s="774">
        <f t="shared" si="69"/>
      </c>
      <c r="BN35" s="78">
        <f t="shared" si="69"/>
      </c>
      <c r="BO35" s="774">
        <f t="shared" si="69"/>
      </c>
      <c r="BP35" s="774">
        <f t="shared" si="69"/>
      </c>
      <c r="BQ35" s="774">
        <f>INDEX(MO_RIS_COGS,0,COLUMN())</f>
      </c>
      <c r="BR35" s="774">
        <f>INDEX(MO_RIS_COGS,0,COLUMN())</f>
      </c>
      <c r="BS35" s="78">
        <f>INDEX(MO_RIS_COGS,0,COLUMN())</f>
      </c>
      <c r="BT35" s="775">
        <f>INDEX(MO_RIS_COGS,0,COLUMN())</f>
      </c>
      <c r="BU35" s="774">
        <f t="shared" ref="BU35:BX35" si="70">INDEX(MO_RIS_COGS,0,COLUMN())</f>
      </c>
      <c r="BV35" s="774">
        <f t="shared" si="70"/>
      </c>
      <c r="BW35" s="774">
        <f t="shared" si="70"/>
      </c>
      <c r="BX35" s="78">
        <f t="shared" si="70"/>
      </c>
      <c r="BY35" s="774">
        <f t="shared" ref="BY35:CF35" si="71">INDEX(MO_RIS_COGS,0,COLUMN())</f>
      </c>
      <c r="BZ35" s="774">
        <f t="shared" si="71"/>
      </c>
      <c r="CA35" s="774">
        <f t="shared" si="71"/>
      </c>
      <c r="CB35" s="774">
        <f t="shared" si="71"/>
      </c>
      <c r="CC35" s="78">
        <f t="shared" si="71"/>
      </c>
      <c r="CD35" s="78">
        <f t="shared" si="71"/>
      </c>
      <c r="CE35" s="78">
        <f t="shared" si="71"/>
      </c>
      <c r="CF35" s="78">
        <f t="shared" si="71"/>
      </c>
      <c r="CG35" s="774"/>
    </row>
    <row r="36" spans="1:85" customFormat="1" x14ac:dyDescent="0.3">
      <c r="A36" s="107" t="str">
        <f>INDEX(MO_RIS_SM,0,COLUMN())</f>
      </c>
      <c r="B36" s="108"/>
      <c r="C36" s="78">
        <f t="shared" ref="C36:AH36" si="72">INDEX(MO_RIS_SM,0,COLUMN())</f>
      </c>
      <c r="D36" s="78">
        <f t="shared" si="72"/>
      </c>
      <c r="E36" s="78">
        <f t="shared" si="72"/>
      </c>
      <c r="F36" s="78">
        <f t="shared" si="72"/>
      </c>
      <c r="G36" s="774">
        <f t="shared" si="72"/>
      </c>
      <c r="H36" s="774">
        <f t="shared" si="72"/>
      </c>
      <c r="I36" s="774">
        <f t="shared" si="72"/>
      </c>
      <c r="J36" s="774">
        <f t="shared" si="72"/>
      </c>
      <c r="K36" s="78">
        <f t="shared" si="72"/>
      </c>
      <c r="L36" s="774">
        <f t="shared" si="72"/>
      </c>
      <c r="M36" s="774">
        <f t="shared" si="72"/>
      </c>
      <c r="N36" s="774">
        <f t="shared" si="72"/>
      </c>
      <c r="O36" s="774">
        <f t="shared" si="72"/>
      </c>
      <c r="P36" s="78">
        <f t="shared" si="72"/>
      </c>
      <c r="Q36" s="774">
        <f t="shared" si="72"/>
      </c>
      <c r="R36" s="774">
        <f t="shared" si="72"/>
      </c>
      <c r="S36" s="774">
        <f t="shared" si="72"/>
      </c>
      <c r="T36" s="774">
        <f t="shared" si="72"/>
      </c>
      <c r="U36" s="78">
        <f t="shared" si="72"/>
      </c>
      <c r="V36" s="774">
        <f t="shared" si="72"/>
      </c>
      <c r="W36" s="774">
        <f t="shared" si="72"/>
      </c>
      <c r="X36" s="774">
        <f t="shared" si="72"/>
      </c>
      <c r="Y36" s="774">
        <f t="shared" si="72"/>
      </c>
      <c r="Z36" s="78">
        <f t="shared" si="72"/>
      </c>
      <c r="AA36" s="774">
        <f t="shared" si="72"/>
      </c>
      <c r="AB36" s="774">
        <f t="shared" si="72"/>
      </c>
      <c r="AC36" s="774">
        <f t="shared" si="72"/>
      </c>
      <c r="AD36" s="774">
        <f t="shared" si="72"/>
      </c>
      <c r="AE36" s="78">
        <f t="shared" si="72"/>
      </c>
      <c r="AF36" s="774">
        <f t="shared" si="72"/>
      </c>
      <c r="AG36" s="774">
        <f t="shared" si="72"/>
      </c>
      <c r="AH36" s="774">
        <f t="shared" si="72"/>
      </c>
      <c r="AI36" s="774">
        <f t="shared" ref="AI36:BD36" si="73">INDEX(MO_RIS_SM,0,COLUMN())</f>
      </c>
      <c r="AJ36" s="78">
        <f t="shared" si="73"/>
      </c>
      <c r="AK36" s="774">
        <f t="shared" si="73"/>
      </c>
      <c r="AL36" s="774">
        <f t="shared" si="73"/>
      </c>
      <c r="AM36" s="774">
        <f t="shared" si="73"/>
      </c>
      <c r="AN36" s="774">
        <f t="shared" si="73"/>
      </c>
      <c r="AO36" s="78">
        <f t="shared" si="73"/>
      </c>
      <c r="AP36" s="774">
        <f t="shared" si="73"/>
      </c>
      <c r="AQ36" s="774">
        <f t="shared" si="73"/>
      </c>
      <c r="AR36" s="774">
        <f t="shared" si="73"/>
      </c>
      <c r="AS36" s="774">
        <f t="shared" si="73"/>
      </c>
      <c r="AT36" s="78">
        <f t="shared" si="73"/>
      </c>
      <c r="AU36" s="774">
        <f t="shared" si="73"/>
      </c>
      <c r="AV36" s="774">
        <f t="shared" si="73"/>
      </c>
      <c r="AW36" s="774">
        <f t="shared" si="73"/>
      </c>
      <c r="AX36" s="774">
        <f t="shared" si="73"/>
      </c>
      <c r="AY36" s="78">
        <f t="shared" si="73"/>
      </c>
      <c r="AZ36" s="774">
        <f t="shared" si="73"/>
      </c>
      <c r="BA36" s="774">
        <f t="shared" si="73"/>
      </c>
      <c r="BB36" s="774">
        <f t="shared" si="73"/>
      </c>
      <c r="BC36" s="774">
        <f t="shared" si="73"/>
      </c>
      <c r="BD36" s="78">
        <f t="shared" si="73"/>
      </c>
      <c r="BE36" s="774">
        <f t="shared" ref="BE36:BJ36" si="74">INDEX(MO_RIS_SM,0,COLUMN())</f>
      </c>
      <c r="BF36" s="774">
        <f t="shared" si="74"/>
      </c>
      <c r="BG36" s="774">
        <f t="shared" si="74"/>
      </c>
      <c r="BH36" s="774">
        <f t="shared" si="74"/>
      </c>
      <c r="BI36" s="78">
        <f t="shared" si="74"/>
      </c>
      <c r="BJ36" s="774">
        <f t="shared" si="74"/>
      </c>
      <c r="BK36" s="774">
        <f t="shared" ref="BK36:BP36" si="75">INDEX(MO_RIS_SM,0,COLUMN())</f>
      </c>
      <c r="BL36" s="774">
        <f t="shared" si="75"/>
      </c>
      <c r="BM36" s="774">
        <f t="shared" si="75"/>
      </c>
      <c r="BN36" s="78">
        <f t="shared" si="75"/>
      </c>
      <c r="BO36" s="774">
        <f t="shared" si="75"/>
      </c>
      <c r="BP36" s="774">
        <f t="shared" si="75"/>
      </c>
      <c r="BQ36" s="774">
        <f>INDEX(MO_RIS_SM,0,COLUMN())</f>
      </c>
      <c r="BR36" s="774">
        <f>INDEX(MO_RIS_SM,0,COLUMN())</f>
      </c>
      <c r="BS36" s="78">
        <f>INDEX(MO_RIS_SM,0,COLUMN())</f>
      </c>
      <c r="BT36" s="775">
        <f>INDEX(MO_RIS_SM,0,COLUMN())</f>
      </c>
      <c r="BU36" s="774">
        <f t="shared" ref="BU36:BX36" si="76">INDEX(MO_RIS_SM,0,COLUMN())</f>
      </c>
      <c r="BV36" s="774">
        <f t="shared" si="76"/>
      </c>
      <c r="BW36" s="774">
        <f t="shared" si="76"/>
      </c>
      <c r="BX36" s="78">
        <f t="shared" si="76"/>
      </c>
      <c r="BY36" s="774">
        <f t="shared" ref="BY36:CF36" si="77">INDEX(MO_RIS_SM,0,COLUMN())</f>
      </c>
      <c r="BZ36" s="774">
        <f t="shared" si="77"/>
      </c>
      <c r="CA36" s="774">
        <f t="shared" si="77"/>
      </c>
      <c r="CB36" s="774">
        <f t="shared" si="77"/>
      </c>
      <c r="CC36" s="78">
        <f t="shared" si="77"/>
      </c>
      <c r="CD36" s="78">
        <f t="shared" si="77"/>
      </c>
      <c r="CE36" s="78">
        <f t="shared" si="77"/>
      </c>
      <c r="CF36" s="78">
        <f t="shared" si="77"/>
      </c>
      <c r="CG36" s="774"/>
    </row>
    <row r="37" spans="1:85" customFormat="1" x14ac:dyDescent="0.3">
      <c r="A37" s="107" t="str">
        <f>INDEX(MO_RIS_GA,0,COLUMN())</f>
      </c>
      <c r="B37" s="108"/>
      <c r="C37" s="78">
        <f t="shared" ref="C37:AH37" si="78">INDEX(MO_RIS_GA,0,COLUMN())</f>
      </c>
      <c r="D37" s="78">
        <f t="shared" si="78"/>
      </c>
      <c r="E37" s="78">
        <f t="shared" si="78"/>
      </c>
      <c r="F37" s="78">
        <f t="shared" si="78"/>
      </c>
      <c r="G37" s="774">
        <f t="shared" si="78"/>
      </c>
      <c r="H37" s="774">
        <f t="shared" si="78"/>
      </c>
      <c r="I37" s="774">
        <f t="shared" si="78"/>
      </c>
      <c r="J37" s="774">
        <f t="shared" si="78"/>
      </c>
      <c r="K37" s="78">
        <f t="shared" si="78"/>
      </c>
      <c r="L37" s="774">
        <f t="shared" si="78"/>
      </c>
      <c r="M37" s="774">
        <f t="shared" si="78"/>
      </c>
      <c r="N37" s="774">
        <f t="shared" si="78"/>
      </c>
      <c r="O37" s="774">
        <f t="shared" si="78"/>
      </c>
      <c r="P37" s="78">
        <f t="shared" si="78"/>
      </c>
      <c r="Q37" s="774">
        <f t="shared" si="78"/>
      </c>
      <c r="R37" s="774">
        <f t="shared" si="78"/>
      </c>
      <c r="S37" s="774">
        <f t="shared" si="78"/>
      </c>
      <c r="T37" s="774">
        <f t="shared" si="78"/>
      </c>
      <c r="U37" s="78">
        <f t="shared" si="78"/>
      </c>
      <c r="V37" s="774">
        <f t="shared" si="78"/>
      </c>
      <c r="W37" s="774">
        <f t="shared" si="78"/>
      </c>
      <c r="X37" s="774">
        <f t="shared" si="78"/>
      </c>
      <c r="Y37" s="774">
        <f t="shared" si="78"/>
      </c>
      <c r="Z37" s="78">
        <f t="shared" si="78"/>
      </c>
      <c r="AA37" s="774">
        <f t="shared" si="78"/>
      </c>
      <c r="AB37" s="774">
        <f t="shared" si="78"/>
      </c>
      <c r="AC37" s="774">
        <f t="shared" si="78"/>
      </c>
      <c r="AD37" s="774">
        <f t="shared" si="78"/>
      </c>
      <c r="AE37" s="78">
        <f t="shared" si="78"/>
      </c>
      <c r="AF37" s="774">
        <f t="shared" si="78"/>
      </c>
      <c r="AG37" s="774">
        <f t="shared" si="78"/>
      </c>
      <c r="AH37" s="774">
        <f t="shared" si="78"/>
      </c>
      <c r="AI37" s="774">
        <f t="shared" ref="AI37:BD37" si="79">INDEX(MO_RIS_GA,0,COLUMN())</f>
      </c>
      <c r="AJ37" s="78">
        <f t="shared" si="79"/>
      </c>
      <c r="AK37" s="774">
        <f t="shared" si="79"/>
      </c>
      <c r="AL37" s="774">
        <f t="shared" si="79"/>
      </c>
      <c r="AM37" s="774">
        <f t="shared" si="79"/>
      </c>
      <c r="AN37" s="774">
        <f t="shared" si="79"/>
      </c>
      <c r="AO37" s="78">
        <f t="shared" si="79"/>
      </c>
      <c r="AP37" s="774">
        <f t="shared" si="79"/>
      </c>
      <c r="AQ37" s="774">
        <f t="shared" si="79"/>
      </c>
      <c r="AR37" s="774">
        <f t="shared" si="79"/>
      </c>
      <c r="AS37" s="774">
        <f t="shared" si="79"/>
      </c>
      <c r="AT37" s="78">
        <f t="shared" si="79"/>
      </c>
      <c r="AU37" s="774">
        <f t="shared" si="79"/>
      </c>
      <c r="AV37" s="774">
        <f t="shared" si="79"/>
      </c>
      <c r="AW37" s="774">
        <f t="shared" si="79"/>
      </c>
      <c r="AX37" s="774">
        <f t="shared" si="79"/>
      </c>
      <c r="AY37" s="78">
        <f t="shared" si="79"/>
      </c>
      <c r="AZ37" s="774">
        <f t="shared" si="79"/>
      </c>
      <c r="BA37" s="774">
        <f t="shared" si="79"/>
      </c>
      <c r="BB37" s="774">
        <f t="shared" si="79"/>
      </c>
      <c r="BC37" s="774">
        <f t="shared" si="79"/>
      </c>
      <c r="BD37" s="78">
        <f t="shared" si="79"/>
      </c>
      <c r="BE37" s="774">
        <f t="shared" ref="BE37:BJ37" si="80">INDEX(MO_RIS_GA,0,COLUMN())</f>
      </c>
      <c r="BF37" s="774">
        <f t="shared" si="80"/>
      </c>
      <c r="BG37" s="774">
        <f t="shared" si="80"/>
      </c>
      <c r="BH37" s="774">
        <f t="shared" si="80"/>
      </c>
      <c r="BI37" s="78">
        <f t="shared" si="80"/>
      </c>
      <c r="BJ37" s="774">
        <f t="shared" si="80"/>
      </c>
      <c r="BK37" s="774">
        <f t="shared" ref="BK37:BP37" si="81">INDEX(MO_RIS_GA,0,COLUMN())</f>
      </c>
      <c r="BL37" s="774">
        <f t="shared" si="81"/>
      </c>
      <c r="BM37" s="774">
        <f t="shared" si="81"/>
      </c>
      <c r="BN37" s="78">
        <f t="shared" si="81"/>
      </c>
      <c r="BO37" s="774">
        <f t="shared" si="81"/>
      </c>
      <c r="BP37" s="774">
        <f t="shared" si="81"/>
      </c>
      <c r="BQ37" s="774">
        <f>INDEX(MO_RIS_GA,0,COLUMN())</f>
      </c>
      <c r="BR37" s="774">
        <f>INDEX(MO_RIS_GA,0,COLUMN())</f>
      </c>
      <c r="BS37" s="78">
        <f>INDEX(MO_RIS_GA,0,COLUMN())</f>
      </c>
      <c r="BT37" s="775">
        <f>INDEX(MO_RIS_GA,0,COLUMN())</f>
      </c>
      <c r="BU37" s="774">
        <f t="shared" ref="BU37:BX37" si="82">INDEX(MO_RIS_GA,0,COLUMN())</f>
      </c>
      <c r="BV37" s="774">
        <f t="shared" si="82"/>
      </c>
      <c r="BW37" s="774">
        <f t="shared" si="82"/>
      </c>
      <c r="BX37" s="78">
        <f t="shared" si="82"/>
      </c>
      <c r="BY37" s="774">
        <f t="shared" ref="BY37:CF37" si="83">INDEX(MO_RIS_GA,0,COLUMN())</f>
      </c>
      <c r="BZ37" s="774">
        <f t="shared" si="83"/>
      </c>
      <c r="CA37" s="774">
        <f t="shared" si="83"/>
      </c>
      <c r="CB37" s="774">
        <f t="shared" si="83"/>
      </c>
      <c r="CC37" s="78">
        <f t="shared" si="83"/>
      </c>
      <c r="CD37" s="78">
        <f t="shared" si="83"/>
      </c>
      <c r="CE37" s="78">
        <f t="shared" si="83"/>
      </c>
      <c r="CF37" s="78">
        <f t="shared" si="83"/>
      </c>
      <c r="CG37" s="774"/>
    </row>
    <row r="38" spans="1:85" customFormat="1" x14ac:dyDescent="0.3">
      <c r="A38" s="174" t="str">
        <f>INDEX(MO_RIS_RD,0,COLUMN())</f>
      </c>
      <c r="B38" s="175"/>
      <c r="C38" s="1100">
        <f t="shared" ref="C38:AH38" si="84">INDEX(MO_RIS_RD,0,COLUMN())</f>
      </c>
      <c r="D38" s="1100">
        <f t="shared" si="84"/>
      </c>
      <c r="E38" s="1100">
        <f t="shared" si="84"/>
      </c>
      <c r="F38" s="1100">
        <f t="shared" si="84"/>
      </c>
      <c r="G38" s="840">
        <f t="shared" si="84"/>
      </c>
      <c r="H38" s="840">
        <f t="shared" si="84"/>
      </c>
      <c r="I38" s="840">
        <f t="shared" si="84"/>
      </c>
      <c r="J38" s="840">
        <f t="shared" si="84"/>
      </c>
      <c r="K38" s="1100">
        <f t="shared" si="84"/>
      </c>
      <c r="L38" s="840">
        <f t="shared" si="84"/>
      </c>
      <c r="M38" s="840">
        <f t="shared" si="84"/>
      </c>
      <c r="N38" s="840">
        <f t="shared" si="84"/>
      </c>
      <c r="O38" s="840">
        <f t="shared" si="84"/>
      </c>
      <c r="P38" s="1100">
        <f t="shared" si="84"/>
      </c>
      <c r="Q38" s="840">
        <f t="shared" si="84"/>
      </c>
      <c r="R38" s="840">
        <f t="shared" si="84"/>
      </c>
      <c r="S38" s="840">
        <f t="shared" si="84"/>
      </c>
      <c r="T38" s="840">
        <f t="shared" si="84"/>
      </c>
      <c r="U38" s="1100">
        <f t="shared" si="84"/>
      </c>
      <c r="V38" s="840">
        <f t="shared" si="84"/>
      </c>
      <c r="W38" s="840">
        <f t="shared" si="84"/>
      </c>
      <c r="X38" s="840">
        <f t="shared" si="84"/>
      </c>
      <c r="Y38" s="840">
        <f t="shared" si="84"/>
      </c>
      <c r="Z38" s="1100">
        <f t="shared" si="84"/>
      </c>
      <c r="AA38" s="840">
        <f t="shared" si="84"/>
      </c>
      <c r="AB38" s="840">
        <f t="shared" si="84"/>
      </c>
      <c r="AC38" s="840">
        <f t="shared" si="84"/>
      </c>
      <c r="AD38" s="840">
        <f t="shared" si="84"/>
      </c>
      <c r="AE38" s="1100">
        <f t="shared" si="84"/>
      </c>
      <c r="AF38" s="840">
        <f t="shared" si="84"/>
      </c>
      <c r="AG38" s="840">
        <f t="shared" si="84"/>
      </c>
      <c r="AH38" s="840">
        <f t="shared" si="84"/>
      </c>
      <c r="AI38" s="840">
        <f t="shared" ref="AI38:BD38" si="85">INDEX(MO_RIS_RD,0,COLUMN())</f>
      </c>
      <c r="AJ38" s="1100">
        <f t="shared" si="85"/>
      </c>
      <c r="AK38" s="840">
        <f t="shared" si="85"/>
      </c>
      <c r="AL38" s="840">
        <f t="shared" si="85"/>
      </c>
      <c r="AM38" s="840">
        <f t="shared" si="85"/>
      </c>
      <c r="AN38" s="840">
        <f t="shared" si="85"/>
      </c>
      <c r="AO38" s="1100">
        <f t="shared" si="85"/>
      </c>
      <c r="AP38" s="840">
        <f t="shared" si="85"/>
      </c>
      <c r="AQ38" s="840">
        <f t="shared" si="85"/>
      </c>
      <c r="AR38" s="840">
        <f t="shared" si="85"/>
      </c>
      <c r="AS38" s="840">
        <f t="shared" si="85"/>
      </c>
      <c r="AT38" s="1100">
        <f t="shared" si="85"/>
      </c>
      <c r="AU38" s="840">
        <f t="shared" si="85"/>
      </c>
      <c r="AV38" s="840">
        <f t="shared" si="85"/>
      </c>
      <c r="AW38" s="840">
        <f t="shared" si="85"/>
      </c>
      <c r="AX38" s="840">
        <f t="shared" si="85"/>
      </c>
      <c r="AY38" s="1100">
        <f t="shared" si="85"/>
      </c>
      <c r="AZ38" s="840">
        <f t="shared" si="85"/>
      </c>
      <c r="BA38" s="840">
        <f t="shared" si="85"/>
      </c>
      <c r="BB38" s="840">
        <f t="shared" si="85"/>
      </c>
      <c r="BC38" s="840">
        <f t="shared" si="85"/>
      </c>
      <c r="BD38" s="1100">
        <f t="shared" si="85"/>
      </c>
      <c r="BE38" s="840">
        <f t="shared" ref="BE38:BJ38" si="86">INDEX(MO_RIS_RD,0,COLUMN())</f>
      </c>
      <c r="BF38" s="840">
        <f t="shared" si="86"/>
      </c>
      <c r="BG38" s="840">
        <f t="shared" si="86"/>
      </c>
      <c r="BH38" s="840">
        <f t="shared" si="86"/>
      </c>
      <c r="BI38" s="1100">
        <f t="shared" si="86"/>
      </c>
      <c r="BJ38" s="840">
        <f t="shared" si="86"/>
      </c>
      <c r="BK38" s="840">
        <f t="shared" ref="BK38:BP38" si="87">INDEX(MO_RIS_RD,0,COLUMN())</f>
      </c>
      <c r="BL38" s="840">
        <f t="shared" si="87"/>
      </c>
      <c r="BM38" s="840">
        <f t="shared" si="87"/>
      </c>
      <c r="BN38" s="1100">
        <f t="shared" si="87"/>
      </c>
      <c r="BO38" s="840">
        <f t="shared" si="87"/>
      </c>
      <c r="BP38" s="840">
        <f t="shared" si="87"/>
      </c>
      <c r="BQ38" s="840">
        <f>INDEX(MO_RIS_RD,0,COLUMN())</f>
      </c>
      <c r="BR38" s="840">
        <f>INDEX(MO_RIS_RD,0,COLUMN())</f>
      </c>
      <c r="BS38" s="1100">
        <f>INDEX(MO_RIS_RD,0,COLUMN())</f>
      </c>
      <c r="BT38" s="841">
        <f>INDEX(MO_RIS_RD,0,COLUMN())</f>
      </c>
      <c r="BU38" s="840">
        <f t="shared" ref="BU38:BX38" si="88">INDEX(MO_RIS_RD,0,COLUMN())</f>
      </c>
      <c r="BV38" s="840">
        <f t="shared" si="88"/>
      </c>
      <c r="BW38" s="840">
        <f t="shared" si="88"/>
      </c>
      <c r="BX38" s="1100">
        <f t="shared" si="88"/>
      </c>
      <c r="BY38" s="840">
        <f t="shared" ref="BY38:CF38" si="89">INDEX(MO_RIS_RD,0,COLUMN())</f>
      </c>
      <c r="BZ38" s="840">
        <f t="shared" si="89"/>
      </c>
      <c r="CA38" s="840">
        <f t="shared" si="89"/>
      </c>
      <c r="CB38" s="840">
        <f t="shared" si="89"/>
      </c>
      <c r="CC38" s="1100">
        <f t="shared" si="89"/>
      </c>
      <c r="CD38" s="1100">
        <f t="shared" si="89"/>
      </c>
      <c r="CE38" s="1100">
        <f t="shared" si="89"/>
      </c>
      <c r="CF38" s="1100">
        <f t="shared" si="89"/>
      </c>
      <c r="CG38" s="774"/>
    </row>
    <row r="39" spans="1:85" customFormat="1" x14ac:dyDescent="0.3">
      <c r="A39" s="109" t="str">
        <f>INDEX(MO_RIS_EBIT,0,COLUMN())</f>
      </c>
      <c r="B39" s="110"/>
      <c r="C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D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E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F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G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H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I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J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K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L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M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N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O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P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Q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R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S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T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U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V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W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X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Y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Z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A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B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C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D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E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F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G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H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I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J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K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L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M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N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O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P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Q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R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S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T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U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V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W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X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Y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AZ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A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B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C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D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E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F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G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H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I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J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K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L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M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N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O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P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Q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R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S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T39" s="843">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U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V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W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X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Y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BZ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A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B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C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D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E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F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c>
      <c r="CG39" s="772"/>
    </row>
    <row r="40" spans="1:85" customFormat="1" x14ac:dyDescent="0.3">
      <c r="A40" s="107" t="str">
        <f>INDEX(MO_RIS_IE,0,COLUMN())</f>
      </c>
      <c r="B40" s="108"/>
      <c r="C40" s="78">
        <f>IFERROR(INDEX(MO_RIS_IE_Net,0,COLUMN()),INDEX(MO_RIS_IE,0,COLUMN())+INDEX(MO_RIS_II,0,COLUMN()))</f>
      </c>
      <c r="D40" s="78">
        <f>IFERROR(INDEX(MO_RIS_IE_Net,0,COLUMN()),INDEX(MO_RIS_IE,0,COLUMN())+INDEX(MO_RIS_II,0,COLUMN()))</f>
      </c>
      <c r="E40" s="78">
        <f>IFERROR(INDEX(MO_RIS_IE_Net,0,COLUMN()),INDEX(MO_RIS_IE,0,COLUMN())+INDEX(MO_RIS_II,0,COLUMN()))</f>
      </c>
      <c r="F40" s="78">
        <f>IFERROR(INDEX(MO_RIS_IE_Net,0,COLUMN()),INDEX(MO_RIS_IE,0,COLUMN())+INDEX(MO_RIS_II,0,COLUMN()))</f>
      </c>
      <c r="G40" s="774">
        <f>IFERROR(INDEX(MO_RIS_IE_Net,0,COLUMN()),INDEX(MO_RIS_IE,0,COLUMN())+INDEX(MO_RIS_II,0,COLUMN()))</f>
      </c>
      <c r="H40" s="774">
        <f>IFERROR(INDEX(MO_RIS_IE_Net,0,COLUMN()),INDEX(MO_RIS_IE,0,COLUMN())+INDEX(MO_RIS_II,0,COLUMN()))</f>
      </c>
      <c r="I40" s="774">
        <f>IFERROR(INDEX(MO_RIS_IE_Net,0,COLUMN()),INDEX(MO_RIS_IE,0,COLUMN())+INDEX(MO_RIS_II,0,COLUMN()))</f>
      </c>
      <c r="J40" s="774">
        <f>IFERROR(INDEX(MO_RIS_IE_Net,0,COLUMN()),INDEX(MO_RIS_IE,0,COLUMN())+INDEX(MO_RIS_II,0,COLUMN()))</f>
      </c>
      <c r="K40" s="78">
        <f>IFERROR(INDEX(MO_RIS_IE_Net,0,COLUMN()),INDEX(MO_RIS_IE,0,COLUMN())+INDEX(MO_RIS_II,0,COLUMN()))</f>
      </c>
      <c r="L40" s="774">
        <f>IFERROR(INDEX(MO_RIS_IE_Net,0,COLUMN()),INDEX(MO_RIS_IE,0,COLUMN())+INDEX(MO_RIS_II,0,COLUMN()))</f>
      </c>
      <c r="M40" s="774">
        <f>IFERROR(INDEX(MO_RIS_IE_Net,0,COLUMN()),INDEX(MO_RIS_IE,0,COLUMN())+INDEX(MO_RIS_II,0,COLUMN()))</f>
      </c>
      <c r="N40" s="774">
        <f>IFERROR(INDEX(MO_RIS_IE_Net,0,COLUMN()),INDEX(MO_RIS_IE,0,COLUMN())+INDEX(MO_RIS_II,0,COLUMN()))</f>
      </c>
      <c r="O40" s="774">
        <f>IFERROR(INDEX(MO_RIS_IE_Net,0,COLUMN()),INDEX(MO_RIS_IE,0,COLUMN())+INDEX(MO_RIS_II,0,COLUMN()))</f>
      </c>
      <c r="P40" s="78">
        <f>IFERROR(INDEX(MO_RIS_IE_Net,0,COLUMN()),INDEX(MO_RIS_IE,0,COLUMN())+INDEX(MO_RIS_II,0,COLUMN()))</f>
      </c>
      <c r="Q40" s="774">
        <f>IFERROR(INDEX(MO_RIS_IE_Net,0,COLUMN()),INDEX(MO_RIS_IE,0,COLUMN())+INDEX(MO_RIS_II,0,COLUMN()))</f>
      </c>
      <c r="R40" s="774">
        <f>IFERROR(INDEX(MO_RIS_IE_Net,0,COLUMN()),INDEX(MO_RIS_IE,0,COLUMN())+INDEX(MO_RIS_II,0,COLUMN()))</f>
      </c>
      <c r="S40" s="774">
        <f>IFERROR(INDEX(MO_RIS_IE_Net,0,COLUMN()),INDEX(MO_RIS_IE,0,COLUMN())+INDEX(MO_RIS_II,0,COLUMN()))</f>
      </c>
      <c r="T40" s="774">
        <f>IFERROR(INDEX(MO_RIS_IE_Net,0,COLUMN()),INDEX(MO_RIS_IE,0,COLUMN())+INDEX(MO_RIS_II,0,COLUMN()))</f>
      </c>
      <c r="U40" s="78">
        <f>IFERROR(INDEX(MO_RIS_IE_Net,0,COLUMN()),INDEX(MO_RIS_IE,0,COLUMN())+INDEX(MO_RIS_II,0,COLUMN()))</f>
      </c>
      <c r="V40" s="774">
        <f>IFERROR(INDEX(MO_RIS_IE_Net,0,COLUMN()),INDEX(MO_RIS_IE,0,COLUMN())+INDEX(MO_RIS_II,0,COLUMN()))</f>
      </c>
      <c r="W40" s="774">
        <f>IFERROR(INDEX(MO_RIS_IE_Net,0,COLUMN()),INDEX(MO_RIS_IE,0,COLUMN())+INDEX(MO_RIS_II,0,COLUMN()))</f>
      </c>
      <c r="X40" s="774">
        <f>IFERROR(INDEX(MO_RIS_IE_Net,0,COLUMN()),INDEX(MO_RIS_IE,0,COLUMN())+INDEX(MO_RIS_II,0,COLUMN()))</f>
      </c>
      <c r="Y40" s="774">
        <f>IFERROR(INDEX(MO_RIS_IE_Net,0,COLUMN()),INDEX(MO_RIS_IE,0,COLUMN())+INDEX(MO_RIS_II,0,COLUMN()))</f>
      </c>
      <c r="Z40" s="78">
        <f>IFERROR(INDEX(MO_RIS_IE_Net,0,COLUMN()),INDEX(MO_RIS_IE,0,COLUMN())+INDEX(MO_RIS_II,0,COLUMN()))</f>
      </c>
      <c r="AA40" s="774">
        <f>IFERROR(INDEX(MO_RIS_IE_Net,0,COLUMN()),INDEX(MO_RIS_IE,0,COLUMN())+INDEX(MO_RIS_II,0,COLUMN()))</f>
      </c>
      <c r="AB40" s="774">
        <f>IFERROR(INDEX(MO_RIS_IE_Net,0,COLUMN()),INDEX(MO_RIS_IE,0,COLUMN())+INDEX(MO_RIS_II,0,COLUMN()))</f>
      </c>
      <c r="AC40" s="774">
        <f>IFERROR(INDEX(MO_RIS_IE_Net,0,COLUMN()),INDEX(MO_RIS_IE,0,COLUMN())+INDEX(MO_RIS_II,0,COLUMN()))</f>
      </c>
      <c r="AD40" s="774">
        <f>IFERROR(INDEX(MO_RIS_IE_Net,0,COLUMN()),INDEX(MO_RIS_IE,0,COLUMN())+INDEX(MO_RIS_II,0,COLUMN()))</f>
      </c>
      <c r="AE40" s="78">
        <f>IFERROR(INDEX(MO_RIS_IE_Net,0,COLUMN()),INDEX(MO_RIS_IE,0,COLUMN())+INDEX(MO_RIS_II,0,COLUMN()))</f>
      </c>
      <c r="AF40" s="774">
        <f>IFERROR(INDEX(MO_RIS_IE_Net,0,COLUMN()),INDEX(MO_RIS_IE,0,COLUMN())+INDEX(MO_RIS_II,0,COLUMN()))</f>
      </c>
      <c r="AG40" s="774">
        <f>IFERROR(INDEX(MO_RIS_IE_Net,0,COLUMN()),INDEX(MO_RIS_IE,0,COLUMN())+INDEX(MO_RIS_II,0,COLUMN()))</f>
      </c>
      <c r="AH40" s="774">
        <f>IFERROR(INDEX(MO_RIS_IE_Net,0,COLUMN()),INDEX(MO_RIS_IE,0,COLUMN())+INDEX(MO_RIS_II,0,COLUMN()))</f>
      </c>
      <c r="AI40" s="774">
        <f>IFERROR(INDEX(MO_RIS_IE_Net,0,COLUMN()),INDEX(MO_RIS_IE,0,COLUMN())+INDEX(MO_RIS_II,0,COLUMN()))</f>
      </c>
      <c r="AJ40" s="78">
        <f>IFERROR(INDEX(MO_RIS_IE_Net,0,COLUMN()),INDEX(MO_RIS_IE,0,COLUMN())+INDEX(MO_RIS_II,0,COLUMN()))</f>
      </c>
      <c r="AK40" s="774">
        <f>IFERROR(INDEX(MO_RIS_IE_Net,0,COLUMN()),INDEX(MO_RIS_IE,0,COLUMN())+INDEX(MO_RIS_II,0,COLUMN()))</f>
      </c>
      <c r="AL40" s="774">
        <f>IFERROR(INDEX(MO_RIS_IE_Net,0,COLUMN()),INDEX(MO_RIS_IE,0,COLUMN())+INDEX(MO_RIS_II,0,COLUMN()))</f>
      </c>
      <c r="AM40" s="774">
        <f>IFERROR(INDEX(MO_RIS_IE_Net,0,COLUMN()),INDEX(MO_RIS_IE,0,COLUMN())+INDEX(MO_RIS_II,0,COLUMN()))</f>
      </c>
      <c r="AN40" s="774">
        <f>IFERROR(INDEX(MO_RIS_IE_Net,0,COLUMN()),INDEX(MO_RIS_IE,0,COLUMN())+INDEX(MO_RIS_II,0,COLUMN()))</f>
      </c>
      <c r="AO40" s="78">
        <f>IFERROR(INDEX(MO_RIS_IE_Net,0,COLUMN()),INDEX(MO_RIS_IE,0,COLUMN())+INDEX(MO_RIS_II,0,COLUMN()))</f>
      </c>
      <c r="AP40" s="774">
        <f>IFERROR(INDEX(MO_RIS_IE_Net,0,COLUMN()),INDEX(MO_RIS_IE,0,COLUMN())+INDEX(MO_RIS_II,0,COLUMN()))</f>
      </c>
      <c r="AQ40" s="774">
        <f>IFERROR(INDEX(MO_RIS_IE_Net,0,COLUMN()),INDEX(MO_RIS_IE,0,COLUMN())+INDEX(MO_RIS_II,0,COLUMN()))</f>
      </c>
      <c r="AR40" s="774">
        <f>IFERROR(INDEX(MO_RIS_IE_Net,0,COLUMN()),INDEX(MO_RIS_IE,0,COLUMN())+INDEX(MO_RIS_II,0,COLUMN()))</f>
      </c>
      <c r="AS40" s="774">
        <f>IFERROR(INDEX(MO_RIS_IE_Net,0,COLUMN()),INDEX(MO_RIS_IE,0,COLUMN())+INDEX(MO_RIS_II,0,COLUMN()))</f>
      </c>
      <c r="AT40" s="78">
        <f>IFERROR(INDEX(MO_RIS_IE_Net,0,COLUMN()),INDEX(MO_RIS_IE,0,COLUMN())+INDEX(MO_RIS_II,0,COLUMN()))</f>
      </c>
      <c r="AU40" s="774">
        <f>IFERROR(INDEX(MO_RIS_IE_Net,0,COLUMN()),INDEX(MO_RIS_IE,0,COLUMN())+INDEX(MO_RIS_II,0,COLUMN()))</f>
      </c>
      <c r="AV40" s="774">
        <f>IFERROR(INDEX(MO_RIS_IE_Net,0,COLUMN()),INDEX(MO_RIS_IE,0,COLUMN())+INDEX(MO_RIS_II,0,COLUMN()))</f>
      </c>
      <c r="AW40" s="774">
        <f>IFERROR(INDEX(MO_RIS_IE_Net,0,COLUMN()),INDEX(MO_RIS_IE,0,COLUMN())+INDEX(MO_RIS_II,0,COLUMN()))</f>
      </c>
      <c r="AX40" s="774">
        <f>IFERROR(INDEX(MO_RIS_IE_Net,0,COLUMN()),INDEX(MO_RIS_IE,0,COLUMN())+INDEX(MO_RIS_II,0,COLUMN()))</f>
      </c>
      <c r="AY40" s="78">
        <f>IFERROR(INDEX(MO_RIS_IE_Net,0,COLUMN()),INDEX(MO_RIS_IE,0,COLUMN())+INDEX(MO_RIS_II,0,COLUMN()))</f>
      </c>
      <c r="AZ40" s="774">
        <f>IFERROR(INDEX(MO_RIS_IE_Net,0,COLUMN()),INDEX(MO_RIS_IE,0,COLUMN())+INDEX(MO_RIS_II,0,COLUMN()))</f>
      </c>
      <c r="BA40" s="774">
        <f>IFERROR(INDEX(MO_RIS_IE_Net,0,COLUMN()),INDEX(MO_RIS_IE,0,COLUMN())+INDEX(MO_RIS_II,0,COLUMN()))</f>
      </c>
      <c r="BB40" s="774">
        <f>IFERROR(INDEX(MO_RIS_IE_Net,0,COLUMN()),INDEX(MO_RIS_IE,0,COLUMN())+INDEX(MO_RIS_II,0,COLUMN()))</f>
      </c>
      <c r="BC40" s="774">
        <f>IFERROR(INDEX(MO_RIS_IE_Net,0,COLUMN()),INDEX(MO_RIS_IE,0,COLUMN())+INDEX(MO_RIS_II,0,COLUMN()))</f>
      </c>
      <c r="BD40" s="78">
        <f>IFERROR(INDEX(MO_RIS_IE_Net,0,COLUMN()),INDEX(MO_RIS_IE,0,COLUMN())+INDEX(MO_RIS_II,0,COLUMN()))</f>
      </c>
      <c r="BE40" s="774">
        <f>IFERROR(INDEX(MO_RIS_IE_Net,0,COLUMN()),INDEX(MO_RIS_IE,0,COLUMN())+INDEX(MO_RIS_II,0,COLUMN()))</f>
      </c>
      <c r="BF40" s="774">
        <f>IFERROR(INDEX(MO_RIS_IE_Net,0,COLUMN()),INDEX(MO_RIS_IE,0,COLUMN())+INDEX(MO_RIS_II,0,COLUMN()))</f>
      </c>
      <c r="BG40" s="774">
        <f>IFERROR(INDEX(MO_RIS_IE_Net,0,COLUMN()),INDEX(MO_RIS_IE,0,COLUMN())+INDEX(MO_RIS_II,0,COLUMN()))</f>
      </c>
      <c r="BH40" s="774">
        <f>IFERROR(INDEX(MO_RIS_IE_Net,0,COLUMN()),INDEX(MO_RIS_IE,0,COLUMN())+INDEX(MO_RIS_II,0,COLUMN()))</f>
      </c>
      <c r="BI40" s="78">
        <f>IFERROR(INDEX(MO_RIS_IE_Net,0,COLUMN()),INDEX(MO_RIS_IE,0,COLUMN())+INDEX(MO_RIS_II,0,COLUMN()))</f>
      </c>
      <c r="BJ40" s="774">
        <f>IFERROR(INDEX(MO_RIS_IE_Net,0,COLUMN()),INDEX(MO_RIS_IE,0,COLUMN())+INDEX(MO_RIS_II,0,COLUMN()))</f>
      </c>
      <c r="BK40" s="774">
        <f>IFERROR(INDEX(MO_RIS_IE_Net,0,COLUMN()),INDEX(MO_RIS_IE,0,COLUMN())+INDEX(MO_RIS_II,0,COLUMN()))</f>
      </c>
      <c r="BL40" s="774">
        <f>IFERROR(INDEX(MO_RIS_IE_Net,0,COLUMN()),INDEX(MO_RIS_IE,0,COLUMN())+INDEX(MO_RIS_II,0,COLUMN()))</f>
      </c>
      <c r="BM40" s="774">
        <f>IFERROR(INDEX(MO_RIS_IE_Net,0,COLUMN()),INDEX(MO_RIS_IE,0,COLUMN())+INDEX(MO_RIS_II,0,COLUMN()))</f>
      </c>
      <c r="BN40" s="78">
        <f>IFERROR(INDEX(MO_RIS_IE_Net,0,COLUMN()),INDEX(MO_RIS_IE,0,COLUMN())+INDEX(MO_RIS_II,0,COLUMN()))</f>
      </c>
      <c r="BO40" s="774">
        <f>IFERROR(INDEX(MO_RIS_IE_Net,0,COLUMN()),INDEX(MO_RIS_IE,0,COLUMN())+INDEX(MO_RIS_II,0,COLUMN()))</f>
      </c>
      <c r="BP40" s="774">
        <f>IFERROR(INDEX(MO_RIS_IE_Net,0,COLUMN()),INDEX(MO_RIS_IE,0,COLUMN())+INDEX(MO_RIS_II,0,COLUMN()))</f>
      </c>
      <c r="BQ40" s="774">
        <f>IFERROR(INDEX(MO_RIS_IE_Net,0,COLUMN()),INDEX(MO_RIS_IE,0,COLUMN())+INDEX(MO_RIS_II,0,COLUMN()))</f>
      </c>
      <c r="BR40" s="774">
        <f>IFERROR(INDEX(MO_RIS_IE_Net,0,COLUMN()),INDEX(MO_RIS_IE,0,COLUMN())+INDEX(MO_RIS_II,0,COLUMN()))</f>
      </c>
      <c r="BS40" s="78">
        <f>IFERROR(INDEX(MO_RIS_IE_Net,0,COLUMN()),INDEX(MO_RIS_IE,0,COLUMN())+INDEX(MO_RIS_II,0,COLUMN()))</f>
      </c>
      <c r="BT40" s="775">
        <f>IFERROR(INDEX(MO_RIS_IE_Net,0,COLUMN()),INDEX(MO_RIS_IE,0,COLUMN())+INDEX(MO_RIS_II,0,COLUMN()))</f>
      </c>
      <c r="BU40" s="774">
        <f>IFERROR(INDEX(MO_RIS_IE_Net,0,COLUMN()),INDEX(MO_RIS_IE,0,COLUMN())+INDEX(MO_RIS_II,0,COLUMN()))</f>
      </c>
      <c r="BV40" s="774">
        <f>IFERROR(INDEX(MO_RIS_IE_Net,0,COLUMN()),INDEX(MO_RIS_IE,0,COLUMN())+INDEX(MO_RIS_II,0,COLUMN()))</f>
      </c>
      <c r="BW40" s="774">
        <f>IFERROR(INDEX(MO_RIS_IE_Net,0,COLUMN()),INDEX(MO_RIS_IE,0,COLUMN())+INDEX(MO_RIS_II,0,COLUMN()))</f>
      </c>
      <c r="BX40" s="78">
        <f>IFERROR(INDEX(MO_RIS_IE_Net,0,COLUMN()),INDEX(MO_RIS_IE,0,COLUMN())+INDEX(MO_RIS_II,0,COLUMN()))</f>
      </c>
      <c r="BY40" s="774">
        <f>IFERROR(INDEX(MO_RIS_IE_Net,0,COLUMN()),INDEX(MO_RIS_IE,0,COLUMN())+INDEX(MO_RIS_II,0,COLUMN()))</f>
      </c>
      <c r="BZ40" s="774">
        <f>IFERROR(INDEX(MO_RIS_IE_Net,0,COLUMN()),INDEX(MO_RIS_IE,0,COLUMN())+INDEX(MO_RIS_II,0,COLUMN()))</f>
      </c>
      <c r="CA40" s="774">
        <f>IFERROR(INDEX(MO_RIS_IE_Net,0,COLUMN()),INDEX(MO_RIS_IE,0,COLUMN())+INDEX(MO_RIS_II,0,COLUMN()))</f>
      </c>
      <c r="CB40" s="774">
        <f>IFERROR(INDEX(MO_RIS_IE_Net,0,COLUMN()),INDEX(MO_RIS_IE,0,COLUMN())+INDEX(MO_RIS_II,0,COLUMN()))</f>
      </c>
      <c r="CC40" s="78">
        <f>IFERROR(INDEX(MO_RIS_IE_Net,0,COLUMN()),INDEX(MO_RIS_IE,0,COLUMN())+INDEX(MO_RIS_II,0,COLUMN()))</f>
      </c>
      <c r="CD40" s="78">
        <f>IFERROR(INDEX(MO_RIS_IE_Net,0,COLUMN()),INDEX(MO_RIS_IE,0,COLUMN())+INDEX(MO_RIS_II,0,COLUMN()))</f>
      </c>
      <c r="CE40" s="78">
        <f>IFERROR(INDEX(MO_RIS_IE_Net,0,COLUMN()),INDEX(MO_RIS_IE,0,COLUMN())+INDEX(MO_RIS_II,0,COLUMN()))</f>
      </c>
      <c r="CF40" s="78">
        <f>IFERROR(INDEX(MO_RIS_IE_Net,0,COLUMN()),INDEX(MO_RIS_IE,0,COLUMN())+INDEX(MO_RIS_II,0,COLUMN()))</f>
      </c>
      <c r="CG40" s="774"/>
    </row>
    <row r="41" spans="1:85" customFormat="1" x14ac:dyDescent="0.3">
      <c r="A41" s="174" t="s">
        <v>315</v>
      </c>
      <c r="B41" s="175"/>
      <c r="C41" s="1100">
        <f t="shared" ref="C41:AH41" si="90">INDEX(MO_RIS_OI,0,COLUMN())+INDEX(MO_RIS_OTI,0,COLUMN())</f>
      </c>
      <c r="D41" s="1100">
        <f t="shared" si="90"/>
      </c>
      <c r="E41" s="1100">
        <f t="shared" si="90"/>
      </c>
      <c r="F41" s="1100">
        <f t="shared" si="90"/>
      </c>
      <c r="G41" s="840">
        <f t="shared" si="90"/>
      </c>
      <c r="H41" s="840">
        <f t="shared" si="90"/>
      </c>
      <c r="I41" s="840">
        <f t="shared" si="90"/>
      </c>
      <c r="J41" s="840">
        <f t="shared" si="90"/>
      </c>
      <c r="K41" s="1100">
        <f t="shared" si="90"/>
      </c>
      <c r="L41" s="840">
        <f t="shared" si="90"/>
      </c>
      <c r="M41" s="840">
        <f t="shared" si="90"/>
      </c>
      <c r="N41" s="840">
        <f t="shared" si="90"/>
      </c>
      <c r="O41" s="840">
        <f t="shared" si="90"/>
      </c>
      <c r="P41" s="1100">
        <f t="shared" si="90"/>
      </c>
      <c r="Q41" s="840">
        <f t="shared" si="90"/>
      </c>
      <c r="R41" s="840">
        <f t="shared" si="90"/>
      </c>
      <c r="S41" s="840">
        <f t="shared" si="90"/>
      </c>
      <c r="T41" s="840">
        <f t="shared" si="90"/>
      </c>
      <c r="U41" s="1100">
        <f t="shared" si="90"/>
      </c>
      <c r="V41" s="840">
        <f t="shared" si="90"/>
      </c>
      <c r="W41" s="840">
        <f t="shared" si="90"/>
      </c>
      <c r="X41" s="840">
        <f t="shared" si="90"/>
      </c>
      <c r="Y41" s="840">
        <f t="shared" si="90"/>
      </c>
      <c r="Z41" s="1100">
        <f t="shared" si="90"/>
      </c>
      <c r="AA41" s="840">
        <f t="shared" si="90"/>
      </c>
      <c r="AB41" s="840">
        <f t="shared" si="90"/>
      </c>
      <c r="AC41" s="840">
        <f t="shared" si="90"/>
      </c>
      <c r="AD41" s="840">
        <f t="shared" si="90"/>
      </c>
      <c r="AE41" s="1100">
        <f t="shared" si="90"/>
      </c>
      <c r="AF41" s="840">
        <f t="shared" si="90"/>
      </c>
      <c r="AG41" s="840">
        <f t="shared" si="90"/>
      </c>
      <c r="AH41" s="840">
        <f t="shared" si="90"/>
      </c>
      <c r="AI41" s="840">
        <f t="shared" ref="AI41:BD41" si="91">INDEX(MO_RIS_OI,0,COLUMN())+INDEX(MO_RIS_OTI,0,COLUMN())</f>
      </c>
      <c r="AJ41" s="1100">
        <f t="shared" si="91"/>
      </c>
      <c r="AK41" s="840">
        <f t="shared" si="91"/>
      </c>
      <c r="AL41" s="840">
        <f t="shared" si="91"/>
      </c>
      <c r="AM41" s="840">
        <f t="shared" si="91"/>
      </c>
      <c r="AN41" s="840">
        <f t="shared" si="91"/>
      </c>
      <c r="AO41" s="1100">
        <f t="shared" si="91"/>
      </c>
      <c r="AP41" s="840">
        <f t="shared" si="91"/>
      </c>
      <c r="AQ41" s="840">
        <f t="shared" si="91"/>
      </c>
      <c r="AR41" s="840">
        <f t="shared" si="91"/>
      </c>
      <c r="AS41" s="840">
        <f t="shared" si="91"/>
      </c>
      <c r="AT41" s="1100">
        <f t="shared" si="91"/>
      </c>
      <c r="AU41" s="840">
        <f t="shared" si="91"/>
      </c>
      <c r="AV41" s="840">
        <f t="shared" si="91"/>
      </c>
      <c r="AW41" s="840">
        <f t="shared" si="91"/>
      </c>
      <c r="AX41" s="840">
        <f t="shared" si="91"/>
      </c>
      <c r="AY41" s="1100">
        <f t="shared" si="91"/>
      </c>
      <c r="AZ41" s="840">
        <f t="shared" si="91"/>
      </c>
      <c r="BA41" s="840">
        <f t="shared" si="91"/>
      </c>
      <c r="BB41" s="840">
        <f t="shared" si="91"/>
      </c>
      <c r="BC41" s="840">
        <f t="shared" si="91"/>
      </c>
      <c r="BD41" s="1100">
        <f t="shared" si="91"/>
      </c>
      <c r="BE41" s="840">
        <f t="shared" ref="BE41:BJ41" si="92">INDEX(MO_RIS_OI,0,COLUMN())+INDEX(MO_RIS_OTI,0,COLUMN())</f>
      </c>
      <c r="BF41" s="840">
        <f t="shared" si="92"/>
      </c>
      <c r="BG41" s="840">
        <f t="shared" si="92"/>
      </c>
      <c r="BH41" s="840">
        <f t="shared" si="92"/>
      </c>
      <c r="BI41" s="1100">
        <f t="shared" si="92"/>
      </c>
      <c r="BJ41" s="840">
        <f t="shared" si="92"/>
      </c>
      <c r="BK41" s="840">
        <f t="shared" ref="BK41:BP41" si="93">INDEX(MO_RIS_OI,0,COLUMN())+INDEX(MO_RIS_OTI,0,COLUMN())</f>
      </c>
      <c r="BL41" s="840">
        <f t="shared" si="93"/>
      </c>
      <c r="BM41" s="840">
        <f t="shared" si="93"/>
      </c>
      <c r="BN41" s="1100">
        <f t="shared" si="93"/>
      </c>
      <c r="BO41" s="840">
        <f t="shared" si="93"/>
      </c>
      <c r="BP41" s="840">
        <f t="shared" si="93"/>
      </c>
      <c r="BQ41" s="840">
        <f>INDEX(MO_RIS_OI,0,COLUMN())+INDEX(MO_RIS_OTI,0,COLUMN())</f>
      </c>
      <c r="BR41" s="840">
        <f>INDEX(MO_RIS_OI,0,COLUMN())+INDEX(MO_RIS_OTI,0,COLUMN())</f>
      </c>
      <c r="BS41" s="1100">
        <f>INDEX(MO_RIS_OI,0,COLUMN())+INDEX(MO_RIS_OTI,0,COLUMN())</f>
      </c>
      <c r="BT41" s="841">
        <f>INDEX(MO_RIS_OI,0,COLUMN())+INDEX(MO_RIS_OTI,0,COLUMN())</f>
      </c>
      <c r="BU41" s="840">
        <f t="shared" ref="BU41:BX41" si="94">INDEX(MO_RIS_OI,0,COLUMN())+INDEX(MO_RIS_OTI,0,COLUMN())</f>
      </c>
      <c r="BV41" s="840">
        <f t="shared" si="94"/>
      </c>
      <c r="BW41" s="840">
        <f t="shared" si="94"/>
      </c>
      <c r="BX41" s="1100">
        <f t="shared" si="94"/>
      </c>
      <c r="BY41" s="840">
        <f t="shared" ref="BY41:CF41" si="95">INDEX(MO_RIS_OI,0,COLUMN())+INDEX(MO_RIS_OTI,0,COLUMN())</f>
      </c>
      <c r="BZ41" s="840">
        <f t="shared" si="95"/>
      </c>
      <c r="CA41" s="840">
        <f t="shared" si="95"/>
      </c>
      <c r="CB41" s="840">
        <f t="shared" si="95"/>
      </c>
      <c r="CC41" s="1100">
        <f t="shared" si="95"/>
      </c>
      <c r="CD41" s="1100">
        <f t="shared" si="95"/>
      </c>
      <c r="CE41" s="1100">
        <f t="shared" si="95"/>
      </c>
      <c r="CF41" s="1100">
        <f t="shared" si="95"/>
      </c>
      <c r="CG41" s="774"/>
    </row>
    <row r="42" spans="1:85" customFormat="1" x14ac:dyDescent="0.3">
      <c r="A42" s="109" t="str">
        <f>INDEX(MO_RIS_EBT,0,COLUMN())</f>
      </c>
      <c r="B42" s="110"/>
      <c r="C42" s="1101">
        <f t="shared" ref="C42:AH42" si="96">INDEX(SP_GF_EBIT,0,COLUMN())-INDEX(SP_GF_IE,0,COLUMN())-INDEX(SP_GF_OI,0,COLUMN())</f>
      </c>
      <c r="D42" s="1101">
        <f t="shared" si="96"/>
      </c>
      <c r="E42" s="1101">
        <f t="shared" si="96"/>
      </c>
      <c r="F42" s="1101">
        <f t="shared" si="96"/>
      </c>
      <c r="G42" s="842">
        <f t="shared" si="96"/>
      </c>
      <c r="H42" s="842">
        <f t="shared" si="96"/>
      </c>
      <c r="I42" s="842">
        <f t="shared" si="96"/>
      </c>
      <c r="J42" s="842">
        <f t="shared" si="96"/>
      </c>
      <c r="K42" s="1101">
        <f t="shared" si="96"/>
      </c>
      <c r="L42" s="842">
        <f t="shared" si="96"/>
      </c>
      <c r="M42" s="842">
        <f t="shared" si="96"/>
      </c>
      <c r="N42" s="842">
        <f t="shared" si="96"/>
      </c>
      <c r="O42" s="842">
        <f t="shared" si="96"/>
      </c>
      <c r="P42" s="1101">
        <f t="shared" si="96"/>
      </c>
      <c r="Q42" s="842">
        <f t="shared" si="96"/>
      </c>
      <c r="R42" s="842">
        <f t="shared" si="96"/>
      </c>
      <c r="S42" s="842">
        <f t="shared" si="96"/>
      </c>
      <c r="T42" s="842">
        <f t="shared" si="96"/>
      </c>
      <c r="U42" s="1101">
        <f t="shared" si="96"/>
      </c>
      <c r="V42" s="842">
        <f t="shared" si="96"/>
      </c>
      <c r="W42" s="842">
        <f t="shared" si="96"/>
      </c>
      <c r="X42" s="842">
        <f t="shared" si="96"/>
      </c>
      <c r="Y42" s="842">
        <f t="shared" si="96"/>
      </c>
      <c r="Z42" s="1101">
        <f t="shared" si="96"/>
      </c>
      <c r="AA42" s="842">
        <f t="shared" si="96"/>
      </c>
      <c r="AB42" s="842">
        <f t="shared" si="96"/>
      </c>
      <c r="AC42" s="842">
        <f t="shared" si="96"/>
      </c>
      <c r="AD42" s="842">
        <f t="shared" si="96"/>
      </c>
      <c r="AE42" s="1101">
        <f t="shared" si="96"/>
      </c>
      <c r="AF42" s="842">
        <f t="shared" si="96"/>
      </c>
      <c r="AG42" s="842">
        <f t="shared" si="96"/>
      </c>
      <c r="AH42" s="842">
        <f t="shared" si="96"/>
      </c>
      <c r="AI42" s="842">
        <f t="shared" ref="AI42:BD42" si="97">INDEX(SP_GF_EBIT,0,COLUMN())-INDEX(SP_GF_IE,0,COLUMN())-INDEX(SP_GF_OI,0,COLUMN())</f>
      </c>
      <c r="AJ42" s="1101">
        <f t="shared" si="97"/>
      </c>
      <c r="AK42" s="842">
        <f t="shared" si="97"/>
      </c>
      <c r="AL42" s="842">
        <f t="shared" si="97"/>
      </c>
      <c r="AM42" s="842">
        <f t="shared" si="97"/>
      </c>
      <c r="AN42" s="842">
        <f t="shared" si="97"/>
      </c>
      <c r="AO42" s="1101">
        <f t="shared" si="97"/>
      </c>
      <c r="AP42" s="842">
        <f t="shared" si="97"/>
      </c>
      <c r="AQ42" s="842">
        <f t="shared" si="97"/>
      </c>
      <c r="AR42" s="842">
        <f t="shared" si="97"/>
      </c>
      <c r="AS42" s="842">
        <f t="shared" si="97"/>
      </c>
      <c r="AT42" s="1101">
        <f t="shared" si="97"/>
      </c>
      <c r="AU42" s="842">
        <f t="shared" si="97"/>
      </c>
      <c r="AV42" s="842">
        <f t="shared" si="97"/>
      </c>
      <c r="AW42" s="842">
        <f t="shared" si="97"/>
      </c>
      <c r="AX42" s="842">
        <f t="shared" si="97"/>
      </c>
      <c r="AY42" s="1101">
        <f t="shared" si="97"/>
      </c>
      <c r="AZ42" s="842">
        <f t="shared" si="97"/>
      </c>
      <c r="BA42" s="842">
        <f t="shared" si="97"/>
      </c>
      <c r="BB42" s="842">
        <f t="shared" si="97"/>
      </c>
      <c r="BC42" s="842">
        <f t="shared" si="97"/>
      </c>
      <c r="BD42" s="1101">
        <f t="shared" si="97"/>
      </c>
      <c r="BE42" s="842">
        <f t="shared" ref="BE42:BJ42" si="98">INDEX(SP_GF_EBIT,0,COLUMN())-INDEX(SP_GF_IE,0,COLUMN())-INDEX(SP_GF_OI,0,COLUMN())</f>
      </c>
      <c r="BF42" s="842">
        <f t="shared" si="98"/>
      </c>
      <c r="BG42" s="842">
        <f t="shared" si="98"/>
      </c>
      <c r="BH42" s="842">
        <f t="shared" si="98"/>
      </c>
      <c r="BI42" s="1101">
        <f t="shared" si="98"/>
      </c>
      <c r="BJ42" s="842">
        <f t="shared" si="98"/>
      </c>
      <c r="BK42" s="842">
        <f t="shared" ref="BK42:BP42" si="99">INDEX(SP_GF_EBIT,0,COLUMN())-INDEX(SP_GF_IE,0,COLUMN())-INDEX(SP_GF_OI,0,COLUMN())</f>
      </c>
      <c r="BL42" s="842">
        <f t="shared" si="99"/>
      </c>
      <c r="BM42" s="842">
        <f t="shared" si="99"/>
      </c>
      <c r="BN42" s="1101">
        <f t="shared" si="99"/>
      </c>
      <c r="BO42" s="842">
        <f t="shared" si="99"/>
      </c>
      <c r="BP42" s="842">
        <f t="shared" si="99"/>
      </c>
      <c r="BQ42" s="842">
        <f>INDEX(SP_GF_EBIT,0,COLUMN())-INDEX(SP_GF_IE,0,COLUMN())-INDEX(SP_GF_OI,0,COLUMN())</f>
      </c>
      <c r="BR42" s="842">
        <f>INDEX(SP_GF_EBIT,0,COLUMN())-INDEX(SP_GF_IE,0,COLUMN())-INDEX(SP_GF_OI,0,COLUMN())</f>
      </c>
      <c r="BS42" s="1101">
        <f>INDEX(SP_GF_EBIT,0,COLUMN())-INDEX(SP_GF_IE,0,COLUMN())-INDEX(SP_GF_OI,0,COLUMN())</f>
      </c>
      <c r="BT42" s="843">
        <f>INDEX(SP_GF_EBIT,0,COLUMN())-INDEX(SP_GF_IE,0,COLUMN())-INDEX(SP_GF_OI,0,COLUMN())</f>
      </c>
      <c r="BU42" s="842">
        <f t="shared" ref="BU42:BX42" si="100">INDEX(SP_GF_EBIT,0,COLUMN())-INDEX(SP_GF_IE,0,COLUMN())-INDEX(SP_GF_OI,0,COLUMN())</f>
      </c>
      <c r="BV42" s="842">
        <f t="shared" si="100"/>
      </c>
      <c r="BW42" s="842">
        <f t="shared" si="100"/>
      </c>
      <c r="BX42" s="1101">
        <f t="shared" si="100"/>
      </c>
      <c r="BY42" s="842">
        <f t="shared" ref="BY42:CF42" si="101">INDEX(SP_GF_EBIT,0,COLUMN())-INDEX(SP_GF_IE,0,COLUMN())-INDEX(SP_GF_OI,0,COLUMN())</f>
      </c>
      <c r="BZ42" s="842">
        <f t="shared" si="101"/>
      </c>
      <c r="CA42" s="842">
        <f t="shared" si="101"/>
      </c>
      <c r="CB42" s="842">
        <f t="shared" si="101"/>
      </c>
      <c r="CC42" s="1101">
        <f t="shared" si="101"/>
      </c>
      <c r="CD42" s="1101">
        <f t="shared" si="101"/>
      </c>
      <c r="CE42" s="1101">
        <f t="shared" si="101"/>
      </c>
      <c r="CF42" s="1101">
        <f t="shared" si="101"/>
      </c>
      <c r="CG42" s="772"/>
    </row>
    <row r="43" spans="1:85" customFormat="1" x14ac:dyDescent="0.3">
      <c r="A43" s="107" t="s">
        <v>316</v>
      </c>
      <c r="B43" s="108"/>
      <c r="C43" s="78">
        <f t="shared" ref="C43:AH43" si="102">INDEX(MO_RIS_Tax_Current,0,COLUMN())+INDEX(MO_RIS_Tax_Deferred,0,COLUMN())</f>
      </c>
      <c r="D43" s="78">
        <f t="shared" si="102"/>
      </c>
      <c r="E43" s="78">
        <f t="shared" si="102"/>
      </c>
      <c r="F43" s="78">
        <f t="shared" si="102"/>
      </c>
      <c r="G43" s="774">
        <f t="shared" si="102"/>
      </c>
      <c r="H43" s="774">
        <f t="shared" si="102"/>
      </c>
      <c r="I43" s="774">
        <f t="shared" si="102"/>
      </c>
      <c r="J43" s="774">
        <f t="shared" si="102"/>
      </c>
      <c r="K43" s="78">
        <f t="shared" si="102"/>
      </c>
      <c r="L43" s="774">
        <f t="shared" si="102"/>
      </c>
      <c r="M43" s="774">
        <f t="shared" si="102"/>
      </c>
      <c r="N43" s="774">
        <f t="shared" si="102"/>
      </c>
      <c r="O43" s="774">
        <f t="shared" si="102"/>
      </c>
      <c r="P43" s="78">
        <f t="shared" si="102"/>
      </c>
      <c r="Q43" s="774">
        <f t="shared" si="102"/>
      </c>
      <c r="R43" s="774">
        <f t="shared" si="102"/>
      </c>
      <c r="S43" s="774">
        <f t="shared" si="102"/>
      </c>
      <c r="T43" s="774">
        <f t="shared" si="102"/>
      </c>
      <c r="U43" s="78">
        <f t="shared" si="102"/>
      </c>
      <c r="V43" s="774">
        <f t="shared" si="102"/>
      </c>
      <c r="W43" s="774">
        <f t="shared" si="102"/>
      </c>
      <c r="X43" s="774">
        <f t="shared" si="102"/>
      </c>
      <c r="Y43" s="774">
        <f t="shared" si="102"/>
      </c>
      <c r="Z43" s="78">
        <f t="shared" si="102"/>
      </c>
      <c r="AA43" s="774">
        <f t="shared" si="102"/>
      </c>
      <c r="AB43" s="774">
        <f t="shared" si="102"/>
      </c>
      <c r="AC43" s="774">
        <f t="shared" si="102"/>
      </c>
      <c r="AD43" s="774">
        <f t="shared" si="102"/>
      </c>
      <c r="AE43" s="78">
        <f t="shared" si="102"/>
      </c>
      <c r="AF43" s="774">
        <f t="shared" si="102"/>
      </c>
      <c r="AG43" s="774">
        <f t="shared" si="102"/>
      </c>
      <c r="AH43" s="774">
        <f t="shared" si="102"/>
      </c>
      <c r="AI43" s="774">
        <f t="shared" ref="AI43:BD43" si="103">INDEX(MO_RIS_Tax_Current,0,COLUMN())+INDEX(MO_RIS_Tax_Deferred,0,COLUMN())</f>
      </c>
      <c r="AJ43" s="78">
        <f t="shared" si="103"/>
      </c>
      <c r="AK43" s="774">
        <f t="shared" si="103"/>
      </c>
      <c r="AL43" s="774">
        <f t="shared" si="103"/>
      </c>
      <c r="AM43" s="774">
        <f t="shared" si="103"/>
      </c>
      <c r="AN43" s="774">
        <f t="shared" si="103"/>
      </c>
      <c r="AO43" s="78">
        <f t="shared" si="103"/>
      </c>
      <c r="AP43" s="774">
        <f t="shared" si="103"/>
      </c>
      <c r="AQ43" s="774">
        <f t="shared" si="103"/>
      </c>
      <c r="AR43" s="774">
        <f t="shared" si="103"/>
      </c>
      <c r="AS43" s="774">
        <f t="shared" si="103"/>
      </c>
      <c r="AT43" s="78">
        <f t="shared" si="103"/>
      </c>
      <c r="AU43" s="774">
        <f t="shared" si="103"/>
      </c>
      <c r="AV43" s="774">
        <f t="shared" si="103"/>
      </c>
      <c r="AW43" s="774">
        <f t="shared" si="103"/>
      </c>
      <c r="AX43" s="774">
        <f t="shared" si="103"/>
      </c>
      <c r="AY43" s="78">
        <f t="shared" si="103"/>
      </c>
      <c r="AZ43" s="774">
        <f t="shared" si="103"/>
      </c>
      <c r="BA43" s="774">
        <f t="shared" si="103"/>
      </c>
      <c r="BB43" s="774">
        <f t="shared" si="103"/>
      </c>
      <c r="BC43" s="774">
        <f t="shared" si="103"/>
      </c>
      <c r="BD43" s="78">
        <f t="shared" si="103"/>
      </c>
      <c r="BE43" s="774">
        <f t="shared" ref="BE43:BJ43" si="104">INDEX(MO_RIS_Tax_Current,0,COLUMN())+INDEX(MO_RIS_Tax_Deferred,0,COLUMN())</f>
      </c>
      <c r="BF43" s="774">
        <f t="shared" si="104"/>
      </c>
      <c r="BG43" s="774">
        <f t="shared" si="104"/>
      </c>
      <c r="BH43" s="774">
        <f t="shared" si="104"/>
      </c>
      <c r="BI43" s="78">
        <f t="shared" si="104"/>
      </c>
      <c r="BJ43" s="774">
        <f t="shared" si="104"/>
      </c>
      <c r="BK43" s="774">
        <f t="shared" ref="BK43:BP43" si="105">INDEX(MO_RIS_Tax_Current,0,COLUMN())+INDEX(MO_RIS_Tax_Deferred,0,COLUMN())</f>
      </c>
      <c r="BL43" s="774">
        <f t="shared" si="105"/>
      </c>
      <c r="BM43" s="774">
        <f t="shared" si="105"/>
      </c>
      <c r="BN43" s="78">
        <f t="shared" si="105"/>
      </c>
      <c r="BO43" s="774">
        <f t="shared" si="105"/>
      </c>
      <c r="BP43" s="774">
        <f t="shared" si="105"/>
      </c>
      <c r="BQ43" s="774">
        <f>INDEX(MO_RIS_Tax_Current,0,COLUMN())+INDEX(MO_RIS_Tax_Deferred,0,COLUMN())</f>
      </c>
      <c r="BR43" s="774">
        <f>INDEX(MO_RIS_Tax_Current,0,COLUMN())+INDEX(MO_RIS_Tax_Deferred,0,COLUMN())</f>
      </c>
      <c r="BS43" s="78">
        <f>INDEX(MO_RIS_Tax_Current,0,COLUMN())+INDEX(MO_RIS_Tax_Deferred,0,COLUMN())</f>
      </c>
      <c r="BT43" s="775">
        <f>INDEX(MO_RIS_Tax_Current,0,COLUMN())+INDEX(MO_RIS_Tax_Deferred,0,COLUMN())</f>
      </c>
      <c r="BU43" s="774">
        <f t="shared" ref="BU43:BX43" si="106">INDEX(MO_RIS_Tax_Current,0,COLUMN())+INDEX(MO_RIS_Tax_Deferred,0,COLUMN())</f>
      </c>
      <c r="BV43" s="774">
        <f t="shared" si="106"/>
      </c>
      <c r="BW43" s="774">
        <f t="shared" si="106"/>
      </c>
      <c r="BX43" s="78">
        <f t="shared" si="106"/>
      </c>
      <c r="BY43" s="774">
        <f t="shared" ref="BY43:CF43" si="107">INDEX(MO_RIS_Tax_Current,0,COLUMN())+INDEX(MO_RIS_Tax_Deferred,0,COLUMN())</f>
      </c>
      <c r="BZ43" s="774">
        <f t="shared" si="107"/>
      </c>
      <c r="CA43" s="774">
        <f t="shared" si="107"/>
      </c>
      <c r="CB43" s="774">
        <f t="shared" si="107"/>
      </c>
      <c r="CC43" s="78">
        <f t="shared" si="107"/>
      </c>
      <c r="CD43" s="78">
        <f t="shared" si="107"/>
      </c>
      <c r="CE43" s="78">
        <f t="shared" si="107"/>
      </c>
      <c r="CF43" s="78">
        <f t="shared" si="107"/>
      </c>
      <c r="CG43" s="774"/>
    </row>
    <row r="44" spans="1:85" customFormat="1" x14ac:dyDescent="0.3">
      <c r="A44" s="107" t="str">
        <f>INDEX(MO_RIS_DisCont,0,COLUMN())</f>
      </c>
      <c r="B44" s="108"/>
      <c r="C44" s="78">
        <f t="shared" ref="C44:AH44" si="108">INDEX(MO_RIS_DisCont,0,COLUMN())</f>
      </c>
      <c r="D44" s="78">
        <f t="shared" si="108"/>
      </c>
      <c r="E44" s="78">
        <f t="shared" si="108"/>
      </c>
      <c r="F44" s="78">
        <f t="shared" si="108"/>
      </c>
      <c r="G44" s="774">
        <f t="shared" si="108"/>
      </c>
      <c r="H44" s="774">
        <f t="shared" si="108"/>
      </c>
      <c r="I44" s="774">
        <f t="shared" si="108"/>
      </c>
      <c r="J44" s="774">
        <f t="shared" si="108"/>
      </c>
      <c r="K44" s="78">
        <f t="shared" si="108"/>
      </c>
      <c r="L44" s="774">
        <f t="shared" si="108"/>
      </c>
      <c r="M44" s="774">
        <f t="shared" si="108"/>
      </c>
      <c r="N44" s="774">
        <f t="shared" si="108"/>
      </c>
      <c r="O44" s="774">
        <f t="shared" si="108"/>
      </c>
      <c r="P44" s="78">
        <f t="shared" si="108"/>
      </c>
      <c r="Q44" s="774">
        <f t="shared" si="108"/>
      </c>
      <c r="R44" s="774">
        <f t="shared" si="108"/>
      </c>
      <c r="S44" s="774">
        <f t="shared" si="108"/>
      </c>
      <c r="T44" s="774">
        <f t="shared" si="108"/>
      </c>
      <c r="U44" s="78">
        <f t="shared" si="108"/>
      </c>
      <c r="V44" s="774">
        <f t="shared" si="108"/>
      </c>
      <c r="W44" s="774">
        <f t="shared" si="108"/>
      </c>
      <c r="X44" s="774">
        <f t="shared" si="108"/>
      </c>
      <c r="Y44" s="774">
        <f t="shared" si="108"/>
      </c>
      <c r="Z44" s="78">
        <f t="shared" si="108"/>
      </c>
      <c r="AA44" s="774">
        <f t="shared" si="108"/>
      </c>
      <c r="AB44" s="774">
        <f t="shared" si="108"/>
      </c>
      <c r="AC44" s="774">
        <f t="shared" si="108"/>
      </c>
      <c r="AD44" s="774">
        <f t="shared" si="108"/>
      </c>
      <c r="AE44" s="78">
        <f t="shared" si="108"/>
      </c>
      <c r="AF44" s="774">
        <f t="shared" si="108"/>
      </c>
      <c r="AG44" s="774">
        <f t="shared" si="108"/>
      </c>
      <c r="AH44" s="774">
        <f t="shared" si="108"/>
      </c>
      <c r="AI44" s="774">
        <f t="shared" ref="AI44:BD44" si="109">INDEX(MO_RIS_DisCont,0,COLUMN())</f>
      </c>
      <c r="AJ44" s="78">
        <f t="shared" si="109"/>
      </c>
      <c r="AK44" s="774">
        <f t="shared" si="109"/>
      </c>
      <c r="AL44" s="774">
        <f t="shared" si="109"/>
      </c>
      <c r="AM44" s="774">
        <f t="shared" si="109"/>
      </c>
      <c r="AN44" s="774">
        <f t="shared" si="109"/>
      </c>
      <c r="AO44" s="78">
        <f t="shared" si="109"/>
      </c>
      <c r="AP44" s="774">
        <f t="shared" si="109"/>
      </c>
      <c r="AQ44" s="774">
        <f t="shared" si="109"/>
      </c>
      <c r="AR44" s="774">
        <f t="shared" si="109"/>
      </c>
      <c r="AS44" s="774">
        <f t="shared" si="109"/>
      </c>
      <c r="AT44" s="78">
        <f t="shared" si="109"/>
      </c>
      <c r="AU44" s="774">
        <f t="shared" si="109"/>
      </c>
      <c r="AV44" s="774">
        <f t="shared" si="109"/>
      </c>
      <c r="AW44" s="774">
        <f t="shared" si="109"/>
      </c>
      <c r="AX44" s="774">
        <f t="shared" si="109"/>
      </c>
      <c r="AY44" s="78">
        <f t="shared" si="109"/>
      </c>
      <c r="AZ44" s="774">
        <f t="shared" si="109"/>
      </c>
      <c r="BA44" s="774">
        <f t="shared" si="109"/>
      </c>
      <c r="BB44" s="774">
        <f t="shared" si="109"/>
      </c>
      <c r="BC44" s="774">
        <f t="shared" si="109"/>
      </c>
      <c r="BD44" s="78">
        <f t="shared" si="109"/>
      </c>
      <c r="BE44" s="774">
        <f t="shared" ref="BE44:BJ44" si="110">INDEX(MO_RIS_DisCont,0,COLUMN())</f>
      </c>
      <c r="BF44" s="774">
        <f t="shared" si="110"/>
      </c>
      <c r="BG44" s="774">
        <f t="shared" si="110"/>
      </c>
      <c r="BH44" s="774">
        <f t="shared" si="110"/>
      </c>
      <c r="BI44" s="78">
        <f t="shared" si="110"/>
      </c>
      <c r="BJ44" s="774">
        <f t="shared" si="110"/>
      </c>
      <c r="BK44" s="774">
        <f t="shared" ref="BK44:BP44" si="111">INDEX(MO_RIS_DisCont,0,COLUMN())</f>
      </c>
      <c r="BL44" s="774">
        <f t="shared" si="111"/>
      </c>
      <c r="BM44" s="774">
        <f t="shared" si="111"/>
      </c>
      <c r="BN44" s="78">
        <f t="shared" si="111"/>
      </c>
      <c r="BO44" s="774">
        <f t="shared" si="111"/>
      </c>
      <c r="BP44" s="774">
        <f t="shared" si="111"/>
      </c>
      <c r="BQ44" s="774">
        <f>INDEX(MO_RIS_DisCont,0,COLUMN())</f>
      </c>
      <c r="BR44" s="774">
        <f>INDEX(MO_RIS_DisCont,0,COLUMN())</f>
      </c>
      <c r="BS44" s="78">
        <f>INDEX(MO_RIS_DisCont,0,COLUMN())</f>
      </c>
      <c r="BT44" s="775">
        <f>INDEX(MO_RIS_DisCont,0,COLUMN())</f>
      </c>
      <c r="BU44" s="774">
        <f t="shared" ref="BU44:BX44" si="112">INDEX(MO_RIS_DisCont,0,COLUMN())</f>
      </c>
      <c r="BV44" s="774">
        <f t="shared" si="112"/>
      </c>
      <c r="BW44" s="774">
        <f t="shared" si="112"/>
      </c>
      <c r="BX44" s="78">
        <f t="shared" si="112"/>
      </c>
      <c r="BY44" s="774">
        <f t="shared" ref="BY44:CF44" si="113">INDEX(MO_RIS_DisCont,0,COLUMN())</f>
      </c>
      <c r="BZ44" s="774">
        <f t="shared" si="113"/>
      </c>
      <c r="CA44" s="774">
        <f t="shared" si="113"/>
      </c>
      <c r="CB44" s="774">
        <f t="shared" si="113"/>
      </c>
      <c r="CC44" s="78">
        <f t="shared" si="113"/>
      </c>
      <c r="CD44" s="78">
        <f t="shared" si="113"/>
      </c>
      <c r="CE44" s="78">
        <f t="shared" si="113"/>
      </c>
      <c r="CF44" s="78">
        <f t="shared" si="113"/>
      </c>
      <c r="CG44" s="774"/>
    </row>
    <row r="45" spans="1:85" customFormat="1" x14ac:dyDescent="0.3">
      <c r="A45" s="107" t="str">
        <f>INDEX(MO_RIS_NCI,0,COLUMN())</f>
      </c>
      <c r="B45" s="108"/>
      <c r="C45" s="78">
        <f t="shared" ref="C45:AH45" si="114">INDEX(MO_RIS_NCI,0,COLUMN())</f>
      </c>
      <c r="D45" s="78">
        <f t="shared" si="114"/>
      </c>
      <c r="E45" s="78">
        <f t="shared" si="114"/>
      </c>
      <c r="F45" s="78">
        <f t="shared" si="114"/>
      </c>
      <c r="G45" s="774">
        <f t="shared" si="114"/>
      </c>
      <c r="H45" s="774">
        <f t="shared" si="114"/>
      </c>
      <c r="I45" s="774">
        <f t="shared" si="114"/>
      </c>
      <c r="J45" s="774">
        <f t="shared" si="114"/>
      </c>
      <c r="K45" s="78">
        <f t="shared" si="114"/>
      </c>
      <c r="L45" s="774">
        <f t="shared" si="114"/>
      </c>
      <c r="M45" s="774">
        <f t="shared" si="114"/>
      </c>
      <c r="N45" s="774">
        <f t="shared" si="114"/>
      </c>
      <c r="O45" s="774">
        <f t="shared" si="114"/>
      </c>
      <c r="P45" s="78">
        <f t="shared" si="114"/>
      </c>
      <c r="Q45" s="774">
        <f t="shared" si="114"/>
      </c>
      <c r="R45" s="774">
        <f t="shared" si="114"/>
      </c>
      <c r="S45" s="774">
        <f t="shared" si="114"/>
      </c>
      <c r="T45" s="774">
        <f t="shared" si="114"/>
      </c>
      <c r="U45" s="78">
        <f t="shared" si="114"/>
      </c>
      <c r="V45" s="774">
        <f t="shared" si="114"/>
      </c>
      <c r="W45" s="774">
        <f t="shared" si="114"/>
      </c>
      <c r="X45" s="774">
        <f t="shared" si="114"/>
      </c>
      <c r="Y45" s="774">
        <f t="shared" si="114"/>
      </c>
      <c r="Z45" s="78">
        <f t="shared" si="114"/>
      </c>
      <c r="AA45" s="774">
        <f t="shared" si="114"/>
      </c>
      <c r="AB45" s="774">
        <f t="shared" si="114"/>
      </c>
      <c r="AC45" s="774">
        <f t="shared" si="114"/>
      </c>
      <c r="AD45" s="774">
        <f t="shared" si="114"/>
      </c>
      <c r="AE45" s="78">
        <f t="shared" si="114"/>
      </c>
      <c r="AF45" s="774">
        <f t="shared" si="114"/>
      </c>
      <c r="AG45" s="774">
        <f t="shared" si="114"/>
      </c>
      <c r="AH45" s="774">
        <f t="shared" si="114"/>
      </c>
      <c r="AI45" s="774">
        <f t="shared" ref="AI45:BD45" si="115">INDEX(MO_RIS_NCI,0,COLUMN())</f>
      </c>
      <c r="AJ45" s="78">
        <f t="shared" si="115"/>
      </c>
      <c r="AK45" s="774">
        <f t="shared" si="115"/>
      </c>
      <c r="AL45" s="774">
        <f t="shared" si="115"/>
      </c>
      <c r="AM45" s="774">
        <f t="shared" si="115"/>
      </c>
      <c r="AN45" s="774">
        <f t="shared" si="115"/>
      </c>
      <c r="AO45" s="78">
        <f t="shared" si="115"/>
      </c>
      <c r="AP45" s="774">
        <f t="shared" si="115"/>
      </c>
      <c r="AQ45" s="774">
        <f t="shared" si="115"/>
      </c>
      <c r="AR45" s="774">
        <f t="shared" si="115"/>
      </c>
      <c r="AS45" s="774">
        <f t="shared" si="115"/>
      </c>
      <c r="AT45" s="78">
        <f t="shared" si="115"/>
      </c>
      <c r="AU45" s="774">
        <f t="shared" si="115"/>
      </c>
      <c r="AV45" s="774">
        <f t="shared" si="115"/>
      </c>
      <c r="AW45" s="774">
        <f t="shared" si="115"/>
      </c>
      <c r="AX45" s="774">
        <f t="shared" si="115"/>
      </c>
      <c r="AY45" s="78">
        <f t="shared" si="115"/>
      </c>
      <c r="AZ45" s="774">
        <f t="shared" si="115"/>
      </c>
      <c r="BA45" s="774">
        <f t="shared" si="115"/>
      </c>
      <c r="BB45" s="774">
        <f t="shared" si="115"/>
      </c>
      <c r="BC45" s="774">
        <f t="shared" si="115"/>
      </c>
      <c r="BD45" s="78">
        <f t="shared" si="115"/>
      </c>
      <c r="BE45" s="774">
        <f t="shared" ref="BE45:BJ45" si="116">INDEX(MO_RIS_NCI,0,COLUMN())</f>
      </c>
      <c r="BF45" s="774">
        <f t="shared" si="116"/>
      </c>
      <c r="BG45" s="774">
        <f t="shared" si="116"/>
      </c>
      <c r="BH45" s="774">
        <f t="shared" si="116"/>
      </c>
      <c r="BI45" s="78">
        <f t="shared" si="116"/>
      </c>
      <c r="BJ45" s="774">
        <f t="shared" si="116"/>
      </c>
      <c r="BK45" s="774">
        <f t="shared" ref="BK45:BP45" si="117">INDEX(MO_RIS_NCI,0,COLUMN())</f>
      </c>
      <c r="BL45" s="774">
        <f t="shared" si="117"/>
      </c>
      <c r="BM45" s="774">
        <f t="shared" si="117"/>
      </c>
      <c r="BN45" s="78">
        <f t="shared" si="117"/>
      </c>
      <c r="BO45" s="774">
        <f t="shared" si="117"/>
      </c>
      <c r="BP45" s="774">
        <f t="shared" si="117"/>
      </c>
      <c r="BQ45" s="774">
        <f>INDEX(MO_RIS_NCI,0,COLUMN())</f>
      </c>
      <c r="BR45" s="774">
        <f>INDEX(MO_RIS_NCI,0,COLUMN())</f>
      </c>
      <c r="BS45" s="78">
        <f>INDEX(MO_RIS_NCI,0,COLUMN())</f>
      </c>
      <c r="BT45" s="775">
        <f>INDEX(MO_RIS_NCI,0,COLUMN())</f>
      </c>
      <c r="BU45" s="774">
        <f t="shared" ref="BU45:BX45" si="118">INDEX(MO_RIS_NCI,0,COLUMN())</f>
      </c>
      <c r="BV45" s="774">
        <f t="shared" si="118"/>
      </c>
      <c r="BW45" s="774">
        <f t="shared" si="118"/>
      </c>
      <c r="BX45" s="78">
        <f t="shared" si="118"/>
      </c>
      <c r="BY45" s="774">
        <f t="shared" ref="BY45:CF45" si="119">INDEX(MO_RIS_NCI,0,COLUMN())</f>
      </c>
      <c r="BZ45" s="774">
        <f t="shared" si="119"/>
      </c>
      <c r="CA45" s="774">
        <f t="shared" si="119"/>
      </c>
      <c r="CB45" s="774">
        <f t="shared" si="119"/>
      </c>
      <c r="CC45" s="78">
        <f t="shared" si="119"/>
      </c>
      <c r="CD45" s="78">
        <f t="shared" si="119"/>
      </c>
      <c r="CE45" s="78">
        <f t="shared" si="119"/>
      </c>
      <c r="CF45" s="78">
        <f t="shared" si="119"/>
      </c>
      <c r="CG45" s="774"/>
    </row>
    <row r="46" spans="1:85" customFormat="1" x14ac:dyDescent="0.3">
      <c r="A46" s="174" t="str">
        <f>INDEX(MO_RIS_Dividend_Prefs,0,COLUMN())</f>
      </c>
      <c r="B46" s="175"/>
      <c r="C46" s="1100">
        <f t="shared" ref="C46:AH46" si="120">INDEX(MO_RIS_Dividend_Prefs,0,COLUMN())</f>
      </c>
      <c r="D46" s="1100">
        <f t="shared" si="120"/>
      </c>
      <c r="E46" s="1100">
        <f t="shared" si="120"/>
      </c>
      <c r="F46" s="1100">
        <f t="shared" si="120"/>
      </c>
      <c r="G46" s="840">
        <f t="shared" si="120"/>
      </c>
      <c r="H46" s="840">
        <f t="shared" si="120"/>
      </c>
      <c r="I46" s="840">
        <f t="shared" si="120"/>
      </c>
      <c r="J46" s="840">
        <f t="shared" si="120"/>
      </c>
      <c r="K46" s="1100">
        <f t="shared" si="120"/>
      </c>
      <c r="L46" s="840">
        <f t="shared" si="120"/>
      </c>
      <c r="M46" s="840">
        <f t="shared" si="120"/>
      </c>
      <c r="N46" s="840">
        <f t="shared" si="120"/>
      </c>
      <c r="O46" s="840">
        <f t="shared" si="120"/>
      </c>
      <c r="P46" s="1100">
        <f t="shared" si="120"/>
      </c>
      <c r="Q46" s="840">
        <f t="shared" si="120"/>
      </c>
      <c r="R46" s="840">
        <f t="shared" si="120"/>
      </c>
      <c r="S46" s="840">
        <f t="shared" si="120"/>
      </c>
      <c r="T46" s="840">
        <f t="shared" si="120"/>
      </c>
      <c r="U46" s="1100">
        <f t="shared" si="120"/>
      </c>
      <c r="V46" s="840">
        <f t="shared" si="120"/>
      </c>
      <c r="W46" s="840">
        <f t="shared" si="120"/>
      </c>
      <c r="X46" s="840">
        <f t="shared" si="120"/>
      </c>
      <c r="Y46" s="840">
        <f t="shared" si="120"/>
      </c>
      <c r="Z46" s="1100">
        <f t="shared" si="120"/>
      </c>
      <c r="AA46" s="840">
        <f t="shared" si="120"/>
      </c>
      <c r="AB46" s="840">
        <f t="shared" si="120"/>
      </c>
      <c r="AC46" s="840">
        <f t="shared" si="120"/>
      </c>
      <c r="AD46" s="840">
        <f t="shared" si="120"/>
      </c>
      <c r="AE46" s="1100">
        <f t="shared" si="120"/>
      </c>
      <c r="AF46" s="840">
        <f t="shared" si="120"/>
      </c>
      <c r="AG46" s="840">
        <f t="shared" si="120"/>
      </c>
      <c r="AH46" s="840">
        <f t="shared" si="120"/>
      </c>
      <c r="AI46" s="840">
        <f t="shared" ref="AI46:BD46" si="121">INDEX(MO_RIS_Dividend_Prefs,0,COLUMN())</f>
      </c>
      <c r="AJ46" s="1100">
        <f t="shared" si="121"/>
      </c>
      <c r="AK46" s="840">
        <f t="shared" si="121"/>
      </c>
      <c r="AL46" s="840">
        <f t="shared" si="121"/>
      </c>
      <c r="AM46" s="840">
        <f t="shared" si="121"/>
      </c>
      <c r="AN46" s="840">
        <f t="shared" si="121"/>
      </c>
      <c r="AO46" s="1100">
        <f t="shared" si="121"/>
      </c>
      <c r="AP46" s="840">
        <f t="shared" si="121"/>
      </c>
      <c r="AQ46" s="840">
        <f t="shared" si="121"/>
      </c>
      <c r="AR46" s="840">
        <f t="shared" si="121"/>
      </c>
      <c r="AS46" s="840">
        <f t="shared" si="121"/>
      </c>
      <c r="AT46" s="1100">
        <f t="shared" si="121"/>
      </c>
      <c r="AU46" s="840">
        <f t="shared" si="121"/>
      </c>
      <c r="AV46" s="840">
        <f t="shared" si="121"/>
      </c>
      <c r="AW46" s="840">
        <f t="shared" si="121"/>
      </c>
      <c r="AX46" s="840">
        <f t="shared" si="121"/>
      </c>
      <c r="AY46" s="1100">
        <f t="shared" si="121"/>
      </c>
      <c r="AZ46" s="840">
        <f t="shared" si="121"/>
      </c>
      <c r="BA46" s="840">
        <f t="shared" si="121"/>
      </c>
      <c r="BB46" s="840">
        <f t="shared" si="121"/>
      </c>
      <c r="BC46" s="840">
        <f t="shared" si="121"/>
      </c>
      <c r="BD46" s="1100">
        <f t="shared" si="121"/>
      </c>
      <c r="BE46" s="840">
        <f t="shared" ref="BE46:BJ46" si="122">INDEX(MO_RIS_Dividend_Prefs,0,COLUMN())</f>
      </c>
      <c r="BF46" s="840">
        <f t="shared" si="122"/>
      </c>
      <c r="BG46" s="840">
        <f t="shared" si="122"/>
      </c>
      <c r="BH46" s="840">
        <f t="shared" si="122"/>
      </c>
      <c r="BI46" s="1100">
        <f t="shared" si="122"/>
      </c>
      <c r="BJ46" s="840">
        <f t="shared" si="122"/>
      </c>
      <c r="BK46" s="840">
        <f t="shared" ref="BK46:BP46" si="123">INDEX(MO_RIS_Dividend_Prefs,0,COLUMN())</f>
      </c>
      <c r="BL46" s="840">
        <f t="shared" si="123"/>
      </c>
      <c r="BM46" s="840">
        <f t="shared" si="123"/>
      </c>
      <c r="BN46" s="1100">
        <f t="shared" si="123"/>
      </c>
      <c r="BO46" s="840">
        <f t="shared" si="123"/>
      </c>
      <c r="BP46" s="840">
        <f t="shared" si="123"/>
      </c>
      <c r="BQ46" s="840">
        <f>INDEX(MO_RIS_Dividend_Prefs,0,COLUMN())</f>
      </c>
      <c r="BR46" s="840">
        <f>INDEX(MO_RIS_Dividend_Prefs,0,COLUMN())</f>
      </c>
      <c r="BS46" s="1100">
        <f>INDEX(MO_RIS_Dividend_Prefs,0,COLUMN())</f>
      </c>
      <c r="BT46" s="841">
        <f>INDEX(MO_RIS_Dividend_Prefs,0,COLUMN())</f>
      </c>
      <c r="BU46" s="840">
        <f t="shared" ref="BU46:BX46" si="124">INDEX(MO_RIS_Dividend_Prefs,0,COLUMN())</f>
      </c>
      <c r="BV46" s="840">
        <f t="shared" si="124"/>
      </c>
      <c r="BW46" s="840">
        <f t="shared" si="124"/>
      </c>
      <c r="BX46" s="1100">
        <f t="shared" si="124"/>
      </c>
      <c r="BY46" s="840">
        <f t="shared" ref="BY46:CF46" si="125">INDEX(MO_RIS_Dividend_Prefs,0,COLUMN())</f>
      </c>
      <c r="BZ46" s="840">
        <f t="shared" si="125"/>
      </c>
      <c r="CA46" s="840">
        <f t="shared" si="125"/>
      </c>
      <c r="CB46" s="840">
        <f t="shared" si="125"/>
      </c>
      <c r="CC46" s="1100">
        <f t="shared" si="125"/>
      </c>
      <c r="CD46" s="1100">
        <f t="shared" si="125"/>
      </c>
      <c r="CE46" s="1100">
        <f t="shared" si="125"/>
      </c>
      <c r="CF46" s="1100">
        <f t="shared" si="125"/>
      </c>
      <c r="CG46" s="774"/>
    </row>
    <row r="47" spans="1:85" customFormat="1" x14ac:dyDescent="0.3">
      <c r="A47" s="109" t="str">
        <f>INDEX(MO_RIS_NI_GAAP_Basic,0,COLUMN())</f>
      </c>
      <c r="B47" s="110"/>
      <c r="C47" s="1101">
        <f t="shared" ref="C47:AH47" si="126">INDEX(MO_RIS_NI_GAAP_Basic,0,COLUMN())</f>
      </c>
      <c r="D47" s="1101">
        <f t="shared" si="126"/>
      </c>
      <c r="E47" s="1101">
        <f t="shared" si="126"/>
      </c>
      <c r="F47" s="1101">
        <f t="shared" si="126"/>
      </c>
      <c r="G47" s="842">
        <f t="shared" si="126"/>
      </c>
      <c r="H47" s="842">
        <f t="shared" si="126"/>
      </c>
      <c r="I47" s="842">
        <f t="shared" si="126"/>
      </c>
      <c r="J47" s="842">
        <f t="shared" si="126"/>
      </c>
      <c r="K47" s="1101">
        <f t="shared" si="126"/>
      </c>
      <c r="L47" s="842">
        <f t="shared" si="126"/>
      </c>
      <c r="M47" s="842">
        <f t="shared" si="126"/>
      </c>
      <c r="N47" s="842">
        <f t="shared" si="126"/>
      </c>
      <c r="O47" s="842">
        <f t="shared" si="126"/>
      </c>
      <c r="P47" s="1101">
        <f t="shared" si="126"/>
      </c>
      <c r="Q47" s="842">
        <f t="shared" si="126"/>
      </c>
      <c r="R47" s="842">
        <f t="shared" si="126"/>
      </c>
      <c r="S47" s="842">
        <f t="shared" si="126"/>
      </c>
      <c r="T47" s="842">
        <f t="shared" si="126"/>
      </c>
      <c r="U47" s="1101">
        <f t="shared" si="126"/>
      </c>
      <c r="V47" s="842">
        <f t="shared" si="126"/>
      </c>
      <c r="W47" s="842">
        <f t="shared" si="126"/>
      </c>
      <c r="X47" s="842">
        <f t="shared" si="126"/>
      </c>
      <c r="Y47" s="842">
        <f t="shared" si="126"/>
      </c>
      <c r="Z47" s="1101">
        <f t="shared" si="126"/>
      </c>
      <c r="AA47" s="842">
        <f t="shared" si="126"/>
      </c>
      <c r="AB47" s="842">
        <f t="shared" si="126"/>
      </c>
      <c r="AC47" s="842">
        <f t="shared" si="126"/>
      </c>
      <c r="AD47" s="842">
        <f t="shared" si="126"/>
      </c>
      <c r="AE47" s="1101">
        <f t="shared" si="126"/>
      </c>
      <c r="AF47" s="842">
        <f t="shared" si="126"/>
      </c>
      <c r="AG47" s="842">
        <f t="shared" si="126"/>
      </c>
      <c r="AH47" s="842">
        <f t="shared" si="126"/>
      </c>
      <c r="AI47" s="842">
        <f t="shared" ref="AI47:BD47" si="127">INDEX(MO_RIS_NI_GAAP_Basic,0,COLUMN())</f>
      </c>
      <c r="AJ47" s="1101">
        <f t="shared" si="127"/>
      </c>
      <c r="AK47" s="842">
        <f t="shared" si="127"/>
      </c>
      <c r="AL47" s="842">
        <f t="shared" si="127"/>
      </c>
      <c r="AM47" s="842">
        <f t="shared" si="127"/>
      </c>
      <c r="AN47" s="842">
        <f t="shared" si="127"/>
      </c>
      <c r="AO47" s="1101">
        <f t="shared" si="127"/>
      </c>
      <c r="AP47" s="842">
        <f t="shared" si="127"/>
      </c>
      <c r="AQ47" s="842">
        <f t="shared" si="127"/>
      </c>
      <c r="AR47" s="842">
        <f t="shared" si="127"/>
      </c>
      <c r="AS47" s="842">
        <f t="shared" si="127"/>
      </c>
      <c r="AT47" s="1101">
        <f t="shared" si="127"/>
      </c>
      <c r="AU47" s="842">
        <f t="shared" si="127"/>
      </c>
      <c r="AV47" s="842">
        <f t="shared" si="127"/>
      </c>
      <c r="AW47" s="842">
        <f t="shared" si="127"/>
      </c>
      <c r="AX47" s="842">
        <f t="shared" si="127"/>
      </c>
      <c r="AY47" s="1101">
        <f t="shared" si="127"/>
      </c>
      <c r="AZ47" s="842">
        <f t="shared" si="127"/>
      </c>
      <c r="BA47" s="842">
        <f t="shared" si="127"/>
      </c>
      <c r="BB47" s="842">
        <f t="shared" si="127"/>
      </c>
      <c r="BC47" s="842">
        <f t="shared" si="127"/>
      </c>
      <c r="BD47" s="1101">
        <f t="shared" si="127"/>
      </c>
      <c r="BE47" s="842">
        <f t="shared" ref="BE47:BJ47" si="128">INDEX(MO_RIS_NI_GAAP_Basic,0,COLUMN())</f>
      </c>
      <c r="BF47" s="842">
        <f t="shared" si="128"/>
      </c>
      <c r="BG47" s="842">
        <f t="shared" si="128"/>
      </c>
      <c r="BH47" s="842">
        <f t="shared" si="128"/>
      </c>
      <c r="BI47" s="1101">
        <f t="shared" si="128"/>
      </c>
      <c r="BJ47" s="842">
        <f t="shared" si="128"/>
      </c>
      <c r="BK47" s="842">
        <f t="shared" ref="BK47:BP47" si="129">INDEX(MO_RIS_NI_GAAP_Basic,0,COLUMN())</f>
      </c>
      <c r="BL47" s="842">
        <f t="shared" si="129"/>
      </c>
      <c r="BM47" s="842">
        <f t="shared" si="129"/>
      </c>
      <c r="BN47" s="1101">
        <f t="shared" si="129"/>
      </c>
      <c r="BO47" s="842">
        <f t="shared" si="129"/>
      </c>
      <c r="BP47" s="842">
        <f t="shared" si="129"/>
      </c>
      <c r="BQ47" s="842">
        <f>INDEX(MO_RIS_NI_GAAP_Basic,0,COLUMN())</f>
      </c>
      <c r="BR47" s="842">
        <f>INDEX(MO_RIS_NI_GAAP_Basic,0,COLUMN())</f>
      </c>
      <c r="BS47" s="1101">
        <f>INDEX(MO_RIS_NI_GAAP_Basic,0,COLUMN())</f>
      </c>
      <c r="BT47" s="843">
        <f>INDEX(MO_RIS_NI_GAAP_Basic,0,COLUMN())</f>
      </c>
      <c r="BU47" s="842">
        <f t="shared" ref="BU47:BX47" si="130">INDEX(MO_RIS_NI_GAAP_Basic,0,COLUMN())</f>
      </c>
      <c r="BV47" s="842">
        <f t="shared" si="130"/>
      </c>
      <c r="BW47" s="842">
        <f t="shared" si="130"/>
      </c>
      <c r="BX47" s="1101">
        <f t="shared" si="130"/>
      </c>
      <c r="BY47" s="842">
        <f t="shared" ref="BY47:CF47" si="131">INDEX(MO_RIS_NI_GAAP_Basic,0,COLUMN())</f>
      </c>
      <c r="BZ47" s="842">
        <f t="shared" si="131"/>
      </c>
      <c r="CA47" s="842">
        <f t="shared" si="131"/>
      </c>
      <c r="CB47" s="842">
        <f t="shared" si="131"/>
      </c>
      <c r="CC47" s="1101">
        <f t="shared" si="131"/>
      </c>
      <c r="CD47" s="1101">
        <f t="shared" si="131"/>
      </c>
      <c r="CE47" s="1101">
        <f t="shared" si="131"/>
      </c>
      <c r="CF47" s="1101">
        <f t="shared" si="131"/>
      </c>
      <c r="CG47" s="772"/>
    </row>
    <row r="48" spans="1:85" customFormat="1" x14ac:dyDescent="0.3">
      <c r="A48" s="107" t="str">
        <f>INDEX(MO_RIS_Adjustments_Dilution_GAAP,0,COLUMN())</f>
      </c>
      <c r="B48" s="108"/>
      <c r="C48" s="78">
        <f t="shared" ref="C48:AH48" si="132">INDEX(MO_RIS_Adjustments_Dilution_GAAP,0,COLUMN())</f>
      </c>
      <c r="D48" s="78">
        <f t="shared" si="132"/>
      </c>
      <c r="E48" s="78">
        <f t="shared" si="132"/>
      </c>
      <c r="F48" s="78">
        <f t="shared" si="132"/>
      </c>
      <c r="G48" s="774">
        <f t="shared" si="132"/>
      </c>
      <c r="H48" s="774">
        <f t="shared" si="132"/>
      </c>
      <c r="I48" s="774">
        <f t="shared" si="132"/>
      </c>
      <c r="J48" s="774">
        <f t="shared" si="132"/>
      </c>
      <c r="K48" s="78">
        <f t="shared" si="132"/>
      </c>
      <c r="L48" s="774">
        <f t="shared" si="132"/>
      </c>
      <c r="M48" s="774">
        <f t="shared" si="132"/>
      </c>
      <c r="N48" s="774">
        <f t="shared" si="132"/>
      </c>
      <c r="O48" s="774">
        <f t="shared" si="132"/>
      </c>
      <c r="P48" s="78">
        <f t="shared" si="132"/>
      </c>
      <c r="Q48" s="774">
        <f t="shared" si="132"/>
      </c>
      <c r="R48" s="774">
        <f t="shared" si="132"/>
      </c>
      <c r="S48" s="774">
        <f t="shared" si="132"/>
      </c>
      <c r="T48" s="774">
        <f t="shared" si="132"/>
      </c>
      <c r="U48" s="78">
        <f t="shared" si="132"/>
      </c>
      <c r="V48" s="774">
        <f t="shared" si="132"/>
      </c>
      <c r="W48" s="774">
        <f t="shared" si="132"/>
      </c>
      <c r="X48" s="774">
        <f t="shared" si="132"/>
      </c>
      <c r="Y48" s="774">
        <f t="shared" si="132"/>
      </c>
      <c r="Z48" s="78">
        <f t="shared" si="132"/>
      </c>
      <c r="AA48" s="774">
        <f t="shared" si="132"/>
      </c>
      <c r="AB48" s="774">
        <f t="shared" si="132"/>
      </c>
      <c r="AC48" s="774">
        <f t="shared" si="132"/>
      </c>
      <c r="AD48" s="774">
        <f t="shared" si="132"/>
      </c>
      <c r="AE48" s="78">
        <f t="shared" si="132"/>
      </c>
      <c r="AF48" s="774">
        <f t="shared" si="132"/>
      </c>
      <c r="AG48" s="774">
        <f t="shared" si="132"/>
      </c>
      <c r="AH48" s="774">
        <f t="shared" si="132"/>
      </c>
      <c r="AI48" s="774">
        <f t="shared" ref="AI48:BD48" si="133">INDEX(MO_RIS_Adjustments_Dilution_GAAP,0,COLUMN())</f>
      </c>
      <c r="AJ48" s="78">
        <f t="shared" si="133"/>
      </c>
      <c r="AK48" s="774">
        <f t="shared" si="133"/>
      </c>
      <c r="AL48" s="774">
        <f t="shared" si="133"/>
      </c>
      <c r="AM48" s="774">
        <f t="shared" si="133"/>
      </c>
      <c r="AN48" s="774">
        <f t="shared" si="133"/>
      </c>
      <c r="AO48" s="78">
        <f t="shared" si="133"/>
      </c>
      <c r="AP48" s="774">
        <f t="shared" si="133"/>
      </c>
      <c r="AQ48" s="774">
        <f t="shared" si="133"/>
      </c>
      <c r="AR48" s="774">
        <f t="shared" si="133"/>
      </c>
      <c r="AS48" s="774">
        <f t="shared" si="133"/>
      </c>
      <c r="AT48" s="78">
        <f t="shared" si="133"/>
      </c>
      <c r="AU48" s="774">
        <f t="shared" si="133"/>
      </c>
      <c r="AV48" s="774">
        <f t="shared" si="133"/>
      </c>
      <c r="AW48" s="774">
        <f t="shared" si="133"/>
      </c>
      <c r="AX48" s="774">
        <f t="shared" si="133"/>
      </c>
      <c r="AY48" s="78">
        <f t="shared" si="133"/>
      </c>
      <c r="AZ48" s="774">
        <f t="shared" si="133"/>
      </c>
      <c r="BA48" s="774">
        <f t="shared" si="133"/>
      </c>
      <c r="BB48" s="774">
        <f t="shared" si="133"/>
      </c>
      <c r="BC48" s="774">
        <f t="shared" si="133"/>
      </c>
      <c r="BD48" s="78">
        <f t="shared" si="133"/>
      </c>
      <c r="BE48" s="774">
        <f t="shared" ref="BE48:BJ48" si="134">INDEX(MO_RIS_Adjustments_Dilution_GAAP,0,COLUMN())</f>
      </c>
      <c r="BF48" s="774">
        <f t="shared" si="134"/>
      </c>
      <c r="BG48" s="774">
        <f t="shared" si="134"/>
      </c>
      <c r="BH48" s="774">
        <f t="shared" si="134"/>
      </c>
      <c r="BI48" s="78">
        <f t="shared" si="134"/>
      </c>
      <c r="BJ48" s="774">
        <f t="shared" si="134"/>
      </c>
      <c r="BK48" s="774">
        <f t="shared" ref="BK48:BP48" si="135">INDEX(MO_RIS_Adjustments_Dilution_GAAP,0,COLUMN())</f>
      </c>
      <c r="BL48" s="774">
        <f t="shared" si="135"/>
      </c>
      <c r="BM48" s="774">
        <f t="shared" si="135"/>
      </c>
      <c r="BN48" s="78">
        <f t="shared" si="135"/>
      </c>
      <c r="BO48" s="774">
        <f t="shared" si="135"/>
      </c>
      <c r="BP48" s="774">
        <f t="shared" si="135"/>
      </c>
      <c r="BQ48" s="774">
        <f>INDEX(MO_RIS_Adjustments_Dilution_GAAP,0,COLUMN())</f>
      </c>
      <c r="BR48" s="774">
        <f>INDEX(MO_RIS_Adjustments_Dilution_GAAP,0,COLUMN())</f>
      </c>
      <c r="BS48" s="78">
        <f>INDEX(MO_RIS_Adjustments_Dilution_GAAP,0,COLUMN())</f>
      </c>
      <c r="BT48" s="775">
        <f>INDEX(MO_RIS_Adjustments_Dilution_GAAP,0,COLUMN())</f>
      </c>
      <c r="BU48" s="774">
        <f t="shared" ref="BU48:BX48" si="136">INDEX(MO_RIS_Adjustments_Dilution_GAAP,0,COLUMN())</f>
      </c>
      <c r="BV48" s="774">
        <f t="shared" si="136"/>
      </c>
      <c r="BW48" s="774">
        <f t="shared" si="136"/>
      </c>
      <c r="BX48" s="78">
        <f t="shared" si="136"/>
      </c>
      <c r="BY48" s="774">
        <f t="shared" ref="BY48:CF48" si="137">INDEX(MO_RIS_Adjustments_Dilution_GAAP,0,COLUMN())</f>
      </c>
      <c r="BZ48" s="774">
        <f t="shared" si="137"/>
      </c>
      <c r="CA48" s="774">
        <f t="shared" si="137"/>
      </c>
      <c r="CB48" s="774">
        <f t="shared" si="137"/>
      </c>
      <c r="CC48" s="78">
        <f t="shared" si="137"/>
      </c>
      <c r="CD48" s="78">
        <f t="shared" si="137"/>
      </c>
      <c r="CE48" s="78">
        <f t="shared" si="137"/>
      </c>
      <c r="CF48" s="78">
        <f t="shared" si="137"/>
      </c>
      <c r="CG48" s="772"/>
    </row>
    <row r="49" spans="1:85" customFormat="1" x14ac:dyDescent="0.3">
      <c r="A49" s="109" t="str">
        <f>INDEX(MO_RIS_NI_GAAP_Diluted,0,COLUMN())</f>
      </c>
      <c r="B49" s="110"/>
      <c r="C49" s="1101">
        <f t="shared" ref="C49:AH49" si="138">INDEX(MO_RIS_NI_GAAP_Diluted,0,COLUMN())</f>
      </c>
      <c r="D49" s="1101">
        <f t="shared" si="138"/>
      </c>
      <c r="E49" s="1101">
        <f t="shared" si="138"/>
      </c>
      <c r="F49" s="1101">
        <f t="shared" si="138"/>
      </c>
      <c r="G49" s="842">
        <f t="shared" si="138"/>
      </c>
      <c r="H49" s="842">
        <f t="shared" si="138"/>
      </c>
      <c r="I49" s="842">
        <f t="shared" si="138"/>
      </c>
      <c r="J49" s="842">
        <f t="shared" si="138"/>
      </c>
      <c r="K49" s="1101">
        <f t="shared" si="138"/>
      </c>
      <c r="L49" s="842">
        <f t="shared" si="138"/>
      </c>
      <c r="M49" s="842">
        <f t="shared" si="138"/>
      </c>
      <c r="N49" s="842">
        <f t="shared" si="138"/>
      </c>
      <c r="O49" s="842">
        <f t="shared" si="138"/>
      </c>
      <c r="P49" s="1101">
        <f t="shared" si="138"/>
      </c>
      <c r="Q49" s="842">
        <f t="shared" si="138"/>
      </c>
      <c r="R49" s="842">
        <f t="shared" si="138"/>
      </c>
      <c r="S49" s="842">
        <f t="shared" si="138"/>
      </c>
      <c r="T49" s="842">
        <f t="shared" si="138"/>
      </c>
      <c r="U49" s="1101">
        <f t="shared" si="138"/>
      </c>
      <c r="V49" s="842">
        <f t="shared" si="138"/>
      </c>
      <c r="W49" s="842">
        <f t="shared" si="138"/>
      </c>
      <c r="X49" s="842">
        <f t="shared" si="138"/>
      </c>
      <c r="Y49" s="842">
        <f t="shared" si="138"/>
      </c>
      <c r="Z49" s="1101">
        <f t="shared" si="138"/>
      </c>
      <c r="AA49" s="842">
        <f t="shared" si="138"/>
      </c>
      <c r="AB49" s="842">
        <f t="shared" si="138"/>
      </c>
      <c r="AC49" s="842">
        <f t="shared" si="138"/>
      </c>
      <c r="AD49" s="842">
        <f t="shared" si="138"/>
      </c>
      <c r="AE49" s="1101">
        <f t="shared" si="138"/>
      </c>
      <c r="AF49" s="842">
        <f t="shared" si="138"/>
      </c>
      <c r="AG49" s="842">
        <f t="shared" si="138"/>
      </c>
      <c r="AH49" s="842">
        <f t="shared" si="138"/>
      </c>
      <c r="AI49" s="842">
        <f t="shared" ref="AI49:BD49" si="139">INDEX(MO_RIS_NI_GAAP_Diluted,0,COLUMN())</f>
      </c>
      <c r="AJ49" s="1101">
        <f t="shared" si="139"/>
      </c>
      <c r="AK49" s="842">
        <f t="shared" si="139"/>
      </c>
      <c r="AL49" s="842">
        <f t="shared" si="139"/>
      </c>
      <c r="AM49" s="842">
        <f t="shared" si="139"/>
      </c>
      <c r="AN49" s="842">
        <f t="shared" si="139"/>
      </c>
      <c r="AO49" s="1101">
        <f t="shared" si="139"/>
      </c>
      <c r="AP49" s="842">
        <f t="shared" si="139"/>
      </c>
      <c r="AQ49" s="842">
        <f t="shared" si="139"/>
      </c>
      <c r="AR49" s="842">
        <f t="shared" si="139"/>
      </c>
      <c r="AS49" s="842">
        <f t="shared" si="139"/>
      </c>
      <c r="AT49" s="1101">
        <f t="shared" si="139"/>
      </c>
      <c r="AU49" s="842">
        <f t="shared" si="139"/>
      </c>
      <c r="AV49" s="842">
        <f t="shared" si="139"/>
      </c>
      <c r="AW49" s="842">
        <f t="shared" si="139"/>
      </c>
      <c r="AX49" s="842">
        <f t="shared" si="139"/>
      </c>
      <c r="AY49" s="1101">
        <f t="shared" si="139"/>
      </c>
      <c r="AZ49" s="842">
        <f t="shared" si="139"/>
      </c>
      <c r="BA49" s="842">
        <f t="shared" si="139"/>
      </c>
      <c r="BB49" s="842">
        <f t="shared" si="139"/>
      </c>
      <c r="BC49" s="842">
        <f t="shared" si="139"/>
      </c>
      <c r="BD49" s="1101">
        <f t="shared" si="139"/>
      </c>
      <c r="BE49" s="842">
        <f t="shared" ref="BE49:BJ49" si="140">INDEX(MO_RIS_NI_GAAP_Diluted,0,COLUMN())</f>
      </c>
      <c r="BF49" s="842">
        <f t="shared" si="140"/>
      </c>
      <c r="BG49" s="842">
        <f t="shared" si="140"/>
      </c>
      <c r="BH49" s="842">
        <f t="shared" si="140"/>
      </c>
      <c r="BI49" s="1101">
        <f t="shared" si="140"/>
      </c>
      <c r="BJ49" s="842">
        <f t="shared" si="140"/>
      </c>
      <c r="BK49" s="842">
        <f t="shared" ref="BK49:BP49" si="141">INDEX(MO_RIS_NI_GAAP_Diluted,0,COLUMN())</f>
      </c>
      <c r="BL49" s="842">
        <f t="shared" si="141"/>
      </c>
      <c r="BM49" s="842">
        <f t="shared" si="141"/>
      </c>
      <c r="BN49" s="1101">
        <f t="shared" si="141"/>
      </c>
      <c r="BO49" s="842">
        <f t="shared" si="141"/>
      </c>
      <c r="BP49" s="842">
        <f t="shared" si="141"/>
      </c>
      <c r="BQ49" s="842">
        <f>INDEX(MO_RIS_NI_GAAP_Diluted,0,COLUMN())</f>
      </c>
      <c r="BR49" s="842">
        <f>INDEX(MO_RIS_NI_GAAP_Diluted,0,COLUMN())</f>
      </c>
      <c r="BS49" s="1101">
        <f>INDEX(MO_RIS_NI_GAAP_Diluted,0,COLUMN())</f>
      </c>
      <c r="BT49" s="843">
        <f>INDEX(MO_RIS_NI_GAAP_Diluted,0,COLUMN())</f>
      </c>
      <c r="BU49" s="842">
        <f t="shared" ref="BU49:BX49" si="142">INDEX(MO_RIS_NI_GAAP_Diluted,0,COLUMN())</f>
      </c>
      <c r="BV49" s="842">
        <f t="shared" si="142"/>
      </c>
      <c r="BW49" s="842">
        <f t="shared" si="142"/>
      </c>
      <c r="BX49" s="1101">
        <f t="shared" si="142"/>
      </c>
      <c r="BY49" s="842">
        <f t="shared" ref="BY49:CF49" si="143">INDEX(MO_RIS_NI_GAAP_Diluted,0,COLUMN())</f>
      </c>
      <c r="BZ49" s="842">
        <f t="shared" si="143"/>
      </c>
      <c r="CA49" s="842">
        <f t="shared" si="143"/>
      </c>
      <c r="CB49" s="842">
        <f t="shared" si="143"/>
      </c>
      <c r="CC49" s="1101">
        <f t="shared" si="143"/>
      </c>
      <c r="CD49" s="1101">
        <f t="shared" si="143"/>
      </c>
      <c r="CE49" s="1101">
        <f t="shared" si="143"/>
      </c>
      <c r="CF49" s="1101">
        <f t="shared" si="143"/>
      </c>
      <c r="CG49" s="772"/>
    </row>
    <row r="50" spans="1:85" customFormat="1" x14ac:dyDescent="0.3">
      <c r="A50" s="113" t="str">
        <f>INDEX(MO_RIS_EPS_WAD,0,COLUMN())</f>
      </c>
      <c r="B50" s="114"/>
      <c r="C50" s="1102">
        <f t="shared" ref="C50:AH50" si="144">INDEX(MO_RIS_EPS_WAD,0,COLUMN())</f>
      </c>
      <c r="D50" s="1102">
        <f t="shared" si="144"/>
      </c>
      <c r="E50" s="1102">
        <f t="shared" si="144"/>
      </c>
      <c r="F50" s="1102">
        <f t="shared" si="144"/>
      </c>
      <c r="G50" s="34">
        <f t="shared" si="144"/>
      </c>
      <c r="H50" s="34">
        <f t="shared" si="144"/>
      </c>
      <c r="I50" s="34">
        <f t="shared" si="144"/>
      </c>
      <c r="J50" s="34">
        <f t="shared" si="144"/>
      </c>
      <c r="K50" s="1102">
        <f t="shared" si="144"/>
      </c>
      <c r="L50" s="34">
        <f t="shared" si="144"/>
      </c>
      <c r="M50" s="34">
        <f t="shared" si="144"/>
      </c>
      <c r="N50" s="34">
        <f t="shared" si="144"/>
      </c>
      <c r="O50" s="34">
        <f t="shared" si="144"/>
      </c>
      <c r="P50" s="1102">
        <f t="shared" si="144"/>
      </c>
      <c r="Q50" s="34">
        <f t="shared" si="144"/>
      </c>
      <c r="R50" s="34">
        <f t="shared" si="144"/>
      </c>
      <c r="S50" s="34">
        <f t="shared" si="144"/>
      </c>
      <c r="T50" s="34">
        <f t="shared" si="144"/>
      </c>
      <c r="U50" s="1102">
        <f t="shared" si="144"/>
      </c>
      <c r="V50" s="34">
        <f t="shared" si="144"/>
      </c>
      <c r="W50" s="34">
        <f t="shared" si="144"/>
      </c>
      <c r="X50" s="34">
        <f t="shared" si="144"/>
      </c>
      <c r="Y50" s="34">
        <f t="shared" si="144"/>
      </c>
      <c r="Z50" s="1102">
        <f t="shared" si="144"/>
      </c>
      <c r="AA50" s="34">
        <f t="shared" si="144"/>
      </c>
      <c r="AB50" s="34">
        <f t="shared" si="144"/>
      </c>
      <c r="AC50" s="34">
        <f t="shared" si="144"/>
      </c>
      <c r="AD50" s="34">
        <f t="shared" si="144"/>
      </c>
      <c r="AE50" s="1102">
        <f t="shared" si="144"/>
      </c>
      <c r="AF50" s="34">
        <f t="shared" si="144"/>
      </c>
      <c r="AG50" s="34">
        <f t="shared" si="144"/>
      </c>
      <c r="AH50" s="34">
        <f t="shared" si="144"/>
      </c>
      <c r="AI50" s="34">
        <f t="shared" ref="AI50:BD50" si="145">INDEX(MO_RIS_EPS_WAD,0,COLUMN())</f>
      </c>
      <c r="AJ50" s="1102">
        <f t="shared" si="145"/>
      </c>
      <c r="AK50" s="34">
        <f t="shared" si="145"/>
      </c>
      <c r="AL50" s="34">
        <f t="shared" si="145"/>
      </c>
      <c r="AM50" s="34">
        <f t="shared" si="145"/>
      </c>
      <c r="AN50" s="34">
        <f t="shared" si="145"/>
      </c>
      <c r="AO50" s="1102">
        <f t="shared" si="145"/>
      </c>
      <c r="AP50" s="34">
        <f t="shared" si="145"/>
      </c>
      <c r="AQ50" s="34">
        <f t="shared" si="145"/>
      </c>
      <c r="AR50" s="34">
        <f t="shared" si="145"/>
      </c>
      <c r="AS50" s="34">
        <f t="shared" si="145"/>
      </c>
      <c r="AT50" s="1102">
        <f t="shared" si="145"/>
      </c>
      <c r="AU50" s="34">
        <f t="shared" si="145"/>
      </c>
      <c r="AV50" s="34">
        <f t="shared" si="145"/>
      </c>
      <c r="AW50" s="34">
        <f t="shared" si="145"/>
      </c>
      <c r="AX50" s="34">
        <f t="shared" si="145"/>
      </c>
      <c r="AY50" s="1102">
        <f t="shared" si="145"/>
      </c>
      <c r="AZ50" s="34">
        <f t="shared" si="145"/>
      </c>
      <c r="BA50" s="34">
        <f t="shared" si="145"/>
      </c>
      <c r="BB50" s="34">
        <f t="shared" si="145"/>
      </c>
      <c r="BC50" s="34">
        <f t="shared" si="145"/>
      </c>
      <c r="BD50" s="1102">
        <f t="shared" si="145"/>
      </c>
      <c r="BE50" s="34">
        <f t="shared" ref="BE50:BJ50" si="146">INDEX(MO_RIS_EPS_WAD,0,COLUMN())</f>
      </c>
      <c r="BF50" s="34">
        <f t="shared" si="146"/>
      </c>
      <c r="BG50" s="34">
        <f t="shared" si="146"/>
      </c>
      <c r="BH50" s="34">
        <f t="shared" si="146"/>
      </c>
      <c r="BI50" s="1102">
        <f t="shared" si="146"/>
      </c>
      <c r="BJ50" s="34">
        <f t="shared" si="146"/>
      </c>
      <c r="BK50" s="34">
        <f t="shared" ref="BK50:BP50" si="147">INDEX(MO_RIS_EPS_WAD,0,COLUMN())</f>
      </c>
      <c r="BL50" s="34">
        <f t="shared" si="147"/>
      </c>
      <c r="BM50" s="34">
        <f t="shared" si="147"/>
      </c>
      <c r="BN50" s="1102">
        <f t="shared" si="147"/>
      </c>
      <c r="BO50" s="34">
        <f t="shared" si="147"/>
      </c>
      <c r="BP50" s="34">
        <f t="shared" si="147"/>
      </c>
      <c r="BQ50" s="34">
        <f>INDEX(MO_RIS_EPS_WAD,0,COLUMN())</f>
      </c>
      <c r="BR50" s="34">
        <f>INDEX(MO_RIS_EPS_WAD,0,COLUMN())</f>
      </c>
      <c r="BS50" s="1102">
        <f>INDEX(MO_RIS_EPS_WAD,0,COLUMN())</f>
      </c>
      <c r="BT50" s="740">
        <f>INDEX(MO_RIS_EPS_WAD,0,COLUMN())</f>
      </c>
      <c r="BU50" s="34">
        <f t="shared" ref="BU50:BX50" si="148">INDEX(MO_RIS_EPS_WAD,0,COLUMN())</f>
      </c>
      <c r="BV50" s="34">
        <f t="shared" si="148"/>
      </c>
      <c r="BW50" s="34">
        <f t="shared" si="148"/>
      </c>
      <c r="BX50" s="1102">
        <f t="shared" si="148"/>
      </c>
      <c r="BY50" s="34">
        <f t="shared" ref="BY50:CF50" si="149">INDEX(MO_RIS_EPS_WAD,0,COLUMN())</f>
      </c>
      <c r="BZ50" s="34">
        <f t="shared" si="149"/>
      </c>
      <c r="CA50" s="34">
        <f t="shared" si="149"/>
      </c>
      <c r="CB50" s="34">
        <f t="shared" si="149"/>
      </c>
      <c r="CC50" s="1102">
        <f t="shared" si="149"/>
      </c>
      <c r="CD50" s="1102">
        <f t="shared" si="149"/>
      </c>
      <c r="CE50" s="1102">
        <f t="shared" si="149"/>
      </c>
      <c r="CF50" s="1102">
        <f t="shared" si="149"/>
      </c>
      <c r="CG50" s="34"/>
    </row>
    <row r="51" spans="1:85" customFormat="1" x14ac:dyDescent="0.3">
      <c r="A51" s="478" t="str">
        <f>INDEX(MO_RIS_ShareCount_WAD_Adj,0,COLUMN())</f>
      </c>
      <c r="B51" s="108"/>
      <c r="C51" s="78">
        <f t="shared" ref="C51:AH51" si="150">INDEX(MO_RIS_ShareCount_WAD_Adj,0,COLUMN())</f>
      </c>
      <c r="D51" s="78">
        <f t="shared" si="150"/>
      </c>
      <c r="E51" s="78">
        <f t="shared" si="150"/>
      </c>
      <c r="F51" s="78">
        <f t="shared" si="150"/>
      </c>
      <c r="G51" s="774">
        <f t="shared" si="150"/>
      </c>
      <c r="H51" s="774">
        <f t="shared" si="150"/>
      </c>
      <c r="I51" s="774">
        <f t="shared" si="150"/>
      </c>
      <c r="J51" s="774">
        <f t="shared" si="150"/>
      </c>
      <c r="K51" s="78">
        <f t="shared" si="150"/>
      </c>
      <c r="L51" s="774">
        <f t="shared" si="150"/>
      </c>
      <c r="M51" s="774">
        <f t="shared" si="150"/>
      </c>
      <c r="N51" s="774">
        <f t="shared" si="150"/>
      </c>
      <c r="O51" s="774">
        <f t="shared" si="150"/>
      </c>
      <c r="P51" s="78">
        <f t="shared" si="150"/>
      </c>
      <c r="Q51" s="774">
        <f t="shared" si="150"/>
      </c>
      <c r="R51" s="774">
        <f t="shared" si="150"/>
      </c>
      <c r="S51" s="774">
        <f t="shared" si="150"/>
      </c>
      <c r="T51" s="774">
        <f t="shared" si="150"/>
      </c>
      <c r="U51" s="78">
        <f t="shared" si="150"/>
      </c>
      <c r="V51" s="774">
        <f t="shared" si="150"/>
      </c>
      <c r="W51" s="774">
        <f t="shared" si="150"/>
      </c>
      <c r="X51" s="774">
        <f t="shared" si="150"/>
      </c>
      <c r="Y51" s="774">
        <f t="shared" si="150"/>
      </c>
      <c r="Z51" s="78">
        <f t="shared" si="150"/>
      </c>
      <c r="AA51" s="774">
        <f t="shared" si="150"/>
      </c>
      <c r="AB51" s="774">
        <f t="shared" si="150"/>
      </c>
      <c r="AC51" s="774">
        <f t="shared" si="150"/>
      </c>
      <c r="AD51" s="774">
        <f t="shared" si="150"/>
      </c>
      <c r="AE51" s="78">
        <f t="shared" si="150"/>
      </c>
      <c r="AF51" s="774">
        <f t="shared" si="150"/>
      </c>
      <c r="AG51" s="774">
        <f t="shared" si="150"/>
      </c>
      <c r="AH51" s="774">
        <f t="shared" si="150"/>
      </c>
      <c r="AI51" s="774">
        <f t="shared" ref="AI51:BD51" si="151">INDEX(MO_RIS_ShareCount_WAD_Adj,0,COLUMN())</f>
      </c>
      <c r="AJ51" s="78">
        <f t="shared" si="151"/>
      </c>
      <c r="AK51" s="774">
        <f t="shared" si="151"/>
      </c>
      <c r="AL51" s="774">
        <f t="shared" si="151"/>
      </c>
      <c r="AM51" s="774">
        <f t="shared" si="151"/>
      </c>
      <c r="AN51" s="774">
        <f t="shared" si="151"/>
      </c>
      <c r="AO51" s="78">
        <f t="shared" si="151"/>
      </c>
      <c r="AP51" s="774">
        <f t="shared" si="151"/>
      </c>
      <c r="AQ51" s="774">
        <f t="shared" si="151"/>
      </c>
      <c r="AR51" s="774">
        <f t="shared" si="151"/>
      </c>
      <c r="AS51" s="774">
        <f t="shared" si="151"/>
      </c>
      <c r="AT51" s="78">
        <f t="shared" si="151"/>
      </c>
      <c r="AU51" s="774">
        <f t="shared" si="151"/>
      </c>
      <c r="AV51" s="774">
        <f t="shared" si="151"/>
      </c>
      <c r="AW51" s="774">
        <f t="shared" si="151"/>
      </c>
      <c r="AX51" s="774">
        <f t="shared" si="151"/>
      </c>
      <c r="AY51" s="78">
        <f t="shared" si="151"/>
      </c>
      <c r="AZ51" s="774">
        <f t="shared" si="151"/>
      </c>
      <c r="BA51" s="774">
        <f t="shared" si="151"/>
      </c>
      <c r="BB51" s="774">
        <f t="shared" si="151"/>
      </c>
      <c r="BC51" s="774">
        <f t="shared" si="151"/>
      </c>
      <c r="BD51" s="78">
        <f t="shared" si="151"/>
      </c>
      <c r="BE51" s="774">
        <f t="shared" ref="BE51:BJ51" si="152">INDEX(MO_RIS_ShareCount_WAD_Adj,0,COLUMN())</f>
      </c>
      <c r="BF51" s="774">
        <f t="shared" si="152"/>
      </c>
      <c r="BG51" s="774">
        <f t="shared" si="152"/>
      </c>
      <c r="BH51" s="774">
        <f t="shared" si="152"/>
      </c>
      <c r="BI51" s="78">
        <f t="shared" si="152"/>
      </c>
      <c r="BJ51" s="774">
        <f t="shared" si="152"/>
      </c>
      <c r="BK51" s="774">
        <f t="shared" ref="BK51:BP51" si="153">INDEX(MO_RIS_ShareCount_WAD_Adj,0,COLUMN())</f>
      </c>
      <c r="BL51" s="774">
        <f t="shared" si="153"/>
      </c>
      <c r="BM51" s="774">
        <f t="shared" si="153"/>
      </c>
      <c r="BN51" s="78">
        <f t="shared" si="153"/>
      </c>
      <c r="BO51" s="774">
        <f t="shared" si="153"/>
      </c>
      <c r="BP51" s="774">
        <f t="shared" si="153"/>
      </c>
      <c r="BQ51" s="774">
        <f>INDEX(MO_RIS_ShareCount_WAD_Adj,0,COLUMN())</f>
      </c>
      <c r="BR51" s="774">
        <f>INDEX(MO_RIS_ShareCount_WAD_Adj,0,COLUMN())</f>
      </c>
      <c r="BS51" s="78">
        <f>INDEX(MO_RIS_ShareCount_WAD_Adj,0,COLUMN())</f>
      </c>
      <c r="BT51" s="775">
        <f>INDEX(MO_RIS_ShareCount_WAD_Adj,0,COLUMN())</f>
      </c>
      <c r="BU51" s="774">
        <f t="shared" ref="BU51:BX51" si="154">INDEX(MO_RIS_ShareCount_WAD_Adj,0,COLUMN())</f>
      </c>
      <c r="BV51" s="774">
        <f t="shared" si="154"/>
      </c>
      <c r="BW51" s="774">
        <f t="shared" si="154"/>
      </c>
      <c r="BX51" s="78">
        <f t="shared" si="154"/>
      </c>
      <c r="BY51" s="774">
        <f t="shared" ref="BY51:CF51" si="155">INDEX(MO_RIS_ShareCount_WAD_Adj,0,COLUMN())</f>
      </c>
      <c r="BZ51" s="774">
        <f t="shared" si="155"/>
      </c>
      <c r="CA51" s="774">
        <f t="shared" si="155"/>
      </c>
      <c r="CB51" s="774">
        <f t="shared" si="155"/>
      </c>
      <c r="CC51" s="78">
        <f t="shared" si="155"/>
      </c>
      <c r="CD51" s="78">
        <f t="shared" si="155"/>
      </c>
      <c r="CE51" s="78">
        <f t="shared" si="155"/>
      </c>
      <c r="CF51" s="78">
        <f t="shared" si="155"/>
      </c>
      <c r="CG51" s="774"/>
    </row>
    <row r="52" spans="1:85" customFormat="1" x14ac:dyDescent="0.3">
      <c r="A52" s="107"/>
      <c r="B52" s="108"/>
      <c r="C52" s="78"/>
      <c r="D52" s="78"/>
      <c r="E52" s="78"/>
      <c r="F52" s="78"/>
      <c r="G52" s="774"/>
      <c r="H52" s="774"/>
      <c r="I52" s="774"/>
      <c r="J52" s="774"/>
      <c r="K52" s="78"/>
      <c r="L52" s="774"/>
      <c r="M52" s="774"/>
      <c r="N52" s="774"/>
      <c r="O52" s="774"/>
      <c r="P52" s="78"/>
      <c r="Q52" s="774"/>
      <c r="R52" s="774"/>
      <c r="S52" s="774"/>
      <c r="T52" s="774"/>
      <c r="U52" s="78"/>
      <c r="V52" s="774"/>
      <c r="W52" s="774"/>
      <c r="X52" s="774"/>
      <c r="Y52" s="774"/>
      <c r="Z52" s="78"/>
      <c r="AA52" s="774"/>
      <c r="AB52" s="774"/>
      <c r="AC52" s="774"/>
      <c r="AD52" s="774"/>
      <c r="AE52" s="78"/>
      <c r="AF52" s="774"/>
      <c r="AG52" s="774"/>
      <c r="AH52" s="774"/>
      <c r="AI52" s="774"/>
      <c r="AJ52" s="78"/>
      <c r="AK52" s="774"/>
      <c r="AL52" s="774"/>
      <c r="AM52" s="774"/>
      <c r="AN52" s="774"/>
      <c r="AO52" s="78"/>
      <c r="AP52" s="774"/>
      <c r="AQ52" s="774"/>
      <c r="AR52" s="774"/>
      <c r="AS52" s="774"/>
      <c r="AT52" s="78"/>
      <c r="AU52" s="774"/>
      <c r="AV52" s="774"/>
      <c r="AW52" s="774"/>
      <c r="AX52" s="774"/>
      <c r="AY52" s="78"/>
      <c r="AZ52" s="774"/>
      <c r="BA52" s="774"/>
      <c r="BB52" s="774"/>
      <c r="BC52" s="774"/>
      <c r="BD52" s="78"/>
      <c r="BE52" s="774"/>
      <c r="BF52" s="774"/>
      <c r="BG52" s="774"/>
      <c r="BH52" s="774"/>
      <c r="BI52" s="78"/>
      <c r="BJ52" s="774"/>
      <c r="BK52" s="774"/>
      <c r="BL52" s="774"/>
      <c r="BM52" s="774"/>
      <c r="BN52" s="78"/>
      <c r="BO52" s="774"/>
      <c r="BP52" s="774"/>
      <c r="BQ52" s="774"/>
      <c r="BR52" s="774"/>
      <c r="BS52" s="78"/>
      <c r="BT52" s="775"/>
      <c r="BU52" s="774"/>
      <c r="BV52" s="774"/>
      <c r="BW52" s="774"/>
      <c r="BX52" s="78"/>
      <c r="BY52" s="774"/>
      <c r="BZ52" s="774"/>
      <c r="CA52" s="774"/>
      <c r="CB52" s="774"/>
      <c r="CC52" s="78"/>
      <c r="CD52" s="78"/>
      <c r="CE52" s="78"/>
      <c r="CF52" s="78"/>
      <c r="CG52" s="774"/>
    </row>
    <row r="53" spans="1:85" customFormat="1" x14ac:dyDescent="0.3">
      <c r="A53" s="51" t="s">
        <v>318</v>
      </c>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303"/>
      <c r="BU53" s="52"/>
      <c r="BV53" s="52"/>
      <c r="BW53" s="52"/>
      <c r="BX53" s="52"/>
      <c r="BY53" s="52"/>
      <c r="BZ53" s="52"/>
      <c r="CA53" s="52"/>
      <c r="CB53" s="52"/>
      <c r="CC53" s="52"/>
      <c r="CD53" s="52"/>
      <c r="CE53" s="52"/>
      <c r="CF53" s="52"/>
      <c r="CG53" s="96"/>
    </row>
    <row r="54" spans="1:85" customFormat="1" x14ac:dyDescent="0.3">
      <c r="A54" s="106" t="str">
        <f>INDEX(MO_RIS_EBITDA_Adj,0,COLUMN())</f>
      </c>
      <c r="B54" s="111"/>
      <c r="C54" s="1097">
        <f t="shared" ref="C54:AH54" si="156">INDEX(MO_RIS_EBITDA_Adj,0,COLUMN())</f>
      </c>
      <c r="D54" s="1097">
        <f t="shared" si="156"/>
      </c>
      <c r="E54" s="1097">
        <f t="shared" si="156"/>
      </c>
      <c r="F54" s="1097">
        <f t="shared" si="156"/>
      </c>
      <c r="G54" s="772">
        <f t="shared" si="156"/>
      </c>
      <c r="H54" s="772">
        <f t="shared" si="156"/>
      </c>
      <c r="I54" s="772">
        <f t="shared" si="156"/>
      </c>
      <c r="J54" s="772">
        <f t="shared" si="156"/>
      </c>
      <c r="K54" s="1097">
        <f t="shared" si="156"/>
      </c>
      <c r="L54" s="772">
        <f t="shared" si="156"/>
      </c>
      <c r="M54" s="772">
        <f t="shared" si="156"/>
      </c>
      <c r="N54" s="772">
        <f t="shared" si="156"/>
      </c>
      <c r="O54" s="772">
        <f t="shared" si="156"/>
      </c>
      <c r="P54" s="1097">
        <f t="shared" si="156"/>
      </c>
      <c r="Q54" s="772">
        <f t="shared" si="156"/>
      </c>
      <c r="R54" s="772">
        <f t="shared" si="156"/>
      </c>
      <c r="S54" s="772">
        <f t="shared" si="156"/>
      </c>
      <c r="T54" s="772">
        <f t="shared" si="156"/>
      </c>
      <c r="U54" s="1097">
        <f t="shared" si="156"/>
      </c>
      <c r="V54" s="772">
        <f t="shared" si="156"/>
      </c>
      <c r="W54" s="772">
        <f t="shared" si="156"/>
      </c>
      <c r="X54" s="772">
        <f t="shared" si="156"/>
      </c>
      <c r="Y54" s="772">
        <f t="shared" si="156"/>
      </c>
      <c r="Z54" s="1097">
        <f t="shared" si="156"/>
      </c>
      <c r="AA54" s="772">
        <f t="shared" si="156"/>
      </c>
      <c r="AB54" s="772">
        <f t="shared" si="156"/>
      </c>
      <c r="AC54" s="772">
        <f t="shared" si="156"/>
      </c>
      <c r="AD54" s="772">
        <f t="shared" si="156"/>
      </c>
      <c r="AE54" s="1097">
        <f t="shared" si="156"/>
      </c>
      <c r="AF54" s="772">
        <f t="shared" si="156"/>
      </c>
      <c r="AG54" s="772">
        <f t="shared" si="156"/>
      </c>
      <c r="AH54" s="772">
        <f t="shared" si="156"/>
      </c>
      <c r="AI54" s="772">
        <f t="shared" ref="AI54:BD54" si="157">INDEX(MO_RIS_EBITDA_Adj,0,COLUMN())</f>
      </c>
      <c r="AJ54" s="1097">
        <f t="shared" si="157"/>
      </c>
      <c r="AK54" s="772">
        <f t="shared" si="157"/>
      </c>
      <c r="AL54" s="772">
        <f t="shared" si="157"/>
      </c>
      <c r="AM54" s="772">
        <f t="shared" si="157"/>
      </c>
      <c r="AN54" s="772">
        <f t="shared" si="157"/>
      </c>
      <c r="AO54" s="1097">
        <f t="shared" si="157"/>
      </c>
      <c r="AP54" s="772">
        <f t="shared" si="157"/>
      </c>
      <c r="AQ54" s="772">
        <f t="shared" si="157"/>
      </c>
      <c r="AR54" s="772">
        <f t="shared" si="157"/>
      </c>
      <c r="AS54" s="772">
        <f t="shared" si="157"/>
      </c>
      <c r="AT54" s="1097">
        <f t="shared" si="157"/>
      </c>
      <c r="AU54" s="772">
        <f t="shared" si="157"/>
      </c>
      <c r="AV54" s="772">
        <f t="shared" si="157"/>
      </c>
      <c r="AW54" s="772">
        <f t="shared" si="157"/>
      </c>
      <c r="AX54" s="772">
        <f t="shared" si="157"/>
      </c>
      <c r="AY54" s="1097">
        <f t="shared" si="157"/>
      </c>
      <c r="AZ54" s="772">
        <f t="shared" si="157"/>
      </c>
      <c r="BA54" s="772">
        <f t="shared" si="157"/>
      </c>
      <c r="BB54" s="772">
        <f t="shared" si="157"/>
      </c>
      <c r="BC54" s="772">
        <f t="shared" si="157"/>
      </c>
      <c r="BD54" s="1097">
        <f t="shared" si="157"/>
      </c>
      <c r="BE54" s="772">
        <f t="shared" ref="BE54:BJ54" si="158">INDEX(MO_RIS_EBITDA_Adj,0,COLUMN())</f>
      </c>
      <c r="BF54" s="772">
        <f t="shared" si="158"/>
      </c>
      <c r="BG54" s="772">
        <f t="shared" si="158"/>
      </c>
      <c r="BH54" s="772">
        <f t="shared" si="158"/>
      </c>
      <c r="BI54" s="1097">
        <f t="shared" si="158"/>
      </c>
      <c r="BJ54" s="772">
        <f t="shared" si="158"/>
      </c>
      <c r="BK54" s="772">
        <f t="shared" ref="BK54:BP54" si="159">INDEX(MO_RIS_EBITDA_Adj,0,COLUMN())</f>
      </c>
      <c r="BL54" s="772">
        <f t="shared" si="159"/>
      </c>
      <c r="BM54" s="772">
        <f t="shared" si="159"/>
      </c>
      <c r="BN54" s="1097">
        <f t="shared" si="159"/>
      </c>
      <c r="BO54" s="772">
        <f t="shared" si="159"/>
      </c>
      <c r="BP54" s="772">
        <f t="shared" si="159"/>
      </c>
      <c r="BQ54" s="772">
        <f>INDEX(MO_RIS_EBITDA_Adj,0,COLUMN())</f>
      </c>
      <c r="BR54" s="772">
        <f>INDEX(MO_RIS_EBITDA_Adj,0,COLUMN())</f>
      </c>
      <c r="BS54" s="1097">
        <f>INDEX(MO_RIS_EBITDA_Adj,0,COLUMN())</f>
      </c>
      <c r="BT54" s="838">
        <f>INDEX(MO_RIS_EBITDA_Adj,0,COLUMN())</f>
      </c>
      <c r="BU54" s="772">
        <f t="shared" ref="BU54:BX54" si="160">INDEX(MO_RIS_EBITDA_Adj,0,COLUMN())</f>
      </c>
      <c r="BV54" s="772">
        <f t="shared" si="160"/>
      </c>
      <c r="BW54" s="772">
        <f t="shared" si="160"/>
      </c>
      <c r="BX54" s="1097">
        <f t="shared" si="160"/>
      </c>
      <c r="BY54" s="772">
        <f t="shared" ref="BY54:CF54" si="161">INDEX(MO_RIS_EBITDA_Adj,0,COLUMN())</f>
      </c>
      <c r="BZ54" s="772">
        <f t="shared" si="161"/>
      </c>
      <c r="CA54" s="772">
        <f t="shared" si="161"/>
      </c>
      <c r="CB54" s="772">
        <f t="shared" si="161"/>
      </c>
      <c r="CC54" s="1097">
        <f t="shared" si="161"/>
      </c>
      <c r="CD54" s="1097">
        <f t="shared" si="161"/>
      </c>
      <c r="CE54" s="1097">
        <f t="shared" si="161"/>
      </c>
      <c r="CF54" s="1097">
        <f t="shared" si="161"/>
      </c>
      <c r="CG54" s="772"/>
    </row>
    <row r="55" spans="1:85" customFormat="1" x14ac:dyDescent="0.3">
      <c r="A55" s="106" t="str">
        <f>INDEX(MO_RIS_EBIT_Adj,0,COLUMN())</f>
      </c>
      <c r="B55" s="111"/>
      <c r="C55" s="1097">
        <f t="shared" ref="C55:AH55" si="162">INDEX(MO_RIS_EBIT_Adj,0,COLUMN())</f>
      </c>
      <c r="D55" s="1097">
        <f t="shared" si="162"/>
      </c>
      <c r="E55" s="1097">
        <f t="shared" si="162"/>
      </c>
      <c r="F55" s="1097">
        <f t="shared" si="162"/>
      </c>
      <c r="G55" s="772">
        <f t="shared" si="162"/>
      </c>
      <c r="H55" s="772">
        <f t="shared" si="162"/>
      </c>
      <c r="I55" s="772">
        <f t="shared" si="162"/>
      </c>
      <c r="J55" s="772">
        <f t="shared" si="162"/>
      </c>
      <c r="K55" s="1097">
        <f t="shared" si="162"/>
      </c>
      <c r="L55" s="772">
        <f t="shared" si="162"/>
      </c>
      <c r="M55" s="772">
        <f t="shared" si="162"/>
      </c>
      <c r="N55" s="772">
        <f t="shared" si="162"/>
      </c>
      <c r="O55" s="772">
        <f t="shared" si="162"/>
      </c>
      <c r="P55" s="1097">
        <f t="shared" si="162"/>
      </c>
      <c r="Q55" s="772">
        <f t="shared" si="162"/>
      </c>
      <c r="R55" s="772">
        <f t="shared" si="162"/>
      </c>
      <c r="S55" s="772">
        <f t="shared" si="162"/>
      </c>
      <c r="T55" s="772">
        <f t="shared" si="162"/>
      </c>
      <c r="U55" s="1097">
        <f t="shared" si="162"/>
      </c>
      <c r="V55" s="772">
        <f t="shared" si="162"/>
      </c>
      <c r="W55" s="772">
        <f t="shared" si="162"/>
      </c>
      <c r="X55" s="772">
        <f t="shared" si="162"/>
      </c>
      <c r="Y55" s="772">
        <f t="shared" si="162"/>
      </c>
      <c r="Z55" s="1097">
        <f t="shared" si="162"/>
      </c>
      <c r="AA55" s="772">
        <f t="shared" si="162"/>
      </c>
      <c r="AB55" s="772">
        <f t="shared" si="162"/>
      </c>
      <c r="AC55" s="772">
        <f t="shared" si="162"/>
      </c>
      <c r="AD55" s="772">
        <f t="shared" si="162"/>
      </c>
      <c r="AE55" s="1097">
        <f t="shared" si="162"/>
      </c>
      <c r="AF55" s="772">
        <f t="shared" si="162"/>
      </c>
      <c r="AG55" s="772">
        <f t="shared" si="162"/>
      </c>
      <c r="AH55" s="772">
        <f t="shared" si="162"/>
      </c>
      <c r="AI55" s="772">
        <f t="shared" ref="AI55:BD55" si="163">INDEX(MO_RIS_EBIT_Adj,0,COLUMN())</f>
      </c>
      <c r="AJ55" s="1097">
        <f t="shared" si="163"/>
      </c>
      <c r="AK55" s="772">
        <f t="shared" si="163"/>
      </c>
      <c r="AL55" s="772">
        <f t="shared" si="163"/>
      </c>
      <c r="AM55" s="772">
        <f t="shared" si="163"/>
      </c>
      <c r="AN55" s="772">
        <f t="shared" si="163"/>
      </c>
      <c r="AO55" s="1097">
        <f t="shared" si="163"/>
      </c>
      <c r="AP55" s="772">
        <f t="shared" si="163"/>
      </c>
      <c r="AQ55" s="772">
        <f t="shared" si="163"/>
      </c>
      <c r="AR55" s="772">
        <f t="shared" si="163"/>
      </c>
      <c r="AS55" s="772">
        <f t="shared" si="163"/>
      </c>
      <c r="AT55" s="1097">
        <f t="shared" si="163"/>
      </c>
      <c r="AU55" s="772">
        <f t="shared" si="163"/>
      </c>
      <c r="AV55" s="772">
        <f t="shared" si="163"/>
      </c>
      <c r="AW55" s="772">
        <f t="shared" si="163"/>
      </c>
      <c r="AX55" s="772">
        <f t="shared" si="163"/>
      </c>
      <c r="AY55" s="1097">
        <f t="shared" si="163"/>
      </c>
      <c r="AZ55" s="772">
        <f t="shared" si="163"/>
      </c>
      <c r="BA55" s="772">
        <f t="shared" si="163"/>
      </c>
      <c r="BB55" s="772">
        <f t="shared" si="163"/>
      </c>
      <c r="BC55" s="772">
        <f t="shared" si="163"/>
      </c>
      <c r="BD55" s="1097">
        <f t="shared" si="163"/>
      </c>
      <c r="BE55" s="772">
        <f t="shared" ref="BE55:BJ55" si="164">INDEX(MO_RIS_EBIT_Adj,0,COLUMN())</f>
      </c>
      <c r="BF55" s="772">
        <f t="shared" si="164"/>
      </c>
      <c r="BG55" s="772">
        <f t="shared" si="164"/>
      </c>
      <c r="BH55" s="772">
        <f t="shared" si="164"/>
      </c>
      <c r="BI55" s="1097">
        <f t="shared" si="164"/>
      </c>
      <c r="BJ55" s="772">
        <f t="shared" si="164"/>
      </c>
      <c r="BK55" s="772">
        <f t="shared" ref="BK55:BP55" si="165">INDEX(MO_RIS_EBIT_Adj,0,COLUMN())</f>
      </c>
      <c r="BL55" s="772">
        <f t="shared" si="165"/>
      </c>
      <c r="BM55" s="772">
        <f t="shared" si="165"/>
      </c>
      <c r="BN55" s="1097">
        <f t="shared" si="165"/>
      </c>
      <c r="BO55" s="772">
        <f t="shared" si="165"/>
      </c>
      <c r="BP55" s="772">
        <f t="shared" si="165"/>
      </c>
      <c r="BQ55" s="772">
        <f>INDEX(MO_RIS_EBIT_Adj,0,COLUMN())</f>
      </c>
      <c r="BR55" s="772">
        <f>INDEX(MO_RIS_EBIT_Adj,0,COLUMN())</f>
      </c>
      <c r="BS55" s="1097">
        <f>INDEX(MO_RIS_EBIT_Adj,0,COLUMN())</f>
      </c>
      <c r="BT55" s="838">
        <f>INDEX(MO_RIS_EBIT_Adj,0,COLUMN())</f>
      </c>
      <c r="BU55" s="772">
        <f t="shared" ref="BU55:BX55" si="166">INDEX(MO_RIS_EBIT_Adj,0,COLUMN())</f>
      </c>
      <c r="BV55" s="772">
        <f t="shared" si="166"/>
      </c>
      <c r="BW55" s="772">
        <f t="shared" si="166"/>
      </c>
      <c r="BX55" s="1097">
        <f t="shared" si="166"/>
      </c>
      <c r="BY55" s="772">
        <f t="shared" ref="BY55:CF55" si="167">INDEX(MO_RIS_EBIT_Adj,0,COLUMN())</f>
      </c>
      <c r="BZ55" s="772">
        <f t="shared" si="167"/>
      </c>
      <c r="CA55" s="772">
        <f t="shared" si="167"/>
      </c>
      <c r="CB55" s="772">
        <f t="shared" si="167"/>
      </c>
      <c r="CC55" s="1097">
        <f t="shared" si="167"/>
      </c>
      <c r="CD55" s="1097">
        <f t="shared" si="167"/>
      </c>
      <c r="CE55" s="1097">
        <f t="shared" si="167"/>
      </c>
      <c r="CF55" s="1097">
        <f t="shared" si="167"/>
      </c>
      <c r="CG55" s="772"/>
    </row>
    <row r="56" spans="1:85" customFormat="1" x14ac:dyDescent="0.3">
      <c r="A56" s="106" t="str">
        <f>INDEX(MO_RIS_NI_NONGAAP_Diluted,0,COLUMN())</f>
      </c>
      <c r="B56" s="111"/>
      <c r="C56" s="1097">
        <f t="shared" ref="C56:AH56" si="168">INDEX(MO_RIS_NI_NONGAAP_Diluted,0,COLUMN())</f>
      </c>
      <c r="D56" s="1097">
        <f t="shared" si="168"/>
      </c>
      <c r="E56" s="1097">
        <f t="shared" si="168"/>
      </c>
      <c r="F56" s="1097">
        <f t="shared" si="168"/>
      </c>
      <c r="G56" s="772">
        <f t="shared" si="168"/>
      </c>
      <c r="H56" s="772">
        <f t="shared" si="168"/>
      </c>
      <c r="I56" s="772">
        <f t="shared" si="168"/>
      </c>
      <c r="J56" s="772">
        <f t="shared" si="168"/>
      </c>
      <c r="K56" s="1097">
        <f t="shared" si="168"/>
      </c>
      <c r="L56" s="772">
        <f t="shared" si="168"/>
      </c>
      <c r="M56" s="772">
        <f t="shared" si="168"/>
      </c>
      <c r="N56" s="772">
        <f t="shared" si="168"/>
      </c>
      <c r="O56" s="772">
        <f t="shared" si="168"/>
      </c>
      <c r="P56" s="1097">
        <f t="shared" si="168"/>
      </c>
      <c r="Q56" s="772">
        <f t="shared" si="168"/>
      </c>
      <c r="R56" s="772">
        <f t="shared" si="168"/>
      </c>
      <c r="S56" s="772">
        <f t="shared" si="168"/>
      </c>
      <c r="T56" s="772">
        <f t="shared" si="168"/>
      </c>
      <c r="U56" s="1097">
        <f t="shared" si="168"/>
      </c>
      <c r="V56" s="772">
        <f t="shared" si="168"/>
      </c>
      <c r="W56" s="772">
        <f t="shared" si="168"/>
      </c>
      <c r="X56" s="772">
        <f t="shared" si="168"/>
      </c>
      <c r="Y56" s="772">
        <f t="shared" si="168"/>
      </c>
      <c r="Z56" s="1097">
        <f t="shared" si="168"/>
      </c>
      <c r="AA56" s="772">
        <f t="shared" si="168"/>
      </c>
      <c r="AB56" s="772">
        <f t="shared" si="168"/>
      </c>
      <c r="AC56" s="772">
        <f t="shared" si="168"/>
      </c>
      <c r="AD56" s="772">
        <f t="shared" si="168"/>
      </c>
      <c r="AE56" s="1097">
        <f t="shared" si="168"/>
      </c>
      <c r="AF56" s="772">
        <f t="shared" si="168"/>
      </c>
      <c r="AG56" s="772">
        <f t="shared" si="168"/>
      </c>
      <c r="AH56" s="772">
        <f t="shared" si="168"/>
      </c>
      <c r="AI56" s="772">
        <f t="shared" ref="AI56:BD56" si="169">INDEX(MO_RIS_NI_NONGAAP_Diluted,0,COLUMN())</f>
      </c>
      <c r="AJ56" s="1097">
        <f t="shared" si="169"/>
      </c>
      <c r="AK56" s="772">
        <f t="shared" si="169"/>
      </c>
      <c r="AL56" s="772">
        <f t="shared" si="169"/>
      </c>
      <c r="AM56" s="772">
        <f t="shared" si="169"/>
      </c>
      <c r="AN56" s="772">
        <f t="shared" si="169"/>
      </c>
      <c r="AO56" s="1097">
        <f t="shared" si="169"/>
      </c>
      <c r="AP56" s="772">
        <f t="shared" si="169"/>
      </c>
      <c r="AQ56" s="772">
        <f t="shared" si="169"/>
      </c>
      <c r="AR56" s="772">
        <f t="shared" si="169"/>
      </c>
      <c r="AS56" s="772">
        <f t="shared" si="169"/>
      </c>
      <c r="AT56" s="1097">
        <f t="shared" si="169"/>
      </c>
      <c r="AU56" s="772">
        <f t="shared" si="169"/>
      </c>
      <c r="AV56" s="772">
        <f t="shared" si="169"/>
      </c>
      <c r="AW56" s="772">
        <f t="shared" si="169"/>
      </c>
      <c r="AX56" s="772">
        <f t="shared" si="169"/>
      </c>
      <c r="AY56" s="1097">
        <f t="shared" si="169"/>
      </c>
      <c r="AZ56" s="772">
        <f t="shared" si="169"/>
      </c>
      <c r="BA56" s="772">
        <f t="shared" si="169"/>
      </c>
      <c r="BB56" s="772">
        <f t="shared" si="169"/>
      </c>
      <c r="BC56" s="772">
        <f t="shared" si="169"/>
      </c>
      <c r="BD56" s="1097">
        <f t="shared" si="169"/>
      </c>
      <c r="BE56" s="772">
        <f t="shared" ref="BE56:BJ56" si="170">INDEX(MO_RIS_NI_NONGAAP_Diluted,0,COLUMN())</f>
      </c>
      <c r="BF56" s="772">
        <f t="shared" si="170"/>
      </c>
      <c r="BG56" s="772">
        <f t="shared" si="170"/>
      </c>
      <c r="BH56" s="772">
        <f t="shared" si="170"/>
      </c>
      <c r="BI56" s="1097">
        <f t="shared" si="170"/>
      </c>
      <c r="BJ56" s="772">
        <f t="shared" si="170"/>
      </c>
      <c r="BK56" s="772">
        <f t="shared" ref="BK56:BP56" si="171">INDEX(MO_RIS_NI_NONGAAP_Diluted,0,COLUMN())</f>
      </c>
      <c r="BL56" s="772">
        <f t="shared" si="171"/>
      </c>
      <c r="BM56" s="772">
        <f t="shared" si="171"/>
      </c>
      <c r="BN56" s="1097">
        <f t="shared" si="171"/>
      </c>
      <c r="BO56" s="772">
        <f t="shared" si="171"/>
      </c>
      <c r="BP56" s="772">
        <f t="shared" si="171"/>
      </c>
      <c r="BQ56" s="772">
        <f>INDEX(MO_RIS_NI_NONGAAP_Diluted,0,COLUMN())</f>
      </c>
      <c r="BR56" s="772">
        <f>INDEX(MO_RIS_NI_NONGAAP_Diluted,0,COLUMN())</f>
      </c>
      <c r="BS56" s="1097">
        <f>INDEX(MO_RIS_NI_NONGAAP_Diluted,0,COLUMN())</f>
      </c>
      <c r="BT56" s="838">
        <f>INDEX(MO_RIS_NI_NONGAAP_Diluted,0,COLUMN())</f>
      </c>
      <c r="BU56" s="772">
        <f t="shared" ref="BU56:BX56" si="172">INDEX(MO_RIS_NI_NONGAAP_Diluted,0,COLUMN())</f>
      </c>
      <c r="BV56" s="772">
        <f t="shared" si="172"/>
      </c>
      <c r="BW56" s="772">
        <f t="shared" si="172"/>
      </c>
      <c r="BX56" s="1097">
        <f t="shared" si="172"/>
      </c>
      <c r="BY56" s="772">
        <f t="shared" ref="BY56:CF56" si="173">INDEX(MO_RIS_NI_NONGAAP_Diluted,0,COLUMN())</f>
      </c>
      <c r="BZ56" s="772">
        <f t="shared" si="173"/>
      </c>
      <c r="CA56" s="772">
        <f t="shared" si="173"/>
      </c>
      <c r="CB56" s="772">
        <f t="shared" si="173"/>
      </c>
      <c r="CC56" s="1097">
        <f t="shared" si="173"/>
      </c>
      <c r="CD56" s="1097">
        <f t="shared" si="173"/>
      </c>
      <c r="CE56" s="1097">
        <f t="shared" si="173"/>
      </c>
      <c r="CF56" s="1097">
        <f t="shared" si="173"/>
      </c>
      <c r="CG56" s="772"/>
    </row>
    <row r="57" spans="1:85" customFormat="1" x14ac:dyDescent="0.3">
      <c r="A57" s="113" t="str">
        <f>INDEX(MO_RIS_EPS_WAD_Adj,0,COLUMN())</f>
      </c>
      <c r="B57" s="114"/>
      <c r="C57" s="1102">
        <f t="shared" ref="C57:AH57" si="174">INDEX(MO_RIS_EPS_WAD_Adj,0,COLUMN())</f>
      </c>
      <c r="D57" s="1102">
        <f t="shared" si="174"/>
      </c>
      <c r="E57" s="1102">
        <f t="shared" si="174"/>
      </c>
      <c r="F57" s="1102">
        <f t="shared" si="174"/>
      </c>
      <c r="G57" s="34">
        <f t="shared" si="174"/>
      </c>
      <c r="H57" s="34">
        <f t="shared" si="174"/>
      </c>
      <c r="I57" s="34">
        <f t="shared" si="174"/>
      </c>
      <c r="J57" s="34">
        <f t="shared" si="174"/>
      </c>
      <c r="K57" s="1102">
        <f t="shared" si="174"/>
      </c>
      <c r="L57" s="34">
        <f t="shared" si="174"/>
      </c>
      <c r="M57" s="34">
        <f t="shared" si="174"/>
      </c>
      <c r="N57" s="34">
        <f t="shared" si="174"/>
      </c>
      <c r="O57" s="34">
        <f t="shared" si="174"/>
      </c>
      <c r="P57" s="1102">
        <f t="shared" si="174"/>
      </c>
      <c r="Q57" s="34">
        <f t="shared" si="174"/>
      </c>
      <c r="R57" s="34">
        <f t="shared" si="174"/>
      </c>
      <c r="S57" s="34">
        <f t="shared" si="174"/>
      </c>
      <c r="T57" s="34">
        <f t="shared" si="174"/>
      </c>
      <c r="U57" s="1102">
        <f t="shared" si="174"/>
      </c>
      <c r="V57" s="34">
        <f t="shared" si="174"/>
      </c>
      <c r="W57" s="34">
        <f t="shared" si="174"/>
      </c>
      <c r="X57" s="34">
        <f t="shared" si="174"/>
      </c>
      <c r="Y57" s="34">
        <f t="shared" si="174"/>
      </c>
      <c r="Z57" s="1102">
        <f t="shared" si="174"/>
      </c>
      <c r="AA57" s="34">
        <f t="shared" si="174"/>
      </c>
      <c r="AB57" s="34">
        <f t="shared" si="174"/>
      </c>
      <c r="AC57" s="34">
        <f t="shared" si="174"/>
      </c>
      <c r="AD57" s="34">
        <f t="shared" si="174"/>
      </c>
      <c r="AE57" s="1102">
        <f t="shared" si="174"/>
      </c>
      <c r="AF57" s="34">
        <f t="shared" si="174"/>
      </c>
      <c r="AG57" s="34">
        <f t="shared" si="174"/>
      </c>
      <c r="AH57" s="34">
        <f t="shared" si="174"/>
      </c>
      <c r="AI57" s="34">
        <f t="shared" ref="AI57:BD57" si="175">INDEX(MO_RIS_EPS_WAD_Adj,0,COLUMN())</f>
      </c>
      <c r="AJ57" s="1102">
        <f t="shared" si="175"/>
      </c>
      <c r="AK57" s="34">
        <f t="shared" si="175"/>
      </c>
      <c r="AL57" s="34">
        <f t="shared" si="175"/>
      </c>
      <c r="AM57" s="34">
        <f t="shared" si="175"/>
      </c>
      <c r="AN57" s="34">
        <f t="shared" si="175"/>
      </c>
      <c r="AO57" s="1102">
        <f t="shared" si="175"/>
      </c>
      <c r="AP57" s="34">
        <f t="shared" si="175"/>
      </c>
      <c r="AQ57" s="34">
        <f t="shared" si="175"/>
      </c>
      <c r="AR57" s="34">
        <f t="shared" si="175"/>
      </c>
      <c r="AS57" s="34">
        <f t="shared" si="175"/>
      </c>
      <c r="AT57" s="1102">
        <f t="shared" si="175"/>
      </c>
      <c r="AU57" s="34">
        <f t="shared" si="175"/>
      </c>
      <c r="AV57" s="34">
        <f t="shared" si="175"/>
      </c>
      <c r="AW57" s="34">
        <f t="shared" si="175"/>
      </c>
      <c r="AX57" s="34">
        <f t="shared" si="175"/>
      </c>
      <c r="AY57" s="1102">
        <f t="shared" si="175"/>
      </c>
      <c r="AZ57" s="34">
        <f t="shared" si="175"/>
      </c>
      <c r="BA57" s="34">
        <f t="shared" si="175"/>
      </c>
      <c r="BB57" s="34">
        <f t="shared" si="175"/>
      </c>
      <c r="BC57" s="34">
        <f t="shared" si="175"/>
      </c>
      <c r="BD57" s="1102">
        <f t="shared" si="175"/>
      </c>
      <c r="BE57" s="34">
        <f t="shared" ref="BE57:BJ57" si="176">INDEX(MO_RIS_EPS_WAD_Adj,0,COLUMN())</f>
      </c>
      <c r="BF57" s="34">
        <f t="shared" si="176"/>
      </c>
      <c r="BG57" s="34">
        <f t="shared" si="176"/>
      </c>
      <c r="BH57" s="34">
        <f t="shared" si="176"/>
      </c>
      <c r="BI57" s="1102">
        <f t="shared" si="176"/>
      </c>
      <c r="BJ57" s="34">
        <f t="shared" si="176"/>
      </c>
      <c r="BK57" s="34">
        <f t="shared" ref="BK57:BP57" si="177">INDEX(MO_RIS_EPS_WAD_Adj,0,COLUMN())</f>
      </c>
      <c r="BL57" s="34">
        <f t="shared" si="177"/>
      </c>
      <c r="BM57" s="34">
        <f t="shared" si="177"/>
      </c>
      <c r="BN57" s="1102">
        <f t="shared" si="177"/>
      </c>
      <c r="BO57" s="34">
        <f t="shared" si="177"/>
      </c>
      <c r="BP57" s="34">
        <f t="shared" si="177"/>
      </c>
      <c r="BQ57" s="34">
        <f>INDEX(MO_RIS_EPS_WAD_Adj,0,COLUMN())</f>
      </c>
      <c r="BR57" s="34">
        <f>INDEX(MO_RIS_EPS_WAD_Adj,0,COLUMN())</f>
      </c>
      <c r="BS57" s="1102">
        <f>INDEX(MO_RIS_EPS_WAD_Adj,0,COLUMN())</f>
      </c>
      <c r="BT57" s="740">
        <f>INDEX(MO_RIS_EPS_WAD_Adj,0,COLUMN())</f>
      </c>
      <c r="BU57" s="34">
        <f t="shared" ref="BU57:BX57" si="178">INDEX(MO_RIS_EPS_WAD_Adj,0,COLUMN())</f>
      </c>
      <c r="BV57" s="34">
        <f t="shared" si="178"/>
      </c>
      <c r="BW57" s="34">
        <f t="shared" si="178"/>
      </c>
      <c r="BX57" s="1102">
        <f t="shared" si="178"/>
      </c>
      <c r="BY57" s="34">
        <f t="shared" ref="BY57:CF57" si="179">INDEX(MO_RIS_EPS_WAD_Adj,0,COLUMN())</f>
      </c>
      <c r="BZ57" s="34">
        <f t="shared" si="179"/>
      </c>
      <c r="CA57" s="34">
        <f t="shared" si="179"/>
      </c>
      <c r="CB57" s="34">
        <f t="shared" si="179"/>
      </c>
      <c r="CC57" s="1102">
        <f t="shared" si="179"/>
      </c>
      <c r="CD57" s="1102">
        <f t="shared" si="179"/>
      </c>
      <c r="CE57" s="1102">
        <f t="shared" si="179"/>
      </c>
      <c r="CF57" s="1102">
        <f t="shared" si="179"/>
      </c>
      <c r="CG57" s="34"/>
    </row>
    <row r="58" spans="1:85" customFormat="1" x14ac:dyDescent="0.3">
      <c r="A58" s="86"/>
      <c r="B58" s="115"/>
      <c r="C58" s="80"/>
      <c r="D58" s="80"/>
      <c r="E58" s="80"/>
      <c r="F58" s="80"/>
      <c r="G58" s="35"/>
      <c r="H58" s="35"/>
      <c r="I58" s="35"/>
      <c r="J58" s="35"/>
      <c r="K58" s="80"/>
      <c r="L58" s="35"/>
      <c r="M58" s="35"/>
      <c r="N58" s="35"/>
      <c r="O58" s="35"/>
      <c r="P58" s="80"/>
      <c r="Q58" s="35"/>
      <c r="R58" s="35"/>
      <c r="S58" s="35"/>
      <c r="T58" s="35"/>
      <c r="U58" s="80"/>
      <c r="V58" s="35"/>
      <c r="W58" s="35"/>
      <c r="X58" s="35"/>
      <c r="Y58" s="36"/>
      <c r="Z58" s="83"/>
      <c r="AA58" s="35"/>
      <c r="AB58" s="35"/>
      <c r="AC58" s="35"/>
      <c r="AD58" s="36"/>
      <c r="AE58" s="83"/>
      <c r="AF58" s="35"/>
      <c r="AG58" s="35"/>
      <c r="AH58" s="35"/>
      <c r="AI58" s="36"/>
      <c r="AJ58" s="83"/>
      <c r="AK58" s="35"/>
      <c r="AL58" s="35"/>
      <c r="AM58" s="35"/>
      <c r="AN58" s="36"/>
      <c r="AO58" s="83"/>
      <c r="AP58" s="35"/>
      <c r="AQ58" s="35"/>
      <c r="AR58" s="35"/>
      <c r="AS58" s="36"/>
      <c r="AT58" s="83"/>
      <c r="AU58" s="35"/>
      <c r="AV58" s="35"/>
      <c r="AW58" s="35"/>
      <c r="AX58" s="36"/>
      <c r="AY58" s="83"/>
      <c r="AZ58" s="35"/>
      <c r="BA58" s="35"/>
      <c r="BB58" s="35"/>
      <c r="BC58" s="36"/>
      <c r="BD58" s="83"/>
      <c r="BE58" s="35"/>
      <c r="BF58" s="35"/>
      <c r="BG58" s="35"/>
      <c r="BH58" s="36"/>
      <c r="BI58" s="83"/>
      <c r="BJ58" s="35"/>
      <c r="BK58" s="35"/>
      <c r="BL58" s="35"/>
      <c r="BM58" s="36"/>
      <c r="BN58" s="83"/>
      <c r="BO58" s="35"/>
      <c r="BP58" s="35"/>
      <c r="BQ58" s="35"/>
      <c r="BR58" s="36"/>
      <c r="BS58" s="83"/>
      <c r="BT58" s="741"/>
      <c r="BU58" s="35"/>
      <c r="BV58" s="35"/>
      <c r="BW58" s="36"/>
      <c r="BX58" s="83"/>
      <c r="BY58" s="35"/>
      <c r="BZ58" s="35"/>
      <c r="CA58" s="35"/>
      <c r="CB58" s="36"/>
      <c r="CC58" s="83"/>
      <c r="CD58" s="83"/>
      <c r="CE58" s="83"/>
      <c r="CF58" s="83"/>
      <c r="CG58" s="96"/>
    </row>
    <row r="59" spans="1:85" customFormat="1" x14ac:dyDescent="0.3">
      <c r="A59" s="776" t="s">
        <v>25</v>
      </c>
      <c r="B59" s="773"/>
      <c r="C59" s="773"/>
      <c r="D59" s="773"/>
      <c r="E59" s="773"/>
      <c r="F59" s="773"/>
      <c r="G59" s="773"/>
      <c r="H59" s="773"/>
      <c r="I59" s="773"/>
      <c r="J59" s="773"/>
      <c r="K59" s="773"/>
      <c r="L59" s="773"/>
      <c r="M59" s="773"/>
      <c r="N59" s="773"/>
      <c r="O59" s="773"/>
      <c r="P59" s="773"/>
      <c r="Q59" s="773"/>
      <c r="R59" s="773"/>
      <c r="S59" s="773"/>
      <c r="T59" s="773"/>
      <c r="U59" s="773"/>
      <c r="V59" s="773"/>
      <c r="W59" s="773"/>
      <c r="X59" s="773"/>
      <c r="Y59" s="773"/>
      <c r="Z59" s="773"/>
      <c r="AA59" s="773"/>
      <c r="AB59" s="773"/>
      <c r="AC59" s="773"/>
      <c r="AD59" s="773"/>
      <c r="AE59" s="773"/>
      <c r="AF59" s="773"/>
      <c r="AG59" s="773"/>
      <c r="AH59" s="773"/>
      <c r="AI59" s="773"/>
      <c r="AJ59" s="773"/>
      <c r="AK59" s="773"/>
      <c r="AL59" s="773"/>
      <c r="AM59" s="773"/>
      <c r="AN59" s="773"/>
      <c r="AO59" s="773"/>
      <c r="AP59" s="773"/>
      <c r="AQ59" s="773"/>
      <c r="AR59" s="773"/>
      <c r="AS59" s="773"/>
      <c r="AT59" s="773"/>
      <c r="AU59" s="773"/>
      <c r="AV59" s="773"/>
      <c r="AW59" s="773"/>
      <c r="AX59" s="773"/>
      <c r="AY59" s="773"/>
      <c r="AZ59" s="773"/>
      <c r="BA59" s="773"/>
      <c r="BB59" s="773"/>
      <c r="BC59" s="773"/>
      <c r="BD59" s="773"/>
      <c r="BE59" s="773"/>
      <c r="BF59" s="773"/>
      <c r="BG59" s="773"/>
      <c r="BH59" s="773"/>
      <c r="BI59" s="773"/>
      <c r="BJ59" s="773"/>
      <c r="BK59" s="773"/>
      <c r="BL59" s="773"/>
      <c r="BM59" s="773"/>
      <c r="BN59" s="773"/>
      <c r="BO59" s="773"/>
      <c r="BP59" s="773"/>
      <c r="BQ59" s="773"/>
      <c r="BR59" s="773"/>
      <c r="BS59" s="773"/>
      <c r="BT59" s="839"/>
      <c r="BU59" s="773"/>
      <c r="BV59" s="773"/>
      <c r="BW59" s="773"/>
      <c r="BX59" s="773"/>
      <c r="BY59" s="773"/>
      <c r="BZ59" s="773"/>
      <c r="CA59" s="773"/>
      <c r="CB59" s="773"/>
      <c r="CC59" s="773"/>
      <c r="CD59" s="773"/>
      <c r="CE59" s="773"/>
      <c r="CF59" s="773"/>
      <c r="CG59" s="96"/>
    </row>
    <row r="60" spans="1:85" customFormat="1" x14ac:dyDescent="0.3">
      <c r="A60" s="116" t="str">
        <f>INDEX(MO_MA_COGS,0,COLUMN())</f>
      </c>
      <c r="B60" s="115"/>
      <c r="C60" s="1103">
        <f t="shared" ref="C60:AH60" si="180">INDEX(MO_MA_COGS,0,COLUMN())</f>
      </c>
      <c r="D60" s="1103">
        <f t="shared" si="180"/>
      </c>
      <c r="E60" s="1103">
        <f t="shared" si="180"/>
      </c>
      <c r="F60" s="1103">
        <f t="shared" si="180"/>
      </c>
      <c r="G60" s="37">
        <f t="shared" si="180"/>
      </c>
      <c r="H60" s="37">
        <f t="shared" si="180"/>
      </c>
      <c r="I60" s="37">
        <f t="shared" si="180"/>
      </c>
      <c r="J60" s="37">
        <f t="shared" si="180"/>
      </c>
      <c r="K60" s="1103">
        <f t="shared" si="180"/>
      </c>
      <c r="L60" s="37">
        <f t="shared" si="180"/>
      </c>
      <c r="M60" s="37">
        <f t="shared" si="180"/>
      </c>
      <c r="N60" s="37">
        <f t="shared" si="180"/>
      </c>
      <c r="O60" s="37">
        <f t="shared" si="180"/>
      </c>
      <c r="P60" s="1103">
        <f t="shared" si="180"/>
      </c>
      <c r="Q60" s="37">
        <f t="shared" si="180"/>
      </c>
      <c r="R60" s="37">
        <f t="shared" si="180"/>
      </c>
      <c r="S60" s="37">
        <f t="shared" si="180"/>
      </c>
      <c r="T60" s="37">
        <f t="shared" si="180"/>
      </c>
      <c r="U60" s="1103">
        <f t="shared" si="180"/>
      </c>
      <c r="V60" s="37">
        <f t="shared" si="180"/>
      </c>
      <c r="W60" s="37">
        <f t="shared" si="180"/>
      </c>
      <c r="X60" s="37">
        <f t="shared" si="180"/>
      </c>
      <c r="Y60" s="37">
        <f t="shared" si="180"/>
      </c>
      <c r="Z60" s="1103">
        <f t="shared" si="180"/>
      </c>
      <c r="AA60" s="37">
        <f t="shared" si="180"/>
      </c>
      <c r="AB60" s="37">
        <f t="shared" si="180"/>
      </c>
      <c r="AC60" s="37">
        <f t="shared" si="180"/>
      </c>
      <c r="AD60" s="37">
        <f t="shared" si="180"/>
      </c>
      <c r="AE60" s="1103">
        <f t="shared" si="180"/>
      </c>
      <c r="AF60" s="37">
        <f t="shared" si="180"/>
      </c>
      <c r="AG60" s="37">
        <f t="shared" si="180"/>
      </c>
      <c r="AH60" s="37">
        <f t="shared" si="180"/>
      </c>
      <c r="AI60" s="37">
        <f t="shared" ref="AI60:BD60" si="181">INDEX(MO_MA_COGS,0,COLUMN())</f>
      </c>
      <c r="AJ60" s="1103">
        <f t="shared" si="181"/>
      </c>
      <c r="AK60" s="37">
        <f t="shared" si="181"/>
      </c>
      <c r="AL60" s="37">
        <f t="shared" si="181"/>
      </c>
      <c r="AM60" s="37">
        <f t="shared" si="181"/>
      </c>
      <c r="AN60" s="37">
        <f t="shared" si="181"/>
      </c>
      <c r="AO60" s="1103">
        <f t="shared" si="181"/>
      </c>
      <c r="AP60" s="37">
        <f t="shared" si="181"/>
      </c>
      <c r="AQ60" s="37">
        <f t="shared" si="181"/>
      </c>
      <c r="AR60" s="37">
        <f t="shared" si="181"/>
      </c>
      <c r="AS60" s="37">
        <f t="shared" si="181"/>
      </c>
      <c r="AT60" s="1103">
        <f t="shared" si="181"/>
      </c>
      <c r="AU60" s="37">
        <f t="shared" si="181"/>
      </c>
      <c r="AV60" s="37">
        <f t="shared" si="181"/>
      </c>
      <c r="AW60" s="37">
        <f t="shared" si="181"/>
      </c>
      <c r="AX60" s="37">
        <f t="shared" si="181"/>
      </c>
      <c r="AY60" s="1103">
        <f t="shared" si="181"/>
      </c>
      <c r="AZ60" s="37">
        <f t="shared" si="181"/>
      </c>
      <c r="BA60" s="37">
        <f t="shared" si="181"/>
      </c>
      <c r="BB60" s="37">
        <f t="shared" si="181"/>
      </c>
      <c r="BC60" s="37">
        <f t="shared" si="181"/>
      </c>
      <c r="BD60" s="1103">
        <f t="shared" si="181"/>
      </c>
      <c r="BE60" s="37">
        <f t="shared" ref="BE60:BJ60" si="182">INDEX(MO_MA_COGS,0,COLUMN())</f>
      </c>
      <c r="BF60" s="37">
        <f t="shared" si="182"/>
      </c>
      <c r="BG60" s="37">
        <f t="shared" si="182"/>
      </c>
      <c r="BH60" s="37">
        <f t="shared" si="182"/>
      </c>
      <c r="BI60" s="1103">
        <f t="shared" si="182"/>
      </c>
      <c r="BJ60" s="37">
        <f t="shared" si="182"/>
      </c>
      <c r="BK60" s="37">
        <f t="shared" ref="BK60:BP60" si="183">INDEX(MO_MA_COGS,0,COLUMN())</f>
      </c>
      <c r="BL60" s="37">
        <f t="shared" si="183"/>
      </c>
      <c r="BM60" s="37">
        <f t="shared" si="183"/>
      </c>
      <c r="BN60" s="1103">
        <f t="shared" si="183"/>
      </c>
      <c r="BO60" s="37">
        <f t="shared" si="183"/>
      </c>
      <c r="BP60" s="37">
        <f t="shared" si="183"/>
      </c>
      <c r="BQ60" s="37">
        <f>INDEX(MO_MA_COGS,0,COLUMN())</f>
      </c>
      <c r="BR60" s="37">
        <f>INDEX(MO_MA_COGS,0,COLUMN())</f>
      </c>
      <c r="BS60" s="1103">
        <f>INDEX(MO_MA_COGS,0,COLUMN())</f>
      </c>
      <c r="BT60" s="742">
        <f>INDEX(MO_MA_COGS,0,COLUMN())</f>
      </c>
      <c r="BU60" s="37">
        <f t="shared" ref="BU60:BX60" si="184">INDEX(MO_MA_COGS,0,COLUMN())</f>
      </c>
      <c r="BV60" s="37">
        <f t="shared" si="184"/>
      </c>
      <c r="BW60" s="37">
        <f t="shared" si="184"/>
      </c>
      <c r="BX60" s="83">
        <f t="shared" si="184"/>
      </c>
      <c r="BY60" s="37">
        <f t="shared" ref="BY60:CF60" si="185">INDEX(MO_MA_COGS,0,COLUMN())</f>
      </c>
      <c r="BZ60" s="37">
        <f t="shared" si="185"/>
      </c>
      <c r="CA60" s="37">
        <f t="shared" si="185"/>
      </c>
      <c r="CB60" s="37">
        <f t="shared" si="185"/>
      </c>
      <c r="CC60" s="83">
        <f t="shared" si="185"/>
      </c>
      <c r="CD60" s="83">
        <f t="shared" si="185"/>
      </c>
      <c r="CE60" s="83">
        <f t="shared" si="185"/>
      </c>
      <c r="CF60" s="83">
        <f t="shared" si="185"/>
      </c>
      <c r="CG60" s="86"/>
    </row>
    <row r="61" spans="1:85" customFormat="1" x14ac:dyDescent="0.3">
      <c r="A61" s="116" t="str">
        <f>INDEX(MO_MA_SM,0,COLUMN())</f>
      </c>
      <c r="B61" s="115"/>
      <c r="C61" s="1103">
        <f t="shared" ref="C61:AH61" si="186">INDEX(MO_MA_SM,0,COLUMN())</f>
      </c>
      <c r="D61" s="1103">
        <f t="shared" si="186"/>
      </c>
      <c r="E61" s="1103">
        <f t="shared" si="186"/>
      </c>
      <c r="F61" s="1103">
        <f t="shared" si="186"/>
      </c>
      <c r="G61" s="37">
        <f t="shared" si="186"/>
      </c>
      <c r="H61" s="37">
        <f t="shared" si="186"/>
      </c>
      <c r="I61" s="37">
        <f t="shared" si="186"/>
      </c>
      <c r="J61" s="37">
        <f t="shared" si="186"/>
      </c>
      <c r="K61" s="1103">
        <f t="shared" si="186"/>
      </c>
      <c r="L61" s="37">
        <f t="shared" si="186"/>
      </c>
      <c r="M61" s="37">
        <f t="shared" si="186"/>
      </c>
      <c r="N61" s="37">
        <f t="shared" si="186"/>
      </c>
      <c r="O61" s="37">
        <f t="shared" si="186"/>
      </c>
      <c r="P61" s="1103">
        <f t="shared" si="186"/>
      </c>
      <c r="Q61" s="37">
        <f t="shared" si="186"/>
      </c>
      <c r="R61" s="37">
        <f t="shared" si="186"/>
      </c>
      <c r="S61" s="37">
        <f t="shared" si="186"/>
      </c>
      <c r="T61" s="37">
        <f t="shared" si="186"/>
      </c>
      <c r="U61" s="1103">
        <f t="shared" si="186"/>
      </c>
      <c r="V61" s="37">
        <f t="shared" si="186"/>
      </c>
      <c r="W61" s="37">
        <f t="shared" si="186"/>
      </c>
      <c r="X61" s="37">
        <f t="shared" si="186"/>
      </c>
      <c r="Y61" s="37">
        <f t="shared" si="186"/>
      </c>
      <c r="Z61" s="1103">
        <f t="shared" si="186"/>
      </c>
      <c r="AA61" s="37">
        <f t="shared" si="186"/>
      </c>
      <c r="AB61" s="37">
        <f t="shared" si="186"/>
      </c>
      <c r="AC61" s="37">
        <f t="shared" si="186"/>
      </c>
      <c r="AD61" s="37">
        <f t="shared" si="186"/>
      </c>
      <c r="AE61" s="1103">
        <f t="shared" si="186"/>
      </c>
      <c r="AF61" s="37">
        <f t="shared" si="186"/>
      </c>
      <c r="AG61" s="37">
        <f t="shared" si="186"/>
      </c>
      <c r="AH61" s="37">
        <f t="shared" si="186"/>
      </c>
      <c r="AI61" s="37">
        <f t="shared" ref="AI61:BD61" si="187">INDEX(MO_MA_SM,0,COLUMN())</f>
      </c>
      <c r="AJ61" s="1103">
        <f t="shared" si="187"/>
      </c>
      <c r="AK61" s="37">
        <f t="shared" si="187"/>
      </c>
      <c r="AL61" s="37">
        <f t="shared" si="187"/>
      </c>
      <c r="AM61" s="37">
        <f t="shared" si="187"/>
      </c>
      <c r="AN61" s="37">
        <f t="shared" si="187"/>
      </c>
      <c r="AO61" s="1103">
        <f t="shared" si="187"/>
      </c>
      <c r="AP61" s="37">
        <f t="shared" si="187"/>
      </c>
      <c r="AQ61" s="37">
        <f t="shared" si="187"/>
      </c>
      <c r="AR61" s="37">
        <f t="shared" si="187"/>
      </c>
      <c r="AS61" s="37">
        <f t="shared" si="187"/>
      </c>
      <c r="AT61" s="1103">
        <f t="shared" si="187"/>
      </c>
      <c r="AU61" s="37">
        <f t="shared" si="187"/>
      </c>
      <c r="AV61" s="37">
        <f t="shared" si="187"/>
      </c>
      <c r="AW61" s="37">
        <f t="shared" si="187"/>
      </c>
      <c r="AX61" s="37">
        <f t="shared" si="187"/>
      </c>
      <c r="AY61" s="1103">
        <f t="shared" si="187"/>
      </c>
      <c r="AZ61" s="37">
        <f t="shared" si="187"/>
      </c>
      <c r="BA61" s="37">
        <f t="shared" si="187"/>
      </c>
      <c r="BB61" s="37">
        <f t="shared" si="187"/>
      </c>
      <c r="BC61" s="37">
        <f t="shared" si="187"/>
      </c>
      <c r="BD61" s="1103">
        <f t="shared" si="187"/>
      </c>
      <c r="BE61" s="37">
        <f t="shared" ref="BE61:BJ61" si="188">INDEX(MO_MA_SM,0,COLUMN())</f>
      </c>
      <c r="BF61" s="37">
        <f t="shared" si="188"/>
      </c>
      <c r="BG61" s="37">
        <f t="shared" si="188"/>
      </c>
      <c r="BH61" s="37">
        <f t="shared" si="188"/>
      </c>
      <c r="BI61" s="1103">
        <f t="shared" si="188"/>
      </c>
      <c r="BJ61" s="37">
        <f t="shared" si="188"/>
      </c>
      <c r="BK61" s="37">
        <f t="shared" ref="BK61:BP61" si="189">INDEX(MO_MA_SM,0,COLUMN())</f>
      </c>
      <c r="BL61" s="37">
        <f t="shared" si="189"/>
      </c>
      <c r="BM61" s="37">
        <f t="shared" si="189"/>
      </c>
      <c r="BN61" s="1103">
        <f t="shared" si="189"/>
      </c>
      <c r="BO61" s="37">
        <f t="shared" si="189"/>
      </c>
      <c r="BP61" s="37">
        <f t="shared" si="189"/>
      </c>
      <c r="BQ61" s="37">
        <f>INDEX(MO_MA_SM,0,COLUMN())</f>
      </c>
      <c r="BR61" s="37">
        <f>INDEX(MO_MA_SM,0,COLUMN())</f>
      </c>
      <c r="BS61" s="1103">
        <f>INDEX(MO_MA_SM,0,COLUMN())</f>
      </c>
      <c r="BT61" s="742">
        <f>INDEX(MO_MA_SM,0,COLUMN())</f>
      </c>
      <c r="BU61" s="37">
        <f t="shared" ref="BU61:BX61" si="190">INDEX(MO_MA_SM,0,COLUMN())</f>
      </c>
      <c r="BV61" s="37">
        <f t="shared" si="190"/>
      </c>
      <c r="BW61" s="37">
        <f t="shared" si="190"/>
      </c>
      <c r="BX61" s="83">
        <f t="shared" si="190"/>
      </c>
      <c r="BY61" s="37">
        <f t="shared" ref="BY61:CF61" si="191">INDEX(MO_MA_SM,0,COLUMN())</f>
      </c>
      <c r="BZ61" s="37">
        <f t="shared" si="191"/>
      </c>
      <c r="CA61" s="37">
        <f t="shared" si="191"/>
      </c>
      <c r="CB61" s="37">
        <f t="shared" si="191"/>
      </c>
      <c r="CC61" s="83">
        <f t="shared" si="191"/>
      </c>
      <c r="CD61" s="83">
        <f t="shared" si="191"/>
      </c>
      <c r="CE61" s="83">
        <f t="shared" si="191"/>
      </c>
      <c r="CF61" s="83">
        <f t="shared" si="191"/>
      </c>
      <c r="CG61" s="86"/>
    </row>
    <row r="62" spans="1:85" customFormat="1" x14ac:dyDescent="0.3">
      <c r="A62" s="116" t="str">
        <f>INDEX(MO_MA_GA,0,COLUMN())</f>
      </c>
      <c r="B62" s="115"/>
      <c r="C62" s="1103">
        <f t="shared" ref="C62:AH62" si="192">INDEX(MO_MA_GA,0,COLUMN())</f>
      </c>
      <c r="D62" s="1103">
        <f t="shared" si="192"/>
      </c>
      <c r="E62" s="1103">
        <f t="shared" si="192"/>
      </c>
      <c r="F62" s="1103">
        <f t="shared" si="192"/>
      </c>
      <c r="G62" s="37">
        <f t="shared" si="192"/>
      </c>
      <c r="H62" s="37">
        <f t="shared" si="192"/>
      </c>
      <c r="I62" s="37">
        <f t="shared" si="192"/>
      </c>
      <c r="J62" s="37">
        <f t="shared" si="192"/>
      </c>
      <c r="K62" s="1103">
        <f t="shared" si="192"/>
      </c>
      <c r="L62" s="37">
        <f t="shared" si="192"/>
      </c>
      <c r="M62" s="37">
        <f t="shared" si="192"/>
      </c>
      <c r="N62" s="37">
        <f t="shared" si="192"/>
      </c>
      <c r="O62" s="37">
        <f t="shared" si="192"/>
      </c>
      <c r="P62" s="1103">
        <f t="shared" si="192"/>
      </c>
      <c r="Q62" s="37">
        <f t="shared" si="192"/>
      </c>
      <c r="R62" s="37">
        <f t="shared" si="192"/>
      </c>
      <c r="S62" s="37">
        <f t="shared" si="192"/>
      </c>
      <c r="T62" s="37">
        <f t="shared" si="192"/>
      </c>
      <c r="U62" s="1103">
        <f t="shared" si="192"/>
      </c>
      <c r="V62" s="37">
        <f t="shared" si="192"/>
      </c>
      <c r="W62" s="37">
        <f t="shared" si="192"/>
      </c>
      <c r="X62" s="37">
        <f t="shared" si="192"/>
      </c>
      <c r="Y62" s="37">
        <f t="shared" si="192"/>
      </c>
      <c r="Z62" s="1103">
        <f t="shared" si="192"/>
      </c>
      <c r="AA62" s="37">
        <f t="shared" si="192"/>
      </c>
      <c r="AB62" s="37">
        <f t="shared" si="192"/>
      </c>
      <c r="AC62" s="37">
        <f t="shared" si="192"/>
      </c>
      <c r="AD62" s="37">
        <f t="shared" si="192"/>
      </c>
      <c r="AE62" s="1103">
        <f t="shared" si="192"/>
      </c>
      <c r="AF62" s="37">
        <f t="shared" si="192"/>
      </c>
      <c r="AG62" s="37">
        <f t="shared" si="192"/>
      </c>
      <c r="AH62" s="37">
        <f t="shared" si="192"/>
      </c>
      <c r="AI62" s="37">
        <f t="shared" ref="AI62:BD62" si="193">INDEX(MO_MA_GA,0,COLUMN())</f>
      </c>
      <c r="AJ62" s="1103">
        <f t="shared" si="193"/>
      </c>
      <c r="AK62" s="37">
        <f t="shared" si="193"/>
      </c>
      <c r="AL62" s="37">
        <f t="shared" si="193"/>
      </c>
      <c r="AM62" s="37">
        <f t="shared" si="193"/>
      </c>
      <c r="AN62" s="37">
        <f t="shared" si="193"/>
      </c>
      <c r="AO62" s="1103">
        <f t="shared" si="193"/>
      </c>
      <c r="AP62" s="37">
        <f t="shared" si="193"/>
      </c>
      <c r="AQ62" s="37">
        <f t="shared" si="193"/>
      </c>
      <c r="AR62" s="37">
        <f t="shared" si="193"/>
      </c>
      <c r="AS62" s="37">
        <f t="shared" si="193"/>
      </c>
      <c r="AT62" s="1103">
        <f t="shared" si="193"/>
      </c>
      <c r="AU62" s="37">
        <f t="shared" si="193"/>
      </c>
      <c r="AV62" s="37">
        <f t="shared" si="193"/>
      </c>
      <c r="AW62" s="37">
        <f t="shared" si="193"/>
      </c>
      <c r="AX62" s="37">
        <f t="shared" si="193"/>
      </c>
      <c r="AY62" s="1103">
        <f t="shared" si="193"/>
      </c>
      <c r="AZ62" s="37">
        <f t="shared" si="193"/>
      </c>
      <c r="BA62" s="37">
        <f t="shared" si="193"/>
      </c>
      <c r="BB62" s="37">
        <f t="shared" si="193"/>
      </c>
      <c r="BC62" s="37">
        <f t="shared" si="193"/>
      </c>
      <c r="BD62" s="1103">
        <f t="shared" si="193"/>
      </c>
      <c r="BE62" s="37">
        <f t="shared" ref="BE62:BJ62" si="194">INDEX(MO_MA_GA,0,COLUMN())</f>
      </c>
      <c r="BF62" s="37">
        <f t="shared" si="194"/>
      </c>
      <c r="BG62" s="37">
        <f t="shared" si="194"/>
      </c>
      <c r="BH62" s="37">
        <f t="shared" si="194"/>
      </c>
      <c r="BI62" s="1103">
        <f t="shared" si="194"/>
      </c>
      <c r="BJ62" s="37">
        <f t="shared" si="194"/>
      </c>
      <c r="BK62" s="37">
        <f t="shared" ref="BK62:BP62" si="195">INDEX(MO_MA_GA,0,COLUMN())</f>
      </c>
      <c r="BL62" s="37">
        <f t="shared" si="195"/>
      </c>
      <c r="BM62" s="37">
        <f t="shared" si="195"/>
      </c>
      <c r="BN62" s="1103">
        <f t="shared" si="195"/>
      </c>
      <c r="BO62" s="37">
        <f t="shared" si="195"/>
      </c>
      <c r="BP62" s="37">
        <f t="shared" si="195"/>
      </c>
      <c r="BQ62" s="37">
        <f>INDEX(MO_MA_GA,0,COLUMN())</f>
      </c>
      <c r="BR62" s="37">
        <f>INDEX(MO_MA_GA,0,COLUMN())</f>
      </c>
      <c r="BS62" s="1103">
        <f>INDEX(MO_MA_GA,0,COLUMN())</f>
      </c>
      <c r="BT62" s="742">
        <f>INDEX(MO_MA_GA,0,COLUMN())</f>
      </c>
      <c r="BU62" s="37">
        <f t="shared" ref="BU62:BX62" si="196">INDEX(MO_MA_GA,0,COLUMN())</f>
      </c>
      <c r="BV62" s="37">
        <f t="shared" si="196"/>
      </c>
      <c r="BW62" s="37">
        <f t="shared" si="196"/>
      </c>
      <c r="BX62" s="83">
        <f t="shared" si="196"/>
      </c>
      <c r="BY62" s="37">
        <f t="shared" ref="BY62:CF62" si="197">INDEX(MO_MA_GA,0,COLUMN())</f>
      </c>
      <c r="BZ62" s="37">
        <f t="shared" si="197"/>
      </c>
      <c r="CA62" s="37">
        <f t="shared" si="197"/>
      </c>
      <c r="CB62" s="37">
        <f t="shared" si="197"/>
      </c>
      <c r="CC62" s="83">
        <f t="shared" si="197"/>
      </c>
      <c r="CD62" s="83">
        <f t="shared" si="197"/>
      </c>
      <c r="CE62" s="83">
        <f t="shared" si="197"/>
      </c>
      <c r="CF62" s="83">
        <f t="shared" si="197"/>
      </c>
      <c r="CG62" s="86"/>
    </row>
    <row r="63" spans="1:85" customFormat="1" x14ac:dyDescent="0.3">
      <c r="A63" s="176" t="str">
        <f>INDEX(MO_MA_RD,0,COLUMN())</f>
      </c>
      <c r="B63" s="177"/>
      <c r="C63" s="1104">
        <f t="shared" ref="C63:AH63" si="198">INDEX(SP_GF_RD,0,COLUMN())/INDEX(SP_GF_Rev,0,COLUMN())</f>
      </c>
      <c r="D63" s="1104">
        <f t="shared" si="198"/>
      </c>
      <c r="E63" s="1104">
        <f t="shared" si="198"/>
      </c>
      <c r="F63" s="1104">
        <f t="shared" si="198"/>
      </c>
      <c r="G63" s="178">
        <f t="shared" si="198"/>
      </c>
      <c r="H63" s="178">
        <f t="shared" si="198"/>
      </c>
      <c r="I63" s="178">
        <f t="shared" si="198"/>
      </c>
      <c r="J63" s="178">
        <f t="shared" si="198"/>
      </c>
      <c r="K63" s="1104">
        <f t="shared" si="198"/>
      </c>
      <c r="L63" s="178">
        <f t="shared" si="198"/>
      </c>
      <c r="M63" s="178">
        <f t="shared" si="198"/>
      </c>
      <c r="N63" s="178">
        <f t="shared" si="198"/>
      </c>
      <c r="O63" s="178">
        <f t="shared" si="198"/>
      </c>
      <c r="P63" s="1104">
        <f t="shared" si="198"/>
      </c>
      <c r="Q63" s="178">
        <f t="shared" si="198"/>
      </c>
      <c r="R63" s="178">
        <f t="shared" si="198"/>
      </c>
      <c r="S63" s="178">
        <f t="shared" si="198"/>
      </c>
      <c r="T63" s="178">
        <f t="shared" si="198"/>
      </c>
      <c r="U63" s="1104">
        <f t="shared" si="198"/>
      </c>
      <c r="V63" s="178">
        <f t="shared" si="198"/>
      </c>
      <c r="W63" s="178">
        <f t="shared" si="198"/>
      </c>
      <c r="X63" s="178">
        <f t="shared" si="198"/>
      </c>
      <c r="Y63" s="178">
        <f t="shared" si="198"/>
      </c>
      <c r="Z63" s="1104">
        <f t="shared" si="198"/>
      </c>
      <c r="AA63" s="178">
        <f t="shared" si="198"/>
      </c>
      <c r="AB63" s="178">
        <f t="shared" si="198"/>
      </c>
      <c r="AC63" s="178">
        <f t="shared" si="198"/>
      </c>
      <c r="AD63" s="178">
        <f t="shared" si="198"/>
      </c>
      <c r="AE63" s="1104">
        <f t="shared" si="198"/>
      </c>
      <c r="AF63" s="178">
        <f t="shared" si="198"/>
      </c>
      <c r="AG63" s="178">
        <f t="shared" si="198"/>
      </c>
      <c r="AH63" s="178">
        <f t="shared" si="198"/>
      </c>
      <c r="AI63" s="178">
        <f t="shared" ref="AI63:BD63" si="199">INDEX(SP_GF_RD,0,COLUMN())/INDEX(SP_GF_Rev,0,COLUMN())</f>
      </c>
      <c r="AJ63" s="1104">
        <f t="shared" si="199"/>
      </c>
      <c r="AK63" s="178">
        <f t="shared" si="199"/>
      </c>
      <c r="AL63" s="178">
        <f t="shared" si="199"/>
      </c>
      <c r="AM63" s="178">
        <f t="shared" si="199"/>
      </c>
      <c r="AN63" s="178">
        <f t="shared" si="199"/>
      </c>
      <c r="AO63" s="1104">
        <f t="shared" si="199"/>
      </c>
      <c r="AP63" s="178">
        <f t="shared" si="199"/>
      </c>
      <c r="AQ63" s="178">
        <f t="shared" si="199"/>
      </c>
      <c r="AR63" s="178">
        <f t="shared" si="199"/>
      </c>
      <c r="AS63" s="178">
        <f t="shared" si="199"/>
      </c>
      <c r="AT63" s="1104">
        <f t="shared" si="199"/>
      </c>
      <c r="AU63" s="178">
        <f t="shared" si="199"/>
      </c>
      <c r="AV63" s="178">
        <f t="shared" si="199"/>
      </c>
      <c r="AW63" s="178">
        <f t="shared" si="199"/>
      </c>
      <c r="AX63" s="178">
        <f t="shared" si="199"/>
      </c>
      <c r="AY63" s="1104">
        <f t="shared" si="199"/>
      </c>
      <c r="AZ63" s="178">
        <f t="shared" si="199"/>
      </c>
      <c r="BA63" s="178">
        <f t="shared" si="199"/>
      </c>
      <c r="BB63" s="178">
        <f t="shared" si="199"/>
      </c>
      <c r="BC63" s="178">
        <f t="shared" si="199"/>
      </c>
      <c r="BD63" s="1104">
        <f t="shared" si="199"/>
      </c>
      <c r="BE63" s="178">
        <f t="shared" ref="BE63:BJ63" si="200">INDEX(SP_GF_RD,0,COLUMN())/INDEX(SP_GF_Rev,0,COLUMN())</f>
      </c>
      <c r="BF63" s="178">
        <f t="shared" si="200"/>
      </c>
      <c r="BG63" s="178">
        <f t="shared" si="200"/>
      </c>
      <c r="BH63" s="178">
        <f t="shared" si="200"/>
      </c>
      <c r="BI63" s="1104">
        <f t="shared" si="200"/>
      </c>
      <c r="BJ63" s="178">
        <f t="shared" si="200"/>
      </c>
      <c r="BK63" s="178">
        <f t="shared" ref="BK63:BP63" si="201">INDEX(SP_GF_RD,0,COLUMN())/INDEX(SP_GF_Rev,0,COLUMN())</f>
      </c>
      <c r="BL63" s="178">
        <f t="shared" si="201"/>
      </c>
      <c r="BM63" s="178">
        <f t="shared" si="201"/>
      </c>
      <c r="BN63" s="1104">
        <f t="shared" si="201"/>
      </c>
      <c r="BO63" s="178">
        <f t="shared" si="201"/>
      </c>
      <c r="BP63" s="178">
        <f t="shared" si="201"/>
      </c>
      <c r="BQ63" s="178">
        <f>INDEX(SP_GF_RD,0,COLUMN())/INDEX(SP_GF_Rev,0,COLUMN())</f>
      </c>
      <c r="BR63" s="178">
        <f>INDEX(SP_GF_RD,0,COLUMN())/INDEX(SP_GF_Rev,0,COLUMN())</f>
      </c>
      <c r="BS63" s="1104">
        <f>INDEX(SP_GF_RD,0,COLUMN())/INDEX(SP_GF_Rev,0,COLUMN())</f>
      </c>
      <c r="BT63" s="743">
        <f>INDEX(SP_GF_RD,0,COLUMN())/INDEX(SP_GF_Rev,0,COLUMN())</f>
      </c>
      <c r="BU63" s="178">
        <f t="shared" ref="BU63:BX63" si="202">INDEX(SP_GF_RD,0,COLUMN())/INDEX(SP_GF_Rev,0,COLUMN())</f>
      </c>
      <c r="BV63" s="178">
        <f t="shared" si="202"/>
      </c>
      <c r="BW63" s="178">
        <f t="shared" si="202"/>
      </c>
      <c r="BX63" s="1098">
        <f t="shared" si="202"/>
      </c>
      <c r="BY63" s="178">
        <f t="shared" ref="BY63:CF63" si="203">INDEX(SP_GF_RD,0,COLUMN())/INDEX(SP_GF_Rev,0,COLUMN())</f>
      </c>
      <c r="BZ63" s="178">
        <f t="shared" si="203"/>
      </c>
      <c r="CA63" s="178">
        <f t="shared" si="203"/>
      </c>
      <c r="CB63" s="178">
        <f t="shared" si="203"/>
      </c>
      <c r="CC63" s="1098">
        <f t="shared" si="203"/>
      </c>
      <c r="CD63" s="1098">
        <f t="shared" si="203"/>
      </c>
      <c r="CE63" s="1098">
        <f t="shared" si="203"/>
      </c>
      <c r="CF63" s="1098">
        <f t="shared" si="203"/>
      </c>
      <c r="CG63" s="86"/>
    </row>
    <row r="64" spans="1:85" customFormat="1" x14ac:dyDescent="0.3">
      <c r="A64" s="117" t="str">
        <f>INDEX(MO_MA_EBIT,0,COLUMN())</f>
      </c>
      <c r="B64" s="55"/>
      <c r="C64" s="1105">
        <f t="shared" ref="C64:AH64" si="204">INDEX(MO_MA_EBIT,0,COLUMN())</f>
      </c>
      <c r="D64" s="1105">
        <f t="shared" si="204"/>
      </c>
      <c r="E64" s="1105">
        <f t="shared" si="204"/>
      </c>
      <c r="F64" s="1105">
        <f t="shared" si="204"/>
      </c>
      <c r="G64" s="38">
        <f t="shared" si="204"/>
      </c>
      <c r="H64" s="38">
        <f t="shared" si="204"/>
      </c>
      <c r="I64" s="38">
        <f t="shared" si="204"/>
      </c>
      <c r="J64" s="38">
        <f t="shared" si="204"/>
      </c>
      <c r="K64" s="1105">
        <f t="shared" si="204"/>
      </c>
      <c r="L64" s="38">
        <f t="shared" si="204"/>
      </c>
      <c r="M64" s="38">
        <f t="shared" si="204"/>
      </c>
      <c r="N64" s="38">
        <f t="shared" si="204"/>
      </c>
      <c r="O64" s="38">
        <f t="shared" si="204"/>
      </c>
      <c r="P64" s="1105">
        <f t="shared" si="204"/>
      </c>
      <c r="Q64" s="38">
        <f t="shared" si="204"/>
      </c>
      <c r="R64" s="38">
        <f t="shared" si="204"/>
      </c>
      <c r="S64" s="38">
        <f t="shared" si="204"/>
      </c>
      <c r="T64" s="38">
        <f t="shared" si="204"/>
      </c>
      <c r="U64" s="1105">
        <f t="shared" si="204"/>
      </c>
      <c r="V64" s="38">
        <f t="shared" si="204"/>
      </c>
      <c r="W64" s="38">
        <f t="shared" si="204"/>
      </c>
      <c r="X64" s="38">
        <f t="shared" si="204"/>
      </c>
      <c r="Y64" s="38">
        <f t="shared" si="204"/>
      </c>
      <c r="Z64" s="1105">
        <f t="shared" si="204"/>
      </c>
      <c r="AA64" s="38">
        <f t="shared" si="204"/>
      </c>
      <c r="AB64" s="38">
        <f t="shared" si="204"/>
      </c>
      <c r="AC64" s="38">
        <f t="shared" si="204"/>
      </c>
      <c r="AD64" s="38">
        <f t="shared" si="204"/>
      </c>
      <c r="AE64" s="1105">
        <f t="shared" si="204"/>
      </c>
      <c r="AF64" s="38">
        <f t="shared" si="204"/>
      </c>
      <c r="AG64" s="38">
        <f t="shared" si="204"/>
      </c>
      <c r="AH64" s="38">
        <f t="shared" si="204"/>
      </c>
      <c r="AI64" s="38">
        <f t="shared" ref="AI64:BD64" si="205">INDEX(MO_MA_EBIT,0,COLUMN())</f>
      </c>
      <c r="AJ64" s="1105">
        <f t="shared" si="205"/>
      </c>
      <c r="AK64" s="38">
        <f t="shared" si="205"/>
      </c>
      <c r="AL64" s="38">
        <f t="shared" si="205"/>
      </c>
      <c r="AM64" s="38">
        <f t="shared" si="205"/>
      </c>
      <c r="AN64" s="38">
        <f t="shared" si="205"/>
      </c>
      <c r="AO64" s="1105">
        <f t="shared" si="205"/>
      </c>
      <c r="AP64" s="38">
        <f t="shared" si="205"/>
      </c>
      <c r="AQ64" s="38">
        <f t="shared" si="205"/>
      </c>
      <c r="AR64" s="38">
        <f t="shared" si="205"/>
      </c>
      <c r="AS64" s="38">
        <f t="shared" si="205"/>
      </c>
      <c r="AT64" s="1105">
        <f t="shared" si="205"/>
      </c>
      <c r="AU64" s="38">
        <f t="shared" si="205"/>
      </c>
      <c r="AV64" s="38">
        <f t="shared" si="205"/>
      </c>
      <c r="AW64" s="38">
        <f t="shared" si="205"/>
      </c>
      <c r="AX64" s="38">
        <f t="shared" si="205"/>
      </c>
      <c r="AY64" s="1105">
        <f t="shared" si="205"/>
      </c>
      <c r="AZ64" s="38">
        <f t="shared" si="205"/>
      </c>
      <c r="BA64" s="38">
        <f t="shared" si="205"/>
      </c>
      <c r="BB64" s="38">
        <f t="shared" si="205"/>
      </c>
      <c r="BC64" s="38">
        <f t="shared" si="205"/>
      </c>
      <c r="BD64" s="1105">
        <f t="shared" si="205"/>
      </c>
      <c r="BE64" s="38">
        <f t="shared" ref="BE64:BJ64" si="206">INDEX(MO_MA_EBIT,0,COLUMN())</f>
      </c>
      <c r="BF64" s="38">
        <f t="shared" si="206"/>
      </c>
      <c r="BG64" s="38">
        <f t="shared" si="206"/>
      </c>
      <c r="BH64" s="38">
        <f t="shared" si="206"/>
      </c>
      <c r="BI64" s="1105">
        <f t="shared" si="206"/>
      </c>
      <c r="BJ64" s="38">
        <f t="shared" si="206"/>
      </c>
      <c r="BK64" s="38">
        <f t="shared" ref="BK64:BP64" si="207">INDEX(MO_MA_EBIT,0,COLUMN())</f>
      </c>
      <c r="BL64" s="38">
        <f t="shared" si="207"/>
      </c>
      <c r="BM64" s="38">
        <f t="shared" si="207"/>
      </c>
      <c r="BN64" s="1105">
        <f t="shared" si="207"/>
      </c>
      <c r="BO64" s="38">
        <f t="shared" si="207"/>
      </c>
      <c r="BP64" s="38">
        <f t="shared" si="207"/>
      </c>
      <c r="BQ64" s="38">
        <f>INDEX(MO_MA_EBIT,0,COLUMN())</f>
      </c>
      <c r="BR64" s="38">
        <f>INDEX(MO_MA_EBIT,0,COLUMN())</f>
      </c>
      <c r="BS64" s="1105">
        <f>INDEX(MO_MA_EBIT,0,COLUMN())</f>
      </c>
      <c r="BT64" s="744">
        <f>INDEX(MO_MA_EBIT,0,COLUMN())</f>
      </c>
      <c r="BU64" s="38">
        <f t="shared" ref="BU64:BX64" si="208">INDEX(MO_MA_EBIT,0,COLUMN())</f>
      </c>
      <c r="BV64" s="38">
        <f t="shared" si="208"/>
      </c>
      <c r="BW64" s="38">
        <f t="shared" si="208"/>
      </c>
      <c r="BX64" s="1105">
        <f t="shared" si="208"/>
      </c>
      <c r="BY64" s="38">
        <f t="shared" ref="BY64:CF64" si="209">INDEX(MO_MA_EBIT,0,COLUMN())</f>
      </c>
      <c r="BZ64" s="38">
        <f t="shared" si="209"/>
      </c>
      <c r="CA64" s="38">
        <f t="shared" si="209"/>
      </c>
      <c r="CB64" s="38">
        <f t="shared" si="209"/>
      </c>
      <c r="CC64" s="1105">
        <f t="shared" si="209"/>
      </c>
      <c r="CD64" s="1105">
        <f t="shared" si="209"/>
      </c>
      <c r="CE64" s="1105">
        <f t="shared" si="209"/>
      </c>
      <c r="CF64" s="1105">
        <f t="shared" si="209"/>
      </c>
      <c r="CG64" s="185"/>
    </row>
    <row r="65" spans="1:85" customFormat="1" x14ac:dyDescent="0.3">
      <c r="A65" s="117" t="str">
        <f>INDEX(MO_MA_EBIT_Adj,0,COLUMN())</f>
      </c>
      <c r="B65" s="55"/>
      <c r="C65" s="1105">
        <f t="shared" ref="C65:AH65" si="210">INDEX(MO_MA_EBIT_Adj,0,COLUMN())</f>
      </c>
      <c r="D65" s="1105">
        <f t="shared" si="210"/>
      </c>
      <c r="E65" s="1105">
        <f t="shared" si="210"/>
      </c>
      <c r="F65" s="1105">
        <f t="shared" si="210"/>
      </c>
      <c r="G65" s="38">
        <f t="shared" si="210"/>
      </c>
      <c r="H65" s="38">
        <f t="shared" si="210"/>
      </c>
      <c r="I65" s="38">
        <f t="shared" si="210"/>
      </c>
      <c r="J65" s="38">
        <f t="shared" si="210"/>
      </c>
      <c r="K65" s="1105">
        <f t="shared" si="210"/>
      </c>
      <c r="L65" s="38">
        <f t="shared" si="210"/>
      </c>
      <c r="M65" s="38">
        <f t="shared" si="210"/>
      </c>
      <c r="N65" s="38">
        <f t="shared" si="210"/>
      </c>
      <c r="O65" s="38">
        <f t="shared" si="210"/>
      </c>
      <c r="P65" s="1105">
        <f t="shared" si="210"/>
      </c>
      <c r="Q65" s="38">
        <f t="shared" si="210"/>
      </c>
      <c r="R65" s="38">
        <f t="shared" si="210"/>
      </c>
      <c r="S65" s="38">
        <f t="shared" si="210"/>
      </c>
      <c r="T65" s="38">
        <f t="shared" si="210"/>
      </c>
      <c r="U65" s="1105">
        <f t="shared" si="210"/>
      </c>
      <c r="V65" s="38">
        <f t="shared" si="210"/>
      </c>
      <c r="W65" s="38">
        <f t="shared" si="210"/>
      </c>
      <c r="X65" s="38">
        <f t="shared" si="210"/>
      </c>
      <c r="Y65" s="38">
        <f t="shared" si="210"/>
      </c>
      <c r="Z65" s="1105">
        <f t="shared" si="210"/>
      </c>
      <c r="AA65" s="38">
        <f t="shared" si="210"/>
      </c>
      <c r="AB65" s="38">
        <f t="shared" si="210"/>
      </c>
      <c r="AC65" s="38">
        <f t="shared" si="210"/>
      </c>
      <c r="AD65" s="38">
        <f t="shared" si="210"/>
      </c>
      <c r="AE65" s="1105">
        <f t="shared" si="210"/>
      </c>
      <c r="AF65" s="38">
        <f t="shared" si="210"/>
      </c>
      <c r="AG65" s="38">
        <f t="shared" si="210"/>
      </c>
      <c r="AH65" s="38">
        <f t="shared" si="210"/>
      </c>
      <c r="AI65" s="38">
        <f t="shared" ref="AI65:BD65" si="211">INDEX(MO_MA_EBIT_Adj,0,COLUMN())</f>
      </c>
      <c r="AJ65" s="1105">
        <f t="shared" si="211"/>
      </c>
      <c r="AK65" s="38">
        <f t="shared" si="211"/>
      </c>
      <c r="AL65" s="38">
        <f t="shared" si="211"/>
      </c>
      <c r="AM65" s="38">
        <f t="shared" si="211"/>
      </c>
      <c r="AN65" s="38">
        <f t="shared" si="211"/>
      </c>
      <c r="AO65" s="1105">
        <f t="shared" si="211"/>
      </c>
      <c r="AP65" s="38">
        <f t="shared" si="211"/>
      </c>
      <c r="AQ65" s="38">
        <f t="shared" si="211"/>
      </c>
      <c r="AR65" s="38">
        <f t="shared" si="211"/>
      </c>
      <c r="AS65" s="38">
        <f t="shared" si="211"/>
      </c>
      <c r="AT65" s="1105">
        <f t="shared" si="211"/>
      </c>
      <c r="AU65" s="38">
        <f t="shared" si="211"/>
      </c>
      <c r="AV65" s="38">
        <f t="shared" si="211"/>
      </c>
      <c r="AW65" s="38">
        <f t="shared" si="211"/>
      </c>
      <c r="AX65" s="38">
        <f t="shared" si="211"/>
      </c>
      <c r="AY65" s="1105">
        <f t="shared" si="211"/>
      </c>
      <c r="AZ65" s="38">
        <f t="shared" si="211"/>
      </c>
      <c r="BA65" s="38">
        <f t="shared" si="211"/>
      </c>
      <c r="BB65" s="38">
        <f t="shared" si="211"/>
      </c>
      <c r="BC65" s="38">
        <f t="shared" si="211"/>
      </c>
      <c r="BD65" s="1105">
        <f t="shared" si="211"/>
      </c>
      <c r="BE65" s="38">
        <f t="shared" ref="BE65:BJ65" si="212">INDEX(MO_MA_EBIT_Adj,0,COLUMN())</f>
      </c>
      <c r="BF65" s="38">
        <f t="shared" si="212"/>
      </c>
      <c r="BG65" s="38">
        <f t="shared" si="212"/>
      </c>
      <c r="BH65" s="38">
        <f t="shared" si="212"/>
      </c>
      <c r="BI65" s="1105">
        <f t="shared" si="212"/>
      </c>
      <c r="BJ65" s="38">
        <f t="shared" si="212"/>
      </c>
      <c r="BK65" s="38">
        <f t="shared" ref="BK65:BP65" si="213">INDEX(MO_MA_EBIT_Adj,0,COLUMN())</f>
      </c>
      <c r="BL65" s="38">
        <f t="shared" si="213"/>
      </c>
      <c r="BM65" s="38">
        <f t="shared" si="213"/>
      </c>
      <c r="BN65" s="1105">
        <f t="shared" si="213"/>
      </c>
      <c r="BO65" s="38">
        <f t="shared" si="213"/>
      </c>
      <c r="BP65" s="38">
        <f t="shared" si="213"/>
      </c>
      <c r="BQ65" s="38">
        <f>INDEX(MO_MA_EBIT_Adj,0,COLUMN())</f>
      </c>
      <c r="BR65" s="38">
        <f>INDEX(MO_MA_EBIT_Adj,0,COLUMN())</f>
      </c>
      <c r="BS65" s="1105">
        <f>INDEX(MO_MA_EBIT_Adj,0,COLUMN())</f>
      </c>
      <c r="BT65" s="744">
        <f>INDEX(MO_MA_EBIT_Adj,0,COLUMN())</f>
      </c>
      <c r="BU65" s="38">
        <f t="shared" ref="BU65:BX65" si="214">INDEX(MO_MA_EBIT_Adj,0,COLUMN())</f>
      </c>
      <c r="BV65" s="38">
        <f t="shared" si="214"/>
      </c>
      <c r="BW65" s="38">
        <f t="shared" si="214"/>
      </c>
      <c r="BX65" s="1105">
        <f t="shared" si="214"/>
      </c>
      <c r="BY65" s="38">
        <f t="shared" ref="BY65:CF65" si="215">INDEX(MO_MA_EBIT_Adj,0,COLUMN())</f>
      </c>
      <c r="BZ65" s="38">
        <f t="shared" si="215"/>
      </c>
      <c r="CA65" s="38">
        <f t="shared" si="215"/>
      </c>
      <c r="CB65" s="38">
        <f t="shared" si="215"/>
      </c>
      <c r="CC65" s="1105">
        <f t="shared" si="215"/>
      </c>
      <c r="CD65" s="1105">
        <f t="shared" si="215"/>
      </c>
      <c r="CE65" s="1105">
        <f t="shared" si="215"/>
      </c>
      <c r="CF65" s="1105">
        <f t="shared" si="215"/>
      </c>
      <c r="CG65" s="185"/>
    </row>
    <row r="66" spans="1:85" customFormat="1" x14ac:dyDescent="0.3">
      <c r="A66" s="117" t="str">
        <f>INDEX(MO_MA_EBITDA,0,COLUMN())</f>
      </c>
      <c r="B66" s="55"/>
      <c r="C66" s="1105">
        <f t="shared" ref="C66:AH66" si="216">INDEX(MO_MA_EBITDA,0,COLUMN())</f>
      </c>
      <c r="D66" s="1105">
        <f t="shared" si="216"/>
      </c>
      <c r="E66" s="1105">
        <f t="shared" si="216"/>
      </c>
      <c r="F66" s="1105">
        <f t="shared" si="216"/>
      </c>
      <c r="G66" s="38">
        <f t="shared" si="216"/>
      </c>
      <c r="H66" s="38">
        <f t="shared" si="216"/>
      </c>
      <c r="I66" s="38">
        <f t="shared" si="216"/>
      </c>
      <c r="J66" s="38">
        <f t="shared" si="216"/>
      </c>
      <c r="K66" s="1105">
        <f t="shared" si="216"/>
      </c>
      <c r="L66" s="38">
        <f t="shared" si="216"/>
      </c>
      <c r="M66" s="38">
        <f t="shared" si="216"/>
      </c>
      <c r="N66" s="38">
        <f t="shared" si="216"/>
      </c>
      <c r="O66" s="38">
        <f t="shared" si="216"/>
      </c>
      <c r="P66" s="1105">
        <f t="shared" si="216"/>
      </c>
      <c r="Q66" s="38">
        <f t="shared" si="216"/>
      </c>
      <c r="R66" s="38">
        <f t="shared" si="216"/>
      </c>
      <c r="S66" s="38">
        <f t="shared" si="216"/>
      </c>
      <c r="T66" s="38">
        <f t="shared" si="216"/>
      </c>
      <c r="U66" s="1105">
        <f t="shared" si="216"/>
      </c>
      <c r="V66" s="38">
        <f t="shared" si="216"/>
      </c>
      <c r="W66" s="38">
        <f t="shared" si="216"/>
      </c>
      <c r="X66" s="38">
        <f t="shared" si="216"/>
      </c>
      <c r="Y66" s="38">
        <f t="shared" si="216"/>
      </c>
      <c r="Z66" s="1105">
        <f t="shared" si="216"/>
      </c>
      <c r="AA66" s="38">
        <f t="shared" si="216"/>
      </c>
      <c r="AB66" s="38">
        <f t="shared" si="216"/>
      </c>
      <c r="AC66" s="38">
        <f t="shared" si="216"/>
      </c>
      <c r="AD66" s="38">
        <f t="shared" si="216"/>
      </c>
      <c r="AE66" s="1105">
        <f t="shared" si="216"/>
      </c>
      <c r="AF66" s="38">
        <f t="shared" si="216"/>
      </c>
      <c r="AG66" s="38">
        <f t="shared" si="216"/>
      </c>
      <c r="AH66" s="38">
        <f t="shared" si="216"/>
      </c>
      <c r="AI66" s="38">
        <f t="shared" ref="AI66:BD66" si="217">INDEX(MO_MA_EBITDA,0,COLUMN())</f>
      </c>
      <c r="AJ66" s="1105">
        <f t="shared" si="217"/>
      </c>
      <c r="AK66" s="38">
        <f t="shared" si="217"/>
      </c>
      <c r="AL66" s="38">
        <f t="shared" si="217"/>
      </c>
      <c r="AM66" s="38">
        <f t="shared" si="217"/>
      </c>
      <c r="AN66" s="38">
        <f t="shared" si="217"/>
      </c>
      <c r="AO66" s="1105">
        <f t="shared" si="217"/>
      </c>
      <c r="AP66" s="38">
        <f t="shared" si="217"/>
      </c>
      <c r="AQ66" s="38">
        <f t="shared" si="217"/>
      </c>
      <c r="AR66" s="38">
        <f t="shared" si="217"/>
      </c>
      <c r="AS66" s="38">
        <f t="shared" si="217"/>
      </c>
      <c r="AT66" s="1105">
        <f t="shared" si="217"/>
      </c>
      <c r="AU66" s="38">
        <f t="shared" si="217"/>
      </c>
      <c r="AV66" s="38">
        <f t="shared" si="217"/>
      </c>
      <c r="AW66" s="38">
        <f t="shared" si="217"/>
      </c>
      <c r="AX66" s="38">
        <f t="shared" si="217"/>
      </c>
      <c r="AY66" s="1105">
        <f t="shared" si="217"/>
      </c>
      <c r="AZ66" s="38">
        <f t="shared" si="217"/>
      </c>
      <c r="BA66" s="38">
        <f t="shared" si="217"/>
      </c>
      <c r="BB66" s="38">
        <f t="shared" si="217"/>
      </c>
      <c r="BC66" s="38">
        <f t="shared" si="217"/>
      </c>
      <c r="BD66" s="1105">
        <f t="shared" si="217"/>
      </c>
      <c r="BE66" s="38">
        <f t="shared" ref="BE66:BJ66" si="218">INDEX(MO_MA_EBITDA,0,COLUMN())</f>
      </c>
      <c r="BF66" s="38">
        <f t="shared" si="218"/>
      </c>
      <c r="BG66" s="38">
        <f t="shared" si="218"/>
      </c>
      <c r="BH66" s="38">
        <f t="shared" si="218"/>
      </c>
      <c r="BI66" s="1105">
        <f t="shared" si="218"/>
      </c>
      <c r="BJ66" s="38">
        <f t="shared" si="218"/>
      </c>
      <c r="BK66" s="38">
        <f t="shared" ref="BK66:BP66" si="219">INDEX(MO_MA_EBITDA,0,COLUMN())</f>
      </c>
      <c r="BL66" s="38">
        <f t="shared" si="219"/>
      </c>
      <c r="BM66" s="38">
        <f t="shared" si="219"/>
      </c>
      <c r="BN66" s="1105">
        <f t="shared" si="219"/>
      </c>
      <c r="BO66" s="38">
        <f t="shared" si="219"/>
      </c>
      <c r="BP66" s="38">
        <f t="shared" si="219"/>
      </c>
      <c r="BQ66" s="38">
        <f>INDEX(MO_MA_EBITDA,0,COLUMN())</f>
      </c>
      <c r="BR66" s="38">
        <f>INDEX(MO_MA_EBITDA,0,COLUMN())</f>
      </c>
      <c r="BS66" s="1105">
        <f>INDEX(MO_MA_EBITDA,0,COLUMN())</f>
      </c>
      <c r="BT66" s="744">
        <f>INDEX(MO_MA_EBITDA,0,COLUMN())</f>
      </c>
      <c r="BU66" s="38">
        <f t="shared" ref="BU66:BX66" si="220">INDEX(MO_MA_EBITDA,0,COLUMN())</f>
      </c>
      <c r="BV66" s="38">
        <f t="shared" si="220"/>
      </c>
      <c r="BW66" s="38">
        <f t="shared" si="220"/>
      </c>
      <c r="BX66" s="1105">
        <f t="shared" si="220"/>
      </c>
      <c r="BY66" s="38">
        <f t="shared" ref="BY66:CF66" si="221">INDEX(MO_MA_EBITDA,0,COLUMN())</f>
      </c>
      <c r="BZ66" s="38">
        <f t="shared" si="221"/>
      </c>
      <c r="CA66" s="38">
        <f t="shared" si="221"/>
      </c>
      <c r="CB66" s="38">
        <f t="shared" si="221"/>
      </c>
      <c r="CC66" s="1105">
        <f t="shared" si="221"/>
      </c>
      <c r="CD66" s="1105">
        <f t="shared" si="221"/>
      </c>
      <c r="CE66" s="1105">
        <f t="shared" si="221"/>
      </c>
      <c r="CF66" s="1105">
        <f t="shared" si="221"/>
      </c>
      <c r="CG66" s="185"/>
    </row>
    <row r="67" spans="1:85" customFormat="1" x14ac:dyDescent="0.3">
      <c r="A67" s="117" t="str">
        <f>INDEX(MO_MA_EBITDA_Adj,0,COLUMN())</f>
      </c>
      <c r="B67" s="55"/>
      <c r="C67" s="1105">
        <f t="shared" ref="C67:AH67" si="222">INDEX(SP_Company1876_EBITDA,0,COLUMN())/INDEX(SP_GF_Rev,0,COLUMN())</f>
      </c>
      <c r="D67" s="1105">
        <f t="shared" si="222"/>
      </c>
      <c r="E67" s="1105">
        <f t="shared" si="222"/>
      </c>
      <c r="F67" s="1105">
        <f t="shared" si="222"/>
      </c>
      <c r="G67" s="38">
        <f t="shared" si="222"/>
      </c>
      <c r="H67" s="38">
        <f t="shared" si="222"/>
      </c>
      <c r="I67" s="38">
        <f t="shared" si="222"/>
      </c>
      <c r="J67" s="38">
        <f t="shared" si="222"/>
      </c>
      <c r="K67" s="1105">
        <f t="shared" si="222"/>
      </c>
      <c r="L67" s="38">
        <f t="shared" si="222"/>
      </c>
      <c r="M67" s="38">
        <f t="shared" si="222"/>
      </c>
      <c r="N67" s="38">
        <f t="shared" si="222"/>
      </c>
      <c r="O67" s="38">
        <f t="shared" si="222"/>
      </c>
      <c r="P67" s="1105">
        <f t="shared" si="222"/>
      </c>
      <c r="Q67" s="38">
        <f t="shared" si="222"/>
      </c>
      <c r="R67" s="38">
        <f t="shared" si="222"/>
      </c>
      <c r="S67" s="38">
        <f t="shared" si="222"/>
      </c>
      <c r="T67" s="38">
        <f t="shared" si="222"/>
      </c>
      <c r="U67" s="1105">
        <f t="shared" si="222"/>
      </c>
      <c r="V67" s="38">
        <f t="shared" si="222"/>
      </c>
      <c r="W67" s="38">
        <f t="shared" si="222"/>
      </c>
      <c r="X67" s="38">
        <f t="shared" si="222"/>
      </c>
      <c r="Y67" s="38">
        <f t="shared" si="222"/>
      </c>
      <c r="Z67" s="1105">
        <f t="shared" si="222"/>
      </c>
      <c r="AA67" s="38">
        <f t="shared" si="222"/>
      </c>
      <c r="AB67" s="38">
        <f t="shared" si="222"/>
      </c>
      <c r="AC67" s="38">
        <f t="shared" si="222"/>
      </c>
      <c r="AD67" s="38">
        <f t="shared" si="222"/>
      </c>
      <c r="AE67" s="1105">
        <f t="shared" si="222"/>
      </c>
      <c r="AF67" s="38">
        <f t="shared" si="222"/>
      </c>
      <c r="AG67" s="38">
        <f t="shared" si="222"/>
      </c>
      <c r="AH67" s="38">
        <f t="shared" si="222"/>
      </c>
      <c r="AI67" s="38">
        <f t="shared" ref="AI67:BD67" si="223">INDEX(SP_Company1876_EBITDA,0,COLUMN())/INDEX(SP_GF_Rev,0,COLUMN())</f>
      </c>
      <c r="AJ67" s="1105">
        <f t="shared" si="223"/>
      </c>
      <c r="AK67" s="38">
        <f t="shared" si="223"/>
      </c>
      <c r="AL67" s="38">
        <f t="shared" si="223"/>
      </c>
      <c r="AM67" s="38">
        <f t="shared" si="223"/>
      </c>
      <c r="AN67" s="38">
        <f t="shared" si="223"/>
      </c>
      <c r="AO67" s="1105">
        <f t="shared" si="223"/>
      </c>
      <c r="AP67" s="38">
        <f t="shared" si="223"/>
      </c>
      <c r="AQ67" s="38">
        <f t="shared" si="223"/>
      </c>
      <c r="AR67" s="38">
        <f t="shared" si="223"/>
      </c>
      <c r="AS67" s="38">
        <f t="shared" si="223"/>
      </c>
      <c r="AT67" s="1105">
        <f t="shared" si="223"/>
      </c>
      <c r="AU67" s="38">
        <f t="shared" si="223"/>
      </c>
      <c r="AV67" s="38">
        <f t="shared" si="223"/>
      </c>
      <c r="AW67" s="38">
        <f t="shared" si="223"/>
      </c>
      <c r="AX67" s="38">
        <f t="shared" si="223"/>
      </c>
      <c r="AY67" s="1105">
        <f t="shared" si="223"/>
      </c>
      <c r="AZ67" s="38">
        <f t="shared" si="223"/>
      </c>
      <c r="BA67" s="38">
        <f t="shared" si="223"/>
      </c>
      <c r="BB67" s="38">
        <f t="shared" si="223"/>
      </c>
      <c r="BC67" s="38">
        <f t="shared" si="223"/>
      </c>
      <c r="BD67" s="1105">
        <f t="shared" si="223"/>
      </c>
      <c r="BE67" s="38">
        <f t="shared" ref="BE67:BJ67" si="224">INDEX(SP_Company1876_EBITDA,0,COLUMN())/INDEX(SP_GF_Rev,0,COLUMN())</f>
      </c>
      <c r="BF67" s="38">
        <f t="shared" si="224"/>
      </c>
      <c r="BG67" s="38">
        <f t="shared" si="224"/>
      </c>
      <c r="BH67" s="38">
        <f t="shared" si="224"/>
      </c>
      <c r="BI67" s="1105">
        <f t="shared" si="224"/>
      </c>
      <c r="BJ67" s="38">
        <f t="shared" si="224"/>
      </c>
      <c r="BK67" s="38">
        <f t="shared" ref="BK67:BP67" si="225">INDEX(SP_Company1876_EBITDA,0,COLUMN())/INDEX(SP_GF_Rev,0,COLUMN())</f>
      </c>
      <c r="BL67" s="38">
        <f t="shared" si="225"/>
      </c>
      <c r="BM67" s="38">
        <f t="shared" si="225"/>
      </c>
      <c r="BN67" s="1105">
        <f t="shared" si="225"/>
      </c>
      <c r="BO67" s="38">
        <f t="shared" si="225"/>
      </c>
      <c r="BP67" s="38">
        <f t="shared" si="225"/>
      </c>
      <c r="BQ67" s="38">
        <f>INDEX(SP_Company1876_EBITDA,0,COLUMN())/INDEX(SP_GF_Rev,0,COLUMN())</f>
      </c>
      <c r="BR67" s="38">
        <f>INDEX(SP_Company1876_EBITDA,0,COLUMN())/INDEX(SP_GF_Rev,0,COLUMN())</f>
      </c>
      <c r="BS67" s="1105">
        <f>INDEX(SP_Company1876_EBITDA,0,COLUMN())/INDEX(SP_GF_Rev,0,COLUMN())</f>
      </c>
      <c r="BT67" s="744">
        <f>INDEX(SP_Company1876_EBITDA,0,COLUMN())/INDEX(SP_GF_Rev,0,COLUMN())</f>
      </c>
      <c r="BU67" s="38">
        <f t="shared" ref="BU67:BX67" si="226">INDEX(SP_Company1876_EBITDA,0,COLUMN())/INDEX(SP_GF_Rev,0,COLUMN())</f>
      </c>
      <c r="BV67" s="38">
        <f t="shared" si="226"/>
      </c>
      <c r="BW67" s="38">
        <f t="shared" si="226"/>
      </c>
      <c r="BX67" s="1105">
        <f t="shared" si="226"/>
      </c>
      <c r="BY67" s="38">
        <f t="shared" ref="BY67:CF67" si="227">INDEX(SP_Company1876_EBITDA,0,COLUMN())/INDEX(SP_GF_Rev,0,COLUMN())</f>
      </c>
      <c r="BZ67" s="38">
        <f t="shared" si="227"/>
      </c>
      <c r="CA67" s="38">
        <f t="shared" si="227"/>
      </c>
      <c r="CB67" s="38">
        <f t="shared" si="227"/>
      </c>
      <c r="CC67" s="1105">
        <f t="shared" si="227"/>
      </c>
      <c r="CD67" s="1105">
        <f t="shared" si="227"/>
      </c>
      <c r="CE67" s="1105">
        <f t="shared" si="227"/>
      </c>
      <c r="CF67" s="1105">
        <f t="shared" si="227"/>
      </c>
      <c r="CG67" s="185"/>
    </row>
    <row r="68" spans="1:85" customFormat="1" x14ac:dyDescent="0.3">
      <c r="A68" s="113"/>
      <c r="B68" s="111"/>
      <c r="C68" s="1097"/>
      <c r="D68" s="1097"/>
      <c r="E68" s="1097"/>
      <c r="F68" s="1097"/>
      <c r="G68" s="772"/>
      <c r="H68" s="772"/>
      <c r="I68" s="772"/>
      <c r="J68" s="772"/>
      <c r="K68" s="1097"/>
      <c r="L68" s="772"/>
      <c r="M68" s="772"/>
      <c r="N68" s="772"/>
      <c r="O68" s="772"/>
      <c r="P68" s="1097"/>
      <c r="Q68" s="772"/>
      <c r="R68" s="772"/>
      <c r="S68" s="772"/>
      <c r="T68" s="772"/>
      <c r="U68" s="1097"/>
      <c r="V68" s="772"/>
      <c r="W68" s="772"/>
      <c r="X68" s="772"/>
      <c r="Y68" s="772"/>
      <c r="Z68" s="1097"/>
      <c r="AA68" s="772"/>
      <c r="AB68" s="772"/>
      <c r="AC68" s="772"/>
      <c r="AD68" s="772"/>
      <c r="AE68" s="1097"/>
      <c r="AF68" s="772"/>
      <c r="AG68" s="772"/>
      <c r="AH68" s="772"/>
      <c r="AI68" s="772"/>
      <c r="AJ68" s="1097"/>
      <c r="AK68" s="772"/>
      <c r="AL68" s="772"/>
      <c r="AM68" s="772"/>
      <c r="AN68" s="772"/>
      <c r="AO68" s="1097"/>
      <c r="AP68" s="772"/>
      <c r="AQ68" s="772"/>
      <c r="AR68" s="772"/>
      <c r="AS68" s="772"/>
      <c r="AT68" s="1097"/>
      <c r="AU68" s="772"/>
      <c r="AV68" s="772"/>
      <c r="AW68" s="772"/>
      <c r="AX68" s="772"/>
      <c r="AY68" s="1097"/>
      <c r="AZ68" s="772"/>
      <c r="BA68" s="772"/>
      <c r="BB68" s="772"/>
      <c r="BC68" s="772"/>
      <c r="BD68" s="1097"/>
      <c r="BE68" s="772"/>
      <c r="BF68" s="772"/>
      <c r="BG68" s="772"/>
      <c r="BH68" s="772"/>
      <c r="BI68" s="1097"/>
      <c r="BJ68" s="772"/>
      <c r="BK68" s="772"/>
      <c r="BL68" s="772"/>
      <c r="BM68" s="772"/>
      <c r="BN68" s="1097"/>
      <c r="BO68" s="772"/>
      <c r="BP68" s="772"/>
      <c r="BQ68" s="772"/>
      <c r="BR68" s="772"/>
      <c r="BS68" s="1097"/>
      <c r="BT68" s="838"/>
      <c r="BU68" s="772"/>
      <c r="BV68" s="772"/>
      <c r="BW68" s="772"/>
      <c r="BX68" s="1097"/>
      <c r="BY68" s="772"/>
      <c r="BZ68" s="772"/>
      <c r="CA68" s="772"/>
      <c r="CB68" s="772"/>
      <c r="CC68" s="1097"/>
      <c r="CD68" s="1097"/>
      <c r="CE68" s="1097"/>
      <c r="CF68" s="1097"/>
      <c r="CG68" s="96"/>
    </row>
    <row r="69" spans="1:85" customFormat="1" x14ac:dyDescent="0.3">
      <c r="A69" s="776" t="s">
        <v>319</v>
      </c>
      <c r="B69" s="773"/>
      <c r="C69" s="773"/>
      <c r="D69" s="773"/>
      <c r="E69" s="773"/>
      <c r="F69" s="773"/>
      <c r="G69" s="773"/>
      <c r="H69" s="773"/>
      <c r="I69" s="773"/>
      <c r="J69" s="773"/>
      <c r="K69" s="773"/>
      <c r="L69" s="773"/>
      <c r="M69" s="773"/>
      <c r="N69" s="773"/>
      <c r="O69" s="773"/>
      <c r="P69" s="773"/>
      <c r="Q69" s="773"/>
      <c r="R69" s="773"/>
      <c r="S69" s="773"/>
      <c r="T69" s="773"/>
      <c r="U69" s="773"/>
      <c r="V69" s="773"/>
      <c r="W69" s="773"/>
      <c r="X69" s="773"/>
      <c r="Y69" s="773"/>
      <c r="Z69" s="773"/>
      <c r="AA69" s="773"/>
      <c r="AB69" s="773"/>
      <c r="AC69" s="773"/>
      <c r="AD69" s="773"/>
      <c r="AE69" s="773"/>
      <c r="AF69" s="773"/>
      <c r="AG69" s="773"/>
      <c r="AH69" s="773"/>
      <c r="AI69" s="773"/>
      <c r="AJ69" s="773"/>
      <c r="AK69" s="773"/>
      <c r="AL69" s="773"/>
      <c r="AM69" s="773"/>
      <c r="AN69" s="773"/>
      <c r="AO69" s="773"/>
      <c r="AP69" s="773"/>
      <c r="AQ69" s="773"/>
      <c r="AR69" s="773"/>
      <c r="AS69" s="773"/>
      <c r="AT69" s="773"/>
      <c r="AU69" s="773"/>
      <c r="AV69" s="773"/>
      <c r="AW69" s="773"/>
      <c r="AX69" s="773"/>
      <c r="AY69" s="773"/>
      <c r="AZ69" s="773"/>
      <c r="BA69" s="773"/>
      <c r="BB69" s="773"/>
      <c r="BC69" s="773"/>
      <c r="BD69" s="773"/>
      <c r="BE69" s="773"/>
      <c r="BF69" s="773"/>
      <c r="BG69" s="773"/>
      <c r="BH69" s="773"/>
      <c r="BI69" s="773"/>
      <c r="BJ69" s="773"/>
      <c r="BK69" s="773"/>
      <c r="BL69" s="773"/>
      <c r="BM69" s="773"/>
      <c r="BN69" s="773"/>
      <c r="BO69" s="773"/>
      <c r="BP69" s="773"/>
      <c r="BQ69" s="773"/>
      <c r="BR69" s="773"/>
      <c r="BS69" s="773"/>
      <c r="BT69" s="839"/>
      <c r="BU69" s="773"/>
      <c r="BV69" s="773"/>
      <c r="BW69" s="773"/>
      <c r="BX69" s="773"/>
      <c r="BY69" s="773"/>
      <c r="BZ69" s="773"/>
      <c r="CA69" s="773"/>
      <c r="CB69" s="773"/>
      <c r="CC69" s="773"/>
      <c r="CD69" s="773"/>
      <c r="CE69" s="773"/>
      <c r="CF69" s="773"/>
      <c r="CG69" s="96"/>
    </row>
    <row r="70" spans="1:85" customFormat="1" hidden="1" outlineLevel="1" x14ac:dyDescent="0.3">
      <c r="A70" s="106" t="str">
        <f>INDEX(MO_CFSum_CFO_BeforeWC,0,COLUMN())</f>
      </c>
      <c r="B70" s="111"/>
      <c r="C70" s="1097">
        <f t="shared" ref="C70:AH70" si="228">INDEX(MO_CFSum_CFO_BeforeWC,0,COLUMN())</f>
      </c>
      <c r="D70" s="1097">
        <f t="shared" si="228"/>
      </c>
      <c r="E70" s="1097">
        <f t="shared" si="228"/>
      </c>
      <c r="F70" s="1097">
        <f t="shared" si="228"/>
      </c>
      <c r="G70" s="772">
        <f t="shared" si="228"/>
      </c>
      <c r="H70" s="772">
        <f t="shared" si="228"/>
      </c>
      <c r="I70" s="772">
        <f t="shared" si="228"/>
      </c>
      <c r="J70" s="772">
        <f t="shared" si="228"/>
      </c>
      <c r="K70" s="1097">
        <f t="shared" si="228"/>
      </c>
      <c r="L70" s="772">
        <f t="shared" si="228"/>
      </c>
      <c r="M70" s="772">
        <f t="shared" si="228"/>
      </c>
      <c r="N70" s="772">
        <f t="shared" si="228"/>
      </c>
      <c r="O70" s="772">
        <f t="shared" si="228"/>
      </c>
      <c r="P70" s="1097">
        <f t="shared" si="228"/>
      </c>
      <c r="Q70" s="772">
        <f t="shared" si="228"/>
      </c>
      <c r="R70" s="772">
        <f t="shared" si="228"/>
      </c>
      <c r="S70" s="772">
        <f t="shared" si="228"/>
      </c>
      <c r="T70" s="772">
        <f t="shared" si="228"/>
      </c>
      <c r="U70" s="1097">
        <f t="shared" si="228"/>
      </c>
      <c r="V70" s="772">
        <f t="shared" si="228"/>
      </c>
      <c r="W70" s="772">
        <f t="shared" si="228"/>
      </c>
      <c r="X70" s="772">
        <f t="shared" si="228"/>
      </c>
      <c r="Y70" s="772">
        <f t="shared" si="228"/>
      </c>
      <c r="Z70" s="1097">
        <f t="shared" si="228"/>
      </c>
      <c r="AA70" s="772">
        <f t="shared" si="228"/>
      </c>
      <c r="AB70" s="772">
        <f t="shared" si="228"/>
      </c>
      <c r="AC70" s="772">
        <f t="shared" si="228"/>
      </c>
      <c r="AD70" s="772">
        <f t="shared" si="228"/>
      </c>
      <c r="AE70" s="1097">
        <f t="shared" si="228"/>
      </c>
      <c r="AF70" s="772">
        <f t="shared" si="228"/>
      </c>
      <c r="AG70" s="772">
        <f t="shared" si="228"/>
      </c>
      <c r="AH70" s="772">
        <f t="shared" si="228"/>
      </c>
      <c r="AI70" s="772">
        <f t="shared" ref="AI70:BD70" si="229">INDEX(MO_CFSum_CFO_BeforeWC,0,COLUMN())</f>
      </c>
      <c r="AJ70" s="1097">
        <f t="shared" si="229"/>
      </c>
      <c r="AK70" s="772">
        <f t="shared" si="229"/>
      </c>
      <c r="AL70" s="772">
        <f t="shared" si="229"/>
      </c>
      <c r="AM70" s="772">
        <f t="shared" si="229"/>
      </c>
      <c r="AN70" s="772">
        <f t="shared" si="229"/>
      </c>
      <c r="AO70" s="1097">
        <f t="shared" si="229"/>
      </c>
      <c r="AP70" s="772">
        <f t="shared" si="229"/>
      </c>
      <c r="AQ70" s="772">
        <f t="shared" si="229"/>
      </c>
      <c r="AR70" s="772">
        <f t="shared" si="229"/>
      </c>
      <c r="AS70" s="772">
        <f t="shared" si="229"/>
      </c>
      <c r="AT70" s="1097">
        <f t="shared" si="229"/>
      </c>
      <c r="AU70" s="772">
        <f t="shared" si="229"/>
      </c>
      <c r="AV70" s="772">
        <f t="shared" si="229"/>
      </c>
      <c r="AW70" s="772">
        <f t="shared" si="229"/>
      </c>
      <c r="AX70" s="772">
        <f t="shared" si="229"/>
      </c>
      <c r="AY70" s="1097">
        <f t="shared" si="229"/>
      </c>
      <c r="AZ70" s="772">
        <f t="shared" si="229"/>
      </c>
      <c r="BA70" s="772">
        <f t="shared" si="229"/>
      </c>
      <c r="BB70" s="772">
        <f t="shared" si="229"/>
      </c>
      <c r="BC70" s="772">
        <f t="shared" si="229"/>
      </c>
      <c r="BD70" s="1097">
        <f t="shared" si="229"/>
      </c>
      <c r="BE70" s="772">
        <f t="shared" ref="BE70:BJ70" si="230">INDEX(MO_CFSum_CFO_BeforeWC,0,COLUMN())</f>
      </c>
      <c r="BF70" s="772">
        <f t="shared" si="230"/>
      </c>
      <c r="BG70" s="772">
        <f t="shared" si="230"/>
      </c>
      <c r="BH70" s="772">
        <f t="shared" si="230"/>
      </c>
      <c r="BI70" s="1097">
        <f t="shared" si="230"/>
      </c>
      <c r="BJ70" s="772">
        <f t="shared" si="230"/>
      </c>
      <c r="BK70" s="772">
        <f t="shared" ref="BK70:BP70" si="231">INDEX(MO_CFSum_CFO_BeforeWC,0,COLUMN())</f>
      </c>
      <c r="BL70" s="772">
        <f t="shared" si="231"/>
      </c>
      <c r="BM70" s="772">
        <f t="shared" si="231"/>
      </c>
      <c r="BN70" s="1097">
        <f t="shared" si="231"/>
      </c>
      <c r="BO70" s="772">
        <f t="shared" si="231"/>
      </c>
      <c r="BP70" s="772">
        <f t="shared" si="231"/>
      </c>
      <c r="BQ70" s="772">
        <f>INDEX(MO_CFSum_CFO_BeforeWC,0,COLUMN())</f>
      </c>
      <c r="BR70" s="772">
        <f>INDEX(MO_CFSum_CFO_BeforeWC,0,COLUMN())</f>
      </c>
      <c r="BS70" s="1097">
        <f>INDEX(MO_CFSum_CFO_BeforeWC,0,COLUMN())</f>
      </c>
      <c r="BT70" s="838">
        <f>INDEX(MO_CFSum_CFO_BeforeWC,0,COLUMN())</f>
      </c>
      <c r="BU70" s="772">
        <f t="shared" ref="BU70:BX70" si="232">INDEX(MO_CFSum_CFO_BeforeWC,0,COLUMN())</f>
      </c>
      <c r="BV70" s="772">
        <f t="shared" si="232"/>
      </c>
      <c r="BW70" s="772">
        <f t="shared" si="232"/>
      </c>
      <c r="BX70" s="1097">
        <f t="shared" si="232"/>
      </c>
      <c r="BY70" s="772">
        <f t="shared" ref="BY70:CF70" si="233">INDEX(MO_CFSum_CFO_BeforeWC,0,COLUMN())</f>
      </c>
      <c r="BZ70" s="772">
        <f t="shared" si="233"/>
      </c>
      <c r="CA70" s="772">
        <f t="shared" si="233"/>
      </c>
      <c r="CB70" s="772">
        <f t="shared" si="233"/>
      </c>
      <c r="CC70" s="1097">
        <f t="shared" si="233"/>
      </c>
      <c r="CD70" s="1097">
        <f t="shared" si="233"/>
      </c>
      <c r="CE70" s="1097">
        <f t="shared" si="233"/>
      </c>
      <c r="CF70" s="1097">
        <f t="shared" si="233"/>
      </c>
      <c r="CG70" s="772"/>
    </row>
    <row r="71" spans="1:85" customFormat="1" hidden="1" outlineLevel="1" x14ac:dyDescent="0.3">
      <c r="A71" s="174" t="s">
        <v>322</v>
      </c>
      <c r="B71" s="175"/>
      <c r="C71" s="1100">
        <f t="shared" ref="C71:AH71" ca="1" si="234">SUM(OFFSET(INDEX(MO_CFS_CFO_BeforeWC,0,COLUMN()),1,0,ROW(INDEX(MO_CFS_CFO,0,COLUMN()))-ROW(INDEX(MO_CFS_CFO_BeforeWC,0,COLUMN()))-1,1))</f>
      </c>
      <c r="D71" s="1100">
        <f t="shared" ca="1" si="234"/>
      </c>
      <c r="E71" s="1100">
        <f t="shared" ca="1" si="234"/>
      </c>
      <c r="F71" s="1100">
        <f t="shared" ca="1" si="234"/>
      </c>
      <c r="G71" s="840">
        <f t="shared" ca="1" si="234"/>
      </c>
      <c r="H71" s="840">
        <f t="shared" ca="1" si="234"/>
      </c>
      <c r="I71" s="840">
        <f t="shared" ca="1" si="234"/>
      </c>
      <c r="J71" s="840">
        <f t="shared" ca="1" si="234"/>
      </c>
      <c r="K71" s="1100">
        <f t="shared" ca="1" si="234"/>
      </c>
      <c r="L71" s="840">
        <f t="shared" ca="1" si="234"/>
      </c>
      <c r="M71" s="840">
        <f t="shared" ca="1" si="234"/>
      </c>
      <c r="N71" s="840">
        <f t="shared" ca="1" si="234"/>
      </c>
      <c r="O71" s="840">
        <f t="shared" ca="1" si="234"/>
      </c>
      <c r="P71" s="1100">
        <f t="shared" ca="1" si="234"/>
      </c>
      <c r="Q71" s="840">
        <f t="shared" ca="1" si="234"/>
      </c>
      <c r="R71" s="840">
        <f t="shared" ca="1" si="234"/>
      </c>
      <c r="S71" s="840">
        <f t="shared" ca="1" si="234"/>
      </c>
      <c r="T71" s="840">
        <f t="shared" ca="1" si="234"/>
      </c>
      <c r="U71" s="1100">
        <f t="shared" ca="1" si="234"/>
      </c>
      <c r="V71" s="840">
        <f t="shared" ca="1" si="234"/>
      </c>
      <c r="W71" s="840">
        <f t="shared" ca="1" si="234"/>
      </c>
      <c r="X71" s="840">
        <f t="shared" ca="1" si="234"/>
      </c>
      <c r="Y71" s="840">
        <f t="shared" ca="1" si="234"/>
      </c>
      <c r="Z71" s="1100">
        <f t="shared" ca="1" si="234"/>
      </c>
      <c r="AA71" s="840">
        <f t="shared" ca="1" si="234"/>
      </c>
      <c r="AB71" s="840">
        <f t="shared" ca="1" si="234"/>
      </c>
      <c r="AC71" s="840">
        <f t="shared" ca="1" si="234"/>
      </c>
      <c r="AD71" s="840">
        <f t="shared" ca="1" si="234"/>
      </c>
      <c r="AE71" s="1100">
        <f t="shared" ca="1" si="234"/>
      </c>
      <c r="AF71" s="840">
        <f t="shared" ca="1" si="234"/>
      </c>
      <c r="AG71" s="840">
        <f t="shared" ca="1" si="234"/>
      </c>
      <c r="AH71" s="840">
        <f t="shared" ca="1" si="234"/>
      </c>
      <c r="AI71" s="840">
        <f t="shared" ref="AI71:BD71" ca="1" si="235">SUM(OFFSET(INDEX(MO_CFS_CFO_BeforeWC,0,COLUMN()),1,0,ROW(INDEX(MO_CFS_CFO,0,COLUMN()))-ROW(INDEX(MO_CFS_CFO_BeforeWC,0,COLUMN()))-1,1))</f>
      </c>
      <c r="AJ71" s="1100">
        <f t="shared" ca="1" si="235"/>
      </c>
      <c r="AK71" s="840">
        <f t="shared" ca="1" si="235"/>
      </c>
      <c r="AL71" s="840">
        <f t="shared" ca="1" si="235"/>
      </c>
      <c r="AM71" s="840">
        <f t="shared" ca="1" si="235"/>
      </c>
      <c r="AN71" s="840">
        <f t="shared" ca="1" si="235"/>
      </c>
      <c r="AO71" s="1100">
        <f t="shared" ca="1" si="235"/>
      </c>
      <c r="AP71" s="840">
        <f t="shared" ca="1" si="235"/>
      </c>
      <c r="AQ71" s="840">
        <f t="shared" ca="1" si="235"/>
      </c>
      <c r="AR71" s="840">
        <f t="shared" ca="1" si="235"/>
      </c>
      <c r="AS71" s="840">
        <f t="shared" ca="1" si="235"/>
      </c>
      <c r="AT71" s="1100">
        <f t="shared" ca="1" si="235"/>
      </c>
      <c r="AU71" s="840">
        <f t="shared" ca="1" si="235"/>
      </c>
      <c r="AV71" s="840">
        <f t="shared" ca="1" si="235"/>
      </c>
      <c r="AW71" s="840">
        <f t="shared" ca="1" si="235"/>
      </c>
      <c r="AX71" s="840">
        <f t="shared" ca="1" si="235"/>
      </c>
      <c r="AY71" s="1100">
        <f t="shared" ca="1" si="235"/>
      </c>
      <c r="AZ71" s="840">
        <f t="shared" ca="1" si="235"/>
      </c>
      <c r="BA71" s="840">
        <f t="shared" ca="1" si="235"/>
      </c>
      <c r="BB71" s="840">
        <f t="shared" ca="1" si="235"/>
      </c>
      <c r="BC71" s="840">
        <f t="shared" ca="1" si="235"/>
      </c>
      <c r="BD71" s="1100">
        <f t="shared" ca="1" si="235"/>
      </c>
      <c r="BE71" s="840">
        <f t="shared" ref="BE71:BJ71" ca="1" si="236">SUM(OFFSET(INDEX(MO_CFS_CFO_BeforeWC,0,COLUMN()),1,0,ROW(INDEX(MO_CFS_CFO,0,COLUMN()))-ROW(INDEX(MO_CFS_CFO_BeforeWC,0,COLUMN()))-1,1))</f>
      </c>
      <c r="BF71" s="840">
        <f t="shared" ca="1" si="236"/>
      </c>
      <c r="BG71" s="840">
        <f t="shared" ca="1" si="236"/>
      </c>
      <c r="BH71" s="840">
        <f t="shared" ca="1" si="236"/>
      </c>
      <c r="BI71" s="1100">
        <f t="shared" ca="1" si="236"/>
      </c>
      <c r="BJ71" s="840">
        <f t="shared" ca="1" si="236"/>
      </c>
      <c r="BK71" s="840">
        <f t="shared" ref="BK71:BP71" ca="1" si="237">SUM(OFFSET(INDEX(MO_CFS_CFO_BeforeWC,0,COLUMN()),1,0,ROW(INDEX(MO_CFS_CFO,0,COLUMN()))-ROW(INDEX(MO_CFS_CFO_BeforeWC,0,COLUMN()))-1,1))</f>
      </c>
      <c r="BL71" s="840">
        <f t="shared" ca="1" si="237"/>
      </c>
      <c r="BM71" s="840">
        <f t="shared" ca="1" si="237"/>
      </c>
      <c r="BN71" s="1100">
        <f t="shared" ca="1" si="237"/>
      </c>
      <c r="BO71" s="840">
        <f t="shared" ca="1" si="237"/>
      </c>
      <c r="BP71" s="840">
        <f t="shared" ca="1" si="237"/>
      </c>
      <c r="BQ71" s="840">
        <f ca="1">SUM(OFFSET(INDEX(MO_CFS_CFO_BeforeWC,0,COLUMN()),1,0,ROW(INDEX(MO_CFS_CFO,0,COLUMN()))-ROW(INDEX(MO_CFS_CFO_BeforeWC,0,COLUMN()))-1,1))</f>
      </c>
      <c r="BR71" s="840">
        <f ca="1">SUM(OFFSET(INDEX(MO_CFS_CFO_BeforeWC,0,COLUMN()),1,0,ROW(INDEX(MO_CFS_CFO,0,COLUMN()))-ROW(INDEX(MO_CFS_CFO_BeforeWC,0,COLUMN()))-1,1))</f>
      </c>
      <c r="BS71" s="1100">
        <f ca="1">SUM(OFFSET(INDEX(MO_CFS_CFO_BeforeWC,0,COLUMN()),1,0,ROW(INDEX(MO_CFS_CFO,0,COLUMN()))-ROW(INDEX(MO_CFS_CFO_BeforeWC,0,COLUMN()))-1,1))</f>
      </c>
      <c r="BT71" s="841">
        <f ca="1">SUM(OFFSET(INDEX(MO_CFS_CFO_BeforeWC,0,COLUMN()),1,0,ROW(INDEX(MO_CFS_CFO,0,COLUMN()))-ROW(INDEX(MO_CFS_CFO_BeforeWC,0,COLUMN()))-1,1))</f>
      </c>
      <c r="BU71" s="840">
        <f t="shared" ref="BU71:BX71" ca="1" si="238">SUM(OFFSET(INDEX(MO_CFS_CFO_BeforeWC,0,COLUMN()),1,0,ROW(INDEX(MO_CFS_CFO,0,COLUMN()))-ROW(INDEX(MO_CFS_CFO_BeforeWC,0,COLUMN()))-1,1))</f>
      </c>
      <c r="BV71" s="840">
        <f t="shared" ca="1" si="238"/>
      </c>
      <c r="BW71" s="840">
        <f t="shared" ca="1" si="238"/>
      </c>
      <c r="BX71" s="1100">
        <f t="shared" ca="1" si="238"/>
      </c>
      <c r="BY71" s="840">
        <f t="shared" ref="BY71:CF71" ca="1" si="239">SUM(OFFSET(INDEX(MO_CFS_CFO_BeforeWC,0,COLUMN()),1,0,ROW(INDEX(MO_CFS_CFO,0,COLUMN()))-ROW(INDEX(MO_CFS_CFO_BeforeWC,0,COLUMN()))-1,1))</f>
      </c>
      <c r="BZ71" s="840">
        <f t="shared" ca="1" si="239"/>
      </c>
      <c r="CA71" s="840">
        <f t="shared" ca="1" si="239"/>
      </c>
      <c r="CB71" s="840">
        <f t="shared" ca="1" si="239"/>
      </c>
      <c r="CC71" s="1100">
        <f t="shared" ca="1" si="239"/>
      </c>
      <c r="CD71" s="1100">
        <f t="shared" ca="1" si="239"/>
      </c>
      <c r="CE71" s="1100">
        <f t="shared" ca="1" si="239"/>
      </c>
      <c r="CF71" s="1100">
        <f t="shared" ca="1" si="239"/>
      </c>
      <c r="CG71" s="774"/>
    </row>
    <row r="72" spans="1:85" customFormat="1" collapsed="1" x14ac:dyDescent="0.3">
      <c r="A72" s="106" t="s">
        <v>910</v>
      </c>
      <c r="B72" s="111"/>
      <c r="C72" s="1097">
        <f t="shared" ref="C72:AH72" ca="1" si="240">SUM(C70:C71)</f>
      </c>
      <c r="D72" s="1097">
        <f t="shared" ca="1" si="240"/>
      </c>
      <c r="E72" s="1097">
        <f t="shared" ca="1" si="240"/>
      </c>
      <c r="F72" s="1097">
        <f t="shared" ca="1" si="240"/>
      </c>
      <c r="G72" s="772">
        <f t="shared" ca="1" si="240"/>
      </c>
      <c r="H72" s="772">
        <f t="shared" ca="1" si="240"/>
      </c>
      <c r="I72" s="772">
        <f t="shared" ca="1" si="240"/>
      </c>
      <c r="J72" s="772">
        <f t="shared" ca="1" si="240"/>
      </c>
      <c r="K72" s="1097">
        <f t="shared" ca="1" si="240"/>
      </c>
      <c r="L72" s="772">
        <f t="shared" ca="1" si="240"/>
      </c>
      <c r="M72" s="772">
        <f t="shared" ca="1" si="240"/>
      </c>
      <c r="N72" s="772">
        <f t="shared" ca="1" si="240"/>
      </c>
      <c r="O72" s="772">
        <f t="shared" ca="1" si="240"/>
      </c>
      <c r="P72" s="1097">
        <f t="shared" ca="1" si="240"/>
      </c>
      <c r="Q72" s="772">
        <f t="shared" ca="1" si="240"/>
      </c>
      <c r="R72" s="772">
        <f t="shared" ca="1" si="240"/>
      </c>
      <c r="S72" s="772">
        <f t="shared" ca="1" si="240"/>
      </c>
      <c r="T72" s="772">
        <f t="shared" ca="1" si="240"/>
      </c>
      <c r="U72" s="1097">
        <f t="shared" ca="1" si="240"/>
      </c>
      <c r="V72" s="772">
        <f t="shared" ca="1" si="240"/>
      </c>
      <c r="W72" s="772">
        <f t="shared" ca="1" si="240"/>
      </c>
      <c r="X72" s="772">
        <f t="shared" ca="1" si="240"/>
      </c>
      <c r="Y72" s="772">
        <f t="shared" ca="1" si="240"/>
      </c>
      <c r="Z72" s="1097">
        <f t="shared" ca="1" si="240"/>
      </c>
      <c r="AA72" s="772">
        <f t="shared" ca="1" si="240"/>
      </c>
      <c r="AB72" s="772">
        <f t="shared" ca="1" si="240"/>
      </c>
      <c r="AC72" s="772">
        <f t="shared" ca="1" si="240"/>
      </c>
      <c r="AD72" s="772">
        <f t="shared" ca="1" si="240"/>
      </c>
      <c r="AE72" s="1097">
        <f t="shared" ca="1" si="240"/>
      </c>
      <c r="AF72" s="772">
        <f t="shared" ca="1" si="240"/>
      </c>
      <c r="AG72" s="772">
        <f t="shared" ca="1" si="240"/>
      </c>
      <c r="AH72" s="772">
        <f t="shared" ca="1" si="240"/>
      </c>
      <c r="AI72" s="772">
        <f t="shared" ref="AI72:BD72" ca="1" si="241">SUM(AI70:AI71)</f>
      </c>
      <c r="AJ72" s="1097">
        <f t="shared" ca="1" si="241"/>
      </c>
      <c r="AK72" s="772">
        <f t="shared" ca="1" si="241"/>
      </c>
      <c r="AL72" s="772">
        <f t="shared" ca="1" si="241"/>
      </c>
      <c r="AM72" s="772">
        <f t="shared" ca="1" si="241"/>
      </c>
      <c r="AN72" s="772">
        <f t="shared" ca="1" si="241"/>
      </c>
      <c r="AO72" s="1097">
        <f t="shared" ca="1" si="241"/>
      </c>
      <c r="AP72" s="772">
        <f t="shared" ca="1" si="241"/>
      </c>
      <c r="AQ72" s="772">
        <f t="shared" ca="1" si="241"/>
      </c>
      <c r="AR72" s="772">
        <f t="shared" ca="1" si="241"/>
      </c>
      <c r="AS72" s="772">
        <f t="shared" ca="1" si="241"/>
      </c>
      <c r="AT72" s="1097">
        <f t="shared" ca="1" si="241"/>
      </c>
      <c r="AU72" s="772">
        <f t="shared" ca="1" si="241"/>
      </c>
      <c r="AV72" s="772">
        <f t="shared" ca="1" si="241"/>
      </c>
      <c r="AW72" s="772">
        <f t="shared" ca="1" si="241"/>
      </c>
      <c r="AX72" s="772">
        <f t="shared" ca="1" si="241"/>
      </c>
      <c r="AY72" s="1097">
        <f t="shared" ca="1" si="241"/>
      </c>
      <c r="AZ72" s="772">
        <f t="shared" ca="1" si="241"/>
      </c>
      <c r="BA72" s="772">
        <f t="shared" ca="1" si="241"/>
      </c>
      <c r="BB72" s="772">
        <f t="shared" ca="1" si="241"/>
      </c>
      <c r="BC72" s="772">
        <f t="shared" ca="1" si="241"/>
      </c>
      <c r="BD72" s="1097">
        <f t="shared" ca="1" si="241"/>
      </c>
      <c r="BE72" s="772">
        <f t="shared" ref="BE72:BJ72" ca="1" si="242">SUM(BE70:BE71)</f>
      </c>
      <c r="BF72" s="772">
        <f t="shared" ca="1" si="242"/>
      </c>
      <c r="BG72" s="772">
        <f t="shared" ca="1" si="242"/>
      </c>
      <c r="BH72" s="772">
        <f t="shared" ca="1" si="242"/>
      </c>
      <c r="BI72" s="1097">
        <f t="shared" ca="1" si="242"/>
      </c>
      <c r="BJ72" s="772">
        <f t="shared" ca="1" si="242"/>
      </c>
      <c r="BK72" s="772">
        <f t="shared" ref="BK72:BX72" ca="1" si="243">SUM(BK70:BK71)</f>
      </c>
      <c r="BL72" s="772">
        <f t="shared" ca="1" si="243"/>
      </c>
      <c r="BM72" s="772">
        <f t="shared" ca="1" si="243"/>
      </c>
      <c r="BN72" s="1097">
        <f t="shared" ca="1" si="243"/>
      </c>
      <c r="BO72" s="772">
        <f t="shared" ref="BO72:BT72" ca="1" si="244">SUM(BO70:BO71)</f>
      </c>
      <c r="BP72" s="772">
        <f t="shared" ca="1" si="244"/>
      </c>
      <c r="BQ72" s="772">
        <f t="shared" ca="1" si="244"/>
      </c>
      <c r="BR72" s="772">
        <f t="shared" ca="1" si="244"/>
      </c>
      <c r="BS72" s="1097">
        <f t="shared" ca="1" si="244"/>
      </c>
      <c r="BT72" s="838">
        <f t="shared" ca="1" si="244"/>
      </c>
      <c r="BU72" s="772">
        <f t="shared" ca="1" si="243"/>
      </c>
      <c r="BV72" s="772">
        <f t="shared" ca="1" si="243"/>
      </c>
      <c r="BW72" s="772">
        <f t="shared" ca="1" si="243"/>
      </c>
      <c r="BX72" s="1097">
        <f t="shared" ca="1" si="243"/>
      </c>
      <c r="BY72" s="772">
        <f t="shared" ref="BY72:CF72" ca="1" si="245">SUM(BY70:BY71)</f>
      </c>
      <c r="BZ72" s="772">
        <f t="shared" ca="1" si="245"/>
      </c>
      <c r="CA72" s="772">
        <f t="shared" ca="1" si="245"/>
      </c>
      <c r="CB72" s="772">
        <f t="shared" ca="1" si="245"/>
      </c>
      <c r="CC72" s="1097">
        <f t="shared" ca="1" si="245"/>
      </c>
      <c r="CD72" s="1097">
        <f t="shared" ca="1" si="245"/>
      </c>
      <c r="CE72" s="1097">
        <f t="shared" ca="1" si="245"/>
      </c>
      <c r="CF72" s="1097">
        <f t="shared" ca="1" si="245"/>
      </c>
      <c r="CG72" s="774"/>
    </row>
    <row r="73" spans="1:85" customFormat="1" x14ac:dyDescent="0.3">
      <c r="A73" s="174" t="str">
        <f>INDEX(MO_CFSum_Capex,0,COLUMN())</f>
      </c>
      <c r="B73" s="175"/>
      <c r="C73" s="1100">
        <f t="shared" ref="C73:AH73" si="246">INDEX(MO_CFSum_Capex,0,COLUMN())</f>
      </c>
      <c r="D73" s="1100">
        <f t="shared" si="246"/>
      </c>
      <c r="E73" s="1100">
        <f t="shared" si="246"/>
      </c>
      <c r="F73" s="1100">
        <f t="shared" si="246"/>
      </c>
      <c r="G73" s="840">
        <f t="shared" si="246"/>
      </c>
      <c r="H73" s="840">
        <f t="shared" si="246"/>
      </c>
      <c r="I73" s="840">
        <f t="shared" si="246"/>
      </c>
      <c r="J73" s="840">
        <f t="shared" si="246"/>
      </c>
      <c r="K73" s="1100">
        <f t="shared" si="246"/>
      </c>
      <c r="L73" s="840">
        <f t="shared" si="246"/>
      </c>
      <c r="M73" s="840">
        <f t="shared" si="246"/>
      </c>
      <c r="N73" s="840">
        <f t="shared" si="246"/>
      </c>
      <c r="O73" s="840">
        <f t="shared" si="246"/>
      </c>
      <c r="P73" s="1100">
        <f t="shared" si="246"/>
      </c>
      <c r="Q73" s="840">
        <f t="shared" si="246"/>
      </c>
      <c r="R73" s="840">
        <f t="shared" si="246"/>
      </c>
      <c r="S73" s="840">
        <f t="shared" si="246"/>
      </c>
      <c r="T73" s="840">
        <f t="shared" si="246"/>
      </c>
      <c r="U73" s="1100">
        <f t="shared" si="246"/>
      </c>
      <c r="V73" s="840">
        <f t="shared" si="246"/>
      </c>
      <c r="W73" s="840">
        <f t="shared" si="246"/>
      </c>
      <c r="X73" s="840">
        <f t="shared" si="246"/>
      </c>
      <c r="Y73" s="840">
        <f t="shared" si="246"/>
      </c>
      <c r="Z73" s="1100">
        <f t="shared" si="246"/>
      </c>
      <c r="AA73" s="840">
        <f t="shared" si="246"/>
      </c>
      <c r="AB73" s="840">
        <f t="shared" si="246"/>
      </c>
      <c r="AC73" s="840">
        <f t="shared" si="246"/>
      </c>
      <c r="AD73" s="840">
        <f t="shared" si="246"/>
      </c>
      <c r="AE73" s="1100">
        <f t="shared" si="246"/>
      </c>
      <c r="AF73" s="840">
        <f t="shared" si="246"/>
      </c>
      <c r="AG73" s="840">
        <f t="shared" si="246"/>
      </c>
      <c r="AH73" s="840">
        <f t="shared" si="246"/>
      </c>
      <c r="AI73" s="840">
        <f t="shared" ref="AI73:BD73" si="247">INDEX(MO_CFSum_Capex,0,COLUMN())</f>
      </c>
      <c r="AJ73" s="1100">
        <f t="shared" si="247"/>
      </c>
      <c r="AK73" s="840">
        <f t="shared" si="247"/>
      </c>
      <c r="AL73" s="840">
        <f t="shared" si="247"/>
      </c>
      <c r="AM73" s="840">
        <f t="shared" si="247"/>
      </c>
      <c r="AN73" s="840">
        <f t="shared" si="247"/>
      </c>
      <c r="AO73" s="1100">
        <f t="shared" si="247"/>
      </c>
      <c r="AP73" s="840">
        <f t="shared" si="247"/>
      </c>
      <c r="AQ73" s="840">
        <f t="shared" si="247"/>
      </c>
      <c r="AR73" s="840">
        <f t="shared" si="247"/>
      </c>
      <c r="AS73" s="840">
        <f t="shared" si="247"/>
      </c>
      <c r="AT73" s="1100">
        <f t="shared" si="247"/>
      </c>
      <c r="AU73" s="840">
        <f t="shared" si="247"/>
      </c>
      <c r="AV73" s="840">
        <f t="shared" si="247"/>
      </c>
      <c r="AW73" s="840">
        <f t="shared" si="247"/>
      </c>
      <c r="AX73" s="840">
        <f t="shared" si="247"/>
      </c>
      <c r="AY73" s="1100">
        <f t="shared" si="247"/>
      </c>
      <c r="AZ73" s="840">
        <f t="shared" si="247"/>
      </c>
      <c r="BA73" s="840">
        <f t="shared" si="247"/>
      </c>
      <c r="BB73" s="840">
        <f t="shared" si="247"/>
      </c>
      <c r="BC73" s="840">
        <f t="shared" si="247"/>
      </c>
      <c r="BD73" s="1100">
        <f t="shared" si="247"/>
      </c>
      <c r="BE73" s="840">
        <f t="shared" ref="BE73:BJ73" si="248">INDEX(MO_CFSum_Capex,0,COLUMN())</f>
      </c>
      <c r="BF73" s="840">
        <f t="shared" si="248"/>
      </c>
      <c r="BG73" s="840">
        <f t="shared" si="248"/>
      </c>
      <c r="BH73" s="840">
        <f t="shared" si="248"/>
      </c>
      <c r="BI73" s="1100">
        <f t="shared" si="248"/>
      </c>
      <c r="BJ73" s="840">
        <f t="shared" si="248"/>
      </c>
      <c r="BK73" s="840">
        <f t="shared" ref="BK73:BP73" si="249">INDEX(MO_CFSum_Capex,0,COLUMN())</f>
      </c>
      <c r="BL73" s="840">
        <f t="shared" si="249"/>
      </c>
      <c r="BM73" s="840">
        <f t="shared" si="249"/>
      </c>
      <c r="BN73" s="1100">
        <f t="shared" si="249"/>
      </c>
      <c r="BO73" s="840">
        <f t="shared" si="249"/>
      </c>
      <c r="BP73" s="840">
        <f t="shared" si="249"/>
      </c>
      <c r="BQ73" s="840">
        <f>INDEX(MO_CFSum_Capex,0,COLUMN())</f>
      </c>
      <c r="BR73" s="840">
        <f>INDEX(MO_CFSum_Capex,0,COLUMN())</f>
      </c>
      <c r="BS73" s="1100">
        <f>INDEX(MO_CFSum_Capex,0,COLUMN())</f>
      </c>
      <c r="BT73" s="841">
        <f>INDEX(MO_CFSum_Capex,0,COLUMN())</f>
      </c>
      <c r="BU73" s="840">
        <f t="shared" ref="BU73:BX73" si="250">INDEX(MO_CFSum_Capex,0,COLUMN())</f>
      </c>
      <c r="BV73" s="840">
        <f t="shared" si="250"/>
      </c>
      <c r="BW73" s="840">
        <f t="shared" si="250"/>
      </c>
      <c r="BX73" s="1100">
        <f t="shared" si="250"/>
      </c>
      <c r="BY73" s="840">
        <f t="shared" ref="BY73:CF73" si="251">INDEX(MO_CFSum_Capex,0,COLUMN())</f>
      </c>
      <c r="BZ73" s="840">
        <f t="shared" si="251"/>
      </c>
      <c r="CA73" s="840">
        <f t="shared" si="251"/>
      </c>
      <c r="CB73" s="840">
        <f t="shared" si="251"/>
      </c>
      <c r="CC73" s="1100">
        <f t="shared" si="251"/>
      </c>
      <c r="CD73" s="1100">
        <f t="shared" si="251"/>
      </c>
      <c r="CE73" s="1100">
        <f t="shared" si="251"/>
      </c>
      <c r="CF73" s="1100">
        <f t="shared" si="251"/>
      </c>
      <c r="CG73" s="774"/>
    </row>
    <row r="74" spans="1:85" customFormat="1" x14ac:dyDescent="0.3">
      <c r="A74" s="109" t="s">
        <v>320</v>
      </c>
      <c r="B74" s="110"/>
      <c r="C74" s="1101">
        <f t="shared" ref="C74:AH74" ca="1" si="252">SUM(C72:C73)</f>
      </c>
      <c r="D74" s="1101">
        <f t="shared" ca="1" si="252"/>
      </c>
      <c r="E74" s="1101">
        <f t="shared" ca="1" si="252"/>
      </c>
      <c r="F74" s="1101">
        <f t="shared" ca="1" si="252"/>
      </c>
      <c r="G74" s="842">
        <f t="shared" ca="1" si="252"/>
      </c>
      <c r="H74" s="842">
        <f t="shared" ca="1" si="252"/>
      </c>
      <c r="I74" s="842">
        <f t="shared" ca="1" si="252"/>
      </c>
      <c r="J74" s="842">
        <f t="shared" ca="1" si="252"/>
      </c>
      <c r="K74" s="1101">
        <f t="shared" ca="1" si="252"/>
      </c>
      <c r="L74" s="842">
        <f t="shared" ca="1" si="252"/>
      </c>
      <c r="M74" s="842">
        <f t="shared" ca="1" si="252"/>
      </c>
      <c r="N74" s="842">
        <f t="shared" ca="1" si="252"/>
      </c>
      <c r="O74" s="842">
        <f t="shared" ca="1" si="252"/>
      </c>
      <c r="P74" s="1101">
        <f t="shared" ca="1" si="252"/>
      </c>
      <c r="Q74" s="842">
        <f t="shared" ca="1" si="252"/>
      </c>
      <c r="R74" s="842">
        <f t="shared" ca="1" si="252"/>
      </c>
      <c r="S74" s="842">
        <f t="shared" ca="1" si="252"/>
      </c>
      <c r="T74" s="842">
        <f t="shared" ca="1" si="252"/>
      </c>
      <c r="U74" s="1101">
        <f t="shared" ca="1" si="252"/>
      </c>
      <c r="V74" s="842">
        <f t="shared" ca="1" si="252"/>
      </c>
      <c r="W74" s="842">
        <f t="shared" ca="1" si="252"/>
      </c>
      <c r="X74" s="842">
        <f t="shared" ca="1" si="252"/>
      </c>
      <c r="Y74" s="842">
        <f t="shared" ca="1" si="252"/>
      </c>
      <c r="Z74" s="1101">
        <f t="shared" ca="1" si="252"/>
      </c>
      <c r="AA74" s="842">
        <f t="shared" ca="1" si="252"/>
      </c>
      <c r="AB74" s="842">
        <f t="shared" ca="1" si="252"/>
      </c>
      <c r="AC74" s="842">
        <f t="shared" ca="1" si="252"/>
      </c>
      <c r="AD74" s="842">
        <f t="shared" ca="1" si="252"/>
      </c>
      <c r="AE74" s="1101">
        <f t="shared" ca="1" si="252"/>
      </c>
      <c r="AF74" s="842">
        <f t="shared" ca="1" si="252"/>
      </c>
      <c r="AG74" s="842">
        <f t="shared" ca="1" si="252"/>
      </c>
      <c r="AH74" s="842">
        <f t="shared" ca="1" si="252"/>
      </c>
      <c r="AI74" s="842">
        <f t="shared" ref="AI74:BD74" ca="1" si="253">SUM(AI72:AI73)</f>
      </c>
      <c r="AJ74" s="1101">
        <f t="shared" ca="1" si="253"/>
      </c>
      <c r="AK74" s="842">
        <f t="shared" ca="1" si="253"/>
      </c>
      <c r="AL74" s="842">
        <f t="shared" ca="1" si="253"/>
      </c>
      <c r="AM74" s="842">
        <f t="shared" ca="1" si="253"/>
      </c>
      <c r="AN74" s="842">
        <f t="shared" ca="1" si="253"/>
      </c>
      <c r="AO74" s="1101">
        <f t="shared" ca="1" si="253"/>
      </c>
      <c r="AP74" s="842">
        <f t="shared" ca="1" si="253"/>
      </c>
      <c r="AQ74" s="842">
        <f t="shared" ca="1" si="253"/>
      </c>
      <c r="AR74" s="842">
        <f t="shared" ca="1" si="253"/>
      </c>
      <c r="AS74" s="842">
        <f t="shared" ca="1" si="253"/>
      </c>
      <c r="AT74" s="1101">
        <f t="shared" ca="1" si="253"/>
      </c>
      <c r="AU74" s="842">
        <f t="shared" ca="1" si="253"/>
      </c>
      <c r="AV74" s="842">
        <f t="shared" ca="1" si="253"/>
      </c>
      <c r="AW74" s="842">
        <f t="shared" ca="1" si="253"/>
      </c>
      <c r="AX74" s="842">
        <f t="shared" ca="1" si="253"/>
      </c>
      <c r="AY74" s="1101">
        <f t="shared" ca="1" si="253"/>
      </c>
      <c r="AZ74" s="842">
        <f t="shared" ca="1" si="253"/>
      </c>
      <c r="BA74" s="842">
        <f t="shared" ca="1" si="253"/>
      </c>
      <c r="BB74" s="842">
        <f t="shared" ca="1" si="253"/>
      </c>
      <c r="BC74" s="842">
        <f t="shared" ca="1" si="253"/>
      </c>
      <c r="BD74" s="1101">
        <f t="shared" ca="1" si="253"/>
      </c>
      <c r="BE74" s="842">
        <f t="shared" ref="BE74:BJ74" ca="1" si="254">SUM(BE72:BE73)</f>
      </c>
      <c r="BF74" s="842">
        <f t="shared" ca="1" si="254"/>
      </c>
      <c r="BG74" s="842">
        <f t="shared" ca="1" si="254"/>
      </c>
      <c r="BH74" s="842">
        <f t="shared" ca="1" si="254"/>
      </c>
      <c r="BI74" s="1101">
        <f t="shared" ca="1" si="254"/>
      </c>
      <c r="BJ74" s="842">
        <f t="shared" ca="1" si="254"/>
      </c>
      <c r="BK74" s="842">
        <f t="shared" ref="BK74:BX74" ca="1" si="255">SUM(BK72:BK73)</f>
      </c>
      <c r="BL74" s="842">
        <f t="shared" ca="1" si="255"/>
      </c>
      <c r="BM74" s="842">
        <f t="shared" ca="1" si="255"/>
      </c>
      <c r="BN74" s="1101">
        <f t="shared" ca="1" si="255"/>
      </c>
      <c r="BO74" s="842">
        <f t="shared" ref="BO74:BT74" ca="1" si="256">SUM(BO72:BO73)</f>
      </c>
      <c r="BP74" s="842">
        <f t="shared" ca="1" si="256"/>
      </c>
      <c r="BQ74" s="842">
        <f t="shared" ca="1" si="256"/>
      </c>
      <c r="BR74" s="842">
        <f t="shared" ca="1" si="256"/>
      </c>
      <c r="BS74" s="1101">
        <f t="shared" ca="1" si="256"/>
      </c>
      <c r="BT74" s="843">
        <f t="shared" ca="1" si="256"/>
      </c>
      <c r="BU74" s="842">
        <f t="shared" ca="1" si="255"/>
      </c>
      <c r="BV74" s="842">
        <f t="shared" ca="1" si="255"/>
      </c>
      <c r="BW74" s="842">
        <f t="shared" ca="1" si="255"/>
      </c>
      <c r="BX74" s="1101">
        <f t="shared" ca="1" si="255"/>
      </c>
      <c r="BY74" s="842">
        <f t="shared" ref="BY74:CF74" ca="1" si="257">SUM(BY72:BY73)</f>
      </c>
      <c r="BZ74" s="842">
        <f t="shared" ca="1" si="257"/>
      </c>
      <c r="CA74" s="842">
        <f t="shared" ca="1" si="257"/>
      </c>
      <c r="CB74" s="842">
        <f t="shared" ca="1" si="257"/>
      </c>
      <c r="CC74" s="1101">
        <f t="shared" ca="1" si="257"/>
      </c>
      <c r="CD74" s="1101">
        <f t="shared" ca="1" si="257"/>
      </c>
      <c r="CE74" s="1101">
        <f t="shared" ca="1" si="257"/>
      </c>
      <c r="CF74" s="1101">
        <f t="shared" ca="1" si="257"/>
      </c>
      <c r="CG74" s="772"/>
    </row>
    <row r="75" spans="1:85" customFormat="1" x14ac:dyDescent="0.3">
      <c r="A75" s="174" t="str">
        <f>INDEX(MO_CFSum_Dividend,0,COLUMN())</f>
      </c>
      <c r="B75" s="175"/>
      <c r="C75" s="1100">
        <f t="shared" ref="C75:AH75" si="258">INDEX(MO_CFSum_Dividend,0,COLUMN())</f>
      </c>
      <c r="D75" s="1100">
        <f t="shared" si="258"/>
      </c>
      <c r="E75" s="1100">
        <f t="shared" si="258"/>
      </c>
      <c r="F75" s="1100">
        <f t="shared" si="258"/>
      </c>
      <c r="G75" s="840">
        <f t="shared" si="258"/>
      </c>
      <c r="H75" s="840">
        <f t="shared" si="258"/>
      </c>
      <c r="I75" s="840">
        <f t="shared" si="258"/>
      </c>
      <c r="J75" s="840">
        <f t="shared" si="258"/>
      </c>
      <c r="K75" s="1100">
        <f t="shared" si="258"/>
      </c>
      <c r="L75" s="840">
        <f t="shared" si="258"/>
      </c>
      <c r="M75" s="840">
        <f t="shared" si="258"/>
      </c>
      <c r="N75" s="840">
        <f t="shared" si="258"/>
      </c>
      <c r="O75" s="840">
        <f t="shared" si="258"/>
      </c>
      <c r="P75" s="1100">
        <f t="shared" si="258"/>
      </c>
      <c r="Q75" s="840">
        <f t="shared" si="258"/>
      </c>
      <c r="R75" s="840">
        <f t="shared" si="258"/>
      </c>
      <c r="S75" s="840">
        <f t="shared" si="258"/>
      </c>
      <c r="T75" s="840">
        <f t="shared" si="258"/>
      </c>
      <c r="U75" s="1100">
        <f t="shared" si="258"/>
      </c>
      <c r="V75" s="840">
        <f t="shared" si="258"/>
      </c>
      <c r="W75" s="840">
        <f t="shared" si="258"/>
      </c>
      <c r="X75" s="840">
        <f t="shared" si="258"/>
      </c>
      <c r="Y75" s="840">
        <f t="shared" si="258"/>
      </c>
      <c r="Z75" s="1100">
        <f t="shared" si="258"/>
      </c>
      <c r="AA75" s="840">
        <f t="shared" si="258"/>
      </c>
      <c r="AB75" s="840">
        <f t="shared" si="258"/>
      </c>
      <c r="AC75" s="840">
        <f t="shared" si="258"/>
      </c>
      <c r="AD75" s="840">
        <f t="shared" si="258"/>
      </c>
      <c r="AE75" s="1100">
        <f t="shared" si="258"/>
      </c>
      <c r="AF75" s="840">
        <f t="shared" si="258"/>
      </c>
      <c r="AG75" s="840">
        <f t="shared" si="258"/>
      </c>
      <c r="AH75" s="840">
        <f t="shared" si="258"/>
      </c>
      <c r="AI75" s="840">
        <f t="shared" ref="AI75:BD75" si="259">INDEX(MO_CFSum_Dividend,0,COLUMN())</f>
      </c>
      <c r="AJ75" s="1100">
        <f t="shared" si="259"/>
      </c>
      <c r="AK75" s="840">
        <f t="shared" si="259"/>
      </c>
      <c r="AL75" s="840">
        <f t="shared" si="259"/>
      </c>
      <c r="AM75" s="840">
        <f t="shared" si="259"/>
      </c>
      <c r="AN75" s="840">
        <f t="shared" si="259"/>
      </c>
      <c r="AO75" s="1100">
        <f t="shared" si="259"/>
      </c>
      <c r="AP75" s="840">
        <f t="shared" si="259"/>
      </c>
      <c r="AQ75" s="840">
        <f t="shared" si="259"/>
      </c>
      <c r="AR75" s="840">
        <f t="shared" si="259"/>
      </c>
      <c r="AS75" s="840">
        <f t="shared" si="259"/>
      </c>
      <c r="AT75" s="1100">
        <f t="shared" si="259"/>
      </c>
      <c r="AU75" s="840">
        <f t="shared" si="259"/>
      </c>
      <c r="AV75" s="840">
        <f t="shared" si="259"/>
      </c>
      <c r="AW75" s="840">
        <f t="shared" si="259"/>
      </c>
      <c r="AX75" s="840">
        <f t="shared" si="259"/>
      </c>
      <c r="AY75" s="1100">
        <f t="shared" si="259"/>
      </c>
      <c r="AZ75" s="840">
        <f t="shared" si="259"/>
      </c>
      <c r="BA75" s="840">
        <f t="shared" si="259"/>
      </c>
      <c r="BB75" s="840">
        <f t="shared" si="259"/>
      </c>
      <c r="BC75" s="840">
        <f t="shared" si="259"/>
      </c>
      <c r="BD75" s="1100">
        <f t="shared" si="259"/>
      </c>
      <c r="BE75" s="840">
        <f t="shared" ref="BE75:BJ75" si="260">INDEX(MO_CFSum_Dividend,0,COLUMN())</f>
      </c>
      <c r="BF75" s="840">
        <f t="shared" si="260"/>
      </c>
      <c r="BG75" s="840">
        <f t="shared" si="260"/>
      </c>
      <c r="BH75" s="840">
        <f t="shared" si="260"/>
      </c>
      <c r="BI75" s="1100">
        <f t="shared" si="260"/>
      </c>
      <c r="BJ75" s="840">
        <f t="shared" si="260"/>
      </c>
      <c r="BK75" s="840">
        <f t="shared" ref="BK75:BP75" si="261">INDEX(MO_CFSum_Dividend,0,COLUMN())</f>
      </c>
      <c r="BL75" s="840">
        <f t="shared" si="261"/>
      </c>
      <c r="BM75" s="840">
        <f t="shared" si="261"/>
      </c>
      <c r="BN75" s="1100">
        <f t="shared" si="261"/>
      </c>
      <c r="BO75" s="840">
        <f t="shared" si="261"/>
      </c>
      <c r="BP75" s="840">
        <f t="shared" si="261"/>
      </c>
      <c r="BQ75" s="840">
        <f>INDEX(MO_CFSum_Dividend,0,COLUMN())</f>
      </c>
      <c r="BR75" s="840">
        <f>INDEX(MO_CFSum_Dividend,0,COLUMN())</f>
      </c>
      <c r="BS75" s="1100">
        <f>INDEX(MO_CFSum_Dividend,0,COLUMN())</f>
      </c>
      <c r="BT75" s="841">
        <f>INDEX(MO_CFSum_Dividend,0,COLUMN())</f>
      </c>
      <c r="BU75" s="840">
        <f t="shared" ref="BU75:BX75" si="262">INDEX(MO_CFSum_Dividend,0,COLUMN())</f>
      </c>
      <c r="BV75" s="840">
        <f t="shared" si="262"/>
      </c>
      <c r="BW75" s="840">
        <f t="shared" si="262"/>
      </c>
      <c r="BX75" s="1100">
        <f t="shared" si="262"/>
      </c>
      <c r="BY75" s="840">
        <f t="shared" ref="BY75:CF75" si="263">INDEX(MO_CFSum_Dividend,0,COLUMN())</f>
      </c>
      <c r="BZ75" s="840">
        <f t="shared" si="263"/>
      </c>
      <c r="CA75" s="840">
        <f t="shared" si="263"/>
      </c>
      <c r="CB75" s="840">
        <f t="shared" si="263"/>
      </c>
      <c r="CC75" s="1100">
        <f t="shared" si="263"/>
      </c>
      <c r="CD75" s="1100">
        <f t="shared" si="263"/>
      </c>
      <c r="CE75" s="1100">
        <f t="shared" si="263"/>
      </c>
      <c r="CF75" s="1100">
        <f t="shared" si="263"/>
      </c>
      <c r="CG75" s="774"/>
    </row>
    <row r="76" spans="1:85" customFormat="1" x14ac:dyDescent="0.3">
      <c r="A76" s="109" t="s">
        <v>321</v>
      </c>
      <c r="B76" s="110"/>
      <c r="C76" s="1101">
        <f t="shared" ref="C76:AH76" ca="1" si="264">SUM(C74:C75)</f>
      </c>
      <c r="D76" s="1101">
        <f t="shared" ca="1" si="264"/>
      </c>
      <c r="E76" s="1101">
        <f t="shared" ca="1" si="264"/>
      </c>
      <c r="F76" s="1101">
        <f t="shared" ca="1" si="264"/>
      </c>
      <c r="G76" s="842">
        <f t="shared" ca="1" si="264"/>
      </c>
      <c r="H76" s="842">
        <f t="shared" ca="1" si="264"/>
      </c>
      <c r="I76" s="842">
        <f t="shared" ca="1" si="264"/>
      </c>
      <c r="J76" s="842">
        <f t="shared" ca="1" si="264"/>
      </c>
      <c r="K76" s="1101">
        <f t="shared" ca="1" si="264"/>
      </c>
      <c r="L76" s="842">
        <f t="shared" ca="1" si="264"/>
      </c>
      <c r="M76" s="842">
        <f t="shared" ca="1" si="264"/>
      </c>
      <c r="N76" s="842">
        <f t="shared" ca="1" si="264"/>
      </c>
      <c r="O76" s="842">
        <f t="shared" ca="1" si="264"/>
      </c>
      <c r="P76" s="1101">
        <f t="shared" ca="1" si="264"/>
      </c>
      <c r="Q76" s="842">
        <f t="shared" ca="1" si="264"/>
      </c>
      <c r="R76" s="842">
        <f t="shared" ca="1" si="264"/>
      </c>
      <c r="S76" s="842">
        <f t="shared" ca="1" si="264"/>
      </c>
      <c r="T76" s="842">
        <f t="shared" ca="1" si="264"/>
      </c>
      <c r="U76" s="1101">
        <f t="shared" ca="1" si="264"/>
      </c>
      <c r="V76" s="842">
        <f t="shared" ca="1" si="264"/>
      </c>
      <c r="W76" s="842">
        <f t="shared" ca="1" si="264"/>
      </c>
      <c r="X76" s="842">
        <f t="shared" ca="1" si="264"/>
      </c>
      <c r="Y76" s="842">
        <f t="shared" ca="1" si="264"/>
      </c>
      <c r="Z76" s="1101">
        <f t="shared" ca="1" si="264"/>
      </c>
      <c r="AA76" s="842">
        <f t="shared" ca="1" si="264"/>
      </c>
      <c r="AB76" s="842">
        <f t="shared" ca="1" si="264"/>
      </c>
      <c r="AC76" s="842">
        <f t="shared" ca="1" si="264"/>
      </c>
      <c r="AD76" s="842">
        <f t="shared" ca="1" si="264"/>
      </c>
      <c r="AE76" s="1101">
        <f t="shared" ca="1" si="264"/>
      </c>
      <c r="AF76" s="842">
        <f t="shared" ca="1" si="264"/>
      </c>
      <c r="AG76" s="842">
        <f t="shared" ca="1" si="264"/>
      </c>
      <c r="AH76" s="842">
        <f t="shared" ca="1" si="264"/>
      </c>
      <c r="AI76" s="842">
        <f t="shared" ref="AI76:BD76" ca="1" si="265">SUM(AI74:AI75)</f>
      </c>
      <c r="AJ76" s="1101">
        <f t="shared" ca="1" si="265"/>
      </c>
      <c r="AK76" s="842">
        <f t="shared" ca="1" si="265"/>
      </c>
      <c r="AL76" s="842">
        <f t="shared" ca="1" si="265"/>
      </c>
      <c r="AM76" s="842">
        <f t="shared" ca="1" si="265"/>
      </c>
      <c r="AN76" s="842">
        <f t="shared" ca="1" si="265"/>
      </c>
      <c r="AO76" s="1101">
        <f t="shared" ca="1" si="265"/>
      </c>
      <c r="AP76" s="842">
        <f t="shared" ca="1" si="265"/>
      </c>
      <c r="AQ76" s="842">
        <f t="shared" ca="1" si="265"/>
      </c>
      <c r="AR76" s="842">
        <f t="shared" ca="1" si="265"/>
      </c>
      <c r="AS76" s="842">
        <f t="shared" ca="1" si="265"/>
      </c>
      <c r="AT76" s="1101">
        <f t="shared" ca="1" si="265"/>
      </c>
      <c r="AU76" s="842">
        <f t="shared" ca="1" si="265"/>
      </c>
      <c r="AV76" s="842">
        <f t="shared" ca="1" si="265"/>
      </c>
      <c r="AW76" s="842">
        <f t="shared" ca="1" si="265"/>
      </c>
      <c r="AX76" s="842">
        <f t="shared" ca="1" si="265"/>
      </c>
      <c r="AY76" s="1101">
        <f t="shared" ca="1" si="265"/>
      </c>
      <c r="AZ76" s="842">
        <f t="shared" ca="1" si="265"/>
      </c>
      <c r="BA76" s="842">
        <f t="shared" ca="1" si="265"/>
      </c>
      <c r="BB76" s="842">
        <f t="shared" ca="1" si="265"/>
      </c>
      <c r="BC76" s="842">
        <f t="shared" ca="1" si="265"/>
      </c>
      <c r="BD76" s="1101">
        <f t="shared" ca="1" si="265"/>
      </c>
      <c r="BE76" s="842">
        <f t="shared" ref="BE76:BJ76" ca="1" si="266">SUM(BE74:BE75)</f>
      </c>
      <c r="BF76" s="842">
        <f t="shared" ca="1" si="266"/>
      </c>
      <c r="BG76" s="842">
        <f t="shared" ca="1" si="266"/>
      </c>
      <c r="BH76" s="842">
        <f t="shared" ca="1" si="266"/>
      </c>
      <c r="BI76" s="1101">
        <f t="shared" ca="1" si="266"/>
      </c>
      <c r="BJ76" s="842">
        <f t="shared" ca="1" si="266"/>
      </c>
      <c r="BK76" s="842">
        <f t="shared" ref="BK76:BX76" ca="1" si="267">SUM(BK74:BK75)</f>
      </c>
      <c r="BL76" s="842">
        <f t="shared" ca="1" si="267"/>
      </c>
      <c r="BM76" s="842">
        <f t="shared" ca="1" si="267"/>
      </c>
      <c r="BN76" s="1101">
        <f t="shared" ca="1" si="267"/>
      </c>
      <c r="BO76" s="842">
        <f t="shared" ref="BO76:BT76" ca="1" si="268">SUM(BO74:BO75)</f>
      </c>
      <c r="BP76" s="842">
        <f t="shared" ca="1" si="268"/>
      </c>
      <c r="BQ76" s="842">
        <f t="shared" ca="1" si="268"/>
      </c>
      <c r="BR76" s="842">
        <f t="shared" ca="1" si="268"/>
      </c>
      <c r="BS76" s="1101">
        <f t="shared" ca="1" si="268"/>
      </c>
      <c r="BT76" s="843">
        <f t="shared" ca="1" si="268"/>
      </c>
      <c r="BU76" s="842">
        <f t="shared" ca="1" si="267"/>
      </c>
      <c r="BV76" s="842">
        <f t="shared" ca="1" si="267"/>
      </c>
      <c r="BW76" s="842">
        <f t="shared" ca="1" si="267"/>
      </c>
      <c r="BX76" s="1101">
        <f t="shared" ca="1" si="267"/>
      </c>
      <c r="BY76" s="842">
        <f t="shared" ref="BY76:CF76" ca="1" si="269">SUM(BY74:BY75)</f>
      </c>
      <c r="BZ76" s="842">
        <f t="shared" ca="1" si="269"/>
      </c>
      <c r="CA76" s="842">
        <f t="shared" ca="1" si="269"/>
      </c>
      <c r="CB76" s="842">
        <f t="shared" ca="1" si="269"/>
      </c>
      <c r="CC76" s="1101">
        <f t="shared" ca="1" si="269"/>
      </c>
      <c r="CD76" s="1101">
        <f t="shared" ca="1" si="269"/>
      </c>
      <c r="CE76" s="1101">
        <f t="shared" ca="1" si="269"/>
      </c>
      <c r="CF76" s="1101">
        <f t="shared" ca="1" si="269"/>
      </c>
      <c r="CG76" s="772"/>
    </row>
    <row r="77" spans="1:85" customFormat="1" x14ac:dyDescent="0.3">
      <c r="A77" s="107" t="str">
        <f>INDEX(MO_CFSum_Acquisition,0,COLUMN())</f>
      </c>
      <c r="B77" s="108"/>
      <c r="C77" s="78">
        <f t="shared" ref="C77:AH77" si="270">INDEX(MO_CFSum_Acquisition,0,COLUMN())</f>
      </c>
      <c r="D77" s="78">
        <f t="shared" si="270"/>
      </c>
      <c r="E77" s="78">
        <f t="shared" si="270"/>
      </c>
      <c r="F77" s="78">
        <f t="shared" si="270"/>
      </c>
      <c r="G77" s="774">
        <f t="shared" si="270"/>
      </c>
      <c r="H77" s="774">
        <f t="shared" si="270"/>
      </c>
      <c r="I77" s="774">
        <f t="shared" si="270"/>
      </c>
      <c r="J77" s="774">
        <f t="shared" si="270"/>
      </c>
      <c r="K77" s="78">
        <f t="shared" si="270"/>
      </c>
      <c r="L77" s="774">
        <f t="shared" si="270"/>
      </c>
      <c r="M77" s="774">
        <f t="shared" si="270"/>
      </c>
      <c r="N77" s="774">
        <f t="shared" si="270"/>
      </c>
      <c r="O77" s="774">
        <f t="shared" si="270"/>
      </c>
      <c r="P77" s="78">
        <f t="shared" si="270"/>
      </c>
      <c r="Q77" s="774">
        <f t="shared" si="270"/>
      </c>
      <c r="R77" s="774">
        <f t="shared" si="270"/>
      </c>
      <c r="S77" s="774">
        <f t="shared" si="270"/>
      </c>
      <c r="T77" s="774">
        <f t="shared" si="270"/>
      </c>
      <c r="U77" s="78">
        <f t="shared" si="270"/>
      </c>
      <c r="V77" s="774">
        <f t="shared" si="270"/>
      </c>
      <c r="W77" s="774">
        <f t="shared" si="270"/>
      </c>
      <c r="X77" s="774">
        <f t="shared" si="270"/>
      </c>
      <c r="Y77" s="774">
        <f t="shared" si="270"/>
      </c>
      <c r="Z77" s="78">
        <f t="shared" si="270"/>
      </c>
      <c r="AA77" s="774">
        <f t="shared" si="270"/>
      </c>
      <c r="AB77" s="774">
        <f t="shared" si="270"/>
      </c>
      <c r="AC77" s="774">
        <f t="shared" si="270"/>
      </c>
      <c r="AD77" s="774">
        <f t="shared" si="270"/>
      </c>
      <c r="AE77" s="78">
        <f t="shared" si="270"/>
      </c>
      <c r="AF77" s="774">
        <f t="shared" si="270"/>
      </c>
      <c r="AG77" s="774">
        <f t="shared" si="270"/>
      </c>
      <c r="AH77" s="774">
        <f t="shared" si="270"/>
      </c>
      <c r="AI77" s="774">
        <f t="shared" ref="AI77:BD77" si="271">INDEX(MO_CFSum_Acquisition,0,COLUMN())</f>
      </c>
      <c r="AJ77" s="78">
        <f t="shared" si="271"/>
      </c>
      <c r="AK77" s="774">
        <f t="shared" si="271"/>
      </c>
      <c r="AL77" s="774">
        <f t="shared" si="271"/>
      </c>
      <c r="AM77" s="774">
        <f t="shared" si="271"/>
      </c>
      <c r="AN77" s="774">
        <f t="shared" si="271"/>
      </c>
      <c r="AO77" s="78">
        <f t="shared" si="271"/>
      </c>
      <c r="AP77" s="774">
        <f t="shared" si="271"/>
      </c>
      <c r="AQ77" s="774">
        <f t="shared" si="271"/>
      </c>
      <c r="AR77" s="774">
        <f t="shared" si="271"/>
      </c>
      <c r="AS77" s="774">
        <f t="shared" si="271"/>
      </c>
      <c r="AT77" s="78">
        <f t="shared" si="271"/>
      </c>
      <c r="AU77" s="774">
        <f t="shared" si="271"/>
      </c>
      <c r="AV77" s="774">
        <f t="shared" si="271"/>
      </c>
      <c r="AW77" s="774">
        <f t="shared" si="271"/>
      </c>
      <c r="AX77" s="774">
        <f t="shared" si="271"/>
      </c>
      <c r="AY77" s="78">
        <f t="shared" si="271"/>
      </c>
      <c r="AZ77" s="774">
        <f t="shared" si="271"/>
      </c>
      <c r="BA77" s="774">
        <f t="shared" si="271"/>
      </c>
      <c r="BB77" s="774">
        <f t="shared" si="271"/>
      </c>
      <c r="BC77" s="774">
        <f t="shared" si="271"/>
      </c>
      <c r="BD77" s="78">
        <f t="shared" si="271"/>
      </c>
      <c r="BE77" s="774">
        <f t="shared" ref="BE77:BJ77" si="272">INDEX(MO_CFSum_Acquisition,0,COLUMN())</f>
      </c>
      <c r="BF77" s="774">
        <f t="shared" si="272"/>
      </c>
      <c r="BG77" s="774">
        <f t="shared" si="272"/>
      </c>
      <c r="BH77" s="774">
        <f t="shared" si="272"/>
      </c>
      <c r="BI77" s="78">
        <f t="shared" si="272"/>
      </c>
      <c r="BJ77" s="774">
        <f t="shared" si="272"/>
      </c>
      <c r="BK77" s="774">
        <f t="shared" ref="BK77:BP77" si="273">INDEX(MO_CFSum_Acquisition,0,COLUMN())</f>
      </c>
      <c r="BL77" s="774">
        <f t="shared" si="273"/>
      </c>
      <c r="BM77" s="774">
        <f t="shared" si="273"/>
      </c>
      <c r="BN77" s="78">
        <f t="shared" si="273"/>
      </c>
      <c r="BO77" s="774">
        <f t="shared" si="273"/>
      </c>
      <c r="BP77" s="774">
        <f t="shared" si="273"/>
      </c>
      <c r="BQ77" s="774">
        <f>INDEX(MO_CFSum_Acquisition,0,COLUMN())</f>
      </c>
      <c r="BR77" s="774">
        <f>INDEX(MO_CFSum_Acquisition,0,COLUMN())</f>
      </c>
      <c r="BS77" s="78">
        <f>INDEX(MO_CFSum_Acquisition,0,COLUMN())</f>
      </c>
      <c r="BT77" s="775">
        <f>INDEX(MO_CFSum_Acquisition,0,COLUMN())</f>
      </c>
      <c r="BU77" s="774">
        <f t="shared" ref="BU77:BX77" si="274">INDEX(MO_CFSum_Acquisition,0,COLUMN())</f>
      </c>
      <c r="BV77" s="774">
        <f t="shared" si="274"/>
      </c>
      <c r="BW77" s="774">
        <f t="shared" si="274"/>
      </c>
      <c r="BX77" s="78">
        <f t="shared" si="274"/>
      </c>
      <c r="BY77" s="774">
        <f t="shared" ref="BY77:CF77" si="275">INDEX(MO_CFSum_Acquisition,0,COLUMN())</f>
      </c>
      <c r="BZ77" s="774">
        <f t="shared" si="275"/>
      </c>
      <c r="CA77" s="774">
        <f t="shared" si="275"/>
      </c>
      <c r="CB77" s="774">
        <f t="shared" si="275"/>
      </c>
      <c r="CC77" s="78">
        <f t="shared" si="275"/>
      </c>
      <c r="CD77" s="78">
        <f t="shared" si="275"/>
      </c>
      <c r="CE77" s="78">
        <f t="shared" si="275"/>
      </c>
      <c r="CF77" s="78">
        <f t="shared" si="275"/>
      </c>
      <c r="CG77" s="774"/>
    </row>
    <row r="78" spans="1:85" customFormat="1" x14ac:dyDescent="0.3">
      <c r="A78" s="107" t="str">
        <f>INDEX(MO_CFSum_Divestiture,0,COLUMN())</f>
      </c>
      <c r="B78" s="108"/>
      <c r="C78" s="78">
        <f t="shared" ref="C78:AH78" si="276">INDEX(MO_CFSum_Divestiture,0,COLUMN())</f>
      </c>
      <c r="D78" s="78">
        <f t="shared" si="276"/>
      </c>
      <c r="E78" s="78">
        <f t="shared" si="276"/>
      </c>
      <c r="F78" s="78">
        <f t="shared" si="276"/>
      </c>
      <c r="G78" s="774">
        <f t="shared" si="276"/>
      </c>
      <c r="H78" s="774">
        <f t="shared" si="276"/>
      </c>
      <c r="I78" s="774">
        <f t="shared" si="276"/>
      </c>
      <c r="J78" s="774">
        <f t="shared" si="276"/>
      </c>
      <c r="K78" s="78">
        <f t="shared" si="276"/>
      </c>
      <c r="L78" s="774">
        <f t="shared" si="276"/>
      </c>
      <c r="M78" s="774">
        <f t="shared" si="276"/>
      </c>
      <c r="N78" s="774">
        <f t="shared" si="276"/>
      </c>
      <c r="O78" s="774">
        <f t="shared" si="276"/>
      </c>
      <c r="P78" s="78">
        <f t="shared" si="276"/>
      </c>
      <c r="Q78" s="774">
        <f t="shared" si="276"/>
      </c>
      <c r="R78" s="774">
        <f t="shared" si="276"/>
      </c>
      <c r="S78" s="774">
        <f t="shared" si="276"/>
      </c>
      <c r="T78" s="774">
        <f t="shared" si="276"/>
      </c>
      <c r="U78" s="78">
        <f t="shared" si="276"/>
      </c>
      <c r="V78" s="774">
        <f t="shared" si="276"/>
      </c>
      <c r="W78" s="774">
        <f t="shared" si="276"/>
      </c>
      <c r="X78" s="774">
        <f t="shared" si="276"/>
      </c>
      <c r="Y78" s="774">
        <f t="shared" si="276"/>
      </c>
      <c r="Z78" s="78">
        <f t="shared" si="276"/>
      </c>
      <c r="AA78" s="774">
        <f t="shared" si="276"/>
      </c>
      <c r="AB78" s="774">
        <f t="shared" si="276"/>
      </c>
      <c r="AC78" s="774">
        <f t="shared" si="276"/>
      </c>
      <c r="AD78" s="774">
        <f t="shared" si="276"/>
      </c>
      <c r="AE78" s="78">
        <f t="shared" si="276"/>
      </c>
      <c r="AF78" s="774">
        <f t="shared" si="276"/>
      </c>
      <c r="AG78" s="774">
        <f t="shared" si="276"/>
      </c>
      <c r="AH78" s="774">
        <f t="shared" si="276"/>
      </c>
      <c r="AI78" s="774">
        <f t="shared" ref="AI78:BD78" si="277">INDEX(MO_CFSum_Divestiture,0,COLUMN())</f>
      </c>
      <c r="AJ78" s="78">
        <f t="shared" si="277"/>
      </c>
      <c r="AK78" s="774">
        <f t="shared" si="277"/>
      </c>
      <c r="AL78" s="774">
        <f t="shared" si="277"/>
      </c>
      <c r="AM78" s="774">
        <f t="shared" si="277"/>
      </c>
      <c r="AN78" s="774">
        <f t="shared" si="277"/>
      </c>
      <c r="AO78" s="78">
        <f t="shared" si="277"/>
      </c>
      <c r="AP78" s="774">
        <f t="shared" si="277"/>
      </c>
      <c r="AQ78" s="774">
        <f t="shared" si="277"/>
      </c>
      <c r="AR78" s="774">
        <f t="shared" si="277"/>
      </c>
      <c r="AS78" s="774">
        <f t="shared" si="277"/>
      </c>
      <c r="AT78" s="78">
        <f t="shared" si="277"/>
      </c>
      <c r="AU78" s="774">
        <f t="shared" si="277"/>
      </c>
      <c r="AV78" s="774">
        <f t="shared" si="277"/>
      </c>
      <c r="AW78" s="774">
        <f t="shared" si="277"/>
      </c>
      <c r="AX78" s="774">
        <f t="shared" si="277"/>
      </c>
      <c r="AY78" s="78">
        <f t="shared" si="277"/>
      </c>
      <c r="AZ78" s="774">
        <f t="shared" si="277"/>
      </c>
      <c r="BA78" s="774">
        <f t="shared" si="277"/>
      </c>
      <c r="BB78" s="774">
        <f t="shared" si="277"/>
      </c>
      <c r="BC78" s="774">
        <f t="shared" si="277"/>
      </c>
      <c r="BD78" s="78">
        <f t="shared" si="277"/>
      </c>
      <c r="BE78" s="774">
        <f t="shared" ref="BE78:BJ78" si="278">INDEX(MO_CFSum_Divestiture,0,COLUMN())</f>
      </c>
      <c r="BF78" s="774">
        <f t="shared" si="278"/>
      </c>
      <c r="BG78" s="774">
        <f t="shared" si="278"/>
      </c>
      <c r="BH78" s="774">
        <f t="shared" si="278"/>
      </c>
      <c r="BI78" s="78">
        <f t="shared" si="278"/>
      </c>
      <c r="BJ78" s="774">
        <f t="shared" si="278"/>
      </c>
      <c r="BK78" s="774">
        <f t="shared" ref="BK78:BP78" si="279">INDEX(MO_CFSum_Divestiture,0,COLUMN())</f>
      </c>
      <c r="BL78" s="774">
        <f t="shared" si="279"/>
      </c>
      <c r="BM78" s="774">
        <f t="shared" si="279"/>
      </c>
      <c r="BN78" s="78">
        <f t="shared" si="279"/>
      </c>
      <c r="BO78" s="774">
        <f t="shared" si="279"/>
      </c>
      <c r="BP78" s="774">
        <f t="shared" si="279"/>
      </c>
      <c r="BQ78" s="774">
        <f>INDEX(MO_CFSum_Divestiture,0,COLUMN())</f>
      </c>
      <c r="BR78" s="774">
        <f>INDEX(MO_CFSum_Divestiture,0,COLUMN())</f>
      </c>
      <c r="BS78" s="78">
        <f>INDEX(MO_CFSum_Divestiture,0,COLUMN())</f>
      </c>
      <c r="BT78" s="775">
        <f>INDEX(MO_CFSum_Divestiture,0,COLUMN())</f>
      </c>
      <c r="BU78" s="774">
        <f t="shared" ref="BU78:BX78" si="280">INDEX(MO_CFSum_Divestiture,0,COLUMN())</f>
      </c>
      <c r="BV78" s="774">
        <f t="shared" si="280"/>
      </c>
      <c r="BW78" s="774">
        <f t="shared" si="280"/>
      </c>
      <c r="BX78" s="78">
        <f t="shared" si="280"/>
      </c>
      <c r="BY78" s="774">
        <f t="shared" ref="BY78:CF78" si="281">INDEX(MO_CFSum_Divestiture,0,COLUMN())</f>
      </c>
      <c r="BZ78" s="774">
        <f t="shared" si="281"/>
      </c>
      <c r="CA78" s="774">
        <f t="shared" si="281"/>
      </c>
      <c r="CB78" s="774">
        <f t="shared" si="281"/>
      </c>
      <c r="CC78" s="78">
        <f t="shared" si="281"/>
      </c>
      <c r="CD78" s="78">
        <f t="shared" si="281"/>
      </c>
      <c r="CE78" s="78">
        <f t="shared" si="281"/>
      </c>
      <c r="CF78" s="78">
        <f t="shared" si="281"/>
      </c>
      <c r="CG78" s="774"/>
    </row>
    <row r="79" spans="1:85" customFormat="1" x14ac:dyDescent="0.3">
      <c r="A79" s="107" t="s">
        <v>323</v>
      </c>
      <c r="B79" s="108"/>
      <c r="C79" s="78">
        <f t="shared" ref="C79:AH79" si="282">INDEX(MO_CFSum_NetShares,0,COLUMN())</f>
      </c>
      <c r="D79" s="78">
        <f t="shared" si="282"/>
      </c>
      <c r="E79" s="78">
        <f t="shared" si="282"/>
      </c>
      <c r="F79" s="78">
        <f t="shared" si="282"/>
      </c>
      <c r="G79" s="774">
        <f t="shared" si="282"/>
      </c>
      <c r="H79" s="774">
        <f t="shared" si="282"/>
      </c>
      <c r="I79" s="774">
        <f t="shared" si="282"/>
      </c>
      <c r="J79" s="774">
        <f t="shared" si="282"/>
      </c>
      <c r="K79" s="78">
        <f t="shared" si="282"/>
      </c>
      <c r="L79" s="774">
        <f t="shared" si="282"/>
      </c>
      <c r="M79" s="774">
        <f t="shared" si="282"/>
      </c>
      <c r="N79" s="774">
        <f t="shared" si="282"/>
      </c>
      <c r="O79" s="774">
        <f t="shared" si="282"/>
      </c>
      <c r="P79" s="78">
        <f t="shared" si="282"/>
      </c>
      <c r="Q79" s="774">
        <f t="shared" si="282"/>
      </c>
      <c r="R79" s="774">
        <f t="shared" si="282"/>
      </c>
      <c r="S79" s="774">
        <f t="shared" si="282"/>
      </c>
      <c r="T79" s="774">
        <f t="shared" si="282"/>
      </c>
      <c r="U79" s="78">
        <f t="shared" si="282"/>
      </c>
      <c r="V79" s="774">
        <f t="shared" si="282"/>
      </c>
      <c r="W79" s="774">
        <f t="shared" si="282"/>
      </c>
      <c r="X79" s="774">
        <f t="shared" si="282"/>
      </c>
      <c r="Y79" s="774">
        <f t="shared" si="282"/>
      </c>
      <c r="Z79" s="78">
        <f t="shared" si="282"/>
      </c>
      <c r="AA79" s="774">
        <f t="shared" si="282"/>
      </c>
      <c r="AB79" s="774">
        <f t="shared" si="282"/>
      </c>
      <c r="AC79" s="774">
        <f t="shared" si="282"/>
      </c>
      <c r="AD79" s="774">
        <f t="shared" si="282"/>
      </c>
      <c r="AE79" s="78">
        <f t="shared" si="282"/>
      </c>
      <c r="AF79" s="774">
        <f t="shared" si="282"/>
      </c>
      <c r="AG79" s="774">
        <f t="shared" si="282"/>
      </c>
      <c r="AH79" s="774">
        <f t="shared" si="282"/>
      </c>
      <c r="AI79" s="774">
        <f t="shared" ref="AI79:BD79" si="283">INDEX(MO_CFSum_NetShares,0,COLUMN())</f>
      </c>
      <c r="AJ79" s="78">
        <f t="shared" si="283"/>
      </c>
      <c r="AK79" s="774">
        <f t="shared" si="283"/>
      </c>
      <c r="AL79" s="774">
        <f t="shared" si="283"/>
      </c>
      <c r="AM79" s="774">
        <f t="shared" si="283"/>
      </c>
      <c r="AN79" s="774">
        <f t="shared" si="283"/>
      </c>
      <c r="AO79" s="78">
        <f t="shared" si="283"/>
      </c>
      <c r="AP79" s="774">
        <f t="shared" si="283"/>
      </c>
      <c r="AQ79" s="774">
        <f t="shared" si="283"/>
      </c>
      <c r="AR79" s="774">
        <f t="shared" si="283"/>
      </c>
      <c r="AS79" s="774">
        <f t="shared" si="283"/>
      </c>
      <c r="AT79" s="78">
        <f t="shared" si="283"/>
      </c>
      <c r="AU79" s="774">
        <f t="shared" si="283"/>
      </c>
      <c r="AV79" s="774">
        <f t="shared" si="283"/>
      </c>
      <c r="AW79" s="774">
        <f t="shared" si="283"/>
      </c>
      <c r="AX79" s="774">
        <f t="shared" si="283"/>
      </c>
      <c r="AY79" s="78">
        <f t="shared" si="283"/>
      </c>
      <c r="AZ79" s="774">
        <f t="shared" si="283"/>
      </c>
      <c r="BA79" s="774">
        <f t="shared" si="283"/>
      </c>
      <c r="BB79" s="774">
        <f t="shared" si="283"/>
      </c>
      <c r="BC79" s="774">
        <f t="shared" si="283"/>
      </c>
      <c r="BD79" s="78">
        <f t="shared" si="283"/>
      </c>
      <c r="BE79" s="774">
        <f t="shared" ref="BE79:BJ79" si="284">INDEX(MO_CFSum_NetShares,0,COLUMN())</f>
      </c>
      <c r="BF79" s="774">
        <f t="shared" si="284"/>
      </c>
      <c r="BG79" s="774">
        <f t="shared" si="284"/>
      </c>
      <c r="BH79" s="774">
        <f t="shared" si="284"/>
      </c>
      <c r="BI79" s="78">
        <f t="shared" si="284"/>
      </c>
      <c r="BJ79" s="774">
        <f t="shared" si="284"/>
      </c>
      <c r="BK79" s="774">
        <f t="shared" ref="BK79:BP79" si="285">INDEX(MO_CFSum_NetShares,0,COLUMN())</f>
      </c>
      <c r="BL79" s="774">
        <f t="shared" si="285"/>
      </c>
      <c r="BM79" s="774">
        <f t="shared" si="285"/>
      </c>
      <c r="BN79" s="78">
        <f t="shared" si="285"/>
      </c>
      <c r="BO79" s="774">
        <f t="shared" si="285"/>
      </c>
      <c r="BP79" s="774">
        <f t="shared" si="285"/>
      </c>
      <c r="BQ79" s="774">
        <f>INDEX(MO_CFSum_NetShares,0,COLUMN())</f>
      </c>
      <c r="BR79" s="774">
        <f>INDEX(MO_CFSum_NetShares,0,COLUMN())</f>
      </c>
      <c r="BS79" s="78">
        <f>INDEX(MO_CFSum_NetShares,0,COLUMN())</f>
      </c>
      <c r="BT79" s="775">
        <f>INDEX(MO_CFSum_NetShares,0,COLUMN())</f>
      </c>
      <c r="BU79" s="774">
        <f t="shared" ref="BU79:BX79" si="286">INDEX(MO_CFSum_NetShares,0,COLUMN())</f>
      </c>
      <c r="BV79" s="774">
        <f t="shared" si="286"/>
      </c>
      <c r="BW79" s="774">
        <f t="shared" si="286"/>
      </c>
      <c r="BX79" s="78">
        <f t="shared" si="286"/>
      </c>
      <c r="BY79" s="774">
        <f t="shared" ref="BY79:CF79" si="287">INDEX(MO_CFSum_NetShares,0,COLUMN())</f>
      </c>
      <c r="BZ79" s="774">
        <f t="shared" si="287"/>
      </c>
      <c r="CA79" s="774">
        <f t="shared" si="287"/>
      </c>
      <c r="CB79" s="774">
        <f t="shared" si="287"/>
      </c>
      <c r="CC79" s="78">
        <f t="shared" si="287"/>
      </c>
      <c r="CD79" s="78">
        <f t="shared" si="287"/>
      </c>
      <c r="CE79" s="78">
        <f t="shared" si="287"/>
      </c>
      <c r="CF79" s="78">
        <f t="shared" si="287"/>
      </c>
      <c r="CG79" s="774"/>
    </row>
    <row r="80" spans="1:85" customFormat="1" x14ac:dyDescent="0.3">
      <c r="A80" s="107" t="s">
        <v>324</v>
      </c>
      <c r="B80" s="108"/>
      <c r="C80" s="78">
        <f t="shared" ref="C80:AH80" si="288">INDEX(MO_CFSum_NetDebtIssuance,0,COLUMN())</f>
      </c>
      <c r="D80" s="78">
        <f t="shared" si="288"/>
      </c>
      <c r="E80" s="78">
        <f t="shared" si="288"/>
      </c>
      <c r="F80" s="78">
        <f t="shared" si="288"/>
      </c>
      <c r="G80" s="774">
        <f t="shared" si="288"/>
      </c>
      <c r="H80" s="774">
        <f t="shared" si="288"/>
      </c>
      <c r="I80" s="774">
        <f t="shared" si="288"/>
      </c>
      <c r="J80" s="774">
        <f t="shared" si="288"/>
      </c>
      <c r="K80" s="78">
        <f t="shared" si="288"/>
      </c>
      <c r="L80" s="774">
        <f t="shared" si="288"/>
      </c>
      <c r="M80" s="774">
        <f t="shared" si="288"/>
      </c>
      <c r="N80" s="774">
        <f t="shared" si="288"/>
      </c>
      <c r="O80" s="774">
        <f t="shared" si="288"/>
      </c>
      <c r="P80" s="78">
        <f t="shared" si="288"/>
      </c>
      <c r="Q80" s="774">
        <f t="shared" si="288"/>
      </c>
      <c r="R80" s="774">
        <f t="shared" si="288"/>
      </c>
      <c r="S80" s="774">
        <f t="shared" si="288"/>
      </c>
      <c r="T80" s="774">
        <f t="shared" si="288"/>
      </c>
      <c r="U80" s="78">
        <f t="shared" si="288"/>
      </c>
      <c r="V80" s="774">
        <f t="shared" si="288"/>
      </c>
      <c r="W80" s="774">
        <f t="shared" si="288"/>
      </c>
      <c r="X80" s="774">
        <f t="shared" si="288"/>
      </c>
      <c r="Y80" s="774">
        <f t="shared" si="288"/>
      </c>
      <c r="Z80" s="78">
        <f t="shared" si="288"/>
      </c>
      <c r="AA80" s="774">
        <f t="shared" si="288"/>
      </c>
      <c r="AB80" s="774">
        <f t="shared" si="288"/>
      </c>
      <c r="AC80" s="774">
        <f t="shared" si="288"/>
      </c>
      <c r="AD80" s="774">
        <f t="shared" si="288"/>
      </c>
      <c r="AE80" s="78">
        <f t="shared" si="288"/>
      </c>
      <c r="AF80" s="774">
        <f t="shared" si="288"/>
      </c>
      <c r="AG80" s="774">
        <f t="shared" si="288"/>
      </c>
      <c r="AH80" s="774">
        <f t="shared" si="288"/>
      </c>
      <c r="AI80" s="774">
        <f t="shared" ref="AI80:BD80" si="289">INDEX(MO_CFSum_NetDebtIssuance,0,COLUMN())</f>
      </c>
      <c r="AJ80" s="78">
        <f t="shared" si="289"/>
      </c>
      <c r="AK80" s="774">
        <f t="shared" si="289"/>
      </c>
      <c r="AL80" s="774">
        <f t="shared" si="289"/>
      </c>
      <c r="AM80" s="774">
        <f t="shared" si="289"/>
      </c>
      <c r="AN80" s="774">
        <f t="shared" si="289"/>
      </c>
      <c r="AO80" s="78">
        <f t="shared" si="289"/>
      </c>
      <c r="AP80" s="774">
        <f t="shared" si="289"/>
      </c>
      <c r="AQ80" s="774">
        <f t="shared" si="289"/>
      </c>
      <c r="AR80" s="774">
        <f t="shared" si="289"/>
      </c>
      <c r="AS80" s="774">
        <f t="shared" si="289"/>
      </c>
      <c r="AT80" s="78">
        <f t="shared" si="289"/>
      </c>
      <c r="AU80" s="774">
        <f t="shared" si="289"/>
      </c>
      <c r="AV80" s="774">
        <f t="shared" si="289"/>
      </c>
      <c r="AW80" s="774">
        <f t="shared" si="289"/>
      </c>
      <c r="AX80" s="774">
        <f t="shared" si="289"/>
      </c>
      <c r="AY80" s="78">
        <f t="shared" si="289"/>
      </c>
      <c r="AZ80" s="774">
        <f t="shared" si="289"/>
      </c>
      <c r="BA80" s="774">
        <f t="shared" si="289"/>
      </c>
      <c r="BB80" s="774">
        <f t="shared" si="289"/>
      </c>
      <c r="BC80" s="774">
        <f t="shared" si="289"/>
      </c>
      <c r="BD80" s="78">
        <f t="shared" si="289"/>
      </c>
      <c r="BE80" s="774">
        <f t="shared" ref="BE80:BJ80" si="290">INDEX(MO_CFSum_NetDebtIssuance,0,COLUMN())</f>
      </c>
      <c r="BF80" s="774">
        <f t="shared" si="290"/>
      </c>
      <c r="BG80" s="774">
        <f t="shared" si="290"/>
      </c>
      <c r="BH80" s="774">
        <f t="shared" si="290"/>
      </c>
      <c r="BI80" s="78">
        <f t="shared" si="290"/>
      </c>
      <c r="BJ80" s="774">
        <f t="shared" si="290"/>
      </c>
      <c r="BK80" s="774">
        <f t="shared" ref="BK80:BP80" si="291">INDEX(MO_CFSum_NetDebtIssuance,0,COLUMN())</f>
      </c>
      <c r="BL80" s="774">
        <f t="shared" si="291"/>
      </c>
      <c r="BM80" s="774">
        <f t="shared" si="291"/>
      </c>
      <c r="BN80" s="78">
        <f t="shared" si="291"/>
      </c>
      <c r="BO80" s="774">
        <f t="shared" si="291"/>
      </c>
      <c r="BP80" s="774">
        <f t="shared" si="291"/>
      </c>
      <c r="BQ80" s="774">
        <f>INDEX(MO_CFSum_NetDebtIssuance,0,COLUMN())</f>
      </c>
      <c r="BR80" s="774">
        <f>INDEX(MO_CFSum_NetDebtIssuance,0,COLUMN())</f>
      </c>
      <c r="BS80" s="78">
        <f>INDEX(MO_CFSum_NetDebtIssuance,0,COLUMN())</f>
      </c>
      <c r="BT80" s="775">
        <f>INDEX(MO_CFSum_NetDebtIssuance,0,COLUMN())</f>
      </c>
      <c r="BU80" s="774">
        <f t="shared" ref="BU80:BX80" si="292">INDEX(MO_CFSum_NetDebtIssuance,0,COLUMN())</f>
      </c>
      <c r="BV80" s="774">
        <f t="shared" si="292"/>
      </c>
      <c r="BW80" s="774">
        <f t="shared" si="292"/>
      </c>
      <c r="BX80" s="78">
        <f t="shared" si="292"/>
      </c>
      <c r="BY80" s="774">
        <f t="shared" ref="BY80:CF80" si="293">INDEX(MO_CFSum_NetDebtIssuance,0,COLUMN())</f>
      </c>
      <c r="BZ80" s="774">
        <f t="shared" si="293"/>
      </c>
      <c r="CA80" s="774">
        <f t="shared" si="293"/>
      </c>
      <c r="CB80" s="774">
        <f t="shared" si="293"/>
      </c>
      <c r="CC80" s="78">
        <f t="shared" si="293"/>
      </c>
      <c r="CD80" s="78">
        <f t="shared" si="293"/>
      </c>
      <c r="CE80" s="78">
        <f t="shared" si="293"/>
      </c>
      <c r="CF80" s="78">
        <f t="shared" si="293"/>
      </c>
      <c r="CG80" s="774"/>
    </row>
    <row r="81" spans="1:85" customFormat="1" x14ac:dyDescent="0.3">
      <c r="A81" s="174" t="s">
        <v>315</v>
      </c>
      <c r="B81" s="175"/>
      <c r="C81" s="1100">
        <f>Model!C1155+Model!C1152+Model!C1129+Model!C1133+Model!C1132+Model!C1131+Model!C1144+Model!C1149</f>
      </c>
      <c r="D81" s="1100">
        <f>Model!D1155+Model!D1152+Model!D1129+Model!D1133+Model!D1132+Model!D1131+Model!D1144+Model!D1149</f>
      </c>
      <c r="E81" s="1100">
        <f>Model!E1155+Model!E1152+Model!E1129+Model!E1133+Model!E1132+Model!E1131+Model!E1144+Model!E1149</f>
      </c>
      <c r="F81" s="1100">
        <f>Model!F1155+Model!F1152+Model!F1129+Model!F1133+Model!F1132+Model!F1131+Model!F1144+Model!F1149+Model!F1134</f>
      </c>
      <c r="G81" s="840">
        <f>Model!G1155+Model!G1152+Model!G1129+Model!G1133+Model!G1132+Model!G1131+Model!G1144+Model!G1149+Model!G1134</f>
      </c>
      <c r="H81" s="840">
        <f>Model!H1155+Model!H1152+Model!H1129+Model!H1133+Model!H1132+Model!H1131+Model!H1144+Model!H1149+Model!H1134</f>
      </c>
      <c r="I81" s="840">
        <f>Model!I1155+Model!I1152+Model!I1129+Model!I1133+Model!I1132+Model!I1131+Model!I1144+Model!I1149+Model!I1134</f>
      </c>
      <c r="J81" s="840">
        <f>Model!J1155+Model!J1152+Model!J1129+Model!J1133+Model!J1132+Model!J1131+Model!J1144+Model!J1149+Model!J1134</f>
      </c>
      <c r="K81" s="1100">
        <f>Model!K1155+Model!K1152+Model!K1129+Model!K1133+Model!K1132+Model!K1131+Model!K1144+Model!K1149+Model!K1134</f>
      </c>
      <c r="L81" s="840">
        <f>Model!L1155+Model!L1152+Model!L1129+Model!L1133+Model!L1132+Model!L1131+Model!L1144+Model!L1149+Model!L1134</f>
      </c>
      <c r="M81" s="840">
        <f>Model!M1155+Model!M1152+Model!M1129+Model!M1133+Model!M1132+Model!M1131+Model!M1144+Model!M1149+Model!M1134</f>
      </c>
      <c r="N81" s="840">
        <f>Model!N1155+Model!N1152+Model!N1129+Model!N1133+Model!N1132+Model!N1131+Model!N1144+Model!N1149+Model!N1134</f>
      </c>
      <c r="O81" s="840">
        <f>Model!O1155+Model!O1152+Model!O1129+Model!O1133+Model!O1132+Model!O1131+Model!O1144+Model!O1149+Model!O1134</f>
      </c>
      <c r="P81" s="1100">
        <f>Model!P1155+Model!P1152+Model!P1129+Model!P1133+Model!P1132+Model!P1131+Model!P1144+Model!P1149+Model!P1134</f>
      </c>
      <c r="Q81" s="840">
        <f>Model!Q1155+Model!Q1152+Model!Q1129+Model!Q1133+Model!Q1132+Model!Q1131+Model!Q1144+Model!Q1149+Model!Q1134</f>
      </c>
      <c r="R81" s="840">
        <f>Model!R1155+Model!R1152+Model!R1129+Model!R1133+Model!R1132+Model!R1131+Model!R1144+Model!R1149+Model!R1134</f>
      </c>
      <c r="S81" s="840">
        <f>Model!S1155+Model!S1152+Model!S1129+Model!S1133+Model!S1132+Model!S1131+Model!S1144+Model!S1149+Model!S1134</f>
      </c>
      <c r="T81" s="840">
        <f>Model!T1155+Model!T1152+Model!T1129+Model!T1133+Model!T1132+Model!T1131+Model!T1144+Model!T1149+Model!T1134</f>
      </c>
      <c r="U81" s="1100">
        <f>Model!U1155+Model!U1152+Model!U1129+Model!U1133+Model!U1132+Model!U1131+Model!U1144+Model!U1149+Model!U1134</f>
      </c>
      <c r="V81" s="840">
        <f>Model!V1155+Model!V1152+Model!V1129+Model!V1133+Model!V1132+Model!V1131+Model!V1144+Model!V1149+Model!V1134</f>
      </c>
      <c r="W81" s="840">
        <f>Model!W1155+Model!W1152+Model!W1129+Model!W1133+Model!W1132+Model!W1131+Model!W1144+Model!W1149+Model!W1134</f>
      </c>
      <c r="X81" s="840">
        <f>Model!X1155+Model!X1152+Model!X1129+Model!X1133+Model!X1132+Model!X1131+Model!X1144+Model!X1149+Model!X1134</f>
      </c>
      <c r="Y81" s="840">
        <f>Model!Y1155+Model!Y1152+Model!Y1129+Model!Y1133+Model!Y1132+Model!Y1131+Model!Y1144+Model!Y1149+Model!Y1134</f>
      </c>
      <c r="Z81" s="1100">
        <f>Model!Z1155+Model!Z1152+Model!Z1129+Model!Z1133+Model!Z1132+Model!Z1131+Model!Z1144+Model!Z1149+Model!Z1134</f>
      </c>
      <c r="AA81" s="840">
        <f>Model!AA1155+Model!AA1152+Model!AA1129+Model!AA1133+Model!AA1132+Model!AA1131+Model!AA1144+Model!AA1149+Model!AA1134</f>
      </c>
      <c r="AB81" s="840">
        <f>Model!AB1155+Model!AB1152+Model!AB1129+Model!AB1133+Model!AB1132+Model!AB1131+Model!AB1144+Model!AB1149+Model!AB1134</f>
      </c>
      <c r="AC81" s="840">
        <f>Model!AC1155+Model!AC1152+Model!AC1129+Model!AC1133+Model!AC1132+Model!AC1131+Model!AC1144+Model!AC1149+Model!AC1134</f>
      </c>
      <c r="AD81" s="840">
        <f>Model!AD1155+Model!AD1152+Model!AD1129+Model!AD1133+Model!AD1132+Model!AD1131+Model!AD1144+Model!AD1149+Model!AD1134</f>
      </c>
      <c r="AE81" s="1100">
        <f>Model!AE1155+Model!AE1152+Model!AE1129+Model!AE1133+Model!AE1132+Model!AE1131+Model!AE1144+Model!AE1149+Model!AE1134</f>
      </c>
      <c r="AF81" s="840">
        <f>Model!AF1155+Model!AF1152+Model!AF1129+Model!AF1133+Model!AF1132+Model!AF1131+Model!AF1144+Model!AF1149+Model!AF1134</f>
      </c>
      <c r="AG81" s="840">
        <f>Model!AG1155+Model!AG1152+Model!AG1129+Model!AG1133+Model!AG1132+Model!AG1131+Model!AG1144+Model!AG1149+Model!AG1134</f>
      </c>
      <c r="AH81" s="840">
        <f>Model!AH1155+Model!AH1152+Model!AH1129+Model!AH1133+Model!AH1132+Model!AH1131+Model!AH1144+Model!AH1149+Model!AH1134</f>
      </c>
      <c r="AI81" s="840">
        <f>Model!AI1155+Model!AI1152+Model!AI1129+Model!AI1133+Model!AI1132+Model!AI1131+Model!AI1144+Model!AI1149+Model!AI1134</f>
      </c>
      <c r="AJ81" s="1100">
        <f>Model!AJ1155+Model!AJ1152+Model!AJ1129+Model!AJ1133+Model!AJ1132+Model!AJ1131+Model!AJ1144+Model!AJ1149+Model!AJ1134</f>
      </c>
      <c r="AK81" s="840">
        <f>Model!AK1155+Model!AK1152+Model!AK1129+Model!AK1133+Model!AK1132+Model!AK1131+Model!AK1144+Model!AK1149+Model!AK1134</f>
      </c>
      <c r="AL81" s="840">
        <f>Model!AL1155+Model!AL1152+Model!AL1129+Model!AL1133+Model!AL1132+Model!AL1131+Model!AL1144+Model!AL1149+Model!AL1134</f>
      </c>
      <c r="AM81" s="840">
        <f>Model!AM1155+Model!AM1152+Model!AM1129+Model!AM1133+Model!AM1132+Model!AM1131+Model!AM1144+Model!AM1149+Model!AM1134</f>
      </c>
      <c r="AN81" s="840">
        <f>Model!AN1155+Model!AN1152+Model!AN1129+Model!AN1133+Model!AN1132+Model!AN1131+Model!AN1144+Model!AN1149+Model!AN1134</f>
      </c>
      <c r="AO81" s="1100">
        <f>Model!AO1155+Model!AO1152+Model!AO1129+Model!AO1133+Model!AO1132+Model!AO1131+Model!AO1144+Model!AO1149+Model!AO1134</f>
      </c>
      <c r="AP81" s="840">
        <f>Model!AP1155+Model!AP1152+Model!AP1129+Model!AP1133+Model!AP1132+Model!AP1131+Model!AP1144+Model!AP1149+Model!AP1134</f>
      </c>
      <c r="AQ81" s="840">
        <f>Model!AQ1155+Model!AQ1152+Model!AQ1129+Model!AQ1133+Model!AQ1132+Model!AQ1131+Model!AQ1144+Model!AQ1149+Model!AQ1134</f>
      </c>
      <c r="AR81" s="840">
        <f>Model!AR1155+Model!AR1152+Model!AR1129+Model!AR1133+Model!AR1132+Model!AR1131+Model!AR1144+Model!AR1149+Model!AR1134</f>
      </c>
      <c r="AS81" s="840">
        <f>Model!AS1155+Model!AS1152+Model!AS1129+Model!AS1133+Model!AS1132+Model!AS1131+Model!AS1144+Model!AS1149+Model!AS1134</f>
      </c>
      <c r="AT81" s="1100">
        <f>Model!AT1155+Model!AT1152+Model!AT1129+Model!AT1133+Model!AT1132+Model!AT1131+Model!AT1144+Model!AT1149+Model!AT1134</f>
      </c>
      <c r="AU81" s="840">
        <f>Model!AU1155+Model!AU1152+Model!AU1129+Model!AU1133+Model!AU1132+Model!AU1131+Model!AU1144+Model!AU1149+Model!AU1134</f>
      </c>
      <c r="AV81" s="840">
        <f>Model!AV1155+Model!AV1152+Model!AV1129+Model!AV1133+Model!AV1132+Model!AV1131+Model!AV1144+Model!AV1149+Model!AV1134</f>
      </c>
      <c r="AW81" s="840">
        <f>Model!AW1155+Model!AW1152+Model!AW1129+Model!AW1133+Model!AW1132+Model!AW1131+Model!AW1144+Model!AW1149+Model!AW1134</f>
      </c>
      <c r="AX81" s="840">
        <f>Model!AX1155+Model!AX1152+Model!AX1129+Model!AX1133+Model!AX1132+Model!AX1131+Model!AX1144+Model!AX1149+Model!AX1134</f>
      </c>
      <c r="AY81" s="1100">
        <f>Model!AY1155+Model!AY1152+Model!AY1129+Model!AY1133+Model!AY1132+Model!AY1131+Model!AY1144+Model!AY1149+Model!AY1134</f>
      </c>
      <c r="AZ81" s="840">
        <f>Model!AZ1155+Model!AZ1152+Model!AZ1129+Model!AZ1133+Model!AZ1132+Model!AZ1131+Model!AZ1144+Model!AZ1149+Model!AZ1134</f>
      </c>
      <c r="BA81" s="840">
        <f>Model!BA1155+Model!BA1152+Model!BA1129+Model!BA1133+Model!BA1132+Model!BA1131+Model!BA1144+Model!BA1149+Model!BA1134</f>
      </c>
      <c r="BB81" s="840">
        <f>Model!BB1155+Model!BB1152+Model!BB1129+Model!BB1133+Model!BB1132+Model!BB1131+Model!BB1144+Model!BB1149+Model!BB1134</f>
      </c>
      <c r="BC81" s="840">
        <f>Model!BC1155+Model!BC1152+Model!BC1129+Model!BC1133+Model!BC1132+Model!BC1131+Model!BC1144+Model!BC1149+Model!BC1134</f>
      </c>
      <c r="BD81" s="1100">
        <f>Model!BD1155+Model!BD1152+Model!BD1129+Model!BD1133+Model!BD1132+Model!BD1131+Model!BD1144+Model!BD1149+Model!BD1134</f>
      </c>
      <c r="BE81" s="840">
        <f>Model!BE1155+Model!BE1152+Model!BE1129+Model!BE1133+Model!BE1132+Model!BE1131+Model!BE1144+Model!BE1149+Model!BE1134</f>
      </c>
      <c r="BF81" s="840">
        <f>Model!BF1155+Model!BF1152+Model!BF1129+Model!BF1133+Model!BF1132+Model!BF1131+Model!BF1144+Model!BF1149+Model!BF1134</f>
      </c>
      <c r="BG81" s="840">
        <f>Model!BG1155+Model!BG1152+Model!BG1129+Model!BG1133+Model!BG1132+Model!BG1131+Model!BG1144+Model!BG1149+Model!BG1134</f>
      </c>
      <c r="BH81" s="840">
        <f>Model!BH1155+Model!BH1152+Model!BH1129+Model!BH1133+Model!BH1132+Model!BH1131+Model!BH1144+Model!BH1149+Model!BH1134</f>
      </c>
      <c r="BI81" s="1100">
        <f>Model!BI1155+Model!BI1152+Model!BI1129+Model!BI1133+Model!BI1132+Model!BI1131+Model!BI1144+Model!BI1149+Model!BI1134</f>
      </c>
      <c r="BJ81" s="840">
        <f>Model!BJ1155+Model!BJ1152+Model!BJ1129+Model!BJ1133+Model!BJ1132+Model!BJ1131+Model!BJ1144+Model!BJ1149+Model!BJ1134</f>
      </c>
      <c r="BK81" s="840">
        <f>Model!BK1155+Model!BK1152+Model!BK1129+Model!BK1133+Model!BK1132+Model!BK1131+Model!BK1144+Model!BK1149+Model!BK1134</f>
      </c>
      <c r="BL81" s="840">
        <f>Model!BL1155+Model!BL1152+Model!BL1129+Model!BL1133+Model!BL1132+Model!BL1131+Model!BL1144+Model!BL1149+Model!BL1134</f>
      </c>
      <c r="BM81" s="840">
        <f>Model!BM1155+Model!BM1152+Model!BM1129+Model!BM1133+Model!BM1132+Model!BM1131+Model!BM1144+Model!BM1149+Model!BM1134</f>
      </c>
      <c r="BN81" s="1100">
        <f>Model!BN1155+Model!BN1152+Model!BN1129+Model!BN1133+Model!BN1132+Model!BN1131+Model!BN1144+Model!BN1149+Model!BN1134</f>
      </c>
      <c r="BO81" s="840">
        <f>Model!BO1155+Model!BO1152+Model!BO1129+Model!BO1133+Model!BO1132+Model!BO1131+Model!BO1144+Model!BO1149+Model!BO1134</f>
      </c>
      <c r="BP81" s="840">
        <f>Model!BP1155+Model!BP1152+Model!BP1129+Model!BP1133+Model!BP1132+Model!BP1131+Model!BP1144+Model!BP1149+Model!BP1134</f>
      </c>
      <c r="BQ81" s="840">
        <f>Model!BQ1155+Model!BQ1152+Model!BQ1129+Model!BQ1133+Model!BQ1132+Model!BQ1131+Model!BQ1144+Model!BQ1149+Model!BQ1134</f>
      </c>
      <c r="BR81" s="840">
        <f>Model!BR1155+Model!BR1152+Model!BR1129+Model!BR1133+Model!BR1132+Model!BR1131+Model!BR1144+Model!BR1149+Model!BR1134</f>
      </c>
      <c r="BS81" s="1100">
        <f>Model!BS1155+Model!BS1152+Model!BS1129+Model!BS1133+Model!BS1132+Model!BS1131+Model!BS1144+Model!BS1149+Model!BS1134</f>
      </c>
      <c r="BT81" s="841">
        <f>Model!BT1155+Model!BT1152+Model!BT1129+Model!BT1133+Model!BT1132+Model!BT1131+Model!BT1144+Model!BT1149+Model!BT1134</f>
      </c>
      <c r="BU81" s="840">
        <f>Model!BU1155+Model!BU1152+Model!BU1129+Model!BU1133+Model!BU1132+Model!BU1131+Model!BU1144+Model!BU1149+Model!BU1134</f>
      </c>
      <c r="BV81" s="840">
        <f>Model!BV1155+Model!BV1152+Model!BV1129+Model!BV1133+Model!BV1132+Model!BV1131+Model!BV1144+Model!BV1149+Model!BV1134</f>
      </c>
      <c r="BW81" s="840">
        <f>Model!BW1155+Model!BW1152+Model!BW1129+Model!BW1133+Model!BW1132+Model!BW1131+Model!BW1144+Model!BW1149+Model!BW1134</f>
      </c>
      <c r="BX81" s="1100">
        <f>Model!BX1155+Model!BX1152+Model!BX1129+Model!BX1133+Model!BX1132+Model!BX1131+Model!BX1144+Model!BX1149+Model!BX1134</f>
      </c>
      <c r="BY81" s="840">
        <f>Model!BY1155+Model!BY1152+Model!BY1129+Model!BY1133+Model!BY1132+Model!BY1131+Model!BY1144+Model!BY1149+Model!BY1134</f>
      </c>
      <c r="BZ81" s="840">
        <f>Model!BZ1155+Model!BZ1152+Model!BZ1129+Model!BZ1133+Model!BZ1132+Model!BZ1131+Model!BZ1144+Model!BZ1149+Model!BZ1134</f>
      </c>
      <c r="CA81" s="840">
        <f>Model!CA1155+Model!CA1152+Model!CA1129+Model!CA1133+Model!CA1132+Model!CA1131+Model!CA1144+Model!CA1149+Model!CA1134</f>
      </c>
      <c r="CB81" s="840">
        <f>Model!CB1155+Model!CB1152+Model!CB1129+Model!CB1133+Model!CB1132+Model!CB1131+Model!CB1144+Model!CB1149+Model!CB1134</f>
      </c>
      <c r="CC81" s="1100">
        <f>Model!CC1155+Model!CC1152+Model!CC1129+Model!CC1133+Model!CC1132+Model!CC1131+Model!CC1144+Model!CC1149+Model!CC1134</f>
      </c>
      <c r="CD81" s="1100">
        <f>Model!CD1155+Model!CD1152+Model!CD1129+Model!CD1133+Model!CD1132+Model!CD1131+Model!CD1144+Model!CD1149+Model!CD1134</f>
      </c>
      <c r="CE81" s="1100">
        <f>Model!CE1155+Model!CE1152+Model!CE1129+Model!CE1133+Model!CE1132+Model!CE1131+Model!CE1144+Model!CE1149+Model!CE1134</f>
      </c>
      <c r="CF81" s="1100">
        <f>Model!CF1155+Model!CF1152+Model!CF1129+Model!CF1133+Model!CF1132+Model!CF1131+Model!CF1144+Model!CF1149+Model!CF1134</f>
      </c>
      <c r="CG81" s="774"/>
    </row>
    <row r="82" spans="1:85" customFormat="1" x14ac:dyDescent="0.3">
      <c r="A82" s="109" t="s">
        <v>325</v>
      </c>
      <c r="B82" s="110"/>
      <c r="C82" s="1101">
        <f t="shared" ref="C82:AH82" ca="1" si="294">SUM(C76:C81)</f>
      </c>
      <c r="D82" s="1101">
        <f t="shared" ca="1" si="294"/>
      </c>
      <c r="E82" s="1101">
        <f t="shared" ca="1" si="294"/>
      </c>
      <c r="F82" s="1101">
        <f t="shared" ca="1" si="294"/>
      </c>
      <c r="G82" s="842">
        <f t="shared" ca="1" si="294"/>
      </c>
      <c r="H82" s="842">
        <f t="shared" ca="1" si="294"/>
      </c>
      <c r="I82" s="842">
        <f t="shared" ca="1" si="294"/>
      </c>
      <c r="J82" s="842">
        <f t="shared" ca="1" si="294"/>
      </c>
      <c r="K82" s="1101">
        <f t="shared" ca="1" si="294"/>
      </c>
      <c r="L82" s="842">
        <f t="shared" ca="1" si="294"/>
      </c>
      <c r="M82" s="842">
        <f t="shared" ca="1" si="294"/>
      </c>
      <c r="N82" s="842">
        <f t="shared" ca="1" si="294"/>
      </c>
      <c r="O82" s="842">
        <f t="shared" ca="1" si="294"/>
      </c>
      <c r="P82" s="1101">
        <f t="shared" ca="1" si="294"/>
      </c>
      <c r="Q82" s="842">
        <f t="shared" ca="1" si="294"/>
      </c>
      <c r="R82" s="842">
        <f t="shared" ca="1" si="294"/>
      </c>
      <c r="S82" s="842">
        <f t="shared" ca="1" si="294"/>
      </c>
      <c r="T82" s="842">
        <f t="shared" ca="1" si="294"/>
      </c>
      <c r="U82" s="1101">
        <f t="shared" ca="1" si="294"/>
      </c>
      <c r="V82" s="842">
        <f t="shared" ca="1" si="294"/>
      </c>
      <c r="W82" s="842">
        <f t="shared" ca="1" si="294"/>
      </c>
      <c r="X82" s="842">
        <f t="shared" ca="1" si="294"/>
      </c>
      <c r="Y82" s="842">
        <f t="shared" ca="1" si="294"/>
      </c>
      <c r="Z82" s="1101">
        <f t="shared" ca="1" si="294"/>
      </c>
      <c r="AA82" s="842">
        <f t="shared" ca="1" si="294"/>
      </c>
      <c r="AB82" s="842">
        <f t="shared" ca="1" si="294"/>
      </c>
      <c r="AC82" s="842">
        <f t="shared" ca="1" si="294"/>
      </c>
      <c r="AD82" s="842">
        <f t="shared" ca="1" si="294"/>
      </c>
      <c r="AE82" s="1101">
        <f t="shared" ca="1" si="294"/>
      </c>
      <c r="AF82" s="842">
        <f t="shared" ca="1" si="294"/>
      </c>
      <c r="AG82" s="842">
        <f t="shared" ca="1" si="294"/>
      </c>
      <c r="AH82" s="842">
        <f t="shared" ca="1" si="294"/>
      </c>
      <c r="AI82" s="842">
        <f t="shared" ref="AI82:BD82" ca="1" si="295">SUM(AI76:AI81)</f>
      </c>
      <c r="AJ82" s="1101">
        <f t="shared" ca="1" si="295"/>
      </c>
      <c r="AK82" s="842">
        <f t="shared" ca="1" si="295"/>
      </c>
      <c r="AL82" s="842">
        <f t="shared" ca="1" si="295"/>
      </c>
      <c r="AM82" s="842">
        <f t="shared" ca="1" si="295"/>
      </c>
      <c r="AN82" s="842">
        <f t="shared" ca="1" si="295"/>
      </c>
      <c r="AO82" s="1101">
        <f t="shared" ca="1" si="295"/>
      </c>
      <c r="AP82" s="842">
        <f t="shared" ca="1" si="295"/>
      </c>
      <c r="AQ82" s="842">
        <f t="shared" ca="1" si="295"/>
      </c>
      <c r="AR82" s="842">
        <f t="shared" ca="1" si="295"/>
      </c>
      <c r="AS82" s="842">
        <f t="shared" ca="1" si="295"/>
      </c>
      <c r="AT82" s="1101">
        <f t="shared" ca="1" si="295"/>
      </c>
      <c r="AU82" s="842">
        <f t="shared" ca="1" si="295"/>
      </c>
      <c r="AV82" s="842">
        <f t="shared" ca="1" si="295"/>
      </c>
      <c r="AW82" s="842">
        <f t="shared" ca="1" si="295"/>
      </c>
      <c r="AX82" s="842">
        <f t="shared" ca="1" si="295"/>
      </c>
      <c r="AY82" s="1101">
        <f t="shared" ca="1" si="295"/>
      </c>
      <c r="AZ82" s="842">
        <f t="shared" ca="1" si="295"/>
      </c>
      <c r="BA82" s="842">
        <f t="shared" ca="1" si="295"/>
      </c>
      <c r="BB82" s="842">
        <f t="shared" ca="1" si="295"/>
      </c>
      <c r="BC82" s="842">
        <f t="shared" ca="1" si="295"/>
      </c>
      <c r="BD82" s="1101">
        <f t="shared" ca="1" si="295"/>
      </c>
      <c r="BE82" s="842">
        <f t="shared" ref="BE82:BI82" ca="1" si="296">SUM(BE76:BE81)</f>
      </c>
      <c r="BF82" s="842">
        <f t="shared" ca="1" si="296"/>
      </c>
      <c r="BG82" s="842">
        <f t="shared" ca="1" si="296"/>
      </c>
      <c r="BH82" s="842">
        <f t="shared" ca="1" si="296"/>
      </c>
      <c r="BI82" s="1101">
        <f t="shared" ca="1" si="296"/>
      </c>
      <c r="BJ82" s="842">
        <f t="shared" ref="BJ82:BW82" ca="1" si="297">SUM(BJ76:BJ81)</f>
      </c>
      <c r="BK82" s="842">
        <f t="shared" ca="1" si="297"/>
      </c>
      <c r="BL82" s="842">
        <f t="shared" ca="1" si="297"/>
      </c>
      <c r="BM82" s="842">
        <f t="shared" ref="BM82:BQ82" ca="1" si="298">SUM(BM76:BM81)</f>
      </c>
      <c r="BN82" s="1101">
        <f t="shared" ca="1" si="298"/>
      </c>
      <c r="BO82" s="842">
        <f t="shared" ca="1" si="298"/>
      </c>
      <c r="BP82" s="842">
        <f t="shared" ca="1" si="298"/>
      </c>
      <c r="BQ82" s="842">
        <f t="shared" ca="1" si="298"/>
      </c>
      <c r="BR82" s="842">
        <f ca="1">SUM(BR76:BR81)</f>
      </c>
      <c r="BS82" s="1101">
        <f ca="1">SUM(BS76:BS81)</f>
      </c>
      <c r="BT82" s="843">
        <f ca="1">SUM(BT76:BT81)</f>
      </c>
      <c r="BU82" s="842">
        <f t="shared" ca="1" si="297"/>
      </c>
      <c r="BV82" s="842">
        <f t="shared" ca="1" si="297"/>
      </c>
      <c r="BW82" s="842">
        <f t="shared" ca="1" si="297"/>
      </c>
      <c r="BX82" s="1101">
        <f ca="1">SUM(BX76:BX81)</f>
      </c>
      <c r="BY82" s="842">
        <f t="shared" ref="BY82:CF82" ca="1" si="299">SUM(BY76:BY81)</f>
      </c>
      <c r="BZ82" s="842">
        <f t="shared" ca="1" si="299"/>
      </c>
      <c r="CA82" s="842">
        <f t="shared" ca="1" si="299"/>
      </c>
      <c r="CB82" s="842">
        <f t="shared" ca="1" si="299"/>
      </c>
      <c r="CC82" s="1101">
        <f t="shared" ca="1" si="299"/>
      </c>
      <c r="CD82" s="1101">
        <f t="shared" ca="1" si="299"/>
      </c>
      <c r="CE82" s="1101">
        <f t="shared" ca="1" si="299"/>
      </c>
      <c r="CF82" s="1101">
        <f t="shared" ca="1" si="299"/>
      </c>
      <c r="CG82" s="772"/>
    </row>
    <row r="83" spans="1:85" customFormat="1" x14ac:dyDescent="0.3">
      <c r="A83" s="106"/>
      <c r="B83" s="111"/>
      <c r="C83" s="1097"/>
      <c r="D83" s="1097"/>
      <c r="E83" s="1097"/>
      <c r="F83" s="1097"/>
      <c r="G83" s="772"/>
      <c r="H83" s="772"/>
      <c r="I83" s="772"/>
      <c r="J83" s="772"/>
      <c r="K83" s="1097"/>
      <c r="L83" s="772"/>
      <c r="M83" s="772"/>
      <c r="N83" s="772"/>
      <c r="O83" s="772"/>
      <c r="P83" s="1097"/>
      <c r="Q83" s="772"/>
      <c r="R83" s="772"/>
      <c r="S83" s="772"/>
      <c r="T83" s="772"/>
      <c r="U83" s="1097"/>
      <c r="V83" s="772"/>
      <c r="W83" s="772"/>
      <c r="X83" s="772"/>
      <c r="Y83" s="772"/>
      <c r="Z83" s="1097"/>
      <c r="AA83" s="772"/>
      <c r="AB83" s="772"/>
      <c r="AC83" s="772"/>
      <c r="AD83" s="772"/>
      <c r="AE83" s="1097"/>
      <c r="AF83" s="772"/>
      <c r="AG83" s="772"/>
      <c r="AH83" s="772"/>
      <c r="AI83" s="772"/>
      <c r="AJ83" s="1097"/>
      <c r="AK83" s="772"/>
      <c r="AL83" s="772"/>
      <c r="AM83" s="772"/>
      <c r="AN83" s="772"/>
      <c r="AO83" s="1097"/>
      <c r="AP83" s="772"/>
      <c r="AQ83" s="772"/>
      <c r="AR83" s="772"/>
      <c r="AS83" s="772"/>
      <c r="AT83" s="1097"/>
      <c r="AU83" s="772"/>
      <c r="AV83" s="772"/>
      <c r="AW83" s="772"/>
      <c r="AX83" s="772"/>
      <c r="AY83" s="1097"/>
      <c r="AZ83" s="772"/>
      <c r="BA83" s="772"/>
      <c r="BB83" s="772"/>
      <c r="BC83" s="772"/>
      <c r="BD83" s="1097"/>
      <c r="BE83" s="772"/>
      <c r="BF83" s="772"/>
      <c r="BG83" s="772"/>
      <c r="BH83" s="772"/>
      <c r="BI83" s="1097"/>
      <c r="BJ83" s="772"/>
      <c r="BK83" s="772"/>
      <c r="BL83" s="772"/>
      <c r="BM83" s="772"/>
      <c r="BN83" s="1097"/>
      <c r="BO83" s="772"/>
      <c r="BP83" s="772"/>
      <c r="BQ83" s="772"/>
      <c r="BR83" s="772"/>
      <c r="BS83" s="1097"/>
      <c r="BT83" s="838"/>
      <c r="BU83" s="772"/>
      <c r="BV83" s="772"/>
      <c r="BW83" s="772"/>
      <c r="BX83" s="1097"/>
      <c r="BY83" s="772"/>
      <c r="BZ83" s="772"/>
      <c r="CA83" s="772"/>
      <c r="CB83" s="772"/>
      <c r="CC83" s="1097"/>
      <c r="CD83" s="1097"/>
      <c r="CE83" s="1097"/>
      <c r="CF83" s="1097"/>
      <c r="CG83" s="772"/>
    </row>
    <row r="84" spans="1:85" customFormat="1" x14ac:dyDescent="0.3">
      <c r="A84" s="113" t="s">
        <v>326</v>
      </c>
      <c r="B84" s="114"/>
      <c r="C84" s="1102">
        <f t="shared" ref="C84:AH84" ca="1" si="300">INDEX(SP_CFA_CFO,0,COLUMN())/INDEX(SP_CS_ShareCount,0,COLUMN())</f>
      </c>
      <c r="D84" s="1102">
        <f t="shared" ca="1" si="300"/>
      </c>
      <c r="E84" s="1102">
        <f t="shared" ca="1" si="300"/>
      </c>
      <c r="F84" s="1102">
        <f t="shared" ca="1" si="300"/>
      </c>
      <c r="G84" s="34">
        <f t="shared" ca="1" si="300"/>
      </c>
      <c r="H84" s="34">
        <f t="shared" ca="1" si="300"/>
      </c>
      <c r="I84" s="34">
        <f t="shared" ca="1" si="300"/>
      </c>
      <c r="J84" s="34">
        <f t="shared" ca="1" si="300"/>
      </c>
      <c r="K84" s="1102">
        <f t="shared" ca="1" si="300"/>
      </c>
      <c r="L84" s="34">
        <f t="shared" ca="1" si="300"/>
      </c>
      <c r="M84" s="34">
        <f t="shared" ca="1" si="300"/>
      </c>
      <c r="N84" s="34">
        <f t="shared" ca="1" si="300"/>
      </c>
      <c r="O84" s="34">
        <f t="shared" ca="1" si="300"/>
      </c>
      <c r="P84" s="1102">
        <f t="shared" ca="1" si="300"/>
      </c>
      <c r="Q84" s="34">
        <f t="shared" ca="1" si="300"/>
      </c>
      <c r="R84" s="34">
        <f t="shared" ca="1" si="300"/>
      </c>
      <c r="S84" s="34">
        <f t="shared" ca="1" si="300"/>
      </c>
      <c r="T84" s="34">
        <f t="shared" ca="1" si="300"/>
      </c>
      <c r="U84" s="1102">
        <f t="shared" ca="1" si="300"/>
      </c>
      <c r="V84" s="34">
        <f t="shared" ca="1" si="300"/>
      </c>
      <c r="W84" s="34">
        <f t="shared" ca="1" si="300"/>
      </c>
      <c r="X84" s="34">
        <f t="shared" ca="1" si="300"/>
      </c>
      <c r="Y84" s="34">
        <f t="shared" ca="1" si="300"/>
      </c>
      <c r="Z84" s="1102">
        <f t="shared" ca="1" si="300"/>
      </c>
      <c r="AA84" s="34">
        <f t="shared" ca="1" si="300"/>
      </c>
      <c r="AB84" s="34">
        <f t="shared" ca="1" si="300"/>
      </c>
      <c r="AC84" s="34">
        <f t="shared" ca="1" si="300"/>
      </c>
      <c r="AD84" s="34">
        <f t="shared" ca="1" si="300"/>
      </c>
      <c r="AE84" s="1102">
        <f t="shared" ca="1" si="300"/>
      </c>
      <c r="AF84" s="34">
        <f t="shared" ca="1" si="300"/>
      </c>
      <c r="AG84" s="34">
        <f t="shared" ca="1" si="300"/>
      </c>
      <c r="AH84" s="34">
        <f t="shared" ca="1" si="300"/>
      </c>
      <c r="AI84" s="34">
        <f t="shared" ref="AI84:BD84" ca="1" si="301">INDEX(SP_CFA_CFO,0,COLUMN())/INDEX(SP_CS_ShareCount,0,COLUMN())</f>
      </c>
      <c r="AJ84" s="1102">
        <f t="shared" ca="1" si="301"/>
      </c>
      <c r="AK84" s="34">
        <f t="shared" ca="1" si="301"/>
      </c>
      <c r="AL84" s="34">
        <f t="shared" ca="1" si="301"/>
      </c>
      <c r="AM84" s="34">
        <f t="shared" ca="1" si="301"/>
      </c>
      <c r="AN84" s="34">
        <f t="shared" ca="1" si="301"/>
      </c>
      <c r="AO84" s="1102">
        <f t="shared" ca="1" si="301"/>
      </c>
      <c r="AP84" s="34">
        <f t="shared" ca="1" si="301"/>
      </c>
      <c r="AQ84" s="34">
        <f t="shared" ca="1" si="301"/>
      </c>
      <c r="AR84" s="34">
        <f t="shared" ca="1" si="301"/>
      </c>
      <c r="AS84" s="34">
        <f t="shared" ca="1" si="301"/>
      </c>
      <c r="AT84" s="1102">
        <f t="shared" ca="1" si="301"/>
      </c>
      <c r="AU84" s="34">
        <f t="shared" ca="1" si="301"/>
      </c>
      <c r="AV84" s="34">
        <f t="shared" ca="1" si="301"/>
      </c>
      <c r="AW84" s="34">
        <f t="shared" ca="1" si="301"/>
      </c>
      <c r="AX84" s="34">
        <f t="shared" ca="1" si="301"/>
      </c>
      <c r="AY84" s="1102">
        <f t="shared" ca="1" si="301"/>
      </c>
      <c r="AZ84" s="34">
        <f t="shared" ca="1" si="301"/>
      </c>
      <c r="BA84" s="34">
        <f t="shared" ca="1" si="301"/>
      </c>
      <c r="BB84" s="34">
        <f t="shared" ca="1" si="301"/>
      </c>
      <c r="BC84" s="34">
        <f t="shared" ca="1" si="301"/>
      </c>
      <c r="BD84" s="1102">
        <f t="shared" ca="1" si="301"/>
      </c>
      <c r="BE84" s="34">
        <f t="shared" ref="BE84:BJ84" ca="1" si="302">INDEX(SP_CFA_CFO,0,COLUMN())/INDEX(SP_CS_ShareCount,0,COLUMN())</f>
      </c>
      <c r="BF84" s="34">
        <f t="shared" ca="1" si="302"/>
      </c>
      <c r="BG84" s="34">
        <f t="shared" ca="1" si="302"/>
      </c>
      <c r="BH84" s="34">
        <f t="shared" ca="1" si="302"/>
      </c>
      <c r="BI84" s="1102">
        <f t="shared" ca="1" si="302"/>
      </c>
      <c r="BJ84" s="34">
        <f t="shared" ca="1" si="302"/>
      </c>
      <c r="BK84" s="34">
        <f t="shared" ref="BK84:BP84" ca="1" si="303">INDEX(SP_CFA_CFO,0,COLUMN())/INDEX(SP_CS_ShareCount,0,COLUMN())</f>
      </c>
      <c r="BL84" s="34">
        <f t="shared" ca="1" si="303"/>
      </c>
      <c r="BM84" s="34">
        <f t="shared" ca="1" si="303"/>
      </c>
      <c r="BN84" s="1102">
        <f t="shared" ca="1" si="303"/>
      </c>
      <c r="BO84" s="34">
        <f t="shared" ca="1" si="303"/>
      </c>
      <c r="BP84" s="34">
        <f t="shared" ca="1" si="303"/>
      </c>
      <c r="BQ84" s="34">
        <f ca="1">INDEX(SP_CFA_CFO,0,COLUMN())/INDEX(SP_CS_ShareCount,0,COLUMN())</f>
      </c>
      <c r="BR84" s="34">
        <f ca="1">INDEX(SP_CFA_CFO,0,COLUMN())/INDEX(SP_CS_ShareCount,0,COLUMN())</f>
      </c>
      <c r="BS84" s="1102">
        <f ca="1">INDEX(SP_CFA_CFO,0,COLUMN())/INDEX(SP_CS_ShareCount,0,COLUMN())</f>
      </c>
      <c r="BT84" s="740">
        <f ca="1">INDEX(SP_CFA_CFO,0,COLUMN())/INDEX(SP_CS_ShareCount,0,COLUMN())</f>
      </c>
      <c r="BU84" s="34">
        <f t="shared" ref="BU84:BX84" ca="1" si="304">INDEX(SP_CFA_CFO,0,COLUMN())/INDEX(SP_CS_ShareCount,0,COLUMN())</f>
      </c>
      <c r="BV84" s="34">
        <f t="shared" ca="1" si="304"/>
      </c>
      <c r="BW84" s="34">
        <f t="shared" ca="1" si="304"/>
      </c>
      <c r="BX84" s="1102">
        <f t="shared" ca="1" si="304"/>
      </c>
      <c r="BY84" s="34">
        <f t="shared" ref="BY84:CF84" ca="1" si="305">INDEX(SP_CFA_CFO,0,COLUMN())/INDEX(SP_CS_ShareCount,0,COLUMN())</f>
      </c>
      <c r="BZ84" s="34">
        <f t="shared" ca="1" si="305"/>
      </c>
      <c r="CA84" s="34">
        <f t="shared" ca="1" si="305"/>
      </c>
      <c r="CB84" s="34">
        <f t="shared" ca="1" si="305"/>
      </c>
      <c r="CC84" s="1102">
        <f t="shared" ca="1" si="305"/>
      </c>
      <c r="CD84" s="1102">
        <f t="shared" ca="1" si="305"/>
      </c>
      <c r="CE84" s="1102">
        <f t="shared" ca="1" si="305"/>
      </c>
      <c r="CF84" s="1102">
        <f t="shared" ca="1" si="305"/>
      </c>
      <c r="CG84" s="34"/>
    </row>
    <row r="85" spans="1:85" customFormat="1" x14ac:dyDescent="0.3">
      <c r="A85" s="113" t="s">
        <v>327</v>
      </c>
      <c r="B85" s="114"/>
      <c r="C85" s="1102">
        <f t="shared" ref="C85:AH85" ca="1" si="306">INDEX(SP_CFA_FCF_PreDiv,0,COLUMN())/INDEX(SP_CS_ShareCount,0,COLUMN())</f>
      </c>
      <c r="D85" s="1102">
        <f t="shared" ca="1" si="306"/>
      </c>
      <c r="E85" s="1102">
        <f t="shared" ca="1" si="306"/>
      </c>
      <c r="F85" s="1102">
        <f t="shared" ca="1" si="306"/>
      </c>
      <c r="G85" s="34">
        <f t="shared" ca="1" si="306"/>
      </c>
      <c r="H85" s="34">
        <f t="shared" ca="1" si="306"/>
      </c>
      <c r="I85" s="34">
        <f t="shared" ca="1" si="306"/>
      </c>
      <c r="J85" s="34">
        <f t="shared" ca="1" si="306"/>
      </c>
      <c r="K85" s="1102">
        <f t="shared" ca="1" si="306"/>
      </c>
      <c r="L85" s="34">
        <f t="shared" ca="1" si="306"/>
      </c>
      <c r="M85" s="34">
        <f t="shared" ca="1" si="306"/>
      </c>
      <c r="N85" s="34">
        <f t="shared" ca="1" si="306"/>
      </c>
      <c r="O85" s="34">
        <f t="shared" ca="1" si="306"/>
      </c>
      <c r="P85" s="1102">
        <f t="shared" ca="1" si="306"/>
      </c>
      <c r="Q85" s="34">
        <f t="shared" ca="1" si="306"/>
      </c>
      <c r="R85" s="34">
        <f t="shared" ca="1" si="306"/>
      </c>
      <c r="S85" s="34">
        <f t="shared" ca="1" si="306"/>
      </c>
      <c r="T85" s="34">
        <f t="shared" ca="1" si="306"/>
      </c>
      <c r="U85" s="1102">
        <f t="shared" ca="1" si="306"/>
      </c>
      <c r="V85" s="34">
        <f t="shared" ca="1" si="306"/>
      </c>
      <c r="W85" s="34">
        <f t="shared" ca="1" si="306"/>
      </c>
      <c r="X85" s="34">
        <f t="shared" ca="1" si="306"/>
      </c>
      <c r="Y85" s="34">
        <f t="shared" ca="1" si="306"/>
      </c>
      <c r="Z85" s="1102">
        <f t="shared" ca="1" si="306"/>
      </c>
      <c r="AA85" s="34">
        <f t="shared" ca="1" si="306"/>
      </c>
      <c r="AB85" s="34">
        <f t="shared" ca="1" si="306"/>
      </c>
      <c r="AC85" s="34">
        <f t="shared" ca="1" si="306"/>
      </c>
      <c r="AD85" s="34">
        <f t="shared" ca="1" si="306"/>
      </c>
      <c r="AE85" s="1102">
        <f t="shared" ca="1" si="306"/>
      </c>
      <c r="AF85" s="34">
        <f t="shared" ca="1" si="306"/>
      </c>
      <c r="AG85" s="34">
        <f t="shared" ca="1" si="306"/>
      </c>
      <c r="AH85" s="34">
        <f t="shared" ca="1" si="306"/>
      </c>
      <c r="AI85" s="34">
        <f t="shared" ref="AI85:BD85" ca="1" si="307">INDEX(SP_CFA_FCF_PreDiv,0,COLUMN())/INDEX(SP_CS_ShareCount,0,COLUMN())</f>
      </c>
      <c r="AJ85" s="1102">
        <f t="shared" ca="1" si="307"/>
      </c>
      <c r="AK85" s="34">
        <f t="shared" ca="1" si="307"/>
      </c>
      <c r="AL85" s="34">
        <f t="shared" ca="1" si="307"/>
      </c>
      <c r="AM85" s="34">
        <f t="shared" ca="1" si="307"/>
      </c>
      <c r="AN85" s="34">
        <f t="shared" ca="1" si="307"/>
      </c>
      <c r="AO85" s="1102">
        <f t="shared" ca="1" si="307"/>
      </c>
      <c r="AP85" s="34">
        <f t="shared" ca="1" si="307"/>
      </c>
      <c r="AQ85" s="34">
        <f t="shared" ca="1" si="307"/>
      </c>
      <c r="AR85" s="34">
        <f t="shared" ca="1" si="307"/>
      </c>
      <c r="AS85" s="34">
        <f t="shared" ca="1" si="307"/>
      </c>
      <c r="AT85" s="1102">
        <f t="shared" ca="1" si="307"/>
      </c>
      <c r="AU85" s="34">
        <f t="shared" ca="1" si="307"/>
      </c>
      <c r="AV85" s="34">
        <f t="shared" ca="1" si="307"/>
      </c>
      <c r="AW85" s="34">
        <f t="shared" ca="1" si="307"/>
      </c>
      <c r="AX85" s="34">
        <f t="shared" ca="1" si="307"/>
      </c>
      <c r="AY85" s="1102">
        <f t="shared" ca="1" si="307"/>
      </c>
      <c r="AZ85" s="34">
        <f t="shared" ca="1" si="307"/>
      </c>
      <c r="BA85" s="34">
        <f t="shared" ca="1" si="307"/>
      </c>
      <c r="BB85" s="34">
        <f t="shared" ca="1" si="307"/>
      </c>
      <c r="BC85" s="34">
        <f t="shared" ca="1" si="307"/>
      </c>
      <c r="BD85" s="1102">
        <f t="shared" ca="1" si="307"/>
      </c>
      <c r="BE85" s="34">
        <f t="shared" ref="BE85:BJ85" ca="1" si="308">INDEX(SP_CFA_FCF_PreDiv,0,COLUMN())/INDEX(SP_CS_ShareCount,0,COLUMN())</f>
      </c>
      <c r="BF85" s="34">
        <f t="shared" ca="1" si="308"/>
      </c>
      <c r="BG85" s="34">
        <f t="shared" ca="1" si="308"/>
      </c>
      <c r="BH85" s="34">
        <f t="shared" ca="1" si="308"/>
      </c>
      <c r="BI85" s="1102">
        <f t="shared" ca="1" si="308"/>
      </c>
      <c r="BJ85" s="34">
        <f t="shared" ca="1" si="308"/>
      </c>
      <c r="BK85" s="34">
        <f t="shared" ref="BK85:BP85" ca="1" si="309">INDEX(SP_CFA_FCF_PreDiv,0,COLUMN())/INDEX(SP_CS_ShareCount,0,COLUMN())</f>
      </c>
      <c r="BL85" s="34">
        <f t="shared" ca="1" si="309"/>
      </c>
      <c r="BM85" s="34">
        <f t="shared" ca="1" si="309"/>
      </c>
      <c r="BN85" s="1102">
        <f t="shared" ca="1" si="309"/>
      </c>
      <c r="BO85" s="34">
        <f t="shared" ca="1" si="309"/>
      </c>
      <c r="BP85" s="34">
        <f t="shared" ca="1" si="309"/>
      </c>
      <c r="BQ85" s="34">
        <f ca="1">INDEX(SP_CFA_FCF_PreDiv,0,COLUMN())/INDEX(SP_CS_ShareCount,0,COLUMN())</f>
      </c>
      <c r="BR85" s="34">
        <f ca="1">INDEX(SP_CFA_FCF_PreDiv,0,COLUMN())/INDEX(SP_CS_ShareCount,0,COLUMN())</f>
      </c>
      <c r="BS85" s="1102">
        <f ca="1">INDEX(SP_CFA_FCF_PreDiv,0,COLUMN())/INDEX(SP_CS_ShareCount,0,COLUMN())</f>
      </c>
      <c r="BT85" s="740">
        <f ca="1">INDEX(SP_CFA_FCF_PreDiv,0,COLUMN())/INDEX(SP_CS_ShareCount,0,COLUMN())</f>
      </c>
      <c r="BU85" s="34">
        <f t="shared" ref="BU85:BX85" ca="1" si="310">INDEX(SP_CFA_FCF_PreDiv,0,COLUMN())/INDEX(SP_CS_ShareCount,0,COLUMN())</f>
      </c>
      <c r="BV85" s="34">
        <f t="shared" ca="1" si="310"/>
      </c>
      <c r="BW85" s="34">
        <f t="shared" ca="1" si="310"/>
      </c>
      <c r="BX85" s="1102">
        <f t="shared" ca="1" si="310"/>
      </c>
      <c r="BY85" s="34">
        <f t="shared" ref="BY85:CF85" ca="1" si="311">INDEX(SP_CFA_FCF_PreDiv,0,COLUMN())/INDEX(SP_CS_ShareCount,0,COLUMN())</f>
      </c>
      <c r="BZ85" s="34">
        <f t="shared" ca="1" si="311"/>
      </c>
      <c r="CA85" s="34">
        <f t="shared" ca="1" si="311"/>
      </c>
      <c r="CB85" s="34">
        <f t="shared" ca="1" si="311"/>
      </c>
      <c r="CC85" s="1102">
        <f t="shared" ca="1" si="311"/>
      </c>
      <c r="CD85" s="1102">
        <f t="shared" ca="1" si="311"/>
      </c>
      <c r="CE85" s="1102">
        <f t="shared" ca="1" si="311"/>
      </c>
      <c r="CF85" s="1102">
        <f t="shared" ca="1" si="311"/>
      </c>
      <c r="CG85" s="34"/>
    </row>
    <row r="86" spans="1:85" customFormat="1" x14ac:dyDescent="0.3">
      <c r="A86" s="113" t="s">
        <v>109</v>
      </c>
      <c r="B86" s="114"/>
      <c r="C86" s="1102">
        <f t="shared" ref="C86:AH86" si="312">INDEX(MO_CFSum_DPS,0,COLUMN())</f>
      </c>
      <c r="D86" s="1102">
        <f t="shared" si="312"/>
      </c>
      <c r="E86" s="1102">
        <f t="shared" si="312"/>
      </c>
      <c r="F86" s="1102">
        <f t="shared" si="312"/>
      </c>
      <c r="G86" s="34">
        <f t="shared" si="312"/>
      </c>
      <c r="H86" s="34">
        <f t="shared" si="312"/>
      </c>
      <c r="I86" s="34">
        <f t="shared" si="312"/>
      </c>
      <c r="J86" s="34">
        <f t="shared" si="312"/>
      </c>
      <c r="K86" s="1102">
        <f t="shared" si="312"/>
      </c>
      <c r="L86" s="34">
        <f t="shared" si="312"/>
      </c>
      <c r="M86" s="34">
        <f t="shared" si="312"/>
      </c>
      <c r="N86" s="34">
        <f t="shared" si="312"/>
      </c>
      <c r="O86" s="34">
        <f t="shared" si="312"/>
      </c>
      <c r="P86" s="1102">
        <f t="shared" si="312"/>
      </c>
      <c r="Q86" s="34">
        <f t="shared" si="312"/>
      </c>
      <c r="R86" s="34">
        <f t="shared" si="312"/>
      </c>
      <c r="S86" s="34">
        <f t="shared" si="312"/>
      </c>
      <c r="T86" s="34">
        <f t="shared" si="312"/>
      </c>
      <c r="U86" s="1102">
        <f t="shared" si="312"/>
      </c>
      <c r="V86" s="34">
        <f t="shared" si="312"/>
      </c>
      <c r="W86" s="34">
        <f t="shared" si="312"/>
      </c>
      <c r="X86" s="34">
        <f t="shared" si="312"/>
      </c>
      <c r="Y86" s="34">
        <f t="shared" si="312"/>
      </c>
      <c r="Z86" s="1102">
        <f t="shared" si="312"/>
      </c>
      <c r="AA86" s="34">
        <f t="shared" si="312"/>
      </c>
      <c r="AB86" s="34">
        <f t="shared" si="312"/>
      </c>
      <c r="AC86" s="34">
        <f t="shared" si="312"/>
      </c>
      <c r="AD86" s="34">
        <f t="shared" si="312"/>
      </c>
      <c r="AE86" s="1102">
        <f t="shared" si="312"/>
      </c>
      <c r="AF86" s="34">
        <f t="shared" si="312"/>
      </c>
      <c r="AG86" s="34">
        <f t="shared" si="312"/>
      </c>
      <c r="AH86" s="34">
        <f t="shared" si="312"/>
      </c>
      <c r="AI86" s="34">
        <f t="shared" ref="AI86:BD86" si="313">INDEX(MO_CFSum_DPS,0,COLUMN())</f>
      </c>
      <c r="AJ86" s="1102">
        <f t="shared" si="313"/>
      </c>
      <c r="AK86" s="34">
        <f t="shared" si="313"/>
      </c>
      <c r="AL86" s="34">
        <f t="shared" si="313"/>
      </c>
      <c r="AM86" s="34">
        <f t="shared" si="313"/>
      </c>
      <c r="AN86" s="34">
        <f t="shared" si="313"/>
      </c>
      <c r="AO86" s="1102">
        <f t="shared" si="313"/>
      </c>
      <c r="AP86" s="34">
        <f t="shared" si="313"/>
      </c>
      <c r="AQ86" s="34">
        <f t="shared" si="313"/>
      </c>
      <c r="AR86" s="34">
        <f t="shared" si="313"/>
      </c>
      <c r="AS86" s="34">
        <f t="shared" si="313"/>
      </c>
      <c r="AT86" s="1102">
        <f t="shared" si="313"/>
      </c>
      <c r="AU86" s="34">
        <f t="shared" si="313"/>
      </c>
      <c r="AV86" s="34">
        <f t="shared" si="313"/>
      </c>
      <c r="AW86" s="34">
        <f t="shared" si="313"/>
      </c>
      <c r="AX86" s="34">
        <f t="shared" si="313"/>
      </c>
      <c r="AY86" s="1102">
        <f t="shared" si="313"/>
      </c>
      <c r="AZ86" s="34">
        <f t="shared" si="313"/>
      </c>
      <c r="BA86" s="34">
        <f t="shared" si="313"/>
      </c>
      <c r="BB86" s="34">
        <f t="shared" si="313"/>
      </c>
      <c r="BC86" s="34">
        <f t="shared" si="313"/>
      </c>
      <c r="BD86" s="1102">
        <f t="shared" si="313"/>
      </c>
      <c r="BE86" s="34">
        <f t="shared" ref="BE86:BJ86" si="314">INDEX(MO_CFSum_DPS,0,COLUMN())</f>
      </c>
      <c r="BF86" s="34">
        <f t="shared" si="314"/>
      </c>
      <c r="BG86" s="34">
        <f t="shared" si="314"/>
      </c>
      <c r="BH86" s="34">
        <f t="shared" si="314"/>
      </c>
      <c r="BI86" s="1102">
        <f t="shared" si="314"/>
      </c>
      <c r="BJ86" s="34">
        <f t="shared" si="314"/>
      </c>
      <c r="BK86" s="34">
        <f t="shared" ref="BK86:BP86" si="315">INDEX(MO_CFSum_DPS,0,COLUMN())</f>
      </c>
      <c r="BL86" s="34">
        <f t="shared" si="315"/>
      </c>
      <c r="BM86" s="34">
        <f t="shared" si="315"/>
      </c>
      <c r="BN86" s="1102">
        <f t="shared" si="315"/>
      </c>
      <c r="BO86" s="34">
        <f t="shared" si="315"/>
      </c>
      <c r="BP86" s="34">
        <f t="shared" si="315"/>
      </c>
      <c r="BQ86" s="34">
        <f>INDEX(MO_CFSum_DPS,0,COLUMN())</f>
      </c>
      <c r="BR86" s="34">
        <f>INDEX(MO_CFSum_DPS,0,COLUMN())</f>
      </c>
      <c r="BS86" s="1102">
        <f>INDEX(MO_CFSum_DPS,0,COLUMN())</f>
      </c>
      <c r="BT86" s="740">
        <f>INDEX(MO_CFSum_DPS,0,COLUMN())</f>
      </c>
      <c r="BU86" s="34">
        <f t="shared" ref="BU86:BX86" si="316">INDEX(MO_CFSum_DPS,0,COLUMN())</f>
      </c>
      <c r="BV86" s="34">
        <f t="shared" si="316"/>
      </c>
      <c r="BW86" s="34">
        <f t="shared" si="316"/>
      </c>
      <c r="BX86" s="1102">
        <f t="shared" si="316"/>
      </c>
      <c r="BY86" s="34">
        <f t="shared" ref="BY86:CF86" si="317">INDEX(MO_CFSum_DPS,0,COLUMN())</f>
      </c>
      <c r="BZ86" s="34">
        <f t="shared" si="317"/>
      </c>
      <c r="CA86" s="34">
        <f t="shared" si="317"/>
      </c>
      <c r="CB86" s="34">
        <f t="shared" si="317"/>
      </c>
      <c r="CC86" s="1102">
        <f t="shared" si="317"/>
      </c>
      <c r="CD86" s="1102">
        <f t="shared" si="317"/>
      </c>
      <c r="CE86" s="1102">
        <f t="shared" si="317"/>
      </c>
      <c r="CF86" s="1102">
        <f t="shared" si="317"/>
      </c>
      <c r="CG86" s="34"/>
    </row>
    <row r="87" spans="1:85" customFormat="1" x14ac:dyDescent="0.3">
      <c r="A87" s="118" t="s">
        <v>328</v>
      </c>
      <c r="B87" s="119"/>
      <c r="C87" s="1106">
        <f t="shared" ref="C87:AH87" ca="1" si="318">C86/C85</f>
      </c>
      <c r="D87" s="1106">
        <f t="shared" ca="1" si="318"/>
      </c>
      <c r="E87" s="1106">
        <f t="shared" ca="1" si="318"/>
      </c>
      <c r="F87" s="1106">
        <f t="shared" ca="1" si="318"/>
      </c>
      <c r="G87" s="39">
        <f t="shared" ca="1" si="318"/>
      </c>
      <c r="H87" s="39">
        <f t="shared" ca="1" si="318"/>
      </c>
      <c r="I87" s="39">
        <f t="shared" ca="1" si="318"/>
      </c>
      <c r="J87" s="39">
        <f t="shared" ca="1" si="318"/>
      </c>
      <c r="K87" s="1106">
        <f t="shared" ca="1" si="318"/>
      </c>
      <c r="L87" s="39">
        <f t="shared" ca="1" si="318"/>
      </c>
      <c r="M87" s="39">
        <f t="shared" ca="1" si="318"/>
      </c>
      <c r="N87" s="39">
        <f t="shared" ca="1" si="318"/>
      </c>
      <c r="O87" s="39">
        <f t="shared" ca="1" si="318"/>
      </c>
      <c r="P87" s="1106">
        <f t="shared" ca="1" si="318"/>
      </c>
      <c r="Q87" s="39">
        <f t="shared" ca="1" si="318"/>
      </c>
      <c r="R87" s="39">
        <f t="shared" ca="1" si="318"/>
      </c>
      <c r="S87" s="39">
        <f t="shared" ca="1" si="318"/>
      </c>
      <c r="T87" s="39">
        <f t="shared" ca="1" si="318"/>
      </c>
      <c r="U87" s="1106">
        <f t="shared" ca="1" si="318"/>
      </c>
      <c r="V87" s="39">
        <f t="shared" ca="1" si="318"/>
      </c>
      <c r="W87" s="39">
        <f t="shared" ca="1" si="318"/>
      </c>
      <c r="X87" s="39">
        <f t="shared" ca="1" si="318"/>
      </c>
      <c r="Y87" s="39">
        <f t="shared" ca="1" si="318"/>
      </c>
      <c r="Z87" s="1106">
        <f t="shared" ca="1" si="318"/>
      </c>
      <c r="AA87" s="39">
        <f t="shared" ca="1" si="318"/>
      </c>
      <c r="AB87" s="39">
        <f t="shared" ca="1" si="318"/>
      </c>
      <c r="AC87" s="39">
        <f t="shared" ca="1" si="318"/>
      </c>
      <c r="AD87" s="39">
        <f t="shared" ca="1" si="318"/>
      </c>
      <c r="AE87" s="1106">
        <f t="shared" ca="1" si="318"/>
      </c>
      <c r="AF87" s="39">
        <f t="shared" ca="1" si="318"/>
      </c>
      <c r="AG87" s="39">
        <f t="shared" ca="1" si="318"/>
      </c>
      <c r="AH87" s="39">
        <f t="shared" ca="1" si="318"/>
      </c>
      <c r="AI87" s="39">
        <f t="shared" ref="AI87:BD87" ca="1" si="319">AI86/AI85</f>
      </c>
      <c r="AJ87" s="1106">
        <f t="shared" ca="1" si="319"/>
      </c>
      <c r="AK87" s="39">
        <f t="shared" ca="1" si="319"/>
      </c>
      <c r="AL87" s="39">
        <f t="shared" ca="1" si="319"/>
      </c>
      <c r="AM87" s="39">
        <f t="shared" ca="1" si="319"/>
      </c>
      <c r="AN87" s="39">
        <f t="shared" ca="1" si="319"/>
      </c>
      <c r="AO87" s="1106">
        <f t="shared" ca="1" si="319"/>
      </c>
      <c r="AP87" s="39">
        <f t="shared" ca="1" si="319"/>
      </c>
      <c r="AQ87" s="39">
        <f t="shared" ca="1" si="319"/>
      </c>
      <c r="AR87" s="39">
        <f t="shared" ca="1" si="319"/>
      </c>
      <c r="AS87" s="39">
        <f t="shared" ca="1" si="319"/>
      </c>
      <c r="AT87" s="1106">
        <f t="shared" ca="1" si="319"/>
      </c>
      <c r="AU87" s="39">
        <f t="shared" ca="1" si="319"/>
      </c>
      <c r="AV87" s="39">
        <f t="shared" ca="1" si="319"/>
      </c>
      <c r="AW87" s="39">
        <f t="shared" ca="1" si="319"/>
      </c>
      <c r="AX87" s="39">
        <f t="shared" ca="1" si="319"/>
      </c>
      <c r="AY87" s="1106">
        <f t="shared" ca="1" si="319"/>
      </c>
      <c r="AZ87" s="39">
        <f t="shared" ca="1" si="319"/>
      </c>
      <c r="BA87" s="39">
        <f t="shared" ca="1" si="319"/>
      </c>
      <c r="BB87" s="39">
        <f t="shared" ca="1" si="319"/>
      </c>
      <c r="BC87" s="39">
        <f t="shared" ca="1" si="319"/>
      </c>
      <c r="BD87" s="1106">
        <f t="shared" ca="1" si="319"/>
      </c>
      <c r="BE87" s="39">
        <f t="shared" ref="BE87:BJ87" ca="1" si="320">BE86/BE85</f>
      </c>
      <c r="BF87" s="39">
        <f t="shared" ca="1" si="320"/>
      </c>
      <c r="BG87" s="39">
        <f t="shared" ca="1" si="320"/>
      </c>
      <c r="BH87" s="39">
        <f t="shared" ca="1" si="320"/>
      </c>
      <c r="BI87" s="1106">
        <f t="shared" ca="1" si="320"/>
      </c>
      <c r="BJ87" s="39">
        <f t="shared" ca="1" si="320"/>
      </c>
      <c r="BK87" s="39">
        <f t="shared" ref="BK87:BX87" ca="1" si="321">BK86/BK85</f>
      </c>
      <c r="BL87" s="39">
        <f t="shared" ca="1" si="321"/>
      </c>
      <c r="BM87" s="39">
        <f t="shared" ca="1" si="321"/>
      </c>
      <c r="BN87" s="1106">
        <f t="shared" ca="1" si="321"/>
      </c>
      <c r="BO87" s="39">
        <f t="shared" ref="BO87:BT87" ca="1" si="322">BO86/BO85</f>
      </c>
      <c r="BP87" s="39">
        <f t="shared" ca="1" si="322"/>
      </c>
      <c r="BQ87" s="39">
        <f t="shared" ca="1" si="322"/>
      </c>
      <c r="BR87" s="39">
        <f t="shared" ca="1" si="322"/>
      </c>
      <c r="BS87" s="1106">
        <f t="shared" ca="1" si="322"/>
      </c>
      <c r="BT87" s="745">
        <f t="shared" ca="1" si="322"/>
      </c>
      <c r="BU87" s="39">
        <f t="shared" ca="1" si="321"/>
      </c>
      <c r="BV87" s="39">
        <f t="shared" ca="1" si="321"/>
      </c>
      <c r="BW87" s="39">
        <f t="shared" ca="1" si="321"/>
      </c>
      <c r="BX87" s="1106">
        <f t="shared" ca="1" si="321"/>
      </c>
      <c r="BY87" s="39">
        <f t="shared" ref="BY87:CF87" ca="1" si="323">BY86/BY85</f>
      </c>
      <c r="BZ87" s="39">
        <f t="shared" ca="1" si="323"/>
      </c>
      <c r="CA87" s="39">
        <f t="shared" ca="1" si="323"/>
      </c>
      <c r="CB87" s="39">
        <f t="shared" ca="1" si="323"/>
      </c>
      <c r="CC87" s="1106">
        <f t="shared" ca="1" si="323"/>
      </c>
      <c r="CD87" s="1106">
        <f t="shared" ca="1" si="323"/>
      </c>
      <c r="CE87" s="1106">
        <f t="shared" ca="1" si="323"/>
      </c>
      <c r="CF87" s="1106">
        <f t="shared" ca="1" si="323"/>
      </c>
      <c r="CG87" s="186"/>
    </row>
    <row r="88" spans="1:85" customFormat="1" x14ac:dyDescent="0.3">
      <c r="A88" s="118" t="s">
        <v>329</v>
      </c>
      <c r="B88" s="119"/>
      <c r="C88" s="1106">
        <f t="shared" ref="C88:AH88" si="324">C86/C57</f>
      </c>
      <c r="D88" s="1106">
        <f t="shared" si="324"/>
      </c>
      <c r="E88" s="1106">
        <f t="shared" si="324"/>
      </c>
      <c r="F88" s="1106">
        <f t="shared" si="324"/>
      </c>
      <c r="G88" s="39">
        <f t="shared" si="324"/>
      </c>
      <c r="H88" s="39">
        <f t="shared" si="324"/>
      </c>
      <c r="I88" s="39">
        <f t="shared" si="324"/>
      </c>
      <c r="J88" s="39">
        <f t="shared" si="324"/>
      </c>
      <c r="K88" s="1106">
        <f t="shared" si="324"/>
      </c>
      <c r="L88" s="39">
        <f t="shared" si="324"/>
      </c>
      <c r="M88" s="39">
        <f t="shared" si="324"/>
      </c>
      <c r="N88" s="39">
        <f t="shared" si="324"/>
      </c>
      <c r="O88" s="39">
        <f t="shared" si="324"/>
      </c>
      <c r="P88" s="1106">
        <f t="shared" si="324"/>
      </c>
      <c r="Q88" s="39">
        <f t="shared" si="324"/>
      </c>
      <c r="R88" s="39">
        <f t="shared" si="324"/>
      </c>
      <c r="S88" s="39">
        <f t="shared" si="324"/>
      </c>
      <c r="T88" s="39">
        <f t="shared" si="324"/>
      </c>
      <c r="U88" s="1106">
        <f t="shared" si="324"/>
      </c>
      <c r="V88" s="39">
        <f t="shared" si="324"/>
      </c>
      <c r="W88" s="39">
        <f t="shared" si="324"/>
      </c>
      <c r="X88" s="39">
        <f t="shared" si="324"/>
      </c>
      <c r="Y88" s="39">
        <f t="shared" si="324"/>
      </c>
      <c r="Z88" s="1106">
        <f t="shared" si="324"/>
      </c>
      <c r="AA88" s="39">
        <f t="shared" si="324"/>
      </c>
      <c r="AB88" s="39">
        <f t="shared" si="324"/>
      </c>
      <c r="AC88" s="39">
        <f t="shared" si="324"/>
      </c>
      <c r="AD88" s="39">
        <f t="shared" si="324"/>
      </c>
      <c r="AE88" s="1106">
        <f t="shared" si="324"/>
      </c>
      <c r="AF88" s="39">
        <f t="shared" si="324"/>
      </c>
      <c r="AG88" s="39">
        <f t="shared" si="324"/>
      </c>
      <c r="AH88" s="39">
        <f t="shared" si="324"/>
      </c>
      <c r="AI88" s="39">
        <f t="shared" ref="AI88:BD88" si="325">AI86/AI57</f>
      </c>
      <c r="AJ88" s="1106">
        <f t="shared" si="325"/>
      </c>
      <c r="AK88" s="39">
        <f t="shared" si="325"/>
      </c>
      <c r="AL88" s="39">
        <f t="shared" si="325"/>
      </c>
      <c r="AM88" s="39">
        <f t="shared" si="325"/>
      </c>
      <c r="AN88" s="39">
        <f t="shared" si="325"/>
      </c>
      <c r="AO88" s="1106">
        <f t="shared" si="325"/>
      </c>
      <c r="AP88" s="39">
        <f t="shared" si="325"/>
      </c>
      <c r="AQ88" s="39">
        <f t="shared" si="325"/>
      </c>
      <c r="AR88" s="39">
        <f t="shared" si="325"/>
      </c>
      <c r="AS88" s="39">
        <f t="shared" si="325"/>
      </c>
      <c r="AT88" s="1106">
        <f t="shared" si="325"/>
      </c>
      <c r="AU88" s="39">
        <f t="shared" si="325"/>
      </c>
      <c r="AV88" s="39">
        <f t="shared" si="325"/>
      </c>
      <c r="AW88" s="39">
        <f t="shared" si="325"/>
      </c>
      <c r="AX88" s="39">
        <f t="shared" si="325"/>
      </c>
      <c r="AY88" s="1106">
        <f t="shared" si="325"/>
      </c>
      <c r="AZ88" s="39">
        <f t="shared" si="325"/>
      </c>
      <c r="BA88" s="39">
        <f t="shared" si="325"/>
      </c>
      <c r="BB88" s="39">
        <f t="shared" si="325"/>
      </c>
      <c r="BC88" s="39">
        <f t="shared" si="325"/>
      </c>
      <c r="BD88" s="1106">
        <f t="shared" si="325"/>
      </c>
      <c r="BE88" s="39">
        <f t="shared" ref="BE88:BJ88" si="326">BE86/BE57</f>
      </c>
      <c r="BF88" s="39">
        <f t="shared" si="326"/>
      </c>
      <c r="BG88" s="39">
        <f t="shared" si="326"/>
      </c>
      <c r="BH88" s="39">
        <f t="shared" si="326"/>
      </c>
      <c r="BI88" s="1106">
        <f t="shared" si="326"/>
      </c>
      <c r="BJ88" s="39">
        <f t="shared" si="326"/>
      </c>
      <c r="BK88" s="39">
        <f t="shared" ref="BK88:BP88" si="327">BK86/BK57</f>
      </c>
      <c r="BL88" s="39">
        <f t="shared" si="327"/>
      </c>
      <c r="BM88" s="39">
        <f t="shared" si="327"/>
      </c>
      <c r="BN88" s="1106">
        <f t="shared" si="327"/>
      </c>
      <c r="BO88" s="39">
        <f t="shared" si="327"/>
      </c>
      <c r="BP88" s="39">
        <f t="shared" si="327"/>
      </c>
      <c r="BQ88" s="39">
        <f>BQ86/BQ57</f>
      </c>
      <c r="BR88" s="39">
        <f>BR86/BR57</f>
      </c>
      <c r="BS88" s="1106">
        <f>BS86/BS57</f>
      </c>
      <c r="BT88" s="745">
        <f>BT86/BT57</f>
      </c>
      <c r="BU88" s="39">
        <f t="shared" ref="BU88:BX88" si="328">BU86/BU57</f>
      </c>
      <c r="BV88" s="39">
        <f t="shared" si="328"/>
      </c>
      <c r="BW88" s="39">
        <f t="shared" si="328"/>
      </c>
      <c r="BX88" s="1106">
        <f t="shared" si="328"/>
      </c>
      <c r="BY88" s="39">
        <f t="shared" ref="BY88:CF88" si="329">BY86/BY57</f>
      </c>
      <c r="BZ88" s="39">
        <f t="shared" si="329"/>
      </c>
      <c r="CA88" s="39">
        <f t="shared" si="329"/>
      </c>
      <c r="CB88" s="39">
        <f t="shared" si="329"/>
      </c>
      <c r="CC88" s="1106">
        <f t="shared" si="329"/>
      </c>
      <c r="CD88" s="1106">
        <f t="shared" si="329"/>
      </c>
      <c r="CE88" s="1106">
        <f t="shared" si="329"/>
      </c>
      <c r="CF88" s="1106">
        <f t="shared" si="329"/>
      </c>
      <c r="CG88" s="186"/>
    </row>
    <row r="89" spans="1:85" customFormat="1" x14ac:dyDescent="0.3">
      <c r="A89" s="113"/>
      <c r="B89" s="114"/>
      <c r="C89" s="1102"/>
      <c r="D89" s="1102"/>
      <c r="E89" s="1102"/>
      <c r="F89" s="1102"/>
      <c r="G89" s="34"/>
      <c r="H89" s="34"/>
      <c r="I89" s="34"/>
      <c r="J89" s="34"/>
      <c r="K89" s="1102"/>
      <c r="L89" s="34"/>
      <c r="M89" s="34"/>
      <c r="N89" s="34"/>
      <c r="O89" s="34"/>
      <c r="P89" s="1102"/>
      <c r="Q89" s="34"/>
      <c r="R89" s="34"/>
      <c r="S89" s="34"/>
      <c r="T89" s="34"/>
      <c r="U89" s="1102"/>
      <c r="V89" s="34"/>
      <c r="W89" s="34"/>
      <c r="X89" s="34"/>
      <c r="Y89" s="34"/>
      <c r="Z89" s="1102"/>
      <c r="AA89" s="34"/>
      <c r="AB89" s="34"/>
      <c r="AC89" s="34"/>
      <c r="AD89" s="34"/>
      <c r="AE89" s="1102"/>
      <c r="AF89" s="34"/>
      <c r="AG89" s="34"/>
      <c r="AH89" s="34"/>
      <c r="AI89" s="34"/>
      <c r="AJ89" s="1102"/>
      <c r="AK89" s="34"/>
      <c r="AL89" s="34"/>
      <c r="AM89" s="34"/>
      <c r="AN89" s="34"/>
      <c r="AO89" s="1102"/>
      <c r="AP89" s="34"/>
      <c r="AQ89" s="34"/>
      <c r="AR89" s="34"/>
      <c r="AS89" s="34"/>
      <c r="AT89" s="1102"/>
      <c r="AU89" s="34"/>
      <c r="AV89" s="34"/>
      <c r="AW89" s="34"/>
      <c r="AX89" s="34"/>
      <c r="AY89" s="1102"/>
      <c r="AZ89" s="34"/>
      <c r="BA89" s="34"/>
      <c r="BB89" s="34"/>
      <c r="BC89" s="34"/>
      <c r="BD89" s="1102"/>
      <c r="BE89" s="34"/>
      <c r="BF89" s="34"/>
      <c r="BG89" s="34"/>
      <c r="BH89" s="34"/>
      <c r="BI89" s="1102"/>
      <c r="BJ89" s="34"/>
      <c r="BK89" s="34"/>
      <c r="BL89" s="34"/>
      <c r="BM89" s="34"/>
      <c r="BN89" s="1102"/>
      <c r="BO89" s="34"/>
      <c r="BP89" s="34"/>
      <c r="BQ89" s="34"/>
      <c r="BR89" s="34"/>
      <c r="BS89" s="1102"/>
      <c r="BT89" s="740"/>
      <c r="BU89" s="34"/>
      <c r="BV89" s="34"/>
      <c r="BW89" s="34"/>
      <c r="BX89" s="1102"/>
      <c r="BY89" s="34"/>
      <c r="BZ89" s="34"/>
      <c r="CA89" s="34"/>
      <c r="CB89" s="34"/>
      <c r="CC89" s="1102"/>
      <c r="CD89" s="1102"/>
      <c r="CE89" s="1102"/>
      <c r="CF89" s="1102"/>
      <c r="CG89" s="34"/>
    </row>
    <row r="90" spans="1:85" customFormat="1" x14ac:dyDescent="0.3">
      <c r="A90" s="50" t="s">
        <v>2190</v>
      </c>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773"/>
      <c r="AQ90" s="773"/>
      <c r="AR90" s="773"/>
      <c r="AS90" s="773"/>
      <c r="AT90" s="773"/>
      <c r="AU90" s="773"/>
      <c r="AV90" s="773"/>
      <c r="AW90" s="773"/>
      <c r="AX90" s="773"/>
      <c r="AY90" s="773"/>
      <c r="AZ90" s="773"/>
      <c r="BA90" s="773"/>
      <c r="BB90" s="773"/>
      <c r="BC90" s="773"/>
      <c r="BD90" s="773"/>
      <c r="BE90" s="773"/>
      <c r="BF90" s="773"/>
      <c r="BG90" s="773"/>
      <c r="BH90" s="773"/>
      <c r="BI90" s="773"/>
      <c r="BJ90" s="773"/>
      <c r="BK90" s="773"/>
      <c r="BL90" s="773"/>
      <c r="BM90" s="773"/>
      <c r="BN90" s="773"/>
      <c r="BO90" s="773"/>
      <c r="BP90" s="773"/>
      <c r="BQ90" s="773"/>
      <c r="BR90" s="773"/>
      <c r="BS90" s="773"/>
      <c r="BT90" s="839"/>
      <c r="BU90" s="773"/>
      <c r="BV90" s="773"/>
      <c r="BW90" s="773"/>
      <c r="BX90" s="773"/>
      <c r="BY90" s="773"/>
      <c r="BZ90" s="773"/>
      <c r="CA90" s="773"/>
      <c r="CB90" s="773"/>
      <c r="CC90" s="773"/>
      <c r="CD90" s="773"/>
      <c r="CE90" s="773"/>
      <c r="CF90" s="773"/>
      <c r="CG90" s="96"/>
    </row>
    <row r="91" spans="1:85" customFormat="1" x14ac:dyDescent="0.3">
      <c r="A91" s="120" t="s">
        <v>117</v>
      </c>
      <c r="B91" s="121"/>
      <c r="C91" s="1107">
        <f>INDEX(MO_BSS_Debt_Net,0,COLUMN())/INDEX(SP_BSR_EBITDA_LTM,0,COLUMN())</f>
      </c>
      <c r="D91" s="1107">
        <f>INDEX(MO_BSS_Debt_Net,0,COLUMN())/INDEX(SP_BSR_EBITDA_LTM,0,COLUMN())</f>
      </c>
      <c r="E91" s="1107">
        <f>INDEX(MO_BSS_Debt_Net,0,COLUMN())/INDEX(SP_BSR_EBITDA_LTM,0,COLUMN())</f>
      </c>
      <c r="F91" s="1107">
        <f>INDEX(MO_BSS_Debt_Net,0,COLUMN())/INDEX(SP_BSR_EBITDA_LTM,0,COLUMN())</f>
      </c>
      <c r="G91" s="652"/>
      <c r="H91" s="652"/>
      <c r="I91" s="652"/>
      <c r="J91" s="652">
        <f t="shared" ref="J91:AO91" si="330">INDEX(MO_BSS_Debt_Net,0,COLUMN())/INDEX(SP_BSR_EBITDA_LTM,0,COLUMN())</f>
      </c>
      <c r="K91" s="1107">
        <f t="shared" si="330"/>
      </c>
      <c r="L91" s="652">
        <f t="shared" si="330"/>
      </c>
      <c r="M91" s="652">
        <f t="shared" si="330"/>
      </c>
      <c r="N91" s="652">
        <f t="shared" si="330"/>
      </c>
      <c r="O91" s="652">
        <f t="shared" si="330"/>
      </c>
      <c r="P91" s="1107">
        <f t="shared" si="330"/>
      </c>
      <c r="Q91" s="652">
        <f t="shared" si="330"/>
      </c>
      <c r="R91" s="652">
        <f t="shared" si="330"/>
      </c>
      <c r="S91" s="652">
        <f t="shared" si="330"/>
      </c>
      <c r="T91" s="652">
        <f t="shared" si="330"/>
      </c>
      <c r="U91" s="1107">
        <f t="shared" si="330"/>
      </c>
      <c r="V91" s="652">
        <f t="shared" si="330"/>
      </c>
      <c r="W91" s="40">
        <f t="shared" si="330"/>
      </c>
      <c r="X91" s="40">
        <f t="shared" si="330"/>
      </c>
      <c r="Y91" s="40">
        <f t="shared" si="330"/>
      </c>
      <c r="Z91" s="1107">
        <f t="shared" si="330"/>
      </c>
      <c r="AA91" s="40">
        <f t="shared" si="330"/>
      </c>
      <c r="AB91" s="40">
        <f t="shared" si="330"/>
      </c>
      <c r="AC91" s="40">
        <f t="shared" si="330"/>
      </c>
      <c r="AD91" s="40">
        <f t="shared" si="330"/>
      </c>
      <c r="AE91" s="1107">
        <f t="shared" si="330"/>
      </c>
      <c r="AF91" s="40">
        <f t="shared" si="330"/>
      </c>
      <c r="AG91" s="40">
        <f t="shared" si="330"/>
      </c>
      <c r="AH91" s="40">
        <f t="shared" si="330"/>
      </c>
      <c r="AI91" s="40">
        <f t="shared" si="330"/>
      </c>
      <c r="AJ91" s="1107">
        <f t="shared" si="330"/>
      </c>
      <c r="AK91" s="40">
        <f t="shared" si="330"/>
      </c>
      <c r="AL91" s="40">
        <f t="shared" si="330"/>
      </c>
      <c r="AM91" s="40">
        <f t="shared" si="330"/>
      </c>
      <c r="AN91" s="40">
        <f t="shared" si="330"/>
      </c>
      <c r="AO91" s="1107">
        <f t="shared" si="330"/>
      </c>
      <c r="AP91" s="40">
        <f t="shared" ref="AP91:BD91" si="331">INDEX(MO_BSS_Debt_Net,0,COLUMN())/INDEX(SP_BSR_EBITDA_LTM,0,COLUMN())</f>
      </c>
      <c r="AQ91" s="40">
        <f t="shared" si="331"/>
      </c>
      <c r="AR91" s="40">
        <f t="shared" si="331"/>
      </c>
      <c r="AS91" s="40">
        <f t="shared" si="331"/>
      </c>
      <c r="AT91" s="1107">
        <f t="shared" si="331"/>
      </c>
      <c r="AU91" s="40">
        <f t="shared" si="331"/>
      </c>
      <c r="AV91" s="40">
        <f t="shared" si="331"/>
      </c>
      <c r="AW91" s="40">
        <f t="shared" si="331"/>
      </c>
      <c r="AX91" s="40">
        <f t="shared" si="331"/>
      </c>
      <c r="AY91" s="1107">
        <f t="shared" si="331"/>
      </c>
      <c r="AZ91" s="40">
        <f t="shared" si="331"/>
      </c>
      <c r="BA91" s="40">
        <f t="shared" si="331"/>
      </c>
      <c r="BB91" s="40">
        <f t="shared" si="331"/>
      </c>
      <c r="BC91" s="40">
        <f t="shared" si="331"/>
      </c>
      <c r="BD91" s="1107">
        <f t="shared" si="331"/>
      </c>
      <c r="BE91" s="40">
        <f t="shared" ref="BE91:BJ91" si="332">INDEX(MO_BSS_Debt_Net,0,COLUMN())/INDEX(SP_BSR_EBITDA_LTM,0,COLUMN())</f>
      </c>
      <c r="BF91" s="40">
        <f t="shared" si="332"/>
      </c>
      <c r="BG91" s="40">
        <f t="shared" si="332"/>
      </c>
      <c r="BH91" s="40">
        <f t="shared" si="332"/>
      </c>
      <c r="BI91" s="1107">
        <f t="shared" si="332"/>
      </c>
      <c r="BJ91" s="40">
        <f t="shared" si="332"/>
      </c>
      <c r="BK91" s="40">
        <f t="shared" ref="BK91:BP91" si="333">INDEX(MO_BSS_Debt_Net,0,COLUMN())/INDEX(SP_BSR_EBITDA_LTM,0,COLUMN())</f>
      </c>
      <c r="BL91" s="40">
        <f t="shared" si="333"/>
      </c>
      <c r="BM91" s="40">
        <f t="shared" si="333"/>
      </c>
      <c r="BN91" s="1107">
        <f t="shared" si="333"/>
      </c>
      <c r="BO91" s="40">
        <f t="shared" si="333"/>
      </c>
      <c r="BP91" s="40">
        <f t="shared" si="333"/>
      </c>
      <c r="BQ91" s="40">
        <f>INDEX(MO_BSS_Debt_Net,0,COLUMN())/INDEX(SP_BSR_EBITDA_LTM,0,COLUMN())</f>
      </c>
      <c r="BR91" s="40">
        <f>INDEX(MO_BSS_Debt_Net,0,COLUMN())/INDEX(SP_BSR_EBITDA_LTM,0,COLUMN())</f>
      </c>
      <c r="BS91" s="1107">
        <f>INDEX(MO_BSS_Debt_Net,0,COLUMN())/INDEX(SP_BSR_EBITDA_LTM,0,COLUMN())</f>
      </c>
      <c r="BT91" s="746">
        <f>INDEX(MO_BSS_Debt_Net,0,COLUMN())/INDEX(SP_BSR_EBITDA_LTM,0,COLUMN())</f>
      </c>
      <c r="BU91" s="40">
        <f t="shared" ref="BU91:BX91" si="334">INDEX(MO_BSS_Debt_Net,0,COLUMN())/INDEX(SP_BSR_EBITDA_LTM,0,COLUMN())</f>
      </c>
      <c r="BV91" s="40">
        <f t="shared" si="334"/>
      </c>
      <c r="BW91" s="40">
        <f t="shared" si="334"/>
      </c>
      <c r="BX91" s="1107">
        <f t="shared" si="334"/>
      </c>
      <c r="BY91" s="40">
        <f t="shared" ref="BY91:CF91" si="335">INDEX(MO_BSS_Debt_Net,0,COLUMN())/INDEX(SP_BSR_EBITDA_LTM,0,COLUMN())</f>
      </c>
      <c r="BZ91" s="40">
        <f t="shared" si="335"/>
      </c>
      <c r="CA91" s="40">
        <f t="shared" si="335"/>
      </c>
      <c r="CB91" s="40">
        <f t="shared" si="335"/>
      </c>
      <c r="CC91" s="1107">
        <f t="shared" si="335"/>
      </c>
      <c r="CD91" s="1107">
        <f t="shared" si="335"/>
      </c>
      <c r="CE91" s="1107">
        <f t="shared" si="335"/>
      </c>
      <c r="CF91" s="1107">
        <f t="shared" si="335"/>
      </c>
      <c r="CG91" s="40"/>
    </row>
    <row r="92" spans="1:85" customFormat="1" x14ac:dyDescent="0.3">
      <c r="A92" s="120" t="s">
        <v>118</v>
      </c>
      <c r="B92" s="121"/>
      <c r="C92" s="1107">
        <f ca="1">INDEX(MO_BSS_Debt_Net,0,COLUMN())/INDEX(SP_BSR_CashFlow_LTM,0,COLUMN())</f>
      </c>
      <c r="D92" s="1107">
        <f ca="1">INDEX(MO_BSS_Debt_Net,0,COLUMN())/INDEX(SP_BSR_CashFlow_LTM,0,COLUMN())</f>
      </c>
      <c r="E92" s="1107">
        <f ca="1">INDEX(MO_BSS_Debt_Net,0,COLUMN())/INDEX(SP_BSR_CashFlow_LTM,0,COLUMN())</f>
      </c>
      <c r="F92" s="1107">
        <f ca="1">INDEX(MO_BSS_Debt_Net,0,COLUMN())/INDEX(SP_BSR_CashFlow_LTM,0,COLUMN())</f>
      </c>
      <c r="G92" s="652"/>
      <c r="H92" s="652"/>
      <c r="I92" s="652"/>
      <c r="J92" s="652">
        <f t="shared" ref="J92:AO92" ca="1" si="336">INDEX(MO_BSS_Debt_Net,0,COLUMN())/INDEX(SP_BSR_CashFlow_LTM,0,COLUMN())</f>
      </c>
      <c r="K92" s="1107">
        <f t="shared" ca="1" si="336"/>
      </c>
      <c r="L92" s="652">
        <f t="shared" ca="1" si="336"/>
      </c>
      <c r="M92" s="652">
        <f t="shared" ca="1" si="336"/>
      </c>
      <c r="N92" s="652">
        <f t="shared" ca="1" si="336"/>
      </c>
      <c r="O92" s="652">
        <f t="shared" ca="1" si="336"/>
      </c>
      <c r="P92" s="1107">
        <f t="shared" ca="1" si="336"/>
      </c>
      <c r="Q92" s="652">
        <f t="shared" ca="1" si="336"/>
      </c>
      <c r="R92" s="652">
        <f t="shared" ca="1" si="336"/>
      </c>
      <c r="S92" s="652">
        <f t="shared" ca="1" si="336"/>
      </c>
      <c r="T92" s="652">
        <f t="shared" ca="1" si="336"/>
      </c>
      <c r="U92" s="1107">
        <f t="shared" ca="1" si="336"/>
      </c>
      <c r="V92" s="652">
        <f t="shared" ca="1" si="336"/>
      </c>
      <c r="W92" s="40">
        <f t="shared" ca="1" si="336"/>
      </c>
      <c r="X92" s="40">
        <f t="shared" ca="1" si="336"/>
      </c>
      <c r="Y92" s="40">
        <f t="shared" ca="1" si="336"/>
      </c>
      <c r="Z92" s="1107">
        <f t="shared" ca="1" si="336"/>
      </c>
      <c r="AA92" s="40">
        <f t="shared" ca="1" si="336"/>
      </c>
      <c r="AB92" s="40">
        <f t="shared" ca="1" si="336"/>
      </c>
      <c r="AC92" s="40">
        <f t="shared" ca="1" si="336"/>
      </c>
      <c r="AD92" s="40">
        <f t="shared" ca="1" si="336"/>
      </c>
      <c r="AE92" s="1107">
        <f t="shared" ca="1" si="336"/>
      </c>
      <c r="AF92" s="40">
        <f t="shared" ca="1" si="336"/>
      </c>
      <c r="AG92" s="40">
        <f t="shared" ca="1" si="336"/>
      </c>
      <c r="AH92" s="40">
        <f t="shared" ca="1" si="336"/>
      </c>
      <c r="AI92" s="40">
        <f t="shared" ca="1" si="336"/>
      </c>
      <c r="AJ92" s="1107">
        <f t="shared" ca="1" si="336"/>
      </c>
      <c r="AK92" s="40">
        <f t="shared" ca="1" si="336"/>
      </c>
      <c r="AL92" s="40">
        <f t="shared" ca="1" si="336"/>
      </c>
      <c r="AM92" s="40">
        <f t="shared" ca="1" si="336"/>
      </c>
      <c r="AN92" s="40">
        <f t="shared" ca="1" si="336"/>
      </c>
      <c r="AO92" s="1107">
        <f t="shared" ca="1" si="336"/>
      </c>
      <c r="AP92" s="40">
        <f t="shared" ref="AP92:BD92" ca="1" si="337">INDEX(MO_BSS_Debt_Net,0,COLUMN())/INDEX(SP_BSR_CashFlow_LTM,0,COLUMN())</f>
      </c>
      <c r="AQ92" s="40">
        <f t="shared" ca="1" si="337"/>
      </c>
      <c r="AR92" s="40">
        <f t="shared" ca="1" si="337"/>
      </c>
      <c r="AS92" s="40">
        <f t="shared" ca="1" si="337"/>
      </c>
      <c r="AT92" s="1107">
        <f t="shared" ca="1" si="337"/>
      </c>
      <c r="AU92" s="40">
        <f t="shared" ca="1" si="337"/>
      </c>
      <c r="AV92" s="40">
        <f t="shared" ca="1" si="337"/>
      </c>
      <c r="AW92" s="40">
        <f t="shared" ca="1" si="337"/>
      </c>
      <c r="AX92" s="40">
        <f t="shared" ca="1" si="337"/>
      </c>
      <c r="AY92" s="1107">
        <f t="shared" ca="1" si="337"/>
      </c>
      <c r="AZ92" s="40">
        <f t="shared" ca="1" si="337"/>
      </c>
      <c r="BA92" s="40">
        <f t="shared" ca="1" si="337"/>
      </c>
      <c r="BB92" s="40">
        <f t="shared" ca="1" si="337"/>
      </c>
      <c r="BC92" s="40">
        <f t="shared" ca="1" si="337"/>
      </c>
      <c r="BD92" s="1107">
        <f t="shared" ca="1" si="337"/>
      </c>
      <c r="BE92" s="40">
        <f t="shared" ref="BE92:BJ92" ca="1" si="338">INDEX(MO_BSS_Debt_Net,0,COLUMN())/INDEX(SP_BSR_CashFlow_LTM,0,COLUMN())</f>
      </c>
      <c r="BF92" s="40">
        <f t="shared" ca="1" si="338"/>
      </c>
      <c r="BG92" s="40">
        <f t="shared" ca="1" si="338"/>
      </c>
      <c r="BH92" s="40">
        <f t="shared" ca="1" si="338"/>
      </c>
      <c r="BI92" s="1107">
        <f t="shared" ca="1" si="338"/>
      </c>
      <c r="BJ92" s="40">
        <f t="shared" ca="1" si="338"/>
      </c>
      <c r="BK92" s="40">
        <f t="shared" ref="BK92:BP92" ca="1" si="339">INDEX(MO_BSS_Debt_Net,0,COLUMN())/INDEX(SP_BSR_CashFlow_LTM,0,COLUMN())</f>
      </c>
      <c r="BL92" s="40">
        <f t="shared" ca="1" si="339"/>
      </c>
      <c r="BM92" s="40">
        <f t="shared" ca="1" si="339"/>
      </c>
      <c r="BN92" s="1107">
        <f t="shared" ca="1" si="339"/>
      </c>
      <c r="BO92" s="40">
        <f t="shared" ca="1" si="339"/>
      </c>
      <c r="BP92" s="40">
        <f t="shared" ca="1" si="339"/>
      </c>
      <c r="BQ92" s="40">
        <f ca="1">INDEX(MO_BSS_Debt_Net,0,COLUMN())/INDEX(SP_BSR_CashFlow_LTM,0,COLUMN())</f>
      </c>
      <c r="BR92" s="40">
        <f ca="1">INDEX(MO_BSS_Debt_Net,0,COLUMN())/INDEX(SP_BSR_CashFlow_LTM,0,COLUMN())</f>
      </c>
      <c r="BS92" s="1107">
        <f ca="1">INDEX(MO_BSS_Debt_Net,0,COLUMN())/INDEX(SP_BSR_CashFlow_LTM,0,COLUMN())</f>
      </c>
      <c r="BT92" s="746">
        <f ca="1">INDEX(MO_BSS_Debt_Net,0,COLUMN())/INDEX(SP_BSR_CashFlow_LTM,0,COLUMN())</f>
      </c>
      <c r="BU92" s="40">
        <f t="shared" ref="BU92:BX92" ca="1" si="340">INDEX(MO_BSS_Debt_Net,0,COLUMN())/INDEX(SP_BSR_CashFlow_LTM,0,COLUMN())</f>
      </c>
      <c r="BV92" s="40">
        <f t="shared" ca="1" si="340"/>
      </c>
      <c r="BW92" s="40">
        <f t="shared" ca="1" si="340"/>
      </c>
      <c r="BX92" s="1107">
        <f t="shared" ca="1" si="340"/>
      </c>
      <c r="BY92" s="40">
        <f t="shared" ref="BY92:CF92" ca="1" si="341">INDEX(MO_BSS_Debt_Net,0,COLUMN())/INDEX(SP_BSR_CashFlow_LTM,0,COLUMN())</f>
      </c>
      <c r="BZ92" s="40">
        <f t="shared" ca="1" si="341"/>
      </c>
      <c r="CA92" s="40">
        <f t="shared" ca="1" si="341"/>
      </c>
      <c r="CB92" s="40">
        <f t="shared" ca="1" si="341"/>
      </c>
      <c r="CC92" s="1107">
        <f t="shared" ca="1" si="341"/>
      </c>
      <c r="CD92" s="1107">
        <f t="shared" ca="1" si="341"/>
      </c>
      <c r="CE92" s="1107">
        <f t="shared" ca="1" si="341"/>
      </c>
      <c r="CF92" s="1107">
        <f t="shared" ca="1" si="341"/>
      </c>
      <c r="CG92" s="40"/>
    </row>
    <row r="93" spans="1:85" customFormat="1" x14ac:dyDescent="0.3">
      <c r="A93" s="122" t="s">
        <v>330</v>
      </c>
      <c r="B93" s="123"/>
      <c r="C93" s="1108">
        <f>INDEX(MO_BSS_Debt_Net,0,COLUMN())/SUM(INDEX(MO_BS_SE,0,COLUMN()),INDEX(MO_BSS_Debt,0,COLUMN()),IFERROR(INDEX(MO_BSS_OL,0,COLUMN()),0))</f>
      </c>
      <c r="D93" s="1108">
        <f>INDEX(MO_BSS_Debt_Net,0,COLUMN())/SUM(INDEX(MO_BS_SE,0,COLUMN()),INDEX(MO_BSS_Debt,0,COLUMN()),IFERROR(INDEX(MO_BSS_OL,0,COLUMN()),0))</f>
      </c>
      <c r="E93" s="1108">
        <f>INDEX(MO_BSS_Debt_Net,0,COLUMN())/SUM(INDEX(MO_BS_SE,0,COLUMN()),INDEX(MO_BSS_Debt,0,COLUMN()),IFERROR(INDEX(MO_BSS_OL,0,COLUMN()),0))</f>
      </c>
      <c r="F93" s="1108">
        <f>INDEX(MO_BSS_Debt_Net,0,COLUMN())/SUM(INDEX(MO_BS_SE,0,COLUMN()),INDEX(MO_BSS_Debt,0,COLUMN()),IFERROR(INDEX(MO_BSS_OL,0,COLUMN()),0))</f>
      </c>
      <c r="G93" s="41"/>
      <c r="H93" s="41"/>
      <c r="I93" s="41"/>
      <c r="J93" s="41">
        <f t="shared" ref="J93:AO93" si="342">INDEX(MO_BSS_Debt_Net,0,COLUMN())/SUM(INDEX(MO_BS_SE,0,COLUMN()),INDEX(MO_BSS_Debt,0,COLUMN()),IFERROR(INDEX(MO_BSS_OL,0,COLUMN()),0))</f>
      </c>
      <c r="K93" s="1108">
        <f t="shared" si="342"/>
      </c>
      <c r="L93" s="41">
        <f t="shared" si="342"/>
      </c>
      <c r="M93" s="41">
        <f t="shared" si="342"/>
      </c>
      <c r="N93" s="41">
        <f t="shared" si="342"/>
      </c>
      <c r="O93" s="41">
        <f t="shared" si="342"/>
      </c>
      <c r="P93" s="1108">
        <f t="shared" si="342"/>
      </c>
      <c r="Q93" s="41">
        <f t="shared" si="342"/>
      </c>
      <c r="R93" s="41">
        <f t="shared" si="342"/>
      </c>
      <c r="S93" s="41">
        <f t="shared" si="342"/>
      </c>
      <c r="T93" s="41">
        <f t="shared" si="342"/>
      </c>
      <c r="U93" s="1108">
        <f t="shared" si="342"/>
      </c>
      <c r="V93" s="41">
        <f t="shared" si="342"/>
      </c>
      <c r="W93" s="41">
        <f t="shared" si="342"/>
      </c>
      <c r="X93" s="41">
        <f t="shared" si="342"/>
      </c>
      <c r="Y93" s="41">
        <f t="shared" si="342"/>
      </c>
      <c r="Z93" s="1108">
        <f t="shared" si="342"/>
      </c>
      <c r="AA93" s="41">
        <f t="shared" si="342"/>
      </c>
      <c r="AB93" s="41">
        <f t="shared" si="342"/>
      </c>
      <c r="AC93" s="41">
        <f t="shared" si="342"/>
      </c>
      <c r="AD93" s="41">
        <f t="shared" si="342"/>
      </c>
      <c r="AE93" s="1108">
        <f t="shared" si="342"/>
      </c>
      <c r="AF93" s="41">
        <f t="shared" si="342"/>
      </c>
      <c r="AG93" s="41">
        <f t="shared" si="342"/>
      </c>
      <c r="AH93" s="41">
        <f t="shared" si="342"/>
      </c>
      <c r="AI93" s="41">
        <f t="shared" si="342"/>
      </c>
      <c r="AJ93" s="1108">
        <f t="shared" si="342"/>
      </c>
      <c r="AK93" s="41">
        <f t="shared" si="342"/>
      </c>
      <c r="AL93" s="41">
        <f t="shared" si="342"/>
      </c>
      <c r="AM93" s="41">
        <f t="shared" si="342"/>
      </c>
      <c r="AN93" s="41">
        <f t="shared" si="342"/>
      </c>
      <c r="AO93" s="1108">
        <f t="shared" si="342"/>
      </c>
      <c r="AP93" s="41">
        <f t="shared" ref="AP93:BD93" si="343">INDEX(MO_BSS_Debt_Net,0,COLUMN())/SUM(INDEX(MO_BS_SE,0,COLUMN()),INDEX(MO_BSS_Debt,0,COLUMN()),IFERROR(INDEX(MO_BSS_OL,0,COLUMN()),0))</f>
      </c>
      <c r="AQ93" s="41">
        <f t="shared" si="343"/>
      </c>
      <c r="AR93" s="41">
        <f t="shared" si="343"/>
      </c>
      <c r="AS93" s="41">
        <f t="shared" si="343"/>
      </c>
      <c r="AT93" s="1108">
        <f t="shared" si="343"/>
      </c>
      <c r="AU93" s="41">
        <f t="shared" si="343"/>
      </c>
      <c r="AV93" s="41">
        <f t="shared" si="343"/>
      </c>
      <c r="AW93" s="41">
        <f t="shared" si="343"/>
      </c>
      <c r="AX93" s="41">
        <f t="shared" si="343"/>
      </c>
      <c r="AY93" s="1108">
        <f t="shared" si="343"/>
      </c>
      <c r="AZ93" s="41">
        <f t="shared" si="343"/>
      </c>
      <c r="BA93" s="41">
        <f t="shared" si="343"/>
      </c>
      <c r="BB93" s="41">
        <f t="shared" si="343"/>
      </c>
      <c r="BC93" s="41">
        <f t="shared" si="343"/>
      </c>
      <c r="BD93" s="1108">
        <f t="shared" si="343"/>
      </c>
      <c r="BE93" s="41">
        <f t="shared" ref="BE93:BJ93" si="344">INDEX(MO_BSS_Debt_Net,0,COLUMN())/SUM(INDEX(MO_BS_SE,0,COLUMN()),INDEX(MO_BSS_Debt,0,COLUMN()),IFERROR(INDEX(MO_BSS_OL,0,COLUMN()),0))</f>
      </c>
      <c r="BF93" s="41">
        <f t="shared" si="344"/>
      </c>
      <c r="BG93" s="41">
        <f t="shared" si="344"/>
      </c>
      <c r="BH93" s="41">
        <f t="shared" si="344"/>
      </c>
      <c r="BI93" s="1108">
        <f t="shared" si="344"/>
      </c>
      <c r="BJ93" s="41">
        <f t="shared" si="344"/>
      </c>
      <c r="BK93" s="41">
        <f t="shared" ref="BK93:BP93" si="345">INDEX(MO_BSS_Debt_Net,0,COLUMN())/SUM(INDEX(MO_BS_SE,0,COLUMN()),INDEX(MO_BSS_Debt,0,COLUMN()),IFERROR(INDEX(MO_BSS_OL,0,COLUMN()),0))</f>
      </c>
      <c r="BL93" s="41">
        <f t="shared" si="345"/>
      </c>
      <c r="BM93" s="41">
        <f t="shared" si="345"/>
      </c>
      <c r="BN93" s="1108">
        <f t="shared" si="345"/>
      </c>
      <c r="BO93" s="41">
        <f t="shared" si="345"/>
      </c>
      <c r="BP93" s="41">
        <f t="shared" si="345"/>
      </c>
      <c r="BQ93" s="41">
        <f>INDEX(MO_BSS_Debt_Net,0,COLUMN())/SUM(INDEX(MO_BS_SE,0,COLUMN()),INDEX(MO_BSS_Debt,0,COLUMN()),IFERROR(INDEX(MO_BSS_OL,0,COLUMN()),0))</f>
      </c>
      <c r="BR93" s="41">
        <f>INDEX(MO_BSS_Debt_Net,0,COLUMN())/SUM(INDEX(MO_BS_SE,0,COLUMN()),INDEX(MO_BSS_Debt,0,COLUMN()),IFERROR(INDEX(MO_BSS_OL,0,COLUMN()),0))</f>
      </c>
      <c r="BS93" s="1108">
        <f>INDEX(MO_BSS_Debt_Net,0,COLUMN())/SUM(INDEX(MO_BS_SE,0,COLUMN()),INDEX(MO_BSS_Debt,0,COLUMN()),IFERROR(INDEX(MO_BSS_OL,0,COLUMN()),0))</f>
      </c>
      <c r="BT93" s="747">
        <f>INDEX(MO_BSS_Debt_Net,0,COLUMN())/SUM(INDEX(MO_BS_SE,0,COLUMN()),INDEX(MO_BSS_Debt,0,COLUMN()),IFERROR(INDEX(MO_BSS_OL,0,COLUMN()),0))</f>
      </c>
      <c r="BU93" s="41">
        <f t="shared" ref="BU93:BX93" si="346">INDEX(MO_BSS_Debt_Net,0,COLUMN())/SUM(INDEX(MO_BS_SE,0,COLUMN()),INDEX(MO_BSS_Debt,0,COLUMN()),IFERROR(INDEX(MO_BSS_OL,0,COLUMN()),0))</f>
      </c>
      <c r="BV93" s="41">
        <f t="shared" si="346"/>
      </c>
      <c r="BW93" s="41">
        <f t="shared" si="346"/>
      </c>
      <c r="BX93" s="1108">
        <f t="shared" si="346"/>
      </c>
      <c r="BY93" s="41">
        <f t="shared" ref="BY93:CF93" si="347">INDEX(MO_BSS_Debt_Net,0,COLUMN())/SUM(INDEX(MO_BS_SE,0,COLUMN()),INDEX(MO_BSS_Debt,0,COLUMN()),IFERROR(INDEX(MO_BSS_OL,0,COLUMN()),0))</f>
      </c>
      <c r="BZ93" s="41">
        <f t="shared" si="347"/>
      </c>
      <c r="CA93" s="41">
        <f t="shared" si="347"/>
      </c>
      <c r="CB93" s="41">
        <f t="shared" si="347"/>
      </c>
      <c r="CC93" s="1108">
        <f t="shared" si="347"/>
      </c>
      <c r="CD93" s="1108">
        <f t="shared" si="347"/>
      </c>
      <c r="CE93" s="1108">
        <f t="shared" si="347"/>
      </c>
      <c r="CF93" s="1108">
        <f t="shared" si="347"/>
      </c>
      <c r="CG93" s="187"/>
    </row>
    <row r="94" spans="1:85" customFormat="1" hidden="1" outlineLevel="1" x14ac:dyDescent="0.3">
      <c r="A94" s="117" t="s">
        <v>331</v>
      </c>
      <c r="B94" s="55"/>
      <c r="C94" s="1097">
        <f>C54</f>
      </c>
      <c r="D94" s="1097">
        <f>D54</f>
      </c>
      <c r="E94" s="1097">
        <f>E54</f>
      </c>
      <c r="F94" s="1097">
        <f>F54</f>
      </c>
      <c r="G94" s="772"/>
      <c r="H94" s="772"/>
      <c r="I94" s="772"/>
      <c r="J94" s="772">
        <f>SUM(J54,I54,H54,G54)</f>
      </c>
      <c r="K94" s="1097">
        <f>K54</f>
      </c>
      <c r="L94" s="772">
        <f>SUM(L54,J54,I54,H54)</f>
      </c>
      <c r="M94" s="772">
        <f>SUM(M54,L54,J54,I54)</f>
      </c>
      <c r="N94" s="772">
        <f>SUM(N54,M54,L54,J54)</f>
      </c>
      <c r="O94" s="772">
        <f>SUM(O54,N54,M54,L54)</f>
      </c>
      <c r="P94" s="1097">
        <f>P54</f>
      </c>
      <c r="Q94" s="772">
        <f>SUM(Q54,O54,N54,M54)</f>
      </c>
      <c r="R94" s="772">
        <f>SUM(R54,Q54,O54,N54)</f>
      </c>
      <c r="S94" s="772">
        <f>SUM(S54,R54,Q54,O54)</f>
      </c>
      <c r="T94" s="772">
        <f>SUM(T54,S54,R54,Q54)</f>
      </c>
      <c r="U94" s="1097">
        <f>U54</f>
      </c>
      <c r="V94" s="772">
        <f>SUM(V54,T54,S54,R54)</f>
      </c>
      <c r="W94" s="772">
        <f>SUM(W54,V54,T54,S54)</f>
      </c>
      <c r="X94" s="772">
        <f>SUM(X54,W54,V54,T54)</f>
      </c>
      <c r="Y94" s="772">
        <f>SUM(Y54,X54,W54,V54)</f>
      </c>
      <c r="Z94" s="1097">
        <f>Z54</f>
      </c>
      <c r="AA94" s="772">
        <f>SUM(AA54,Y54,X54,W54)</f>
      </c>
      <c r="AB94" s="772">
        <f>SUM(AB54,AA54,Y54,X54)</f>
      </c>
      <c r="AC94" s="772">
        <f>SUM(AC54,AB54,AA54,Y54)</f>
      </c>
      <c r="AD94" s="772">
        <f>SUM(AD54,AC54,AB54,AA54)</f>
      </c>
      <c r="AE94" s="1097">
        <f>AE54</f>
      </c>
      <c r="AF94" s="772">
        <f>SUM(AF54,AD54,AC54,AB54)</f>
      </c>
      <c r="AG94" s="772">
        <f>SUM(AG54,AF54,AD54,AC54)</f>
      </c>
      <c r="AH94" s="772">
        <f>SUM(AH54,AG54,AF54,AD54)</f>
      </c>
      <c r="AI94" s="772">
        <f>SUM(AI54,AH54,AG54,AF54)</f>
      </c>
      <c r="AJ94" s="1097">
        <f>AJ54</f>
      </c>
      <c r="AK94" s="772">
        <f>SUM(AK54,AI54,AH54,AG54)</f>
      </c>
      <c r="AL94" s="772">
        <f>SUM(AL54,AK54,AI54,AH54)</f>
      </c>
      <c r="AM94" s="772">
        <f>SUM(AM54,AL54,AK54,AI54)</f>
      </c>
      <c r="AN94" s="772">
        <f>SUM(AN54,AM54,AL54,AK54)</f>
      </c>
      <c r="AO94" s="1097">
        <f>AO54</f>
      </c>
      <c r="AP94" s="772">
        <f>SUM(AP54,AN54,AM54,AL54)</f>
      </c>
      <c r="AQ94" s="772">
        <f>SUM(AQ54,AP54,AN54,AM54)</f>
      </c>
      <c r="AR94" s="772">
        <f>SUM(AR54,AQ54,AP54,AN54)</f>
      </c>
      <c r="AS94" s="772">
        <f>SUM(AS54,AR54,AQ54,AP54)</f>
      </c>
      <c r="AT94" s="1097">
        <f>AT54</f>
      </c>
      <c r="AU94" s="772">
        <f>SUM(AU54,AS54,AR54,AQ54)</f>
      </c>
      <c r="AV94" s="772">
        <f>SUM(AV54,AU54,AS54,AR54)</f>
      </c>
      <c r="AW94" s="772">
        <f>SUM(AW54,AV54,AU54,AS54)</f>
      </c>
      <c r="AX94" s="772">
        <f>SUM(AX54,AW54,AV54,AU54)</f>
      </c>
      <c r="AY94" s="1097">
        <f>AY54</f>
      </c>
      <c r="AZ94" s="772">
        <f>SUM(AZ54,AX54,AW54,AV54)</f>
      </c>
      <c r="BA94" s="772">
        <f>SUM(BA54,AZ54,AX54,AW54)</f>
      </c>
      <c r="BB94" s="772">
        <f>SUM(BB54,BA54,AZ54,AX54)</f>
      </c>
      <c r="BC94" s="772">
        <f>SUM(BC54,BB54,BA54,AZ54)</f>
      </c>
      <c r="BD94" s="1097">
        <f>BD54</f>
      </c>
      <c r="BE94" s="772">
        <f>SUM(BE54,BC54,BB54,BA54)</f>
      </c>
      <c r="BF94" s="772">
        <f>SUM(BF54,BE54,BC54,BB54)</f>
      </c>
      <c r="BG94" s="772">
        <f>SUM(BG54,BF54,BE54,BC54)</f>
      </c>
      <c r="BH94" s="772">
        <f>SUM(BH54,BG54,BF54,BE54)</f>
      </c>
      <c r="BI94" s="1097">
        <f>BI54</f>
      </c>
      <c r="BJ94" s="772">
        <f>SUM(BJ54,BH54,BG54,BF54)</f>
      </c>
      <c r="BK94" s="772">
        <f>SUM(BK54,BJ54,BH54,BG54)</f>
      </c>
      <c r="BL94" s="772">
        <f>SUM(BL54,BK54,BJ54,BH54)</f>
      </c>
      <c r="BM94" s="772">
        <f>SUM(BM54,BL54,BK54,BJ54)</f>
      </c>
      <c r="BN94" s="1097">
        <f>BN54</f>
      </c>
      <c r="BO94" s="772">
        <f>SUM(BO54,BM54,BL54,BK54)</f>
      </c>
      <c r="BP94" s="772">
        <f>SUM(BP54,BO54,BM54,BL54)</f>
      </c>
      <c r="BQ94" s="772">
        <f>SUM(BQ54,BP54,BO54,BM54)</f>
      </c>
      <c r="BR94" s="772">
        <f>SUM(BR54,BQ54,BP54,BO54)</f>
      </c>
      <c r="BS94" s="1097">
        <f>BS54</f>
      </c>
      <c r="BT94" s="838">
        <f>SUM(BT54,BR54,BQ54,BP54)</f>
      </c>
      <c r="BU94" s="772">
        <f>SUM(BU54,BT54,BR54,BQ54)</f>
      </c>
      <c r="BV94" s="772">
        <f>SUM(BV54,BU54,BT54,BR54)</f>
      </c>
      <c r="BW94" s="772">
        <f>SUM(BW54,BV54,BU54,BT54)</f>
      </c>
      <c r="BX94" s="1097">
        <f>BX54</f>
      </c>
      <c r="BY94" s="772">
        <f>SUM(BY54,BW54,BV54,BU54)</f>
      </c>
      <c r="BZ94" s="772">
        <f>SUM(BZ54,BY54,BW54,BV54)</f>
      </c>
      <c r="CA94" s="772">
        <f>SUM(CA54,BZ54,BY54,BW54)</f>
      </c>
      <c r="CB94" s="772">
        <f>SUM(CB54,CA54,BZ54,BY54)</f>
      </c>
      <c r="CC94" s="1097">
        <f>CC54</f>
      </c>
      <c r="CD94" s="1097">
        <f>CD54</f>
      </c>
      <c r="CE94" s="1097">
        <f>CE54</f>
      </c>
      <c r="CF94" s="1097">
        <f>CF54</f>
      </c>
      <c r="CG94" s="185"/>
    </row>
    <row r="95" spans="1:85" customFormat="1" hidden="1" outlineLevel="1" x14ac:dyDescent="0.3">
      <c r="A95" s="117" t="s">
        <v>332</v>
      </c>
      <c r="B95" s="55"/>
      <c r="C95" s="1097">
        <f ca="1">C72</f>
      </c>
      <c r="D95" s="1097">
        <f ca="1">D72</f>
      </c>
      <c r="E95" s="1097">
        <f ca="1">E72</f>
      </c>
      <c r="F95" s="1097">
        <f ca="1">F72</f>
      </c>
      <c r="G95" s="772"/>
      <c r="H95" s="772"/>
      <c r="I95" s="772"/>
      <c r="J95" s="772">
        <f ca="1">SUM(J72,I72,H72,G72)</f>
      </c>
      <c r="K95" s="1097">
        <f ca="1">K72</f>
      </c>
      <c r="L95" s="772">
        <f ca="1">SUM(L72,J72,I72,H72)</f>
      </c>
      <c r="M95" s="772">
        <f ca="1">SUM(M72,L72,J72,I72)</f>
      </c>
      <c r="N95" s="772">
        <f ca="1">SUM(N72,M72,L72,J72)</f>
      </c>
      <c r="O95" s="772">
        <f ca="1">SUM(O72,N72,M72,L72)</f>
      </c>
      <c r="P95" s="1097">
        <f ca="1">P72</f>
      </c>
      <c r="Q95" s="772">
        <f ca="1">SUM(Q72,O72,N72,M72)</f>
      </c>
      <c r="R95" s="772">
        <f ca="1">SUM(R72,Q72,O72,N72)</f>
      </c>
      <c r="S95" s="772">
        <f ca="1">SUM(S72,R72,Q72,O72)</f>
      </c>
      <c r="T95" s="772">
        <f ca="1">SUM(T72,S72,R72,Q72)</f>
      </c>
      <c r="U95" s="1097">
        <f ca="1">U72</f>
      </c>
      <c r="V95" s="772">
        <f ca="1">SUM(V72,T72,S72,R72)</f>
      </c>
      <c r="W95" s="772">
        <f ca="1">SUM(W72,V72,T72,S72)</f>
      </c>
      <c r="X95" s="772">
        <f ca="1">SUM(X72,W72,V72,T72)</f>
      </c>
      <c r="Y95" s="772">
        <f ca="1">SUM(Y72,X72,W72,V72)</f>
      </c>
      <c r="Z95" s="1097">
        <f ca="1">Z72</f>
      </c>
      <c r="AA95" s="772">
        <f ca="1">SUM(AA72,Y72,X72,W72)</f>
      </c>
      <c r="AB95" s="772">
        <f ca="1">SUM(AB72,AA72,Y72,X72)</f>
      </c>
      <c r="AC95" s="772">
        <f ca="1">SUM(AC72,AB72,AA72,Y72)</f>
      </c>
      <c r="AD95" s="772">
        <f ca="1">SUM(AD72,AC72,AB72,AA72)</f>
      </c>
      <c r="AE95" s="1097">
        <f ca="1">AE72</f>
      </c>
      <c r="AF95" s="772">
        <f ca="1">SUM(AF72,AD72,AC72,AB72)</f>
      </c>
      <c r="AG95" s="772">
        <f ca="1">SUM(AG72,AF72,AD72,AC72)</f>
      </c>
      <c r="AH95" s="772">
        <f ca="1">SUM(AH72,AG72,AF72,AD72)</f>
      </c>
      <c r="AI95" s="772">
        <f ca="1">SUM(AI72,AH72,AG72,AF72)</f>
      </c>
      <c r="AJ95" s="1097">
        <f ca="1">AJ72</f>
      </c>
      <c r="AK95" s="772">
        <f ca="1">SUM(AK72,AI72,AH72,AG72)</f>
      </c>
      <c r="AL95" s="772">
        <f ca="1">SUM(AL72,AK72,AI72,AH72)</f>
      </c>
      <c r="AM95" s="772">
        <f ca="1">SUM(AM72,AL72,AK72,AI72)</f>
      </c>
      <c r="AN95" s="772">
        <f ca="1">SUM(AN72,AM72,AL72,AK72)</f>
      </c>
      <c r="AO95" s="1097">
        <f ca="1">AO72</f>
      </c>
      <c r="AP95" s="772">
        <f ca="1">SUM(AP72,AN72,AM72,AL72)</f>
      </c>
      <c r="AQ95" s="772">
        <f ca="1">SUM(AQ72,AP72,AN72,AM72)</f>
      </c>
      <c r="AR95" s="772">
        <f ca="1">SUM(AR72,AQ72,AP72,AN72)</f>
      </c>
      <c r="AS95" s="772">
        <f ca="1">SUM(AS72,AR72,AQ72,AP72)</f>
      </c>
      <c r="AT95" s="1097">
        <f ca="1">AT72</f>
      </c>
      <c r="AU95" s="772">
        <f ca="1">SUM(AU72,AS72,AR72,AQ72)</f>
      </c>
      <c r="AV95" s="772">
        <f ca="1">SUM(AV72,AU72,AS72,AR72)</f>
      </c>
      <c r="AW95" s="772">
        <f ca="1">SUM(AW72,AV72,AU72,AS72)</f>
      </c>
      <c r="AX95" s="772">
        <f ca="1">SUM(AX72,AW72,AV72,AU72)</f>
      </c>
      <c r="AY95" s="1097">
        <f ca="1">AY72</f>
      </c>
      <c r="AZ95" s="772">
        <f ca="1">SUM(AZ72,AX72,AW72,AV72)</f>
      </c>
      <c r="BA95" s="772">
        <f ca="1">SUM(BA72,AZ72,AX72,AW72)</f>
      </c>
      <c r="BB95" s="772">
        <f ca="1">SUM(BB72,BA72,AZ72,AX72)</f>
      </c>
      <c r="BC95" s="772">
        <f ca="1">SUM(BC72,BB72,BA72,AZ72)</f>
      </c>
      <c r="BD95" s="1097">
        <f ca="1">BD72</f>
      </c>
      <c r="BE95" s="772">
        <f ca="1">SUM(BE72,BC72,BB72,BA72)</f>
      </c>
      <c r="BF95" s="772">
        <f ca="1">SUM(BF72,BE72,BC72,BB72)</f>
      </c>
      <c r="BG95" s="772">
        <f ca="1">SUM(BG72,BF72,BE72,BC72)</f>
      </c>
      <c r="BH95" s="772">
        <f ca="1">SUM(BH72,BG72,BF72,BE72)</f>
      </c>
      <c r="BI95" s="1097">
        <f ca="1">BI72</f>
      </c>
      <c r="BJ95" s="772">
        <f ca="1">SUM(BJ72,BH72,BG72,BF72)</f>
      </c>
      <c r="BK95" s="772">
        <f ca="1">SUM(BK72,BJ72,BH72,BG72)</f>
      </c>
      <c r="BL95" s="772">
        <f ca="1">SUM(BL72,BK72,BJ72,BH72)</f>
      </c>
      <c r="BM95" s="772">
        <f ca="1">SUM(BM72,BL72,BK72,BJ72)</f>
      </c>
      <c r="BN95" s="1097">
        <f ca="1">BN72</f>
      </c>
      <c r="BO95" s="772">
        <f ca="1">SUM(BO72,BM72,BL72,BK72)</f>
      </c>
      <c r="BP95" s="772">
        <f ca="1">SUM(BP72,BO72,BM72,BL72)</f>
      </c>
      <c r="BQ95" s="772">
        <f ca="1">SUM(BQ72,BP72,BO72,BM72)</f>
      </c>
      <c r="BR95" s="772">
        <f ca="1">SUM(BR72,BQ72,BP72,BO72)</f>
      </c>
      <c r="BS95" s="1097">
        <f ca="1">BS72</f>
      </c>
      <c r="BT95" s="838">
        <f ca="1">SUM(BT72,BR72,BQ72,BP72)</f>
      </c>
      <c r="BU95" s="772">
        <f ca="1">SUM(BU72,BT72,BR72,BQ72)</f>
      </c>
      <c r="BV95" s="772">
        <f ca="1">SUM(BV72,BU72,BT72,BR72)</f>
      </c>
      <c r="BW95" s="772">
        <f ca="1">SUM(BW72,BV72,BU72,BT72)</f>
      </c>
      <c r="BX95" s="1097">
        <f ca="1">BX72</f>
      </c>
      <c r="BY95" s="772">
        <f ca="1">SUM(BY72,BW72,BV72,BU72)</f>
      </c>
      <c r="BZ95" s="772">
        <f ca="1">SUM(BZ72,BY72,BW72,BV72)</f>
      </c>
      <c r="CA95" s="772">
        <f ca="1">SUM(CA72,BZ72,BY72,BW72)</f>
      </c>
      <c r="CB95" s="772">
        <f ca="1">SUM(CB72,CA72,BZ72,BY72)</f>
      </c>
      <c r="CC95" s="1097">
        <f ca="1">CC72</f>
      </c>
      <c r="CD95" s="1097">
        <f ca="1">CD72</f>
      </c>
      <c r="CE95" s="1097">
        <f ca="1">CE72</f>
      </c>
      <c r="CF95" s="1097">
        <f ca="1">CF72</f>
      </c>
      <c r="CG95" s="185"/>
    </row>
    <row r="96" spans="1:85" customFormat="1" collapsed="1" x14ac:dyDescent="0.3">
      <c r="A96" s="106"/>
      <c r="B96" s="111"/>
      <c r="C96" s="1097"/>
      <c r="D96" s="1097"/>
      <c r="E96" s="1097"/>
      <c r="F96" s="1097"/>
      <c r="G96" s="772"/>
      <c r="H96" s="772"/>
      <c r="I96" s="772"/>
      <c r="J96" s="772"/>
      <c r="K96" s="1097"/>
      <c r="L96" s="772"/>
      <c r="M96" s="772"/>
      <c r="N96" s="772"/>
      <c r="O96" s="772"/>
      <c r="P96" s="1097"/>
      <c r="Q96" s="772"/>
      <c r="R96" s="772"/>
      <c r="S96" s="772"/>
      <c r="T96" s="772"/>
      <c r="U96" s="1097"/>
      <c r="V96" s="772"/>
      <c r="W96" s="772"/>
      <c r="X96" s="772"/>
      <c r="Y96" s="772"/>
      <c r="Z96" s="1097"/>
      <c r="AA96" s="772"/>
      <c r="AB96" s="772"/>
      <c r="AC96" s="772"/>
      <c r="AD96" s="772"/>
      <c r="AE96" s="1097"/>
      <c r="AF96" s="772"/>
      <c r="AG96" s="772"/>
      <c r="AH96" s="772"/>
      <c r="AI96" s="772"/>
      <c r="AJ96" s="1097"/>
      <c r="AK96" s="772"/>
      <c r="AL96" s="772"/>
      <c r="AM96" s="772"/>
      <c r="AN96" s="772"/>
      <c r="AO96" s="1097"/>
      <c r="AP96" s="772"/>
      <c r="AQ96" s="772"/>
      <c r="AR96" s="772"/>
      <c r="AS96" s="772"/>
      <c r="AT96" s="1097"/>
      <c r="AU96" s="772"/>
      <c r="AV96" s="772"/>
      <c r="AW96" s="772"/>
      <c r="AX96" s="772"/>
      <c r="AY96" s="1097"/>
      <c r="AZ96" s="772"/>
      <c r="BA96" s="772"/>
      <c r="BB96" s="772"/>
      <c r="BC96" s="772"/>
      <c r="BD96" s="1097"/>
      <c r="BE96" s="772"/>
      <c r="BF96" s="772"/>
      <c r="BG96" s="772"/>
      <c r="BH96" s="772"/>
      <c r="BI96" s="1097"/>
      <c r="BJ96" s="772"/>
      <c r="BK96" s="772"/>
      <c r="BL96" s="772"/>
      <c r="BM96" s="772"/>
      <c r="BN96" s="1097"/>
      <c r="BO96" s="772"/>
      <c r="BP96" s="772"/>
      <c r="BQ96" s="772"/>
      <c r="BR96" s="772"/>
      <c r="BS96" s="1097"/>
      <c r="BT96" s="838"/>
      <c r="BU96" s="772"/>
      <c r="BV96" s="772"/>
      <c r="BW96" s="772"/>
      <c r="BX96" s="1097"/>
      <c r="BY96" s="772"/>
      <c r="BZ96" s="772"/>
      <c r="CA96" s="772"/>
      <c r="CB96" s="772"/>
      <c r="CC96" s="1097"/>
      <c r="CD96" s="1097"/>
      <c r="CE96" s="1097"/>
      <c r="CF96" s="1097"/>
      <c r="CG96" s="96"/>
    </row>
    <row r="97" spans="1:85" customFormat="1" x14ac:dyDescent="0.3">
      <c r="A97" s="50" t="s">
        <v>2189</v>
      </c>
      <c r="B97" s="773"/>
      <c r="C97" s="773"/>
      <c r="D97" s="773"/>
      <c r="E97" s="773"/>
      <c r="F97" s="773"/>
      <c r="G97" s="773"/>
      <c r="H97" s="773"/>
      <c r="I97" s="773"/>
      <c r="J97" s="773"/>
      <c r="K97" s="773"/>
      <c r="L97" s="773"/>
      <c r="M97" s="773"/>
      <c r="N97" s="773"/>
      <c r="O97" s="773"/>
      <c r="P97" s="773"/>
      <c r="Q97" s="773"/>
      <c r="R97" s="773"/>
      <c r="S97" s="773"/>
      <c r="T97" s="773"/>
      <c r="U97" s="773"/>
      <c r="V97" s="773"/>
      <c r="W97" s="773"/>
      <c r="X97" s="773"/>
      <c r="Y97" s="773"/>
      <c r="Z97" s="773"/>
      <c r="AA97" s="773"/>
      <c r="AB97" s="773"/>
      <c r="AC97" s="773"/>
      <c r="AD97" s="773"/>
      <c r="AE97" s="773"/>
      <c r="AF97" s="773"/>
      <c r="AG97" s="773"/>
      <c r="AH97" s="773"/>
      <c r="AI97" s="773"/>
      <c r="AJ97" s="773"/>
      <c r="AK97" s="773"/>
      <c r="AL97" s="773"/>
      <c r="AM97" s="773"/>
      <c r="AN97" s="773"/>
      <c r="AO97" s="773"/>
      <c r="AP97" s="773"/>
      <c r="AQ97" s="773"/>
      <c r="AR97" s="773"/>
      <c r="AS97" s="773"/>
      <c r="AT97" s="773"/>
      <c r="AU97" s="773"/>
      <c r="AV97" s="773"/>
      <c r="AW97" s="773"/>
      <c r="AX97" s="773"/>
      <c r="AY97" s="773"/>
      <c r="AZ97" s="773"/>
      <c r="BA97" s="773"/>
      <c r="BB97" s="773"/>
      <c r="BC97" s="773"/>
      <c r="BD97" s="773"/>
      <c r="BE97" s="773"/>
      <c r="BF97" s="773"/>
      <c r="BG97" s="773"/>
      <c r="BH97" s="773"/>
      <c r="BI97" s="773"/>
      <c r="BJ97" s="773"/>
      <c r="BK97" s="773"/>
      <c r="BL97" s="773"/>
      <c r="BM97" s="773"/>
      <c r="BN97" s="773"/>
      <c r="BO97" s="773"/>
      <c r="BP97" s="773"/>
      <c r="BQ97" s="773"/>
      <c r="BR97" s="773"/>
      <c r="BS97" s="773"/>
      <c r="BT97" s="839"/>
      <c r="BU97" s="773"/>
      <c r="BV97" s="773"/>
      <c r="BW97" s="773"/>
      <c r="BX97" s="773"/>
      <c r="BY97" s="773"/>
      <c r="BZ97" s="773"/>
      <c r="CA97" s="773"/>
      <c r="CB97" s="773"/>
      <c r="CC97" s="773"/>
      <c r="CD97" s="773"/>
      <c r="CE97" s="773"/>
      <c r="CF97" s="773"/>
      <c r="CG97" s="96"/>
    </row>
    <row r="98" spans="1:85" customFormat="1" hidden="1" outlineLevel="1" x14ac:dyDescent="0.3">
      <c r="A98" s="107" t="s">
        <v>333</v>
      </c>
      <c r="B98" s="108"/>
      <c r="C98" s="78">
        <f t="shared" ref="C98:AH98" si="348">INDEX(SP_Company1876_NI,0,COLUMN())</f>
      </c>
      <c r="D98" s="78">
        <f t="shared" si="348"/>
      </c>
      <c r="E98" s="78">
        <f t="shared" si="348"/>
      </c>
      <c r="F98" s="78">
        <f t="shared" si="348"/>
      </c>
      <c r="G98" s="774">
        <f t="shared" si="348"/>
      </c>
      <c r="H98" s="774">
        <f t="shared" si="348"/>
      </c>
      <c r="I98" s="774">
        <f t="shared" si="348"/>
      </c>
      <c r="J98" s="774">
        <f t="shared" si="348"/>
      </c>
      <c r="K98" s="78">
        <f t="shared" si="348"/>
      </c>
      <c r="L98" s="774">
        <f t="shared" si="348"/>
      </c>
      <c r="M98" s="774">
        <f t="shared" si="348"/>
      </c>
      <c r="N98" s="774">
        <f t="shared" si="348"/>
      </c>
      <c r="O98" s="774">
        <f t="shared" si="348"/>
      </c>
      <c r="P98" s="78">
        <f t="shared" si="348"/>
      </c>
      <c r="Q98" s="774">
        <f t="shared" si="348"/>
      </c>
      <c r="R98" s="774">
        <f t="shared" si="348"/>
      </c>
      <c r="S98" s="774">
        <f t="shared" si="348"/>
      </c>
      <c r="T98" s="774">
        <f t="shared" si="348"/>
      </c>
      <c r="U98" s="78">
        <f t="shared" si="348"/>
      </c>
      <c r="V98" s="774">
        <f t="shared" si="348"/>
      </c>
      <c r="W98" s="774">
        <f t="shared" si="348"/>
      </c>
      <c r="X98" s="774">
        <f t="shared" si="348"/>
      </c>
      <c r="Y98" s="774">
        <f t="shared" si="348"/>
      </c>
      <c r="Z98" s="78">
        <f t="shared" si="348"/>
      </c>
      <c r="AA98" s="774">
        <f t="shared" si="348"/>
      </c>
      <c r="AB98" s="774">
        <f t="shared" si="348"/>
      </c>
      <c r="AC98" s="774">
        <f t="shared" si="348"/>
      </c>
      <c r="AD98" s="774">
        <f t="shared" si="348"/>
      </c>
      <c r="AE98" s="78">
        <f t="shared" si="348"/>
      </c>
      <c r="AF98" s="774">
        <f t="shared" si="348"/>
      </c>
      <c r="AG98" s="774">
        <f t="shared" si="348"/>
      </c>
      <c r="AH98" s="774">
        <f t="shared" si="348"/>
      </c>
      <c r="AI98" s="774">
        <f t="shared" ref="AI98:BD98" si="349">INDEX(SP_Company1876_NI,0,COLUMN())</f>
      </c>
      <c r="AJ98" s="78">
        <f t="shared" si="349"/>
      </c>
      <c r="AK98" s="774">
        <f t="shared" si="349"/>
      </c>
      <c r="AL98" s="774">
        <f t="shared" si="349"/>
      </c>
      <c r="AM98" s="774">
        <f t="shared" si="349"/>
      </c>
      <c r="AN98" s="774">
        <f t="shared" si="349"/>
      </c>
      <c r="AO98" s="78">
        <f t="shared" si="349"/>
      </c>
      <c r="AP98" s="774">
        <f t="shared" si="349"/>
      </c>
      <c r="AQ98" s="774">
        <f t="shared" si="349"/>
      </c>
      <c r="AR98" s="774">
        <f t="shared" si="349"/>
      </c>
      <c r="AS98" s="774">
        <f t="shared" si="349"/>
      </c>
      <c r="AT98" s="78">
        <f t="shared" si="349"/>
      </c>
      <c r="AU98" s="774">
        <f t="shared" si="349"/>
      </c>
      <c r="AV98" s="774">
        <f t="shared" si="349"/>
      </c>
      <c r="AW98" s="774">
        <f t="shared" si="349"/>
      </c>
      <c r="AX98" s="774">
        <f t="shared" si="349"/>
      </c>
      <c r="AY98" s="78">
        <f t="shared" si="349"/>
      </c>
      <c r="AZ98" s="774">
        <f t="shared" si="349"/>
      </c>
      <c r="BA98" s="774">
        <f t="shared" si="349"/>
      </c>
      <c r="BB98" s="774">
        <f t="shared" si="349"/>
      </c>
      <c r="BC98" s="774">
        <f t="shared" si="349"/>
      </c>
      <c r="BD98" s="78">
        <f t="shared" si="349"/>
      </c>
      <c r="BE98" s="774">
        <f t="shared" ref="BE98:BJ98" si="350">INDEX(SP_Company1876_NI,0,COLUMN())</f>
      </c>
      <c r="BF98" s="774">
        <f t="shared" si="350"/>
      </c>
      <c r="BG98" s="774">
        <f t="shared" si="350"/>
      </c>
      <c r="BH98" s="774">
        <f t="shared" si="350"/>
      </c>
      <c r="BI98" s="78">
        <f t="shared" si="350"/>
      </c>
      <c r="BJ98" s="774">
        <f t="shared" si="350"/>
      </c>
      <c r="BK98" s="774">
        <f t="shared" ref="BK98:BP98" si="351">INDEX(SP_Company1876_NI,0,COLUMN())</f>
      </c>
      <c r="BL98" s="774">
        <f t="shared" si="351"/>
      </c>
      <c r="BM98" s="774">
        <f t="shared" si="351"/>
      </c>
      <c r="BN98" s="78">
        <f t="shared" si="351"/>
      </c>
      <c r="BO98" s="774">
        <f t="shared" si="351"/>
      </c>
      <c r="BP98" s="774">
        <f t="shared" si="351"/>
      </c>
      <c r="BQ98" s="774">
        <f>INDEX(SP_Company1876_NI,0,COLUMN())</f>
      </c>
      <c r="BR98" s="774">
        <f>INDEX(SP_Company1876_NI,0,COLUMN())</f>
      </c>
      <c r="BS98" s="78">
        <f>INDEX(SP_Company1876_NI,0,COLUMN())</f>
      </c>
      <c r="BT98" s="775">
        <f>INDEX(SP_Company1876_NI,0,COLUMN())</f>
      </c>
      <c r="BU98" s="774">
        <f t="shared" ref="BU98:BX98" si="352">INDEX(SP_Company1876_NI,0,COLUMN())</f>
      </c>
      <c r="BV98" s="774">
        <f t="shared" si="352"/>
      </c>
      <c r="BW98" s="774">
        <f t="shared" si="352"/>
      </c>
      <c r="BX98" s="78">
        <f t="shared" si="352"/>
      </c>
      <c r="BY98" s="774">
        <f t="shared" ref="BY98:CF98" si="353">INDEX(SP_Company1876_NI,0,COLUMN())</f>
      </c>
      <c r="BZ98" s="774">
        <f t="shared" si="353"/>
      </c>
      <c r="CA98" s="774">
        <f t="shared" si="353"/>
      </c>
      <c r="CB98" s="774">
        <f t="shared" si="353"/>
      </c>
      <c r="CC98" s="78">
        <f t="shared" si="353"/>
      </c>
      <c r="CD98" s="78">
        <f t="shared" si="353"/>
      </c>
      <c r="CE98" s="78">
        <f t="shared" si="353"/>
      </c>
      <c r="CF98" s="78">
        <f t="shared" si="353"/>
      </c>
      <c r="CG98" s="96"/>
    </row>
    <row r="99" spans="1:85" customFormat="1" hidden="1" outlineLevel="1" x14ac:dyDescent="0.3">
      <c r="A99" s="107" t="s">
        <v>334</v>
      </c>
      <c r="B99" s="108"/>
      <c r="C99" s="78">
        <f>C98</f>
      </c>
      <c r="D99" s="78">
        <f>D98</f>
      </c>
      <c r="E99" s="78">
        <f>E98</f>
      </c>
      <c r="F99" s="78">
        <f>F98</f>
      </c>
      <c r="G99" s="774"/>
      <c r="H99" s="774"/>
      <c r="I99" s="774"/>
      <c r="J99" s="774">
        <f>SUM(J98,I98,H98,G98)</f>
      </c>
      <c r="K99" s="78">
        <f>K98</f>
      </c>
      <c r="L99" s="774">
        <f>SUM(L98,J98,I98,H98)</f>
      </c>
      <c r="M99" s="774">
        <f>SUM(M98,L98,J98,I98)</f>
      </c>
      <c r="N99" s="774">
        <f>SUM(N98,M98,L98,J98)</f>
      </c>
      <c r="O99" s="774">
        <f>SUM(O98,N98,M98,L98)</f>
      </c>
      <c r="P99" s="78">
        <f>P98</f>
      </c>
      <c r="Q99" s="774">
        <f>SUM(Q98,O98,N98,M98)</f>
      </c>
      <c r="R99" s="774">
        <f>SUM(R98,Q98,O98,N98)</f>
      </c>
      <c r="S99" s="774">
        <f>SUM(S98,R98,Q98,O98)</f>
      </c>
      <c r="T99" s="774">
        <f>SUM(T98,S98,R98,Q98)</f>
      </c>
      <c r="U99" s="78">
        <f>U98</f>
      </c>
      <c r="V99" s="774">
        <f>SUM(V98,T98,S98,R98)</f>
      </c>
      <c r="W99" s="774">
        <f>SUM(W98,V98,T98,S98)</f>
      </c>
      <c r="X99" s="774">
        <f>SUM(X98,W98,V98,T98)</f>
      </c>
      <c r="Y99" s="774">
        <f>SUM(Y98,X98,W98,V98)</f>
      </c>
      <c r="Z99" s="78">
        <f>Z98</f>
      </c>
      <c r="AA99" s="774">
        <f>SUM(AA98,Y98,X98,W98)</f>
      </c>
      <c r="AB99" s="774">
        <f>SUM(AB98,AA98,Y98,X98)</f>
      </c>
      <c r="AC99" s="774">
        <f>SUM(AC98,AB98,AA98,Y98)</f>
      </c>
      <c r="AD99" s="774">
        <f>SUM(AD98,AC98,AB98,AA98)</f>
      </c>
      <c r="AE99" s="78">
        <f>AE98</f>
      </c>
      <c r="AF99" s="774">
        <f>SUM(AF98,AD98,AC98,AB98)</f>
      </c>
      <c r="AG99" s="774">
        <f>SUM(AG98,AF98,AD98,AC98)</f>
      </c>
      <c r="AH99" s="774">
        <f>SUM(AH98,AG98,AF98,AD98)</f>
      </c>
      <c r="AI99" s="774">
        <f>SUM(AI98,AH98,AG98,AF98)</f>
      </c>
      <c r="AJ99" s="78">
        <f>AJ98</f>
      </c>
      <c r="AK99" s="774">
        <f>SUM(AK98,AI98,AH98,AG98)</f>
      </c>
      <c r="AL99" s="774">
        <f>SUM(AL98,AK98,AI98,AH98)</f>
      </c>
      <c r="AM99" s="774">
        <f>SUM(AM98,AL98,AK98,AI98)</f>
      </c>
      <c r="AN99" s="774">
        <f>SUM(AN98,AM98,AL98,AK98)</f>
      </c>
      <c r="AO99" s="78">
        <f>AO98</f>
      </c>
      <c r="AP99" s="774">
        <f>SUM(AP98,AN98,AM98,AL98)</f>
      </c>
      <c r="AQ99" s="774">
        <f>SUM(AQ98,AP98,AN98,AM98)</f>
      </c>
      <c r="AR99" s="774">
        <f>SUM(AR98,AQ98,AP98,AN98)</f>
      </c>
      <c r="AS99" s="774">
        <f>SUM(AS98,AR98,AQ98,AP98)</f>
      </c>
      <c r="AT99" s="78">
        <f>AT98</f>
      </c>
      <c r="AU99" s="774">
        <f>SUM(AU98,AS98,AR98,AQ98)</f>
      </c>
      <c r="AV99" s="774">
        <f>SUM(AV98,AU98,AS98,AR98)</f>
      </c>
      <c r="AW99" s="774">
        <f>SUM(AW98,AV98,AU98,AS98)</f>
      </c>
      <c r="AX99" s="774">
        <f>SUM(AX98,AW98,AV98,AU98)</f>
      </c>
      <c r="AY99" s="78">
        <f>AY98</f>
      </c>
      <c r="AZ99" s="774">
        <f>SUM(AZ98,AX98,AW98,AV98)</f>
      </c>
      <c r="BA99" s="774">
        <f>SUM(BA98,AZ98,AX98,AW98)</f>
      </c>
      <c r="BB99" s="774">
        <f>SUM(BB98,BA98,AZ98,AX98)</f>
      </c>
      <c r="BC99" s="774">
        <f>SUM(BC98,BB98,BA98,AZ98)</f>
      </c>
      <c r="BD99" s="78">
        <f>BD98</f>
      </c>
      <c r="BE99" s="774">
        <f>SUM(BE98,BC98,BB98,BA98)</f>
      </c>
      <c r="BF99" s="774">
        <f>SUM(BF98,BE98,BC98,BB98)</f>
      </c>
      <c r="BG99" s="774">
        <f>SUM(BG98,BF98,BE98,BC98)</f>
      </c>
      <c r="BH99" s="774">
        <f>SUM(BH98,BG98,BF98,BE98)</f>
      </c>
      <c r="BI99" s="78">
        <f>BI98</f>
      </c>
      <c r="BJ99" s="774">
        <f>SUM(BJ98,BH98,BG98,BF98)</f>
      </c>
      <c r="BK99" s="774">
        <f>SUM(BK98,BJ98,BH98,BG98)</f>
      </c>
      <c r="BL99" s="774">
        <f>SUM(BL98,BK98,BJ98,BH98)</f>
      </c>
      <c r="BM99" s="774">
        <f>SUM(BM98,BL98,BK98,BJ98)</f>
      </c>
      <c r="BN99" s="78">
        <f>BN98</f>
      </c>
      <c r="BO99" s="774">
        <f>SUM(BO98,BM98,BL98,BK98)</f>
      </c>
      <c r="BP99" s="774">
        <f>SUM(BP98,BO98,BM98,BL98)</f>
      </c>
      <c r="BQ99" s="774">
        <f>SUM(BQ98,BP98,BO98,BM98)</f>
      </c>
      <c r="BR99" s="774">
        <f>SUM(BR98,BQ98,BP98,BO98)</f>
      </c>
      <c r="BS99" s="78">
        <f>BS98</f>
      </c>
      <c r="BT99" s="775">
        <f>SUM(BT98,BR98,BQ98,BP98)</f>
      </c>
      <c r="BU99" s="774">
        <f>SUM(BU98,BT98,BR98,BQ98)</f>
      </c>
      <c r="BV99" s="774">
        <f>SUM(BV98,BU98,BT98,BR98)</f>
      </c>
      <c r="BW99" s="774">
        <f>SUM(BW98,BV98,BU98,BT98)</f>
      </c>
      <c r="BX99" s="78">
        <f>BX98</f>
      </c>
      <c r="BY99" s="774">
        <f>SUM(BY98,BW98,BV98,BU98)</f>
      </c>
      <c r="BZ99" s="774">
        <f>SUM(BZ98,BY98,BW98,BV98)</f>
      </c>
      <c r="CA99" s="774">
        <f>SUM(CA98,BZ98,BY98,BW98)</f>
      </c>
      <c r="CB99" s="774">
        <f>SUM(CB98,CA98,BZ98,BY98)</f>
      </c>
      <c r="CC99" s="78">
        <f>CC98</f>
      </c>
      <c r="CD99" s="78">
        <f>CD98</f>
      </c>
      <c r="CE99" s="78">
        <f>CE98</f>
      </c>
      <c r="CF99" s="78">
        <f>CF98</f>
      </c>
      <c r="CG99" s="96"/>
    </row>
    <row r="100" spans="1:85" customFormat="1" hidden="1" outlineLevel="1" x14ac:dyDescent="0.3">
      <c r="A100" s="107" t="s">
        <v>335</v>
      </c>
      <c r="B100" s="108"/>
      <c r="C100" s="78">
        <f t="shared" ref="C100:AH100" si="354">INDEX(MO_BS_SE,0,COLUMN())</f>
      </c>
      <c r="D100" s="78">
        <f t="shared" si="354"/>
      </c>
      <c r="E100" s="78">
        <f t="shared" si="354"/>
      </c>
      <c r="F100" s="78">
        <f t="shared" si="354"/>
      </c>
      <c r="G100" s="774">
        <f t="shared" si="354"/>
      </c>
      <c r="H100" s="774">
        <f t="shared" si="354"/>
      </c>
      <c r="I100" s="774">
        <f t="shared" si="354"/>
      </c>
      <c r="J100" s="774">
        <f t="shared" si="354"/>
      </c>
      <c r="K100" s="78">
        <f t="shared" si="354"/>
      </c>
      <c r="L100" s="774">
        <f t="shared" si="354"/>
      </c>
      <c r="M100" s="774">
        <f t="shared" si="354"/>
      </c>
      <c r="N100" s="774">
        <f t="shared" si="354"/>
      </c>
      <c r="O100" s="774">
        <f t="shared" si="354"/>
      </c>
      <c r="P100" s="78">
        <f t="shared" si="354"/>
      </c>
      <c r="Q100" s="774">
        <f t="shared" si="354"/>
      </c>
      <c r="R100" s="774">
        <f t="shared" si="354"/>
      </c>
      <c r="S100" s="774">
        <f t="shared" si="354"/>
      </c>
      <c r="T100" s="774">
        <f t="shared" si="354"/>
      </c>
      <c r="U100" s="78">
        <f t="shared" si="354"/>
      </c>
      <c r="V100" s="774">
        <f t="shared" si="354"/>
      </c>
      <c r="W100" s="774">
        <f t="shared" si="354"/>
      </c>
      <c r="X100" s="774">
        <f t="shared" si="354"/>
      </c>
      <c r="Y100" s="774">
        <f t="shared" si="354"/>
      </c>
      <c r="Z100" s="78">
        <f t="shared" si="354"/>
      </c>
      <c r="AA100" s="774">
        <f t="shared" si="354"/>
      </c>
      <c r="AB100" s="774">
        <f t="shared" si="354"/>
      </c>
      <c r="AC100" s="774">
        <f t="shared" si="354"/>
      </c>
      <c r="AD100" s="774">
        <f t="shared" si="354"/>
      </c>
      <c r="AE100" s="78">
        <f t="shared" si="354"/>
      </c>
      <c r="AF100" s="774">
        <f t="shared" si="354"/>
      </c>
      <c r="AG100" s="774">
        <f t="shared" si="354"/>
      </c>
      <c r="AH100" s="774">
        <f t="shared" si="354"/>
      </c>
      <c r="AI100" s="774">
        <f t="shared" ref="AI100:BD100" si="355">INDEX(MO_BS_SE,0,COLUMN())</f>
      </c>
      <c r="AJ100" s="78">
        <f t="shared" si="355"/>
      </c>
      <c r="AK100" s="774">
        <f t="shared" si="355"/>
      </c>
      <c r="AL100" s="774">
        <f t="shared" si="355"/>
      </c>
      <c r="AM100" s="774">
        <f t="shared" si="355"/>
      </c>
      <c r="AN100" s="774">
        <f t="shared" si="355"/>
      </c>
      <c r="AO100" s="78">
        <f t="shared" si="355"/>
      </c>
      <c r="AP100" s="774">
        <f t="shared" si="355"/>
      </c>
      <c r="AQ100" s="774">
        <f t="shared" si="355"/>
      </c>
      <c r="AR100" s="774">
        <f t="shared" si="355"/>
      </c>
      <c r="AS100" s="774">
        <f t="shared" si="355"/>
      </c>
      <c r="AT100" s="78">
        <f t="shared" si="355"/>
      </c>
      <c r="AU100" s="774">
        <f t="shared" si="355"/>
      </c>
      <c r="AV100" s="774">
        <f t="shared" si="355"/>
      </c>
      <c r="AW100" s="774">
        <f t="shared" si="355"/>
      </c>
      <c r="AX100" s="774">
        <f t="shared" si="355"/>
      </c>
      <c r="AY100" s="78">
        <f t="shared" si="355"/>
      </c>
      <c r="AZ100" s="774">
        <f t="shared" si="355"/>
      </c>
      <c r="BA100" s="774">
        <f t="shared" si="355"/>
      </c>
      <c r="BB100" s="774">
        <f t="shared" si="355"/>
      </c>
      <c r="BC100" s="774">
        <f t="shared" si="355"/>
      </c>
      <c r="BD100" s="78">
        <f t="shared" si="355"/>
      </c>
      <c r="BE100" s="774">
        <f t="shared" ref="BE100:BJ100" si="356">INDEX(MO_BS_SE,0,COLUMN())</f>
      </c>
      <c r="BF100" s="774">
        <f t="shared" si="356"/>
      </c>
      <c r="BG100" s="774">
        <f t="shared" si="356"/>
      </c>
      <c r="BH100" s="774">
        <f t="shared" si="356"/>
      </c>
      <c r="BI100" s="78">
        <f t="shared" si="356"/>
      </c>
      <c r="BJ100" s="774">
        <f t="shared" si="356"/>
      </c>
      <c r="BK100" s="774">
        <f t="shared" ref="BK100:BP100" si="357">INDEX(MO_BS_SE,0,COLUMN())</f>
      </c>
      <c r="BL100" s="774">
        <f t="shared" si="357"/>
      </c>
      <c r="BM100" s="774">
        <f t="shared" si="357"/>
      </c>
      <c r="BN100" s="78">
        <f t="shared" si="357"/>
      </c>
      <c r="BO100" s="774">
        <f t="shared" si="357"/>
      </c>
      <c r="BP100" s="774">
        <f t="shared" si="357"/>
      </c>
      <c r="BQ100" s="774">
        <f>INDEX(MO_BS_SE,0,COLUMN())</f>
      </c>
      <c r="BR100" s="774">
        <f>INDEX(MO_BS_SE,0,COLUMN())</f>
      </c>
      <c r="BS100" s="78">
        <f>INDEX(MO_BS_SE,0,COLUMN())</f>
      </c>
      <c r="BT100" s="775">
        <f>INDEX(MO_BS_SE,0,COLUMN())</f>
      </c>
      <c r="BU100" s="774">
        <f t="shared" ref="BU100:BX100" si="358">INDEX(MO_BS_SE,0,COLUMN())</f>
      </c>
      <c r="BV100" s="774">
        <f t="shared" si="358"/>
      </c>
      <c r="BW100" s="774">
        <f t="shared" si="358"/>
      </c>
      <c r="BX100" s="78">
        <f t="shared" si="358"/>
      </c>
      <c r="BY100" s="774">
        <f t="shared" ref="BY100:CF100" si="359">INDEX(MO_BS_SE,0,COLUMN())</f>
      </c>
      <c r="BZ100" s="774">
        <f t="shared" si="359"/>
      </c>
      <c r="CA100" s="774">
        <f t="shared" si="359"/>
      </c>
      <c r="CB100" s="774">
        <f t="shared" si="359"/>
      </c>
      <c r="CC100" s="78">
        <f t="shared" si="359"/>
      </c>
      <c r="CD100" s="78">
        <f t="shared" si="359"/>
      </c>
      <c r="CE100" s="78">
        <f t="shared" si="359"/>
      </c>
      <c r="CF100" s="78">
        <f t="shared" si="359"/>
      </c>
      <c r="CG100" s="96"/>
    </row>
    <row r="101" spans="1:85" customFormat="1" hidden="1" outlineLevel="1" x14ac:dyDescent="0.3">
      <c r="A101" s="107" t="s">
        <v>336</v>
      </c>
      <c r="B101" s="108"/>
      <c r="C101" s="78">
        <f>C100</f>
      </c>
      <c r="D101" s="78">
        <f>AVERAGE(D100,C100)</f>
      </c>
      <c r="E101" s="78">
        <f>AVERAGE(E100,D100)</f>
      </c>
      <c r="F101" s="78">
        <f>AVERAGE(F100,E100)</f>
      </c>
      <c r="G101" s="774"/>
      <c r="H101" s="774"/>
      <c r="I101" s="774"/>
      <c r="J101" s="774">
        <f>AVERAGE(J100,I100,H100,G100)</f>
      </c>
      <c r="K101" s="78">
        <f>AVERAGE(K100,F100)</f>
      </c>
      <c r="L101" s="774">
        <f>AVERAGE(L100,J100,I100,H100)</f>
      </c>
      <c r="M101" s="774">
        <f>AVERAGE(M100,L100,J100,I100)</f>
      </c>
      <c r="N101" s="774">
        <f>AVERAGE(N100,M100,L100,J100)</f>
      </c>
      <c r="O101" s="774">
        <f>AVERAGE(O100,N100,M100,L100)</f>
      </c>
      <c r="P101" s="78">
        <f>AVERAGE(P100,K100)</f>
      </c>
      <c r="Q101" s="774">
        <f>AVERAGE(Q100,O100,N100,M100)</f>
      </c>
      <c r="R101" s="774">
        <f>AVERAGE(R100,Q100,O100,N100)</f>
      </c>
      <c r="S101" s="774">
        <f>AVERAGE(S100,R100,Q100,O100)</f>
      </c>
      <c r="T101" s="774">
        <f>AVERAGE(T100,S100,R100,Q100)</f>
      </c>
      <c r="U101" s="78">
        <f>AVERAGE(U100,P100)</f>
      </c>
      <c r="V101" s="774">
        <f>AVERAGE(V100,T100,S100,R100)</f>
      </c>
      <c r="W101" s="774">
        <f>AVERAGE(W100,V100,T100,S100)</f>
      </c>
      <c r="X101" s="774">
        <f>AVERAGE(X100,W100,V100,T100)</f>
      </c>
      <c r="Y101" s="774">
        <f>AVERAGE(Y100,X100,W100,V100)</f>
      </c>
      <c r="Z101" s="78">
        <f>AVERAGE(Z100,U100)</f>
      </c>
      <c r="AA101" s="774">
        <f>AVERAGE(AA100,Y100,X100,W100)</f>
      </c>
      <c r="AB101" s="774">
        <f>AVERAGE(AB100,AA100,Y100,X100)</f>
      </c>
      <c r="AC101" s="774">
        <f>AVERAGE(AC100,AB100,AA100,Y100)</f>
      </c>
      <c r="AD101" s="774">
        <f>AVERAGE(AD100,AC100,AB100,AA100)</f>
      </c>
      <c r="AE101" s="78">
        <f>AVERAGE(AE100,Z100)</f>
      </c>
      <c r="AF101" s="774">
        <f>AVERAGE(AF100,AD100,AC100,AB100)</f>
      </c>
      <c r="AG101" s="774">
        <f>AVERAGE(AG100,AF100,AD100,AC100)</f>
      </c>
      <c r="AH101" s="774">
        <f>AVERAGE(AH100,AG100,AF100,AD100)</f>
      </c>
      <c r="AI101" s="774">
        <f>AVERAGE(AI100,AH100,AG100,AF100)</f>
      </c>
      <c r="AJ101" s="78">
        <f>AVERAGE(AJ100,AE100)</f>
      </c>
      <c r="AK101" s="774">
        <f>AVERAGE(AK100,AI100,AH100,AG100)</f>
      </c>
      <c r="AL101" s="774">
        <f>AVERAGE(AL100,AK100,AI100,AH100)</f>
      </c>
      <c r="AM101" s="774">
        <f>AVERAGE(AM100,AL100,AK100,AI100)</f>
      </c>
      <c r="AN101" s="774">
        <f>AVERAGE(AN100,AM100,AL100,AK100)</f>
      </c>
      <c r="AO101" s="78">
        <f>AVERAGE(AO100,AJ100)</f>
      </c>
      <c r="AP101" s="774">
        <f>AVERAGE(AP100,AN100,AM100,AL100)</f>
      </c>
      <c r="AQ101" s="774">
        <f>AVERAGE(AQ100,AP100,AN100,AM100)</f>
      </c>
      <c r="AR101" s="774">
        <f>AVERAGE(AR100,AQ100,AP100,AN100)</f>
      </c>
      <c r="AS101" s="774">
        <f>AVERAGE(AS100,AR100,AQ100,AP100)</f>
      </c>
      <c r="AT101" s="78">
        <f>AVERAGE(AT100,AO100)</f>
      </c>
      <c r="AU101" s="774">
        <f>AVERAGE(AU100,AS100,AR100,AQ100)</f>
      </c>
      <c r="AV101" s="774">
        <f>AVERAGE(AV100,AU100,AS100,AR100)</f>
      </c>
      <c r="AW101" s="774">
        <f>AVERAGE(AW100,AV100,AU100,AS100)</f>
      </c>
      <c r="AX101" s="774">
        <f>AVERAGE(AX100,AW100,AV100,AU100)</f>
      </c>
      <c r="AY101" s="78">
        <f>AVERAGE(AY100,AT100)</f>
      </c>
      <c r="AZ101" s="774">
        <f>AVERAGE(AZ100,AX100,AW100,AV100)</f>
      </c>
      <c r="BA101" s="774">
        <f>AVERAGE(BA100,AZ100,AX100,AW100)</f>
      </c>
      <c r="BB101" s="774">
        <f>AVERAGE(BB100,BA100,AZ100,AX100)</f>
      </c>
      <c r="BC101" s="774">
        <f>AVERAGE(BC100,BB100,BA100,AZ100)</f>
      </c>
      <c r="BD101" s="78">
        <f>AVERAGE(BD100,AY100)</f>
      </c>
      <c r="BE101" s="774">
        <f>AVERAGE(BE100,BC100,BB100,BA100)</f>
      </c>
      <c r="BF101" s="774">
        <f>AVERAGE(BF100,BE100,BC100,BB100)</f>
      </c>
      <c r="BG101" s="774">
        <f>AVERAGE(BG100,BF100,BE100,BC100)</f>
      </c>
      <c r="BH101" s="774">
        <f>AVERAGE(BH100,BG100,BF100,BE100)</f>
      </c>
      <c r="BI101" s="78">
        <f>AVERAGE(BI100,BD100)</f>
      </c>
      <c r="BJ101" s="774">
        <f>AVERAGE(BJ100,BH100,BG100,BF100)</f>
      </c>
      <c r="BK101" s="774">
        <f>AVERAGE(BK100,BJ100,BH100,BG100)</f>
      </c>
      <c r="BL101" s="774">
        <f>AVERAGE(BL100,BK100,BJ100,BH100)</f>
      </c>
      <c r="BM101" s="774">
        <f>AVERAGE(BM100,BL100,BK100,BJ100)</f>
      </c>
      <c r="BN101" s="78">
        <f>AVERAGE(BN100,BI100)</f>
      </c>
      <c r="BO101" s="774">
        <f>AVERAGE(BO100,BM100,BL100,BK100)</f>
      </c>
      <c r="BP101" s="774">
        <f>AVERAGE(BP100,BO100,BM100,BL100)</f>
      </c>
      <c r="BQ101" s="774">
        <f>AVERAGE(BQ100,BP100,BO100,BM100)</f>
      </c>
      <c r="BR101" s="774">
        <f>AVERAGE(BR100,BQ100,BP100,BO100)</f>
      </c>
      <c r="BS101" s="78">
        <f>AVERAGE(BS100,BN100)</f>
      </c>
      <c r="BT101" s="775">
        <f>AVERAGE(BT100,BR100,BQ100,BP100)</f>
      </c>
      <c r="BU101" s="774">
        <f>AVERAGE(BU100,BT100,BR100,BQ100)</f>
      </c>
      <c r="BV101" s="774">
        <f>AVERAGE(BV100,BU100,BT100,BR100)</f>
      </c>
      <c r="BW101" s="774">
        <f>AVERAGE(BW100,BV100,BU100,BT100)</f>
      </c>
      <c r="BX101" s="78">
        <f>AVERAGE(BX100,BS100)</f>
      </c>
      <c r="BY101" s="774">
        <f>AVERAGE(BY100,BW100,BV100,BU100)</f>
      </c>
      <c r="BZ101" s="774">
        <f>AVERAGE(BZ100,BY100,BW100,BV100)</f>
      </c>
      <c r="CA101" s="774">
        <f>AVERAGE(CA100,BZ100,BY100,BW100)</f>
      </c>
      <c r="CB101" s="774">
        <f>AVERAGE(CB100,CA100,BZ100,BY100)</f>
      </c>
      <c r="CC101" s="78">
        <f>AVERAGE(CC100,BX100)</f>
      </c>
      <c r="CD101" s="78">
        <f>AVERAGE(CD100,CC100)</f>
      </c>
      <c r="CE101" s="78">
        <f>AVERAGE(CE100,CD100)</f>
      </c>
      <c r="CF101" s="78">
        <f>AVERAGE(CF100,CE100)</f>
      </c>
      <c r="CG101" s="96"/>
    </row>
    <row r="102" spans="1:85" customFormat="1" collapsed="1" x14ac:dyDescent="0.3">
      <c r="A102" s="117" t="s">
        <v>337</v>
      </c>
      <c r="B102" s="55"/>
      <c r="C102" s="1105">
        <f>IF(C101&lt;0,"NMF",IF(ABS(C99/C101)&gt;1,"NMF",C99/C101))</f>
      </c>
      <c r="D102" s="1105">
        <f>IF(D101&lt;0,"NMF",IF(ABS(D99/D101)&gt;1,"NMF",D99/D101))</f>
      </c>
      <c r="E102" s="1105">
        <f>IF(E101&lt;0,"NMF",IF(ABS(E99/E101)&gt;1,"NMF",E99/E101))</f>
      </c>
      <c r="F102" s="1105">
        <f>IF(F101&lt;0,"NMF",IF(ABS(F99/F101)&gt;1,"NMF",F99/F101))</f>
      </c>
      <c r="G102" s="38"/>
      <c r="H102" s="38"/>
      <c r="I102" s="38"/>
      <c r="J102" s="38"/>
      <c r="K102" s="1105">
        <f t="shared" ref="K102:AP102" si="360">IF(K101&lt;0,"NMF",IF(ABS(K99/K101)&gt;1,"NMF",K99/K101))</f>
      </c>
      <c r="L102" s="38">
        <f t="shared" si="360"/>
      </c>
      <c r="M102" s="38">
        <f t="shared" si="360"/>
      </c>
      <c r="N102" s="38">
        <f t="shared" si="360"/>
      </c>
      <c r="O102" s="38">
        <f t="shared" si="360"/>
      </c>
      <c r="P102" s="1105">
        <f t="shared" si="360"/>
      </c>
      <c r="Q102" s="38">
        <f t="shared" si="360"/>
      </c>
      <c r="R102" s="38">
        <f t="shared" si="360"/>
      </c>
      <c r="S102" s="38">
        <f t="shared" si="360"/>
      </c>
      <c r="T102" s="38">
        <f t="shared" si="360"/>
      </c>
      <c r="U102" s="1105">
        <f t="shared" si="360"/>
      </c>
      <c r="V102" s="38">
        <f t="shared" si="360"/>
      </c>
      <c r="W102" s="38">
        <f t="shared" si="360"/>
      </c>
      <c r="X102" s="38">
        <f t="shared" si="360"/>
      </c>
      <c r="Y102" s="38">
        <f t="shared" si="360"/>
      </c>
      <c r="Z102" s="1105">
        <f t="shared" si="360"/>
      </c>
      <c r="AA102" s="38">
        <f t="shared" si="360"/>
      </c>
      <c r="AB102" s="38">
        <f t="shared" si="360"/>
      </c>
      <c r="AC102" s="38">
        <f t="shared" si="360"/>
      </c>
      <c r="AD102" s="38">
        <f t="shared" si="360"/>
      </c>
      <c r="AE102" s="1105">
        <f t="shared" si="360"/>
      </c>
      <c r="AF102" s="38">
        <f t="shared" si="360"/>
      </c>
      <c r="AG102" s="38">
        <f t="shared" si="360"/>
      </c>
      <c r="AH102" s="38">
        <f t="shared" si="360"/>
      </c>
      <c r="AI102" s="38">
        <f t="shared" si="360"/>
      </c>
      <c r="AJ102" s="1105">
        <f t="shared" si="360"/>
      </c>
      <c r="AK102" s="38">
        <f t="shared" si="360"/>
      </c>
      <c r="AL102" s="38">
        <f t="shared" si="360"/>
      </c>
      <c r="AM102" s="38">
        <f t="shared" si="360"/>
      </c>
      <c r="AN102" s="38">
        <f t="shared" si="360"/>
      </c>
      <c r="AO102" s="1105">
        <f t="shared" si="360"/>
      </c>
      <c r="AP102" s="38">
        <f t="shared" si="360"/>
      </c>
      <c r="AQ102" s="38">
        <f t="shared" ref="AQ102:BD102" si="361">IF(AQ101&lt;0,"NMF",IF(ABS(AQ99/AQ101)&gt;1,"NMF",AQ99/AQ101))</f>
      </c>
      <c r="AR102" s="38">
        <f t="shared" si="361"/>
      </c>
      <c r="AS102" s="38">
        <f t="shared" si="361"/>
      </c>
      <c r="AT102" s="1105">
        <f t="shared" si="361"/>
      </c>
      <c r="AU102" s="38">
        <f t="shared" si="361"/>
      </c>
      <c r="AV102" s="38">
        <f t="shared" si="361"/>
      </c>
      <c r="AW102" s="38">
        <f t="shared" si="361"/>
      </c>
      <c r="AX102" s="38">
        <f t="shared" si="361"/>
      </c>
      <c r="AY102" s="1105">
        <f t="shared" si="361"/>
      </c>
      <c r="AZ102" s="38">
        <f t="shared" si="361"/>
      </c>
      <c r="BA102" s="38">
        <f t="shared" si="361"/>
      </c>
      <c r="BB102" s="38">
        <f t="shared" si="361"/>
      </c>
      <c r="BC102" s="38">
        <f t="shared" si="361"/>
      </c>
      <c r="BD102" s="1105">
        <f t="shared" si="361"/>
      </c>
      <c r="BE102" s="38">
        <f t="shared" ref="BE102:BJ102" si="362">IF(BE101&lt;0,"NMF",IF(ABS(BE99/BE101)&gt;1,"NMF",BE99/BE101))</f>
      </c>
      <c r="BF102" s="38">
        <f t="shared" si="362"/>
      </c>
      <c r="BG102" s="38">
        <f t="shared" si="362"/>
      </c>
      <c r="BH102" s="38">
        <f t="shared" si="362"/>
      </c>
      <c r="BI102" s="1105">
        <f t="shared" si="362"/>
      </c>
      <c r="BJ102" s="38">
        <f t="shared" si="362"/>
      </c>
      <c r="BK102" s="38">
        <f t="shared" ref="BK102:BP102" si="363">IF(BK101&lt;0,"NMF",IF(ABS(BK99/BK101)&gt;1,"NMF",BK99/BK101))</f>
      </c>
      <c r="BL102" s="38">
        <f t="shared" si="363"/>
      </c>
      <c r="BM102" s="38">
        <f t="shared" si="363"/>
      </c>
      <c r="BN102" s="1105">
        <f t="shared" si="363"/>
      </c>
      <c r="BO102" s="38">
        <f t="shared" si="363"/>
      </c>
      <c r="BP102" s="38">
        <f t="shared" si="363"/>
      </c>
      <c r="BQ102" s="38">
        <f>IF(BQ101&lt;0,"NMF",IF(ABS(BQ99/BQ101)&gt;1,"NMF",BQ99/BQ101))</f>
      </c>
      <c r="BR102" s="38">
        <f>IF(BR101&lt;0,"NMF",IF(ABS(BR99/BR101)&gt;1,"NMF",BR99/BR101))</f>
      </c>
      <c r="BS102" s="1105">
        <f>IF(BS101&lt;0,"NMF",IF(ABS(BS99/BS101)&gt;1,"NMF",BS99/BS101))</f>
      </c>
      <c r="BT102" s="744">
        <f>IF(BT101&lt;0,"NMF",IF(ABS(BT99/BT101)&gt;1,"NMF",BT99/BT101))</f>
      </c>
      <c r="BU102" s="38">
        <f t="shared" ref="BU102:BX102" si="364">IF(BU101&lt;0,"NMF",IF(ABS(BU99/BU101)&gt;1,"NMF",BU99/BU101))</f>
      </c>
      <c r="BV102" s="38">
        <f t="shared" si="364"/>
      </c>
      <c r="BW102" s="38">
        <f t="shared" si="364"/>
      </c>
      <c r="BX102" s="1105">
        <f t="shared" si="364"/>
      </c>
      <c r="BY102" s="38">
        <f t="shared" ref="BY102:CF102" si="365">IF(BY101&lt;0,"NMF",IF(ABS(BY99/BY101)&gt;1,"NMF",BY99/BY101))</f>
      </c>
      <c r="BZ102" s="38">
        <f t="shared" si="365"/>
      </c>
      <c r="CA102" s="38">
        <f t="shared" si="365"/>
      </c>
      <c r="CB102" s="38">
        <f t="shared" si="365"/>
      </c>
      <c r="CC102" s="1105">
        <f t="shared" si="365"/>
      </c>
      <c r="CD102" s="1105">
        <f t="shared" si="365"/>
      </c>
      <c r="CE102" s="1105">
        <f t="shared" si="365"/>
      </c>
      <c r="CF102" s="1105">
        <f t="shared" si="365"/>
      </c>
      <c r="CG102" s="185"/>
    </row>
    <row r="103" spans="1:85" customFormat="1" hidden="1" outlineLevel="1" x14ac:dyDescent="0.3">
      <c r="A103" s="107" t="s">
        <v>338</v>
      </c>
      <c r="B103" s="108"/>
      <c r="C103" s="78">
        <f t="shared" ref="C103:AH103" si="366">INDEX(SP_GF_NI,0,COLUMN())+INDEX(SP_GF_IE,0,COLUMN())*(1-INDEX(SP_GF_Tax,0,COLUMN())/INDEX(SP_GF_EBT,0,COLUMN()))+INDEX(SP_GF_NCI,0,COLUMN())</f>
      </c>
      <c r="D103" s="78">
        <f t="shared" si="366"/>
      </c>
      <c r="E103" s="78">
        <f t="shared" si="366"/>
      </c>
      <c r="F103" s="78">
        <f t="shared" si="366"/>
      </c>
      <c r="G103" s="774">
        <f t="shared" si="366"/>
      </c>
      <c r="H103" s="774">
        <f t="shared" si="366"/>
      </c>
      <c r="I103" s="774">
        <f t="shared" si="366"/>
      </c>
      <c r="J103" s="774">
        <f t="shared" si="366"/>
      </c>
      <c r="K103" s="78">
        <f t="shared" si="366"/>
      </c>
      <c r="L103" s="774">
        <f t="shared" si="366"/>
      </c>
      <c r="M103" s="774">
        <f t="shared" si="366"/>
      </c>
      <c r="N103" s="774">
        <f t="shared" si="366"/>
      </c>
      <c r="O103" s="774">
        <f t="shared" si="366"/>
      </c>
      <c r="P103" s="78">
        <f t="shared" si="366"/>
      </c>
      <c r="Q103" s="774">
        <f t="shared" si="366"/>
      </c>
      <c r="R103" s="774">
        <f t="shared" si="366"/>
      </c>
      <c r="S103" s="774">
        <f t="shared" si="366"/>
      </c>
      <c r="T103" s="774">
        <f t="shared" si="366"/>
      </c>
      <c r="U103" s="78">
        <f t="shared" si="366"/>
      </c>
      <c r="V103" s="774">
        <f t="shared" si="366"/>
      </c>
      <c r="W103" s="774">
        <f t="shared" si="366"/>
      </c>
      <c r="X103" s="774">
        <f t="shared" si="366"/>
      </c>
      <c r="Y103" s="774">
        <f t="shared" si="366"/>
      </c>
      <c r="Z103" s="78">
        <f t="shared" si="366"/>
      </c>
      <c r="AA103" s="774">
        <f t="shared" si="366"/>
      </c>
      <c r="AB103" s="774">
        <f t="shared" si="366"/>
      </c>
      <c r="AC103" s="774">
        <f t="shared" si="366"/>
      </c>
      <c r="AD103" s="774">
        <f t="shared" si="366"/>
      </c>
      <c r="AE103" s="78">
        <f t="shared" si="366"/>
      </c>
      <c r="AF103" s="774">
        <f t="shared" si="366"/>
      </c>
      <c r="AG103" s="774">
        <f t="shared" si="366"/>
      </c>
      <c r="AH103" s="774">
        <f t="shared" si="366"/>
      </c>
      <c r="AI103" s="774">
        <f t="shared" ref="AI103:BD103" si="367">INDEX(SP_GF_NI,0,COLUMN())+INDEX(SP_GF_IE,0,COLUMN())*(1-INDEX(SP_GF_Tax,0,COLUMN())/INDEX(SP_GF_EBT,0,COLUMN()))+INDEX(SP_GF_NCI,0,COLUMN())</f>
      </c>
      <c r="AJ103" s="78">
        <f t="shared" si="367"/>
      </c>
      <c r="AK103" s="774">
        <f t="shared" si="367"/>
      </c>
      <c r="AL103" s="774">
        <f t="shared" si="367"/>
      </c>
      <c r="AM103" s="774">
        <f t="shared" si="367"/>
      </c>
      <c r="AN103" s="774">
        <f t="shared" si="367"/>
      </c>
      <c r="AO103" s="78">
        <f t="shared" si="367"/>
      </c>
      <c r="AP103" s="774">
        <f t="shared" si="367"/>
      </c>
      <c r="AQ103" s="774">
        <f t="shared" si="367"/>
      </c>
      <c r="AR103" s="774">
        <f t="shared" si="367"/>
      </c>
      <c r="AS103" s="774">
        <f t="shared" si="367"/>
      </c>
      <c r="AT103" s="78">
        <f t="shared" si="367"/>
      </c>
      <c r="AU103" s="774">
        <f t="shared" si="367"/>
      </c>
      <c r="AV103" s="774">
        <f t="shared" si="367"/>
      </c>
      <c r="AW103" s="774">
        <f t="shared" si="367"/>
      </c>
      <c r="AX103" s="774">
        <f t="shared" si="367"/>
      </c>
      <c r="AY103" s="78">
        <f t="shared" si="367"/>
      </c>
      <c r="AZ103" s="774">
        <f t="shared" si="367"/>
      </c>
      <c r="BA103" s="774">
        <f t="shared" si="367"/>
      </c>
      <c r="BB103" s="774">
        <f t="shared" si="367"/>
      </c>
      <c r="BC103" s="774">
        <f t="shared" si="367"/>
      </c>
      <c r="BD103" s="78">
        <f t="shared" si="367"/>
      </c>
      <c r="BE103" s="774">
        <f t="shared" ref="BE103:BJ103" si="368">INDEX(SP_GF_NI,0,COLUMN())+INDEX(SP_GF_IE,0,COLUMN())*(1-INDEX(SP_GF_Tax,0,COLUMN())/INDEX(SP_GF_EBT,0,COLUMN()))+INDEX(SP_GF_NCI,0,COLUMN())</f>
      </c>
      <c r="BF103" s="774">
        <f t="shared" si="368"/>
      </c>
      <c r="BG103" s="774">
        <f t="shared" si="368"/>
      </c>
      <c r="BH103" s="774">
        <f t="shared" si="368"/>
      </c>
      <c r="BI103" s="78">
        <f t="shared" si="368"/>
      </c>
      <c r="BJ103" s="774">
        <f t="shared" si="368"/>
      </c>
      <c r="BK103" s="774">
        <f t="shared" ref="BK103:BP103" si="369">INDEX(SP_GF_NI,0,COLUMN())+INDEX(SP_GF_IE,0,COLUMN())*(1-INDEX(SP_GF_Tax,0,COLUMN())/INDEX(SP_GF_EBT,0,COLUMN()))+INDEX(SP_GF_NCI,0,COLUMN())</f>
      </c>
      <c r="BL103" s="774">
        <f t="shared" si="369"/>
      </c>
      <c r="BM103" s="774">
        <f t="shared" si="369"/>
      </c>
      <c r="BN103" s="78">
        <f t="shared" si="369"/>
      </c>
      <c r="BO103" s="774">
        <f t="shared" si="369"/>
      </c>
      <c r="BP103" s="774">
        <f t="shared" si="369"/>
      </c>
      <c r="BQ103" s="774">
        <f>INDEX(SP_GF_NI,0,COLUMN())+INDEX(SP_GF_IE,0,COLUMN())*(1-INDEX(SP_GF_Tax,0,COLUMN())/INDEX(SP_GF_EBT,0,COLUMN()))+INDEX(SP_GF_NCI,0,COLUMN())</f>
      </c>
      <c r="BR103" s="774">
        <f>INDEX(SP_GF_NI,0,COLUMN())+INDEX(SP_GF_IE,0,COLUMN())*(1-INDEX(SP_GF_Tax,0,COLUMN())/INDEX(SP_GF_EBT,0,COLUMN()))+INDEX(SP_GF_NCI,0,COLUMN())</f>
      </c>
      <c r="BS103" s="78">
        <f>INDEX(SP_GF_NI,0,COLUMN())+INDEX(SP_GF_IE,0,COLUMN())*(1-INDEX(SP_GF_Tax,0,COLUMN())/INDEX(SP_GF_EBT,0,COLUMN()))+INDEX(SP_GF_NCI,0,COLUMN())</f>
      </c>
      <c r="BT103" s="775">
        <f>INDEX(SP_GF_NI,0,COLUMN())+INDEX(SP_GF_IE,0,COLUMN())*(1-INDEX(SP_GF_Tax,0,COLUMN())/INDEX(SP_GF_EBT,0,COLUMN()))+INDEX(SP_GF_NCI,0,COLUMN())</f>
      </c>
      <c r="BU103" s="774">
        <f t="shared" ref="BU103:BX103" si="370">INDEX(SP_GF_NI,0,COLUMN())+INDEX(SP_GF_IE,0,COLUMN())*(1-INDEX(SP_GF_Tax,0,COLUMN())/INDEX(SP_GF_EBT,0,COLUMN()))+INDEX(SP_GF_NCI,0,COLUMN())</f>
      </c>
      <c r="BV103" s="774">
        <f t="shared" si="370"/>
      </c>
      <c r="BW103" s="774">
        <f t="shared" si="370"/>
      </c>
      <c r="BX103" s="78">
        <f t="shared" si="370"/>
      </c>
      <c r="BY103" s="774">
        <f t="shared" ref="BY103:CF103" si="371">INDEX(SP_GF_NI,0,COLUMN())+INDEX(SP_GF_IE,0,COLUMN())*(1-INDEX(SP_GF_Tax,0,COLUMN())/INDEX(SP_GF_EBT,0,COLUMN()))+INDEX(SP_GF_NCI,0,COLUMN())</f>
      </c>
      <c r="BZ103" s="774">
        <f t="shared" si="371"/>
      </c>
      <c r="CA103" s="774">
        <f t="shared" si="371"/>
      </c>
      <c r="CB103" s="774">
        <f t="shared" si="371"/>
      </c>
      <c r="CC103" s="78">
        <f t="shared" si="371"/>
      </c>
      <c r="CD103" s="78">
        <f t="shared" si="371"/>
      </c>
      <c r="CE103" s="78">
        <f t="shared" si="371"/>
      </c>
      <c r="CF103" s="78">
        <f t="shared" si="371"/>
      </c>
      <c r="CG103" s="96"/>
    </row>
    <row r="104" spans="1:85" customFormat="1" hidden="1" outlineLevel="1" x14ac:dyDescent="0.3">
      <c r="A104" s="107" t="s">
        <v>339</v>
      </c>
      <c r="B104" s="108"/>
      <c r="C104" s="78">
        <f>C103</f>
      </c>
      <c r="D104" s="78">
        <f>D103</f>
      </c>
      <c r="E104" s="78">
        <f>E103</f>
      </c>
      <c r="F104" s="78">
        <f>F103</f>
      </c>
      <c r="G104" s="774"/>
      <c r="H104" s="774"/>
      <c r="I104" s="774"/>
      <c r="J104" s="774">
        <f>SUM(J103,I103,H103,G103)</f>
      </c>
      <c r="K104" s="78">
        <f>K103</f>
      </c>
      <c r="L104" s="774">
        <f>SUM(L103,J103,I103,H103)</f>
      </c>
      <c r="M104" s="774">
        <f>SUM(M103,L103,J103,I103)</f>
      </c>
      <c r="N104" s="774">
        <f>SUM(N103,M103,L103,J103)</f>
      </c>
      <c r="O104" s="774">
        <f>SUM(O103,N103,M103,L103)</f>
      </c>
      <c r="P104" s="78">
        <f>P103</f>
      </c>
      <c r="Q104" s="774">
        <f>SUM(Q103,O103,N103,M103)</f>
      </c>
      <c r="R104" s="774">
        <f>SUM(R103,Q103,O103,N103)</f>
      </c>
      <c r="S104" s="774">
        <f>SUM(S103,R103,Q103,O103)</f>
      </c>
      <c r="T104" s="774">
        <f>SUM(T103,S103,R103,Q103)</f>
      </c>
      <c r="U104" s="78">
        <f>U103</f>
      </c>
      <c r="V104" s="774">
        <f>SUM(V103,T103,S103,R103)</f>
      </c>
      <c r="W104" s="774">
        <f>SUM(W103,V103,T103,S103)</f>
      </c>
      <c r="X104" s="774">
        <f>SUM(X103,W103,V103,T103)</f>
      </c>
      <c r="Y104" s="774">
        <f>SUM(Y103,X103,W103,V103)</f>
      </c>
      <c r="Z104" s="78">
        <f>Z103</f>
      </c>
      <c r="AA104" s="774">
        <f>SUM(AA103,Y103,X103,W103)</f>
      </c>
      <c r="AB104" s="774">
        <f>SUM(AB103,AA103,Y103,X103)</f>
      </c>
      <c r="AC104" s="774">
        <f>SUM(AC103,AB103,AA103,Y103)</f>
      </c>
      <c r="AD104" s="774">
        <f>SUM(AD103,AC103,AB103,AA103)</f>
      </c>
      <c r="AE104" s="78">
        <f>AE103</f>
      </c>
      <c r="AF104" s="774">
        <f>SUM(AF103,AD103,AC103,AB103)</f>
      </c>
      <c r="AG104" s="774">
        <f>SUM(AG103,AF103,AD103,AC103)</f>
      </c>
      <c r="AH104" s="774">
        <f>SUM(AH103,AG103,AF103,AD103)</f>
      </c>
      <c r="AI104" s="774">
        <f>SUM(AI103,AH103,AG103,AF103)</f>
      </c>
      <c r="AJ104" s="78">
        <f>AJ103</f>
      </c>
      <c r="AK104" s="774">
        <f>SUM(AK103,AI103,AH103,AG103)</f>
      </c>
      <c r="AL104" s="774">
        <f>SUM(AL103,AK103,AI103,AH103)</f>
      </c>
      <c r="AM104" s="774">
        <f>SUM(AM103,AL103,AK103,AI103)</f>
      </c>
      <c r="AN104" s="774">
        <f>SUM(AN103,AM103,AL103,AK103)</f>
      </c>
      <c r="AO104" s="78">
        <f>AO103</f>
      </c>
      <c r="AP104" s="774">
        <f>SUM(AP103,AN103,AM103,AL103)</f>
      </c>
      <c r="AQ104" s="774">
        <f>SUM(AQ103,AP103,AN103,AM103)</f>
      </c>
      <c r="AR104" s="774">
        <f>SUM(AR103,AQ103,AP103,AN103)</f>
      </c>
      <c r="AS104" s="774">
        <f>SUM(AS103,AR103,AQ103,AP103)</f>
      </c>
      <c r="AT104" s="78">
        <f>AT103</f>
      </c>
      <c r="AU104" s="774">
        <f>SUM(AU103,AS103,AR103,AQ103)</f>
      </c>
      <c r="AV104" s="774">
        <f>SUM(AV103,AU103,AS103,AR103)</f>
      </c>
      <c r="AW104" s="774">
        <f>SUM(AW103,AV103,AU103,AS103)</f>
      </c>
      <c r="AX104" s="774">
        <f>SUM(AX103,AW103,AV103,AU103)</f>
      </c>
      <c r="AY104" s="78">
        <f>AY103</f>
      </c>
      <c r="AZ104" s="774">
        <f>SUM(AZ103,AX103,AW103,AV103)</f>
      </c>
      <c r="BA104" s="774">
        <f>SUM(BA103,AZ103,AX103,AW103)</f>
      </c>
      <c r="BB104" s="774">
        <f>SUM(BB103,BA103,AZ103,AX103)</f>
      </c>
      <c r="BC104" s="774">
        <f>SUM(BC103,BB103,BA103,AZ103)</f>
      </c>
      <c r="BD104" s="78">
        <f>BD103</f>
      </c>
      <c r="BE104" s="774">
        <f>SUM(BE103,BC103,BB103,BA103)</f>
      </c>
      <c r="BF104" s="774">
        <f>SUM(BF103,BE103,BC103,BB103)</f>
      </c>
      <c r="BG104" s="774">
        <f>SUM(BG103,BF103,BE103,BC103)</f>
      </c>
      <c r="BH104" s="774">
        <f>SUM(BH103,BG103,BF103,BE103)</f>
      </c>
      <c r="BI104" s="78">
        <f>BI103</f>
      </c>
      <c r="BJ104" s="774">
        <f>SUM(BJ103,BH103,BG103,BF103)</f>
      </c>
      <c r="BK104" s="774">
        <f>SUM(BK103,BJ103,BH103,BG103)</f>
      </c>
      <c r="BL104" s="774">
        <f>SUM(BL103,BK103,BJ103,BH103)</f>
      </c>
      <c r="BM104" s="774">
        <f>SUM(BM103,BL103,BK103,BJ103)</f>
      </c>
      <c r="BN104" s="78">
        <f>BN103</f>
      </c>
      <c r="BO104" s="774">
        <f>SUM(BO103,BM103,BL103,BK103)</f>
      </c>
      <c r="BP104" s="774">
        <f>SUM(BP103,BO103,BM103,BL103)</f>
      </c>
      <c r="BQ104" s="774">
        <f>SUM(BQ103,BP103,BO103,BM103)</f>
      </c>
      <c r="BR104" s="774">
        <f>SUM(BR103,BQ103,BP103,BO103)</f>
      </c>
      <c r="BS104" s="78">
        <f>BS103</f>
      </c>
      <c r="BT104" s="775">
        <f>SUM(BT103,BR103,BQ103,BP103)</f>
      </c>
      <c r="BU104" s="774">
        <f>SUM(BU103,BT103,BR103,BQ103)</f>
      </c>
      <c r="BV104" s="774">
        <f>SUM(BV103,BU103,BT103,BR103)</f>
      </c>
      <c r="BW104" s="774">
        <f>SUM(BW103,BV103,BU103,BT103)</f>
      </c>
      <c r="BX104" s="78">
        <f>BX103</f>
      </c>
      <c r="BY104" s="774">
        <f>SUM(BY103,BW103,BV103,BU103)</f>
      </c>
      <c r="BZ104" s="774">
        <f>SUM(BZ103,BY103,BW103,BV103)</f>
      </c>
      <c r="CA104" s="774">
        <f>SUM(CA103,BZ103,BY103,BW103)</f>
      </c>
      <c r="CB104" s="774">
        <f>SUM(CB103,CA103,BZ103,BY103)</f>
      </c>
      <c r="CC104" s="78">
        <f>CC103</f>
      </c>
      <c r="CD104" s="78">
        <f>CD103</f>
      </c>
      <c r="CE104" s="78">
        <f>CE103</f>
      </c>
      <c r="CF104" s="78">
        <f>CF103</f>
      </c>
      <c r="CG104" s="96"/>
    </row>
    <row r="105" spans="1:85" customFormat="1" hidden="1" outlineLevel="1" x14ac:dyDescent="0.3">
      <c r="A105" s="107" t="s">
        <v>198</v>
      </c>
      <c r="B105" s="108"/>
      <c r="C105" s="78">
        <f t="shared" ref="C105:AH105" si="372">INDEX(MO_BS_TA,0,COLUMN())</f>
      </c>
      <c r="D105" s="78">
        <f t="shared" si="372"/>
      </c>
      <c r="E105" s="78">
        <f t="shared" si="372"/>
      </c>
      <c r="F105" s="78">
        <f t="shared" si="372"/>
      </c>
      <c r="G105" s="774">
        <f t="shared" si="372"/>
      </c>
      <c r="H105" s="774">
        <f t="shared" si="372"/>
      </c>
      <c r="I105" s="774">
        <f t="shared" si="372"/>
      </c>
      <c r="J105" s="774">
        <f t="shared" si="372"/>
      </c>
      <c r="K105" s="78">
        <f t="shared" si="372"/>
      </c>
      <c r="L105" s="774">
        <f t="shared" si="372"/>
      </c>
      <c r="M105" s="774">
        <f t="shared" si="372"/>
      </c>
      <c r="N105" s="774">
        <f t="shared" si="372"/>
      </c>
      <c r="O105" s="774">
        <f t="shared" si="372"/>
      </c>
      <c r="P105" s="78">
        <f t="shared" si="372"/>
      </c>
      <c r="Q105" s="774">
        <f t="shared" si="372"/>
      </c>
      <c r="R105" s="774">
        <f t="shared" si="372"/>
      </c>
      <c r="S105" s="774">
        <f t="shared" si="372"/>
      </c>
      <c r="T105" s="774">
        <f t="shared" si="372"/>
      </c>
      <c r="U105" s="78">
        <f t="shared" si="372"/>
      </c>
      <c r="V105" s="774">
        <f t="shared" si="372"/>
      </c>
      <c r="W105" s="774">
        <f t="shared" si="372"/>
      </c>
      <c r="X105" s="774">
        <f t="shared" si="372"/>
      </c>
      <c r="Y105" s="774">
        <f t="shared" si="372"/>
      </c>
      <c r="Z105" s="78">
        <f t="shared" si="372"/>
      </c>
      <c r="AA105" s="774">
        <f t="shared" si="372"/>
      </c>
      <c r="AB105" s="774">
        <f t="shared" si="372"/>
      </c>
      <c r="AC105" s="774">
        <f t="shared" si="372"/>
      </c>
      <c r="AD105" s="774">
        <f t="shared" si="372"/>
      </c>
      <c r="AE105" s="78">
        <f t="shared" si="372"/>
      </c>
      <c r="AF105" s="774">
        <f t="shared" si="372"/>
      </c>
      <c r="AG105" s="774">
        <f t="shared" si="372"/>
      </c>
      <c r="AH105" s="774">
        <f t="shared" si="372"/>
      </c>
      <c r="AI105" s="774">
        <f t="shared" ref="AI105:BD105" si="373">INDEX(MO_BS_TA,0,COLUMN())</f>
      </c>
      <c r="AJ105" s="78">
        <f t="shared" si="373"/>
      </c>
      <c r="AK105" s="774">
        <f t="shared" si="373"/>
      </c>
      <c r="AL105" s="774">
        <f t="shared" si="373"/>
      </c>
      <c r="AM105" s="774">
        <f t="shared" si="373"/>
      </c>
      <c r="AN105" s="774">
        <f t="shared" si="373"/>
      </c>
      <c r="AO105" s="78">
        <f t="shared" si="373"/>
      </c>
      <c r="AP105" s="774">
        <f t="shared" si="373"/>
      </c>
      <c r="AQ105" s="774">
        <f t="shared" si="373"/>
      </c>
      <c r="AR105" s="774">
        <f t="shared" si="373"/>
      </c>
      <c r="AS105" s="774">
        <f t="shared" si="373"/>
      </c>
      <c r="AT105" s="78">
        <f t="shared" si="373"/>
      </c>
      <c r="AU105" s="774">
        <f t="shared" si="373"/>
      </c>
      <c r="AV105" s="774">
        <f t="shared" si="373"/>
      </c>
      <c r="AW105" s="774">
        <f t="shared" si="373"/>
      </c>
      <c r="AX105" s="774">
        <f t="shared" si="373"/>
      </c>
      <c r="AY105" s="78">
        <f t="shared" si="373"/>
      </c>
      <c r="AZ105" s="774">
        <f t="shared" si="373"/>
      </c>
      <c r="BA105" s="774">
        <f t="shared" si="373"/>
      </c>
      <c r="BB105" s="774">
        <f t="shared" si="373"/>
      </c>
      <c r="BC105" s="774">
        <f t="shared" si="373"/>
      </c>
      <c r="BD105" s="78">
        <f t="shared" si="373"/>
      </c>
      <c r="BE105" s="774">
        <f t="shared" ref="BE105:BJ105" si="374">INDEX(MO_BS_TA,0,COLUMN())</f>
      </c>
      <c r="BF105" s="774">
        <f t="shared" si="374"/>
      </c>
      <c r="BG105" s="774">
        <f t="shared" si="374"/>
      </c>
      <c r="BH105" s="774">
        <f t="shared" si="374"/>
      </c>
      <c r="BI105" s="78">
        <f t="shared" si="374"/>
      </c>
      <c r="BJ105" s="774">
        <f t="shared" si="374"/>
      </c>
      <c r="BK105" s="774">
        <f t="shared" ref="BK105:BP105" si="375">INDEX(MO_BS_TA,0,COLUMN())</f>
      </c>
      <c r="BL105" s="774">
        <f t="shared" si="375"/>
      </c>
      <c r="BM105" s="774">
        <f t="shared" si="375"/>
      </c>
      <c r="BN105" s="78">
        <f t="shared" si="375"/>
      </c>
      <c r="BO105" s="774">
        <f t="shared" si="375"/>
      </c>
      <c r="BP105" s="774">
        <f t="shared" si="375"/>
      </c>
      <c r="BQ105" s="774">
        <f>INDEX(MO_BS_TA,0,COLUMN())</f>
      </c>
      <c r="BR105" s="774">
        <f>INDEX(MO_BS_TA,0,COLUMN())</f>
      </c>
      <c r="BS105" s="78">
        <f>INDEX(MO_BS_TA,0,COLUMN())</f>
      </c>
      <c r="BT105" s="775">
        <f>INDEX(MO_BS_TA,0,COLUMN())</f>
      </c>
      <c r="BU105" s="774">
        <f t="shared" ref="BU105:BX105" si="376">INDEX(MO_BS_TA,0,COLUMN())</f>
      </c>
      <c r="BV105" s="774">
        <f t="shared" si="376"/>
      </c>
      <c r="BW105" s="774">
        <f t="shared" si="376"/>
      </c>
      <c r="BX105" s="78">
        <f t="shared" si="376"/>
      </c>
      <c r="BY105" s="774">
        <f t="shared" ref="BY105:CF105" si="377">INDEX(MO_BS_TA,0,COLUMN())</f>
      </c>
      <c r="BZ105" s="774">
        <f t="shared" si="377"/>
      </c>
      <c r="CA105" s="774">
        <f t="shared" si="377"/>
      </c>
      <c r="CB105" s="774">
        <f t="shared" si="377"/>
      </c>
      <c r="CC105" s="78">
        <f t="shared" si="377"/>
      </c>
      <c r="CD105" s="78">
        <f t="shared" si="377"/>
      </c>
      <c r="CE105" s="78">
        <f t="shared" si="377"/>
      </c>
      <c r="CF105" s="78">
        <f t="shared" si="377"/>
      </c>
      <c r="CG105" s="96"/>
    </row>
    <row r="106" spans="1:85" customFormat="1" hidden="1" outlineLevel="1" x14ac:dyDescent="0.3">
      <c r="A106" s="107" t="s">
        <v>340</v>
      </c>
      <c r="B106" s="108"/>
      <c r="C106" s="78">
        <f>C105</f>
      </c>
      <c r="D106" s="78">
        <f>AVERAGE(D105,C105)</f>
      </c>
      <c r="E106" s="78">
        <f>AVERAGE(E105,D105)</f>
      </c>
      <c r="F106" s="78">
        <f>AVERAGE(F105,E105)</f>
      </c>
      <c r="G106" s="774"/>
      <c r="H106" s="774"/>
      <c r="I106" s="774"/>
      <c r="J106" s="774">
        <f>AVERAGE(J105,I105,H105,G105)</f>
      </c>
      <c r="K106" s="78">
        <f>AVERAGE(K105,F105)</f>
      </c>
      <c r="L106" s="774">
        <f>AVERAGE(L105,J105,I105,H105)</f>
      </c>
      <c r="M106" s="774">
        <f>AVERAGE(M105,L105,J105,I105)</f>
      </c>
      <c r="N106" s="774">
        <f>AVERAGE(N105,M105,L105,J105)</f>
      </c>
      <c r="O106" s="774">
        <f>AVERAGE(O105,N105,M105,L105)</f>
      </c>
      <c r="P106" s="78">
        <f>AVERAGE(P105,K105)</f>
      </c>
      <c r="Q106" s="774">
        <f>AVERAGE(Q105,O105,N105,M105)</f>
      </c>
      <c r="R106" s="774">
        <f>AVERAGE(R105,Q105,O105,N105)</f>
      </c>
      <c r="S106" s="774">
        <f>AVERAGE(S105,R105,Q105,O105)</f>
      </c>
      <c r="T106" s="774">
        <f>AVERAGE(T105,S105,R105,Q105)</f>
      </c>
      <c r="U106" s="78">
        <f>AVERAGE(U105,P105)</f>
      </c>
      <c r="V106" s="774">
        <f>AVERAGE(V105,T105,S105,R105)</f>
      </c>
      <c r="W106" s="774">
        <f>AVERAGE(W105,V105,T105,S105)</f>
      </c>
      <c r="X106" s="774">
        <f>AVERAGE(X105,W105,V105,T105)</f>
      </c>
      <c r="Y106" s="774">
        <f>AVERAGE(Y105,X105,W105,V105)</f>
      </c>
      <c r="Z106" s="78">
        <f>AVERAGE(Z105,U105)</f>
      </c>
      <c r="AA106" s="774">
        <f>AVERAGE(AA105,Y105,X105,W105)</f>
      </c>
      <c r="AB106" s="774">
        <f>AVERAGE(AB105,AA105,Y105,X105)</f>
      </c>
      <c r="AC106" s="774">
        <f>AVERAGE(AC105,AB105,AA105,Y105)</f>
      </c>
      <c r="AD106" s="774">
        <f>AVERAGE(AD105,AC105,AB105,AA105)</f>
      </c>
      <c r="AE106" s="78">
        <f>AVERAGE(AE105,Z105)</f>
      </c>
      <c r="AF106" s="774">
        <f>AVERAGE(AF105,AD105,AC105,AB105)</f>
      </c>
      <c r="AG106" s="774">
        <f>AVERAGE(AG105,AF105,AD105,AC105)</f>
      </c>
      <c r="AH106" s="774">
        <f>AVERAGE(AH105,AG105,AF105,AD105)</f>
      </c>
      <c r="AI106" s="774">
        <f>AVERAGE(AI105,AH105,AG105,AF105)</f>
      </c>
      <c r="AJ106" s="78">
        <f>AVERAGE(AJ105,AE105)</f>
      </c>
      <c r="AK106" s="774">
        <f>AVERAGE(AK105,AI105,AH105,AG105)</f>
      </c>
      <c r="AL106" s="774">
        <f>AVERAGE(AL105,AK105,AI105,AH105)</f>
      </c>
      <c r="AM106" s="774">
        <f>AVERAGE(AM105,AL105,AK105,AI105)</f>
      </c>
      <c r="AN106" s="774">
        <f>AVERAGE(AN105,AM105,AL105,AK105)</f>
      </c>
      <c r="AO106" s="78">
        <f>AVERAGE(AO105,AJ105)</f>
      </c>
      <c r="AP106" s="774">
        <f>AVERAGE(AP105,AN105,AM105,AL105)</f>
      </c>
      <c r="AQ106" s="774">
        <f>AVERAGE(AQ105,AP105,AN105,AM105)</f>
      </c>
      <c r="AR106" s="774">
        <f>AVERAGE(AR105,AQ105,AP105,AN105)</f>
      </c>
      <c r="AS106" s="774">
        <f>AVERAGE(AS105,AR105,AQ105,AP105)</f>
      </c>
      <c r="AT106" s="78">
        <f>AVERAGE(AT105,AO105)</f>
      </c>
      <c r="AU106" s="774">
        <f>AVERAGE(AU105,AS105,AR105,AQ105)</f>
      </c>
      <c r="AV106" s="774">
        <f>AVERAGE(AV105,AU105,AS105,AR105)</f>
      </c>
      <c r="AW106" s="774">
        <f>AVERAGE(AW105,AV105,AU105,AS105)</f>
      </c>
      <c r="AX106" s="774">
        <f>AVERAGE(AX105,AW105,AV105,AU105)</f>
      </c>
      <c r="AY106" s="78">
        <f>AVERAGE(AY105,AT105)</f>
      </c>
      <c r="AZ106" s="774">
        <f>AVERAGE(AZ105,AX105,AW105,AV105)</f>
      </c>
      <c r="BA106" s="774">
        <f>AVERAGE(BA105,AZ105,AX105,AW105)</f>
      </c>
      <c r="BB106" s="774">
        <f>AVERAGE(BB105,BA105,AZ105,AX105)</f>
      </c>
      <c r="BC106" s="774">
        <f>AVERAGE(BC105,BB105,BA105,AZ105)</f>
      </c>
      <c r="BD106" s="78">
        <f>AVERAGE(BD105,AY105)</f>
      </c>
      <c r="BE106" s="774">
        <f>AVERAGE(BE105,BC105,BB105,BA105)</f>
      </c>
      <c r="BF106" s="774">
        <f>AVERAGE(BF105,BE105,BC105,BB105)</f>
      </c>
      <c r="BG106" s="774">
        <f>AVERAGE(BG105,BF105,BE105,BC105)</f>
      </c>
      <c r="BH106" s="774">
        <f>AVERAGE(BH105,BG105,BF105,BE105)</f>
      </c>
      <c r="BI106" s="78">
        <f>AVERAGE(BI105,BD105)</f>
      </c>
      <c r="BJ106" s="774">
        <f>AVERAGE(BJ105,BH105,BG105,BF105)</f>
      </c>
      <c r="BK106" s="774">
        <f>AVERAGE(BK105,BJ105,BH105,BG105)</f>
      </c>
      <c r="BL106" s="774">
        <f>AVERAGE(BL105,BK105,BJ105,BH105)</f>
      </c>
      <c r="BM106" s="774">
        <f>AVERAGE(BM105,BL105,BK105,BJ105)</f>
      </c>
      <c r="BN106" s="78">
        <f>AVERAGE(BN105,BI105)</f>
      </c>
      <c r="BO106" s="774">
        <f>AVERAGE(BO105,BM105,BL105,BK105)</f>
      </c>
      <c r="BP106" s="774">
        <f>AVERAGE(BP105,BO105,BM105,BL105)</f>
      </c>
      <c r="BQ106" s="774">
        <f>AVERAGE(BQ105,BP105,BO105,BM105)</f>
      </c>
      <c r="BR106" s="774">
        <f>AVERAGE(BR105,BQ105,BP105,BO105)</f>
      </c>
      <c r="BS106" s="78">
        <f>AVERAGE(BS105,BN105)</f>
      </c>
      <c r="BT106" s="775">
        <f>AVERAGE(BT105,BR105,BQ105,BP105)</f>
      </c>
      <c r="BU106" s="774">
        <f>AVERAGE(BU105,BT105,BR105,BQ105)</f>
      </c>
      <c r="BV106" s="774">
        <f>AVERAGE(BV105,BU105,BT105,BR105)</f>
      </c>
      <c r="BW106" s="774">
        <f>AVERAGE(BW105,BV105,BU105,BT105)</f>
      </c>
      <c r="BX106" s="78">
        <f>AVERAGE(BX105,BS105)</f>
      </c>
      <c r="BY106" s="774">
        <f>AVERAGE(BY105,BW105,BV105,BU105)</f>
      </c>
      <c r="BZ106" s="774">
        <f>AVERAGE(BZ105,BY105,BW105,BV105)</f>
      </c>
      <c r="CA106" s="774">
        <f>AVERAGE(CA105,BZ105,BY105,BW105)</f>
      </c>
      <c r="CB106" s="774">
        <f>AVERAGE(CB105,CA105,BZ105,BY105)</f>
      </c>
      <c r="CC106" s="78">
        <f>AVERAGE(CC105,BX105)</f>
      </c>
      <c r="CD106" s="78">
        <f>AVERAGE(CD105,CC105)</f>
      </c>
      <c r="CE106" s="78">
        <f>AVERAGE(CE105,CD105)</f>
      </c>
      <c r="CF106" s="78">
        <f>AVERAGE(CF105,CE105)</f>
      </c>
      <c r="CG106" s="96"/>
    </row>
    <row r="107" spans="1:85" customFormat="1" collapsed="1" x14ac:dyDescent="0.3">
      <c r="A107" s="117" t="s">
        <v>341</v>
      </c>
      <c r="B107" s="55"/>
      <c r="C107" s="1105">
        <f>IF(C106&lt;0,"NMF",IF(ABS(C104/C106)&gt;1,"NMF",C104/C106))</f>
      </c>
      <c r="D107" s="1105">
        <f>IF(D106&lt;0,"NMF",IF(ABS(D104/D106)&gt;1,"NMF",D104/D106))</f>
      </c>
      <c r="E107" s="1105">
        <f>IF(E106&lt;0,"NMF",IF(ABS(E104/E106)&gt;1,"NMF",E104/E106))</f>
      </c>
      <c r="F107" s="1105">
        <f>IF(F106&lt;0,"NMF",IF(ABS(F104/F106)&gt;1,"NMF",F104/F106))</f>
      </c>
      <c r="G107" s="38"/>
      <c r="H107" s="38"/>
      <c r="I107" s="38"/>
      <c r="J107" s="38"/>
      <c r="K107" s="1105">
        <f t="shared" ref="K107:AP107" si="378">IF(K106&lt;0,"NMF",IF(ABS(K104/K106)&gt;1,"NMF",K104/K106))</f>
      </c>
      <c r="L107" s="38">
        <f t="shared" si="378"/>
      </c>
      <c r="M107" s="38">
        <f t="shared" si="378"/>
      </c>
      <c r="N107" s="38">
        <f t="shared" si="378"/>
      </c>
      <c r="O107" s="38">
        <f t="shared" si="378"/>
      </c>
      <c r="P107" s="1105">
        <f t="shared" si="378"/>
      </c>
      <c r="Q107" s="38">
        <f t="shared" si="378"/>
      </c>
      <c r="R107" s="38">
        <f t="shared" si="378"/>
      </c>
      <c r="S107" s="38">
        <f t="shared" si="378"/>
      </c>
      <c r="T107" s="38">
        <f t="shared" si="378"/>
      </c>
      <c r="U107" s="1105">
        <f t="shared" si="378"/>
      </c>
      <c r="V107" s="38">
        <f t="shared" si="378"/>
      </c>
      <c r="W107" s="38">
        <f t="shared" si="378"/>
      </c>
      <c r="X107" s="38">
        <f t="shared" si="378"/>
      </c>
      <c r="Y107" s="38">
        <f t="shared" si="378"/>
      </c>
      <c r="Z107" s="1105">
        <f t="shared" si="378"/>
      </c>
      <c r="AA107" s="38">
        <f t="shared" si="378"/>
      </c>
      <c r="AB107" s="38">
        <f t="shared" si="378"/>
      </c>
      <c r="AC107" s="38">
        <f t="shared" si="378"/>
      </c>
      <c r="AD107" s="38">
        <f t="shared" si="378"/>
      </c>
      <c r="AE107" s="1105">
        <f t="shared" si="378"/>
      </c>
      <c r="AF107" s="38">
        <f t="shared" si="378"/>
      </c>
      <c r="AG107" s="38">
        <f t="shared" si="378"/>
      </c>
      <c r="AH107" s="38">
        <f t="shared" si="378"/>
      </c>
      <c r="AI107" s="38">
        <f t="shared" si="378"/>
      </c>
      <c r="AJ107" s="1105">
        <f t="shared" si="378"/>
      </c>
      <c r="AK107" s="38">
        <f t="shared" si="378"/>
      </c>
      <c r="AL107" s="38">
        <f t="shared" si="378"/>
      </c>
      <c r="AM107" s="38">
        <f t="shared" si="378"/>
      </c>
      <c r="AN107" s="38">
        <f t="shared" si="378"/>
      </c>
      <c r="AO107" s="1105">
        <f t="shared" si="378"/>
      </c>
      <c r="AP107" s="38">
        <f t="shared" si="378"/>
      </c>
      <c r="AQ107" s="38">
        <f t="shared" ref="AQ107:BD107" si="379">IF(AQ106&lt;0,"NMF",IF(ABS(AQ104/AQ106)&gt;1,"NMF",AQ104/AQ106))</f>
      </c>
      <c r="AR107" s="38">
        <f t="shared" si="379"/>
      </c>
      <c r="AS107" s="38">
        <f t="shared" si="379"/>
      </c>
      <c r="AT107" s="1105">
        <f t="shared" si="379"/>
      </c>
      <c r="AU107" s="38">
        <f t="shared" si="379"/>
      </c>
      <c r="AV107" s="38">
        <f t="shared" si="379"/>
      </c>
      <c r="AW107" s="38">
        <f t="shared" si="379"/>
      </c>
      <c r="AX107" s="38">
        <f t="shared" si="379"/>
      </c>
      <c r="AY107" s="1105">
        <f t="shared" si="379"/>
      </c>
      <c r="AZ107" s="38">
        <f t="shared" si="379"/>
      </c>
      <c r="BA107" s="38">
        <f t="shared" si="379"/>
      </c>
      <c r="BB107" s="38">
        <f t="shared" si="379"/>
      </c>
      <c r="BC107" s="38">
        <f t="shared" si="379"/>
      </c>
      <c r="BD107" s="1105">
        <f t="shared" si="379"/>
      </c>
      <c r="BE107" s="38">
        <f t="shared" ref="BE107:BJ107" si="380">IF(BE106&lt;0,"NMF",IF(ABS(BE104/BE106)&gt;1,"NMF",BE104/BE106))</f>
      </c>
      <c r="BF107" s="38">
        <f t="shared" si="380"/>
      </c>
      <c r="BG107" s="38">
        <f t="shared" si="380"/>
      </c>
      <c r="BH107" s="38">
        <f t="shared" si="380"/>
      </c>
      <c r="BI107" s="1105">
        <f t="shared" si="380"/>
      </c>
      <c r="BJ107" s="38">
        <f t="shared" si="380"/>
      </c>
      <c r="BK107" s="38">
        <f t="shared" ref="BK107:BP107" si="381">IF(BK106&lt;0,"NMF",IF(ABS(BK104/BK106)&gt;1,"NMF",BK104/BK106))</f>
      </c>
      <c r="BL107" s="38">
        <f t="shared" si="381"/>
      </c>
      <c r="BM107" s="38">
        <f t="shared" si="381"/>
      </c>
      <c r="BN107" s="1105">
        <f t="shared" si="381"/>
      </c>
      <c r="BO107" s="38">
        <f t="shared" si="381"/>
      </c>
      <c r="BP107" s="38">
        <f t="shared" si="381"/>
      </c>
      <c r="BQ107" s="38">
        <f>IF(BQ106&lt;0,"NMF",IF(ABS(BQ104/BQ106)&gt;1,"NMF",BQ104/BQ106))</f>
      </c>
      <c r="BR107" s="38">
        <f>IF(BR106&lt;0,"NMF",IF(ABS(BR104/BR106)&gt;1,"NMF",BR104/BR106))</f>
      </c>
      <c r="BS107" s="1105">
        <f>IF(BS106&lt;0,"NMF",IF(ABS(BS104/BS106)&gt;1,"NMF",BS104/BS106))</f>
      </c>
      <c r="BT107" s="744">
        <f>IF(BT106&lt;0,"NMF",IF(ABS(BT104/BT106)&gt;1,"NMF",BT104/BT106))</f>
      </c>
      <c r="BU107" s="38">
        <f t="shared" ref="BU107:BX107" si="382">IF(BU106&lt;0,"NMF",IF(ABS(BU104/BU106)&gt;1,"NMF",BU104/BU106))</f>
      </c>
      <c r="BV107" s="38">
        <f t="shared" si="382"/>
      </c>
      <c r="BW107" s="38">
        <f t="shared" si="382"/>
      </c>
      <c r="BX107" s="1105">
        <f t="shared" si="382"/>
      </c>
      <c r="BY107" s="38">
        <f t="shared" ref="BY107:CF107" si="383">IF(BY106&lt;0,"NMF",IF(ABS(BY104/BY106)&gt;1,"NMF",BY104/BY106))</f>
      </c>
      <c r="BZ107" s="38">
        <f t="shared" si="383"/>
      </c>
      <c r="CA107" s="38">
        <f t="shared" si="383"/>
      </c>
      <c r="CB107" s="38">
        <f t="shared" si="383"/>
      </c>
      <c r="CC107" s="1105">
        <f t="shared" si="383"/>
      </c>
      <c r="CD107" s="1105">
        <f t="shared" si="383"/>
      </c>
      <c r="CE107" s="1105">
        <f t="shared" si="383"/>
      </c>
      <c r="CF107" s="1105">
        <f t="shared" si="383"/>
      </c>
      <c r="CG107" s="185"/>
    </row>
    <row r="108" spans="1:85" customFormat="1" hidden="1" outlineLevel="1" x14ac:dyDescent="0.3">
      <c r="A108" s="107" t="s">
        <v>342</v>
      </c>
      <c r="B108" s="108"/>
      <c r="C108" s="78">
        <f t="shared" ref="C108:AH108" si="384">INDEX(MO_BSS_Debt_Net,0,COLUMN())+INDEX(MO_BSS_Cash,0,COLUMN())</f>
      </c>
      <c r="D108" s="78">
        <f t="shared" si="384"/>
      </c>
      <c r="E108" s="78">
        <f t="shared" si="384"/>
      </c>
      <c r="F108" s="78">
        <f t="shared" si="384"/>
      </c>
      <c r="G108" s="774">
        <f t="shared" si="384"/>
      </c>
      <c r="H108" s="774">
        <f t="shared" si="384"/>
      </c>
      <c r="I108" s="774">
        <f t="shared" si="384"/>
      </c>
      <c r="J108" s="774">
        <f t="shared" si="384"/>
      </c>
      <c r="K108" s="78">
        <f t="shared" si="384"/>
      </c>
      <c r="L108" s="774">
        <f t="shared" si="384"/>
      </c>
      <c r="M108" s="774">
        <f t="shared" si="384"/>
      </c>
      <c r="N108" s="774">
        <f t="shared" si="384"/>
      </c>
      <c r="O108" s="774">
        <f t="shared" si="384"/>
      </c>
      <c r="P108" s="78">
        <f t="shared" si="384"/>
      </c>
      <c r="Q108" s="774">
        <f t="shared" si="384"/>
      </c>
      <c r="R108" s="774">
        <f t="shared" si="384"/>
      </c>
      <c r="S108" s="774">
        <f t="shared" si="384"/>
      </c>
      <c r="T108" s="774">
        <f t="shared" si="384"/>
      </c>
      <c r="U108" s="78">
        <f t="shared" si="384"/>
      </c>
      <c r="V108" s="774">
        <f t="shared" si="384"/>
      </c>
      <c r="W108" s="774">
        <f t="shared" si="384"/>
      </c>
      <c r="X108" s="774">
        <f t="shared" si="384"/>
      </c>
      <c r="Y108" s="774">
        <f t="shared" si="384"/>
      </c>
      <c r="Z108" s="78">
        <f t="shared" si="384"/>
      </c>
      <c r="AA108" s="774">
        <f t="shared" si="384"/>
      </c>
      <c r="AB108" s="774">
        <f t="shared" si="384"/>
      </c>
      <c r="AC108" s="774">
        <f t="shared" si="384"/>
      </c>
      <c r="AD108" s="774">
        <f t="shared" si="384"/>
      </c>
      <c r="AE108" s="78">
        <f t="shared" si="384"/>
      </c>
      <c r="AF108" s="774">
        <f t="shared" si="384"/>
      </c>
      <c r="AG108" s="774">
        <f t="shared" si="384"/>
      </c>
      <c r="AH108" s="774">
        <f t="shared" si="384"/>
      </c>
      <c r="AI108" s="774">
        <f t="shared" ref="AI108:BD108" si="385">INDEX(MO_BSS_Debt_Net,0,COLUMN())+INDEX(MO_BSS_Cash,0,COLUMN())</f>
      </c>
      <c r="AJ108" s="78">
        <f t="shared" si="385"/>
      </c>
      <c r="AK108" s="774">
        <f t="shared" si="385"/>
      </c>
      <c r="AL108" s="774">
        <f t="shared" si="385"/>
      </c>
      <c r="AM108" s="774">
        <f t="shared" si="385"/>
      </c>
      <c r="AN108" s="774">
        <f t="shared" si="385"/>
      </c>
      <c r="AO108" s="78">
        <f t="shared" si="385"/>
      </c>
      <c r="AP108" s="774">
        <f t="shared" si="385"/>
      </c>
      <c r="AQ108" s="774">
        <f t="shared" si="385"/>
      </c>
      <c r="AR108" s="774">
        <f t="shared" si="385"/>
      </c>
      <c r="AS108" s="774">
        <f t="shared" si="385"/>
      </c>
      <c r="AT108" s="78">
        <f t="shared" si="385"/>
      </c>
      <c r="AU108" s="774">
        <f t="shared" si="385"/>
      </c>
      <c r="AV108" s="774">
        <f t="shared" si="385"/>
      </c>
      <c r="AW108" s="774">
        <f t="shared" si="385"/>
      </c>
      <c r="AX108" s="774">
        <f t="shared" si="385"/>
      </c>
      <c r="AY108" s="78">
        <f t="shared" si="385"/>
      </c>
      <c r="AZ108" s="774">
        <f t="shared" si="385"/>
      </c>
      <c r="BA108" s="774">
        <f t="shared" si="385"/>
      </c>
      <c r="BB108" s="774">
        <f t="shared" si="385"/>
      </c>
      <c r="BC108" s="774">
        <f t="shared" si="385"/>
      </c>
      <c r="BD108" s="78">
        <f t="shared" si="385"/>
      </c>
      <c r="BE108" s="774">
        <f t="shared" ref="BE108:BJ108" si="386">INDEX(MO_BSS_Debt_Net,0,COLUMN())+INDEX(MO_BSS_Cash,0,COLUMN())</f>
      </c>
      <c r="BF108" s="774">
        <f t="shared" si="386"/>
      </c>
      <c r="BG108" s="774">
        <f t="shared" si="386"/>
      </c>
      <c r="BH108" s="774">
        <f t="shared" si="386"/>
      </c>
      <c r="BI108" s="78">
        <f t="shared" si="386"/>
      </c>
      <c r="BJ108" s="774">
        <f t="shared" si="386"/>
      </c>
      <c r="BK108" s="774">
        <f t="shared" ref="BK108:BP108" si="387">INDEX(MO_BSS_Debt_Net,0,COLUMN())+INDEX(MO_BSS_Cash,0,COLUMN())</f>
      </c>
      <c r="BL108" s="774">
        <f t="shared" si="387"/>
      </c>
      <c r="BM108" s="774">
        <f t="shared" si="387"/>
      </c>
      <c r="BN108" s="78">
        <f t="shared" si="387"/>
      </c>
      <c r="BO108" s="774">
        <f t="shared" si="387"/>
      </c>
      <c r="BP108" s="774">
        <f t="shared" si="387"/>
      </c>
      <c r="BQ108" s="774">
        <f>INDEX(MO_BSS_Debt_Net,0,COLUMN())+INDEX(MO_BSS_Cash,0,COLUMN())</f>
      </c>
      <c r="BR108" s="774">
        <f>INDEX(MO_BSS_Debt_Net,0,COLUMN())+INDEX(MO_BSS_Cash,0,COLUMN())</f>
      </c>
      <c r="BS108" s="78">
        <f>INDEX(MO_BSS_Debt_Net,0,COLUMN())+INDEX(MO_BSS_Cash,0,COLUMN())</f>
      </c>
      <c r="BT108" s="775">
        <f>INDEX(MO_BSS_Debt_Net,0,COLUMN())+INDEX(MO_BSS_Cash,0,COLUMN())</f>
      </c>
      <c r="BU108" s="774">
        <f t="shared" ref="BU108:BX108" si="388">INDEX(MO_BSS_Debt_Net,0,COLUMN())+INDEX(MO_BSS_Cash,0,COLUMN())</f>
      </c>
      <c r="BV108" s="774">
        <f t="shared" si="388"/>
      </c>
      <c r="BW108" s="774">
        <f t="shared" si="388"/>
      </c>
      <c r="BX108" s="78">
        <f t="shared" si="388"/>
      </c>
      <c r="BY108" s="774">
        <f t="shared" ref="BY108:CF108" si="389">INDEX(MO_BSS_Debt_Net,0,COLUMN())+INDEX(MO_BSS_Cash,0,COLUMN())</f>
      </c>
      <c r="BZ108" s="774">
        <f t="shared" si="389"/>
      </c>
      <c r="CA108" s="774">
        <f t="shared" si="389"/>
      </c>
      <c r="CB108" s="774">
        <f t="shared" si="389"/>
      </c>
      <c r="CC108" s="78">
        <f t="shared" si="389"/>
      </c>
      <c r="CD108" s="78">
        <f t="shared" si="389"/>
      </c>
      <c r="CE108" s="78">
        <f t="shared" si="389"/>
      </c>
      <c r="CF108" s="78">
        <f t="shared" si="389"/>
      </c>
      <c r="CG108" s="96"/>
    </row>
    <row r="109" spans="1:85" customFormat="1" hidden="1" outlineLevel="1" x14ac:dyDescent="0.3">
      <c r="A109" s="107" t="s">
        <v>343</v>
      </c>
      <c r="B109" s="108"/>
      <c r="C109" s="78">
        <f>C108</f>
      </c>
      <c r="D109" s="78">
        <f>AVERAGE(D108,C108)</f>
      </c>
      <c r="E109" s="78">
        <f>AVERAGE(E108,D108)</f>
      </c>
      <c r="F109" s="78">
        <f>AVERAGE(F108,E108)</f>
      </c>
      <c r="G109" s="774"/>
      <c r="H109" s="774"/>
      <c r="I109" s="774"/>
      <c r="J109" s="774">
        <f>AVERAGE(J108,I108,H108,G108)</f>
      </c>
      <c r="K109" s="78">
        <f>AVERAGE(K108,F108)</f>
      </c>
      <c r="L109" s="774">
        <f>AVERAGE(L108,J108,I108,H108)</f>
      </c>
      <c r="M109" s="774">
        <f>AVERAGE(M108,L108,J108,I108)</f>
      </c>
      <c r="N109" s="774">
        <f>AVERAGE(N108,M108,L108,J108)</f>
      </c>
      <c r="O109" s="774">
        <f>AVERAGE(O108,N108,M108,L108)</f>
      </c>
      <c r="P109" s="78">
        <f>AVERAGE(P108,K108)</f>
      </c>
      <c r="Q109" s="774">
        <f>AVERAGE(Q108,O108,N108,M108)</f>
      </c>
      <c r="R109" s="774">
        <f>AVERAGE(R108,Q108,O108,N108)</f>
      </c>
      <c r="S109" s="774">
        <f>AVERAGE(S108,R108,Q108,O108)</f>
      </c>
      <c r="T109" s="774">
        <f>AVERAGE(T108,S108,R108,Q108)</f>
      </c>
      <c r="U109" s="78">
        <f>AVERAGE(U108,P108)</f>
      </c>
      <c r="V109" s="774">
        <f>AVERAGE(V108,T108,S108,R108)</f>
      </c>
      <c r="W109" s="774">
        <f>AVERAGE(W108,V108,T108,S108)</f>
      </c>
      <c r="X109" s="774">
        <f>AVERAGE(X108,W108,V108,T108)</f>
      </c>
      <c r="Y109" s="774">
        <f>AVERAGE(Y108,X108,W108,V108)</f>
      </c>
      <c r="Z109" s="78">
        <f>AVERAGE(Z108,U108)</f>
      </c>
      <c r="AA109" s="774">
        <f>AVERAGE(AA108,Y108,X108,W108)</f>
      </c>
      <c r="AB109" s="774">
        <f>AVERAGE(AB108,AA108,Y108,X108)</f>
      </c>
      <c r="AC109" s="774">
        <f>AVERAGE(AC108,AB108,AA108,Y108)</f>
      </c>
      <c r="AD109" s="774">
        <f>AVERAGE(AD108,AC108,AB108,AA108)</f>
      </c>
      <c r="AE109" s="78">
        <f>AVERAGE(AE108,Z108)</f>
      </c>
      <c r="AF109" s="774">
        <f>AVERAGE(AF108,AD108,AC108,AB108)</f>
      </c>
      <c r="AG109" s="774">
        <f>AVERAGE(AG108,AF108,AD108,AC108)</f>
      </c>
      <c r="AH109" s="774">
        <f>AVERAGE(AH108,AG108,AF108,AD108)</f>
      </c>
      <c r="AI109" s="774">
        <f>AVERAGE(AI108,AH108,AG108,AF108)</f>
      </c>
      <c r="AJ109" s="78">
        <f>AVERAGE(AJ108,AE108)</f>
      </c>
      <c r="AK109" s="774">
        <f>AVERAGE(AK108,AI108,AH108,AG108)</f>
      </c>
      <c r="AL109" s="774">
        <f>AVERAGE(AL108,AK108,AI108,AH108)</f>
      </c>
      <c r="AM109" s="774">
        <f>AVERAGE(AM108,AL108,AK108,AI108)</f>
      </c>
      <c r="AN109" s="774">
        <f>AVERAGE(AN108,AM108,AL108,AK108)</f>
      </c>
      <c r="AO109" s="78">
        <f>AVERAGE(AO108,AJ108)</f>
      </c>
      <c r="AP109" s="774">
        <f>AVERAGE(AP108,AN108,AM108,AL108)</f>
      </c>
      <c r="AQ109" s="774">
        <f>AVERAGE(AQ108,AP108,AN108,AM108)</f>
      </c>
      <c r="AR109" s="774">
        <f>AVERAGE(AR108,AQ108,AP108,AN108)</f>
      </c>
      <c r="AS109" s="774">
        <f>AVERAGE(AS108,AR108,AQ108,AP108)</f>
      </c>
      <c r="AT109" s="78">
        <f>AVERAGE(AT108,AO108)</f>
      </c>
      <c r="AU109" s="774">
        <f>AVERAGE(AU108,AS108,AR108,AQ108)</f>
      </c>
      <c r="AV109" s="774">
        <f>AVERAGE(AV108,AU108,AS108,AR108)</f>
      </c>
      <c r="AW109" s="774">
        <f>AVERAGE(AW108,AV108,AU108,AS108)</f>
      </c>
      <c r="AX109" s="774">
        <f>AVERAGE(AX108,AW108,AV108,AU108)</f>
      </c>
      <c r="AY109" s="78">
        <f>AVERAGE(AY108,AT108)</f>
      </c>
      <c r="AZ109" s="774">
        <f>AVERAGE(AZ108,AX108,AW108,AV108)</f>
      </c>
      <c r="BA109" s="774">
        <f>AVERAGE(BA108,AZ108,AX108,AW108)</f>
      </c>
      <c r="BB109" s="774">
        <f>AVERAGE(BB108,BA108,AZ108,AX108)</f>
      </c>
      <c r="BC109" s="774">
        <f>AVERAGE(BC108,BB108,BA108,AZ108)</f>
      </c>
      <c r="BD109" s="78">
        <f>AVERAGE(BD108,AY108)</f>
      </c>
      <c r="BE109" s="774">
        <f>AVERAGE(BE108,BC108,BB108,BA108)</f>
      </c>
      <c r="BF109" s="774">
        <f>AVERAGE(BF108,BE108,BC108,BB108)</f>
      </c>
      <c r="BG109" s="774">
        <f>AVERAGE(BG108,BF108,BE108,BC108)</f>
      </c>
      <c r="BH109" s="774">
        <f>AVERAGE(BH108,BG108,BF108,BE108)</f>
      </c>
      <c r="BI109" s="78">
        <f>AVERAGE(BI108,BD108)</f>
      </c>
      <c r="BJ109" s="774">
        <f>AVERAGE(BJ108,BH108,BG108,BF108)</f>
      </c>
      <c r="BK109" s="774">
        <f>AVERAGE(BK108,BJ108,BH108,BG108)</f>
      </c>
      <c r="BL109" s="774">
        <f>AVERAGE(BL108,BK108,BJ108,BH108)</f>
      </c>
      <c r="BM109" s="774">
        <f>AVERAGE(BM108,BL108,BK108,BJ108)</f>
      </c>
      <c r="BN109" s="78">
        <f>AVERAGE(BN108,BI108)</f>
      </c>
      <c r="BO109" s="774">
        <f>AVERAGE(BO108,BM108,BL108,BK108)</f>
      </c>
      <c r="BP109" s="774">
        <f>AVERAGE(BP108,BO108,BM108,BL108)</f>
      </c>
      <c r="BQ109" s="774">
        <f>AVERAGE(BQ108,BP108,BO108,BM108)</f>
      </c>
      <c r="BR109" s="774">
        <f>AVERAGE(BR108,BQ108,BP108,BO108)</f>
      </c>
      <c r="BS109" s="78">
        <f>AVERAGE(BS108,BN108)</f>
      </c>
      <c r="BT109" s="775">
        <f>AVERAGE(BT108,BR108,BQ108,BP108)</f>
      </c>
      <c r="BU109" s="774">
        <f>AVERAGE(BU108,BT108,BR108,BQ108)</f>
      </c>
      <c r="BV109" s="774">
        <f>AVERAGE(BV108,BU108,BT108,BR108)</f>
      </c>
      <c r="BW109" s="774">
        <f>AVERAGE(BW108,BV108,BU108,BT108)</f>
      </c>
      <c r="BX109" s="78">
        <f>AVERAGE(BX108,BS108)</f>
      </c>
      <c r="BY109" s="774">
        <f>AVERAGE(BY108,BW108,BV108,BU108)</f>
      </c>
      <c r="BZ109" s="774">
        <f>AVERAGE(BZ108,BY108,BW108,BV108)</f>
      </c>
      <c r="CA109" s="774">
        <f>AVERAGE(CA108,BZ108,BY108,BW108)</f>
      </c>
      <c r="CB109" s="774">
        <f>AVERAGE(CB108,CA108,BZ108,BY108)</f>
      </c>
      <c r="CC109" s="78">
        <f>AVERAGE(CC108,BX108)</f>
      </c>
      <c r="CD109" s="78">
        <f>AVERAGE(CD108,CC108)</f>
      </c>
      <c r="CE109" s="78">
        <f>AVERAGE(CE108,CD108)</f>
      </c>
      <c r="CF109" s="78">
        <f>AVERAGE(CF108,CE108)</f>
      </c>
      <c r="CG109" s="96"/>
    </row>
    <row r="110" spans="1:85" customFormat="1" hidden="1" outlineLevel="1" x14ac:dyDescent="0.3">
      <c r="A110" s="107" t="s">
        <v>344</v>
      </c>
      <c r="B110" s="108"/>
      <c r="C110" s="78">
        <f t="shared" ref="C110:AH110" si="390">SUM(INDEX(SP_BSR_Debt_Avg,0,COLUMN()),INDEX(SP_BSR_SE_Avg,0,COLUMN()))</f>
      </c>
      <c r="D110" s="78">
        <f t="shared" si="390"/>
      </c>
      <c r="E110" s="78">
        <f t="shared" si="390"/>
      </c>
      <c r="F110" s="78">
        <f t="shared" si="390"/>
      </c>
      <c r="G110" s="774">
        <f t="shared" si="390"/>
      </c>
      <c r="H110" s="774">
        <f t="shared" si="390"/>
      </c>
      <c r="I110" s="774">
        <f t="shared" si="390"/>
      </c>
      <c r="J110" s="774">
        <f t="shared" si="390"/>
      </c>
      <c r="K110" s="78">
        <f t="shared" si="390"/>
      </c>
      <c r="L110" s="774">
        <f t="shared" si="390"/>
      </c>
      <c r="M110" s="774">
        <f t="shared" si="390"/>
      </c>
      <c r="N110" s="774">
        <f t="shared" si="390"/>
      </c>
      <c r="O110" s="774">
        <f t="shared" si="390"/>
      </c>
      <c r="P110" s="78">
        <f t="shared" si="390"/>
      </c>
      <c r="Q110" s="774">
        <f t="shared" si="390"/>
      </c>
      <c r="R110" s="774">
        <f t="shared" si="390"/>
      </c>
      <c r="S110" s="774">
        <f t="shared" si="390"/>
      </c>
      <c r="T110" s="774">
        <f t="shared" si="390"/>
      </c>
      <c r="U110" s="78">
        <f t="shared" si="390"/>
      </c>
      <c r="V110" s="774">
        <f t="shared" si="390"/>
      </c>
      <c r="W110" s="774">
        <f t="shared" si="390"/>
      </c>
      <c r="X110" s="774">
        <f t="shared" si="390"/>
      </c>
      <c r="Y110" s="774">
        <f t="shared" si="390"/>
      </c>
      <c r="Z110" s="78">
        <f t="shared" si="390"/>
      </c>
      <c r="AA110" s="774">
        <f t="shared" si="390"/>
      </c>
      <c r="AB110" s="774">
        <f t="shared" si="390"/>
      </c>
      <c r="AC110" s="774">
        <f t="shared" si="390"/>
      </c>
      <c r="AD110" s="774">
        <f t="shared" si="390"/>
      </c>
      <c r="AE110" s="78">
        <f t="shared" si="390"/>
      </c>
      <c r="AF110" s="774">
        <f t="shared" si="390"/>
      </c>
      <c r="AG110" s="774">
        <f t="shared" si="390"/>
      </c>
      <c r="AH110" s="774">
        <f t="shared" si="390"/>
      </c>
      <c r="AI110" s="774">
        <f t="shared" ref="AI110:BD110" si="391">SUM(INDEX(SP_BSR_Debt_Avg,0,COLUMN()),INDEX(SP_BSR_SE_Avg,0,COLUMN()))</f>
      </c>
      <c r="AJ110" s="78">
        <f t="shared" si="391"/>
      </c>
      <c r="AK110" s="774">
        <f t="shared" si="391"/>
      </c>
      <c r="AL110" s="774">
        <f t="shared" si="391"/>
      </c>
      <c r="AM110" s="774">
        <f t="shared" si="391"/>
      </c>
      <c r="AN110" s="774">
        <f t="shared" si="391"/>
      </c>
      <c r="AO110" s="78">
        <f t="shared" si="391"/>
      </c>
      <c r="AP110" s="774">
        <f t="shared" si="391"/>
      </c>
      <c r="AQ110" s="774">
        <f t="shared" si="391"/>
      </c>
      <c r="AR110" s="774">
        <f t="shared" si="391"/>
      </c>
      <c r="AS110" s="774">
        <f t="shared" si="391"/>
      </c>
      <c r="AT110" s="78">
        <f t="shared" si="391"/>
      </c>
      <c r="AU110" s="774">
        <f t="shared" si="391"/>
      </c>
      <c r="AV110" s="774">
        <f t="shared" si="391"/>
      </c>
      <c r="AW110" s="774">
        <f t="shared" si="391"/>
      </c>
      <c r="AX110" s="774">
        <f t="shared" si="391"/>
      </c>
      <c r="AY110" s="78">
        <f t="shared" si="391"/>
      </c>
      <c r="AZ110" s="774">
        <f t="shared" si="391"/>
      </c>
      <c r="BA110" s="774">
        <f t="shared" si="391"/>
      </c>
      <c r="BB110" s="774">
        <f t="shared" si="391"/>
      </c>
      <c r="BC110" s="774">
        <f t="shared" si="391"/>
      </c>
      <c r="BD110" s="78">
        <f t="shared" si="391"/>
      </c>
      <c r="BE110" s="774">
        <f t="shared" ref="BE110:BJ110" si="392">SUM(INDEX(SP_BSR_Debt_Avg,0,COLUMN()),INDEX(SP_BSR_SE_Avg,0,COLUMN()))</f>
      </c>
      <c r="BF110" s="774">
        <f t="shared" si="392"/>
      </c>
      <c r="BG110" s="774">
        <f t="shared" si="392"/>
      </c>
      <c r="BH110" s="774">
        <f t="shared" si="392"/>
      </c>
      <c r="BI110" s="78">
        <f t="shared" si="392"/>
      </c>
      <c r="BJ110" s="774">
        <f t="shared" si="392"/>
      </c>
      <c r="BK110" s="774">
        <f t="shared" ref="BK110:BP110" si="393">SUM(INDEX(SP_BSR_Debt_Avg,0,COLUMN()),INDEX(SP_BSR_SE_Avg,0,COLUMN()))</f>
      </c>
      <c r="BL110" s="774">
        <f t="shared" si="393"/>
      </c>
      <c r="BM110" s="774">
        <f t="shared" si="393"/>
      </c>
      <c r="BN110" s="78">
        <f t="shared" si="393"/>
      </c>
      <c r="BO110" s="774">
        <f t="shared" si="393"/>
      </c>
      <c r="BP110" s="774">
        <f t="shared" si="393"/>
      </c>
      <c r="BQ110" s="774">
        <f>SUM(INDEX(SP_BSR_Debt_Avg,0,COLUMN()),INDEX(SP_BSR_SE_Avg,0,COLUMN()))</f>
      </c>
      <c r="BR110" s="774">
        <f>SUM(INDEX(SP_BSR_Debt_Avg,0,COLUMN()),INDEX(SP_BSR_SE_Avg,0,COLUMN()))</f>
      </c>
      <c r="BS110" s="78">
        <f>SUM(INDEX(SP_BSR_Debt_Avg,0,COLUMN()),INDEX(SP_BSR_SE_Avg,0,COLUMN()))</f>
      </c>
      <c r="BT110" s="775">
        <f>SUM(INDEX(SP_BSR_Debt_Avg,0,COLUMN()),INDEX(SP_BSR_SE_Avg,0,COLUMN()))</f>
      </c>
      <c r="BU110" s="774">
        <f t="shared" ref="BU110:BX110" si="394">SUM(INDEX(SP_BSR_Debt_Avg,0,COLUMN()),INDEX(SP_BSR_SE_Avg,0,COLUMN()))</f>
      </c>
      <c r="BV110" s="774">
        <f t="shared" si="394"/>
      </c>
      <c r="BW110" s="774">
        <f t="shared" si="394"/>
      </c>
      <c r="BX110" s="78">
        <f t="shared" si="394"/>
      </c>
      <c r="BY110" s="774">
        <f t="shared" ref="BY110:CF110" si="395">SUM(INDEX(SP_BSR_Debt_Avg,0,COLUMN()),INDEX(SP_BSR_SE_Avg,0,COLUMN()))</f>
      </c>
      <c r="BZ110" s="774">
        <f t="shared" si="395"/>
      </c>
      <c r="CA110" s="774">
        <f t="shared" si="395"/>
      </c>
      <c r="CB110" s="774">
        <f t="shared" si="395"/>
      </c>
      <c r="CC110" s="78">
        <f t="shared" si="395"/>
      </c>
      <c r="CD110" s="78">
        <f t="shared" si="395"/>
      </c>
      <c r="CE110" s="78">
        <f t="shared" si="395"/>
      </c>
      <c r="CF110" s="78">
        <f t="shared" si="395"/>
      </c>
      <c r="CG110" s="96"/>
    </row>
    <row r="111" spans="1:85" customFormat="1" collapsed="1" x14ac:dyDescent="0.3">
      <c r="A111" s="117" t="s">
        <v>345</v>
      </c>
      <c r="B111" s="55"/>
      <c r="C111" s="1105">
        <f>IF(C110&lt;0,"NMF",IF(ABS(C104/C110)&gt;1,"NMF",C104/C110))</f>
      </c>
      <c r="D111" s="1105">
        <f>IF(D110&lt;0,"NMF",IF(ABS(D104/D110)&gt;1,"NMF",D104/D110))</f>
      </c>
      <c r="E111" s="1105">
        <f>IF(E110&lt;0,"NMF",IF(ABS(E104/E110)&gt;1,"NMF",E104/E110))</f>
      </c>
      <c r="F111" s="1105">
        <f>IF(F110&lt;0,"NMF",IF(ABS(F104/F110)&gt;1,"NMF",F104/F110))</f>
      </c>
      <c r="G111" s="38"/>
      <c r="H111" s="38"/>
      <c r="I111" s="38"/>
      <c r="J111" s="38">
        <f t="shared" ref="J111:AO111" si="396">IF(J110&lt;0,"NMF",IF(ABS(J104/J110)&gt;1,"NMF",J104/J110))</f>
      </c>
      <c r="K111" s="1105">
        <f t="shared" si="396"/>
      </c>
      <c r="L111" s="38">
        <f t="shared" si="396"/>
      </c>
      <c r="M111" s="38">
        <f t="shared" si="396"/>
      </c>
      <c r="N111" s="38">
        <f t="shared" si="396"/>
      </c>
      <c r="O111" s="38">
        <f t="shared" si="396"/>
      </c>
      <c r="P111" s="1105">
        <f t="shared" si="396"/>
      </c>
      <c r="Q111" s="38">
        <f t="shared" si="396"/>
      </c>
      <c r="R111" s="38">
        <f t="shared" si="396"/>
      </c>
      <c r="S111" s="38">
        <f t="shared" si="396"/>
      </c>
      <c r="T111" s="38">
        <f t="shared" si="396"/>
      </c>
      <c r="U111" s="1105">
        <f t="shared" si="396"/>
      </c>
      <c r="V111" s="38">
        <f t="shared" si="396"/>
      </c>
      <c r="W111" s="38">
        <f t="shared" si="396"/>
      </c>
      <c r="X111" s="38">
        <f t="shared" si="396"/>
      </c>
      <c r="Y111" s="38">
        <f t="shared" si="396"/>
      </c>
      <c r="Z111" s="1105">
        <f t="shared" si="396"/>
      </c>
      <c r="AA111" s="38">
        <f t="shared" si="396"/>
      </c>
      <c r="AB111" s="38">
        <f t="shared" si="396"/>
      </c>
      <c r="AC111" s="38">
        <f t="shared" si="396"/>
      </c>
      <c r="AD111" s="38">
        <f t="shared" si="396"/>
      </c>
      <c r="AE111" s="1105">
        <f t="shared" si="396"/>
      </c>
      <c r="AF111" s="38">
        <f t="shared" si="396"/>
      </c>
      <c r="AG111" s="38">
        <f t="shared" si="396"/>
      </c>
      <c r="AH111" s="38">
        <f t="shared" si="396"/>
      </c>
      <c r="AI111" s="38">
        <f t="shared" si="396"/>
      </c>
      <c r="AJ111" s="1105">
        <f t="shared" si="396"/>
      </c>
      <c r="AK111" s="38">
        <f t="shared" si="396"/>
      </c>
      <c r="AL111" s="38">
        <f t="shared" si="396"/>
      </c>
      <c r="AM111" s="38">
        <f t="shared" si="396"/>
      </c>
      <c r="AN111" s="38">
        <f t="shared" si="396"/>
      </c>
      <c r="AO111" s="1105">
        <f t="shared" si="396"/>
      </c>
      <c r="AP111" s="38">
        <f t="shared" ref="AP111:BD111" si="397">IF(AP110&lt;0,"NMF",IF(ABS(AP104/AP110)&gt;1,"NMF",AP104/AP110))</f>
      </c>
      <c r="AQ111" s="38">
        <f t="shared" si="397"/>
      </c>
      <c r="AR111" s="38">
        <f t="shared" si="397"/>
      </c>
      <c r="AS111" s="38">
        <f t="shared" si="397"/>
      </c>
      <c r="AT111" s="1105">
        <f t="shared" si="397"/>
      </c>
      <c r="AU111" s="38">
        <f t="shared" si="397"/>
      </c>
      <c r="AV111" s="38">
        <f t="shared" si="397"/>
      </c>
      <c r="AW111" s="38">
        <f t="shared" si="397"/>
      </c>
      <c r="AX111" s="38">
        <f t="shared" si="397"/>
      </c>
      <c r="AY111" s="1105">
        <f t="shared" si="397"/>
      </c>
      <c r="AZ111" s="38">
        <f t="shared" si="397"/>
      </c>
      <c r="BA111" s="38">
        <f t="shared" si="397"/>
      </c>
      <c r="BB111" s="38">
        <f t="shared" si="397"/>
      </c>
      <c r="BC111" s="38">
        <f t="shared" si="397"/>
      </c>
      <c r="BD111" s="1105">
        <f t="shared" si="397"/>
      </c>
      <c r="BE111" s="38">
        <f t="shared" ref="BE111:BJ111" si="398">IF(BE110&lt;0,"NMF",IF(ABS(BE104/BE110)&gt;1,"NMF",BE104/BE110))</f>
      </c>
      <c r="BF111" s="38">
        <f t="shared" si="398"/>
      </c>
      <c r="BG111" s="38">
        <f t="shared" si="398"/>
      </c>
      <c r="BH111" s="38">
        <f t="shared" si="398"/>
      </c>
      <c r="BI111" s="1105">
        <f t="shared" si="398"/>
      </c>
      <c r="BJ111" s="38">
        <f t="shared" si="398"/>
      </c>
      <c r="BK111" s="38">
        <f t="shared" ref="BK111:BP111" si="399">IF(BK110&lt;0,"NMF",IF(ABS(BK104/BK110)&gt;1,"NMF",BK104/BK110))</f>
      </c>
      <c r="BL111" s="38">
        <f t="shared" si="399"/>
      </c>
      <c r="BM111" s="38">
        <f t="shared" si="399"/>
      </c>
      <c r="BN111" s="1105">
        <f t="shared" si="399"/>
      </c>
      <c r="BO111" s="38">
        <f t="shared" si="399"/>
      </c>
      <c r="BP111" s="38">
        <f t="shared" si="399"/>
      </c>
      <c r="BQ111" s="38">
        <f>IF(BQ110&lt;0,"NMF",IF(ABS(BQ104/BQ110)&gt;1,"NMF",BQ104/BQ110))</f>
      </c>
      <c r="BR111" s="38">
        <f>IF(BR110&lt;0,"NMF",IF(ABS(BR104/BR110)&gt;1,"NMF",BR104/BR110))</f>
      </c>
      <c r="BS111" s="1105">
        <f>IF(BS110&lt;0,"NMF",IF(ABS(BS104/BS110)&gt;1,"NMF",BS104/BS110))</f>
      </c>
      <c r="BT111" s="744">
        <f>IF(BT110&lt;0,"NMF",IF(ABS(BT104/BT110)&gt;1,"NMF",BT104/BT110))</f>
      </c>
      <c r="BU111" s="38">
        <f t="shared" ref="BU111:BX111" si="400">IF(BU110&lt;0,"NMF",IF(ABS(BU104/BU110)&gt;1,"NMF",BU104/BU110))</f>
      </c>
      <c r="BV111" s="38">
        <f t="shared" si="400"/>
      </c>
      <c r="BW111" s="38">
        <f t="shared" si="400"/>
      </c>
      <c r="BX111" s="1105">
        <f t="shared" si="400"/>
      </c>
      <c r="BY111" s="38">
        <f t="shared" ref="BY111:CF111" si="401">IF(BY110&lt;0,"NMF",IF(ABS(BY104/BY110)&gt;1,"NMF",BY104/BY110))</f>
      </c>
      <c r="BZ111" s="38">
        <f t="shared" si="401"/>
      </c>
      <c r="CA111" s="38">
        <f t="shared" si="401"/>
      </c>
      <c r="CB111" s="38">
        <f t="shared" si="401"/>
      </c>
      <c r="CC111" s="1105">
        <f t="shared" si="401"/>
      </c>
      <c r="CD111" s="1105">
        <f t="shared" si="401"/>
      </c>
      <c r="CE111" s="1105">
        <f t="shared" si="401"/>
      </c>
      <c r="CF111" s="1105">
        <f t="shared" si="401"/>
      </c>
      <c r="CG111" s="185"/>
    </row>
    <row r="112" spans="1:85" customFormat="1" hidden="1" outlineLevel="1" x14ac:dyDescent="0.3">
      <c r="A112" s="107" t="s">
        <v>78</v>
      </c>
      <c r="B112" s="108"/>
      <c r="C112" s="78">
        <f t="shared" ref="C112:AH112" si="402">INDEX(MO_RIS_EBIT,0,COLUMN())</f>
      </c>
      <c r="D112" s="78">
        <f t="shared" si="402"/>
      </c>
      <c r="E112" s="78">
        <f t="shared" si="402"/>
      </c>
      <c r="F112" s="78">
        <f t="shared" si="402"/>
      </c>
      <c r="G112" s="774">
        <f t="shared" si="402"/>
      </c>
      <c r="H112" s="774">
        <f t="shared" si="402"/>
      </c>
      <c r="I112" s="774">
        <f t="shared" si="402"/>
      </c>
      <c r="J112" s="774">
        <f t="shared" si="402"/>
      </c>
      <c r="K112" s="78">
        <f t="shared" si="402"/>
      </c>
      <c r="L112" s="774">
        <f t="shared" si="402"/>
      </c>
      <c r="M112" s="774">
        <f t="shared" si="402"/>
      </c>
      <c r="N112" s="774">
        <f t="shared" si="402"/>
      </c>
      <c r="O112" s="774">
        <f t="shared" si="402"/>
      </c>
      <c r="P112" s="78">
        <f t="shared" si="402"/>
      </c>
      <c r="Q112" s="774">
        <f t="shared" si="402"/>
      </c>
      <c r="R112" s="774">
        <f t="shared" si="402"/>
      </c>
      <c r="S112" s="774">
        <f t="shared" si="402"/>
      </c>
      <c r="T112" s="774">
        <f t="shared" si="402"/>
      </c>
      <c r="U112" s="78">
        <f t="shared" si="402"/>
      </c>
      <c r="V112" s="774">
        <f t="shared" si="402"/>
      </c>
      <c r="W112" s="774">
        <f t="shared" si="402"/>
      </c>
      <c r="X112" s="774">
        <f t="shared" si="402"/>
      </c>
      <c r="Y112" s="774">
        <f t="shared" si="402"/>
      </c>
      <c r="Z112" s="78">
        <f t="shared" si="402"/>
      </c>
      <c r="AA112" s="774">
        <f t="shared" si="402"/>
      </c>
      <c r="AB112" s="774">
        <f t="shared" si="402"/>
      </c>
      <c r="AC112" s="774">
        <f t="shared" si="402"/>
      </c>
      <c r="AD112" s="774">
        <f t="shared" si="402"/>
      </c>
      <c r="AE112" s="78">
        <f t="shared" si="402"/>
      </c>
      <c r="AF112" s="774">
        <f t="shared" si="402"/>
      </c>
      <c r="AG112" s="774">
        <f t="shared" si="402"/>
      </c>
      <c r="AH112" s="774">
        <f t="shared" si="402"/>
      </c>
      <c r="AI112" s="774">
        <f t="shared" ref="AI112:BD112" si="403">INDEX(MO_RIS_EBIT,0,COLUMN())</f>
      </c>
      <c r="AJ112" s="78">
        <f t="shared" si="403"/>
      </c>
      <c r="AK112" s="774">
        <f t="shared" si="403"/>
      </c>
      <c r="AL112" s="774">
        <f t="shared" si="403"/>
      </c>
      <c r="AM112" s="774">
        <f t="shared" si="403"/>
      </c>
      <c r="AN112" s="774">
        <f t="shared" si="403"/>
      </c>
      <c r="AO112" s="78">
        <f t="shared" si="403"/>
      </c>
      <c r="AP112" s="774">
        <f t="shared" si="403"/>
      </c>
      <c r="AQ112" s="774">
        <f t="shared" si="403"/>
      </c>
      <c r="AR112" s="774">
        <f t="shared" si="403"/>
      </c>
      <c r="AS112" s="774">
        <f t="shared" si="403"/>
      </c>
      <c r="AT112" s="78">
        <f t="shared" si="403"/>
      </c>
      <c r="AU112" s="774">
        <f t="shared" si="403"/>
      </c>
      <c r="AV112" s="774">
        <f t="shared" si="403"/>
      </c>
      <c r="AW112" s="774">
        <f t="shared" si="403"/>
      </c>
      <c r="AX112" s="774">
        <f t="shared" si="403"/>
      </c>
      <c r="AY112" s="78">
        <f t="shared" si="403"/>
      </c>
      <c r="AZ112" s="774">
        <f t="shared" si="403"/>
      </c>
      <c r="BA112" s="774">
        <f t="shared" si="403"/>
      </c>
      <c r="BB112" s="774">
        <f t="shared" si="403"/>
      </c>
      <c r="BC112" s="774">
        <f t="shared" si="403"/>
      </c>
      <c r="BD112" s="78">
        <f t="shared" si="403"/>
      </c>
      <c r="BE112" s="774">
        <f t="shared" ref="BE112:BJ112" si="404">INDEX(MO_RIS_EBIT,0,COLUMN())</f>
      </c>
      <c r="BF112" s="774">
        <f t="shared" si="404"/>
      </c>
      <c r="BG112" s="774">
        <f t="shared" si="404"/>
      </c>
      <c r="BH112" s="774">
        <f t="shared" si="404"/>
      </c>
      <c r="BI112" s="78">
        <f t="shared" si="404"/>
      </c>
      <c r="BJ112" s="774">
        <f t="shared" si="404"/>
      </c>
      <c r="BK112" s="774">
        <f t="shared" ref="BK112:BP112" si="405">INDEX(MO_RIS_EBIT,0,COLUMN())</f>
      </c>
      <c r="BL112" s="774">
        <f t="shared" si="405"/>
      </c>
      <c r="BM112" s="774">
        <f t="shared" si="405"/>
      </c>
      <c r="BN112" s="78">
        <f t="shared" si="405"/>
      </c>
      <c r="BO112" s="774">
        <f t="shared" si="405"/>
      </c>
      <c r="BP112" s="774">
        <f t="shared" si="405"/>
      </c>
      <c r="BQ112" s="774">
        <f>INDEX(MO_RIS_EBIT,0,COLUMN())</f>
      </c>
      <c r="BR112" s="774">
        <f>INDEX(MO_RIS_EBIT,0,COLUMN())</f>
      </c>
      <c r="BS112" s="78">
        <f>INDEX(MO_RIS_EBIT,0,COLUMN())</f>
      </c>
      <c r="BT112" s="775">
        <f>INDEX(MO_RIS_EBIT,0,COLUMN())</f>
      </c>
      <c r="BU112" s="774">
        <f t="shared" ref="BU112:BX112" si="406">INDEX(MO_RIS_EBIT,0,COLUMN())</f>
      </c>
      <c r="BV112" s="774">
        <f t="shared" si="406"/>
      </c>
      <c r="BW112" s="774">
        <f t="shared" si="406"/>
      </c>
      <c r="BX112" s="78">
        <f t="shared" si="406"/>
      </c>
      <c r="BY112" s="774">
        <f t="shared" ref="BY112:CF112" si="407">INDEX(MO_RIS_EBIT,0,COLUMN())</f>
      </c>
      <c r="BZ112" s="774">
        <f t="shared" si="407"/>
      </c>
      <c r="CA112" s="774">
        <f t="shared" si="407"/>
      </c>
      <c r="CB112" s="774">
        <f t="shared" si="407"/>
      </c>
      <c r="CC112" s="78">
        <f t="shared" si="407"/>
      </c>
      <c r="CD112" s="78">
        <f t="shared" si="407"/>
      </c>
      <c r="CE112" s="78">
        <f t="shared" si="407"/>
      </c>
      <c r="CF112" s="78">
        <f t="shared" si="407"/>
      </c>
      <c r="CG112" s="96"/>
    </row>
    <row r="113" spans="1:85" customFormat="1" hidden="1" outlineLevel="1" x14ac:dyDescent="0.3">
      <c r="A113" s="107" t="s">
        <v>346</v>
      </c>
      <c r="B113" s="108"/>
      <c r="C113" s="78">
        <f>C112</f>
      </c>
      <c r="D113" s="78">
        <f>D112</f>
      </c>
      <c r="E113" s="78">
        <f>E112</f>
      </c>
      <c r="F113" s="78">
        <f>F112</f>
      </c>
      <c r="G113" s="774"/>
      <c r="H113" s="774"/>
      <c r="I113" s="774"/>
      <c r="J113" s="774">
        <f>SUM(J112,I112,H112,G112)</f>
      </c>
      <c r="K113" s="78">
        <f>K112</f>
      </c>
      <c r="L113" s="774">
        <f>SUM(L112,J112,I112,H112)</f>
      </c>
      <c r="M113" s="774">
        <f>SUM(M112,L112,J112,I112)</f>
      </c>
      <c r="N113" s="774">
        <f>SUM(N112,M112,L112,J112)</f>
      </c>
      <c r="O113" s="774">
        <f>SUM(O112,N112,M112,L112)</f>
      </c>
      <c r="P113" s="78">
        <f>P112</f>
      </c>
      <c r="Q113" s="774">
        <f>SUM(Q112,O112,N112,M112)</f>
      </c>
      <c r="R113" s="774">
        <f>SUM(R112,Q112,O112,N112)</f>
      </c>
      <c r="S113" s="774">
        <f>SUM(S112,R112,Q112,O112)</f>
      </c>
      <c r="T113" s="774">
        <f>SUM(T112,S112,R112,Q112)</f>
      </c>
      <c r="U113" s="78">
        <f>U112</f>
      </c>
      <c r="V113" s="774">
        <f>SUM(V112,T112,S112,R112)</f>
      </c>
      <c r="W113" s="774">
        <f>SUM(W112,V112,T112,S112)</f>
      </c>
      <c r="X113" s="774">
        <f>SUM(X112,W112,V112,T112)</f>
      </c>
      <c r="Y113" s="774">
        <f>SUM(Y112,X112,W112,V112)</f>
      </c>
      <c r="Z113" s="78">
        <f>Z112</f>
      </c>
      <c r="AA113" s="774">
        <f>SUM(AA112,Y112,X112,W112)</f>
      </c>
      <c r="AB113" s="774">
        <f>SUM(AB112,AA112,Y112,X112)</f>
      </c>
      <c r="AC113" s="774">
        <f>SUM(AC112,AB112,AA112,Y112)</f>
      </c>
      <c r="AD113" s="774">
        <f>SUM(AD112,AC112,AB112,AA112)</f>
      </c>
      <c r="AE113" s="78">
        <f>AE112</f>
      </c>
      <c r="AF113" s="774">
        <f>SUM(AF112,AD112,AC112,AB112)</f>
      </c>
      <c r="AG113" s="774">
        <f>SUM(AG112,AF112,AD112,AC112)</f>
      </c>
      <c r="AH113" s="774">
        <f>SUM(AH112,AG112,AF112,AD112)</f>
      </c>
      <c r="AI113" s="774">
        <f>SUM(AI112,AH112,AG112,AF112)</f>
      </c>
      <c r="AJ113" s="78">
        <f>AJ112</f>
      </c>
      <c r="AK113" s="774">
        <f>SUM(AK112,AI112,AH112,AG112)</f>
      </c>
      <c r="AL113" s="774">
        <f>SUM(AL112,AK112,AI112,AH112)</f>
      </c>
      <c r="AM113" s="774">
        <f>SUM(AM112,AL112,AK112,AI112)</f>
      </c>
      <c r="AN113" s="774">
        <f>SUM(AN112,AM112,AL112,AK112)</f>
      </c>
      <c r="AO113" s="78">
        <f>AO112</f>
      </c>
      <c r="AP113" s="774">
        <f>SUM(AP112,AN112,AM112,AL112)</f>
      </c>
      <c r="AQ113" s="774">
        <f>SUM(AQ112,AP112,AN112,AM112)</f>
      </c>
      <c r="AR113" s="774">
        <f>SUM(AR112,AQ112,AP112,AN112)</f>
      </c>
      <c r="AS113" s="774">
        <f>SUM(AS112,AR112,AQ112,AP112)</f>
      </c>
      <c r="AT113" s="78">
        <f>AT112</f>
      </c>
      <c r="AU113" s="774">
        <f>SUM(AU112,AS112,AR112,AQ112)</f>
      </c>
      <c r="AV113" s="774">
        <f>SUM(AV112,AU112,AS112,AR112)</f>
      </c>
      <c r="AW113" s="774">
        <f>SUM(AW112,AV112,AU112,AS112)</f>
      </c>
      <c r="AX113" s="774">
        <f>SUM(AX112,AW112,AV112,AU112)</f>
      </c>
      <c r="AY113" s="78">
        <f>AY112</f>
      </c>
      <c r="AZ113" s="774">
        <f>SUM(AZ112,AX112,AW112,AV112)</f>
      </c>
      <c r="BA113" s="774">
        <f>SUM(BA112,AZ112,AX112,AW112)</f>
      </c>
      <c r="BB113" s="774">
        <f>SUM(BB112,BA112,AZ112,AX112)</f>
      </c>
      <c r="BC113" s="774">
        <f>SUM(BC112,BB112,BA112,AZ112)</f>
      </c>
      <c r="BD113" s="78">
        <f>BD112</f>
      </c>
      <c r="BE113" s="774">
        <f>SUM(BE112,BC112,BB112,BA112)</f>
      </c>
      <c r="BF113" s="774">
        <f>SUM(BF112,BE112,BC112,BB112)</f>
      </c>
      <c r="BG113" s="774">
        <f>SUM(BG112,BF112,BE112,BC112)</f>
      </c>
      <c r="BH113" s="774">
        <f>SUM(BH112,BG112,BF112,BE112)</f>
      </c>
      <c r="BI113" s="78">
        <f>BI112</f>
      </c>
      <c r="BJ113" s="774">
        <f>SUM(BJ112,BH112,BG112,BF112)</f>
      </c>
      <c r="BK113" s="774">
        <f>SUM(BK112,BJ112,BH112,BG112)</f>
      </c>
      <c r="BL113" s="774">
        <f>SUM(BL112,BK112,BJ112,BH112)</f>
      </c>
      <c r="BM113" s="774">
        <f>SUM(BM112,BL112,BK112,BJ112)</f>
      </c>
      <c r="BN113" s="78">
        <f>BN112</f>
      </c>
      <c r="BO113" s="774">
        <f>SUM(BO112,BM112,BL112,BK112)</f>
      </c>
      <c r="BP113" s="774">
        <f>SUM(BP112,BO112,BM112,BL112)</f>
      </c>
      <c r="BQ113" s="774">
        <f>SUM(BQ112,BP112,BO112,BM112)</f>
      </c>
      <c r="BR113" s="774">
        <f>SUM(BR112,BQ112,BP112,BO112)</f>
      </c>
      <c r="BS113" s="78">
        <f>BS112</f>
      </c>
      <c r="BT113" s="775">
        <f>SUM(BT112,BR112,BQ112,BP112)</f>
      </c>
      <c r="BU113" s="774">
        <f>SUM(BU112,BT112,BR112,BQ112)</f>
      </c>
      <c r="BV113" s="774">
        <f>SUM(BV112,BU112,BT112,BR112)</f>
      </c>
      <c r="BW113" s="774">
        <f>SUM(BW112,BV112,BU112,BT112)</f>
      </c>
      <c r="BX113" s="78">
        <f>BX112</f>
      </c>
      <c r="BY113" s="774">
        <f>SUM(BY112,BW112,BV112,BU112)</f>
      </c>
      <c r="BZ113" s="774">
        <f>SUM(BZ112,BY112,BW112,BV112)</f>
      </c>
      <c r="CA113" s="774">
        <f>SUM(CA112,BZ112,BY112,BW112)</f>
      </c>
      <c r="CB113" s="774">
        <f>SUM(CB112,CA112,BZ112,BY112)</f>
      </c>
      <c r="CC113" s="78">
        <f>CC112</f>
      </c>
      <c r="CD113" s="78">
        <f>CD112</f>
      </c>
      <c r="CE113" s="78">
        <f>CE112</f>
      </c>
      <c r="CF113" s="78">
        <f>CF112</f>
      </c>
      <c r="CG113" s="96"/>
    </row>
    <row r="114" spans="1:85" customFormat="1" hidden="1" outlineLevel="1" x14ac:dyDescent="0.3">
      <c r="A114" s="107" t="s">
        <v>199</v>
      </c>
      <c r="B114" s="108"/>
      <c r="C114" s="78">
        <f t="shared" ref="C114:AH114" si="408">INDEX(MO_BS_CL,0,COLUMN())</f>
      </c>
      <c r="D114" s="78">
        <f t="shared" si="408"/>
      </c>
      <c r="E114" s="78">
        <f t="shared" si="408"/>
      </c>
      <c r="F114" s="78">
        <f t="shared" si="408"/>
      </c>
      <c r="G114" s="774">
        <f t="shared" si="408"/>
      </c>
      <c r="H114" s="774">
        <f t="shared" si="408"/>
      </c>
      <c r="I114" s="774">
        <f t="shared" si="408"/>
      </c>
      <c r="J114" s="774">
        <f t="shared" si="408"/>
      </c>
      <c r="K114" s="78">
        <f t="shared" si="408"/>
      </c>
      <c r="L114" s="774">
        <f t="shared" si="408"/>
      </c>
      <c r="M114" s="774">
        <f t="shared" si="408"/>
      </c>
      <c r="N114" s="774">
        <f t="shared" si="408"/>
      </c>
      <c r="O114" s="774">
        <f t="shared" si="408"/>
      </c>
      <c r="P114" s="78">
        <f t="shared" si="408"/>
      </c>
      <c r="Q114" s="774">
        <f t="shared" si="408"/>
      </c>
      <c r="R114" s="774">
        <f t="shared" si="408"/>
      </c>
      <c r="S114" s="774">
        <f t="shared" si="408"/>
      </c>
      <c r="T114" s="774">
        <f t="shared" si="408"/>
      </c>
      <c r="U114" s="78">
        <f t="shared" si="408"/>
      </c>
      <c r="V114" s="774">
        <f t="shared" si="408"/>
      </c>
      <c r="W114" s="774">
        <f t="shared" si="408"/>
      </c>
      <c r="X114" s="774">
        <f t="shared" si="408"/>
      </c>
      <c r="Y114" s="774">
        <f t="shared" si="408"/>
      </c>
      <c r="Z114" s="78">
        <f t="shared" si="408"/>
      </c>
      <c r="AA114" s="774">
        <f t="shared" si="408"/>
      </c>
      <c r="AB114" s="774">
        <f t="shared" si="408"/>
      </c>
      <c r="AC114" s="774">
        <f t="shared" si="408"/>
      </c>
      <c r="AD114" s="774">
        <f t="shared" si="408"/>
      </c>
      <c r="AE114" s="78">
        <f t="shared" si="408"/>
      </c>
      <c r="AF114" s="774">
        <f t="shared" si="408"/>
      </c>
      <c r="AG114" s="774">
        <f t="shared" si="408"/>
      </c>
      <c r="AH114" s="774">
        <f t="shared" si="408"/>
      </c>
      <c r="AI114" s="774">
        <f t="shared" ref="AI114:BD114" si="409">INDEX(MO_BS_CL,0,COLUMN())</f>
      </c>
      <c r="AJ114" s="78">
        <f t="shared" si="409"/>
      </c>
      <c r="AK114" s="774">
        <f t="shared" si="409"/>
      </c>
      <c r="AL114" s="774">
        <f t="shared" si="409"/>
      </c>
      <c r="AM114" s="774">
        <f t="shared" si="409"/>
      </c>
      <c r="AN114" s="774">
        <f t="shared" si="409"/>
      </c>
      <c r="AO114" s="78">
        <f t="shared" si="409"/>
      </c>
      <c r="AP114" s="774">
        <f t="shared" si="409"/>
      </c>
      <c r="AQ114" s="774">
        <f t="shared" si="409"/>
      </c>
      <c r="AR114" s="774">
        <f t="shared" si="409"/>
      </c>
      <c r="AS114" s="774">
        <f t="shared" si="409"/>
      </c>
      <c r="AT114" s="78">
        <f t="shared" si="409"/>
      </c>
      <c r="AU114" s="774">
        <f t="shared" si="409"/>
      </c>
      <c r="AV114" s="774">
        <f t="shared" si="409"/>
      </c>
      <c r="AW114" s="774">
        <f t="shared" si="409"/>
      </c>
      <c r="AX114" s="774">
        <f t="shared" si="409"/>
      </c>
      <c r="AY114" s="78">
        <f t="shared" si="409"/>
      </c>
      <c r="AZ114" s="774">
        <f t="shared" si="409"/>
      </c>
      <c r="BA114" s="774">
        <f t="shared" si="409"/>
      </c>
      <c r="BB114" s="774">
        <f t="shared" si="409"/>
      </c>
      <c r="BC114" s="774">
        <f t="shared" si="409"/>
      </c>
      <c r="BD114" s="78">
        <f t="shared" si="409"/>
      </c>
      <c r="BE114" s="774">
        <f t="shared" ref="BE114:BJ114" si="410">INDEX(MO_BS_CL,0,COLUMN())</f>
      </c>
      <c r="BF114" s="774">
        <f t="shared" si="410"/>
      </c>
      <c r="BG114" s="774">
        <f t="shared" si="410"/>
      </c>
      <c r="BH114" s="774">
        <f t="shared" si="410"/>
      </c>
      <c r="BI114" s="78">
        <f t="shared" si="410"/>
      </c>
      <c r="BJ114" s="774">
        <f t="shared" si="410"/>
      </c>
      <c r="BK114" s="774">
        <f t="shared" ref="BK114:BP114" si="411">INDEX(MO_BS_CL,0,COLUMN())</f>
      </c>
      <c r="BL114" s="774">
        <f t="shared" si="411"/>
      </c>
      <c r="BM114" s="774">
        <f t="shared" si="411"/>
      </c>
      <c r="BN114" s="78">
        <f t="shared" si="411"/>
      </c>
      <c r="BO114" s="774">
        <f t="shared" si="411"/>
      </c>
      <c r="BP114" s="774">
        <f t="shared" si="411"/>
      </c>
      <c r="BQ114" s="774">
        <f>INDEX(MO_BS_CL,0,COLUMN())</f>
      </c>
      <c r="BR114" s="774">
        <f>INDEX(MO_BS_CL,0,COLUMN())</f>
      </c>
      <c r="BS114" s="78">
        <f>INDEX(MO_BS_CL,0,COLUMN())</f>
      </c>
      <c r="BT114" s="775">
        <f>INDEX(MO_BS_CL,0,COLUMN())</f>
      </c>
      <c r="BU114" s="774">
        <f t="shared" ref="BU114:BX114" si="412">INDEX(MO_BS_CL,0,COLUMN())</f>
      </c>
      <c r="BV114" s="774">
        <f t="shared" si="412"/>
      </c>
      <c r="BW114" s="774">
        <f t="shared" si="412"/>
      </c>
      <c r="BX114" s="78">
        <f t="shared" si="412"/>
      </c>
      <c r="BY114" s="774">
        <f t="shared" ref="BY114:CF114" si="413">INDEX(MO_BS_CL,0,COLUMN())</f>
      </c>
      <c r="BZ114" s="774">
        <f t="shared" si="413"/>
      </c>
      <c r="CA114" s="774">
        <f t="shared" si="413"/>
      </c>
      <c r="CB114" s="774">
        <f t="shared" si="413"/>
      </c>
      <c r="CC114" s="78">
        <f t="shared" si="413"/>
      </c>
      <c r="CD114" s="78">
        <f t="shared" si="413"/>
      </c>
      <c r="CE114" s="78">
        <f t="shared" si="413"/>
      </c>
      <c r="CF114" s="78">
        <f t="shared" si="413"/>
      </c>
      <c r="CG114" s="96"/>
    </row>
    <row r="115" spans="1:85" customFormat="1" hidden="1" outlineLevel="1" x14ac:dyDescent="0.3">
      <c r="A115" s="107" t="s">
        <v>347</v>
      </c>
      <c r="B115" s="108"/>
      <c r="C115" s="78">
        <f>C114</f>
      </c>
      <c r="D115" s="78">
        <f>AVERAGE(D114,C114)</f>
      </c>
      <c r="E115" s="78">
        <f>AVERAGE(E114,D114)</f>
      </c>
      <c r="F115" s="78">
        <f>AVERAGE(F114,E114)</f>
      </c>
      <c r="G115" s="774"/>
      <c r="H115" s="774"/>
      <c r="I115" s="774"/>
      <c r="J115" s="774">
        <f>AVERAGE(J114,I114,H114,G114)</f>
      </c>
      <c r="K115" s="78">
        <f>AVERAGE(K114,F114)</f>
      </c>
      <c r="L115" s="774">
        <f>AVERAGE(L114,J114,I114,H114)</f>
      </c>
      <c r="M115" s="774">
        <f>AVERAGE(M114,L114,J114,I114)</f>
      </c>
      <c r="N115" s="774">
        <f>AVERAGE(N114,M114,L114,J114)</f>
      </c>
      <c r="O115" s="774">
        <f>AVERAGE(O114,N114,M114,L114)</f>
      </c>
      <c r="P115" s="78">
        <f>AVERAGE(P114,K114)</f>
      </c>
      <c r="Q115" s="774">
        <f>AVERAGE(Q114,O114,N114,M114)</f>
      </c>
      <c r="R115" s="774">
        <f>AVERAGE(R114,Q114,O114,N114)</f>
      </c>
      <c r="S115" s="774">
        <f>AVERAGE(S114,R114,Q114,O114)</f>
      </c>
      <c r="T115" s="774">
        <f>AVERAGE(T114,S114,R114,Q114)</f>
      </c>
      <c r="U115" s="78">
        <f>AVERAGE(U114,P114)</f>
      </c>
      <c r="V115" s="774">
        <f>AVERAGE(V114,T114,S114,R114)</f>
      </c>
      <c r="W115" s="774">
        <f>AVERAGE(W114,V114,T114,S114)</f>
      </c>
      <c r="X115" s="774">
        <f>AVERAGE(X114,W114,V114,T114)</f>
      </c>
      <c r="Y115" s="774">
        <f>AVERAGE(Y114,X114,W114,V114)</f>
      </c>
      <c r="Z115" s="78">
        <f>AVERAGE(Z114,U114)</f>
      </c>
      <c r="AA115" s="774">
        <f>AVERAGE(AA114,Y114,X114,W114)</f>
      </c>
      <c r="AB115" s="774">
        <f>AVERAGE(AB114,AA114,Y114,X114)</f>
      </c>
      <c r="AC115" s="774">
        <f>AVERAGE(AC114,AB114,AA114,Y114)</f>
      </c>
      <c r="AD115" s="774">
        <f>AVERAGE(AD114,AC114,AB114,AA114)</f>
      </c>
      <c r="AE115" s="78">
        <f>AVERAGE(AE114,Z114)</f>
      </c>
      <c r="AF115" s="774">
        <f>AVERAGE(AF114,AD114,AC114,AB114)</f>
      </c>
      <c r="AG115" s="774">
        <f>AVERAGE(AG114,AF114,AD114,AC114)</f>
      </c>
      <c r="AH115" s="774">
        <f>AVERAGE(AH114,AG114,AF114,AD114)</f>
      </c>
      <c r="AI115" s="774">
        <f>AVERAGE(AI114,AH114,AG114,AF114)</f>
      </c>
      <c r="AJ115" s="78">
        <f>AVERAGE(AJ114,AE114)</f>
      </c>
      <c r="AK115" s="774">
        <f>AVERAGE(AK114,AI114,AH114,AG114)</f>
      </c>
      <c r="AL115" s="774">
        <f>AVERAGE(AL114,AK114,AI114,AH114)</f>
      </c>
      <c r="AM115" s="774">
        <f>AVERAGE(AM114,AL114,AK114,AI114)</f>
      </c>
      <c r="AN115" s="774">
        <f>AVERAGE(AN114,AM114,AL114,AK114)</f>
      </c>
      <c r="AO115" s="78">
        <f>AVERAGE(AO114,AJ114)</f>
      </c>
      <c r="AP115" s="774">
        <f>AVERAGE(AP114,AN114,AM114,AL114)</f>
      </c>
      <c r="AQ115" s="774">
        <f>AVERAGE(AQ114,AP114,AN114,AM114)</f>
      </c>
      <c r="AR115" s="774">
        <f>AVERAGE(AR114,AQ114,AP114,AN114)</f>
      </c>
      <c r="AS115" s="774">
        <f>AVERAGE(AS114,AR114,AQ114,AP114)</f>
      </c>
      <c r="AT115" s="78">
        <f>AVERAGE(AT114,AO114)</f>
      </c>
      <c r="AU115" s="774">
        <f>AVERAGE(AU114,AS114,AR114,AQ114)</f>
      </c>
      <c r="AV115" s="774">
        <f>AVERAGE(AV114,AU114,AS114,AR114)</f>
      </c>
      <c r="AW115" s="774">
        <f>AVERAGE(AW114,AV114,AU114,AS114)</f>
      </c>
      <c r="AX115" s="774">
        <f>AVERAGE(AX114,AW114,AV114,AU114)</f>
      </c>
      <c r="AY115" s="78">
        <f>AVERAGE(AY114,AT114)</f>
      </c>
      <c r="AZ115" s="774">
        <f>AVERAGE(AZ114,AX114,AW114,AV114)</f>
      </c>
      <c r="BA115" s="774">
        <f>AVERAGE(BA114,AZ114,AX114,AW114)</f>
      </c>
      <c r="BB115" s="774">
        <f>AVERAGE(BB114,BA114,AZ114,AX114)</f>
      </c>
      <c r="BC115" s="774">
        <f>AVERAGE(BC114,BB114,BA114,AZ114)</f>
      </c>
      <c r="BD115" s="78">
        <f>AVERAGE(BD114,AY114)</f>
      </c>
      <c r="BE115" s="774">
        <f>AVERAGE(BE114,BC114,BB114,BA114)</f>
      </c>
      <c r="BF115" s="774">
        <f>AVERAGE(BF114,BE114,BC114,BB114)</f>
      </c>
      <c r="BG115" s="774">
        <f>AVERAGE(BG114,BF114,BE114,BC114)</f>
      </c>
      <c r="BH115" s="774">
        <f>AVERAGE(BH114,BG114,BF114,BE114)</f>
      </c>
      <c r="BI115" s="78">
        <f>AVERAGE(BI114,BD114)</f>
      </c>
      <c r="BJ115" s="774">
        <f>AVERAGE(BJ114,BH114,BG114,BF114)</f>
      </c>
      <c r="BK115" s="774">
        <f>AVERAGE(BK114,BJ114,BH114,BG114)</f>
      </c>
      <c r="BL115" s="774">
        <f>AVERAGE(BL114,BK114,BJ114,BH114)</f>
      </c>
      <c r="BM115" s="774">
        <f>AVERAGE(BM114,BL114,BK114,BJ114)</f>
      </c>
      <c r="BN115" s="78">
        <f>AVERAGE(BN114,BI114)</f>
      </c>
      <c r="BO115" s="774">
        <f>AVERAGE(BO114,BM114,BL114,BK114)</f>
      </c>
      <c r="BP115" s="774">
        <f>AVERAGE(BP114,BO114,BM114,BL114)</f>
      </c>
      <c r="BQ115" s="774">
        <f>AVERAGE(BQ114,BP114,BO114,BM114)</f>
      </c>
      <c r="BR115" s="774">
        <f>AVERAGE(BR114,BQ114,BP114,BO114)</f>
      </c>
      <c r="BS115" s="78">
        <f>AVERAGE(BS114,BN114)</f>
      </c>
      <c r="BT115" s="775">
        <f>AVERAGE(BT114,BR114,BQ114,BP114)</f>
      </c>
      <c r="BU115" s="774">
        <f>AVERAGE(BU114,BT114,BR114,BQ114)</f>
      </c>
      <c r="BV115" s="774">
        <f>AVERAGE(BV114,BU114,BT114,BR114)</f>
      </c>
      <c r="BW115" s="774">
        <f>AVERAGE(BW114,BV114,BU114,BT114)</f>
      </c>
      <c r="BX115" s="78">
        <f>AVERAGE(BX114,BS114)</f>
      </c>
      <c r="BY115" s="774">
        <f>AVERAGE(BY114,BW114,BV114,BU114)</f>
      </c>
      <c r="BZ115" s="774">
        <f>AVERAGE(BZ114,BY114,BW114,BV114)</f>
      </c>
      <c r="CA115" s="774">
        <f>AVERAGE(CA114,BZ114,BY114,BW114)</f>
      </c>
      <c r="CB115" s="774">
        <f>AVERAGE(CB114,CA114,BZ114,BY114)</f>
      </c>
      <c r="CC115" s="78">
        <f>AVERAGE(CC114,BX114)</f>
      </c>
      <c r="CD115" s="78">
        <f>AVERAGE(CD114,CC114)</f>
      </c>
      <c r="CE115" s="78">
        <f>AVERAGE(CE114,CD114)</f>
      </c>
      <c r="CF115" s="78">
        <f>AVERAGE(CF114,CE114)</f>
      </c>
      <c r="CG115" s="96"/>
    </row>
    <row r="116" spans="1:85" customFormat="1" hidden="1" outlineLevel="1" x14ac:dyDescent="0.3">
      <c r="A116" s="107" t="s">
        <v>348</v>
      </c>
      <c r="B116" s="108"/>
      <c r="C116" s="78">
        <f t="shared" ref="C116:AH116" si="414">INDEX(SP_BSR_TA_Avg,0,COLUMN())-INDEX(SP_BSR_CL_Avg,0,COLUMN())</f>
      </c>
      <c r="D116" s="78">
        <f t="shared" si="414"/>
      </c>
      <c r="E116" s="78">
        <f t="shared" si="414"/>
      </c>
      <c r="F116" s="78">
        <f t="shared" si="414"/>
      </c>
      <c r="G116" s="774">
        <f t="shared" si="414"/>
      </c>
      <c r="H116" s="774">
        <f t="shared" si="414"/>
      </c>
      <c r="I116" s="774">
        <f t="shared" si="414"/>
      </c>
      <c r="J116" s="774">
        <f t="shared" si="414"/>
      </c>
      <c r="K116" s="78">
        <f t="shared" si="414"/>
      </c>
      <c r="L116" s="774">
        <f t="shared" si="414"/>
      </c>
      <c r="M116" s="774">
        <f t="shared" si="414"/>
      </c>
      <c r="N116" s="774">
        <f t="shared" si="414"/>
      </c>
      <c r="O116" s="774">
        <f t="shared" si="414"/>
      </c>
      <c r="P116" s="78">
        <f t="shared" si="414"/>
      </c>
      <c r="Q116" s="774">
        <f t="shared" si="414"/>
      </c>
      <c r="R116" s="774">
        <f t="shared" si="414"/>
      </c>
      <c r="S116" s="774">
        <f t="shared" si="414"/>
      </c>
      <c r="T116" s="774">
        <f t="shared" si="414"/>
      </c>
      <c r="U116" s="78">
        <f t="shared" si="414"/>
      </c>
      <c r="V116" s="774">
        <f t="shared" si="414"/>
      </c>
      <c r="W116" s="774">
        <f t="shared" si="414"/>
      </c>
      <c r="X116" s="774">
        <f t="shared" si="414"/>
      </c>
      <c r="Y116" s="774">
        <f t="shared" si="414"/>
      </c>
      <c r="Z116" s="78">
        <f t="shared" si="414"/>
      </c>
      <c r="AA116" s="774">
        <f t="shared" si="414"/>
      </c>
      <c r="AB116" s="774">
        <f t="shared" si="414"/>
      </c>
      <c r="AC116" s="774">
        <f t="shared" si="414"/>
      </c>
      <c r="AD116" s="774">
        <f t="shared" si="414"/>
      </c>
      <c r="AE116" s="78">
        <f t="shared" si="414"/>
      </c>
      <c r="AF116" s="774">
        <f t="shared" si="414"/>
      </c>
      <c r="AG116" s="774">
        <f t="shared" si="414"/>
      </c>
      <c r="AH116" s="774">
        <f t="shared" si="414"/>
      </c>
      <c r="AI116" s="774">
        <f t="shared" ref="AI116:BD116" si="415">INDEX(SP_BSR_TA_Avg,0,COLUMN())-INDEX(SP_BSR_CL_Avg,0,COLUMN())</f>
      </c>
      <c r="AJ116" s="78">
        <f t="shared" si="415"/>
      </c>
      <c r="AK116" s="774">
        <f t="shared" si="415"/>
      </c>
      <c r="AL116" s="774">
        <f t="shared" si="415"/>
      </c>
      <c r="AM116" s="774">
        <f t="shared" si="415"/>
      </c>
      <c r="AN116" s="774">
        <f t="shared" si="415"/>
      </c>
      <c r="AO116" s="78">
        <f t="shared" si="415"/>
      </c>
      <c r="AP116" s="774">
        <f t="shared" si="415"/>
      </c>
      <c r="AQ116" s="774">
        <f t="shared" si="415"/>
      </c>
      <c r="AR116" s="774">
        <f t="shared" si="415"/>
      </c>
      <c r="AS116" s="774">
        <f t="shared" si="415"/>
      </c>
      <c r="AT116" s="78">
        <f t="shared" si="415"/>
      </c>
      <c r="AU116" s="774">
        <f t="shared" si="415"/>
      </c>
      <c r="AV116" s="774">
        <f t="shared" si="415"/>
      </c>
      <c r="AW116" s="774">
        <f t="shared" si="415"/>
      </c>
      <c r="AX116" s="774">
        <f t="shared" si="415"/>
      </c>
      <c r="AY116" s="78">
        <f t="shared" si="415"/>
      </c>
      <c r="AZ116" s="774">
        <f t="shared" si="415"/>
      </c>
      <c r="BA116" s="774">
        <f t="shared" si="415"/>
      </c>
      <c r="BB116" s="774">
        <f t="shared" si="415"/>
      </c>
      <c r="BC116" s="774">
        <f t="shared" si="415"/>
      </c>
      <c r="BD116" s="78">
        <f t="shared" si="415"/>
      </c>
      <c r="BE116" s="774">
        <f t="shared" ref="BE116:BJ116" si="416">INDEX(SP_BSR_TA_Avg,0,COLUMN())-INDEX(SP_BSR_CL_Avg,0,COLUMN())</f>
      </c>
      <c r="BF116" s="774">
        <f t="shared" si="416"/>
      </c>
      <c r="BG116" s="774">
        <f t="shared" si="416"/>
      </c>
      <c r="BH116" s="774">
        <f t="shared" si="416"/>
      </c>
      <c r="BI116" s="78">
        <f t="shared" si="416"/>
      </c>
      <c r="BJ116" s="774">
        <f t="shared" si="416"/>
      </c>
      <c r="BK116" s="774">
        <f t="shared" ref="BK116:BP116" si="417">INDEX(SP_BSR_TA_Avg,0,COLUMN())-INDEX(SP_BSR_CL_Avg,0,COLUMN())</f>
      </c>
      <c r="BL116" s="774">
        <f t="shared" si="417"/>
      </c>
      <c r="BM116" s="774">
        <f t="shared" si="417"/>
      </c>
      <c r="BN116" s="78">
        <f t="shared" si="417"/>
      </c>
      <c r="BO116" s="774">
        <f t="shared" si="417"/>
      </c>
      <c r="BP116" s="774">
        <f t="shared" si="417"/>
      </c>
      <c r="BQ116" s="774">
        <f>INDEX(SP_BSR_TA_Avg,0,COLUMN())-INDEX(SP_BSR_CL_Avg,0,COLUMN())</f>
      </c>
      <c r="BR116" s="774">
        <f>INDEX(SP_BSR_TA_Avg,0,COLUMN())-INDEX(SP_BSR_CL_Avg,0,COLUMN())</f>
      </c>
      <c r="BS116" s="78">
        <f>INDEX(SP_BSR_TA_Avg,0,COLUMN())-INDEX(SP_BSR_CL_Avg,0,COLUMN())</f>
      </c>
      <c r="BT116" s="775">
        <f>INDEX(SP_BSR_TA_Avg,0,COLUMN())-INDEX(SP_BSR_CL_Avg,0,COLUMN())</f>
      </c>
      <c r="BU116" s="774">
        <f t="shared" ref="BU116:BX116" si="418">INDEX(SP_BSR_TA_Avg,0,COLUMN())-INDEX(SP_BSR_CL_Avg,0,COLUMN())</f>
      </c>
      <c r="BV116" s="774">
        <f t="shared" si="418"/>
      </c>
      <c r="BW116" s="774">
        <f t="shared" si="418"/>
      </c>
      <c r="BX116" s="78">
        <f t="shared" si="418"/>
      </c>
      <c r="BY116" s="774">
        <f t="shared" ref="BY116:CF116" si="419">INDEX(SP_BSR_TA_Avg,0,COLUMN())-INDEX(SP_BSR_CL_Avg,0,COLUMN())</f>
      </c>
      <c r="BZ116" s="774">
        <f t="shared" si="419"/>
      </c>
      <c r="CA116" s="774">
        <f t="shared" si="419"/>
      </c>
      <c r="CB116" s="774">
        <f t="shared" si="419"/>
      </c>
      <c r="CC116" s="78">
        <f t="shared" si="419"/>
      </c>
      <c r="CD116" s="78">
        <f t="shared" si="419"/>
      </c>
      <c r="CE116" s="78">
        <f t="shared" si="419"/>
      </c>
      <c r="CF116" s="78">
        <f t="shared" si="419"/>
      </c>
      <c r="CG116" s="96"/>
    </row>
    <row r="117" spans="1:85" customFormat="1" collapsed="1" x14ac:dyDescent="0.3">
      <c r="A117" s="117" t="s">
        <v>349</v>
      </c>
      <c r="B117" s="55"/>
      <c r="C117" s="1105">
        <f>IF(C116&lt;0,"NMF",IF(ABS(C113/C116)&gt;1,"NMF",C113/C116))</f>
      </c>
      <c r="D117" s="1105">
        <f>IF(D116&lt;0,"NMF",IF(ABS(D113/D116)&gt;1,"NMF",D113/D116))</f>
      </c>
      <c r="E117" s="1105">
        <f>IF(E116&lt;0,"NMF",IF(ABS(E113/E116)&gt;1,"NMF",E113/E116))</f>
      </c>
      <c r="F117" s="1105">
        <f>IF(F116&lt;0,"NMF",IF(ABS(F113/F116)&gt;1,"NMF",F113/F116))</f>
      </c>
      <c r="G117" s="38"/>
      <c r="H117" s="38"/>
      <c r="I117" s="38"/>
      <c r="J117" s="38">
        <f t="shared" ref="J117:AO117" si="420">IF(J116&lt;0,"NMF",IF(ABS(J113/J116)&gt;1,"NMF",J113/J116))</f>
      </c>
      <c r="K117" s="1105">
        <f t="shared" si="420"/>
      </c>
      <c r="L117" s="38">
        <f t="shared" si="420"/>
      </c>
      <c r="M117" s="38">
        <f t="shared" si="420"/>
      </c>
      <c r="N117" s="38">
        <f t="shared" si="420"/>
      </c>
      <c r="O117" s="38">
        <f t="shared" si="420"/>
      </c>
      <c r="P117" s="1105">
        <f t="shared" si="420"/>
      </c>
      <c r="Q117" s="38">
        <f t="shared" si="420"/>
      </c>
      <c r="R117" s="38">
        <f t="shared" si="420"/>
      </c>
      <c r="S117" s="38">
        <f t="shared" si="420"/>
      </c>
      <c r="T117" s="38">
        <f t="shared" si="420"/>
      </c>
      <c r="U117" s="1105">
        <f t="shared" si="420"/>
      </c>
      <c r="V117" s="38">
        <f t="shared" si="420"/>
      </c>
      <c r="W117" s="38">
        <f t="shared" si="420"/>
      </c>
      <c r="X117" s="38">
        <f t="shared" si="420"/>
      </c>
      <c r="Y117" s="38">
        <f t="shared" si="420"/>
      </c>
      <c r="Z117" s="1105">
        <f t="shared" si="420"/>
      </c>
      <c r="AA117" s="38">
        <f t="shared" si="420"/>
      </c>
      <c r="AB117" s="38">
        <f t="shared" si="420"/>
      </c>
      <c r="AC117" s="38">
        <f t="shared" si="420"/>
      </c>
      <c r="AD117" s="38">
        <f t="shared" si="420"/>
      </c>
      <c r="AE117" s="1105">
        <f t="shared" si="420"/>
      </c>
      <c r="AF117" s="38">
        <f t="shared" si="420"/>
      </c>
      <c r="AG117" s="38">
        <f t="shared" si="420"/>
      </c>
      <c r="AH117" s="38">
        <f t="shared" si="420"/>
      </c>
      <c r="AI117" s="38">
        <f t="shared" si="420"/>
      </c>
      <c r="AJ117" s="1105">
        <f t="shared" si="420"/>
      </c>
      <c r="AK117" s="38">
        <f t="shared" si="420"/>
      </c>
      <c r="AL117" s="38">
        <f t="shared" si="420"/>
      </c>
      <c r="AM117" s="38">
        <f t="shared" si="420"/>
      </c>
      <c r="AN117" s="38">
        <f t="shared" si="420"/>
      </c>
      <c r="AO117" s="1105">
        <f t="shared" si="420"/>
      </c>
      <c r="AP117" s="38">
        <f t="shared" ref="AP117:BD117" si="421">IF(AP116&lt;0,"NMF",IF(ABS(AP113/AP116)&gt;1,"NMF",AP113/AP116))</f>
      </c>
      <c r="AQ117" s="38">
        <f t="shared" si="421"/>
      </c>
      <c r="AR117" s="38">
        <f t="shared" si="421"/>
      </c>
      <c r="AS117" s="38">
        <f t="shared" si="421"/>
      </c>
      <c r="AT117" s="1105">
        <f t="shared" si="421"/>
      </c>
      <c r="AU117" s="38">
        <f t="shared" si="421"/>
      </c>
      <c r="AV117" s="38">
        <f t="shared" si="421"/>
      </c>
      <c r="AW117" s="38">
        <f t="shared" si="421"/>
      </c>
      <c r="AX117" s="38">
        <f t="shared" si="421"/>
      </c>
      <c r="AY117" s="1105">
        <f t="shared" si="421"/>
      </c>
      <c r="AZ117" s="38">
        <f t="shared" si="421"/>
      </c>
      <c r="BA117" s="38">
        <f t="shared" si="421"/>
      </c>
      <c r="BB117" s="38">
        <f t="shared" si="421"/>
      </c>
      <c r="BC117" s="38">
        <f t="shared" si="421"/>
      </c>
      <c r="BD117" s="1105">
        <f t="shared" si="421"/>
      </c>
      <c r="BE117" s="38">
        <f t="shared" ref="BE117:BJ117" si="422">IF(BE116&lt;0,"NMF",IF(ABS(BE113/BE116)&gt;1,"NMF",BE113/BE116))</f>
      </c>
      <c r="BF117" s="38">
        <f t="shared" si="422"/>
      </c>
      <c r="BG117" s="38">
        <f t="shared" si="422"/>
      </c>
      <c r="BH117" s="38">
        <f t="shared" si="422"/>
      </c>
      <c r="BI117" s="1105">
        <f t="shared" si="422"/>
      </c>
      <c r="BJ117" s="38">
        <f t="shared" si="422"/>
      </c>
      <c r="BK117" s="38">
        <f t="shared" ref="BK117:BP117" si="423">IF(BK116&lt;0,"NMF",IF(ABS(BK113/BK116)&gt;1,"NMF",BK113/BK116))</f>
      </c>
      <c r="BL117" s="38">
        <f t="shared" si="423"/>
      </c>
      <c r="BM117" s="38">
        <f t="shared" si="423"/>
      </c>
      <c r="BN117" s="1105">
        <f t="shared" si="423"/>
      </c>
      <c r="BO117" s="38">
        <f t="shared" si="423"/>
      </c>
      <c r="BP117" s="38">
        <f t="shared" si="423"/>
      </c>
      <c r="BQ117" s="38">
        <f>IF(BQ116&lt;0,"NMF",IF(ABS(BQ113/BQ116)&gt;1,"NMF",BQ113/BQ116))</f>
      </c>
      <c r="BR117" s="38">
        <f>IF(BR116&lt;0,"NMF",IF(ABS(BR113/BR116)&gt;1,"NMF",BR113/BR116))</f>
      </c>
      <c r="BS117" s="1105">
        <f>IF(BS116&lt;0,"NMF",IF(ABS(BS113/BS116)&gt;1,"NMF",BS113/BS116))</f>
      </c>
      <c r="BT117" s="744">
        <f>IF(BT116&lt;0,"NMF",IF(ABS(BT113/BT116)&gt;1,"NMF",BT113/BT116))</f>
      </c>
      <c r="BU117" s="38">
        <f t="shared" ref="BU117:BX117" si="424">IF(BU116&lt;0,"NMF",IF(ABS(BU113/BU116)&gt;1,"NMF",BU113/BU116))</f>
      </c>
      <c r="BV117" s="38">
        <f t="shared" si="424"/>
      </c>
      <c r="BW117" s="38">
        <f t="shared" si="424"/>
      </c>
      <c r="BX117" s="1105">
        <f t="shared" si="424"/>
      </c>
      <c r="BY117" s="38">
        <f t="shared" ref="BY117:CF117" si="425">IF(BY116&lt;0,"NMF",IF(ABS(BY113/BY116)&gt;1,"NMF",BY113/BY116))</f>
      </c>
      <c r="BZ117" s="38">
        <f t="shared" si="425"/>
      </c>
      <c r="CA117" s="38">
        <f t="shared" si="425"/>
      </c>
      <c r="CB117" s="38">
        <f t="shared" si="425"/>
      </c>
      <c r="CC117" s="1105">
        <f t="shared" si="425"/>
      </c>
      <c r="CD117" s="1105">
        <f t="shared" si="425"/>
      </c>
      <c r="CE117" s="1105">
        <f t="shared" si="425"/>
      </c>
      <c r="CF117" s="1105">
        <f t="shared" si="425"/>
      </c>
      <c r="CG117" s="185"/>
    </row>
    <row r="118" spans="1:85" customFormat="1" x14ac:dyDescent="0.3">
      <c r="A118" s="106"/>
      <c r="B118" s="111"/>
      <c r="C118" s="1097"/>
      <c r="D118" s="1097"/>
      <c r="E118" s="1097"/>
      <c r="F118" s="1097"/>
      <c r="G118" s="772"/>
      <c r="H118" s="772"/>
      <c r="I118" s="772"/>
      <c r="J118" s="772"/>
      <c r="K118" s="1097"/>
      <c r="L118" s="772"/>
      <c r="M118" s="772"/>
      <c r="N118" s="772"/>
      <c r="O118" s="772"/>
      <c r="P118" s="1097"/>
      <c r="Q118" s="772"/>
      <c r="R118" s="772"/>
      <c r="S118" s="772"/>
      <c r="T118" s="772"/>
      <c r="U118" s="1097"/>
      <c r="V118" s="772"/>
      <c r="W118" s="772"/>
      <c r="X118" s="772"/>
      <c r="Y118" s="772"/>
      <c r="Z118" s="1097"/>
      <c r="AA118" s="772"/>
      <c r="AB118" s="772"/>
      <c r="AC118" s="772"/>
      <c r="AD118" s="772"/>
      <c r="AE118" s="1097"/>
      <c r="AF118" s="772"/>
      <c r="AG118" s="772"/>
      <c r="AH118" s="772"/>
      <c r="AI118" s="772"/>
      <c r="AJ118" s="1097"/>
      <c r="AK118" s="772"/>
      <c r="AL118" s="772"/>
      <c r="AM118" s="772"/>
      <c r="AN118" s="772"/>
      <c r="AO118" s="1097"/>
      <c r="AP118" s="772"/>
      <c r="AQ118" s="772"/>
      <c r="AR118" s="772"/>
      <c r="AS118" s="772"/>
      <c r="AT118" s="1097"/>
      <c r="AU118" s="772"/>
      <c r="AV118" s="772"/>
      <c r="AW118" s="772"/>
      <c r="AX118" s="772"/>
      <c r="AY118" s="1097"/>
      <c r="AZ118" s="772"/>
      <c r="BA118" s="772"/>
      <c r="BB118" s="772"/>
      <c r="BC118" s="772"/>
      <c r="BD118" s="1097"/>
      <c r="BE118" s="772"/>
      <c r="BF118" s="772"/>
      <c r="BG118" s="772"/>
      <c r="BH118" s="772"/>
      <c r="BI118" s="1097"/>
      <c r="BJ118" s="772"/>
      <c r="BK118" s="772"/>
      <c r="BL118" s="772"/>
      <c r="BM118" s="772"/>
      <c r="BN118" s="1097"/>
      <c r="BO118" s="772"/>
      <c r="BP118" s="772"/>
      <c r="BQ118" s="772"/>
      <c r="BR118" s="772"/>
      <c r="BS118" s="1097"/>
      <c r="BT118" s="838"/>
      <c r="BU118" s="772"/>
      <c r="BV118" s="772"/>
      <c r="BW118" s="772"/>
      <c r="BX118" s="1097"/>
      <c r="BY118" s="772"/>
      <c r="BZ118" s="772"/>
      <c r="CA118" s="772"/>
      <c r="CB118" s="772"/>
      <c r="CC118" s="1097"/>
      <c r="CD118" s="1097"/>
      <c r="CE118" s="1097"/>
      <c r="CF118" s="1097"/>
      <c r="CG118" s="96"/>
    </row>
    <row r="119" spans="1:85" customFormat="1" x14ac:dyDescent="0.3">
      <c r="A119" s="50" t="s">
        <v>350</v>
      </c>
      <c r="B119" s="773"/>
      <c r="C119" s="773"/>
      <c r="D119" s="773"/>
      <c r="E119" s="773"/>
      <c r="F119" s="773"/>
      <c r="G119" s="773"/>
      <c r="H119" s="773"/>
      <c r="I119" s="773"/>
      <c r="J119" s="773"/>
      <c r="K119" s="773"/>
      <c r="L119" s="773"/>
      <c r="M119" s="773"/>
      <c r="N119" s="773"/>
      <c r="O119" s="773"/>
      <c r="P119" s="773"/>
      <c r="Q119" s="773"/>
      <c r="R119" s="773"/>
      <c r="S119" s="773"/>
      <c r="T119" s="773"/>
      <c r="U119" s="773"/>
      <c r="V119" s="773"/>
      <c r="W119" s="773"/>
      <c r="X119" s="773"/>
      <c r="Y119" s="773"/>
      <c r="Z119" s="773"/>
      <c r="AA119" s="773"/>
      <c r="AB119" s="773"/>
      <c r="AC119" s="773"/>
      <c r="AD119" s="773"/>
      <c r="AE119" s="773"/>
      <c r="AF119" s="773"/>
      <c r="AG119" s="773"/>
      <c r="AH119" s="773"/>
      <c r="AI119" s="773"/>
      <c r="AJ119" s="773"/>
      <c r="AK119" s="773"/>
      <c r="AL119" s="773"/>
      <c r="AM119" s="773"/>
      <c r="AN119" s="773"/>
      <c r="AO119" s="773"/>
      <c r="AP119" s="773"/>
      <c r="AQ119" s="773"/>
      <c r="AR119" s="773"/>
      <c r="AS119" s="773"/>
      <c r="AT119" s="773"/>
      <c r="AU119" s="773"/>
      <c r="AV119" s="773"/>
      <c r="AW119" s="773"/>
      <c r="AX119" s="773"/>
      <c r="AY119" s="773"/>
      <c r="AZ119" s="773"/>
      <c r="BA119" s="773"/>
      <c r="BB119" s="773"/>
      <c r="BC119" s="773"/>
      <c r="BD119" s="773"/>
      <c r="BE119" s="773"/>
      <c r="BF119" s="773"/>
      <c r="BG119" s="773"/>
      <c r="BH119" s="773"/>
      <c r="BI119" s="773"/>
      <c r="BJ119" s="773"/>
      <c r="BK119" s="773"/>
      <c r="BL119" s="773"/>
      <c r="BM119" s="773"/>
      <c r="BN119" s="773"/>
      <c r="BO119" s="773"/>
      <c r="BP119" s="773"/>
      <c r="BQ119" s="773"/>
      <c r="BR119" s="773"/>
      <c r="BS119" s="773"/>
      <c r="BT119" s="839"/>
      <c r="BU119" s="773"/>
      <c r="BV119" s="773"/>
      <c r="BW119" s="773"/>
      <c r="BX119" s="773"/>
      <c r="BY119" s="773"/>
      <c r="BZ119" s="773"/>
      <c r="CA119" s="773"/>
      <c r="CB119" s="773"/>
      <c r="CC119" s="773"/>
      <c r="CD119" s="773"/>
      <c r="CE119" s="773"/>
      <c r="CF119" s="773"/>
      <c r="CG119" s="96"/>
    </row>
    <row r="120" spans="1:85" customFormat="1" x14ac:dyDescent="0.3">
      <c r="A120" s="124" t="s">
        <v>351</v>
      </c>
      <c r="B120" s="115"/>
      <c r="C120" s="1103"/>
      <c r="D120" s="1103">
        <f>IF(OR(INDEX(SP_GF_Rev,0,COLUMN())&lt;=0,C34&lt;=0),"NMF",IF(ABS((INDEX(SP_GF_Rev,0,COLUMN())/INDEX(SP_CS_ShareCount,0,COLUMN()))/(C34/C51)-1)&gt;10,"NMF",(INDEX(SP_GF_Rev,0,COLUMN())/INDEX(SP_CS_ShareCount,0,COLUMN()))/(C34/C51)-1))</f>
      </c>
      <c r="E120" s="1103">
        <f>IF(OR(INDEX(SP_GF_Rev,0,COLUMN())&lt;=0,D34&lt;=0),"NMF",IF(ABS((INDEX(SP_GF_Rev,0,COLUMN())/INDEX(SP_CS_ShareCount,0,COLUMN()))/(D34/D51)-1)&gt;10,"NMF",(INDEX(SP_GF_Rev,0,COLUMN())/INDEX(SP_CS_ShareCount,0,COLUMN()))/(D34/D51)-1))</f>
      </c>
      <c r="F120" s="1103">
        <f>IF(OR(INDEX(SP_GF_Rev,0,COLUMN())&lt;=0,E34&lt;=0),"NMF",IF(ABS((INDEX(SP_GF_Rev,0,COLUMN())/INDEX(SP_CS_ShareCount,0,COLUMN()))/(E34/E51)-1)&gt;10,"NMF",(INDEX(SP_GF_Rev,0,COLUMN())/INDEX(SP_CS_ShareCount,0,COLUMN()))/(E34/E51)-1))</f>
      </c>
      <c r="G120" s="37"/>
      <c r="H120" s="37"/>
      <c r="I120" s="37"/>
      <c r="J120" s="37"/>
      <c r="K120" s="1103">
        <f t="shared" ref="K120:AP120" si="426">IF(OR(INDEX(SP_GF_Rev,0,COLUMN())&lt;=0,F34&lt;=0),"NMF",IF(ABS((INDEX(SP_GF_Rev,0,COLUMN())/INDEX(SP_CS_ShareCount,0,COLUMN()))/(F34/F51)-1)&gt;10,"NMF",(INDEX(SP_GF_Rev,0,COLUMN())/INDEX(SP_CS_ShareCount,0,COLUMN()))/(F34/F51)-1))</f>
      </c>
      <c r="L120" s="37">
        <f t="shared" si="426"/>
      </c>
      <c r="M120" s="37">
        <f t="shared" si="426"/>
      </c>
      <c r="N120" s="37">
        <f t="shared" si="426"/>
      </c>
      <c r="O120" s="37">
        <f t="shared" si="426"/>
      </c>
      <c r="P120" s="1103">
        <f t="shared" si="426"/>
      </c>
      <c r="Q120" s="37">
        <f t="shared" si="426"/>
      </c>
      <c r="R120" s="37">
        <f t="shared" si="426"/>
      </c>
      <c r="S120" s="37">
        <f t="shared" si="426"/>
      </c>
      <c r="T120" s="37">
        <f t="shared" si="426"/>
      </c>
      <c r="U120" s="1103">
        <f t="shared" si="426"/>
      </c>
      <c r="V120" s="37">
        <f t="shared" si="426"/>
      </c>
      <c r="W120" s="37">
        <f t="shared" si="426"/>
      </c>
      <c r="X120" s="37">
        <f t="shared" si="426"/>
      </c>
      <c r="Y120" s="37">
        <f t="shared" si="426"/>
      </c>
      <c r="Z120" s="1103">
        <f t="shared" si="426"/>
      </c>
      <c r="AA120" s="37">
        <f t="shared" si="426"/>
      </c>
      <c r="AB120" s="37">
        <f t="shared" si="426"/>
      </c>
      <c r="AC120" s="37">
        <f t="shared" si="426"/>
      </c>
      <c r="AD120" s="37">
        <f t="shared" si="426"/>
      </c>
      <c r="AE120" s="1103">
        <f t="shared" si="426"/>
      </c>
      <c r="AF120" s="37">
        <f t="shared" si="426"/>
      </c>
      <c r="AG120" s="37">
        <f t="shared" si="426"/>
      </c>
      <c r="AH120" s="37">
        <f t="shared" si="426"/>
      </c>
      <c r="AI120" s="37">
        <f t="shared" si="426"/>
      </c>
      <c r="AJ120" s="1103">
        <f t="shared" si="426"/>
      </c>
      <c r="AK120" s="37">
        <f t="shared" si="426"/>
      </c>
      <c r="AL120" s="37">
        <f t="shared" si="426"/>
      </c>
      <c r="AM120" s="37">
        <f t="shared" si="426"/>
      </c>
      <c r="AN120" s="37">
        <f t="shared" si="426"/>
      </c>
      <c r="AO120" s="1103">
        <f t="shared" si="426"/>
      </c>
      <c r="AP120" s="37">
        <f t="shared" si="426"/>
      </c>
      <c r="AQ120" s="37">
        <f t="shared" ref="AQ120:BD120" si="427">IF(OR(INDEX(SP_GF_Rev,0,COLUMN())&lt;=0,AL34&lt;=0),"NMF",IF(ABS((INDEX(SP_GF_Rev,0,COLUMN())/INDEX(SP_CS_ShareCount,0,COLUMN()))/(AL34/AL51)-1)&gt;10,"NMF",(INDEX(SP_GF_Rev,0,COLUMN())/INDEX(SP_CS_ShareCount,0,COLUMN()))/(AL34/AL51)-1))</f>
      </c>
      <c r="AR120" s="37">
        <f t="shared" si="427"/>
      </c>
      <c r="AS120" s="37">
        <f t="shared" si="427"/>
      </c>
      <c r="AT120" s="1103">
        <f t="shared" si="427"/>
      </c>
      <c r="AU120" s="37">
        <f t="shared" si="427"/>
      </c>
      <c r="AV120" s="37">
        <f t="shared" si="427"/>
      </c>
      <c r="AW120" s="37">
        <f t="shared" si="427"/>
      </c>
      <c r="AX120" s="37">
        <f t="shared" si="427"/>
      </c>
      <c r="AY120" s="1103">
        <f t="shared" si="427"/>
      </c>
      <c r="AZ120" s="37">
        <f t="shared" si="427"/>
      </c>
      <c r="BA120" s="37">
        <f t="shared" si="427"/>
      </c>
      <c r="BB120" s="37">
        <f t="shared" si="427"/>
      </c>
      <c r="BC120" s="37">
        <f t="shared" si="427"/>
      </c>
      <c r="BD120" s="1103">
        <f t="shared" si="427"/>
      </c>
      <c r="BE120" s="37">
        <f t="shared" ref="BE120:BJ120" si="428">IF(OR(INDEX(SP_GF_Rev,0,COLUMN())&lt;=0,AZ34&lt;=0),"NMF",IF(ABS((INDEX(SP_GF_Rev,0,COLUMN())/INDEX(SP_CS_ShareCount,0,COLUMN()))/(AZ34/AZ51)-1)&gt;10,"NMF",(INDEX(SP_GF_Rev,0,COLUMN())/INDEX(SP_CS_ShareCount,0,COLUMN()))/(AZ34/AZ51)-1))</f>
      </c>
      <c r="BF120" s="37">
        <f t="shared" si="428"/>
      </c>
      <c r="BG120" s="37">
        <f t="shared" si="428"/>
      </c>
      <c r="BH120" s="37">
        <f t="shared" si="428"/>
      </c>
      <c r="BI120" s="1103">
        <f t="shared" si="428"/>
      </c>
      <c r="BJ120" s="37">
        <f t="shared" si="428"/>
      </c>
      <c r="BK120" s="37">
        <f t="shared" ref="BK120:BX120" si="429">IF(OR(INDEX(SP_GF_Rev,0,COLUMN())&lt;=0,BF34&lt;=0),"NMF",IF(ABS((INDEX(SP_GF_Rev,0,COLUMN())/INDEX(SP_CS_ShareCount,0,COLUMN()))/(BF34/BF51)-1)&gt;10,"NMF",(INDEX(SP_GF_Rev,0,COLUMN())/INDEX(SP_CS_ShareCount,0,COLUMN()))/(BF34/BF51)-1))</f>
      </c>
      <c r="BL120" s="37">
        <f t="shared" si="429"/>
      </c>
      <c r="BM120" s="37">
        <f t="shared" si="429"/>
      </c>
      <c r="BN120" s="1103">
        <f t="shared" si="429"/>
      </c>
      <c r="BO120" s="37">
        <f t="shared" ref="BO120:BT120" si="430">IF(OR(INDEX(SP_GF_Rev,0,COLUMN())&lt;=0,BJ34&lt;=0),"NMF",IF(ABS((INDEX(SP_GF_Rev,0,COLUMN())/INDEX(SP_CS_ShareCount,0,COLUMN()))/(BJ34/BJ51)-1)&gt;10,"NMF",(INDEX(SP_GF_Rev,0,COLUMN())/INDEX(SP_CS_ShareCount,0,COLUMN()))/(BJ34/BJ51)-1))</f>
      </c>
      <c r="BP120" s="37">
        <f t="shared" si="430"/>
      </c>
      <c r="BQ120" s="37">
        <f t="shared" si="430"/>
      </c>
      <c r="BR120" s="37">
        <f t="shared" si="430"/>
      </c>
      <c r="BS120" s="1103">
        <f t="shared" si="430"/>
      </c>
      <c r="BT120" s="742">
        <f t="shared" si="430"/>
      </c>
      <c r="BU120" s="37">
        <f t="shared" si="429"/>
      </c>
      <c r="BV120" s="37">
        <f t="shared" si="429"/>
      </c>
      <c r="BW120" s="37">
        <f t="shared" si="429"/>
      </c>
      <c r="BX120" s="1103">
        <f t="shared" si="429"/>
      </c>
      <c r="BY120" s="37">
        <f>IF(OR(INDEX(SP_GF_Rev,0,COLUMN())&lt;=0,BT34&lt;=0),"NMF",IF(ABS((INDEX(SP_GF_Rev,0,COLUMN())/INDEX(SP_CS_ShareCount,0,COLUMN()))/(BT34/BT51)-1)&gt;10,"NMF",(INDEX(SP_GF_Rev,0,COLUMN())/INDEX(SP_CS_ShareCount,0,COLUMN()))/(BT34/BT51)-1))</f>
      </c>
      <c r="BZ120" s="37">
        <f>IF(OR(INDEX(SP_GF_Rev,0,COLUMN())&lt;=0,BU34&lt;=0),"NMF",IF(ABS((INDEX(SP_GF_Rev,0,COLUMN())/INDEX(SP_CS_ShareCount,0,COLUMN()))/(BU34/BU51)-1)&gt;10,"NMF",(INDEX(SP_GF_Rev,0,COLUMN())/INDEX(SP_CS_ShareCount,0,COLUMN()))/(BU34/BU51)-1))</f>
      </c>
      <c r="CA120" s="37">
        <f>IF(OR(INDEX(SP_GF_Rev,0,COLUMN())&lt;=0,BV34&lt;=0),"NMF",IF(ABS((INDEX(SP_GF_Rev,0,COLUMN())/INDEX(SP_CS_ShareCount,0,COLUMN()))/(BV34/BV51)-1)&gt;10,"NMF",(INDEX(SP_GF_Rev,0,COLUMN())/INDEX(SP_CS_ShareCount,0,COLUMN()))/(BV34/BV51)-1))</f>
      </c>
      <c r="CB120" s="37">
        <f>IF(OR(INDEX(SP_GF_Rev,0,COLUMN())&lt;=0,BW34&lt;=0),"NMF",IF(ABS((INDEX(SP_GF_Rev,0,COLUMN())/INDEX(SP_CS_ShareCount,0,COLUMN()))/(BW34/BW51)-1)&gt;10,"NMF",(INDEX(SP_GF_Rev,0,COLUMN())/INDEX(SP_CS_ShareCount,0,COLUMN()))/(BW34/BW51)-1))</f>
      </c>
      <c r="CC120" s="1103">
        <f>IF(OR(INDEX(SP_GF_Rev,0,COLUMN())&lt;=0,BX34&lt;=0),"NMF",IF(ABS((INDEX(SP_GF_Rev,0,COLUMN())/INDEX(SP_CS_ShareCount,0,COLUMN()))/(BX34/BX51)-1)&gt;10,"NMF",(INDEX(SP_GF_Rev,0,COLUMN())/INDEX(SP_CS_ShareCount,0,COLUMN()))/(BX34/BX51)-1))</f>
      </c>
      <c r="CD120" s="1103">
        <f>IF(OR(INDEX(SP_GF_Rev,0,COLUMN())&lt;=0,CC34&lt;=0),"NMF",IF(ABS((INDEX(SP_GF_Rev,0,COLUMN())/INDEX(SP_CS_ShareCount,0,COLUMN()))/(CC34/CC51)-1)&gt;10,"NMF",(INDEX(SP_GF_Rev,0,COLUMN())/INDEX(SP_CS_ShareCount,0,COLUMN()))/(CC34/CC51)-1))</f>
      </c>
      <c r="CE120" s="1103">
        <f>IF(OR(INDEX(SP_GF_Rev,0,COLUMN())&lt;=0,CD34&lt;=0),"NMF",IF(ABS((INDEX(SP_GF_Rev,0,COLUMN())/INDEX(SP_CS_ShareCount,0,COLUMN()))/(CD34/CD51)-1)&gt;10,"NMF",(INDEX(SP_GF_Rev,0,COLUMN())/INDEX(SP_CS_ShareCount,0,COLUMN()))/(CD34/CD51)-1))</f>
      </c>
      <c r="CF120" s="1103">
        <f>IF(OR(INDEX(SP_GF_Rev,0,COLUMN())&lt;=0,CE34&lt;=0),"NMF",IF(ABS((INDEX(SP_GF_Rev,0,COLUMN())/INDEX(SP_CS_ShareCount,0,COLUMN()))/(CE34/CE51)-1)&gt;10,"NMF",(INDEX(SP_GF_Rev,0,COLUMN())/INDEX(SP_CS_ShareCount,0,COLUMN()))/(CE34/CE51)-1))</f>
      </c>
      <c r="CG120" s="86"/>
    </row>
    <row r="121" spans="1:85" customFormat="1" x14ac:dyDescent="0.3">
      <c r="A121" s="124" t="s">
        <v>352</v>
      </c>
      <c r="B121" s="115"/>
      <c r="C121" s="1103"/>
      <c r="D121" s="1103">
        <f>IF(OR(INDEX(SP_Company1876_EBITDA,0,COLUMN())&lt;=0,C54&lt;=0),"NMF",IF(ABS((INDEX(SP_Company1876_EBITDA,0,COLUMN())/INDEX(SP_CS_ShareCount,0,COLUMN()))/(C54/C51)-1)&gt;10,"NMF",(INDEX(SP_Company1876_EBITDA,0,COLUMN())/INDEX(SP_CS_ShareCount,0,COLUMN()))/(C54/C51)-1))</f>
      </c>
      <c r="E121" s="1103">
        <f>IF(OR(INDEX(SP_Company1876_EBITDA,0,COLUMN())&lt;=0,D54&lt;=0),"NMF",IF(ABS((INDEX(SP_Company1876_EBITDA,0,COLUMN())/INDEX(SP_CS_ShareCount,0,COLUMN()))/(D54/D51)-1)&gt;10,"NMF",(INDEX(SP_Company1876_EBITDA,0,COLUMN())/INDEX(SP_CS_ShareCount,0,COLUMN()))/(D54/D51)-1))</f>
      </c>
      <c r="F121" s="1103">
        <f>IF(OR(INDEX(SP_Company1876_EBITDA,0,COLUMN())&lt;=0,E54&lt;=0),"NMF",IF(ABS((INDEX(SP_Company1876_EBITDA,0,COLUMN())/INDEX(SP_CS_ShareCount,0,COLUMN()))/(E54/E51)-1)&gt;10,"NMF",(INDEX(SP_Company1876_EBITDA,0,COLUMN())/INDEX(SP_CS_ShareCount,0,COLUMN()))/(E54/E51)-1))</f>
      </c>
      <c r="G121" s="37"/>
      <c r="H121" s="37"/>
      <c r="I121" s="37"/>
      <c r="J121" s="37"/>
      <c r="K121" s="1103">
        <f t="shared" ref="K121:AP121" si="431">IF(OR(INDEX(SP_Company1876_EBITDA,0,COLUMN())&lt;=0,F54&lt;=0),"NMF",IF(ABS((INDEX(SP_Company1876_EBITDA,0,COLUMN())/INDEX(SP_CS_ShareCount,0,COLUMN()))/(F54/F51)-1)&gt;10,"NMF",(INDEX(SP_Company1876_EBITDA,0,COLUMN())/INDEX(SP_CS_ShareCount,0,COLUMN()))/(F54/F51)-1))</f>
      </c>
      <c r="L121" s="37">
        <f t="shared" si="431"/>
      </c>
      <c r="M121" s="37">
        <f t="shared" si="431"/>
      </c>
      <c r="N121" s="37">
        <f t="shared" si="431"/>
      </c>
      <c r="O121" s="37">
        <f t="shared" si="431"/>
      </c>
      <c r="P121" s="1103">
        <f t="shared" si="431"/>
      </c>
      <c r="Q121" s="37">
        <f t="shared" si="431"/>
      </c>
      <c r="R121" s="37">
        <f t="shared" si="431"/>
      </c>
      <c r="S121" s="37">
        <f t="shared" si="431"/>
      </c>
      <c r="T121" s="37">
        <f t="shared" si="431"/>
      </c>
      <c r="U121" s="1103">
        <f t="shared" si="431"/>
      </c>
      <c r="V121" s="37">
        <f t="shared" si="431"/>
      </c>
      <c r="W121" s="37">
        <f t="shared" si="431"/>
      </c>
      <c r="X121" s="37">
        <f t="shared" si="431"/>
      </c>
      <c r="Y121" s="37">
        <f t="shared" si="431"/>
      </c>
      <c r="Z121" s="1103">
        <f t="shared" si="431"/>
      </c>
      <c r="AA121" s="37">
        <f t="shared" si="431"/>
      </c>
      <c r="AB121" s="37">
        <f t="shared" si="431"/>
      </c>
      <c r="AC121" s="37">
        <f t="shared" si="431"/>
      </c>
      <c r="AD121" s="37">
        <f t="shared" si="431"/>
      </c>
      <c r="AE121" s="1103">
        <f t="shared" si="431"/>
      </c>
      <c r="AF121" s="37">
        <f t="shared" si="431"/>
      </c>
      <c r="AG121" s="37">
        <f t="shared" si="431"/>
      </c>
      <c r="AH121" s="37">
        <f t="shared" si="431"/>
      </c>
      <c r="AI121" s="37">
        <f t="shared" si="431"/>
      </c>
      <c r="AJ121" s="1103">
        <f t="shared" si="431"/>
      </c>
      <c r="AK121" s="37">
        <f t="shared" si="431"/>
      </c>
      <c r="AL121" s="37">
        <f t="shared" si="431"/>
      </c>
      <c r="AM121" s="37">
        <f t="shared" si="431"/>
      </c>
      <c r="AN121" s="37">
        <f t="shared" si="431"/>
      </c>
      <c r="AO121" s="1103">
        <f t="shared" si="431"/>
      </c>
      <c r="AP121" s="37">
        <f t="shared" si="431"/>
      </c>
      <c r="AQ121" s="37">
        <f t="shared" ref="AQ121:BD121" si="432">IF(OR(INDEX(SP_Company1876_EBITDA,0,COLUMN())&lt;=0,AL54&lt;=0),"NMF",IF(ABS((INDEX(SP_Company1876_EBITDA,0,COLUMN())/INDEX(SP_CS_ShareCount,0,COLUMN()))/(AL54/AL51)-1)&gt;10,"NMF",(INDEX(SP_Company1876_EBITDA,0,COLUMN())/INDEX(SP_CS_ShareCount,0,COLUMN()))/(AL54/AL51)-1))</f>
      </c>
      <c r="AR121" s="37">
        <f t="shared" si="432"/>
      </c>
      <c r="AS121" s="37">
        <f t="shared" si="432"/>
      </c>
      <c r="AT121" s="1103">
        <f t="shared" si="432"/>
      </c>
      <c r="AU121" s="37">
        <f t="shared" si="432"/>
      </c>
      <c r="AV121" s="37">
        <f t="shared" si="432"/>
      </c>
      <c r="AW121" s="37">
        <f t="shared" si="432"/>
      </c>
      <c r="AX121" s="37">
        <f t="shared" si="432"/>
      </c>
      <c r="AY121" s="1103">
        <f t="shared" si="432"/>
      </c>
      <c r="AZ121" s="37">
        <f t="shared" si="432"/>
      </c>
      <c r="BA121" s="37">
        <f t="shared" si="432"/>
      </c>
      <c r="BB121" s="37">
        <f t="shared" si="432"/>
      </c>
      <c r="BC121" s="37">
        <f t="shared" si="432"/>
      </c>
      <c r="BD121" s="1103">
        <f t="shared" si="432"/>
      </c>
      <c r="BE121" s="37">
        <f t="shared" ref="BE121:BJ121" si="433">IF(OR(INDEX(SP_Company1876_EBITDA,0,COLUMN())&lt;=0,AZ54&lt;=0),"NMF",IF(ABS((INDEX(SP_Company1876_EBITDA,0,COLUMN())/INDEX(SP_CS_ShareCount,0,COLUMN()))/(AZ54/AZ51)-1)&gt;10,"NMF",(INDEX(SP_Company1876_EBITDA,0,COLUMN())/INDEX(SP_CS_ShareCount,0,COLUMN()))/(AZ54/AZ51)-1))</f>
      </c>
      <c r="BF121" s="37">
        <f t="shared" si="433"/>
      </c>
      <c r="BG121" s="37">
        <f t="shared" si="433"/>
      </c>
      <c r="BH121" s="37">
        <f t="shared" si="433"/>
      </c>
      <c r="BI121" s="1103">
        <f t="shared" si="433"/>
      </c>
      <c r="BJ121" s="37">
        <f t="shared" si="433"/>
      </c>
      <c r="BK121" s="37">
        <f t="shared" ref="BK121:BX121" si="434">IF(OR(INDEX(SP_Company1876_EBITDA,0,COLUMN())&lt;=0,BF54&lt;=0),"NMF",IF(ABS((INDEX(SP_Company1876_EBITDA,0,COLUMN())/INDEX(SP_CS_ShareCount,0,COLUMN()))/(BF54/BF51)-1)&gt;10,"NMF",(INDEX(SP_Company1876_EBITDA,0,COLUMN())/INDEX(SP_CS_ShareCount,0,COLUMN()))/(BF54/BF51)-1))</f>
      </c>
      <c r="BL121" s="37">
        <f t="shared" si="434"/>
      </c>
      <c r="BM121" s="37">
        <f t="shared" si="434"/>
      </c>
      <c r="BN121" s="1103">
        <f t="shared" si="434"/>
      </c>
      <c r="BO121" s="37">
        <f t="shared" ref="BO121:BT121" si="435">IF(OR(INDEX(SP_Company1876_EBITDA,0,COLUMN())&lt;=0,BJ54&lt;=0),"NMF",IF(ABS((INDEX(SP_Company1876_EBITDA,0,COLUMN())/INDEX(SP_CS_ShareCount,0,COLUMN()))/(BJ54/BJ51)-1)&gt;10,"NMF",(INDEX(SP_Company1876_EBITDA,0,COLUMN())/INDEX(SP_CS_ShareCount,0,COLUMN()))/(BJ54/BJ51)-1))</f>
      </c>
      <c r="BP121" s="37">
        <f t="shared" si="435"/>
      </c>
      <c r="BQ121" s="37">
        <f t="shared" si="435"/>
      </c>
      <c r="BR121" s="37">
        <f t="shared" si="435"/>
      </c>
      <c r="BS121" s="1103">
        <f t="shared" si="435"/>
      </c>
      <c r="BT121" s="742">
        <f t="shared" si="435"/>
      </c>
      <c r="BU121" s="37">
        <f t="shared" si="434"/>
      </c>
      <c r="BV121" s="37">
        <f t="shared" si="434"/>
      </c>
      <c r="BW121" s="37">
        <f t="shared" si="434"/>
      </c>
      <c r="BX121" s="1103">
        <f t="shared" si="434"/>
      </c>
      <c r="BY121" s="37">
        <f>IF(OR(INDEX(SP_Company1876_EBITDA,0,COLUMN())&lt;=0,BT54&lt;=0),"NMF",IF(ABS((INDEX(SP_Company1876_EBITDA,0,COLUMN())/INDEX(SP_CS_ShareCount,0,COLUMN()))/(BT54/BT51)-1)&gt;10,"NMF",(INDEX(SP_Company1876_EBITDA,0,COLUMN())/INDEX(SP_CS_ShareCount,0,COLUMN()))/(BT54/BT51)-1))</f>
      </c>
      <c r="BZ121" s="37">
        <f>IF(OR(INDEX(SP_Company1876_EBITDA,0,COLUMN())&lt;=0,BU54&lt;=0),"NMF",IF(ABS((INDEX(SP_Company1876_EBITDA,0,COLUMN())/INDEX(SP_CS_ShareCount,0,COLUMN()))/(BU54/BU51)-1)&gt;10,"NMF",(INDEX(SP_Company1876_EBITDA,0,COLUMN())/INDEX(SP_CS_ShareCount,0,COLUMN()))/(BU54/BU51)-1))</f>
      </c>
      <c r="CA121" s="37">
        <f>IF(OR(INDEX(SP_Company1876_EBITDA,0,COLUMN())&lt;=0,BV54&lt;=0),"NMF",IF(ABS((INDEX(SP_Company1876_EBITDA,0,COLUMN())/INDEX(SP_CS_ShareCount,0,COLUMN()))/(BV54/BV51)-1)&gt;10,"NMF",(INDEX(SP_Company1876_EBITDA,0,COLUMN())/INDEX(SP_CS_ShareCount,0,COLUMN()))/(BV54/BV51)-1))</f>
      </c>
      <c r="CB121" s="37">
        <f>IF(OR(INDEX(SP_Company1876_EBITDA,0,COLUMN())&lt;=0,BW54&lt;=0),"NMF",IF(ABS((INDEX(SP_Company1876_EBITDA,0,COLUMN())/INDEX(SP_CS_ShareCount,0,COLUMN()))/(BW54/BW51)-1)&gt;10,"NMF",(INDEX(SP_Company1876_EBITDA,0,COLUMN())/INDEX(SP_CS_ShareCount,0,COLUMN()))/(BW54/BW51)-1))</f>
      </c>
      <c r="CC121" s="1103">
        <f>IF(OR(INDEX(SP_Company1876_EBITDA,0,COLUMN())&lt;=0,BX54&lt;=0),"NMF",IF(ABS((INDEX(SP_Company1876_EBITDA,0,COLUMN())/INDEX(SP_CS_ShareCount,0,COLUMN()))/(BX54/BX51)-1)&gt;10,"NMF",(INDEX(SP_Company1876_EBITDA,0,COLUMN())/INDEX(SP_CS_ShareCount,0,COLUMN()))/(BX54/BX51)-1))</f>
      </c>
      <c r="CD121" s="1103">
        <f>IF(OR(INDEX(SP_Company1876_EBITDA,0,COLUMN())&lt;=0,CC54&lt;=0),"NMF",IF(ABS((INDEX(SP_Company1876_EBITDA,0,COLUMN())/INDEX(SP_CS_ShareCount,0,COLUMN()))/(CC54/CC51)-1)&gt;10,"NMF",(INDEX(SP_Company1876_EBITDA,0,COLUMN())/INDEX(SP_CS_ShareCount,0,COLUMN()))/(CC54/CC51)-1))</f>
      </c>
      <c r="CE121" s="1103">
        <f>IF(OR(INDEX(SP_Company1876_EBITDA,0,COLUMN())&lt;=0,CD54&lt;=0),"NMF",IF(ABS((INDEX(SP_Company1876_EBITDA,0,COLUMN())/INDEX(SP_CS_ShareCount,0,COLUMN()))/(CD54/CD51)-1)&gt;10,"NMF",(INDEX(SP_Company1876_EBITDA,0,COLUMN())/INDEX(SP_CS_ShareCount,0,COLUMN()))/(CD54/CD51)-1))</f>
      </c>
      <c r="CF121" s="1103">
        <f>IF(OR(INDEX(SP_Company1876_EBITDA,0,COLUMN())&lt;=0,CE54&lt;=0),"NMF",IF(ABS((INDEX(SP_Company1876_EBITDA,0,COLUMN())/INDEX(SP_CS_ShareCount,0,COLUMN()))/(CE54/CE51)-1)&gt;10,"NMF",(INDEX(SP_Company1876_EBITDA,0,COLUMN())/INDEX(SP_CS_ShareCount,0,COLUMN()))/(CE54/CE51)-1))</f>
      </c>
      <c r="CG121" s="86"/>
    </row>
    <row r="122" spans="1:85" customFormat="1" x14ac:dyDescent="0.3">
      <c r="A122" s="124" t="s">
        <v>353</v>
      </c>
      <c r="B122" s="115"/>
      <c r="C122" s="1103"/>
      <c r="D122" s="1103">
        <f>IF(OR(INDEX(SP_Company1876_NI,0,COLUMN())&lt;=0,C56&lt;=0),"NMF",IF(ABS((INDEX(SP_Company1876_NI,0,COLUMN())/INDEX(SP_CS_ShareCount,0,COLUMN()))/(C56/C51)-1)&gt;10,"NMF",(INDEX(SP_Company1876_NI,0,COLUMN())/INDEX(SP_CS_ShareCount,0,COLUMN()))/(C56/C51)-1))</f>
      </c>
      <c r="E122" s="1103">
        <f>IF(OR(INDEX(SP_Company1876_NI,0,COLUMN())&lt;=0,D56&lt;=0),"NMF",IF(ABS((INDEX(SP_Company1876_NI,0,COLUMN())/INDEX(SP_CS_ShareCount,0,COLUMN()))/(D56/D51)-1)&gt;10,"NMF",(INDEX(SP_Company1876_NI,0,COLUMN())/INDEX(SP_CS_ShareCount,0,COLUMN()))/(D56/D51)-1))</f>
      </c>
      <c r="F122" s="1103">
        <f>IF(OR(INDEX(SP_Company1876_NI,0,COLUMN())&lt;=0,E56&lt;=0),"NMF",IF(ABS((INDEX(SP_Company1876_NI,0,COLUMN())/INDEX(SP_CS_ShareCount,0,COLUMN()))/(E56/E51)-1)&gt;10,"NMF",(INDEX(SP_Company1876_NI,0,COLUMN())/INDEX(SP_CS_ShareCount,0,COLUMN()))/(E56/E51)-1))</f>
      </c>
      <c r="G122" s="37"/>
      <c r="H122" s="37"/>
      <c r="I122" s="37"/>
      <c r="J122" s="37"/>
      <c r="K122" s="1103">
        <f t="shared" ref="K122:AP122" si="436">IF(OR(INDEX(SP_Company1876_NI,0,COLUMN())&lt;=0,F56&lt;=0),"NMF",IF(ABS((INDEX(SP_Company1876_NI,0,COLUMN())/INDEX(SP_CS_ShareCount,0,COLUMN()))/(F56/F51)-1)&gt;10,"NMF",(INDEX(SP_Company1876_NI,0,COLUMN())/INDEX(SP_CS_ShareCount,0,COLUMN()))/(F56/F51)-1))</f>
      </c>
      <c r="L122" s="37">
        <f t="shared" si="436"/>
      </c>
      <c r="M122" s="37">
        <f t="shared" si="436"/>
      </c>
      <c r="N122" s="37">
        <f t="shared" si="436"/>
      </c>
      <c r="O122" s="37">
        <f t="shared" si="436"/>
      </c>
      <c r="P122" s="1103">
        <f t="shared" si="436"/>
      </c>
      <c r="Q122" s="37">
        <f t="shared" si="436"/>
      </c>
      <c r="R122" s="37">
        <f t="shared" si="436"/>
      </c>
      <c r="S122" s="37">
        <f t="shared" si="436"/>
      </c>
      <c r="T122" s="37">
        <f t="shared" si="436"/>
      </c>
      <c r="U122" s="1103">
        <f t="shared" si="436"/>
      </c>
      <c r="V122" s="37">
        <f t="shared" si="436"/>
      </c>
      <c r="W122" s="37">
        <f t="shared" si="436"/>
      </c>
      <c r="X122" s="37">
        <f t="shared" si="436"/>
      </c>
      <c r="Y122" s="37">
        <f t="shared" si="436"/>
      </c>
      <c r="Z122" s="1103">
        <f t="shared" si="436"/>
      </c>
      <c r="AA122" s="37">
        <f t="shared" si="436"/>
      </c>
      <c r="AB122" s="37">
        <f t="shared" si="436"/>
      </c>
      <c r="AC122" s="37">
        <f t="shared" si="436"/>
      </c>
      <c r="AD122" s="37">
        <f t="shared" si="436"/>
      </c>
      <c r="AE122" s="1103">
        <f t="shared" si="436"/>
      </c>
      <c r="AF122" s="37">
        <f t="shared" si="436"/>
      </c>
      <c r="AG122" s="37">
        <f t="shared" si="436"/>
      </c>
      <c r="AH122" s="37">
        <f t="shared" si="436"/>
      </c>
      <c r="AI122" s="37">
        <f t="shared" si="436"/>
      </c>
      <c r="AJ122" s="1103">
        <f t="shared" si="436"/>
      </c>
      <c r="AK122" s="37">
        <f t="shared" si="436"/>
      </c>
      <c r="AL122" s="37">
        <f t="shared" si="436"/>
      </c>
      <c r="AM122" s="37">
        <f t="shared" si="436"/>
      </c>
      <c r="AN122" s="37">
        <f t="shared" si="436"/>
      </c>
      <c r="AO122" s="1103">
        <f t="shared" si="436"/>
      </c>
      <c r="AP122" s="37">
        <f t="shared" si="436"/>
      </c>
      <c r="AQ122" s="37">
        <f t="shared" ref="AQ122:BD122" si="437">IF(OR(INDEX(SP_Company1876_NI,0,COLUMN())&lt;=0,AL56&lt;=0),"NMF",IF(ABS((INDEX(SP_Company1876_NI,0,COLUMN())/INDEX(SP_CS_ShareCount,0,COLUMN()))/(AL56/AL51)-1)&gt;10,"NMF",(INDEX(SP_Company1876_NI,0,COLUMN())/INDEX(SP_CS_ShareCount,0,COLUMN()))/(AL56/AL51)-1))</f>
      </c>
      <c r="AR122" s="37">
        <f t="shared" si="437"/>
      </c>
      <c r="AS122" s="37">
        <f t="shared" si="437"/>
      </c>
      <c r="AT122" s="1103">
        <f t="shared" si="437"/>
      </c>
      <c r="AU122" s="37">
        <f t="shared" si="437"/>
      </c>
      <c r="AV122" s="37">
        <f t="shared" si="437"/>
      </c>
      <c r="AW122" s="37">
        <f t="shared" si="437"/>
      </c>
      <c r="AX122" s="37">
        <f t="shared" si="437"/>
      </c>
      <c r="AY122" s="1103">
        <f t="shared" si="437"/>
      </c>
      <c r="AZ122" s="37">
        <f t="shared" si="437"/>
      </c>
      <c r="BA122" s="37">
        <f t="shared" si="437"/>
      </c>
      <c r="BB122" s="37">
        <f t="shared" si="437"/>
      </c>
      <c r="BC122" s="37">
        <f t="shared" si="437"/>
      </c>
      <c r="BD122" s="1103">
        <f t="shared" si="437"/>
      </c>
      <c r="BE122" s="37">
        <f t="shared" ref="BE122:BJ122" si="438">IF(OR(INDEX(SP_Company1876_NI,0,COLUMN())&lt;=0,AZ56&lt;=0),"NMF",IF(ABS((INDEX(SP_Company1876_NI,0,COLUMN())/INDEX(SP_CS_ShareCount,0,COLUMN()))/(AZ56/AZ51)-1)&gt;10,"NMF",(INDEX(SP_Company1876_NI,0,COLUMN())/INDEX(SP_CS_ShareCount,0,COLUMN()))/(AZ56/AZ51)-1))</f>
      </c>
      <c r="BF122" s="37">
        <f t="shared" si="438"/>
      </c>
      <c r="BG122" s="37">
        <f t="shared" si="438"/>
      </c>
      <c r="BH122" s="37" t="str">
        <f t="shared" si="438"/>
      </c>
      <c r="BI122" s="1103">
        <f t="shared" si="438"/>
      </c>
      <c r="BJ122" s="37">
        <f t="shared" si="438"/>
      </c>
      <c r="BK122" s="37">
        <f t="shared" ref="BK122:BX122" si="439">IF(OR(INDEX(SP_Company1876_NI,0,COLUMN())&lt;=0,BF56&lt;=0),"NMF",IF(ABS((INDEX(SP_Company1876_NI,0,COLUMN())/INDEX(SP_CS_ShareCount,0,COLUMN()))/(BF56/BF51)-1)&gt;10,"NMF",(INDEX(SP_Company1876_NI,0,COLUMN())/INDEX(SP_CS_ShareCount,0,COLUMN()))/(BF56/BF51)-1))</f>
      </c>
      <c r="BL122" s="37">
        <f t="shared" si="439"/>
      </c>
      <c r="BM122" s="37">
        <f t="shared" si="439"/>
      </c>
      <c r="BN122" s="1103">
        <f t="shared" si="439"/>
      </c>
      <c r="BO122" s="37">
        <f t="shared" ref="BO122:BT122" si="440">IF(OR(INDEX(SP_Company1876_NI,0,COLUMN())&lt;=0,BJ56&lt;=0),"NMF",IF(ABS((INDEX(SP_Company1876_NI,0,COLUMN())/INDEX(SP_CS_ShareCount,0,COLUMN()))/(BJ56/BJ51)-1)&gt;10,"NMF",(INDEX(SP_Company1876_NI,0,COLUMN())/INDEX(SP_CS_ShareCount,0,COLUMN()))/(BJ56/BJ51)-1))</f>
      </c>
      <c r="BP122" s="37">
        <f t="shared" si="440"/>
      </c>
      <c r="BQ122" s="37">
        <f t="shared" si="440"/>
      </c>
      <c r="BR122" s="37">
        <f t="shared" si="440"/>
      </c>
      <c r="BS122" s="1103">
        <f t="shared" si="440"/>
      </c>
      <c r="BT122" s="742">
        <f t="shared" si="440"/>
      </c>
      <c r="BU122" s="37">
        <f t="shared" si="439"/>
      </c>
      <c r="BV122" s="37">
        <f t="shared" si="439"/>
      </c>
      <c r="BW122" s="37">
        <f t="shared" si="439"/>
      </c>
      <c r="BX122" s="1103">
        <f t="shared" si="439"/>
      </c>
      <c r="BY122" s="37">
        <f>IF(OR(INDEX(SP_Company1876_NI,0,COLUMN())&lt;=0,BT56&lt;=0),"NMF",IF(ABS((INDEX(SP_Company1876_NI,0,COLUMN())/INDEX(SP_CS_ShareCount,0,COLUMN()))/(BT56/BT51)-1)&gt;10,"NMF",(INDEX(SP_Company1876_NI,0,COLUMN())/INDEX(SP_CS_ShareCount,0,COLUMN()))/(BT56/BT51)-1))</f>
      </c>
      <c r="BZ122" s="37">
        <f>IF(OR(INDEX(SP_Company1876_NI,0,COLUMN())&lt;=0,BU56&lt;=0),"NMF",IF(ABS((INDEX(SP_Company1876_NI,0,COLUMN())/INDEX(SP_CS_ShareCount,0,COLUMN()))/(BU56/BU51)-1)&gt;10,"NMF",(INDEX(SP_Company1876_NI,0,COLUMN())/INDEX(SP_CS_ShareCount,0,COLUMN()))/(BU56/BU51)-1))</f>
      </c>
      <c r="CA122" s="37">
        <f>IF(OR(INDEX(SP_Company1876_NI,0,COLUMN())&lt;=0,BV56&lt;=0),"NMF",IF(ABS((INDEX(SP_Company1876_NI,0,COLUMN())/INDEX(SP_CS_ShareCount,0,COLUMN()))/(BV56/BV51)-1)&gt;10,"NMF",(INDEX(SP_Company1876_NI,0,COLUMN())/INDEX(SP_CS_ShareCount,0,COLUMN()))/(BV56/BV51)-1))</f>
      </c>
      <c r="CB122" s="37">
        <f>IF(OR(INDEX(SP_Company1876_NI,0,COLUMN())&lt;=0,BW56&lt;=0),"NMF",IF(ABS((INDEX(SP_Company1876_NI,0,COLUMN())/INDEX(SP_CS_ShareCount,0,COLUMN()))/(BW56/BW51)-1)&gt;10,"NMF",(INDEX(SP_Company1876_NI,0,COLUMN())/INDEX(SP_CS_ShareCount,0,COLUMN()))/(BW56/BW51)-1))</f>
      </c>
      <c r="CC122" s="1103">
        <f>IF(OR(INDEX(SP_Company1876_NI,0,COLUMN())&lt;=0,BX56&lt;=0),"NMF",IF(ABS((INDEX(SP_Company1876_NI,0,COLUMN())/INDEX(SP_CS_ShareCount,0,COLUMN()))/(BX56/BX51)-1)&gt;10,"NMF",(INDEX(SP_Company1876_NI,0,COLUMN())/INDEX(SP_CS_ShareCount,0,COLUMN()))/(BX56/BX51)-1))</f>
      </c>
      <c r="CD122" s="1103">
        <f>IF(OR(INDEX(SP_Company1876_NI,0,COLUMN())&lt;=0,CC56&lt;=0),"NMF",IF(ABS((INDEX(SP_Company1876_NI,0,COLUMN())/INDEX(SP_CS_ShareCount,0,COLUMN()))/(CC56/CC51)-1)&gt;10,"NMF",(INDEX(SP_Company1876_NI,0,COLUMN())/INDEX(SP_CS_ShareCount,0,COLUMN()))/(CC56/CC51)-1))</f>
      </c>
      <c r="CE122" s="1103">
        <f>IF(OR(INDEX(SP_Company1876_NI,0,COLUMN())&lt;=0,CD56&lt;=0),"NMF",IF(ABS((INDEX(SP_Company1876_NI,0,COLUMN())/INDEX(SP_CS_ShareCount,0,COLUMN()))/(CD56/CD51)-1)&gt;10,"NMF",(INDEX(SP_Company1876_NI,0,COLUMN())/INDEX(SP_CS_ShareCount,0,COLUMN()))/(CD56/CD51)-1))</f>
      </c>
      <c r="CF122" s="1103">
        <f>IF(OR(INDEX(SP_Company1876_NI,0,COLUMN())&lt;=0,CE56&lt;=0),"NMF",IF(ABS((INDEX(SP_Company1876_NI,0,COLUMN())/INDEX(SP_CS_ShareCount,0,COLUMN()))/(CE56/CE51)-1)&gt;10,"NMF",(INDEX(SP_Company1876_NI,0,COLUMN())/INDEX(SP_CS_ShareCount,0,COLUMN()))/(CE56/CE51)-1))</f>
      </c>
      <c r="CG122" s="86"/>
    </row>
    <row r="123" spans="1:85" customFormat="1" x14ac:dyDescent="0.3">
      <c r="A123" s="124" t="s">
        <v>354</v>
      </c>
      <c r="B123" s="115"/>
      <c r="C123" s="1103"/>
      <c r="D123" s="1103">
        <f ca="1">IFERROR(IF(OR(INDEX(SP_CFA_CFO,0,COLUMN())&lt;=0,C72&lt;=0),"NMF",IF(ABS((INDEX(SP_CFA_CFO,0,COLUMN())/INDEX(SP_GF_ShareCount,0,COLUMN()))/(C72/C51)-1)&gt;10,"NMF",(INDEX(SP_CFA_CFO,0,COLUMN())/INDEX(SP_GF_ShareCount,0,COLUMN()))/(C72/C51)-1)),"N/A")</f>
      </c>
      <c r="E123" s="1103">
        <f ca="1">IFERROR(IF(OR(INDEX(SP_CFA_CFO,0,COLUMN())&lt;=0,D72&lt;=0),"NMF",IF(ABS((INDEX(SP_CFA_CFO,0,COLUMN())/INDEX(SP_GF_ShareCount,0,COLUMN()))/(D72/D51)-1)&gt;10,"NMF",(INDEX(SP_CFA_CFO,0,COLUMN())/INDEX(SP_GF_ShareCount,0,COLUMN()))/(D72/D51)-1)),"N/A")</f>
      </c>
      <c r="F123" s="1103">
        <f ca="1">IFERROR(IF(OR(INDEX(SP_CFA_CFO,0,COLUMN())&lt;=0,E72&lt;=0),"NMF",IF(ABS((INDEX(SP_CFA_CFO,0,COLUMN())/INDEX(SP_GF_ShareCount,0,COLUMN()))/(E72/E51)-1)&gt;10,"NMF",(INDEX(SP_CFA_CFO,0,COLUMN())/INDEX(SP_GF_ShareCount,0,COLUMN()))/(E72/E51)-1)),"N/A")</f>
      </c>
      <c r="G123" s="37"/>
      <c r="H123" s="37"/>
      <c r="I123" s="37"/>
      <c r="J123" s="37"/>
      <c r="K123" s="1103">
        <f t="shared" ref="K123:AP123" ca="1" si="441">IFERROR(IF(OR(INDEX(SP_CFA_CFO,0,COLUMN())&lt;=0,F72&lt;=0),"NMF",IF(ABS((INDEX(SP_CFA_CFO,0,COLUMN())/INDEX(SP_GF_ShareCount,0,COLUMN()))/(F72/F51)-1)&gt;10,"NMF",(INDEX(SP_CFA_CFO,0,COLUMN())/INDEX(SP_GF_ShareCount,0,COLUMN()))/(F72/F51)-1)),"N/A")</f>
      </c>
      <c r="L123" s="37" t="str">
        <f t="shared" ca="1" si="441"/>
      </c>
      <c r="M123" s="37">
        <f t="shared" ca="1" si="441"/>
      </c>
      <c r="N123" s="37" t="str">
        <f t="shared" ca="1" si="441"/>
      </c>
      <c r="O123" s="37" t="str">
        <f t="shared" ca="1" si="441"/>
      </c>
      <c r="P123" s="1103">
        <f t="shared" ca="1" si="441"/>
      </c>
      <c r="Q123" s="37" t="str">
        <f t="shared" ca="1" si="441"/>
      </c>
      <c r="R123" s="37" t="str">
        <f t="shared" ca="1" si="441"/>
      </c>
      <c r="S123" s="37" t="str">
        <f t="shared" ca="1" si="441"/>
      </c>
      <c r="T123" s="37" t="str">
        <f t="shared" ca="1" si="441"/>
      </c>
      <c r="U123" s="1103" t="str">
        <f t="shared" ca="1" si="441"/>
      </c>
      <c r="V123" s="37" t="str">
        <f t="shared" ca="1" si="441"/>
      </c>
      <c r="W123" s="37" t="str">
        <f t="shared" ca="1" si="441"/>
      </c>
      <c r="X123" s="37" t="str">
        <f t="shared" ca="1" si="441"/>
      </c>
      <c r="Y123" s="37" t="str">
        <f t="shared" ca="1" si="441"/>
      </c>
      <c r="Z123" s="1103" t="str">
        <f t="shared" ca="1" si="441"/>
      </c>
      <c r="AA123" s="37" t="str">
        <f t="shared" ca="1" si="441"/>
      </c>
      <c r="AB123" s="37" t="str">
        <f t="shared" ca="1" si="441"/>
      </c>
      <c r="AC123" s="37" t="str">
        <f t="shared" ca="1" si="441"/>
      </c>
      <c r="AD123" s="37" t="str">
        <f t="shared" ca="1" si="441"/>
      </c>
      <c r="AE123" s="1103" t="str">
        <f t="shared" ca="1" si="441"/>
      </c>
      <c r="AF123" s="37" t="str">
        <f t="shared" ca="1" si="441"/>
      </c>
      <c r="AG123" s="37" t="str">
        <f t="shared" ca="1" si="441"/>
      </c>
      <c r="AH123" s="37" t="str">
        <f t="shared" ca="1" si="441"/>
      </c>
      <c r="AI123" s="37" t="str">
        <f t="shared" ca="1" si="441"/>
      </c>
      <c r="AJ123" s="1103" t="str">
        <f t="shared" ca="1" si="441"/>
      </c>
      <c r="AK123" s="37" t="str">
        <f t="shared" ca="1" si="441"/>
      </c>
      <c r="AL123" s="37" t="str">
        <f t="shared" ca="1" si="441"/>
      </c>
      <c r="AM123" s="37" t="str">
        <f t="shared" ca="1" si="441"/>
      </c>
      <c r="AN123" s="37" t="str">
        <f t="shared" ca="1" si="441"/>
      </c>
      <c r="AO123" s="1103" t="str">
        <f t="shared" ca="1" si="441"/>
      </c>
      <c r="AP123" s="37" t="str">
        <f t="shared" ca="1" si="441"/>
      </c>
      <c r="AQ123" s="37" t="str">
        <f t="shared" ref="AQ123:BF123" ca="1" si="442">IFERROR(IF(OR(INDEX(SP_CFA_CFO,0,COLUMN())&lt;=0,AL72&lt;=0),"NMF",IF(ABS((INDEX(SP_CFA_CFO,0,COLUMN())/INDEX(SP_GF_ShareCount,0,COLUMN()))/(AL72/AL51)-1)&gt;10,"NMF",(INDEX(SP_CFA_CFO,0,COLUMN())/INDEX(SP_GF_ShareCount,0,COLUMN()))/(AL72/AL51)-1)),"N/A")</f>
      </c>
      <c r="AR123" s="37" t="str">
        <f t="shared" ca="1" si="442"/>
      </c>
      <c r="AS123" s="37" t="str">
        <f t="shared" ca="1" si="442"/>
      </c>
      <c r="AT123" s="1103" t="str">
        <f t="shared" ca="1" si="442"/>
      </c>
      <c r="AU123" s="37">
        <f t="shared" ca="1" si="442"/>
      </c>
      <c r="AV123" s="37" t="str">
        <f t="shared" ca="1" si="442"/>
      </c>
      <c r="AW123" s="37">
        <f t="shared" ca="1" si="442"/>
      </c>
      <c r="AX123" s="37" t="str">
        <f t="shared" ca="1" si="442"/>
      </c>
      <c r="AY123" s="1103">
        <f t="shared" ca="1" si="442"/>
      </c>
      <c r="AZ123" s="37">
        <f t="shared" ca="1" si="442"/>
      </c>
      <c r="BA123" s="37" t="str">
        <f t="shared" ca="1" si="442"/>
      </c>
      <c r="BB123" s="37">
        <f t="shared" ca="1" si="442"/>
      </c>
      <c r="BC123" s="37" t="str">
        <f t="shared" ca="1" si="442"/>
      </c>
      <c r="BD123" s="1103">
        <f t="shared" ca="1" si="442"/>
      </c>
      <c r="BE123" s="37">
        <f t="shared" ca="1" si="442"/>
      </c>
      <c r="BF123" s="37" t="str">
        <f t="shared" ca="1" si="442"/>
      </c>
      <c r="BG123" s="37">
        <f t="shared" ref="BG123:BL123" ca="1" si="443">IFERROR(IF(OR(INDEX(SP_CFA_CFO,0,COLUMN())&lt;=0,BB72&lt;=0),"NMF",IF(ABS((INDEX(SP_CFA_CFO,0,COLUMN())/INDEX(SP_GF_ShareCount,0,COLUMN()))/(BB72/BB51)-1)&gt;10,"NMF",(INDEX(SP_CFA_CFO,0,COLUMN())/INDEX(SP_GF_ShareCount,0,COLUMN()))/(BB72/BB51)-1)),"N/A")</f>
      </c>
      <c r="BH123" s="37">
        <f t="shared" ca="1" si="443"/>
      </c>
      <c r="BI123" s="1103">
        <f t="shared" ca="1" si="443"/>
      </c>
      <c r="BJ123" s="37">
        <f t="shared" ca="1" si="443"/>
      </c>
      <c r="BK123" s="37">
        <f t="shared" ca="1" si="443"/>
      </c>
      <c r="BL123" s="37">
        <f t="shared" ca="1" si="443"/>
      </c>
      <c r="BM123" s="37">
        <f t="shared" ref="BM123:BX123" ca="1" si="444">IFERROR(IF(OR(INDEX(SP_CFA_CFO,0,COLUMN())&lt;=0,BH72&lt;=0),"NMF",IF(ABS((INDEX(SP_CFA_CFO,0,COLUMN())/INDEX(SP_GF_ShareCount,0,COLUMN()))/(BH72/BH51)-1)&gt;10,"NMF",(INDEX(SP_CFA_CFO,0,COLUMN())/INDEX(SP_GF_ShareCount,0,COLUMN()))/(BH72/BH51)-1)),"N/A")</f>
      </c>
      <c r="BN123" s="1103">
        <f t="shared" ca="1" si="444"/>
      </c>
      <c r="BO123" s="37">
        <f t="shared" ref="BO123:BT123" ca="1" si="445">IFERROR(IF(OR(INDEX(SP_CFA_CFO,0,COLUMN())&lt;=0,BJ72&lt;=0),"NMF",IF(ABS((INDEX(SP_CFA_CFO,0,COLUMN())/INDEX(SP_GF_ShareCount,0,COLUMN()))/(BJ72/BJ51)-1)&gt;10,"NMF",(INDEX(SP_CFA_CFO,0,COLUMN())/INDEX(SP_GF_ShareCount,0,COLUMN()))/(BJ72/BJ51)-1)),"N/A")</f>
      </c>
      <c r="BP123" s="37">
        <f t="shared" ca="1" si="445"/>
      </c>
      <c r="BQ123" s="37">
        <f t="shared" ca="1" si="445"/>
      </c>
      <c r="BR123" s="37">
        <f t="shared" ca="1" si="445"/>
      </c>
      <c r="BS123" s="1103">
        <f t="shared" ca="1" si="445"/>
      </c>
      <c r="BT123" s="742">
        <f t="shared" ca="1" si="445"/>
      </c>
      <c r="BU123" s="37">
        <f t="shared" ca="1" si="444"/>
      </c>
      <c r="BV123" s="37">
        <f t="shared" ca="1" si="444"/>
      </c>
      <c r="BW123" s="37">
        <f t="shared" ca="1" si="444"/>
      </c>
      <c r="BX123" s="1103">
        <f t="shared" ca="1" si="444"/>
      </c>
      <c r="BY123" s="37">
        <f ca="1">IFERROR(IF(OR(INDEX(SP_CFA_CFO,0,COLUMN())&lt;=0,BT72&lt;=0),"NMF",IF(ABS((INDEX(SP_CFA_CFO,0,COLUMN())/INDEX(SP_GF_ShareCount,0,COLUMN()))/(BT72/BT51)-1)&gt;10,"NMF",(INDEX(SP_CFA_CFO,0,COLUMN())/INDEX(SP_GF_ShareCount,0,COLUMN()))/(BT72/BT51)-1)),"N/A")</f>
      </c>
      <c r="BZ123" s="37">
        <f ca="1">IFERROR(IF(OR(INDEX(SP_CFA_CFO,0,COLUMN())&lt;=0,BU72&lt;=0),"NMF",IF(ABS((INDEX(SP_CFA_CFO,0,COLUMN())/INDEX(SP_GF_ShareCount,0,COLUMN()))/(BU72/BU51)-1)&gt;10,"NMF",(INDEX(SP_CFA_CFO,0,COLUMN())/INDEX(SP_GF_ShareCount,0,COLUMN()))/(BU72/BU51)-1)),"N/A")</f>
      </c>
      <c r="CA123" s="37">
        <f ca="1">IFERROR(IF(OR(INDEX(SP_CFA_CFO,0,COLUMN())&lt;=0,BV72&lt;=0),"NMF",IF(ABS((INDEX(SP_CFA_CFO,0,COLUMN())/INDEX(SP_GF_ShareCount,0,COLUMN()))/(BV72/BV51)-1)&gt;10,"NMF",(INDEX(SP_CFA_CFO,0,COLUMN())/INDEX(SP_GF_ShareCount,0,COLUMN()))/(BV72/BV51)-1)),"N/A")</f>
      </c>
      <c r="CB123" s="37">
        <f ca="1">IFERROR(IF(OR(INDEX(SP_CFA_CFO,0,COLUMN())&lt;=0,BW72&lt;=0),"NMF",IF(ABS((INDEX(SP_CFA_CFO,0,COLUMN())/INDEX(SP_GF_ShareCount,0,COLUMN()))/(BW72/BW51)-1)&gt;10,"NMF",(INDEX(SP_CFA_CFO,0,COLUMN())/INDEX(SP_GF_ShareCount,0,COLUMN()))/(BW72/BW51)-1)),"N/A")</f>
      </c>
      <c r="CC123" s="1103">
        <f ca="1">IFERROR(IF(OR(INDEX(SP_CFA_CFO,0,COLUMN())&lt;=0,BX72&lt;=0),"NMF",IF(ABS((INDEX(SP_CFA_CFO,0,COLUMN())/INDEX(SP_GF_ShareCount,0,COLUMN()))/(BX72/BX51)-1)&gt;10,"NMF",(INDEX(SP_CFA_CFO,0,COLUMN())/INDEX(SP_GF_ShareCount,0,COLUMN()))/(BX72/BX51)-1)),"N/A")</f>
      </c>
      <c r="CD123" s="1103">
        <f ca="1">IFERROR(IF(OR(INDEX(SP_CFA_CFO,0,COLUMN())&lt;=0,CC72&lt;=0),"NMF",IF(ABS((INDEX(SP_CFA_CFO,0,COLUMN())/INDEX(SP_GF_ShareCount,0,COLUMN()))/(CC72/CC51)-1)&gt;10,"NMF",(INDEX(SP_CFA_CFO,0,COLUMN())/INDEX(SP_GF_ShareCount,0,COLUMN()))/(CC72/CC51)-1)),"N/A")</f>
      </c>
      <c r="CE123" s="1103">
        <f ca="1">IFERROR(IF(OR(INDEX(SP_CFA_CFO,0,COLUMN())&lt;=0,CD72&lt;=0),"NMF",IF(ABS((INDEX(SP_CFA_CFO,0,COLUMN())/INDEX(SP_GF_ShareCount,0,COLUMN()))/(CD72/CD51)-1)&gt;10,"NMF",(INDEX(SP_CFA_CFO,0,COLUMN())/INDEX(SP_GF_ShareCount,0,COLUMN()))/(CD72/CD51)-1)),"N/A")</f>
      </c>
      <c r="CF123" s="1103">
        <f ca="1">IFERROR(IF(OR(INDEX(SP_CFA_CFO,0,COLUMN())&lt;=0,CE72&lt;=0),"NMF",IF(ABS((INDEX(SP_CFA_CFO,0,COLUMN())/INDEX(SP_GF_ShareCount,0,COLUMN()))/(CE72/CE51)-1)&gt;10,"NMF",(INDEX(SP_CFA_CFO,0,COLUMN())/INDEX(SP_GF_ShareCount,0,COLUMN()))/(CE72/CE51)-1)),"N/A")</f>
      </c>
      <c r="CG123" s="86"/>
    </row>
    <row r="124" spans="1:85" customFormat="1" x14ac:dyDescent="0.3">
      <c r="A124" s="124" t="s">
        <v>355</v>
      </c>
      <c r="B124" s="115"/>
      <c r="C124" s="1103"/>
      <c r="D124" s="1103">
        <f ca="1">IF(OR(INDEX(SP_CFA_FCF_PreDiv,0,COLUMN())&lt;=0,C74&lt;=0),"NMF",IF(ABS((INDEX(SP_CFA_FCF_PreDiv,0,COLUMN())/INDEX(SP_CS_ShareCount,0,COLUMN()))/(C74/C51)-1)&gt;10,"NMF",(INDEX(SP_CFA_FCF_PreDiv,0,COLUMN())/INDEX(SP_CS_ShareCount,0,COLUMN()))/(C74/C51)-1))</f>
      </c>
      <c r="E124" s="1103">
        <f ca="1">IF(OR(INDEX(SP_CFA_FCF_PreDiv,0,COLUMN())&lt;=0,D74&lt;=0),"NMF",IF(ABS((INDEX(SP_CFA_FCF_PreDiv,0,COLUMN())/INDEX(SP_CS_ShareCount,0,COLUMN()))/(D74/D51)-1)&gt;10,"NMF",(INDEX(SP_CFA_FCF_PreDiv,0,COLUMN())/INDEX(SP_CS_ShareCount,0,COLUMN()))/(D74/D51)-1))</f>
      </c>
      <c r="F124" s="1103" t="str">
        <f ca="1">IF(OR(INDEX(SP_CFA_FCF_PreDiv,0,COLUMN())&lt;=0,E74&lt;=0),"NMF",IF(ABS((INDEX(SP_CFA_FCF_PreDiv,0,COLUMN())/INDEX(SP_CS_ShareCount,0,COLUMN()))/(E74/E51)-1)&gt;10,"NMF",(INDEX(SP_CFA_FCF_PreDiv,0,COLUMN())/INDEX(SP_CS_ShareCount,0,COLUMN()))/(E74/E51)-1))</f>
      </c>
      <c r="G124" s="37"/>
      <c r="H124" s="37"/>
      <c r="I124" s="37"/>
      <c r="J124" s="37"/>
      <c r="K124" s="1103" t="str">
        <f t="shared" ref="K124:AP124" ca="1" si="446">IF(OR(INDEX(SP_CFA_FCF_PreDiv,0,COLUMN())&lt;=0,F74&lt;=0),"NMF",IF(ABS((INDEX(SP_CFA_FCF_PreDiv,0,COLUMN())/INDEX(SP_CS_ShareCount,0,COLUMN()))/(F74/F51)-1)&gt;10,"NMF",(INDEX(SP_CFA_FCF_PreDiv,0,COLUMN())/INDEX(SP_CS_ShareCount,0,COLUMN()))/(F74/F51)-1))</f>
      </c>
      <c r="L124" s="37" t="str">
        <f t="shared" ca="1" si="446"/>
      </c>
      <c r="M124" s="37">
        <f t="shared" ca="1" si="446"/>
      </c>
      <c r="N124" s="37" t="str">
        <f t="shared" ca="1" si="446"/>
      </c>
      <c r="O124" s="37" t="str">
        <f t="shared" ca="1" si="446"/>
      </c>
      <c r="P124" s="1103" t="str">
        <f t="shared" ca="1" si="446"/>
      </c>
      <c r="Q124" s="37" t="str">
        <f t="shared" ca="1" si="446"/>
      </c>
      <c r="R124" s="37" t="str">
        <f t="shared" ca="1" si="446"/>
      </c>
      <c r="S124" s="37" t="str">
        <f t="shared" ca="1" si="446"/>
      </c>
      <c r="T124" s="37" t="str">
        <f t="shared" ca="1" si="446"/>
      </c>
      <c r="U124" s="1103" t="str">
        <f t="shared" ca="1" si="446"/>
      </c>
      <c r="V124" s="37" t="str">
        <f t="shared" ca="1" si="446"/>
      </c>
      <c r="W124" s="37" t="str">
        <f t="shared" ca="1" si="446"/>
      </c>
      <c r="X124" s="37" t="str">
        <f t="shared" ca="1" si="446"/>
      </c>
      <c r="Y124" s="37" t="str">
        <f t="shared" ca="1" si="446"/>
      </c>
      <c r="Z124" s="1103" t="str">
        <f t="shared" ca="1" si="446"/>
      </c>
      <c r="AA124" s="37" t="str">
        <f t="shared" ca="1" si="446"/>
      </c>
      <c r="AB124" s="37" t="str">
        <f t="shared" ca="1" si="446"/>
      </c>
      <c r="AC124" s="37" t="str">
        <f t="shared" ca="1" si="446"/>
      </c>
      <c r="AD124" s="37" t="str">
        <f t="shared" ca="1" si="446"/>
      </c>
      <c r="AE124" s="1103" t="str">
        <f t="shared" ca="1" si="446"/>
      </c>
      <c r="AF124" s="37" t="str">
        <f t="shared" ca="1" si="446"/>
      </c>
      <c r="AG124" s="37" t="str">
        <f t="shared" ca="1" si="446"/>
      </c>
      <c r="AH124" s="37" t="str">
        <f t="shared" ca="1" si="446"/>
      </c>
      <c r="AI124" s="37" t="str">
        <f t="shared" ca="1" si="446"/>
      </c>
      <c r="AJ124" s="1103" t="str">
        <f t="shared" ca="1" si="446"/>
      </c>
      <c r="AK124" s="37" t="str">
        <f t="shared" ca="1" si="446"/>
      </c>
      <c r="AL124" s="37" t="str">
        <f t="shared" ca="1" si="446"/>
      </c>
      <c r="AM124" s="37" t="str">
        <f t="shared" ca="1" si="446"/>
      </c>
      <c r="AN124" s="37" t="str">
        <f t="shared" ca="1" si="446"/>
      </c>
      <c r="AO124" s="1103" t="str">
        <f t="shared" ca="1" si="446"/>
      </c>
      <c r="AP124" s="37" t="str">
        <f t="shared" ca="1" si="446"/>
      </c>
      <c r="AQ124" s="37" t="str">
        <f t="shared" ref="AQ124:BD124" ca="1" si="447">IF(OR(INDEX(SP_CFA_FCF_PreDiv,0,COLUMN())&lt;=0,AL74&lt;=0),"NMF",IF(ABS((INDEX(SP_CFA_FCF_PreDiv,0,COLUMN())/INDEX(SP_CS_ShareCount,0,COLUMN()))/(AL74/AL51)-1)&gt;10,"NMF",(INDEX(SP_CFA_FCF_PreDiv,0,COLUMN())/INDEX(SP_CS_ShareCount,0,COLUMN()))/(AL74/AL51)-1))</f>
      </c>
      <c r="AR124" s="37" t="str">
        <f t="shared" ca="1" si="447"/>
      </c>
      <c r="AS124" s="37" t="str">
        <f t="shared" ca="1" si="447"/>
      </c>
      <c r="AT124" s="1103" t="str">
        <f t="shared" ca="1" si="447"/>
      </c>
      <c r="AU124" s="37">
        <f t="shared" ca="1" si="447"/>
      </c>
      <c r="AV124" s="37" t="str">
        <f t="shared" ca="1" si="447"/>
      </c>
      <c r="AW124" s="37" t="str">
        <f t="shared" ca="1" si="447"/>
      </c>
      <c r="AX124" s="37" t="str">
        <f t="shared" ca="1" si="447"/>
      </c>
      <c r="AY124" s="1103" t="str">
        <f t="shared" ca="1" si="447"/>
      </c>
      <c r="AZ124" s="37">
        <f t="shared" ca="1" si="447"/>
      </c>
      <c r="BA124" s="37" t="str">
        <f t="shared" ca="1" si="447"/>
      </c>
      <c r="BB124" s="37" t="str">
        <f t="shared" ca="1" si="447"/>
      </c>
      <c r="BC124" s="37" t="str">
        <f t="shared" ca="1" si="447"/>
      </c>
      <c r="BD124" s="1103" t="str">
        <f t="shared" ca="1" si="447"/>
      </c>
      <c r="BE124" s="37">
        <f t="shared" ref="BE124:BJ124" ca="1" si="448">IF(OR(INDEX(SP_CFA_FCF_PreDiv,0,COLUMN())&lt;=0,AZ74&lt;=0),"NMF",IF(ABS((INDEX(SP_CFA_FCF_PreDiv,0,COLUMN())/INDEX(SP_CS_ShareCount,0,COLUMN()))/(AZ74/AZ51)-1)&gt;10,"NMF",(INDEX(SP_CFA_FCF_PreDiv,0,COLUMN())/INDEX(SP_CS_ShareCount,0,COLUMN()))/(AZ74/AZ51)-1))</f>
      </c>
      <c r="BF124" s="37" t="str">
        <f t="shared" ca="1" si="448"/>
      </c>
      <c r="BG124" s="37">
        <f t="shared" ca="1" si="448"/>
      </c>
      <c r="BH124" s="37">
        <f t="shared" ca="1" si="448"/>
      </c>
      <c r="BI124" s="1103">
        <f t="shared" ca="1" si="448"/>
      </c>
      <c r="BJ124" s="37">
        <f t="shared" ca="1" si="448"/>
      </c>
      <c r="BK124" s="37">
        <f t="shared" ref="BK124:BX124" ca="1" si="449">IF(OR(INDEX(SP_CFA_FCF_PreDiv,0,COLUMN())&lt;=0,BF74&lt;=0),"NMF",IF(ABS((INDEX(SP_CFA_FCF_PreDiv,0,COLUMN())/INDEX(SP_CS_ShareCount,0,COLUMN()))/(BF74/BF51)-1)&gt;10,"NMF",(INDEX(SP_CFA_FCF_PreDiv,0,COLUMN())/INDEX(SP_CS_ShareCount,0,COLUMN()))/(BF74/BF51)-1))</f>
      </c>
      <c r="BL124" s="37">
        <f t="shared" ca="1" si="449"/>
      </c>
      <c r="BM124" s="37">
        <f t="shared" ca="1" si="449"/>
      </c>
      <c r="BN124" s="1103">
        <f t="shared" ca="1" si="449"/>
      </c>
      <c r="BO124" s="37">
        <f t="shared" ref="BO124:BT124" ca="1" si="450">IF(OR(INDEX(SP_CFA_FCF_PreDiv,0,COLUMN())&lt;=0,BJ74&lt;=0),"NMF",IF(ABS((INDEX(SP_CFA_FCF_PreDiv,0,COLUMN())/INDEX(SP_CS_ShareCount,0,COLUMN()))/(BJ74/BJ51)-1)&gt;10,"NMF",(INDEX(SP_CFA_FCF_PreDiv,0,COLUMN())/INDEX(SP_CS_ShareCount,0,COLUMN()))/(BJ74/BJ51)-1))</f>
      </c>
      <c r="BP124" s="37">
        <f t="shared" ca="1" si="450"/>
      </c>
      <c r="BQ124" s="37">
        <f t="shared" ca="1" si="450"/>
      </c>
      <c r="BR124" s="37">
        <f t="shared" ca="1" si="450"/>
      </c>
      <c r="BS124" s="1103">
        <f t="shared" ca="1" si="450"/>
      </c>
      <c r="BT124" s="742">
        <f t="shared" ca="1" si="450"/>
      </c>
      <c r="BU124" s="37">
        <f t="shared" ca="1" si="449"/>
      </c>
      <c r="BV124" s="37">
        <f t="shared" ca="1" si="449"/>
      </c>
      <c r="BW124" s="37">
        <f t="shared" ca="1" si="449"/>
      </c>
      <c r="BX124" s="1103">
        <f t="shared" ca="1" si="449"/>
      </c>
      <c r="BY124" s="37">
        <f ca="1">IF(OR(INDEX(SP_CFA_FCF_PreDiv,0,COLUMN())&lt;=0,BT74&lt;=0),"NMF",IF(ABS((INDEX(SP_CFA_FCF_PreDiv,0,COLUMN())/INDEX(SP_CS_ShareCount,0,COLUMN()))/(BT74/BT51)-1)&gt;10,"NMF",(INDEX(SP_CFA_FCF_PreDiv,0,COLUMN())/INDEX(SP_CS_ShareCount,0,COLUMN()))/(BT74/BT51)-1))</f>
      </c>
      <c r="BZ124" s="37">
        <f ca="1">IF(OR(INDEX(SP_CFA_FCF_PreDiv,0,COLUMN())&lt;=0,BU74&lt;=0),"NMF",IF(ABS((INDEX(SP_CFA_FCF_PreDiv,0,COLUMN())/INDEX(SP_CS_ShareCount,0,COLUMN()))/(BU74/BU51)-1)&gt;10,"NMF",(INDEX(SP_CFA_FCF_PreDiv,0,COLUMN())/INDEX(SP_CS_ShareCount,0,COLUMN()))/(BU74/BU51)-1))</f>
      </c>
      <c r="CA124" s="37">
        <f ca="1">IF(OR(INDEX(SP_CFA_FCF_PreDiv,0,COLUMN())&lt;=0,BV74&lt;=0),"NMF",IF(ABS((INDEX(SP_CFA_FCF_PreDiv,0,COLUMN())/INDEX(SP_CS_ShareCount,0,COLUMN()))/(BV74/BV51)-1)&gt;10,"NMF",(INDEX(SP_CFA_FCF_PreDiv,0,COLUMN())/INDEX(SP_CS_ShareCount,0,COLUMN()))/(BV74/BV51)-1))</f>
      </c>
      <c r="CB124" s="37">
        <f ca="1">IF(OR(INDEX(SP_CFA_FCF_PreDiv,0,COLUMN())&lt;=0,BW74&lt;=0),"NMF",IF(ABS((INDEX(SP_CFA_FCF_PreDiv,0,COLUMN())/INDEX(SP_CS_ShareCount,0,COLUMN()))/(BW74/BW51)-1)&gt;10,"NMF",(INDEX(SP_CFA_FCF_PreDiv,0,COLUMN())/INDEX(SP_CS_ShareCount,0,COLUMN()))/(BW74/BW51)-1))</f>
      </c>
      <c r="CC124" s="1103">
        <f ca="1">IF(OR(INDEX(SP_CFA_FCF_PreDiv,0,COLUMN())&lt;=0,BX74&lt;=0),"NMF",IF(ABS((INDEX(SP_CFA_FCF_PreDiv,0,COLUMN())/INDEX(SP_CS_ShareCount,0,COLUMN()))/(BX74/BX51)-1)&gt;10,"NMF",(INDEX(SP_CFA_FCF_PreDiv,0,COLUMN())/INDEX(SP_CS_ShareCount,0,COLUMN()))/(BX74/BX51)-1))</f>
      </c>
      <c r="CD124" s="1103">
        <f ca="1">IF(OR(INDEX(SP_CFA_FCF_PreDiv,0,COLUMN())&lt;=0,CC74&lt;=0),"NMF",IF(ABS((INDEX(SP_CFA_FCF_PreDiv,0,COLUMN())/INDEX(SP_CS_ShareCount,0,COLUMN()))/(CC74/CC51)-1)&gt;10,"NMF",(INDEX(SP_CFA_FCF_PreDiv,0,COLUMN())/INDEX(SP_CS_ShareCount,0,COLUMN()))/(CC74/CC51)-1))</f>
      </c>
      <c r="CE124" s="1103">
        <f ca="1">IF(OR(INDEX(SP_CFA_FCF_PreDiv,0,COLUMN())&lt;=0,CD74&lt;=0),"NMF",IF(ABS((INDEX(SP_CFA_FCF_PreDiv,0,COLUMN())/INDEX(SP_CS_ShareCount,0,COLUMN()))/(CD74/CD51)-1)&gt;10,"NMF",(INDEX(SP_CFA_FCF_PreDiv,0,COLUMN())/INDEX(SP_CS_ShareCount,0,COLUMN()))/(CD74/CD51)-1))</f>
      </c>
      <c r="CF124" s="1103">
        <f ca="1">IF(OR(INDEX(SP_CFA_FCF_PreDiv,0,COLUMN())&lt;=0,CE74&lt;=0),"NMF",IF(ABS((INDEX(SP_CFA_FCF_PreDiv,0,COLUMN())/INDEX(SP_CS_ShareCount,0,COLUMN()))/(CE74/CE51)-1)&gt;10,"NMF",(INDEX(SP_CFA_FCF_PreDiv,0,COLUMN())/INDEX(SP_CS_ShareCount,0,COLUMN()))/(CE74/CE51)-1))</f>
      </c>
      <c r="CG124" s="86"/>
    </row>
    <row r="125" spans="1:85" customFormat="1" x14ac:dyDescent="0.3">
      <c r="A125" s="106"/>
      <c r="B125" s="111"/>
      <c r="C125" s="1097"/>
      <c r="D125" s="1097"/>
      <c r="E125" s="1097"/>
      <c r="F125" s="1097"/>
      <c r="G125" s="772"/>
      <c r="H125" s="772"/>
      <c r="I125" s="772"/>
      <c r="J125" s="772"/>
      <c r="K125" s="1097"/>
      <c r="L125" s="772"/>
      <c r="M125" s="772"/>
      <c r="N125" s="772"/>
      <c r="O125" s="772"/>
      <c r="P125" s="1097"/>
      <c r="Q125" s="772"/>
      <c r="R125" s="772"/>
      <c r="S125" s="772"/>
      <c r="T125" s="772"/>
      <c r="U125" s="1097"/>
      <c r="V125" s="772"/>
      <c r="W125" s="772"/>
      <c r="X125" s="772"/>
      <c r="Y125" s="772"/>
      <c r="Z125" s="1097"/>
      <c r="AA125" s="772"/>
      <c r="AB125" s="772"/>
      <c r="AC125" s="772"/>
      <c r="AD125" s="772"/>
      <c r="AE125" s="1097"/>
      <c r="AF125" s="772"/>
      <c r="AG125" s="772"/>
      <c r="AH125" s="772"/>
      <c r="AI125" s="772"/>
      <c r="AJ125" s="1097"/>
      <c r="AK125" s="772"/>
      <c r="AL125" s="772"/>
      <c r="AM125" s="772"/>
      <c r="AN125" s="772"/>
      <c r="AO125" s="1097"/>
      <c r="AP125" s="772"/>
      <c r="AQ125" s="772"/>
      <c r="AR125" s="772"/>
      <c r="AS125" s="772"/>
      <c r="AT125" s="1097"/>
      <c r="AU125" s="772"/>
      <c r="AV125" s="772"/>
      <c r="AW125" s="772"/>
      <c r="AX125" s="772"/>
      <c r="AY125" s="1097"/>
      <c r="AZ125" s="772"/>
      <c r="BA125" s="772"/>
      <c r="BB125" s="772"/>
      <c r="BC125" s="772"/>
      <c r="BD125" s="1097"/>
      <c r="BE125" s="772"/>
      <c r="BF125" s="772"/>
      <c r="BG125" s="772"/>
      <c r="BH125" s="772"/>
      <c r="BI125" s="1097"/>
      <c r="BJ125" s="772"/>
      <c r="BK125" s="772"/>
      <c r="BL125" s="772"/>
      <c r="BM125" s="772"/>
      <c r="BN125" s="1097"/>
      <c r="BO125" s="772"/>
      <c r="BP125" s="772"/>
      <c r="BQ125" s="772"/>
      <c r="BR125" s="772"/>
      <c r="BS125" s="1097"/>
      <c r="BT125" s="838"/>
      <c r="BU125" s="772"/>
      <c r="BV125" s="772"/>
      <c r="BW125" s="772"/>
      <c r="BX125" s="1097"/>
      <c r="BY125" s="772"/>
      <c r="BZ125" s="772"/>
      <c r="CA125" s="772"/>
      <c r="CB125" s="772"/>
      <c r="CC125" s="1097"/>
      <c r="CD125" s="1097"/>
      <c r="CE125" s="1097"/>
      <c r="CF125" s="1097"/>
      <c r="CG125" s="96"/>
    </row>
    <row r="126" spans="1:85" customFormat="1" x14ac:dyDescent="0.3">
      <c r="A126" s="50" t="s">
        <v>356</v>
      </c>
      <c r="B126" s="773"/>
      <c r="C126" s="773"/>
      <c r="D126" s="773"/>
      <c r="E126" s="773"/>
      <c r="F126" s="773"/>
      <c r="G126" s="773"/>
      <c r="H126" s="773"/>
      <c r="I126" s="773"/>
      <c r="J126" s="773"/>
      <c r="K126" s="773"/>
      <c r="L126" s="773"/>
      <c r="M126" s="773"/>
      <c r="N126" s="773"/>
      <c r="O126" s="773"/>
      <c r="P126" s="773"/>
      <c r="Q126" s="773"/>
      <c r="R126" s="773"/>
      <c r="S126" s="773"/>
      <c r="T126" s="773"/>
      <c r="U126" s="773"/>
      <c r="V126" s="773"/>
      <c r="W126" s="773"/>
      <c r="X126" s="773"/>
      <c r="Y126" s="773"/>
      <c r="Z126" s="773"/>
      <c r="AA126" s="773"/>
      <c r="AB126" s="773"/>
      <c r="AC126" s="773"/>
      <c r="AD126" s="773"/>
      <c r="AE126" s="773"/>
      <c r="AF126" s="773"/>
      <c r="AG126" s="773"/>
      <c r="AH126" s="773"/>
      <c r="AI126" s="773"/>
      <c r="AJ126" s="773"/>
      <c r="AK126" s="773"/>
      <c r="AL126" s="773"/>
      <c r="AM126" s="773"/>
      <c r="AN126" s="773"/>
      <c r="AO126" s="773"/>
      <c r="AP126" s="773"/>
      <c r="AQ126" s="773"/>
      <c r="AR126" s="773"/>
      <c r="AS126" s="773"/>
      <c r="AT126" s="773"/>
      <c r="AU126" s="773"/>
      <c r="AV126" s="773"/>
      <c r="AW126" s="773"/>
      <c r="AX126" s="773"/>
      <c r="AY126" s="773"/>
      <c r="AZ126" s="773"/>
      <c r="BA126" s="773"/>
      <c r="BB126" s="773"/>
      <c r="BC126" s="773"/>
      <c r="BD126" s="773"/>
      <c r="BE126" s="773"/>
      <c r="BF126" s="773"/>
      <c r="BG126" s="773"/>
      <c r="BH126" s="773"/>
      <c r="BI126" s="773"/>
      <c r="BJ126" s="773"/>
      <c r="BK126" s="773"/>
      <c r="BL126" s="773"/>
      <c r="BM126" s="773"/>
      <c r="BN126" s="773"/>
      <c r="BO126" s="773"/>
      <c r="BP126" s="773"/>
      <c r="BQ126" s="773"/>
      <c r="BR126" s="773"/>
      <c r="BS126" s="773"/>
      <c r="BT126" s="839"/>
      <c r="BU126" s="773"/>
      <c r="BV126" s="773"/>
      <c r="BW126" s="773"/>
      <c r="BX126" s="773"/>
      <c r="BY126" s="773"/>
      <c r="BZ126" s="773"/>
      <c r="CA126" s="773"/>
      <c r="CB126" s="773"/>
      <c r="CC126" s="773"/>
      <c r="CD126" s="773"/>
      <c r="CE126" s="773"/>
      <c r="CF126" s="773"/>
      <c r="CG126" s="96"/>
    </row>
    <row r="127" spans="1:85" customFormat="1" x14ac:dyDescent="0.3">
      <c r="A127" s="125" t="str">
        <f>"P/E - "&amp;SP.ValuationToggle</f>
      </c>
      <c r="B127" s="126"/>
      <c r="C127" s="1109">
        <f>INDEX(SP_CS_StockPrice,0,COLUMN())/INDEX(SP_Company1876_EPS,0,COLUMN())</f>
      </c>
      <c r="D127" s="1109">
        <f>INDEX(SP_CS_StockPrice,0,COLUMN())/INDEX(SP_Company1876_EPS,0,COLUMN())</f>
      </c>
      <c r="E127" s="1109">
        <f>INDEX(SP_CS_StockPrice,0,COLUMN())/INDEX(SP_Company1876_EPS,0,COLUMN())</f>
      </c>
      <c r="F127" s="1109">
        <f>INDEX(SP_CS_StockPrice,0,COLUMN())/INDEX(SP_Company1876_EPS,0,COLUMN())</f>
      </c>
      <c r="G127" s="653"/>
      <c r="H127" s="653"/>
      <c r="I127" s="653"/>
      <c r="J127" s="653"/>
      <c r="K127" s="1109">
        <f>INDEX(SP_CS_StockPrice,0,COLUMN())/INDEX(SP_Company1876_EPS,0,COLUMN())</f>
      </c>
      <c r="L127" s="653"/>
      <c r="M127" s="653"/>
      <c r="N127" s="653"/>
      <c r="O127" s="653"/>
      <c r="P127" s="1109">
        <f>INDEX(SP_CS_StockPrice,0,COLUMN())/INDEX(SP_Company1876_EPS,0,COLUMN())</f>
      </c>
      <c r="Q127" s="653"/>
      <c r="R127" s="653"/>
      <c r="S127" s="653"/>
      <c r="T127" s="653"/>
      <c r="U127" s="1109">
        <f>INDEX(SP_CS_StockPrice,0,COLUMN())/INDEX(SP_Company1876_EPS,0,COLUMN())</f>
      </c>
      <c r="V127" s="653"/>
      <c r="W127" s="42"/>
      <c r="X127" s="42"/>
      <c r="Y127" s="42"/>
      <c r="Z127" s="1109">
        <f>INDEX(SP_CS_StockPrice,0,COLUMN())/INDEX(SP_Company1876_EPS,0,COLUMN())</f>
      </c>
      <c r="AA127" s="42"/>
      <c r="AB127" s="42"/>
      <c r="AC127" s="42"/>
      <c r="AD127" s="42"/>
      <c r="AE127" s="1109">
        <f>INDEX(SP_CS_StockPrice,0,COLUMN())/INDEX(SP_Company1876_EPS,0,COLUMN())</f>
      </c>
      <c r="AF127" s="42"/>
      <c r="AG127" s="42"/>
      <c r="AH127" s="42"/>
      <c r="AI127" s="42"/>
      <c r="AJ127" s="1109">
        <f>INDEX(SP_CS_StockPrice,0,COLUMN())/INDEX(SP_Company1876_EPS,0,COLUMN())</f>
      </c>
      <c r="AK127" s="42"/>
      <c r="AL127" s="42"/>
      <c r="AM127" s="42"/>
      <c r="AN127" s="42"/>
      <c r="AO127" s="1109">
        <f>INDEX(SP_CS_StockPrice,0,COLUMN())/INDEX(SP_Company1876_EPS,0,COLUMN())</f>
      </c>
      <c r="AP127" s="42"/>
      <c r="AQ127" s="42"/>
      <c r="AR127" s="42"/>
      <c r="AS127" s="42"/>
      <c r="AT127" s="1109">
        <f>INDEX(SP_CS_StockPrice,0,COLUMN())/INDEX(SP_Company1876_EPS,0,COLUMN())</f>
      </c>
      <c r="AU127" s="42"/>
      <c r="AV127" s="42"/>
      <c r="AW127" s="42"/>
      <c r="AX127" s="42"/>
      <c r="AY127" s="1109">
        <f>INDEX(SP_CS_StockPrice,0,COLUMN())/INDEX(SP_Company1876_EPS,0,COLUMN())</f>
      </c>
      <c r="AZ127" s="42"/>
      <c r="BA127" s="42"/>
      <c r="BB127" s="42"/>
      <c r="BC127" s="42"/>
      <c r="BD127" s="1109">
        <f>INDEX(SP_CS_StockPrice,0,COLUMN())/INDEX(SP_Company1876_EPS,0,COLUMN())</f>
      </c>
      <c r="BE127" s="42"/>
      <c r="BF127" s="42"/>
      <c r="BG127" s="42"/>
      <c r="BH127" s="42"/>
      <c r="BI127" s="1109">
        <f>INDEX(SP_CS_StockPrice,0,COLUMN())/INDEX(SP_Company1876_EPS,0,COLUMN())</f>
      </c>
      <c r="BJ127" s="42"/>
      <c r="BK127" s="42"/>
      <c r="BL127" s="42"/>
      <c r="BM127" s="42"/>
      <c r="BN127" s="1109">
        <f>INDEX(SP_CS_StockPrice,0,COLUMN())/INDEX(SP_Company1876_EPS,0,COLUMN())</f>
      </c>
      <c r="BO127" s="42"/>
      <c r="BP127" s="42"/>
      <c r="BQ127" s="42"/>
      <c r="BR127" s="42"/>
      <c r="BS127" s="1109">
        <f>INDEX(SP_CS_StockPrice,0,COLUMN())/INDEX(SP_Company1876_EPS,0,COLUMN())</f>
      </c>
      <c r="BT127" s="748"/>
      <c r="BU127" s="42"/>
      <c r="BV127" s="42"/>
      <c r="BW127" s="42"/>
      <c r="BX127" s="1109">
        <f>INDEX(SP_CS_StockPrice,0,COLUMN())/INDEX(SP_Company1876_EPS,0,COLUMN())</f>
      </c>
      <c r="BY127" s="42"/>
      <c r="BZ127" s="42"/>
      <c r="CA127" s="42"/>
      <c r="CB127" s="42"/>
      <c r="CC127" s="1109">
        <f>INDEX(SP_CS_StockPrice,0,COLUMN())/INDEX(SP_Company1876_EPS,0,COLUMN())</f>
      </c>
      <c r="CD127" s="1109">
        <f>INDEX(SP_CS_StockPrice,0,COLUMN())/INDEX(SP_Company1876_EPS,0,COLUMN())</f>
      </c>
      <c r="CE127" s="1109">
        <f>INDEX(SP_CS_StockPrice,0,COLUMN())/INDEX(SP_Company1876_EPS,0,COLUMN())</f>
      </c>
      <c r="CF127" s="1109">
        <f>INDEX(SP_CS_StockPrice,0,COLUMN())/INDEX(SP_Company1876_EPS,0,COLUMN())</f>
      </c>
      <c r="CG127" s="42"/>
    </row>
    <row r="128" spans="1:85" customFormat="1" x14ac:dyDescent="0.3">
      <c r="A128" s="125" t="str">
        <f>"EV/EBITDA - "&amp;SP.ValuationToggle</f>
      </c>
      <c r="B128" s="126"/>
      <c r="C128" s="1109">
        <f>INDEX(SP_CS_EV,0,COLUMN())/INDEX(SP_Company1876_EBITDA,0,COLUMN())</f>
      </c>
      <c r="D128" s="1109">
        <f>INDEX(SP_CS_EV,0,COLUMN())/INDEX(SP_Company1876_EBITDA,0,COLUMN())</f>
      </c>
      <c r="E128" s="1109">
        <f>INDEX(SP_CS_EV,0,COLUMN())/INDEX(SP_Company1876_EBITDA,0,COLUMN())</f>
      </c>
      <c r="F128" s="1109">
        <f>INDEX(SP_CS_EV,0,COLUMN())/INDEX(SP_Company1876_EBITDA,0,COLUMN())</f>
      </c>
      <c r="G128" s="653"/>
      <c r="H128" s="653"/>
      <c r="I128" s="653"/>
      <c r="J128" s="653"/>
      <c r="K128" s="1109">
        <f>INDEX(SP_CS_EV,0,COLUMN())/INDEX(SP_Company1876_EBITDA,0,COLUMN())</f>
      </c>
      <c r="L128" s="653"/>
      <c r="M128" s="653"/>
      <c r="N128" s="653"/>
      <c r="O128" s="653"/>
      <c r="P128" s="1109">
        <f>INDEX(SP_CS_EV,0,COLUMN())/INDEX(SP_Company1876_EBITDA,0,COLUMN())</f>
      </c>
      <c r="Q128" s="653"/>
      <c r="R128" s="653"/>
      <c r="S128" s="653"/>
      <c r="T128" s="653"/>
      <c r="U128" s="1109">
        <f>INDEX(SP_CS_EV,0,COLUMN())/INDEX(SP_Company1876_EBITDA,0,COLUMN())</f>
      </c>
      <c r="V128" s="653"/>
      <c r="W128" s="42"/>
      <c r="X128" s="42"/>
      <c r="Y128" s="42"/>
      <c r="Z128" s="1109">
        <f>INDEX(SP_CS_EV,0,COLUMN())/INDEX(SP_Company1876_EBITDA,0,COLUMN())</f>
      </c>
      <c r="AA128" s="42"/>
      <c r="AB128" s="42"/>
      <c r="AC128" s="42"/>
      <c r="AD128" s="42"/>
      <c r="AE128" s="1109">
        <f>INDEX(SP_CS_EV,0,COLUMN())/INDEX(SP_Company1876_EBITDA,0,COLUMN())</f>
      </c>
      <c r="AF128" s="42"/>
      <c r="AG128" s="42"/>
      <c r="AH128" s="42"/>
      <c r="AI128" s="42"/>
      <c r="AJ128" s="1109">
        <f>INDEX(SP_CS_EV,0,COLUMN())/INDEX(SP_Company1876_EBITDA,0,COLUMN())</f>
      </c>
      <c r="AK128" s="42"/>
      <c r="AL128" s="42"/>
      <c r="AM128" s="42"/>
      <c r="AN128" s="42"/>
      <c r="AO128" s="1109">
        <f>INDEX(SP_CS_EV,0,COLUMN())/INDEX(SP_Company1876_EBITDA,0,COLUMN())</f>
      </c>
      <c r="AP128" s="42"/>
      <c r="AQ128" s="42"/>
      <c r="AR128" s="42"/>
      <c r="AS128" s="42"/>
      <c r="AT128" s="1109">
        <f>INDEX(SP_CS_EV,0,COLUMN())/INDEX(SP_Company1876_EBITDA,0,COLUMN())</f>
      </c>
      <c r="AU128" s="42"/>
      <c r="AV128" s="42"/>
      <c r="AW128" s="42"/>
      <c r="AX128" s="42"/>
      <c r="AY128" s="1109">
        <f>INDEX(SP_CS_EV,0,COLUMN())/INDEX(SP_Company1876_EBITDA,0,COLUMN())</f>
      </c>
      <c r="AZ128" s="42"/>
      <c r="BA128" s="42"/>
      <c r="BB128" s="42"/>
      <c r="BC128" s="42"/>
      <c r="BD128" s="1109">
        <f>INDEX(SP_CS_EV,0,COLUMN())/INDEX(SP_Company1876_EBITDA,0,COLUMN())</f>
      </c>
      <c r="BE128" s="42"/>
      <c r="BF128" s="42"/>
      <c r="BG128" s="42"/>
      <c r="BH128" s="42"/>
      <c r="BI128" s="1109">
        <f>INDEX(SP_CS_EV,0,COLUMN())/INDEX(SP_Company1876_EBITDA,0,COLUMN())</f>
      </c>
      <c r="BJ128" s="42"/>
      <c r="BK128" s="42"/>
      <c r="BL128" s="42"/>
      <c r="BM128" s="42"/>
      <c r="BN128" s="1109">
        <f>INDEX(SP_CS_EV,0,COLUMN())/INDEX(SP_Company1876_EBITDA,0,COLUMN())</f>
      </c>
      <c r="BO128" s="42"/>
      <c r="BP128" s="42"/>
      <c r="BQ128" s="42"/>
      <c r="BR128" s="42"/>
      <c r="BS128" s="1109">
        <f>INDEX(SP_CS_EV,0,COLUMN())/INDEX(SP_Company1876_EBITDA,0,COLUMN())</f>
      </c>
      <c r="BT128" s="748"/>
      <c r="BU128" s="42"/>
      <c r="BV128" s="42"/>
      <c r="BW128" s="42"/>
      <c r="BX128" s="1109">
        <f>INDEX(SP_CS_EV,0,COLUMN())/INDEX(SP_Company1876_EBITDA,0,COLUMN())</f>
      </c>
      <c r="BY128" s="42"/>
      <c r="BZ128" s="42"/>
      <c r="CA128" s="42"/>
      <c r="CB128" s="42"/>
      <c r="CC128" s="1109">
        <f>INDEX(SP_CS_EV,0,COLUMN())/INDEX(SP_Company1876_EBITDA,0,COLUMN())</f>
      </c>
      <c r="CD128" s="1109">
        <f>INDEX(SP_CS_EV,0,COLUMN())/INDEX(SP_Company1876_EBITDA,0,COLUMN())</f>
      </c>
      <c r="CE128" s="1109">
        <f>INDEX(SP_CS_EV,0,COLUMN())/INDEX(SP_Company1876_EBITDA,0,COLUMN())</f>
      </c>
      <c r="CF128" s="1109">
        <f>INDEX(SP_CS_EV,0,COLUMN())/INDEX(SP_Company1876_EBITDA,0,COLUMN())</f>
      </c>
      <c r="CG128" s="42"/>
    </row>
    <row r="129" spans="1:85" customFormat="1" x14ac:dyDescent="0.3">
      <c r="A129" s="125" t="str">
        <f>"P/CF - "&amp;SP.ValuationToggle</f>
      </c>
      <c r="B129" s="126"/>
      <c r="C129" s="1109">
        <f ca="1">INDEX(SP_CS_StockPrice,0,COLUMN())/INDEX(SP_CFA_CFO_PerShare,0,COLUMN())</f>
      </c>
      <c r="D129" s="1109">
        <f ca="1">INDEX(SP_CS_StockPrice,0,COLUMN())/INDEX(SP_CFA_CFO_PerShare,0,COLUMN())</f>
      </c>
      <c r="E129" s="1109">
        <f ca="1">INDEX(SP_CS_StockPrice,0,COLUMN())/INDEX(SP_CFA_CFO_PerShare,0,COLUMN())</f>
      </c>
      <c r="F129" s="1109">
        <f ca="1">INDEX(SP_CS_StockPrice,0,COLUMN())/INDEX(SP_CFA_CFO_PerShare,0,COLUMN())</f>
      </c>
      <c r="G129" s="653"/>
      <c r="H129" s="653"/>
      <c r="I129" s="653"/>
      <c r="J129" s="653"/>
      <c r="K129" s="1109">
        <f ca="1">INDEX(SP_CS_StockPrice,0,COLUMN())/INDEX(SP_CFA_CFO_PerShare,0,COLUMN())</f>
      </c>
      <c r="L129" s="653"/>
      <c r="M129" s="653"/>
      <c r="N129" s="653"/>
      <c r="O129" s="653"/>
      <c r="P129" s="1109">
        <f ca="1">INDEX(SP_CS_StockPrice,0,COLUMN())/INDEX(SP_CFA_CFO_PerShare,0,COLUMN())</f>
      </c>
      <c r="Q129" s="653"/>
      <c r="R129" s="653"/>
      <c r="S129" s="653"/>
      <c r="T129" s="653"/>
      <c r="U129" s="1109">
        <f ca="1">INDEX(SP_CS_StockPrice,0,COLUMN())/INDEX(SP_CFA_CFO_PerShare,0,COLUMN())</f>
      </c>
      <c r="V129" s="653"/>
      <c r="W129" s="42"/>
      <c r="X129" s="42"/>
      <c r="Y129" s="42"/>
      <c r="Z129" s="1109">
        <f ca="1">INDEX(SP_CS_StockPrice,0,COLUMN())/INDEX(SP_CFA_CFO_PerShare,0,COLUMN())</f>
      </c>
      <c r="AA129" s="42"/>
      <c r="AB129" s="42"/>
      <c r="AC129" s="42"/>
      <c r="AD129" s="42"/>
      <c r="AE129" s="1109">
        <f ca="1">INDEX(SP_CS_StockPrice,0,COLUMN())/INDEX(SP_CFA_CFO_PerShare,0,COLUMN())</f>
      </c>
      <c r="AF129" s="42"/>
      <c r="AG129" s="42"/>
      <c r="AH129" s="42"/>
      <c r="AI129" s="42"/>
      <c r="AJ129" s="1109">
        <f ca="1">INDEX(SP_CS_StockPrice,0,COLUMN())/INDEX(SP_CFA_CFO_PerShare,0,COLUMN())</f>
      </c>
      <c r="AK129" s="42"/>
      <c r="AL129" s="42"/>
      <c r="AM129" s="42"/>
      <c r="AN129" s="42"/>
      <c r="AO129" s="1109">
        <f ca="1">INDEX(SP_CS_StockPrice,0,COLUMN())/INDEX(SP_CFA_CFO_PerShare,0,COLUMN())</f>
      </c>
      <c r="AP129" s="42"/>
      <c r="AQ129" s="42"/>
      <c r="AR129" s="42"/>
      <c r="AS129" s="42"/>
      <c r="AT129" s="1109">
        <f ca="1">INDEX(SP_CS_StockPrice,0,COLUMN())/INDEX(SP_CFA_CFO_PerShare,0,COLUMN())</f>
      </c>
      <c r="AU129" s="42"/>
      <c r="AV129" s="42"/>
      <c r="AW129" s="42"/>
      <c r="AX129" s="42"/>
      <c r="AY129" s="1109">
        <f ca="1">INDEX(SP_CS_StockPrice,0,COLUMN())/INDEX(SP_CFA_CFO_PerShare,0,COLUMN())</f>
      </c>
      <c r="AZ129" s="42"/>
      <c r="BA129" s="42"/>
      <c r="BB129" s="42"/>
      <c r="BC129" s="42"/>
      <c r="BD129" s="1109">
        <f ca="1">INDEX(SP_CS_StockPrice,0,COLUMN())/INDEX(SP_CFA_CFO_PerShare,0,COLUMN())</f>
      </c>
      <c r="BE129" s="42"/>
      <c r="BF129" s="42"/>
      <c r="BG129" s="42"/>
      <c r="BH129" s="42"/>
      <c r="BI129" s="1109">
        <f ca="1">INDEX(SP_CS_StockPrice,0,COLUMN())/INDEX(SP_CFA_CFO_PerShare,0,COLUMN())</f>
      </c>
      <c r="BJ129" s="42"/>
      <c r="BK129" s="42"/>
      <c r="BL129" s="42"/>
      <c r="BM129" s="42"/>
      <c r="BN129" s="1109">
        <f ca="1">INDEX(SP_CS_StockPrice,0,COLUMN())/INDEX(SP_CFA_CFO_PerShare,0,COLUMN())</f>
      </c>
      <c r="BO129" s="42"/>
      <c r="BP129" s="42"/>
      <c r="BQ129" s="42"/>
      <c r="BR129" s="42"/>
      <c r="BS129" s="1109">
        <f ca="1">INDEX(SP_CS_StockPrice,0,COLUMN())/INDEX(SP_CFA_CFO_PerShare,0,COLUMN())</f>
      </c>
      <c r="BT129" s="748"/>
      <c r="BU129" s="42"/>
      <c r="BV129" s="42"/>
      <c r="BW129" s="42"/>
      <c r="BX129" s="1109">
        <f ca="1">INDEX(SP_CS_StockPrice,0,COLUMN())/INDEX(SP_CFA_CFO_PerShare,0,COLUMN())</f>
      </c>
      <c r="BY129" s="42"/>
      <c r="BZ129" s="42"/>
      <c r="CA129" s="42"/>
      <c r="CB129" s="42"/>
      <c r="CC129" s="1109">
        <f ca="1">INDEX(SP_CS_StockPrice,0,COLUMN())/INDEX(SP_CFA_CFO_PerShare,0,COLUMN())</f>
      </c>
      <c r="CD129" s="1109">
        <f ca="1">INDEX(SP_CS_StockPrice,0,COLUMN())/INDEX(SP_CFA_CFO_PerShare,0,COLUMN())</f>
      </c>
      <c r="CE129" s="1109">
        <f ca="1">INDEX(SP_CS_StockPrice,0,COLUMN())/INDEX(SP_CFA_CFO_PerShare,0,COLUMN())</f>
      </c>
      <c r="CF129" s="1109">
        <f ca="1">INDEX(SP_CS_StockPrice,0,COLUMN())/INDEX(SP_CFA_CFO_PerShare,0,COLUMN())</f>
      </c>
      <c r="CG129" s="42"/>
    </row>
    <row r="130" spans="1:85" customFormat="1" x14ac:dyDescent="0.3">
      <c r="A130" s="124" t="str">
        <f>"FCF Yield % to "&amp;SP.ValuationToggle&amp;" Market Cap"</f>
      </c>
      <c r="B130" s="115"/>
      <c r="C130" s="1103">
        <f ca="1">INDEX(SP_CFA_FCF_PreDiv,0,COLUMN())/INDEX(SP_CS_MarketCap,0,COLUMN())</f>
      </c>
      <c r="D130" s="1103">
        <f ca="1">INDEX(SP_CFA_FCF_PreDiv,0,COLUMN())/INDEX(SP_CS_MarketCap,0,COLUMN())</f>
      </c>
      <c r="E130" s="1103">
        <f ca="1">INDEX(SP_CFA_FCF_PreDiv,0,COLUMN())/INDEX(SP_CS_MarketCap,0,COLUMN())</f>
      </c>
      <c r="F130" s="1103">
        <f ca="1">INDEX(SP_CFA_FCF_PreDiv,0,COLUMN())/INDEX(SP_CS_MarketCap,0,COLUMN())</f>
      </c>
      <c r="G130" s="37"/>
      <c r="H130" s="37"/>
      <c r="I130" s="37"/>
      <c r="J130" s="37"/>
      <c r="K130" s="1103">
        <f ca="1">INDEX(SP_CFA_FCF_PreDiv,0,COLUMN())/INDEX(SP_CS_MarketCap,0,COLUMN())</f>
      </c>
      <c r="L130" s="37"/>
      <c r="M130" s="37"/>
      <c r="N130" s="37"/>
      <c r="O130" s="37"/>
      <c r="P130" s="1103">
        <f ca="1">INDEX(SP_CFA_FCF_PreDiv,0,COLUMN())/INDEX(SP_CS_MarketCap,0,COLUMN())</f>
      </c>
      <c r="Q130" s="37"/>
      <c r="R130" s="37"/>
      <c r="S130" s="37"/>
      <c r="T130" s="37"/>
      <c r="U130" s="1103">
        <f ca="1">INDEX(SP_CFA_FCF_PreDiv,0,COLUMN())/INDEX(SP_CS_MarketCap,0,COLUMN())</f>
      </c>
      <c r="V130" s="37"/>
      <c r="W130" s="37"/>
      <c r="X130" s="37"/>
      <c r="Y130" s="37"/>
      <c r="Z130" s="1103">
        <f ca="1">INDEX(SP_CFA_FCF_PreDiv,0,COLUMN())/INDEX(SP_CS_MarketCap,0,COLUMN())</f>
      </c>
      <c r="AA130" s="37"/>
      <c r="AB130" s="37"/>
      <c r="AC130" s="37"/>
      <c r="AD130" s="37"/>
      <c r="AE130" s="1103">
        <f ca="1">IFERROR(INDEX(SP_CFA_FCF_PreDiv,0,COLUMN())/INDEX(SP_CS_MarketCap,0,COLUMN()),"n/a")</f>
      </c>
      <c r="AF130" s="37"/>
      <c r="AG130" s="37"/>
      <c r="AH130" s="37"/>
      <c r="AI130" s="37"/>
      <c r="AJ130" s="1103">
        <f ca="1">IFERROR(INDEX(SP_CFA_FCF_PreDiv,0,COLUMN())/INDEX(SP_CS_MarketCap,0,COLUMN()),"n/a")</f>
      </c>
      <c r="AK130" s="37"/>
      <c r="AL130" s="37"/>
      <c r="AM130" s="37"/>
      <c r="AN130" s="37"/>
      <c r="AO130" s="1103">
        <f ca="1">IFERROR(INDEX(SP_CFA_FCF_PreDiv,0,COLUMN())/INDEX(SP_CS_MarketCap,0,COLUMN()),"n/a")</f>
      </c>
      <c r="AP130" s="37"/>
      <c r="AQ130" s="37"/>
      <c r="AR130" s="37"/>
      <c r="AS130" s="37"/>
      <c r="AT130" s="1103">
        <f ca="1">IFERROR(INDEX(SP_CFA_FCF_PreDiv,0,COLUMN())/INDEX(SP_CS_MarketCap,0,COLUMN()),"n/a")</f>
      </c>
      <c r="AU130" s="37"/>
      <c r="AV130" s="37"/>
      <c r="AW130" s="37"/>
      <c r="AX130" s="37"/>
      <c r="AY130" s="1103">
        <f ca="1">IFERROR(INDEX(SP_CFA_FCF_PreDiv,0,COLUMN())/INDEX(SP_CS_MarketCap,0,COLUMN()),"n/a")</f>
      </c>
      <c r="AZ130" s="37"/>
      <c r="BA130" s="37"/>
      <c r="BB130" s="37"/>
      <c r="BC130" s="37"/>
      <c r="BD130" s="1103">
        <f ca="1">IFERROR(INDEX(SP_CFA_FCF_PreDiv,0,COLUMN())/INDEX(SP_CS_MarketCap,0,COLUMN()),"n/a")</f>
      </c>
      <c r="BE130" s="37"/>
      <c r="BF130" s="37"/>
      <c r="BG130" s="37"/>
      <c r="BH130" s="37"/>
      <c r="BI130" s="1103">
        <f ca="1">IFERROR(INDEX(SP_CFA_FCF_PreDiv,0,COLUMN())/INDEX(SP_CS_MarketCap,0,COLUMN()),"n/a")</f>
      </c>
      <c r="BJ130" s="37"/>
      <c r="BK130" s="37"/>
      <c r="BL130" s="37"/>
      <c r="BM130" s="37"/>
      <c r="BN130" s="1103">
        <f ca="1">IFERROR(INDEX(SP_CFA_FCF_PreDiv,0,COLUMN())/INDEX(SP_CS_MarketCap,0,COLUMN()),"n/a")</f>
      </c>
      <c r="BO130" s="37"/>
      <c r="BP130" s="37"/>
      <c r="BQ130" s="37"/>
      <c r="BR130" s="37"/>
      <c r="BS130" s="1103">
        <f ca="1">IFERROR(INDEX(SP_CFA_FCF_PreDiv,0,COLUMN())/INDEX(SP_CS_MarketCap,0,COLUMN()),"n/a")</f>
      </c>
      <c r="BT130" s="742"/>
      <c r="BU130" s="37"/>
      <c r="BV130" s="37"/>
      <c r="BW130" s="37"/>
      <c r="BX130" s="1103">
        <f ca="1">INDEX(SP_CFA_FCF_PreDiv,0,COLUMN())/INDEX(SP_CS_MarketCap,0,COLUMN())</f>
      </c>
      <c r="BY130" s="37"/>
      <c r="BZ130" s="37"/>
      <c r="CA130" s="37"/>
      <c r="CB130" s="37"/>
      <c r="CC130" s="1103">
        <f ca="1">INDEX(SP_CFA_FCF_PreDiv,0,COLUMN())/INDEX(SP_CS_MarketCap,0,COLUMN())</f>
      </c>
      <c r="CD130" s="1103">
        <f ca="1">INDEX(SP_CFA_FCF_PreDiv,0,COLUMN())/INDEX(SP_CS_MarketCap,0,COLUMN())</f>
      </c>
      <c r="CE130" s="1103">
        <f ca="1">INDEX(SP_CFA_FCF_PreDiv,0,COLUMN())/INDEX(SP_CS_MarketCap,0,COLUMN())</f>
      </c>
      <c r="CF130" s="1103">
        <f ca="1">INDEX(SP_CFA_FCF_PreDiv,0,COLUMN())/INDEX(SP_CS_MarketCap,0,COLUMN())</f>
      </c>
      <c r="CG130" s="86"/>
    </row>
    <row r="131" spans="1:85" customFormat="1" x14ac:dyDescent="0.3">
      <c r="A131" s="124" t="str">
        <f>"FCF Yield % to "&amp;SP.ValuationToggle&amp;" Enterprise Value"</f>
      </c>
      <c r="B131" s="115"/>
      <c r="C131" s="1103">
        <f ca="1">INDEX(SP_CFA_FCF_PreDiv,0,COLUMN())/INDEX(SP_CS_EV,0,COLUMN())</f>
      </c>
      <c r="D131" s="1103">
        <f ca="1">INDEX(SP_CFA_FCF_PreDiv,0,COLUMN())/INDEX(SP_CS_EV,0,COLUMN())</f>
      </c>
      <c r="E131" s="1103">
        <f ca="1">INDEX(SP_CFA_FCF_PreDiv,0,COLUMN())/INDEX(SP_CS_EV,0,COLUMN())</f>
      </c>
      <c r="F131" s="1103">
        <f ca="1">INDEX(SP_CFA_FCF_PreDiv,0,COLUMN())/INDEX(SP_CS_EV,0,COLUMN())</f>
      </c>
      <c r="G131" s="37"/>
      <c r="H131" s="37"/>
      <c r="I131" s="37"/>
      <c r="J131" s="37"/>
      <c r="K131" s="1103">
        <f ca="1">INDEX(SP_CFA_FCF_PreDiv,0,COLUMN())/INDEX(SP_CS_EV,0,COLUMN())</f>
      </c>
      <c r="L131" s="37"/>
      <c r="M131" s="37"/>
      <c r="N131" s="37"/>
      <c r="O131" s="37"/>
      <c r="P131" s="1103">
        <f ca="1">INDEX(SP_CFA_FCF_PreDiv,0,COLUMN())/INDEX(SP_CS_EV,0,COLUMN())</f>
      </c>
      <c r="Q131" s="37"/>
      <c r="R131" s="37"/>
      <c r="S131" s="37"/>
      <c r="T131" s="37"/>
      <c r="U131" s="1103">
        <f ca="1">INDEX(SP_CFA_FCF_PreDiv,0,COLUMN())/INDEX(SP_CS_EV,0,COLUMN())</f>
      </c>
      <c r="V131" s="37"/>
      <c r="W131" s="37"/>
      <c r="X131" s="37"/>
      <c r="Y131" s="37"/>
      <c r="Z131" s="1103">
        <f ca="1">INDEX(SP_CFA_FCF_PreDiv,0,COLUMN())/INDEX(SP_CS_EV,0,COLUMN())</f>
      </c>
      <c r="AA131" s="37"/>
      <c r="AB131" s="37"/>
      <c r="AC131" s="37"/>
      <c r="AD131" s="37"/>
      <c r="AE131" s="1103">
        <f ca="1">INDEX(SP_CFA_FCF_PreDiv,0,COLUMN())/INDEX(SP_CS_EV,0,COLUMN())</f>
      </c>
      <c r="AF131" s="37"/>
      <c r="AG131" s="37"/>
      <c r="AH131" s="37"/>
      <c r="AI131" s="37"/>
      <c r="AJ131" s="1103">
        <f ca="1">INDEX(SP_CFA_FCF_PreDiv,0,COLUMN())/INDEX(SP_CS_EV,0,COLUMN())</f>
      </c>
      <c r="AK131" s="37"/>
      <c r="AL131" s="37"/>
      <c r="AM131" s="37"/>
      <c r="AN131" s="37"/>
      <c r="AO131" s="1103">
        <f ca="1">INDEX(SP_CFA_FCF_PreDiv,0,COLUMN())/INDEX(SP_CS_EV,0,COLUMN())</f>
      </c>
      <c r="AP131" s="37"/>
      <c r="AQ131" s="37"/>
      <c r="AR131" s="37"/>
      <c r="AS131" s="37"/>
      <c r="AT131" s="1103">
        <f ca="1">INDEX(SP_CFA_FCF_PreDiv,0,COLUMN())/INDEX(SP_CS_EV,0,COLUMN())</f>
      </c>
      <c r="AU131" s="37"/>
      <c r="AV131" s="37"/>
      <c r="AW131" s="37"/>
      <c r="AX131" s="37"/>
      <c r="AY131" s="1103">
        <f ca="1">INDEX(SP_CFA_FCF_PreDiv,0,COLUMN())/INDEX(SP_CS_EV,0,COLUMN())</f>
      </c>
      <c r="AZ131" s="37"/>
      <c r="BA131" s="37"/>
      <c r="BB131" s="37"/>
      <c r="BC131" s="37"/>
      <c r="BD131" s="1103">
        <f ca="1">INDEX(SP_CFA_FCF_PreDiv,0,COLUMN())/INDEX(SP_CS_EV,0,COLUMN())</f>
      </c>
      <c r="BE131" s="37"/>
      <c r="BF131" s="37"/>
      <c r="BG131" s="37"/>
      <c r="BH131" s="37"/>
      <c r="BI131" s="1103">
        <f ca="1">INDEX(SP_CFA_FCF_PreDiv,0,COLUMN())/INDEX(SP_CS_EV,0,COLUMN())</f>
      </c>
      <c r="BJ131" s="37"/>
      <c r="BK131" s="37"/>
      <c r="BL131" s="37"/>
      <c r="BM131" s="37"/>
      <c r="BN131" s="1103">
        <f ca="1">INDEX(SP_CFA_FCF_PreDiv,0,COLUMN())/INDEX(SP_CS_EV,0,COLUMN())</f>
      </c>
      <c r="BO131" s="37"/>
      <c r="BP131" s="37"/>
      <c r="BQ131" s="37"/>
      <c r="BR131" s="37"/>
      <c r="BS131" s="1103">
        <f ca="1">INDEX(SP_CFA_FCF_PreDiv,0,COLUMN())/INDEX(SP_CS_EV,0,COLUMN())</f>
      </c>
      <c r="BT131" s="742"/>
      <c r="BU131" s="37"/>
      <c r="BV131" s="37"/>
      <c r="BW131" s="37"/>
      <c r="BX131" s="1103">
        <f ca="1">INDEX(SP_CFA_FCF_PreDiv,0,COLUMN())/INDEX(SP_CS_EV,0,COLUMN())</f>
      </c>
      <c r="BY131" s="37"/>
      <c r="BZ131" s="37"/>
      <c r="CA131" s="37"/>
      <c r="CB131" s="37"/>
      <c r="CC131" s="1103">
        <f ca="1">INDEX(SP_CFA_FCF_PreDiv,0,COLUMN())/INDEX(SP_CS_EV,0,COLUMN())</f>
      </c>
      <c r="CD131" s="1103">
        <f ca="1">INDEX(SP_CFA_FCF_PreDiv,0,COLUMN())/INDEX(SP_CS_EV,0,COLUMN())</f>
      </c>
      <c r="CE131" s="1103">
        <f ca="1">INDEX(SP_CFA_FCF_PreDiv,0,COLUMN())/INDEX(SP_CS_EV,0,COLUMN())</f>
      </c>
      <c r="CF131" s="1103">
        <f ca="1">INDEX(SP_CFA_FCF_PreDiv,0,COLUMN())/INDEX(SP_CS_EV,0,COLUMN())</f>
      </c>
      <c r="CG131" s="86"/>
    </row>
    <row r="132" spans="1:85" customFormat="1" x14ac:dyDescent="0.3">
      <c r="A132" s="124"/>
      <c r="B132" s="115"/>
      <c r="C132" s="1103"/>
      <c r="D132" s="1103"/>
      <c r="E132" s="1103"/>
      <c r="F132" s="1103"/>
      <c r="G132" s="37"/>
      <c r="H132" s="37"/>
      <c r="I132" s="37"/>
      <c r="J132" s="37"/>
      <c r="K132" s="1103"/>
      <c r="L132" s="37"/>
      <c r="M132" s="37"/>
      <c r="N132" s="37"/>
      <c r="O132" s="37"/>
      <c r="P132" s="1103"/>
      <c r="Q132" s="37"/>
      <c r="R132" s="37"/>
      <c r="S132" s="37"/>
      <c r="T132" s="37"/>
      <c r="U132" s="1103"/>
      <c r="V132" s="37"/>
      <c r="W132" s="37"/>
      <c r="X132" s="37"/>
      <c r="Y132" s="37"/>
      <c r="Z132" s="1103"/>
      <c r="AA132" s="37"/>
      <c r="AB132" s="37"/>
      <c r="AC132" s="37"/>
      <c r="AD132" s="37"/>
      <c r="AE132" s="1103"/>
      <c r="AF132" s="37"/>
      <c r="AG132" s="37"/>
      <c r="AH132" s="37"/>
      <c r="AI132" s="37"/>
      <c r="AJ132" s="1103"/>
      <c r="AK132" s="37"/>
      <c r="AL132" s="37"/>
      <c r="AM132" s="37"/>
      <c r="AN132" s="37"/>
      <c r="AO132" s="1103"/>
      <c r="AP132" s="37"/>
      <c r="AQ132" s="37"/>
      <c r="AR132" s="37"/>
      <c r="AS132" s="37"/>
      <c r="AT132" s="1103"/>
      <c r="AU132" s="37"/>
      <c r="AV132" s="37"/>
      <c r="AW132" s="37"/>
      <c r="AX132" s="37"/>
      <c r="AY132" s="1103"/>
      <c r="AZ132" s="37"/>
      <c r="BA132" s="37"/>
      <c r="BB132" s="37"/>
      <c r="BC132" s="37"/>
      <c r="BD132" s="1103"/>
      <c r="BE132" s="37"/>
      <c r="BF132" s="37"/>
      <c r="BG132" s="37"/>
      <c r="BH132" s="37"/>
      <c r="BI132" s="1103"/>
      <c r="BJ132" s="37"/>
      <c r="BK132" s="37"/>
      <c r="BL132" s="37"/>
      <c r="BM132" s="37"/>
      <c r="BN132" s="1103"/>
      <c r="BO132" s="37"/>
      <c r="BP132" s="37"/>
      <c r="BQ132" s="37"/>
      <c r="BR132" s="37"/>
      <c r="BS132" s="1103"/>
      <c r="BT132" s="742"/>
      <c r="BU132" s="37"/>
      <c r="BV132" s="37"/>
      <c r="BW132" s="37"/>
      <c r="BX132" s="1103"/>
      <c r="BY132" s="37"/>
      <c r="BZ132" s="37"/>
      <c r="CA132" s="37"/>
      <c r="CB132" s="37"/>
      <c r="CC132" s="1103"/>
      <c r="CD132" s="1103"/>
      <c r="CE132" s="1103"/>
      <c r="CF132" s="1103"/>
      <c r="CG132" s="86"/>
    </row>
    <row r="133" spans="1:85" customFormat="1" x14ac:dyDescent="0.3">
      <c r="A133" s="50" t="s">
        <v>357</v>
      </c>
      <c r="B133" s="773"/>
      <c r="C133" s="773"/>
      <c r="D133" s="773"/>
      <c r="E133" s="773"/>
      <c r="F133" s="773"/>
      <c r="G133" s="773"/>
      <c r="H133" s="773"/>
      <c r="I133" s="773"/>
      <c r="J133" s="773"/>
      <c r="K133" s="773"/>
      <c r="L133" s="773"/>
      <c r="M133" s="773"/>
      <c r="N133" s="773"/>
      <c r="O133" s="773"/>
      <c r="P133" s="773"/>
      <c r="Q133" s="773"/>
      <c r="R133" s="773"/>
      <c r="S133" s="773"/>
      <c r="T133" s="773"/>
      <c r="U133" s="773"/>
      <c r="V133" s="773"/>
      <c r="W133" s="773"/>
      <c r="X133" s="773"/>
      <c r="Y133" s="773"/>
      <c r="Z133" s="773"/>
      <c r="AA133" s="773"/>
      <c r="AB133" s="773"/>
      <c r="AC133" s="773"/>
      <c r="AD133" s="773"/>
      <c r="AE133" s="773"/>
      <c r="AF133" s="773"/>
      <c r="AG133" s="773"/>
      <c r="AH133" s="773"/>
      <c r="AI133" s="773"/>
      <c r="AJ133" s="773"/>
      <c r="AK133" s="773"/>
      <c r="AL133" s="773"/>
      <c r="AM133" s="773"/>
      <c r="AN133" s="773"/>
      <c r="AO133" s="773"/>
      <c r="AP133" s="773"/>
      <c r="AQ133" s="773"/>
      <c r="AR133" s="773"/>
      <c r="AS133" s="773"/>
      <c r="AT133" s="773"/>
      <c r="AU133" s="773"/>
      <c r="AV133" s="773"/>
      <c r="AW133" s="773"/>
      <c r="AX133" s="773"/>
      <c r="AY133" s="773"/>
      <c r="AZ133" s="773"/>
      <c r="BA133" s="773"/>
      <c r="BB133" s="773"/>
      <c r="BC133" s="773"/>
      <c r="BD133" s="773"/>
      <c r="BE133" s="773"/>
      <c r="BF133" s="773"/>
      <c r="BG133" s="773"/>
      <c r="BH133" s="773"/>
      <c r="BI133" s="773"/>
      <c r="BJ133" s="773"/>
      <c r="BK133" s="773"/>
      <c r="BL133" s="773"/>
      <c r="BM133" s="773"/>
      <c r="BN133" s="773"/>
      <c r="BO133" s="773"/>
      <c r="BP133" s="773"/>
      <c r="BQ133" s="773"/>
      <c r="BR133" s="773"/>
      <c r="BS133" s="773"/>
      <c r="BT133" s="839"/>
      <c r="BU133" s="773"/>
      <c r="BV133" s="773"/>
      <c r="BW133" s="773"/>
      <c r="BX133" s="773"/>
      <c r="BY133" s="773"/>
      <c r="BZ133" s="773"/>
      <c r="CA133" s="773"/>
      <c r="CB133" s="773"/>
      <c r="CC133" s="773"/>
      <c r="CD133" s="773"/>
      <c r="CE133" s="773"/>
      <c r="CF133" s="773"/>
      <c r="CG133" s="96"/>
    </row>
    <row r="134" spans="1:85" customFormat="1" hidden="1" outlineLevel="1" x14ac:dyDescent="0.3">
      <c r="A134" s="774" t="s">
        <v>64</v>
      </c>
      <c r="B134" s="96"/>
      <c r="C134" s="830">
        <f t="shared" ref="C134:AH134" si="451">ROUND(INDEX(SP_Company1876_EBITDA,0,COLUMN())-INDEX(MO_RIS_EBITDA_Adj,0,COLUMN()),6)</f>
      </c>
      <c r="D134" s="830">
        <f t="shared" si="451"/>
      </c>
      <c r="E134" s="830">
        <f t="shared" si="451"/>
      </c>
      <c r="F134" s="830">
        <f t="shared" si="451"/>
      </c>
      <c r="G134" s="830">
        <f t="shared" si="451"/>
      </c>
      <c r="H134" s="830">
        <f t="shared" si="451"/>
      </c>
      <c r="I134" s="830">
        <f t="shared" si="451"/>
      </c>
      <c r="J134" s="830">
        <f t="shared" si="451"/>
      </c>
      <c r="K134" s="830">
        <f t="shared" si="451"/>
      </c>
      <c r="L134" s="830">
        <f t="shared" si="451"/>
      </c>
      <c r="M134" s="830">
        <f t="shared" si="451"/>
      </c>
      <c r="N134" s="830">
        <f t="shared" si="451"/>
      </c>
      <c r="O134" s="830">
        <f t="shared" si="451"/>
      </c>
      <c r="P134" s="830">
        <f t="shared" si="451"/>
      </c>
      <c r="Q134" s="830">
        <f t="shared" si="451"/>
      </c>
      <c r="R134" s="830">
        <f t="shared" si="451"/>
      </c>
      <c r="S134" s="830">
        <f t="shared" si="451"/>
      </c>
      <c r="T134" s="830">
        <f t="shared" si="451"/>
      </c>
      <c r="U134" s="830">
        <f t="shared" si="451"/>
      </c>
      <c r="V134" s="830">
        <f t="shared" si="451"/>
      </c>
      <c r="W134" s="830">
        <f t="shared" si="451"/>
      </c>
      <c r="X134" s="830">
        <f t="shared" si="451"/>
      </c>
      <c r="Y134" s="830">
        <f t="shared" si="451"/>
      </c>
      <c r="Z134" s="830">
        <f t="shared" si="451"/>
      </c>
      <c r="AA134" s="830">
        <f t="shared" si="451"/>
      </c>
      <c r="AB134" s="830">
        <f t="shared" si="451"/>
      </c>
      <c r="AC134" s="830">
        <f t="shared" si="451"/>
      </c>
      <c r="AD134" s="830">
        <f t="shared" si="451"/>
      </c>
      <c r="AE134" s="830">
        <f t="shared" si="451"/>
      </c>
      <c r="AF134" s="830">
        <f t="shared" si="451"/>
      </c>
      <c r="AG134" s="830">
        <f t="shared" si="451"/>
      </c>
      <c r="AH134" s="830">
        <f t="shared" si="451"/>
      </c>
      <c r="AI134" s="830">
        <f t="shared" ref="AI134:BD134" si="452">ROUND(INDEX(SP_Company1876_EBITDA,0,COLUMN())-INDEX(MO_RIS_EBITDA_Adj,0,COLUMN()),6)</f>
      </c>
      <c r="AJ134" s="830">
        <f t="shared" si="452"/>
      </c>
      <c r="AK134" s="830">
        <f t="shared" si="452"/>
      </c>
      <c r="AL134" s="830">
        <f t="shared" si="452"/>
      </c>
      <c r="AM134" s="830">
        <f t="shared" si="452"/>
      </c>
      <c r="AN134" s="830">
        <f t="shared" si="452"/>
      </c>
      <c r="AO134" s="830">
        <f t="shared" si="452"/>
      </c>
      <c r="AP134" s="830">
        <f t="shared" si="452"/>
      </c>
      <c r="AQ134" s="830">
        <f t="shared" si="452"/>
      </c>
      <c r="AR134" s="830">
        <f t="shared" si="452"/>
      </c>
      <c r="AS134" s="830">
        <f t="shared" si="452"/>
      </c>
      <c r="AT134" s="830">
        <f t="shared" si="452"/>
      </c>
      <c r="AU134" s="830">
        <f t="shared" si="452"/>
      </c>
      <c r="AV134" s="830">
        <f t="shared" si="452"/>
      </c>
      <c r="AW134" s="830">
        <f t="shared" si="452"/>
      </c>
      <c r="AX134" s="830">
        <f t="shared" si="452"/>
      </c>
      <c r="AY134" s="830">
        <f t="shared" si="452"/>
      </c>
      <c r="AZ134" s="830">
        <f t="shared" si="452"/>
      </c>
      <c r="BA134" s="830">
        <f t="shared" si="452"/>
      </c>
      <c r="BB134" s="830">
        <f t="shared" si="452"/>
      </c>
      <c r="BC134" s="830">
        <f t="shared" si="452"/>
      </c>
      <c r="BD134" s="830">
        <f t="shared" si="452"/>
      </c>
      <c r="BE134" s="830">
        <f t="shared" ref="BE134:BJ134" si="453">ROUND(INDEX(SP_Company1876_EBITDA,0,COLUMN())-INDEX(MO_RIS_EBITDA_Adj,0,COLUMN()),6)</f>
      </c>
      <c r="BF134" s="830">
        <f t="shared" si="453"/>
      </c>
      <c r="BG134" s="830">
        <f t="shared" si="453"/>
      </c>
      <c r="BH134" s="830">
        <f t="shared" si="453"/>
      </c>
      <c r="BI134" s="830">
        <f t="shared" si="453"/>
      </c>
      <c r="BJ134" s="830">
        <f t="shared" si="453"/>
      </c>
      <c r="BK134" s="830">
        <f t="shared" ref="BK134:BP134" si="454">ROUND(INDEX(SP_Company1876_EBITDA,0,COLUMN())-INDEX(MO_RIS_EBITDA_Adj,0,COLUMN()),6)</f>
      </c>
      <c r="BL134" s="830">
        <f t="shared" si="454"/>
      </c>
      <c r="BM134" s="830">
        <f t="shared" si="454"/>
      </c>
      <c r="BN134" s="830">
        <f t="shared" si="454"/>
      </c>
      <c r="BO134" s="830">
        <f t="shared" si="454"/>
      </c>
      <c r="BP134" s="830">
        <f t="shared" si="454"/>
      </c>
      <c r="BQ134" s="830">
        <f>ROUND(INDEX(SP_Company1876_EBITDA,0,COLUMN())-INDEX(MO_RIS_EBITDA_Adj,0,COLUMN()),6)</f>
      </c>
      <c r="BR134" s="830">
        <f>ROUND(INDEX(SP_Company1876_EBITDA,0,COLUMN())-INDEX(MO_RIS_EBITDA_Adj,0,COLUMN()),6)</f>
      </c>
      <c r="BS134" s="830">
        <f>ROUND(INDEX(SP_Company1876_EBITDA,0,COLUMN())-INDEX(MO_RIS_EBITDA_Adj,0,COLUMN()),6)</f>
      </c>
      <c r="BT134" s="831">
        <f>ROUND(INDEX(SP_Company1876_EBITDA,0,COLUMN())-INDEX(MO_RIS_EBITDA_Adj,0,COLUMN()),6)</f>
      </c>
      <c r="BU134" s="830">
        <f t="shared" ref="BU134:BX134" si="455">ROUND(INDEX(SP_Company1876_EBITDA,0,COLUMN())-INDEX(MO_RIS_EBITDA_Adj,0,COLUMN()),6)</f>
      </c>
      <c r="BV134" s="830">
        <f t="shared" si="455"/>
      </c>
      <c r="BW134" s="830">
        <f t="shared" si="455"/>
      </c>
      <c r="BX134" s="830">
        <f t="shared" si="455"/>
      </c>
      <c r="BY134" s="830">
        <f t="shared" ref="BY134:CF134" si="456">ROUND(INDEX(SP_Company1876_EBITDA,0,COLUMN())-INDEX(MO_RIS_EBITDA_Adj,0,COLUMN()),6)</f>
      </c>
      <c r="BZ134" s="830">
        <f t="shared" si="456"/>
      </c>
      <c r="CA134" s="830">
        <f t="shared" si="456"/>
      </c>
      <c r="CB134" s="830">
        <f t="shared" si="456"/>
      </c>
      <c r="CC134" s="830">
        <f t="shared" si="456"/>
      </c>
      <c r="CD134" s="830">
        <f t="shared" si="456"/>
      </c>
      <c r="CE134" s="830">
        <f t="shared" si="456"/>
      </c>
      <c r="CF134" s="830">
        <f t="shared" si="456"/>
      </c>
      <c r="CG134" s="96"/>
    </row>
    <row r="135" spans="1:85" customFormat="1" hidden="1" outlineLevel="1" x14ac:dyDescent="0.3">
      <c r="A135" s="774" t="s">
        <v>78</v>
      </c>
      <c r="B135" s="96"/>
      <c r="C135" s="830">
        <f t="shared" ref="C135:AH135" si="457">ROUND(INDEX(SP_GF_EBIT,0,COLUMN())-INDEX(MO_RIS_EBIT,0,COLUMN()),6)</f>
      </c>
      <c r="D135" s="830">
        <f t="shared" si="457"/>
      </c>
      <c r="E135" s="830">
        <f t="shared" si="457"/>
      </c>
      <c r="F135" s="830">
        <f t="shared" si="457"/>
      </c>
      <c r="G135" s="830">
        <f t="shared" si="457"/>
      </c>
      <c r="H135" s="830">
        <f t="shared" si="457"/>
      </c>
      <c r="I135" s="830">
        <f t="shared" si="457"/>
      </c>
      <c r="J135" s="830">
        <f t="shared" si="457"/>
      </c>
      <c r="K135" s="830">
        <f t="shared" si="457"/>
      </c>
      <c r="L135" s="830">
        <f t="shared" si="457"/>
      </c>
      <c r="M135" s="830">
        <f t="shared" si="457"/>
      </c>
      <c r="N135" s="830">
        <f t="shared" si="457"/>
      </c>
      <c r="O135" s="830">
        <f t="shared" si="457"/>
      </c>
      <c r="P135" s="830">
        <f t="shared" si="457"/>
      </c>
      <c r="Q135" s="830">
        <f t="shared" si="457"/>
      </c>
      <c r="R135" s="830">
        <f t="shared" si="457"/>
      </c>
      <c r="S135" s="830">
        <f t="shared" si="457"/>
      </c>
      <c r="T135" s="830">
        <f t="shared" si="457"/>
      </c>
      <c r="U135" s="830">
        <f t="shared" si="457"/>
      </c>
      <c r="V135" s="830">
        <f t="shared" si="457"/>
      </c>
      <c r="W135" s="830">
        <f t="shared" si="457"/>
      </c>
      <c r="X135" s="830">
        <f t="shared" si="457"/>
      </c>
      <c r="Y135" s="830">
        <f t="shared" si="457"/>
      </c>
      <c r="Z135" s="830">
        <f t="shared" si="457"/>
      </c>
      <c r="AA135" s="830">
        <f t="shared" si="457"/>
      </c>
      <c r="AB135" s="830">
        <f t="shared" si="457"/>
      </c>
      <c r="AC135" s="830">
        <f t="shared" si="457"/>
      </c>
      <c r="AD135" s="830">
        <f t="shared" si="457"/>
      </c>
      <c r="AE135" s="830">
        <f t="shared" si="457"/>
      </c>
      <c r="AF135" s="830">
        <f t="shared" si="457"/>
      </c>
      <c r="AG135" s="830">
        <f t="shared" si="457"/>
      </c>
      <c r="AH135" s="830">
        <f t="shared" si="457"/>
      </c>
      <c r="AI135" s="830">
        <f t="shared" ref="AI135:BD135" si="458">ROUND(INDEX(SP_GF_EBIT,0,COLUMN())-INDEX(MO_RIS_EBIT,0,COLUMN()),6)</f>
      </c>
      <c r="AJ135" s="830">
        <f t="shared" si="458"/>
      </c>
      <c r="AK135" s="830">
        <f t="shared" si="458"/>
      </c>
      <c r="AL135" s="830">
        <f t="shared" si="458"/>
      </c>
      <c r="AM135" s="830">
        <f t="shared" si="458"/>
      </c>
      <c r="AN135" s="830">
        <f t="shared" si="458"/>
      </c>
      <c r="AO135" s="830">
        <f t="shared" si="458"/>
      </c>
      <c r="AP135" s="830">
        <f t="shared" si="458"/>
      </c>
      <c r="AQ135" s="830">
        <f t="shared" si="458"/>
      </c>
      <c r="AR135" s="830">
        <f t="shared" si="458"/>
      </c>
      <c r="AS135" s="830">
        <f t="shared" si="458"/>
      </c>
      <c r="AT135" s="830">
        <f t="shared" si="458"/>
      </c>
      <c r="AU135" s="830">
        <f t="shared" si="458"/>
      </c>
      <c r="AV135" s="830">
        <f t="shared" si="458"/>
      </c>
      <c r="AW135" s="830">
        <f t="shared" si="458"/>
      </c>
      <c r="AX135" s="830">
        <f t="shared" si="458"/>
      </c>
      <c r="AY135" s="830">
        <f t="shared" si="458"/>
      </c>
      <c r="AZ135" s="830">
        <f t="shared" si="458"/>
      </c>
      <c r="BA135" s="830">
        <f t="shared" si="458"/>
      </c>
      <c r="BB135" s="830">
        <f t="shared" si="458"/>
      </c>
      <c r="BC135" s="830">
        <f t="shared" si="458"/>
      </c>
      <c r="BD135" s="830">
        <f t="shared" si="458"/>
      </c>
      <c r="BE135" s="830">
        <f t="shared" ref="BE135:BJ135" si="459">ROUND(INDEX(SP_GF_EBIT,0,COLUMN())-INDEX(MO_RIS_EBIT,0,COLUMN()),6)</f>
      </c>
      <c r="BF135" s="830">
        <f t="shared" si="459"/>
      </c>
      <c r="BG135" s="830">
        <f t="shared" si="459"/>
      </c>
      <c r="BH135" s="830">
        <f t="shared" si="459"/>
      </c>
      <c r="BI135" s="830">
        <f t="shared" si="459"/>
      </c>
      <c r="BJ135" s="830">
        <f t="shared" si="459"/>
      </c>
      <c r="BK135" s="830">
        <f t="shared" ref="BK135:BP135" si="460">ROUND(INDEX(SP_GF_EBIT,0,COLUMN())-INDEX(MO_RIS_EBIT,0,COLUMN()),6)</f>
      </c>
      <c r="BL135" s="830">
        <f t="shared" si="460"/>
      </c>
      <c r="BM135" s="830">
        <f t="shared" si="460"/>
      </c>
      <c r="BN135" s="830">
        <f t="shared" si="460"/>
      </c>
      <c r="BO135" s="830">
        <f t="shared" si="460"/>
      </c>
      <c r="BP135" s="830">
        <f t="shared" si="460"/>
      </c>
      <c r="BQ135" s="830">
        <f>ROUND(INDEX(SP_GF_EBIT,0,COLUMN())-INDEX(MO_RIS_EBIT,0,COLUMN()),6)</f>
      </c>
      <c r="BR135" s="830">
        <f>ROUND(INDEX(SP_GF_EBIT,0,COLUMN())-INDEX(MO_RIS_EBIT,0,COLUMN()),6)</f>
      </c>
      <c r="BS135" s="830">
        <f>ROUND(INDEX(SP_GF_EBIT,0,COLUMN())-INDEX(MO_RIS_EBIT,0,COLUMN()),6)</f>
      </c>
      <c r="BT135" s="831">
        <f>ROUND(INDEX(SP_GF_EBIT,0,COLUMN())-INDEX(MO_RIS_EBIT,0,COLUMN()),6)</f>
      </c>
      <c r="BU135" s="830">
        <f t="shared" ref="BU135:BX135" si="461">ROUND(INDEX(SP_GF_EBIT,0,COLUMN())-INDEX(MO_RIS_EBIT,0,COLUMN()),6)</f>
      </c>
      <c r="BV135" s="830">
        <f t="shared" si="461"/>
      </c>
      <c r="BW135" s="830">
        <f t="shared" si="461"/>
      </c>
      <c r="BX135" s="830">
        <f t="shared" si="461"/>
      </c>
      <c r="BY135" s="830">
        <f t="shared" ref="BY135:CF135" si="462">ROUND(INDEX(SP_GF_EBIT,0,COLUMN())-INDEX(MO_RIS_EBIT,0,COLUMN()),6)</f>
      </c>
      <c r="BZ135" s="830">
        <f t="shared" si="462"/>
      </c>
      <c r="CA135" s="830">
        <f t="shared" si="462"/>
      </c>
      <c r="CB135" s="830">
        <f t="shared" si="462"/>
      </c>
      <c r="CC135" s="830">
        <f t="shared" si="462"/>
      </c>
      <c r="CD135" s="830">
        <f t="shared" si="462"/>
      </c>
      <c r="CE135" s="830">
        <f t="shared" si="462"/>
      </c>
      <c r="CF135" s="830">
        <f t="shared" si="462"/>
      </c>
      <c r="CG135" s="96"/>
    </row>
    <row r="136" spans="1:85" customFormat="1" hidden="1" outlineLevel="1" x14ac:dyDescent="0.3">
      <c r="A136" s="774" t="s">
        <v>522</v>
      </c>
      <c r="B136" s="96"/>
      <c r="C136" s="830">
        <f t="shared" ref="C136:AH136" si="463">ROUND(INDEX(SP_Company1876_EBIT,0,COLUMN())-INDEX(MO_RIS_EBIT_Adj,0,COLUMN()),6)</f>
      </c>
      <c r="D136" s="830">
        <f t="shared" si="463"/>
      </c>
      <c r="E136" s="830">
        <f t="shared" si="463"/>
      </c>
      <c r="F136" s="830">
        <f t="shared" si="463"/>
      </c>
      <c r="G136" s="830">
        <f t="shared" si="463"/>
      </c>
      <c r="H136" s="830">
        <f t="shared" si="463"/>
      </c>
      <c r="I136" s="830">
        <f t="shared" si="463"/>
      </c>
      <c r="J136" s="830">
        <f t="shared" si="463"/>
      </c>
      <c r="K136" s="830">
        <f t="shared" si="463"/>
      </c>
      <c r="L136" s="830">
        <f t="shared" si="463"/>
      </c>
      <c r="M136" s="830">
        <f t="shared" si="463"/>
      </c>
      <c r="N136" s="830">
        <f t="shared" si="463"/>
      </c>
      <c r="O136" s="830">
        <f t="shared" si="463"/>
      </c>
      <c r="P136" s="830">
        <f t="shared" si="463"/>
      </c>
      <c r="Q136" s="830">
        <f t="shared" si="463"/>
      </c>
      <c r="R136" s="830">
        <f t="shared" si="463"/>
      </c>
      <c r="S136" s="830">
        <f t="shared" si="463"/>
      </c>
      <c r="T136" s="830">
        <f t="shared" si="463"/>
      </c>
      <c r="U136" s="830">
        <f t="shared" si="463"/>
      </c>
      <c r="V136" s="830">
        <f t="shared" si="463"/>
      </c>
      <c r="W136" s="830">
        <f t="shared" si="463"/>
      </c>
      <c r="X136" s="830">
        <f t="shared" si="463"/>
      </c>
      <c r="Y136" s="830">
        <f t="shared" si="463"/>
      </c>
      <c r="Z136" s="830">
        <f t="shared" si="463"/>
      </c>
      <c r="AA136" s="830">
        <f t="shared" si="463"/>
      </c>
      <c r="AB136" s="830">
        <f t="shared" si="463"/>
      </c>
      <c r="AC136" s="830">
        <f t="shared" si="463"/>
      </c>
      <c r="AD136" s="830">
        <f t="shared" si="463"/>
      </c>
      <c r="AE136" s="830">
        <f t="shared" si="463"/>
      </c>
      <c r="AF136" s="830">
        <f t="shared" si="463"/>
      </c>
      <c r="AG136" s="830">
        <f t="shared" si="463"/>
      </c>
      <c r="AH136" s="830">
        <f t="shared" si="463"/>
      </c>
      <c r="AI136" s="830">
        <f t="shared" ref="AI136:BD136" si="464">ROUND(INDEX(SP_Company1876_EBIT,0,COLUMN())-INDEX(MO_RIS_EBIT_Adj,0,COLUMN()),6)</f>
      </c>
      <c r="AJ136" s="830">
        <f t="shared" si="464"/>
      </c>
      <c r="AK136" s="830">
        <f t="shared" si="464"/>
      </c>
      <c r="AL136" s="830">
        <f t="shared" si="464"/>
      </c>
      <c r="AM136" s="830">
        <f t="shared" si="464"/>
      </c>
      <c r="AN136" s="830">
        <f t="shared" si="464"/>
      </c>
      <c r="AO136" s="830">
        <f t="shared" si="464"/>
      </c>
      <c r="AP136" s="830">
        <f t="shared" si="464"/>
      </c>
      <c r="AQ136" s="830">
        <f t="shared" si="464"/>
      </c>
      <c r="AR136" s="830">
        <f t="shared" si="464"/>
      </c>
      <c r="AS136" s="830">
        <f t="shared" si="464"/>
      </c>
      <c r="AT136" s="830">
        <f t="shared" si="464"/>
      </c>
      <c r="AU136" s="830">
        <f t="shared" si="464"/>
      </c>
      <c r="AV136" s="830">
        <f t="shared" si="464"/>
      </c>
      <c r="AW136" s="830">
        <f t="shared" si="464"/>
      </c>
      <c r="AX136" s="830">
        <f t="shared" si="464"/>
      </c>
      <c r="AY136" s="830">
        <f t="shared" si="464"/>
      </c>
      <c r="AZ136" s="830">
        <f t="shared" si="464"/>
      </c>
      <c r="BA136" s="830">
        <f t="shared" si="464"/>
      </c>
      <c r="BB136" s="830">
        <f t="shared" si="464"/>
      </c>
      <c r="BC136" s="830">
        <f t="shared" si="464"/>
      </c>
      <c r="BD136" s="830">
        <f t="shared" si="464"/>
      </c>
      <c r="BE136" s="830">
        <f t="shared" ref="BE136:BJ136" si="465">ROUND(INDEX(SP_Company1876_EBIT,0,COLUMN())-INDEX(MO_RIS_EBIT_Adj,0,COLUMN()),6)</f>
      </c>
      <c r="BF136" s="830">
        <f t="shared" si="465"/>
      </c>
      <c r="BG136" s="830">
        <f t="shared" si="465"/>
      </c>
      <c r="BH136" s="830">
        <f t="shared" si="465"/>
      </c>
      <c r="BI136" s="830">
        <f t="shared" si="465"/>
      </c>
      <c r="BJ136" s="830">
        <f t="shared" si="465"/>
      </c>
      <c r="BK136" s="830">
        <f t="shared" ref="BK136:BP136" si="466">ROUND(INDEX(SP_Company1876_EBIT,0,COLUMN())-INDEX(MO_RIS_EBIT_Adj,0,COLUMN()),6)</f>
      </c>
      <c r="BL136" s="830">
        <f t="shared" si="466"/>
      </c>
      <c r="BM136" s="830">
        <f t="shared" si="466"/>
      </c>
      <c r="BN136" s="830">
        <f t="shared" si="466"/>
      </c>
      <c r="BO136" s="830">
        <f t="shared" si="466"/>
      </c>
      <c r="BP136" s="830">
        <f t="shared" si="466"/>
      </c>
      <c r="BQ136" s="830">
        <f>ROUND(INDEX(SP_Company1876_EBIT,0,COLUMN())-INDEX(MO_RIS_EBIT_Adj,0,COLUMN()),6)</f>
      </c>
      <c r="BR136" s="830">
        <f>ROUND(INDEX(SP_Company1876_EBIT,0,COLUMN())-INDEX(MO_RIS_EBIT_Adj,0,COLUMN()),6)</f>
      </c>
      <c r="BS136" s="830">
        <f>ROUND(INDEX(SP_Company1876_EBIT,0,COLUMN())-INDEX(MO_RIS_EBIT_Adj,0,COLUMN()),6)</f>
      </c>
      <c r="BT136" s="831">
        <f>ROUND(INDEX(SP_Company1876_EBIT,0,COLUMN())-INDEX(MO_RIS_EBIT_Adj,0,COLUMN()),6)</f>
      </c>
      <c r="BU136" s="830">
        <f t="shared" ref="BU136:BX136" si="467">ROUND(INDEX(SP_Company1876_EBIT,0,COLUMN())-INDEX(MO_RIS_EBIT_Adj,0,COLUMN()),6)</f>
      </c>
      <c r="BV136" s="830">
        <f t="shared" si="467"/>
      </c>
      <c r="BW136" s="830">
        <f t="shared" si="467"/>
      </c>
      <c r="BX136" s="830">
        <f t="shared" si="467"/>
      </c>
      <c r="BY136" s="830">
        <f t="shared" ref="BY136:CF136" si="468">ROUND(INDEX(SP_Company1876_EBIT,0,COLUMN())-INDEX(MO_RIS_EBIT_Adj,0,COLUMN()),6)</f>
      </c>
      <c r="BZ136" s="830">
        <f t="shared" si="468"/>
      </c>
      <c r="CA136" s="830">
        <f t="shared" si="468"/>
      </c>
      <c r="CB136" s="830">
        <f t="shared" si="468"/>
      </c>
      <c r="CC136" s="830">
        <f t="shared" si="468"/>
      </c>
      <c r="CD136" s="830">
        <f t="shared" si="468"/>
      </c>
      <c r="CE136" s="830">
        <f t="shared" si="468"/>
      </c>
      <c r="CF136" s="830">
        <f t="shared" si="468"/>
      </c>
      <c r="CG136" s="96"/>
    </row>
    <row r="137" spans="1:85" customFormat="1" hidden="1" outlineLevel="1" x14ac:dyDescent="0.3">
      <c r="A137" s="774" t="s">
        <v>358</v>
      </c>
      <c r="B137" s="96"/>
      <c r="C137" s="830">
        <f t="shared" ref="C137:AH137" si="469">ROUND(INDEX(SP_Company1876_NI,0,COLUMN())-INDEX(MO_RIS_NI_NONGAAP_Diluted,0,COLUMN()),6)</f>
      </c>
      <c r="D137" s="830">
        <f t="shared" si="469"/>
      </c>
      <c r="E137" s="830">
        <f t="shared" si="469"/>
      </c>
      <c r="F137" s="830">
        <f t="shared" si="469"/>
      </c>
      <c r="G137" s="830">
        <f t="shared" si="469"/>
      </c>
      <c r="H137" s="830">
        <f t="shared" si="469"/>
      </c>
      <c r="I137" s="830">
        <f t="shared" si="469"/>
      </c>
      <c r="J137" s="830">
        <f t="shared" si="469"/>
      </c>
      <c r="K137" s="830">
        <f t="shared" si="469"/>
      </c>
      <c r="L137" s="830">
        <f t="shared" si="469"/>
      </c>
      <c r="M137" s="830">
        <f t="shared" si="469"/>
      </c>
      <c r="N137" s="830">
        <f t="shared" si="469"/>
      </c>
      <c r="O137" s="830">
        <f t="shared" si="469"/>
      </c>
      <c r="P137" s="830">
        <f t="shared" si="469"/>
      </c>
      <c r="Q137" s="830">
        <f t="shared" si="469"/>
      </c>
      <c r="R137" s="830">
        <f t="shared" si="469"/>
      </c>
      <c r="S137" s="830">
        <f t="shared" si="469"/>
      </c>
      <c r="T137" s="830">
        <f t="shared" si="469"/>
      </c>
      <c r="U137" s="830">
        <f t="shared" si="469"/>
      </c>
      <c r="V137" s="830">
        <f t="shared" si="469"/>
      </c>
      <c r="W137" s="830">
        <f t="shared" si="469"/>
      </c>
      <c r="X137" s="830">
        <f t="shared" si="469"/>
      </c>
      <c r="Y137" s="830">
        <f t="shared" si="469"/>
      </c>
      <c r="Z137" s="830">
        <f t="shared" si="469"/>
      </c>
      <c r="AA137" s="830">
        <f t="shared" si="469"/>
      </c>
      <c r="AB137" s="830">
        <f t="shared" si="469"/>
      </c>
      <c r="AC137" s="830">
        <f t="shared" si="469"/>
      </c>
      <c r="AD137" s="830">
        <f t="shared" si="469"/>
      </c>
      <c r="AE137" s="830">
        <f t="shared" si="469"/>
      </c>
      <c r="AF137" s="830">
        <f t="shared" si="469"/>
      </c>
      <c r="AG137" s="830">
        <f t="shared" si="469"/>
      </c>
      <c r="AH137" s="830">
        <f t="shared" si="469"/>
      </c>
      <c r="AI137" s="830">
        <f t="shared" ref="AI137:BD137" si="470">ROUND(INDEX(SP_Company1876_NI,0,COLUMN())-INDEX(MO_RIS_NI_NONGAAP_Diluted,0,COLUMN()),6)</f>
      </c>
      <c r="AJ137" s="830">
        <f t="shared" si="470"/>
      </c>
      <c r="AK137" s="830">
        <f t="shared" si="470"/>
      </c>
      <c r="AL137" s="830">
        <f t="shared" si="470"/>
      </c>
      <c r="AM137" s="830">
        <f t="shared" si="470"/>
      </c>
      <c r="AN137" s="830">
        <f t="shared" si="470"/>
      </c>
      <c r="AO137" s="830">
        <f t="shared" si="470"/>
      </c>
      <c r="AP137" s="830">
        <f t="shared" si="470"/>
      </c>
      <c r="AQ137" s="830">
        <f t="shared" si="470"/>
      </c>
      <c r="AR137" s="830">
        <f t="shared" si="470"/>
      </c>
      <c r="AS137" s="830">
        <f t="shared" si="470"/>
      </c>
      <c r="AT137" s="830">
        <f t="shared" si="470"/>
      </c>
      <c r="AU137" s="830">
        <f t="shared" si="470"/>
      </c>
      <c r="AV137" s="830">
        <f t="shared" si="470"/>
      </c>
      <c r="AW137" s="830">
        <f t="shared" si="470"/>
      </c>
      <c r="AX137" s="830">
        <f t="shared" si="470"/>
      </c>
      <c r="AY137" s="830">
        <f t="shared" si="470"/>
      </c>
      <c r="AZ137" s="830">
        <f t="shared" si="470"/>
      </c>
      <c r="BA137" s="830">
        <f t="shared" si="470"/>
      </c>
      <c r="BB137" s="830">
        <f t="shared" si="470"/>
      </c>
      <c r="BC137" s="830">
        <f t="shared" si="470"/>
      </c>
      <c r="BD137" s="830">
        <f t="shared" si="470"/>
      </c>
      <c r="BE137" s="830">
        <f t="shared" ref="BE137:BJ137" si="471">ROUND(INDEX(SP_Company1876_NI,0,COLUMN())-INDEX(MO_RIS_NI_NONGAAP_Diluted,0,COLUMN()),6)</f>
      </c>
      <c r="BF137" s="830">
        <f t="shared" si="471"/>
      </c>
      <c r="BG137" s="830">
        <f t="shared" si="471"/>
      </c>
      <c r="BH137" s="830">
        <f t="shared" si="471"/>
      </c>
      <c r="BI137" s="830">
        <f t="shared" si="471"/>
      </c>
      <c r="BJ137" s="830">
        <f t="shared" si="471"/>
      </c>
      <c r="BK137" s="830">
        <f t="shared" ref="BK137:BP137" si="472">ROUND(INDEX(SP_Company1876_NI,0,COLUMN())-INDEX(MO_RIS_NI_NONGAAP_Diluted,0,COLUMN()),6)</f>
      </c>
      <c r="BL137" s="830">
        <f t="shared" si="472"/>
      </c>
      <c r="BM137" s="830">
        <f t="shared" si="472"/>
      </c>
      <c r="BN137" s="830">
        <f t="shared" si="472"/>
      </c>
      <c r="BO137" s="830">
        <f t="shared" si="472"/>
      </c>
      <c r="BP137" s="830">
        <f t="shared" si="472"/>
      </c>
      <c r="BQ137" s="830">
        <f>ROUND(INDEX(SP_Company1876_NI,0,COLUMN())-INDEX(MO_RIS_NI_NONGAAP_Diluted,0,COLUMN()),6)</f>
      </c>
      <c r="BR137" s="830">
        <f>ROUND(INDEX(SP_Company1876_NI,0,COLUMN())-INDEX(MO_RIS_NI_NONGAAP_Diluted,0,COLUMN()),6)</f>
      </c>
      <c r="BS137" s="830">
        <f>ROUND(INDEX(SP_Company1876_NI,0,COLUMN())-INDEX(MO_RIS_NI_NONGAAP_Diluted,0,COLUMN()),6)</f>
      </c>
      <c r="BT137" s="831">
        <f>ROUND(INDEX(SP_Company1876_NI,0,COLUMN())-INDEX(MO_RIS_NI_NONGAAP_Diluted,0,COLUMN()),6)</f>
      </c>
      <c r="BU137" s="830">
        <f t="shared" ref="BU137:BX137" si="473">ROUND(INDEX(SP_Company1876_NI,0,COLUMN())-INDEX(MO_RIS_NI_NONGAAP_Diluted,0,COLUMN()),6)</f>
      </c>
      <c r="BV137" s="830">
        <f t="shared" si="473"/>
      </c>
      <c r="BW137" s="830">
        <f t="shared" si="473"/>
      </c>
      <c r="BX137" s="830">
        <f t="shared" si="473"/>
      </c>
      <c r="BY137" s="830">
        <f t="shared" ref="BY137:CF137" si="474">ROUND(INDEX(SP_Company1876_NI,0,COLUMN())-INDEX(MO_RIS_NI_NONGAAP_Diluted,0,COLUMN()),6)</f>
      </c>
      <c r="BZ137" s="830">
        <f t="shared" si="474"/>
      </c>
      <c r="CA137" s="830">
        <f t="shared" si="474"/>
      </c>
      <c r="CB137" s="830">
        <f t="shared" si="474"/>
      </c>
      <c r="CC137" s="830">
        <f t="shared" si="474"/>
      </c>
      <c r="CD137" s="830">
        <f t="shared" si="474"/>
      </c>
      <c r="CE137" s="830">
        <f t="shared" si="474"/>
      </c>
      <c r="CF137" s="830">
        <f t="shared" si="474"/>
      </c>
      <c r="CG137" s="96"/>
    </row>
    <row r="138" spans="1:85" customFormat="1" hidden="1" outlineLevel="1" x14ac:dyDescent="0.3">
      <c r="A138" s="774" t="s">
        <v>359</v>
      </c>
      <c r="B138" s="96"/>
      <c r="C138" s="830">
        <f t="shared" ref="C138:AH138" si="475">ROUND(INDEX(SP_GF_NI,0,COLUMN())-INDEX(MO_RIS_NI_GAAP_Basic,0,COLUMN()),6)</f>
      </c>
      <c r="D138" s="830">
        <f t="shared" si="475"/>
      </c>
      <c r="E138" s="830">
        <f t="shared" si="475"/>
      </c>
      <c r="F138" s="830">
        <f t="shared" si="475"/>
      </c>
      <c r="G138" s="830">
        <f t="shared" si="475"/>
      </c>
      <c r="H138" s="830">
        <f t="shared" si="475"/>
      </c>
      <c r="I138" s="830">
        <f t="shared" si="475"/>
      </c>
      <c r="J138" s="830">
        <f t="shared" si="475"/>
      </c>
      <c r="K138" s="830">
        <f t="shared" si="475"/>
      </c>
      <c r="L138" s="830">
        <f t="shared" si="475"/>
      </c>
      <c r="M138" s="830">
        <f t="shared" si="475"/>
      </c>
      <c r="N138" s="830">
        <f t="shared" si="475"/>
      </c>
      <c r="O138" s="830">
        <f t="shared" si="475"/>
      </c>
      <c r="P138" s="830">
        <f t="shared" si="475"/>
      </c>
      <c r="Q138" s="830">
        <f t="shared" si="475"/>
      </c>
      <c r="R138" s="830">
        <f t="shared" si="475"/>
      </c>
      <c r="S138" s="830">
        <f t="shared" si="475"/>
      </c>
      <c r="T138" s="830">
        <f t="shared" si="475"/>
      </c>
      <c r="U138" s="830">
        <f t="shared" si="475"/>
      </c>
      <c r="V138" s="830">
        <f t="shared" si="475"/>
      </c>
      <c r="W138" s="830">
        <f t="shared" si="475"/>
      </c>
      <c r="X138" s="830">
        <f t="shared" si="475"/>
      </c>
      <c r="Y138" s="830">
        <f t="shared" si="475"/>
      </c>
      <c r="Z138" s="830">
        <f t="shared" si="475"/>
      </c>
      <c r="AA138" s="830">
        <f t="shared" si="475"/>
      </c>
      <c r="AB138" s="830">
        <f t="shared" si="475"/>
      </c>
      <c r="AC138" s="830">
        <f t="shared" si="475"/>
      </c>
      <c r="AD138" s="830">
        <f t="shared" si="475"/>
      </c>
      <c r="AE138" s="830">
        <f t="shared" si="475"/>
      </c>
      <c r="AF138" s="830">
        <f t="shared" si="475"/>
      </c>
      <c r="AG138" s="830">
        <f t="shared" si="475"/>
      </c>
      <c r="AH138" s="830">
        <f t="shared" si="475"/>
      </c>
      <c r="AI138" s="830">
        <f t="shared" ref="AI138:BD138" si="476">ROUND(INDEX(SP_GF_NI,0,COLUMN())-INDEX(MO_RIS_NI_GAAP_Basic,0,COLUMN()),6)</f>
      </c>
      <c r="AJ138" s="830">
        <f t="shared" si="476"/>
      </c>
      <c r="AK138" s="830">
        <f t="shared" si="476"/>
      </c>
      <c r="AL138" s="830">
        <f t="shared" si="476"/>
      </c>
      <c r="AM138" s="830">
        <f t="shared" si="476"/>
      </c>
      <c r="AN138" s="830">
        <f t="shared" si="476"/>
      </c>
      <c r="AO138" s="830">
        <f t="shared" si="476"/>
      </c>
      <c r="AP138" s="830">
        <f t="shared" si="476"/>
      </c>
      <c r="AQ138" s="830">
        <f t="shared" si="476"/>
      </c>
      <c r="AR138" s="830">
        <f t="shared" si="476"/>
      </c>
      <c r="AS138" s="830">
        <f t="shared" si="476"/>
      </c>
      <c r="AT138" s="830">
        <f t="shared" si="476"/>
      </c>
      <c r="AU138" s="830">
        <f t="shared" si="476"/>
      </c>
      <c r="AV138" s="830">
        <f t="shared" si="476"/>
      </c>
      <c r="AW138" s="830">
        <f t="shared" si="476"/>
      </c>
      <c r="AX138" s="830">
        <f t="shared" si="476"/>
      </c>
      <c r="AY138" s="830">
        <f t="shared" si="476"/>
      </c>
      <c r="AZ138" s="830">
        <f t="shared" si="476"/>
      </c>
      <c r="BA138" s="830">
        <f t="shared" si="476"/>
      </c>
      <c r="BB138" s="830">
        <f t="shared" si="476"/>
      </c>
      <c r="BC138" s="830">
        <f t="shared" si="476"/>
      </c>
      <c r="BD138" s="830">
        <f t="shared" si="476"/>
      </c>
      <c r="BE138" s="830">
        <f t="shared" ref="BE138:BJ138" si="477">ROUND(INDEX(SP_GF_NI,0,COLUMN())-INDEX(MO_RIS_NI_GAAP_Basic,0,COLUMN()),6)</f>
      </c>
      <c r="BF138" s="830">
        <f t="shared" si="477"/>
      </c>
      <c r="BG138" s="830">
        <f t="shared" si="477"/>
      </c>
      <c r="BH138" s="830">
        <f t="shared" si="477"/>
      </c>
      <c r="BI138" s="830">
        <f t="shared" si="477"/>
      </c>
      <c r="BJ138" s="830">
        <f t="shared" si="477"/>
      </c>
      <c r="BK138" s="830">
        <f t="shared" ref="BK138:BP138" si="478">ROUND(INDEX(SP_GF_NI,0,COLUMN())-INDEX(MO_RIS_NI_GAAP_Basic,0,COLUMN()),6)</f>
      </c>
      <c r="BL138" s="830">
        <f t="shared" si="478"/>
      </c>
      <c r="BM138" s="830">
        <f t="shared" si="478"/>
      </c>
      <c r="BN138" s="830">
        <f t="shared" si="478"/>
      </c>
      <c r="BO138" s="830">
        <f t="shared" si="478"/>
      </c>
      <c r="BP138" s="830">
        <f t="shared" si="478"/>
      </c>
      <c r="BQ138" s="830">
        <f>ROUND(INDEX(SP_GF_NI,0,COLUMN())-INDEX(MO_RIS_NI_GAAP_Basic,0,COLUMN()),6)</f>
      </c>
      <c r="BR138" s="830">
        <f>ROUND(INDEX(SP_GF_NI,0,COLUMN())-INDEX(MO_RIS_NI_GAAP_Basic,0,COLUMN()),6)</f>
      </c>
      <c r="BS138" s="830">
        <f>ROUND(INDEX(SP_GF_NI,0,COLUMN())-INDEX(MO_RIS_NI_GAAP_Basic,0,COLUMN()),6)</f>
      </c>
      <c r="BT138" s="831">
        <f>ROUND(INDEX(SP_GF_NI,0,COLUMN())-INDEX(MO_RIS_NI_GAAP_Basic,0,COLUMN()),6)</f>
      </c>
      <c r="BU138" s="830">
        <f t="shared" ref="BU138:BX138" si="479">ROUND(INDEX(SP_GF_NI,0,COLUMN())-INDEX(MO_RIS_NI_GAAP_Basic,0,COLUMN()),6)</f>
      </c>
      <c r="BV138" s="830">
        <f t="shared" si="479"/>
      </c>
      <c r="BW138" s="830">
        <f t="shared" si="479"/>
      </c>
      <c r="BX138" s="830">
        <f t="shared" si="479"/>
      </c>
      <c r="BY138" s="830">
        <f t="shared" ref="BY138:CF138" si="480">ROUND(INDEX(SP_GF_NI,0,COLUMN())-INDEX(MO_RIS_NI_GAAP_Basic,0,COLUMN()),6)</f>
      </c>
      <c r="BZ138" s="830">
        <f t="shared" si="480"/>
      </c>
      <c r="CA138" s="830">
        <f t="shared" si="480"/>
      </c>
      <c r="CB138" s="830">
        <f t="shared" si="480"/>
      </c>
      <c r="CC138" s="830">
        <f t="shared" si="480"/>
      </c>
      <c r="CD138" s="830">
        <f t="shared" si="480"/>
      </c>
      <c r="CE138" s="830">
        <f t="shared" si="480"/>
      </c>
      <c r="CF138" s="830">
        <f t="shared" si="480"/>
      </c>
      <c r="CG138" s="96"/>
    </row>
    <row r="139" spans="1:85" customFormat="1" hidden="1" outlineLevel="1" x14ac:dyDescent="0.3">
      <c r="A139" s="774" t="s">
        <v>360</v>
      </c>
      <c r="B139" s="96"/>
      <c r="C139" s="830">
        <f t="shared" ref="C139:AH139" ca="1" si="481">ROUND(INDEX(SP_CFA_NetChange,0,COLUMN())-INDEX(MO_CFS_NetChange,0,COLUMN()),6)</f>
      </c>
      <c r="D139" s="830">
        <f t="shared" ca="1" si="481"/>
      </c>
      <c r="E139" s="830">
        <f t="shared" ca="1" si="481"/>
      </c>
      <c r="F139" s="830">
        <f t="shared" ca="1" si="481"/>
      </c>
      <c r="G139" s="830">
        <f t="shared" ca="1" si="481"/>
      </c>
      <c r="H139" s="830">
        <f t="shared" ca="1" si="481"/>
      </c>
      <c r="I139" s="830">
        <f t="shared" ca="1" si="481"/>
      </c>
      <c r="J139" s="830">
        <f t="shared" ca="1" si="481"/>
      </c>
      <c r="K139" s="830">
        <f t="shared" ca="1" si="481"/>
      </c>
      <c r="L139" s="830">
        <f t="shared" ca="1" si="481"/>
      </c>
      <c r="M139" s="830">
        <f t="shared" ca="1" si="481"/>
      </c>
      <c r="N139" s="830">
        <f t="shared" ca="1" si="481"/>
      </c>
      <c r="O139" s="830">
        <f t="shared" ca="1" si="481"/>
      </c>
      <c r="P139" s="830">
        <f t="shared" ca="1" si="481"/>
      </c>
      <c r="Q139" s="830">
        <f t="shared" ca="1" si="481"/>
      </c>
      <c r="R139" s="830">
        <f t="shared" ca="1" si="481"/>
      </c>
      <c r="S139" s="830">
        <f t="shared" ca="1" si="481"/>
      </c>
      <c r="T139" s="830">
        <f t="shared" ca="1" si="481"/>
      </c>
      <c r="U139" s="830">
        <f t="shared" ca="1" si="481"/>
      </c>
      <c r="V139" s="830">
        <f t="shared" ca="1" si="481"/>
      </c>
      <c r="W139" s="830">
        <f t="shared" ca="1" si="481"/>
      </c>
      <c r="X139" s="830">
        <f t="shared" ca="1" si="481"/>
      </c>
      <c r="Y139" s="830">
        <f t="shared" ca="1" si="481"/>
      </c>
      <c r="Z139" s="830">
        <f t="shared" ca="1" si="481"/>
      </c>
      <c r="AA139" s="830">
        <f t="shared" ca="1" si="481"/>
      </c>
      <c r="AB139" s="830">
        <f t="shared" ca="1" si="481"/>
      </c>
      <c r="AC139" s="830">
        <f t="shared" ca="1" si="481"/>
      </c>
      <c r="AD139" s="830">
        <f t="shared" ca="1" si="481"/>
      </c>
      <c r="AE139" s="830">
        <f t="shared" ca="1" si="481"/>
      </c>
      <c r="AF139" s="830">
        <f t="shared" ca="1" si="481"/>
      </c>
      <c r="AG139" s="830">
        <f t="shared" ca="1" si="481"/>
      </c>
      <c r="AH139" s="830">
        <f t="shared" ca="1" si="481"/>
      </c>
      <c r="AI139" s="830">
        <f t="shared" ref="AI139:BD139" ca="1" si="482">ROUND(INDEX(SP_CFA_NetChange,0,COLUMN())-INDEX(MO_CFS_NetChange,0,COLUMN()),6)</f>
      </c>
      <c r="AJ139" s="830">
        <f t="shared" ca="1" si="482"/>
      </c>
      <c r="AK139" s="830">
        <f t="shared" ca="1" si="482"/>
      </c>
      <c r="AL139" s="830">
        <f t="shared" ca="1" si="482"/>
      </c>
      <c r="AM139" s="830">
        <f t="shared" ca="1" si="482"/>
      </c>
      <c r="AN139" s="830">
        <f t="shared" ca="1" si="482"/>
      </c>
      <c r="AO139" s="830">
        <f t="shared" ca="1" si="482"/>
      </c>
      <c r="AP139" s="830">
        <f t="shared" ca="1" si="482"/>
      </c>
      <c r="AQ139" s="830">
        <f t="shared" ca="1" si="482"/>
      </c>
      <c r="AR139" s="830">
        <f t="shared" ca="1" si="482"/>
      </c>
      <c r="AS139" s="830">
        <f t="shared" ca="1" si="482"/>
      </c>
      <c r="AT139" s="830">
        <f t="shared" ca="1" si="482"/>
      </c>
      <c r="AU139" s="830">
        <f t="shared" ca="1" si="482"/>
      </c>
      <c r="AV139" s="830">
        <f t="shared" ca="1" si="482"/>
      </c>
      <c r="AW139" s="830">
        <f t="shared" ca="1" si="482"/>
      </c>
      <c r="AX139" s="830">
        <f t="shared" ca="1" si="482"/>
      </c>
      <c r="AY139" s="830">
        <f t="shared" ca="1" si="482"/>
      </c>
      <c r="AZ139" s="830">
        <f t="shared" ca="1" si="482"/>
      </c>
      <c r="BA139" s="830">
        <f t="shared" ca="1" si="482"/>
      </c>
      <c r="BB139" s="830">
        <f t="shared" ca="1" si="482"/>
      </c>
      <c r="BC139" s="830">
        <f t="shared" ca="1" si="482"/>
      </c>
      <c r="BD139" s="830">
        <f t="shared" ca="1" si="482"/>
      </c>
      <c r="BE139" s="830">
        <f t="shared" ref="BE139:BJ139" ca="1" si="483">ROUND(INDEX(SP_CFA_NetChange,0,COLUMN())-INDEX(MO_CFS_NetChange,0,COLUMN()),6)</f>
      </c>
      <c r="BF139" s="830">
        <f t="shared" ca="1" si="483"/>
      </c>
      <c r="BG139" s="830">
        <f t="shared" ca="1" si="483"/>
      </c>
      <c r="BH139" s="830">
        <f t="shared" ca="1" si="483"/>
      </c>
      <c r="BI139" s="830">
        <f t="shared" ca="1" si="483"/>
      </c>
      <c r="BJ139" s="830">
        <f t="shared" ca="1" si="483"/>
      </c>
      <c r="BK139" s="830">
        <f t="shared" ref="BK139:BP139" ca="1" si="484">ROUND(INDEX(SP_CFA_NetChange,0,COLUMN())-INDEX(MO_CFS_NetChange,0,COLUMN()),6)</f>
      </c>
      <c r="BL139" s="830">
        <f t="shared" ca="1" si="484"/>
      </c>
      <c r="BM139" s="830">
        <f t="shared" ca="1" si="484"/>
      </c>
      <c r="BN139" s="830">
        <f t="shared" ca="1" si="484"/>
      </c>
      <c r="BO139" s="830">
        <f t="shared" ca="1" si="484"/>
      </c>
      <c r="BP139" s="830">
        <f t="shared" ca="1" si="484"/>
      </c>
      <c r="BQ139" s="830">
        <f ca="1">ROUND(INDEX(SP_CFA_NetChange,0,COLUMN())-INDEX(MO_CFS_NetChange,0,COLUMN()),6)</f>
      </c>
      <c r="BR139" s="830">
        <f ca="1">ROUND(INDEX(SP_CFA_NetChange,0,COLUMN())-INDEX(MO_CFS_NetChange,0,COLUMN()),6)</f>
      </c>
      <c r="BS139" s="830">
        <f ca="1">ROUND(INDEX(SP_CFA_NetChange,0,COLUMN())-INDEX(MO_CFS_NetChange,0,COLUMN()),6)</f>
      </c>
      <c r="BT139" s="831">
        <f ca="1">ROUND(INDEX(SP_CFA_NetChange,0,COLUMN())-INDEX(MO_CFS_NetChange,0,COLUMN()),6)</f>
      </c>
      <c r="BU139" s="830">
        <f t="shared" ref="BU139:BX139" ca="1" si="485">ROUND(INDEX(SP_CFA_NetChange,0,COLUMN())-INDEX(MO_CFS_NetChange,0,COLUMN()),6)</f>
      </c>
      <c r="BV139" s="830">
        <f t="shared" ca="1" si="485"/>
      </c>
      <c r="BW139" s="830">
        <f t="shared" ca="1" si="485"/>
      </c>
      <c r="BX139" s="830">
        <f t="shared" ca="1" si="485"/>
      </c>
      <c r="BY139" s="830">
        <f t="shared" ref="BY139:CF139" ca="1" si="486">ROUND(INDEX(SP_CFA_NetChange,0,COLUMN())-INDEX(MO_CFS_NetChange,0,COLUMN()),6)</f>
      </c>
      <c r="BZ139" s="830">
        <f t="shared" ca="1" si="486"/>
      </c>
      <c r="CA139" s="830">
        <f t="shared" ca="1" si="486"/>
      </c>
      <c r="CB139" s="830">
        <f t="shared" ca="1" si="486"/>
      </c>
      <c r="CC139" s="830">
        <f t="shared" ca="1" si="486"/>
      </c>
      <c r="CD139" s="830">
        <f t="shared" ca="1" si="486"/>
      </c>
      <c r="CE139" s="830">
        <f t="shared" ca="1" si="486"/>
      </c>
      <c r="CF139" s="830">
        <f t="shared" ca="1" si="486"/>
      </c>
      <c r="CG139" s="96"/>
    </row>
    <row r="140" spans="1:85" customFormat="1" collapsed="1" x14ac:dyDescent="0.3">
      <c r="A140" s="96"/>
      <c r="B140" s="96"/>
      <c r="C140" s="137"/>
      <c r="D140" s="137"/>
      <c r="E140" s="137"/>
      <c r="F140" s="137"/>
      <c r="G140" s="96"/>
      <c r="H140" s="96"/>
      <c r="I140" s="96"/>
      <c r="J140" s="96"/>
      <c r="K140" s="137"/>
      <c r="L140" s="96"/>
      <c r="M140" s="96"/>
      <c r="N140" s="96"/>
      <c r="O140" s="96"/>
      <c r="P140" s="137"/>
      <c r="Q140" s="96"/>
      <c r="R140" s="96"/>
      <c r="S140" s="96"/>
      <c r="T140" s="96"/>
      <c r="U140" s="137"/>
      <c r="V140" s="96"/>
      <c r="W140" s="96"/>
      <c r="X140" s="96"/>
      <c r="Y140" s="96"/>
      <c r="Z140" s="137"/>
      <c r="AA140" s="96"/>
      <c r="AB140" s="96"/>
      <c r="AC140" s="96"/>
      <c r="AD140" s="96"/>
      <c r="AE140" s="137"/>
      <c r="AF140" s="96"/>
      <c r="AG140" s="96"/>
      <c r="AH140" s="96"/>
      <c r="AI140" s="96"/>
      <c r="AJ140" s="137"/>
      <c r="AK140" s="96"/>
      <c r="AL140" s="96"/>
      <c r="AM140" s="96"/>
      <c r="AN140" s="96"/>
      <c r="AO140" s="137"/>
      <c r="AP140" s="96"/>
      <c r="AQ140" s="96"/>
      <c r="AR140" s="96"/>
      <c r="AS140" s="96"/>
      <c r="AT140" s="137"/>
      <c r="AU140" s="96"/>
      <c r="AV140" s="96"/>
      <c r="AW140" s="96"/>
      <c r="AX140" s="96"/>
      <c r="AY140" s="137"/>
      <c r="AZ140" s="96"/>
      <c r="BA140" s="96"/>
      <c r="BB140" s="96"/>
      <c r="BC140" s="96"/>
      <c r="BD140" s="137"/>
      <c r="BE140" s="96"/>
      <c r="BF140" s="96"/>
      <c r="BG140" s="96"/>
      <c r="BH140" s="96"/>
      <c r="BI140" s="137"/>
      <c r="BJ140" s="96"/>
      <c r="BK140" s="96"/>
      <c r="BL140" s="96"/>
      <c r="BM140" s="96"/>
      <c r="BN140" s="137"/>
      <c r="BO140" s="96"/>
      <c r="BP140" s="96"/>
      <c r="BQ140" s="96"/>
      <c r="BR140" s="96"/>
      <c r="BS140" s="137"/>
      <c r="BT140" s="749"/>
      <c r="BU140" s="96"/>
      <c r="BV140" s="96"/>
      <c r="BW140" s="96"/>
      <c r="BX140" s="137"/>
      <c r="BY140" s="96"/>
      <c r="BZ140" s="96"/>
      <c r="CA140" s="96"/>
      <c r="CB140" s="96"/>
      <c r="CC140" s="137"/>
      <c r="CD140" s="137"/>
      <c r="CE140" s="137"/>
      <c r="CF140" s="137"/>
      <c r="CG140" s="96"/>
    </row>
    <row r="141" spans="1:85" customFormat="1" x14ac:dyDescent="0.3">
      <c r="A141" s="218"/>
      <c r="B141" s="219"/>
      <c r="C141" s="219"/>
      <c r="D141" s="219"/>
      <c r="E141" s="219"/>
      <c r="F141" s="219"/>
      <c r="G141" s="219"/>
      <c r="H141" s="219"/>
      <c r="I141" s="219"/>
      <c r="J141" s="219"/>
      <c r="K141" s="219"/>
      <c r="L141" s="219"/>
      <c r="M141" s="219"/>
      <c r="N141" s="219"/>
      <c r="O141" s="219"/>
      <c r="P141" s="219"/>
      <c r="Q141" s="219"/>
      <c r="R141" s="219"/>
      <c r="S141" s="219"/>
      <c r="T141" s="219"/>
      <c r="U141" s="219"/>
      <c r="V141" s="219"/>
      <c r="W141" s="219"/>
      <c r="X141" s="219"/>
      <c r="Y141" s="219"/>
      <c r="Z141" s="219"/>
      <c r="AA141" s="219"/>
      <c r="AB141" s="219"/>
      <c r="AC141" s="219"/>
      <c r="AD141" s="219"/>
      <c r="AE141" s="219"/>
      <c r="AF141" s="219"/>
      <c r="AG141" s="219"/>
      <c r="AH141" s="219"/>
      <c r="AI141" s="219"/>
      <c r="AJ141" s="219"/>
      <c r="AK141" s="219"/>
      <c r="AL141" s="219"/>
      <c r="AM141" s="219"/>
      <c r="AN141" s="219"/>
      <c r="AO141" s="219"/>
      <c r="AP141" s="219"/>
      <c r="AQ141" s="219"/>
      <c r="AR141" s="219"/>
      <c r="AS141" s="219"/>
      <c r="AT141" s="219"/>
      <c r="AU141" s="219"/>
      <c r="AV141" s="219"/>
      <c r="AW141" s="219"/>
      <c r="AX141" s="219"/>
      <c r="AY141" s="219"/>
      <c r="AZ141" s="219"/>
      <c r="BA141" s="219"/>
      <c r="BB141" s="219"/>
      <c r="BC141" s="219"/>
      <c r="BD141" s="219"/>
      <c r="BE141" s="219"/>
      <c r="BF141" s="219"/>
      <c r="BG141" s="219"/>
      <c r="BH141" s="219"/>
      <c r="BI141" s="219"/>
      <c r="BJ141" s="219"/>
      <c r="BK141" s="219"/>
      <c r="BL141" s="219"/>
      <c r="BM141" s="219"/>
      <c r="BN141" s="219"/>
      <c r="BO141" s="219"/>
      <c r="BP141" s="219"/>
      <c r="BQ141" s="219"/>
      <c r="BR141" s="219"/>
      <c r="BS141" s="219"/>
      <c r="BT141" s="219"/>
      <c r="BU141" s="219"/>
      <c r="BV141" s="219"/>
      <c r="BW141" s="219"/>
      <c r="BX141" s="219"/>
      <c r="BY141" s="219"/>
      <c r="BZ141" s="219"/>
      <c r="CA141" s="219"/>
      <c r="CB141" s="219"/>
      <c r="CC141" s="219"/>
      <c r="CD141" s="219"/>
      <c r="CE141" s="219"/>
      <c r="CF141" s="219"/>
      <c r="CG141" s="96"/>
    </row>
    <row r="142" spans="1:85" customFormat="1" collapsed="1" x14ac:dyDescent="0.3">
      <c r="A142" s="197"/>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c r="BP142" s="96"/>
      <c r="BQ142" s="96"/>
      <c r="BR142" s="96"/>
      <c r="BS142" s="96"/>
      <c r="BT142" s="96"/>
      <c r="BU142" s="96"/>
      <c r="BV142" s="96"/>
      <c r="BW142" s="96"/>
      <c r="BX142" s="96"/>
      <c r="BY142" s="96"/>
      <c r="BZ142" s="96"/>
      <c r="CA142" s="96"/>
      <c r="CB142" s="96"/>
      <c r="CC142" s="96"/>
      <c r="CD142" s="96"/>
      <c r="CE142" s="96"/>
      <c r="CF142" s="96"/>
      <c r="CG142" s="96"/>
    </row>
  </sheetData>
  <conditionalFormatting sqref="C134:CF139">
    <cfRule type="cellIs" dxfId="1" priority="241" operator="notEqual">
      <formula>0</formula>
    </cfRule>
    <cfRule type="cellIs" dxfId="0" priority="242" operator="equal">
      <formula>0</formula>
    </cfRule>
  </conditionalFormatting>
  <dataValidations count="1">
    <dataValidation type="list" allowBlank="1" showInputMessage="1" showErrorMessage="1" sqref="B4" xr:uid="{00000000-0002-0000-0500-000000000000}">
      <formula1>OFFSET(tb_ValuationToggle,1,0,4,1)</formula1>
    </dataValidation>
  </dataValidations>
  <pageMargins left="0.7" right="0.7" top="0.75" bottom="0.75" header="0.3" footer="0.3"/>
  <pageSetup scale="3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773</vt:i4>
      </vt:variant>
    </vt:vector>
  </HeadingPairs>
  <TitlesOfParts>
    <vt:vector size="778" baseType="lpstr">
      <vt:lpstr>Model</vt:lpstr>
      <vt:lpstr>Exec Comp</vt:lpstr>
      <vt:lpstr>Supplemental Data</vt:lpstr>
      <vt:lpstr>Guidance</vt:lpstr>
      <vt:lpstr>Summary Page</vt:lpstr>
      <vt:lpstr>EC_CCMO_BasePay</vt:lpstr>
      <vt:lpstr>EC_CCMO_EquityComp_Percent</vt:lpstr>
      <vt:lpstr>EC_CCMO_SharesOwned</vt:lpstr>
      <vt:lpstr>EC_CCMO_TotalComp</vt:lpstr>
      <vt:lpstr>EC_CEO_BasePay</vt:lpstr>
      <vt:lpstr>EC_CEO_EquityComp_Percent</vt:lpstr>
      <vt:lpstr>EC_CEO_SharesOwned</vt:lpstr>
      <vt:lpstr>EC_CEO_TotalComp</vt:lpstr>
      <vt:lpstr>EC_CFO_BasePay</vt:lpstr>
      <vt:lpstr>EC_CFO_EquityComp_Percent</vt:lpstr>
      <vt:lpstr>EC_CFO_SharesOwned</vt:lpstr>
      <vt:lpstr>EC_CFO_TotalComp</vt:lpstr>
      <vt:lpstr>EC_CLO_BasePay</vt:lpstr>
      <vt:lpstr>EC_CLO_EquityComp_Percent</vt:lpstr>
      <vt:lpstr>EC_CLO_SharesOwned</vt:lpstr>
      <vt:lpstr>EC_CLO_TotalComp</vt:lpstr>
      <vt:lpstr>EC_CoCEOCCO_BasePay</vt:lpstr>
      <vt:lpstr>EC_CoCEOCCO_EquityComp_Percent</vt:lpstr>
      <vt:lpstr>EC_CoCEOCCO_SharesOwned</vt:lpstr>
      <vt:lpstr>EC_CoCEOCCO_TotalComp</vt:lpstr>
      <vt:lpstr>EC_Person0187_BasePay</vt:lpstr>
      <vt:lpstr>EC_Person0187_EquityComp_Percent</vt:lpstr>
      <vt:lpstr>EC_Person0187_SharesOwned</vt:lpstr>
      <vt:lpstr>EC_Person0187_TotalComp</vt:lpstr>
      <vt:lpstr>EC_CTO_BasePay</vt:lpstr>
      <vt:lpstr>EC_CTO_EquityComp_Percent</vt:lpstr>
      <vt:lpstr>EC_CTO_OptionsAwards</vt:lpstr>
      <vt:lpstr>EC_CTO_SharesOwned</vt:lpstr>
      <vt:lpstr>EC_CTO_TotalComp</vt:lpstr>
      <vt:lpstr>EC_Director_Compensation_Cash</vt:lpstr>
      <vt:lpstr>EC_Director_Compensation_Total</vt:lpstr>
      <vt:lpstr>EC_Directors_Current</vt:lpstr>
      <vt:lpstr>EC_Directors_Current_Diverse</vt:lpstr>
      <vt:lpstr>EC_Directors_Current_Female</vt:lpstr>
      <vt:lpstr>EC_Directors_Current_Independent</vt:lpstr>
      <vt:lpstr>EC_Directors_Nominees</vt:lpstr>
      <vt:lpstr>GD.CompanyName</vt:lpstr>
      <vt:lpstr>GD.MRQ</vt:lpstr>
      <vt:lpstr>GD_Difference_Mid_Absolute</vt:lpstr>
      <vt:lpstr>GD_Difference_Mid_Relative</vt:lpstr>
      <vt:lpstr>GD_Guidance_High</vt:lpstr>
      <vt:lpstr>GD_Guidance_Low</vt:lpstr>
      <vt:lpstr>GD_Guidance_Mid</vt:lpstr>
      <vt:lpstr>GD_Header_Column</vt:lpstr>
      <vt:lpstr>GD_Header_Section</vt:lpstr>
      <vt:lpstr>GD_Index</vt:lpstr>
      <vt:lpstr>GD_Item</vt:lpstr>
      <vt:lpstr>GD_Item_BasePeriod</vt:lpstr>
      <vt:lpstr>GD_Item_FiscalPeriod</vt:lpstr>
      <vt:lpstr>GD_Item_Name</vt:lpstr>
      <vt:lpstr>GD_Model_Output</vt:lpstr>
      <vt:lpstr>GD_Model_Type</vt:lpstr>
      <vt:lpstr>GD_Type</vt:lpstr>
      <vt:lpstr>GD_Update_Date</vt:lpstr>
      <vt:lpstr>GD_Update_Link</vt:lpstr>
      <vt:lpstr>HP.MRFX</vt:lpstr>
      <vt:lpstr>HP.ReportCurrency</vt:lpstr>
      <vt:lpstr>HP.Ticker</vt:lpstr>
      <vt:lpstr>HP.TradeCurrency</vt:lpstr>
      <vt:lpstr>HP.TradeCurrency.HardCoded</vt:lpstr>
      <vt:lpstr>MO.ApplyTradeCurrencyScaling</vt:lpstr>
      <vt:lpstr>MO.CFY</vt:lpstr>
      <vt:lpstr>MO.CompanyName</vt:lpstr>
      <vt:lpstr>MO.DataSourceIndex</vt:lpstr>
      <vt:lpstr>MO.DataSourceName</vt:lpstr>
      <vt:lpstr>MO.FirstForecastedFiscalYear</vt:lpstr>
      <vt:lpstr>MO.KPI.1</vt:lpstr>
      <vt:lpstr>MO.KPI.2</vt:lpstr>
      <vt:lpstr>MO.KPI.3</vt:lpstr>
      <vt:lpstr>MO.KPI.4</vt:lpstr>
      <vt:lpstr>MO.KPI.5</vt:lpstr>
      <vt:lpstr>MO.KPI.6</vt:lpstr>
      <vt:lpstr>MO.KPI.7</vt:lpstr>
      <vt:lpstr>MO.KPI.8</vt:lpstr>
      <vt:lpstr>MO.KPI.9</vt:lpstr>
      <vt:lpstr>MO.KPI.Count</vt:lpstr>
      <vt:lpstr>MO.LastPrice</vt:lpstr>
      <vt:lpstr>MO.LastPriceDate</vt:lpstr>
      <vt:lpstr>MO.LastPriceFormula</vt:lpstr>
      <vt:lpstr>MO.LastPriceHardcoded</vt:lpstr>
      <vt:lpstr>MO.MRFP</vt:lpstr>
      <vt:lpstr>MO.MRFPColumnNumber</vt:lpstr>
      <vt:lpstr>MO.MRFX.Hardcoded</vt:lpstr>
      <vt:lpstr>MO.RealTime</vt:lpstr>
      <vt:lpstr>MO.RealTimeStockPriceToggle</vt:lpstr>
      <vt:lpstr>MO.ReportCurrency</vt:lpstr>
      <vt:lpstr>MO.ReportFX</vt:lpstr>
      <vt:lpstr>MO.Ticker</vt:lpstr>
      <vt:lpstr>MO.Ticker.Bloomberg</vt:lpstr>
      <vt:lpstr>MO.Ticker.CapIQ</vt:lpstr>
      <vt:lpstr>MO.Ticker.FactSet</vt:lpstr>
      <vt:lpstr>MO.Ticker.Source</vt:lpstr>
      <vt:lpstr>MO.Ticker.Thomson</vt:lpstr>
      <vt:lpstr>MO.TradingCurrency</vt:lpstr>
      <vt:lpstr>MO.ValuationToggle</vt:lpstr>
      <vt:lpstr>MO_AN_EBITDA_Adj</vt:lpstr>
      <vt:lpstr>MO_AN_FCF</vt:lpstr>
      <vt:lpstr>MO_AN_NI_NONGAAP_Diluted</vt:lpstr>
      <vt:lpstr>MO_BS_AE</vt:lpstr>
      <vt:lpstr>MO_BS_AP</vt:lpstr>
      <vt:lpstr>MO_BS_CA</vt:lpstr>
      <vt:lpstr>MO_BS_Cash</vt:lpstr>
      <vt:lpstr>MO_BS_CL</vt:lpstr>
      <vt:lpstr>MO_BS_CommonStock</vt:lpstr>
      <vt:lpstr>MO_BS_ContentAssets_Licensed_NonCurrent</vt:lpstr>
      <vt:lpstr>MO_BS_ContentAssets_NonCurrent</vt:lpstr>
      <vt:lpstr>MO_BS_ContentAssets_Produced_NonCurrent</vt:lpstr>
      <vt:lpstr>MO_BS_ContentLiability_Current</vt:lpstr>
      <vt:lpstr>MO_BS_ContentLiability_NonCurrent</vt:lpstr>
      <vt:lpstr>MO_BS_ContributedSurplus</vt:lpstr>
      <vt:lpstr>MO_BS_DefRev</vt:lpstr>
      <vt:lpstr>MO_BS_DefRev_Current</vt:lpstr>
      <vt:lpstr>MO_BS_FL_Current</vt:lpstr>
      <vt:lpstr>MO_BS_Intangibles</vt:lpstr>
      <vt:lpstr>MO_BS_INV</vt:lpstr>
      <vt:lpstr>MO_BS_NCA</vt:lpstr>
      <vt:lpstr>MO_BS_NCI</vt:lpstr>
      <vt:lpstr>MO_BS_NCL</vt:lpstr>
      <vt:lpstr>MO_BS_OCI</vt:lpstr>
      <vt:lpstr>MO_BS_OL_Current</vt:lpstr>
      <vt:lpstr>MO_BS_OL_NonCurrent</vt:lpstr>
      <vt:lpstr>MO_BS_PPE</vt:lpstr>
      <vt:lpstr>MO_BS_PrepaidExpenses</vt:lpstr>
      <vt:lpstr>MO_BS_RestrictedCash_Current</vt:lpstr>
      <vt:lpstr>MO_BS_RestrictedCash_NonCurrent</vt:lpstr>
      <vt:lpstr>MO_BS_RetainedEarnings</vt:lpstr>
      <vt:lpstr>MO_BS_SE</vt:lpstr>
      <vt:lpstr>MO_BS_STInvestments</vt:lpstr>
      <vt:lpstr>MO_BS_TA</vt:lpstr>
      <vt:lpstr>MO_BS_TaxAssets_Deferred_Current</vt:lpstr>
      <vt:lpstr>MO_BS_TaxAssets_Deferred_NonCurrent</vt:lpstr>
      <vt:lpstr>MO_BS_TL</vt:lpstr>
      <vt:lpstr>MO_BS_TLSE</vt:lpstr>
      <vt:lpstr>MO_BS_TreasuryStock</vt:lpstr>
      <vt:lpstr>MO_BSS_Cash</vt:lpstr>
      <vt:lpstr>MO_BSS_Debt</vt:lpstr>
      <vt:lpstr>MO_BSS_Debt_LT</vt:lpstr>
      <vt:lpstr>MO_BSS_Debt_Net</vt:lpstr>
      <vt:lpstr>MO_BSS_Debt_ST</vt:lpstr>
      <vt:lpstr>MO_BSS_Debt_ToCF</vt:lpstr>
      <vt:lpstr>MO_BSS_Debt_ToEBITDA</vt:lpstr>
      <vt:lpstr>MO_BSS_IE</vt:lpstr>
      <vt:lpstr>MO_BSS_IE_Net</vt:lpstr>
      <vt:lpstr>MO_BSS_II</vt:lpstr>
      <vt:lpstr>MO_BSS_InterestRate_Cash</vt:lpstr>
      <vt:lpstr>MO_BSS_InterestRate_Debt</vt:lpstr>
      <vt:lpstr>MO_BSS_NetInterestCoverage</vt:lpstr>
      <vt:lpstr>MO_BSS_NetInterestRate_Debt</vt:lpstr>
      <vt:lpstr>MO_BSS_OL</vt:lpstr>
      <vt:lpstr>MO_CCFS_Balance_Begin</vt:lpstr>
      <vt:lpstr>MO_CCFS_Balance_End</vt:lpstr>
      <vt:lpstr>MO_CCFS_CFF</vt:lpstr>
      <vt:lpstr>MO_CCFS_CFI</vt:lpstr>
      <vt:lpstr>MO_CCFS_CFO</vt:lpstr>
      <vt:lpstr>MO_CCFS_CFO_BeforeWC</vt:lpstr>
      <vt:lpstr>MO_CCFS_FX</vt:lpstr>
      <vt:lpstr>MO_CCFS_NetChange</vt:lpstr>
      <vt:lpstr>MO_CCFS_Sup_CashInterest</vt:lpstr>
      <vt:lpstr>MO_CCFS_Sup_CashTax</vt:lpstr>
      <vt:lpstr>MO_CFS_Balance_Begin</vt:lpstr>
      <vt:lpstr>MO_CFS_Balance_End</vt:lpstr>
      <vt:lpstr>MO_CFS_Buyback</vt:lpstr>
      <vt:lpstr>MO_CFS_CFF</vt:lpstr>
      <vt:lpstr>MO_CFS_CFI</vt:lpstr>
      <vt:lpstr>MO_CFS_CFO</vt:lpstr>
      <vt:lpstr>MO_CFS_CFO_BeforeWC</vt:lpstr>
      <vt:lpstr>MO_CFS_DA</vt:lpstr>
      <vt:lpstr>MO_CFS_DeferredTax</vt:lpstr>
      <vt:lpstr>MO_CFS_Dividend_Common</vt:lpstr>
      <vt:lpstr>MO_CFS_FX</vt:lpstr>
      <vt:lpstr>MO_CFS_NetChange</vt:lpstr>
      <vt:lpstr>MO_CFS_NewEquityIssued</vt:lpstr>
      <vt:lpstr>MO_CFS_NI</vt:lpstr>
      <vt:lpstr>MO_CFS_SBC</vt:lpstr>
      <vt:lpstr>MO_CFS_Sup_CashInterest</vt:lpstr>
      <vt:lpstr>MO_CFS_Sup_CashTax</vt:lpstr>
      <vt:lpstr>MO_CFS_WC_AE</vt:lpstr>
      <vt:lpstr>MO_CFS_WC_AP</vt:lpstr>
      <vt:lpstr>MO_CFS_WC_DefRev</vt:lpstr>
      <vt:lpstr>MO_CFS_WC_PrepaidExpenses</vt:lpstr>
      <vt:lpstr>MO_CFSum_Acquisition</vt:lpstr>
      <vt:lpstr>MO_CFSum_Capex</vt:lpstr>
      <vt:lpstr>MO_CFSum_CFO</vt:lpstr>
      <vt:lpstr>MO_CFSum_CFO_BeforeWC</vt:lpstr>
      <vt:lpstr>MO_CFSum_CFOPS</vt:lpstr>
      <vt:lpstr>MO_CFSum_CFOPS_BeforeWC</vt:lpstr>
      <vt:lpstr>MO_CFSum_CFPS</vt:lpstr>
      <vt:lpstr>MO_CFSum_ChangeInWC</vt:lpstr>
      <vt:lpstr>MO_CFSum_Divestiture</vt:lpstr>
      <vt:lpstr>MO_CFSum_Dividend</vt:lpstr>
      <vt:lpstr>MO_CFSum_DPS</vt:lpstr>
      <vt:lpstr>MO_CFSum_FCF_PostDivPostAD</vt:lpstr>
      <vt:lpstr>MO_CFSum_FCF_PostDivPostADPostDebtPostBuyback</vt:lpstr>
      <vt:lpstr>MO_CFSum_FCF_PostDivPreAD</vt:lpstr>
      <vt:lpstr>MO_CFSum_FCF_PostWCPostDivPostAD</vt:lpstr>
      <vt:lpstr>MO_CFSum_FCF_PostWCPostDivPostADPostDebtPostBuyback</vt:lpstr>
      <vt:lpstr>MO_CFSum_FCF_PostWCPostDivPreAD</vt:lpstr>
      <vt:lpstr>MO_CFSum_FCF_PostWCPreDiv</vt:lpstr>
      <vt:lpstr>MO_CFSum_FCF_PreDiv</vt:lpstr>
      <vt:lpstr>MO_CFSum_NetDebtIssuance</vt:lpstr>
      <vt:lpstr>MO_CFSum_NetShares</vt:lpstr>
      <vt:lpstr>MO_CFSum_NetShares_Price</vt:lpstr>
      <vt:lpstr>MO_CFSum_SBC</vt:lpstr>
      <vt:lpstr>MO_CFSum_SBC_Margin</vt:lpstr>
      <vt:lpstr>MO_Checks_Bottom</vt:lpstr>
      <vt:lpstr>MO_Checks_BS</vt:lpstr>
      <vt:lpstr>MO_Checks_CF</vt:lpstr>
      <vt:lpstr>MO_Checks_IS</vt:lpstr>
      <vt:lpstr>MO_Common_Column_A</vt:lpstr>
      <vt:lpstr>MO_Common_Column_B</vt:lpstr>
      <vt:lpstr>MO_Common_ColumnHeader</vt:lpstr>
      <vt:lpstr>MO_Common_CompanySubtitle</vt:lpstr>
      <vt:lpstr>MO_Common_CompanyTitle</vt:lpstr>
      <vt:lpstr>MO_Common_FPDays</vt:lpstr>
      <vt:lpstr>MO_Common_QEndDate</vt:lpstr>
      <vt:lpstr>MO_Common_QEndDate_LWD</vt:lpstr>
      <vt:lpstr>MO_Credit_Capex</vt:lpstr>
      <vt:lpstr>MO_Credit_Capex_LTM</vt:lpstr>
      <vt:lpstr>MO_Credit_Cash</vt:lpstr>
      <vt:lpstr>MO_Credit_CFO_LTM</vt:lpstr>
      <vt:lpstr>MO_Credit_CreditAdjustedFCF</vt:lpstr>
      <vt:lpstr>MO_Credit_CreditAdjustedFCF_LTM</vt:lpstr>
      <vt:lpstr>MO_Credit_CreditAdjustedWC</vt:lpstr>
      <vt:lpstr>MO_Credit_CurrentAssets_Liquid</vt:lpstr>
      <vt:lpstr>MO_Credit_Debt</vt:lpstr>
      <vt:lpstr>MO_Credit_Debt_BookValue</vt:lpstr>
      <vt:lpstr>MO_Credit_Debt_LT</vt:lpstr>
      <vt:lpstr>MO_Credit_Debt_LT_Current</vt:lpstr>
      <vt:lpstr>MO_Credit_Debt_Net</vt:lpstr>
      <vt:lpstr>MO_Credit_Debt_Net_exOL</vt:lpstr>
      <vt:lpstr>MO_Credit_Debt_Principal</vt:lpstr>
      <vt:lpstr>MO_Credit_Debt_Secured</vt:lpstr>
      <vt:lpstr>MO_Credit_Debt_Unamortized</vt:lpstr>
      <vt:lpstr>MO_Credit_Debt_UnamortizedCosts</vt:lpstr>
      <vt:lpstr>MO_Credit_Debt_Unsecured</vt:lpstr>
      <vt:lpstr>MO_Credit_DebtIssuance</vt:lpstr>
      <vt:lpstr>MO_Credit_DebtIssuance_Net</vt:lpstr>
      <vt:lpstr>MO_Credit_DebtOutstanding_Additional</vt:lpstr>
      <vt:lpstr>MO_Credit_DebtOutstanding_Principal</vt:lpstr>
      <vt:lpstr>MO_Credit_DebtRepayment</vt:lpstr>
      <vt:lpstr>MO_Credit_DebtRepayment_Other</vt:lpstr>
      <vt:lpstr>MO_Credit_DebtRepayment_Revolver</vt:lpstr>
      <vt:lpstr>MO_Credit_EBITDA_Adj</vt:lpstr>
      <vt:lpstr>MO_Credit_EBITDA_Adj_LTM</vt:lpstr>
      <vt:lpstr>MO_Credit_IE_Additional</vt:lpstr>
      <vt:lpstr>MO_Credit_IE_Amortization</vt:lpstr>
      <vt:lpstr>MO_Credit_IE_Debt</vt:lpstr>
      <vt:lpstr>MO_Credit_IE_Net_LTM</vt:lpstr>
      <vt:lpstr>MO_Credit_IE_PrincipalNotes_Calculated</vt:lpstr>
      <vt:lpstr>MO_Credit_IE_Rate_Additional</vt:lpstr>
      <vt:lpstr>MO_Credit_IE_Reported</vt:lpstr>
      <vt:lpstr>MO_Credit_IE_Unaccounted</vt:lpstr>
      <vt:lpstr>MO_Credit_Interest_Cash</vt:lpstr>
      <vt:lpstr>MO_Credit_Interest_Cash_Additional</vt:lpstr>
      <vt:lpstr>MO_Credit_Interest_Cash_Calculated</vt:lpstr>
      <vt:lpstr>MO_Credit_Interest_Cash_Reported</vt:lpstr>
      <vt:lpstr>MO_Credit_Interest_Cash_Unaccounted</vt:lpstr>
      <vt:lpstr>MO_Credit_Liquidity</vt:lpstr>
      <vt:lpstr>MO_Credit_Liquidity_Cash</vt:lpstr>
      <vt:lpstr>MO_Credit_NetRepayment</vt:lpstr>
      <vt:lpstr>MO_Credit_NetRepayment_Additional</vt:lpstr>
      <vt:lpstr>MO_Credit_OL</vt:lpstr>
      <vt:lpstr>MO_Credit_OpLeaseReconciliation</vt:lpstr>
      <vt:lpstr>MO_Credit_Ratio_Capex</vt:lpstr>
      <vt:lpstr>MO_Credit_Ratio_Capex_LTM</vt:lpstr>
      <vt:lpstr>MO_Credit_Ratio_Cash</vt:lpstr>
      <vt:lpstr>MO_Credit_Ratio_CashRatio</vt:lpstr>
      <vt:lpstr>MO_Credit_Ratio_CFO</vt:lpstr>
      <vt:lpstr>MO_Credit_Ratio_CFO_LTM</vt:lpstr>
      <vt:lpstr>MO_Credit_Ratio_CreditAdjustedFCF</vt:lpstr>
      <vt:lpstr>MO_Credit_Ratio_CreditAdjustedFCF_LTM</vt:lpstr>
      <vt:lpstr>MO_Credit_Ratio_CurrentAssets</vt:lpstr>
      <vt:lpstr>MO_Credit_Ratio_CurrentAssets_Liquid</vt:lpstr>
      <vt:lpstr>MO_Credit_Ratio_CurrentLiabilities</vt:lpstr>
      <vt:lpstr>MO_Credit_Ratio_CurrentRatio</vt:lpstr>
      <vt:lpstr>MO_Credit_Ratio_Debt_LT</vt:lpstr>
      <vt:lpstr>MO_Credit_Ratio_Debt_Net</vt:lpstr>
      <vt:lpstr>MO_Credit_Ratio_Debt_Secured</vt:lpstr>
      <vt:lpstr>MO_Credit_Ratio_Debt_ST</vt:lpstr>
      <vt:lpstr>MO_Credit_Ratio_Debt_Total</vt:lpstr>
      <vt:lpstr>MO_Credit_Ratio_EBITDA_Adj</vt:lpstr>
      <vt:lpstr>MO_Credit_Ratio_EBITDA_Adj_LTM</vt:lpstr>
      <vt:lpstr>MO_Credit_Ratio_Equity_BookValue</vt:lpstr>
      <vt:lpstr>MO_Credit_Ratio_EV</vt:lpstr>
      <vt:lpstr>MO_Credit_Ratio_IE</vt:lpstr>
      <vt:lpstr>MO_Credit_Ratio_IE_LTM</vt:lpstr>
      <vt:lpstr>MO_Credit_Ratio_LTDebt_ToAssets</vt:lpstr>
      <vt:lpstr>MO_Credit_Ratio_LTDebt_ToBVCapital</vt:lpstr>
      <vt:lpstr>MO_Credit_Ratio_LTDebt_ToEquity</vt:lpstr>
      <vt:lpstr>MO_Credit_Ratio_LTDebt_ToLTMCreditAdjustedFCF</vt:lpstr>
      <vt:lpstr>MO_Credit_Ratio_LTDebt_ToLTMEBITDA_Adj</vt:lpstr>
      <vt:lpstr>MO_Credit_Ratio_LTDebt_ToMarketCap</vt:lpstr>
      <vt:lpstr>MO_Credit_Ratio_LTDebt_ToMVCapital</vt:lpstr>
      <vt:lpstr>MO_Credit_Ratio_LTDebt_ToTEV</vt:lpstr>
      <vt:lpstr>MO_Credit_Ratio_LTMCFO_ToLTMIE_Net</vt:lpstr>
      <vt:lpstr>MO_Credit_Ratio_LTMEBITDA_Adj_ToLTMIE</vt:lpstr>
      <vt:lpstr>MO_Credit_Ratio_MarketCap</vt:lpstr>
      <vt:lpstr>MO_Credit_Ratio_NetDebt_ToLTMCFO</vt:lpstr>
      <vt:lpstr>MO_Credit_Ratio_NetDebt_ToLTMCreditAdjustedFCF</vt:lpstr>
      <vt:lpstr>MO_Credit_Ratio_NetDebt_ToLTMEBITDA_Adj</vt:lpstr>
      <vt:lpstr>MO_Credit_Ratio_NetDebt_ToLTMEBITDA_adjlessCapex</vt:lpstr>
      <vt:lpstr>MO_Credit_Ratio_QuickRatio</vt:lpstr>
      <vt:lpstr>MO_Credit_Ratio_SecuredDebt_ToLTMEBITDA_Adj</vt:lpstr>
      <vt:lpstr>MO_Credit_Ratio_TotalAssets</vt:lpstr>
      <vt:lpstr>MO_Credit_Ratio_TotalDebt_ToLTMEBITDA_Adj</vt:lpstr>
      <vt:lpstr>MO_Credit_Revolver_Available</vt:lpstr>
      <vt:lpstr>MO_Credit_Revolver_Remaining</vt:lpstr>
      <vt:lpstr>MO_Credit_Revolver_Used</vt:lpstr>
      <vt:lpstr>MO_Credit_SOFR_1m</vt:lpstr>
      <vt:lpstr>MO_Credit_Tax_Cash</vt:lpstr>
      <vt:lpstr>MO_Credit_Tax_Cash_Rate</vt:lpstr>
      <vt:lpstr>MO_DAF_A</vt:lpstr>
      <vt:lpstr>MO_DAF_A_Percentage</vt:lpstr>
      <vt:lpstr>MO_DAF_Capex</vt:lpstr>
      <vt:lpstr>MO_DAF_D</vt:lpstr>
      <vt:lpstr>MO_DAF_D_Percentage</vt:lpstr>
      <vt:lpstr>MO_DAF_DA</vt:lpstr>
      <vt:lpstr>MO_DAF_Intangibles_BoP</vt:lpstr>
      <vt:lpstr>MO_DAF_Intangibles_Capex</vt:lpstr>
      <vt:lpstr>MO_DAF_Intangibles_EoP</vt:lpstr>
      <vt:lpstr>MO_DAF_Intangibles_Life</vt:lpstr>
      <vt:lpstr>MO_DAF_Intangibles_Other</vt:lpstr>
      <vt:lpstr>MO_DAF_PPE_BoP</vt:lpstr>
      <vt:lpstr>MO_DAF_PPE_Capex</vt:lpstr>
      <vt:lpstr>MO_DAF_PPE_EoP</vt:lpstr>
      <vt:lpstr>MO_DAF_PPE_Life</vt:lpstr>
      <vt:lpstr>MO_DAF_PPE_Other</vt:lpstr>
      <vt:lpstr>MO_GA_REV_ConstantCurrency</vt:lpstr>
      <vt:lpstr>MO_GA_TotalRevenue</vt:lpstr>
      <vt:lpstr>MO_GuidanceAnalysis_Ebit_FY</vt:lpstr>
      <vt:lpstr>MO_GuidanceAnalysis_Ebit_MostRecentMidpoint</vt:lpstr>
      <vt:lpstr>MO_GuidanceAnalysis_Ebit_Q</vt:lpstr>
      <vt:lpstr>MO_GuidanceAnalysis_EbitMargin_FY</vt:lpstr>
      <vt:lpstr>MO_GuidanceAnalysis_EbitMargin_MostRecentMidpoint</vt:lpstr>
      <vt:lpstr>MO_GuidanceAnalysis_EbitMargin_Q</vt:lpstr>
      <vt:lpstr>MO_GuidanceAnalysis_Revenue_FY</vt:lpstr>
      <vt:lpstr>MO_GuidanceAnalysis_Revenue_MostRecentMidpoint</vt:lpstr>
      <vt:lpstr>MO_GuidanceAnalysis_Revenue_Q</vt:lpstr>
      <vt:lpstr>MO_IS_COGS</vt:lpstr>
      <vt:lpstr>MO_IS_DebtExtinguishment</vt:lpstr>
      <vt:lpstr>MO_IS_EBIT</vt:lpstr>
      <vt:lpstr>MO_IS_EBT</vt:lpstr>
      <vt:lpstr>MO_IS_FirstRow</vt:lpstr>
      <vt:lpstr>MO_IS_GA</vt:lpstr>
      <vt:lpstr>MO_IS_GP</vt:lpstr>
      <vt:lpstr>MO_IS_IE</vt:lpstr>
      <vt:lpstr>MO_IS_NI_ContinOp</vt:lpstr>
      <vt:lpstr>MO_IS_OPEX</vt:lpstr>
      <vt:lpstr>MO_IS_RD</vt:lpstr>
      <vt:lpstr>MO_IS_REV</vt:lpstr>
      <vt:lpstr>MO_IS_SM</vt:lpstr>
      <vt:lpstr>MO_IS_Tax</vt:lpstr>
      <vt:lpstr>MO_KPI_ARPU_APAC</vt:lpstr>
      <vt:lpstr>MO_KPI_ARPU_Calc</vt:lpstr>
      <vt:lpstr>MO_KPI_ARPU_EMEA</vt:lpstr>
      <vt:lpstr>MO_KPI_ARPU_LATAM</vt:lpstr>
      <vt:lpstr>MO_KPI_ARPU_Subscription_Calc</vt:lpstr>
      <vt:lpstr>MO_KPI_ARPU_US</vt:lpstr>
      <vt:lpstr>MO_KPI_Content_Amortization</vt:lpstr>
      <vt:lpstr>MO_KPI_ContentAssets_Life</vt:lpstr>
      <vt:lpstr>MO_KPI_EmployeeCount</vt:lpstr>
      <vt:lpstr>MO_KPI_REV_Geo_Americas</vt:lpstr>
      <vt:lpstr>MO_KPI_REV_Geo_APAC</vt:lpstr>
      <vt:lpstr>MO_KPI_REV_Geo_EMEA</vt:lpstr>
      <vt:lpstr>MO_KPI_REV_Geo_LATAM</vt:lpstr>
      <vt:lpstr>MO_KPI_REV_Geo_US</vt:lpstr>
      <vt:lpstr>MO_KPI_REV_Platform</vt:lpstr>
      <vt:lpstr>MO_KPI_REV_Platform_Subscription</vt:lpstr>
      <vt:lpstr>MO_KPI_REV_Subscription</vt:lpstr>
      <vt:lpstr>MO_KPI_Subscribers_APAC</vt:lpstr>
      <vt:lpstr>MO_KPI_Subscribers_EMEA</vt:lpstr>
      <vt:lpstr>MO_KPI_Subscribers_EoP</vt:lpstr>
      <vt:lpstr>MO_KPI_Subscribers_LATAM</vt:lpstr>
      <vt:lpstr>MO_KPI_Subscribers_US</vt:lpstr>
      <vt:lpstr>MO_Liabilities_Current_Percentage</vt:lpstr>
      <vt:lpstr>MO_MA_COGS</vt:lpstr>
      <vt:lpstr>MO_MA_DA</vt:lpstr>
      <vt:lpstr>MO_MA_EBIT</vt:lpstr>
      <vt:lpstr>MO_MA_EBIT_Adj</vt:lpstr>
      <vt:lpstr>MO_MA_EBITDA</vt:lpstr>
      <vt:lpstr>MO_MA_EBITDA_Adj</vt:lpstr>
      <vt:lpstr>MO_MA_GA</vt:lpstr>
      <vt:lpstr>MO_MA_GM</vt:lpstr>
      <vt:lpstr>MO_MA_RD</vt:lpstr>
      <vt:lpstr>MO_MA_SBC</vt:lpstr>
      <vt:lpstr>MO_MA_SGA</vt:lpstr>
      <vt:lpstr>MO_MA_SM</vt:lpstr>
      <vt:lpstr>MO_OL_Assets_Additions</vt:lpstr>
      <vt:lpstr>MO_OL_Assets_BoP</vt:lpstr>
      <vt:lpstr>MO_OL_Assets_D_Life</vt:lpstr>
      <vt:lpstr>MO_OL_Assets_D_Percentage</vt:lpstr>
      <vt:lpstr>MO_OL_Assets_Depreciation</vt:lpstr>
      <vt:lpstr>MO_OL_Assets_EoP</vt:lpstr>
      <vt:lpstr>MO_OL_Assets_Other</vt:lpstr>
      <vt:lpstr>MO_OL_CapitalRepayment</vt:lpstr>
      <vt:lpstr>MO_OL_CashPayments_Change_Q</vt:lpstr>
      <vt:lpstr>MO_OL_CashPayments_Change_Y</vt:lpstr>
      <vt:lpstr>MO_OL_CashPayments_Monthly</vt:lpstr>
      <vt:lpstr>MO_OL_Depreciation</vt:lpstr>
      <vt:lpstr>MO_OL_InterestPaid</vt:lpstr>
      <vt:lpstr>MO_OL_InterestRate</vt:lpstr>
      <vt:lpstr>MO_OL_LeaseExpense</vt:lpstr>
      <vt:lpstr>MO_OL_LeasePayment</vt:lpstr>
      <vt:lpstr>MO_OL_Liabilities_Additions</vt:lpstr>
      <vt:lpstr>MO_OL_Liabilities_BoP</vt:lpstr>
      <vt:lpstr>MO_OL_Liabilities_CapitalRepayment</vt:lpstr>
      <vt:lpstr>MO_OL_Liabilities_EoP</vt:lpstr>
      <vt:lpstr>MO_OL_Liabilities_Other</vt:lpstr>
      <vt:lpstr>MO_OS_ARPU_APAC</vt:lpstr>
      <vt:lpstr>MO_OS_ARPU_Calc</vt:lpstr>
      <vt:lpstr>MO_OS_ARPU_EMEA</vt:lpstr>
      <vt:lpstr>MO_OS_ARPU_LATAM</vt:lpstr>
      <vt:lpstr>MO_OS_ARPU_Subscription_Calc</vt:lpstr>
      <vt:lpstr>MO_OS_ARPU_US</vt:lpstr>
      <vt:lpstr>MO_OS_Content_Amortization</vt:lpstr>
      <vt:lpstr>MO_OS_ContentAssets_Life</vt:lpstr>
      <vt:lpstr>MO_OS_EmployeeCount</vt:lpstr>
      <vt:lpstr>MO_OS_REV_Platform</vt:lpstr>
      <vt:lpstr>MO_OS_REV_Platform_Subscription</vt:lpstr>
      <vt:lpstr>MO_OS_REV_Subscription</vt:lpstr>
      <vt:lpstr>MO_OS_Subscribers_APAC</vt:lpstr>
      <vt:lpstr>MO_OS_Subscribers_EMEA</vt:lpstr>
      <vt:lpstr>MO_OS_Subscribers_EoP</vt:lpstr>
      <vt:lpstr>MO_OS_Subscribers_LATAM</vt:lpstr>
      <vt:lpstr>MO_OS_Subscribers_US</vt:lpstr>
      <vt:lpstr>MO_RIS_Adjustments_Dilution_GAAP</vt:lpstr>
      <vt:lpstr>MO_RIS_Adjustments_Dilution_NONGAAP</vt:lpstr>
      <vt:lpstr>MO_RIS_Adjustments_NONGAAP</vt:lpstr>
      <vt:lpstr>MO_RIS_COGS</vt:lpstr>
      <vt:lpstr>MO_RIS_DA</vt:lpstr>
      <vt:lpstr>MO_RIS_DAintangibles</vt:lpstr>
      <vt:lpstr>MO_RIS_DisCont</vt:lpstr>
      <vt:lpstr>MO_RIS_Dividend_Prefs</vt:lpstr>
      <vt:lpstr>MO_RIS_EBIT</vt:lpstr>
      <vt:lpstr>MO_RIS_EBIT_Adj</vt:lpstr>
      <vt:lpstr>MO_RIS_EBITDA</vt:lpstr>
      <vt:lpstr>MO_RIS_EBITDA_Adj</vt:lpstr>
      <vt:lpstr>MO_RIS_EBT</vt:lpstr>
      <vt:lpstr>MO_RIS_EPS_Company2917</vt:lpstr>
      <vt:lpstr>MO_RIS_EPS_WAD</vt:lpstr>
      <vt:lpstr>MO_RIS_EPS_WAD_Adj</vt:lpstr>
      <vt:lpstr>MO_RIS_GA</vt:lpstr>
      <vt:lpstr>MO_RIS_GP</vt:lpstr>
      <vt:lpstr>MO_RIS_IE</vt:lpstr>
      <vt:lpstr>MO_RIS_II</vt:lpstr>
      <vt:lpstr>MO_RIS_NCI</vt:lpstr>
      <vt:lpstr>MO_RIS_NI_ContinOp</vt:lpstr>
      <vt:lpstr>MO_RIS_NI_GAAP_Basic</vt:lpstr>
      <vt:lpstr>MO_RIS_NI_GAAP_Diluted</vt:lpstr>
      <vt:lpstr>MO_RIS_NI_NONGAAP_Diluted</vt:lpstr>
      <vt:lpstr>MO_RIS_OI</vt:lpstr>
      <vt:lpstr>MO_RIS_OTI</vt:lpstr>
      <vt:lpstr>MO_RIS_RD</vt:lpstr>
      <vt:lpstr>MO_RIS_REV</vt:lpstr>
      <vt:lpstr>MO_RIS_SBC</vt:lpstr>
      <vt:lpstr>MO_RIS_ShareCount_Company2917</vt:lpstr>
      <vt:lpstr>MO_RIS_ShareCount_WAD</vt:lpstr>
      <vt:lpstr>MO_RIS_ShareCount_WAD_Adj</vt:lpstr>
      <vt:lpstr>MO_RIS_SM</vt:lpstr>
      <vt:lpstr>MO_RIS_Tax_Current</vt:lpstr>
      <vt:lpstr>MO_RIS_Tax_Deferred</vt:lpstr>
      <vt:lpstr>MO_RIS_TaxRate_Current</vt:lpstr>
      <vt:lpstr>MO_RIS_TaxRate_Deferred</vt:lpstr>
      <vt:lpstr>MO_SCA_Date_CoverPage</vt:lpstr>
      <vt:lpstr>MO_SCA_Date_LastWorkingDay</vt:lpstr>
      <vt:lpstr>MO_SCA_Ratio_DilutedOverBasic</vt:lpstr>
      <vt:lpstr>MO_SCA_Repurchase_DollarValue</vt:lpstr>
      <vt:lpstr>MO_SCA_Repurchase_Program_Remaining</vt:lpstr>
      <vt:lpstr>MO_SCA_Repurchase_Reported_Price</vt:lpstr>
      <vt:lpstr>MO_SCA_Repurchase_Reported_Shares_Total</vt:lpstr>
      <vt:lpstr>MO_SCA_ShareCount_CoverPage</vt:lpstr>
      <vt:lpstr>MO_SCA_ShareCount_CoverPage_Class1</vt:lpstr>
      <vt:lpstr>MO_SCA_ShareCount_CoverPage_Dilutive</vt:lpstr>
      <vt:lpstr>MO_SCA_ShareCount_CoverPage_Ticker1</vt:lpstr>
      <vt:lpstr>MO_SCA_ShareCount_DilutiveShares</vt:lpstr>
      <vt:lpstr>MO_SCA_ShareCount_EoP</vt:lpstr>
      <vt:lpstr>MO_SCA_ShareCount_EoP_Class1</vt:lpstr>
      <vt:lpstr>MO_SCA_ShareCount_EoP_Diluted</vt:lpstr>
      <vt:lpstr>MO_SCA_ShareCount_EoP_Growth_Dilutive_QoQ</vt:lpstr>
      <vt:lpstr>MO_SCA_ShareCount_EoP_Growth_Dilutive_YoY</vt:lpstr>
      <vt:lpstr>MO_SCA_ShareCount_EoP_Growth_NetIssuance_QoQ</vt:lpstr>
      <vt:lpstr>MO_SCA_ShareCount_EoP_Growth_NetIssuance_YoY</vt:lpstr>
      <vt:lpstr>MO_SCA_ShareCount_EoP_Growth_QoQ</vt:lpstr>
      <vt:lpstr>MO_SCA_ShareCount_EoP_Growth_YoY</vt:lpstr>
      <vt:lpstr>MO_SCA_ShareCount_EoP_Ticker1</vt:lpstr>
      <vt:lpstr>MO_SCA_ShareCount_FullyDiluted</vt:lpstr>
      <vt:lpstr>MO_SCA_ShareCount_PotentialDilution</vt:lpstr>
      <vt:lpstr>MO_SCA_StockOptions_BoP</vt:lpstr>
      <vt:lpstr>MO_SCA_StockOptions_Canceled</vt:lpstr>
      <vt:lpstr>MO_SCA_StockOptions_Cumulative_BoP</vt:lpstr>
      <vt:lpstr>MO_SCA_StockOptions_Cumulative_Canceled</vt:lpstr>
      <vt:lpstr>MO_SCA_StockOptions_Cumulative_EoP</vt:lpstr>
      <vt:lpstr>MO_SCA_StockOptions_Cumulative_Exercised</vt:lpstr>
      <vt:lpstr>MO_SCA_StockOptions_Cumulative_Granted</vt:lpstr>
      <vt:lpstr>MO_SCA_StockOptions_Dilution</vt:lpstr>
      <vt:lpstr>MO_SCA_StockOptions_EoP</vt:lpstr>
      <vt:lpstr>MO_SCA_StockOptions_Exercisable</vt:lpstr>
      <vt:lpstr>MO_SCA_StockOptions_Exercised</vt:lpstr>
      <vt:lpstr>MO_SCA_StockOptions_Granted</vt:lpstr>
      <vt:lpstr>MO_SCA_StockOptions_Price_BoP</vt:lpstr>
      <vt:lpstr>MO_SCA_StockOptions_Price_Canceled</vt:lpstr>
      <vt:lpstr>MO_SCA_StockOptions_Price_Cumulative_BoP</vt:lpstr>
      <vt:lpstr>MO_SCA_StockOptions_Price_Cumulative_Canceled</vt:lpstr>
      <vt:lpstr>MO_SCA_StockOptions_Price_Cumulative_EoP</vt:lpstr>
      <vt:lpstr>MO_SCA_StockOptions_Price_Cumulative_Exercised</vt:lpstr>
      <vt:lpstr>MO_SCA_StockOptions_Price_Cumulative_Granted</vt:lpstr>
      <vt:lpstr>MO_SCA_StockOptions_Price_EoP</vt:lpstr>
      <vt:lpstr>MO_SCA_StockOptions_Price_Exercisable</vt:lpstr>
      <vt:lpstr>MO_SCA_StockOptions_Price_Exercised</vt:lpstr>
      <vt:lpstr>MO_SCA_StockOptions_Price_Granted</vt:lpstr>
      <vt:lpstr>MO_SCA_StockPrice_EoP</vt:lpstr>
      <vt:lpstr>MO_Section_AdjustedNumbers</vt:lpstr>
      <vt:lpstr>MO_Section_BalanceSheet</vt:lpstr>
      <vt:lpstr>MO_Section_BalanceSheetSummary</vt:lpstr>
      <vt:lpstr>MO_Section_BoardDiversity</vt:lpstr>
      <vt:lpstr>MO_Section_CashFlowStatement</vt:lpstr>
      <vt:lpstr>MO_Section_CashFlowSummary</vt:lpstr>
      <vt:lpstr>MO_Section_CompanyFinancialGoals</vt:lpstr>
      <vt:lpstr>MO_Section_ConsolidatedSummary</vt:lpstr>
      <vt:lpstr>MO_Section_ConsolidatedSummarySection</vt:lpstr>
      <vt:lpstr>MO_Section_CreditSummary</vt:lpstr>
      <vt:lpstr>MO_Section_CumulativeCashFlowStatement</vt:lpstr>
      <vt:lpstr>MO_Section_DAForecasting</vt:lpstr>
      <vt:lpstr>MO_Section_DebtBreakdown</vt:lpstr>
      <vt:lpstr>MO_Section_DirectorCompensation</vt:lpstr>
      <vt:lpstr>MO_Section_EbitGuidanceAnalysis</vt:lpstr>
      <vt:lpstr>MO_Section_ExecutiveCompensation</vt:lpstr>
      <vt:lpstr>MO_Section_GuidanceAnalysis</vt:lpstr>
      <vt:lpstr>MO_Section_IncomeStatement</vt:lpstr>
      <vt:lpstr>MO_Section_KeyMetricsContentAssetsBreakdownFS</vt:lpstr>
      <vt:lpstr>MO_Section_KeyMetricsContentObligationsFS</vt:lpstr>
      <vt:lpstr>MO_Section_KeyMetricsForeignCurrencyAdjustedMetricsPR</vt:lpstr>
      <vt:lpstr>MO_Section_KeyMetricsHeadcountFS</vt:lpstr>
      <vt:lpstr>MO_Section_KeyMetricsShareofUSTVTimePR</vt:lpstr>
      <vt:lpstr>MO_Section_KeyMetricsYYCostGranularityFS</vt:lpstr>
      <vt:lpstr>MO_Section_LastRow</vt:lpstr>
      <vt:lpstr>MO_Section_MarginAnalysis</vt:lpstr>
      <vt:lpstr>MO_Section_ModelChecks</vt:lpstr>
      <vt:lpstr>MO_Section_OperatingExpenseForecasting</vt:lpstr>
      <vt:lpstr>MO_Section_OperatingLeases</vt:lpstr>
      <vt:lpstr>MO_Section_OperatingStatsContentLibraryAmortizationSchedule</vt:lpstr>
      <vt:lpstr>MO_Section_OperatingStatsMembershipsMDA</vt:lpstr>
      <vt:lpstr>MO_Section_OtherAlignmentDataPoints</vt:lpstr>
      <vt:lpstr>MO_Section_Ratios</vt:lpstr>
      <vt:lpstr>MO_Section_RevenueGuidanceAnalysis</vt:lpstr>
      <vt:lpstr>MO_Section_RevisedIncomeStatement</vt:lpstr>
      <vt:lpstr>MO_Section_SegmentedResultsAsiaPacificStreamingFS</vt:lpstr>
      <vt:lpstr>MO_Section_SegmentedResultsCostsBreakdownFS</vt:lpstr>
      <vt:lpstr>MO_Section_SegmentedResultsEMEAStreamingFS</vt:lpstr>
      <vt:lpstr>MO_Section_SegmentedResultsLatinAmericaStreamingFS</vt:lpstr>
      <vt:lpstr>MO_Section_SegmentedResultsRevenueBreakdownFS</vt:lpstr>
      <vt:lpstr>MO_Section_SegmentedResultsUnitedStatesDVDFS</vt:lpstr>
      <vt:lpstr>MO_Section_SegmentedResultsUSandCanadaStreamingFS</vt:lpstr>
      <vt:lpstr>MO_Section_SegmentSummary</vt:lpstr>
      <vt:lpstr>MO_Section_ShareCountAnalysis</vt:lpstr>
      <vt:lpstr>MO_Section_Source</vt:lpstr>
      <vt:lpstr>MO_Section_Source_1</vt:lpstr>
      <vt:lpstr>MO_Section_Tables</vt:lpstr>
      <vt:lpstr>MO_Section_Valuation</vt:lpstr>
      <vt:lpstr>MO_Section_WorkingCapitalForecasting</vt:lpstr>
      <vt:lpstr>MO_SNA_ConsensusEstimatePeriodNumber</vt:lpstr>
      <vt:lpstr>MO_SNA_ConsensusEstimatePeriodType</vt:lpstr>
      <vt:lpstr>MO_SNA_FPStartDate</vt:lpstr>
      <vt:lpstr>MO_SNA_Guidance_ApplicablePeriod_FY</vt:lpstr>
      <vt:lpstr>MO_SNA_Guidance_ApplicablePeriod_Q</vt:lpstr>
      <vt:lpstr>MO_SNA_Guidance_IsLatest_FY</vt:lpstr>
      <vt:lpstr>MO_SNA_Guidance_ReportDate_FY</vt:lpstr>
      <vt:lpstr>MO_SNA_Guidance_ReportDate_Q</vt:lpstr>
      <vt:lpstr>MO_SNA_IsHistoricalPeriod</vt:lpstr>
      <vt:lpstr>MO_SNA_LastDataRow</vt:lpstr>
      <vt:lpstr>MO_SPT_FXAverage</vt:lpstr>
      <vt:lpstr>MO_SPT_FXAverage_Sources</vt:lpstr>
      <vt:lpstr>MO_SPT_FXAverage_Sources_Bloomberg</vt:lpstr>
      <vt:lpstr>MO_SPT_FXAverage_Sources_CapIQ</vt:lpstr>
      <vt:lpstr>MO_SPT_FXAverage_Sources_FactSet</vt:lpstr>
      <vt:lpstr>MO_SPT_FXAverage_Sources_RealTimeOff</vt:lpstr>
      <vt:lpstr>MO_SPT_FXAverage_Sources_Thomson</vt:lpstr>
      <vt:lpstr>MO_SPT_FXEoP</vt:lpstr>
      <vt:lpstr>MO_SPT_StockAverage</vt:lpstr>
      <vt:lpstr>MO_SPT_StockAverage_Sources</vt:lpstr>
      <vt:lpstr>MO_SPT_StockAverage_Sources_Bloomberg</vt:lpstr>
      <vt:lpstr>MO_SPT_StockAverage_Sources_CapIQ</vt:lpstr>
      <vt:lpstr>MO_SPT_StockAverage_Sources_FactSet</vt:lpstr>
      <vt:lpstr>MO_SPT_StockAverage_Sources_RealTimeOff</vt:lpstr>
      <vt:lpstr>MO_SPT_StockAverage_Sources_Thomson</vt:lpstr>
      <vt:lpstr>MO_SPT_StockEoP</vt:lpstr>
      <vt:lpstr>MO_SPT_StockHigh</vt:lpstr>
      <vt:lpstr>MO_SPT_StockHigh_Sources</vt:lpstr>
      <vt:lpstr>MO_SPT_StockHigh_Sources_Bloomberg</vt:lpstr>
      <vt:lpstr>MO_SPT_StockHigh_Sources_CapIQ</vt:lpstr>
      <vt:lpstr>MO_SPT_StockHigh_Sources_FactSet</vt:lpstr>
      <vt:lpstr>MO_SPT_StockHigh_Sources_RealTimeOff</vt:lpstr>
      <vt:lpstr>MO_SPT_StockHigh_Sources_Thomson</vt:lpstr>
      <vt:lpstr>MO_SPT_StockLow</vt:lpstr>
      <vt:lpstr>MO_SPT_StockLow_Sources</vt:lpstr>
      <vt:lpstr>MO_SPT_StockLow_Sources_Bloomberg</vt:lpstr>
      <vt:lpstr>MO_SPT_StockLow_Sources_CapIQ</vt:lpstr>
      <vt:lpstr>MO_SPT_StockLow_Sources_FactSet</vt:lpstr>
      <vt:lpstr>MO_SPT_StockLow_Sources_RealTimeOff</vt:lpstr>
      <vt:lpstr>MO_SPT_StockLow_Sources_Thomson</vt:lpstr>
      <vt:lpstr>MO_SR_Geo_Americas</vt:lpstr>
      <vt:lpstr>MO_SR_Geo_APAC</vt:lpstr>
      <vt:lpstr>MO_SR_Geo_EMEA</vt:lpstr>
      <vt:lpstr>MO_SR_Geo_LATAM</vt:lpstr>
      <vt:lpstr>MO_SR_Geo_US</vt:lpstr>
      <vt:lpstr>MO_SubSection_BS_CA</vt:lpstr>
      <vt:lpstr>MO_SubSection_BS_CL</vt:lpstr>
      <vt:lpstr>MO_SubSection_BS_NCA</vt:lpstr>
      <vt:lpstr>MO_SubSection_BS_NCL</vt:lpstr>
      <vt:lpstr>MO_SubSection_BS_SE</vt:lpstr>
      <vt:lpstr>MO_SubSection_CCFS_CFF</vt:lpstr>
      <vt:lpstr>MO_SubSection_CCFS_CFI</vt:lpstr>
      <vt:lpstr>MO_SubSection_CCFS_CFO</vt:lpstr>
      <vt:lpstr>MO_SubSection_CFS_CFF</vt:lpstr>
      <vt:lpstr>MO_SubSection_CFS_CFI</vt:lpstr>
      <vt:lpstr>MO_SubSection_CFS_CFO</vt:lpstr>
      <vt:lpstr>MO_VA_EV</vt:lpstr>
      <vt:lpstr>MO_VA_EV_ToEBITDA</vt:lpstr>
      <vt:lpstr>MO_VA_EVCalc_NCI</vt:lpstr>
      <vt:lpstr>MO_VA_EVCalc_Other</vt:lpstr>
      <vt:lpstr>MO_VA_EVCalc_Prefs</vt:lpstr>
      <vt:lpstr>MO_VA_FCFYield_ToEV</vt:lpstr>
      <vt:lpstr>MO_VA_FCFYield_ToMktCap</vt:lpstr>
      <vt:lpstr>MO_VA_FX_Average</vt:lpstr>
      <vt:lpstr>MO_VA_FX_EoP</vt:lpstr>
      <vt:lpstr>MO_VA_MarketCap</vt:lpstr>
      <vt:lpstr>MO_VA_P_ToCF</vt:lpstr>
      <vt:lpstr>MO_VA_P_ToE</vt:lpstr>
      <vt:lpstr>MO_VA_StockPrice</vt:lpstr>
      <vt:lpstr>MO_VA_StockPrice_Avg</vt:lpstr>
      <vt:lpstr>MO_VA_StockPrice_EoP</vt:lpstr>
      <vt:lpstr>MO_VA_StockPrice_High</vt:lpstr>
      <vt:lpstr>MO_VA_StockPrice_Low</vt:lpstr>
      <vt:lpstr>MO_VA_StockPrice_TradingCurrency</vt:lpstr>
      <vt:lpstr>MX_MO_GA_TotalStreamingARPUGrowth</vt:lpstr>
      <vt:lpstr>MX_MO_OS_domesticpaideopstreamingmemberships</vt:lpstr>
      <vt:lpstr>MX_MO_OS_domesticstreamingnetcontribution</vt:lpstr>
      <vt:lpstr>MX_MO_OS_DomesticStreamingNetContributionmargin</vt:lpstr>
      <vt:lpstr>MX_MO_OS_domesticstreamingrevenue</vt:lpstr>
      <vt:lpstr>MX_MO_OS_internationalpaideopstreamingmemberships</vt:lpstr>
      <vt:lpstr>MX_MO_OS_internationalstreamingnetcontribution</vt:lpstr>
      <vt:lpstr>MX_MO_OS_InternationalStreamingNetContributionmargin</vt:lpstr>
      <vt:lpstr>MX_MO_OS_internationalstreamingrevenue</vt:lpstr>
      <vt:lpstr>MX_MO_OS_netdomesticpaidstreamingmembershipschange</vt:lpstr>
      <vt:lpstr>MX_MO_OS_netinternationalpaidstreamingmembershipschange</vt:lpstr>
      <vt:lpstr>MX_MO_OS_TotalEOPpaidstreamingmemberships</vt:lpstr>
      <vt:lpstr>MX_MO_OS_Totalpaidstreamingmembershipsnetadditions</vt:lpstr>
      <vt:lpstr>MX_MO_OS_TotalPaidStreamingMembershipsNetAdditions_1</vt:lpstr>
      <vt:lpstr>MX_MO_OS_YYGlobalstreamingconstantcurrencyARPUgrowth</vt:lpstr>
      <vt:lpstr>Model!Print_Area</vt:lpstr>
      <vt:lpstr>'Summary Page'!Print_Area</vt:lpstr>
      <vt:lpstr>Model!Print_Titles</vt:lpstr>
      <vt:lpstr>SP.ReportFX</vt:lpstr>
      <vt:lpstr>SP.ValuationToggle</vt:lpstr>
      <vt:lpstr>SP_BSR_Capital</vt:lpstr>
      <vt:lpstr>SP_BSR_CashFlow</vt:lpstr>
      <vt:lpstr>SP_BSR_CashFlow_LTM</vt:lpstr>
      <vt:lpstr>SP_BSR_CL</vt:lpstr>
      <vt:lpstr>SP_BSR_CL_Avg</vt:lpstr>
      <vt:lpstr>SP_BSR_Debt</vt:lpstr>
      <vt:lpstr>SP_BSR_Debt_Avg</vt:lpstr>
      <vt:lpstr>SP_BSR_EBITDA</vt:lpstr>
      <vt:lpstr>SP_BSR_EBITDA_LTM</vt:lpstr>
      <vt:lpstr>SP_BSR_SE</vt:lpstr>
      <vt:lpstr>SP_BSR_SE_Avg</vt:lpstr>
      <vt:lpstr>SP_BSR_TA</vt:lpstr>
      <vt:lpstr>SP_BSR_TA_Avg</vt:lpstr>
      <vt:lpstr>SP_CFA_Acquisition</vt:lpstr>
      <vt:lpstr>SP_CFA_Capex</vt:lpstr>
      <vt:lpstr>SP_CFA_CFO</vt:lpstr>
      <vt:lpstr>SP_CFA_CFO_BeforeWC</vt:lpstr>
      <vt:lpstr>SP_CFA_CFO_PerShare</vt:lpstr>
      <vt:lpstr>SP_CFA_Debt</vt:lpstr>
      <vt:lpstr>SP_CFA_Div</vt:lpstr>
      <vt:lpstr>SP_CFA_Div_PerShare</vt:lpstr>
      <vt:lpstr>SP_CFA_Divestiture</vt:lpstr>
      <vt:lpstr>SP_CFA_Equity</vt:lpstr>
      <vt:lpstr>SP_CFA_FCF_PerShare</vt:lpstr>
      <vt:lpstr>SP_CFA_FCF_PostDiv</vt:lpstr>
      <vt:lpstr>SP_CFA_FCF_PreDiv</vt:lpstr>
      <vt:lpstr>SP_CFA_NetChange</vt:lpstr>
      <vt:lpstr>SP_CFA_Other</vt:lpstr>
      <vt:lpstr>SP_CFA_Payout_vsEPS</vt:lpstr>
      <vt:lpstr>SP_CFA_Payout_vsFCF</vt:lpstr>
      <vt:lpstr>SP_CFA_WC</vt:lpstr>
      <vt:lpstr>SP_Checks_SummaryPage</vt:lpstr>
      <vt:lpstr>SP_Common_Column_A</vt:lpstr>
      <vt:lpstr>SP_Common_Column_B</vt:lpstr>
      <vt:lpstr>SP_Common_ColumnHeader</vt:lpstr>
      <vt:lpstr>SP_Common_QEndDate</vt:lpstr>
      <vt:lpstr>SP_CS_Cash</vt:lpstr>
      <vt:lpstr>SP_CS_Debt</vt:lpstr>
      <vt:lpstr>SP_CS_EV</vt:lpstr>
      <vt:lpstr>SP_CS_EVCalc_Other</vt:lpstr>
      <vt:lpstr>SP_CS_MarketCap</vt:lpstr>
      <vt:lpstr>SP_CS_OL</vt:lpstr>
      <vt:lpstr>SP_CS_ShareCount</vt:lpstr>
      <vt:lpstr>SP_CS_ShareCount_EoP_Diluted</vt:lpstr>
      <vt:lpstr>SP_CS_StockPrice</vt:lpstr>
      <vt:lpstr>SP_GF_Adjustments_Dilution</vt:lpstr>
      <vt:lpstr>SP_GF_COGS</vt:lpstr>
      <vt:lpstr>SP_GF_DisCont</vt:lpstr>
      <vt:lpstr>SP_GF_Div_Prefs</vt:lpstr>
      <vt:lpstr>SP_GF_EBIT</vt:lpstr>
      <vt:lpstr>SP_GF_EBT</vt:lpstr>
      <vt:lpstr>SP_GF_EPS_WAD</vt:lpstr>
      <vt:lpstr>SP_GF_GA</vt:lpstr>
      <vt:lpstr>SP_GF_IE</vt:lpstr>
      <vt:lpstr>SP_GF_IE_Net</vt:lpstr>
      <vt:lpstr>SP_GF_NCI</vt:lpstr>
      <vt:lpstr>SP_GF_NI</vt:lpstr>
      <vt:lpstr>SP_GF_NI_Diluted</vt:lpstr>
      <vt:lpstr>SP_GF_OI</vt:lpstr>
      <vt:lpstr>SP_GF_RD</vt:lpstr>
      <vt:lpstr>SP_GF_Rev</vt:lpstr>
      <vt:lpstr>SP_GF_ShareCount</vt:lpstr>
      <vt:lpstr>SP_GF_SM</vt:lpstr>
      <vt:lpstr>SP_GF_Tax</vt:lpstr>
      <vt:lpstr>SP_MA_COGS</vt:lpstr>
      <vt:lpstr>SP_MA_EBIT</vt:lpstr>
      <vt:lpstr>SP_MA_EBIT_Adj</vt:lpstr>
      <vt:lpstr>SP_MA_EBITDA</vt:lpstr>
      <vt:lpstr>SP_MA_EBITDA_Adj</vt:lpstr>
      <vt:lpstr>SP_MA_GA</vt:lpstr>
      <vt:lpstr>SP_MA_RD</vt:lpstr>
      <vt:lpstr>SP_MA_SM</vt:lpstr>
      <vt:lpstr>SP_Company1876_EBIT</vt:lpstr>
      <vt:lpstr>SP_Company1876_EBITDA</vt:lpstr>
      <vt:lpstr>SP_Company1876_EPS</vt:lpstr>
      <vt:lpstr>SP_Company1876_NI</vt:lpstr>
      <vt:lpstr>SP_PR_ROA</vt:lpstr>
      <vt:lpstr>SP_PR_ROCE</vt:lpstr>
      <vt:lpstr>SP_PR_ROE</vt:lpstr>
      <vt:lpstr>SP_PR_ROIC</vt:lpstr>
      <vt:lpstr>SP_Company2123_CFO</vt:lpstr>
      <vt:lpstr>SP_Section_BalanceSheetRatios</vt:lpstr>
      <vt:lpstr>SP_Section_CapitalizationSummary</vt:lpstr>
      <vt:lpstr>SP_Section_CashFlowAnalysis</vt:lpstr>
      <vt:lpstr>SP_Section_Checks</vt:lpstr>
      <vt:lpstr>SP_Section_GAAPFinancials</vt:lpstr>
      <vt:lpstr>SP_Section_LastRow</vt:lpstr>
      <vt:lpstr>SP_Section_MarginAnalysis</vt:lpstr>
      <vt:lpstr>SP_Section_PerShareGrowthMetrics</vt:lpstr>
      <vt:lpstr>SP_Section_ProfitabilityRatios</vt:lpstr>
      <vt:lpstr>tb_ConsensusEstimate</vt:lpstr>
      <vt:lpstr>tb_EntireModel</vt:lpstr>
      <vt:lpstr>tb_Guidance_FY</vt:lpstr>
      <vt:lpstr>tb_Guidance_Q</vt:lpstr>
      <vt:lpstr>tb_KeyOutputs</vt:lpstr>
      <vt:lpstr>tb_KPIs</vt:lpstr>
      <vt:lpstr>tb_StockPrice</vt:lpstr>
      <vt:lpstr>tb_Tickers</vt:lpstr>
      <vt:lpstr>tb_ValuationToggle</vt:lpstr>
      <vt:lpstr>'Exec Comp'!WS_ColumnHeader</vt:lpstr>
      <vt:lpstr>'Supplemental Data'!WS_ColumnHeader</vt:lpstr>
      <vt:lpstr>'Exec Comp'!WS_LastRow</vt:lpstr>
      <vt:lpstr>'Supplemental Data'!WS_LastRow</vt:lpstr>
      <vt:lpstr>'Exec Comp'!WS_PeriodMetadata_FPDays</vt:lpstr>
      <vt:lpstr>'Supplemental Data'!WS_PeriodMetadata_FPDays</vt:lpstr>
      <vt:lpstr>'Exec Comp'!WS_PeriodMetadata_PAnnotation</vt:lpstr>
      <vt:lpstr>'Supplemental Data'!WS_PeriodMetadata_PAnnotation</vt:lpstr>
      <vt:lpstr>'Exec Comp'!WS_PeriodMetadata_PEndDate</vt:lpstr>
      <vt:lpstr>'Supplemental Data'!WS_PeriodMetadata_PEndDate</vt:lpstr>
      <vt:lpstr>'Exec Comp'!WS_RowTitle</vt:lpstr>
      <vt:lpstr>'Supplemental Data'!WS_RowTitle</vt:lpstr>
      <vt:lpstr>'Exec Comp'!WS_WorkingRange_FirstColumn</vt:lpstr>
      <vt:lpstr>'Supplemental Data'!WS_WorkingRange_FirstColumn</vt:lpstr>
      <vt:lpstr>'Exec Comp'!WS_WorkingRange_FirstRow</vt:lpstr>
      <vt:lpstr>'Supplemental Data'!WS_WorkingRange_FirstRow</vt:lpstr>
      <vt:lpstr>'Exec Comp'!WS_WorkingRange_LastColumn</vt:lpstr>
      <vt:lpstr>'Supplemental Data'!WS_WorkingRange_LastColumn</vt:lpstr>
      <vt:lpstr>'Exec Comp'!WS_WorkingRange_LastRow</vt:lpstr>
      <vt:lpstr>'Supplemental Data'!WS_WorkingRange_LastRow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